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9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drawings/drawing10.xml" ContentType="application/vnd.openxmlformats-officedocument.drawing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drawings/drawing11.xml" ContentType="application/vnd.openxmlformats-officedocument.drawing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omments2.xml" ContentType="application/vnd.openxmlformats-officedocument.spreadsheetml.comments+xml"/>
  <Override PartName="/xl/threadedComments/threadedComment1.xml" ContentType="application/vnd.ms-excel.threadedcomments+xml"/>
  <Override PartName="/xl/comments3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 codeName="{62F9E958-00F4-224C-1CEB-3A4BEE276A5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GRZ\NR\N.011 ERMELO RING ROAD\TENDER\For ADVERT\"/>
    </mc:Choice>
  </mc:AlternateContent>
  <xr:revisionPtr revIDLastSave="0" documentId="13_ncr:1_{3B906F50-B7D2-4633-BB7E-09BC742F8DD5}" xr6:coauthVersionLast="47" xr6:coauthVersionMax="47" xr10:uidLastSave="{00000000-0000-0000-0000-000000000000}"/>
  <bookViews>
    <workbookView xWindow="29775" yWindow="690" windowWidth="27540" windowHeight="14790" tabRatio="768" xr2:uid="{2F78DACA-BA25-4B1A-BDF3-CB7D9BC8FBA2}"/>
  </bookViews>
  <sheets>
    <sheet name="TENDERER INPUT DATA" sheetId="50" r:id="rId1"/>
    <sheet name="Non Fee Hours" sheetId="22" r:id="rId2"/>
    <sheet name="Hours Roadworks" sheetId="15" r:id="rId3"/>
    <sheet name="Hours Structures" sheetId="16" r:id="rId4"/>
    <sheet name="Hours Electrical" sheetId="17" r:id="rId5"/>
    <sheet name="Hours Building" sheetId="18" r:id="rId6"/>
    <sheet name="Hours Mechanical" sheetId="19" r:id="rId7"/>
    <sheet name="Hours Electronic" sheetId="20" r:id="rId8"/>
    <sheet name="Hours Other" sheetId="21" r:id="rId9"/>
    <sheet name="All Hours" sheetId="1" r:id="rId10"/>
    <sheet name="FORM C2.4 FIN" sheetId="4" r:id="rId11"/>
    <sheet name="Notes" sheetId="23" state="hidden" r:id="rId12"/>
    <sheet name="F1 Forecast Combined" sheetId="24" state="hidden" r:id="rId13"/>
    <sheet name="F1 Forecast Consultant" sheetId="47" state="hidden" r:id="rId14"/>
    <sheet name="F1 Forecast Contractor" sheetId="46" state="hidden" r:id="rId15"/>
    <sheet name="F1  Cover" sheetId="25" state="hidden" r:id="rId16"/>
    <sheet name="Pg 1 Payment" sheetId="26" state="hidden" r:id="rId17"/>
    <sheet name="Pg 2 Sum Scheduled" sheetId="27" state="hidden" r:id="rId18"/>
    <sheet name="Pg 3 Travel" sheetId="28" state="hidden" r:id="rId19"/>
    <sheet name="Pg 4 P Sums" sheetId="29" state="hidden" r:id="rId20"/>
    <sheet name="Pg 5 Add. Duties" sheetId="30" state="hidden" r:id="rId21"/>
    <sheet name="Pg 6 WAF with CPI" sheetId="31" state="hidden" r:id="rId22"/>
    <sheet name="Pg 7 WAF No CPI" sheetId="32" state="hidden" r:id="rId23"/>
    <sheet name="Pg 8 Penalties" sheetId="33" state="hidden" r:id="rId24"/>
    <sheet name="Pg 9 CPI" sheetId="34" state="hidden" r:id="rId25"/>
    <sheet name="Pg 10 Calc of COW" sheetId="48" state="hidden" r:id="rId26"/>
    <sheet name="C3.2" sheetId="35" state="hidden" r:id="rId27"/>
    <sheet name="C3.3" sheetId="36" state="hidden" r:id="rId28"/>
    <sheet name="C3.4" sheetId="37" state="hidden" r:id="rId29"/>
    <sheet name="C3.5" sheetId="38" state="hidden" r:id="rId30"/>
    <sheet name="C3.6" sheetId="39" state="hidden" r:id="rId31"/>
    <sheet name="C3.7" sheetId="40" state="hidden" r:id="rId32"/>
    <sheet name="C3.8" sheetId="41" state="hidden" r:id="rId33"/>
    <sheet name="C3.9" sheetId="42" state="hidden" r:id="rId34"/>
    <sheet name="C3.10" sheetId="49" state="hidden" r:id="rId35"/>
    <sheet name="Travel Log" sheetId="43" state="hidden" r:id="rId36"/>
    <sheet name="ADJ-Summary" sheetId="14" state="hidden" r:id="rId37"/>
    <sheet name="ADJ-1" sheetId="9" state="hidden" r:id="rId38"/>
    <sheet name="ADJ-2" sheetId="10" state="hidden" r:id="rId39"/>
    <sheet name="ADJ-3" sheetId="11" state="hidden" r:id="rId40"/>
    <sheet name="ADJ-4" sheetId="12" state="hidden" r:id="rId41"/>
    <sheet name="ADJ-5" sheetId="13" state="hidden" r:id="rId42"/>
    <sheet name="Pricing Schedule" sheetId="8" r:id="rId43"/>
    <sheet name="SUMMARY TENDERED FEE" sheetId="7" r:id="rId44"/>
    <sheet name="DATA" sheetId="3" state="hidden" r:id="rId45"/>
  </sheets>
  <externalReferences>
    <externalReference r:id="rId46"/>
  </externalReferences>
  <definedNames>
    <definedName name="MarkupCost">'[1]Break down'!$L$5</definedName>
    <definedName name="MarkupExternal">'[1]Break down'!$L$6</definedName>
    <definedName name="_xlnm.Print_Area" localSheetId="37">'ADJ-1'!$A$1:$J$120</definedName>
    <definedName name="_xlnm.Print_Area" localSheetId="38">'ADJ-2'!$A$1:$J$119</definedName>
    <definedName name="_xlnm.Print_Area" localSheetId="39">'ADJ-3'!$A$1:$J$119</definedName>
    <definedName name="_xlnm.Print_Area" localSheetId="40">'ADJ-4'!$A$1:$J$119</definedName>
    <definedName name="_xlnm.Print_Area" localSheetId="41">'ADJ-5'!$A$1:$J$119</definedName>
    <definedName name="_xlnm.Print_Area" localSheetId="9">'All Hours'!$A$1:$I$171</definedName>
    <definedName name="_xlnm.Print_Area" localSheetId="34">'C3.10'!$A$1:$N$35</definedName>
    <definedName name="_xlnm.Print_Area" localSheetId="33">'C3.9'!$A$1:$N$18</definedName>
    <definedName name="_xlnm.Print_Area" localSheetId="15">'F1  Cover'!$A$1:$P$49</definedName>
    <definedName name="_xlnm.Print_Area" localSheetId="12">'F1 Forecast Combined'!$A$1:$F$124</definedName>
    <definedName name="_xlnm.Print_Area" localSheetId="13">'F1 Forecast Consultant'!$A$1:$F$124</definedName>
    <definedName name="_xlnm.Print_Area" localSheetId="14">'F1 Forecast Contractor'!$A$1:$F$124</definedName>
    <definedName name="_xlnm.Print_Area" localSheetId="16">'Pg 1 Payment'!$A$1:$L$39</definedName>
    <definedName name="_xlnm.Print_Area" localSheetId="24">'Pg 9 CPI'!$A$1:$N$53</definedName>
    <definedName name="_xlnm.Print_Area" localSheetId="42">'Pricing Schedule'!$A$1:$F$419</definedName>
    <definedName name="_xlnm.Print_Area" localSheetId="43">'SUMMARY TENDERED FEE'!$A$1:$K$25</definedName>
    <definedName name="_xlnm.Print_Area" localSheetId="35">'Travel Log'!$A$1:$H$44</definedName>
    <definedName name="_xlnm.Print_Titles" localSheetId="37">'ADJ-1'!$1:$7</definedName>
    <definedName name="_xlnm.Print_Titles" localSheetId="38">'ADJ-2'!$1:$7</definedName>
    <definedName name="_xlnm.Print_Titles" localSheetId="39">'ADJ-3'!$1:$7</definedName>
    <definedName name="_xlnm.Print_Titles" localSheetId="40">'ADJ-4'!$1:$7</definedName>
    <definedName name="_xlnm.Print_Titles" localSheetId="41">'ADJ-5'!$1:$7</definedName>
    <definedName name="_xlnm.Print_Titles" localSheetId="36">'ADJ-Summary'!$3:$4</definedName>
    <definedName name="_xlnm.Print_Titles" localSheetId="9">'All Hours'!$3:$3</definedName>
    <definedName name="_xlnm.Print_Titles" localSheetId="34">'C3.10'!$1:$6</definedName>
    <definedName name="_xlnm.Print_Titles" localSheetId="27">'C3.3'!$1:$6</definedName>
    <definedName name="_xlnm.Print_Titles" localSheetId="28">'C3.4'!$1:$6</definedName>
    <definedName name="_xlnm.Print_Titles" localSheetId="31">'C3.7'!$1:$6</definedName>
    <definedName name="_xlnm.Print_Titles" localSheetId="32">'C3.8'!$1:$6</definedName>
    <definedName name="_xlnm.Print_Titles" localSheetId="5">'Hours Building'!$1:$6</definedName>
    <definedName name="_xlnm.Print_Titles" localSheetId="4">'Hours Electrical'!$1:$6</definedName>
    <definedName name="_xlnm.Print_Titles" localSheetId="7">'Hours Electronic'!$1:$6</definedName>
    <definedName name="_xlnm.Print_Titles" localSheetId="6">'Hours Mechanical'!$1:$6</definedName>
    <definedName name="_xlnm.Print_Titles" localSheetId="8">'Hours Other'!$1:$6</definedName>
    <definedName name="_xlnm.Print_Titles" localSheetId="2">'Hours Roadworks'!$1:$6</definedName>
    <definedName name="_xlnm.Print_Titles" localSheetId="3">'Hours Structures'!$1:$6</definedName>
    <definedName name="_xlnm.Print_Titles" localSheetId="1">'Non Fee Hours'!$1:$2</definedName>
    <definedName name="_xlnm.Print_Titles" localSheetId="18">'Pg 3 Travel'!$1:$7</definedName>
    <definedName name="_xlnm.Print_Titles" localSheetId="42">'Pricing Schedule'!$9:$9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99" i="8" l="1"/>
  <c r="F292" i="8"/>
  <c r="F297" i="8"/>
  <c r="F186" i="8"/>
  <c r="D318" i="8" l="1"/>
  <c r="F304" i="8"/>
  <c r="F294" i="8"/>
  <c r="KP52" i="3" l="1"/>
  <c r="F67" i="40" s="1"/>
  <c r="KP50" i="3"/>
  <c r="L339" i="29"/>
  <c r="F384" i="8"/>
  <c r="B95" i="9" l="1"/>
  <c r="B79" i="9"/>
  <c r="B63" i="9"/>
  <c r="B47" i="9"/>
  <c r="B31" i="9"/>
  <c r="B15" i="9"/>
  <c r="I68" i="40" l="1"/>
  <c r="J68" i="40" s="1"/>
  <c r="K68" i="40" l="1"/>
  <c r="M68" i="40"/>
  <c r="D37" i="41"/>
  <c r="E37" i="41" s="1"/>
  <c r="D36" i="41"/>
  <c r="E36" i="41" s="1"/>
  <c r="KO52" i="3"/>
  <c r="F35" i="40" s="1"/>
  <c r="KN52" i="3"/>
  <c r="F34" i="40" s="1"/>
  <c r="KM52" i="3"/>
  <c r="F32" i="40" s="1"/>
  <c r="KL52" i="3"/>
  <c r="F31" i="40" s="1"/>
  <c r="H245" i="29"/>
  <c r="A245" i="29"/>
  <c r="L252" i="29"/>
  <c r="L251" i="29"/>
  <c r="L250" i="29"/>
  <c r="L249" i="29"/>
  <c r="L248" i="29"/>
  <c r="L245" i="29" s="1"/>
  <c r="L247" i="29"/>
  <c r="L246" i="29"/>
  <c r="H237" i="29"/>
  <c r="A237" i="29"/>
  <c r="A236" i="29"/>
  <c r="L244" i="29"/>
  <c r="L243" i="29"/>
  <c r="L242" i="29"/>
  <c r="L241" i="29"/>
  <c r="L240" i="29"/>
  <c r="L239" i="29"/>
  <c r="L238" i="29"/>
  <c r="L237" i="29"/>
  <c r="A235" i="29"/>
  <c r="I35" i="40"/>
  <c r="J35" i="40" s="1"/>
  <c r="E35" i="40"/>
  <c r="I34" i="40"/>
  <c r="J34" i="40" s="1"/>
  <c r="E34" i="40"/>
  <c r="I32" i="40"/>
  <c r="M32" i="40" s="1"/>
  <c r="D32" i="40"/>
  <c r="I31" i="40"/>
  <c r="M31" i="40" s="1"/>
  <c r="D31" i="40"/>
  <c r="J31" i="40" s="1"/>
  <c r="B31" i="40"/>
  <c r="KL50" i="3" s="1"/>
  <c r="C31" i="40"/>
  <c r="B32" i="40"/>
  <c r="KM50" i="3" s="1"/>
  <c r="C32" i="40"/>
  <c r="B33" i="40"/>
  <c r="B34" i="40"/>
  <c r="KN50" i="3" s="1"/>
  <c r="C34" i="40"/>
  <c r="B35" i="40"/>
  <c r="KO50" i="3" s="1"/>
  <c r="C35" i="40"/>
  <c r="K35" i="40" l="1"/>
  <c r="L35" i="40"/>
  <c r="K237" i="29"/>
  <c r="G34" i="40" s="1"/>
  <c r="H34" i="40" s="1"/>
  <c r="K34" i="40"/>
  <c r="L31" i="40"/>
  <c r="L32" i="40"/>
  <c r="J32" i="40"/>
  <c r="L34" i="40"/>
  <c r="K245" i="29"/>
  <c r="G35" i="40" s="1"/>
  <c r="M35" i="40" s="1"/>
  <c r="H32" i="40"/>
  <c r="E32" i="40"/>
  <c r="K32" i="40" s="1"/>
  <c r="H31" i="40"/>
  <c r="E31" i="40"/>
  <c r="K31" i="40" s="1"/>
  <c r="M34" i="40" l="1"/>
  <c r="N34" i="40"/>
  <c r="KN53" i="3"/>
  <c r="N32" i="40"/>
  <c r="KM53" i="3"/>
  <c r="N31" i="40"/>
  <c r="KL53" i="3"/>
  <c r="H35" i="40"/>
  <c r="H349" i="8"/>
  <c r="H350" i="8"/>
  <c r="H338" i="8"/>
  <c r="H339" i="8"/>
  <c r="H340" i="8"/>
  <c r="H341" i="8"/>
  <c r="H342" i="8"/>
  <c r="H343" i="8"/>
  <c r="H345" i="8"/>
  <c r="H346" i="8"/>
  <c r="H347" i="8"/>
  <c r="H310" i="8"/>
  <c r="H311" i="8"/>
  <c r="H312" i="8"/>
  <c r="H314" i="8"/>
  <c r="H315" i="8"/>
  <c r="H277" i="8"/>
  <c r="H278" i="8"/>
  <c r="H279" i="8"/>
  <c r="H281" i="8"/>
  <c r="H282" i="8"/>
  <c r="H252" i="8"/>
  <c r="H232" i="8"/>
  <c r="H233" i="8"/>
  <c r="H235" i="8"/>
  <c r="H236" i="8"/>
  <c r="H177" i="8"/>
  <c r="H178" i="8"/>
  <c r="H179" i="8"/>
  <c r="H161" i="8"/>
  <c r="H162" i="8"/>
  <c r="H163" i="8"/>
  <c r="H44" i="8"/>
  <c r="H45" i="8"/>
  <c r="H37" i="8"/>
  <c r="H39" i="8"/>
  <c r="H40" i="8"/>
  <c r="H36" i="8"/>
  <c r="H28" i="8"/>
  <c r="H29" i="8"/>
  <c r="H30" i="8"/>
  <c r="N35" i="40" l="1"/>
  <c r="KO53" i="3"/>
  <c r="I40" i="41"/>
  <c r="I39" i="41"/>
  <c r="J39" i="41" s="1"/>
  <c r="E39" i="41"/>
  <c r="I37" i="41"/>
  <c r="J37" i="41" s="1"/>
  <c r="I36" i="41"/>
  <c r="C37" i="41"/>
  <c r="C39" i="41"/>
  <c r="C40" i="41"/>
  <c r="A38" i="41"/>
  <c r="B37" i="41"/>
  <c r="KJ50" i="3" s="1"/>
  <c r="B38" i="41"/>
  <c r="B39" i="41"/>
  <c r="KK50" i="3" s="1"/>
  <c r="B40" i="41"/>
  <c r="H395" i="29"/>
  <c r="A395" i="29"/>
  <c r="L390" i="29"/>
  <c r="L391" i="29"/>
  <c r="L392" i="29"/>
  <c r="L393" i="29"/>
  <c r="L394" i="29"/>
  <c r="L396" i="29"/>
  <c r="L397" i="29"/>
  <c r="L398" i="29"/>
  <c r="L399" i="29"/>
  <c r="K39" i="41" l="1"/>
  <c r="E40" i="41" s="1"/>
  <c r="K40" i="41" s="1"/>
  <c r="M37" i="41"/>
  <c r="K37" i="41"/>
  <c r="H404" i="29"/>
  <c r="A404" i="29"/>
  <c r="A403" i="29"/>
  <c r="L405" i="29"/>
  <c r="L389" i="29"/>
  <c r="L400" i="29"/>
  <c r="L395" i="29" s="1"/>
  <c r="K395" i="29" s="1"/>
  <c r="L401" i="29"/>
  <c r="L402" i="29"/>
  <c r="I33" i="41"/>
  <c r="I32" i="41"/>
  <c r="J32" i="41" s="1"/>
  <c r="E32" i="41"/>
  <c r="I31" i="41"/>
  <c r="C31" i="41"/>
  <c r="C32" i="41"/>
  <c r="C33" i="41"/>
  <c r="B31" i="41"/>
  <c r="B32" i="41"/>
  <c r="KI50" i="3" s="1"/>
  <c r="B33" i="41"/>
  <c r="H331" i="29"/>
  <c r="A331" i="29"/>
  <c r="A330" i="29"/>
  <c r="L324" i="29"/>
  <c r="L325" i="29"/>
  <c r="L326" i="29"/>
  <c r="L327" i="29"/>
  <c r="L328" i="29"/>
  <c r="L329" i="29"/>
  <c r="L332" i="29"/>
  <c r="I67" i="40"/>
  <c r="J67" i="40" s="1"/>
  <c r="E67" i="40"/>
  <c r="C67" i="40"/>
  <c r="C68" i="40"/>
  <c r="B66" i="40"/>
  <c r="B67" i="40"/>
  <c r="B68" i="40"/>
  <c r="KH50" i="3" s="1"/>
  <c r="A66" i="40"/>
  <c r="I15" i="39"/>
  <c r="M15" i="39" s="1"/>
  <c r="C15" i="39"/>
  <c r="A15" i="39"/>
  <c r="B15" i="39"/>
  <c r="JJ50" i="3" s="1"/>
  <c r="I154" i="37"/>
  <c r="J154" i="37" s="1"/>
  <c r="I153" i="37"/>
  <c r="J153" i="37" s="1"/>
  <c r="K153" i="37"/>
  <c r="C153" i="37"/>
  <c r="C154" i="37"/>
  <c r="B152" i="37"/>
  <c r="B153" i="37"/>
  <c r="KF50" i="3" s="1"/>
  <c r="B154" i="37"/>
  <c r="KG50" i="3" s="1"/>
  <c r="A152" i="37"/>
  <c r="I96" i="37"/>
  <c r="M96" i="37" s="1"/>
  <c r="I95" i="37"/>
  <c r="M95" i="37" s="1"/>
  <c r="I97" i="37"/>
  <c r="J97" i="37" s="1"/>
  <c r="E97" i="37"/>
  <c r="D96" i="37"/>
  <c r="D95" i="37"/>
  <c r="H131" i="29"/>
  <c r="A131" i="29"/>
  <c r="A130" i="29"/>
  <c r="L132" i="29"/>
  <c r="L125" i="29"/>
  <c r="L126" i="29"/>
  <c r="L127" i="29"/>
  <c r="L128" i="29"/>
  <c r="L129" i="29"/>
  <c r="L124" i="29"/>
  <c r="A121" i="29"/>
  <c r="I92" i="37"/>
  <c r="I91" i="37"/>
  <c r="C95" i="37"/>
  <c r="C96" i="37"/>
  <c r="C97" i="37"/>
  <c r="B94" i="37"/>
  <c r="B95" i="37"/>
  <c r="KC50" i="3" s="1"/>
  <c r="B96" i="37"/>
  <c r="KD50" i="3" s="1"/>
  <c r="B97" i="37"/>
  <c r="KE50" i="3" s="1"/>
  <c r="B90" i="37"/>
  <c r="I80" i="37"/>
  <c r="I81" i="37"/>
  <c r="M81" i="37" s="1"/>
  <c r="I79" i="37"/>
  <c r="D80" i="37"/>
  <c r="E80" i="37" s="1"/>
  <c r="D81" i="37"/>
  <c r="E81" i="37" s="1"/>
  <c r="D79" i="37"/>
  <c r="E79" i="37" s="1"/>
  <c r="C79" i="37"/>
  <c r="C80" i="37"/>
  <c r="C81" i="37"/>
  <c r="B79" i="37"/>
  <c r="CU50" i="3" s="1"/>
  <c r="B80" i="37"/>
  <c r="KA50" i="3" s="1"/>
  <c r="B81" i="37"/>
  <c r="KB50" i="3" s="1"/>
  <c r="I15" i="36"/>
  <c r="J15" i="36" s="1"/>
  <c r="I14" i="36"/>
  <c r="M14" i="36" s="1"/>
  <c r="I13" i="36"/>
  <c r="I30" i="36"/>
  <c r="I29" i="36"/>
  <c r="H72" i="29"/>
  <c r="A72" i="29"/>
  <c r="A71" i="29"/>
  <c r="L75" i="29"/>
  <c r="L66" i="29"/>
  <c r="L67" i="29"/>
  <c r="L68" i="29"/>
  <c r="L69" i="29"/>
  <c r="L70" i="29"/>
  <c r="L73" i="29"/>
  <c r="I22" i="36"/>
  <c r="M22" i="36" s="1"/>
  <c r="I27" i="36"/>
  <c r="L76" i="29"/>
  <c r="H63" i="29"/>
  <c r="L64" i="29"/>
  <c r="L59" i="29"/>
  <c r="L60" i="29"/>
  <c r="L61" i="29"/>
  <c r="L62" i="29"/>
  <c r="A63" i="29"/>
  <c r="H55" i="29"/>
  <c r="A55" i="29"/>
  <c r="L50" i="29"/>
  <c r="L51" i="29"/>
  <c r="L52" i="29"/>
  <c r="L53" i="29"/>
  <c r="L54" i="29"/>
  <c r="L56" i="29"/>
  <c r="L57" i="29"/>
  <c r="L48" i="29"/>
  <c r="L49" i="29"/>
  <c r="L40" i="29"/>
  <c r="L41" i="29"/>
  <c r="L42" i="29"/>
  <c r="L43" i="29"/>
  <c r="L44" i="29"/>
  <c r="L45" i="29"/>
  <c r="H47" i="29"/>
  <c r="A47" i="29"/>
  <c r="A46" i="29"/>
  <c r="I26" i="36"/>
  <c r="I25" i="36"/>
  <c r="J25" i="36" s="1"/>
  <c r="I24" i="36"/>
  <c r="E25" i="36"/>
  <c r="I21" i="36"/>
  <c r="M21" i="36" s="1"/>
  <c r="I20" i="36"/>
  <c r="H38" i="29"/>
  <c r="A38" i="29"/>
  <c r="D22" i="36"/>
  <c r="E22" i="36" s="1"/>
  <c r="D27" i="36"/>
  <c r="E27" i="36" s="1"/>
  <c r="K27" i="36" s="1"/>
  <c r="C21" i="36"/>
  <c r="C22" i="36"/>
  <c r="C24" i="36"/>
  <c r="C25" i="36"/>
  <c r="C26" i="36"/>
  <c r="C27" i="36"/>
  <c r="C29" i="36"/>
  <c r="C30" i="36"/>
  <c r="C20" i="36"/>
  <c r="B20" i="36"/>
  <c r="AI50" i="3" s="1"/>
  <c r="B21" i="36"/>
  <c r="AJ50" i="3" s="1"/>
  <c r="B22" i="36"/>
  <c r="AF50" i="3" s="1"/>
  <c r="B23" i="36"/>
  <c r="B24" i="36"/>
  <c r="B25" i="36"/>
  <c r="AH50" i="3" s="1"/>
  <c r="B26" i="36"/>
  <c r="JW50" i="3" s="1"/>
  <c r="B27" i="36"/>
  <c r="AM50" i="3" s="1"/>
  <c r="B28" i="36"/>
  <c r="B29" i="36"/>
  <c r="JX50" i="3" s="1"/>
  <c r="B30" i="36"/>
  <c r="JY50" i="3" s="1"/>
  <c r="B19" i="36"/>
  <c r="A19" i="36"/>
  <c r="L21" i="29"/>
  <c r="L22" i="29"/>
  <c r="L24" i="29"/>
  <c r="L25" i="29"/>
  <c r="L26" i="29"/>
  <c r="L27" i="29"/>
  <c r="L14" i="29"/>
  <c r="L15" i="29"/>
  <c r="L16" i="29"/>
  <c r="L17" i="29"/>
  <c r="L18" i="29"/>
  <c r="H20" i="29"/>
  <c r="A20" i="29"/>
  <c r="A19" i="29"/>
  <c r="K15" i="36"/>
  <c r="E13" i="36"/>
  <c r="C13" i="36"/>
  <c r="C14" i="36"/>
  <c r="C15" i="36"/>
  <c r="B13" i="36"/>
  <c r="JT50" i="3" s="1"/>
  <c r="B14" i="36"/>
  <c r="JU50" i="3" s="1"/>
  <c r="B15" i="36"/>
  <c r="JV50" i="3" s="1"/>
  <c r="B12" i="36"/>
  <c r="A12" i="36"/>
  <c r="J21" i="36" l="1"/>
  <c r="K21" i="36"/>
  <c r="J14" i="36"/>
  <c r="K13" i="36"/>
  <c r="K14" i="36"/>
  <c r="J95" i="37"/>
  <c r="K25" i="36"/>
  <c r="K15" i="39"/>
  <c r="K154" i="37"/>
  <c r="J15" i="39"/>
  <c r="K67" i="40"/>
  <c r="J27" i="36"/>
  <c r="J22" i="36"/>
  <c r="E95" i="37"/>
  <c r="K95" i="37" s="1"/>
  <c r="K32" i="41"/>
  <c r="E33" i="41" s="1"/>
  <c r="K33" i="41" s="1"/>
  <c r="M154" i="37"/>
  <c r="M153" i="37"/>
  <c r="K97" i="37"/>
  <c r="J96" i="37"/>
  <c r="E96" i="37"/>
  <c r="K96" i="37" s="1"/>
  <c r="K80" i="37"/>
  <c r="J81" i="37"/>
  <c r="J80" i="37"/>
  <c r="K79" i="37"/>
  <c r="K81" i="37"/>
  <c r="M80" i="37"/>
  <c r="J79" i="37"/>
  <c r="M79" i="37"/>
  <c r="M15" i="36"/>
  <c r="J13" i="36"/>
  <c r="K22" i="36"/>
  <c r="M27" i="36"/>
  <c r="L47" i="29"/>
  <c r="D350" i="8"/>
  <c r="F347" i="8"/>
  <c r="F346" i="8"/>
  <c r="D343" i="8"/>
  <c r="D341" i="8"/>
  <c r="F279" i="8"/>
  <c r="F278" i="8"/>
  <c r="F341" i="8" l="1"/>
  <c r="D31" i="41"/>
  <c r="J31" i="41" s="1"/>
  <c r="F350" i="8"/>
  <c r="D40" i="41"/>
  <c r="J40" i="41" s="1"/>
  <c r="F343" i="8"/>
  <c r="D33" i="41"/>
  <c r="J33" i="41" s="1"/>
  <c r="K47" i="29"/>
  <c r="F178" i="8"/>
  <c r="F177" i="8"/>
  <c r="F163" i="8"/>
  <c r="F162" i="8"/>
  <c r="F161" i="8"/>
  <c r="F42" i="8"/>
  <c r="F37" i="8" l="1"/>
  <c r="E3" i="21"/>
  <c r="E3" i="20"/>
  <c r="E3" i="19"/>
  <c r="E3" i="18"/>
  <c r="E3" i="17"/>
  <c r="E3" i="16"/>
  <c r="E3" i="15"/>
  <c r="H387" i="29" l="1"/>
  <c r="A387" i="29"/>
  <c r="L411" i="29"/>
  <c r="L410" i="29"/>
  <c r="L409" i="29"/>
  <c r="L408" i="29"/>
  <c r="L407" i="29"/>
  <c r="L406" i="29"/>
  <c r="L388" i="29"/>
  <c r="L387" i="29" s="1"/>
  <c r="H379" i="29"/>
  <c r="A379" i="29"/>
  <c r="A378" i="29"/>
  <c r="L386" i="29"/>
  <c r="L385" i="29"/>
  <c r="L384" i="29"/>
  <c r="L383" i="29"/>
  <c r="L382" i="29"/>
  <c r="L381" i="29"/>
  <c r="L380" i="29"/>
  <c r="K36" i="41"/>
  <c r="I35" i="41"/>
  <c r="J35" i="41" s="1"/>
  <c r="I30" i="41"/>
  <c r="J30" i="41" s="1"/>
  <c r="E30" i="41"/>
  <c r="I29" i="41"/>
  <c r="J29" i="41" s="1"/>
  <c r="E29" i="41"/>
  <c r="I28" i="41"/>
  <c r="J28" i="41" s="1"/>
  <c r="C28" i="41"/>
  <c r="C29" i="41"/>
  <c r="C30" i="41"/>
  <c r="C35" i="41"/>
  <c r="C36" i="41"/>
  <c r="B27" i="41"/>
  <c r="B28" i="41"/>
  <c r="JO50" i="3" s="1"/>
  <c r="B29" i="41"/>
  <c r="JP50" i="3" s="1"/>
  <c r="B30" i="41"/>
  <c r="JQ50" i="3" s="1"/>
  <c r="B34" i="41"/>
  <c r="B35" i="41"/>
  <c r="JR50" i="3" s="1"/>
  <c r="B36" i="41"/>
  <c r="JS50" i="3" s="1"/>
  <c r="A27" i="41"/>
  <c r="A34" i="41"/>
  <c r="I65" i="40"/>
  <c r="M65" i="40" s="1"/>
  <c r="D65" i="40"/>
  <c r="I64" i="40"/>
  <c r="M64" i="40" s="1"/>
  <c r="D64" i="40"/>
  <c r="I63" i="40"/>
  <c r="M63" i="40" s="1"/>
  <c r="D63" i="40"/>
  <c r="C64" i="40"/>
  <c r="C65" i="40"/>
  <c r="C63" i="40"/>
  <c r="B63" i="40"/>
  <c r="JL50" i="3" s="1"/>
  <c r="B64" i="40"/>
  <c r="JM50" i="3" s="1"/>
  <c r="B65" i="40"/>
  <c r="JN50" i="3" s="1"/>
  <c r="B62" i="40"/>
  <c r="A62" i="40"/>
  <c r="F312" i="8"/>
  <c r="F311" i="8"/>
  <c r="F310" i="8"/>
  <c r="H192" i="29"/>
  <c r="A192" i="29"/>
  <c r="A191" i="29"/>
  <c r="L199" i="29"/>
  <c r="L198" i="29"/>
  <c r="L197" i="29"/>
  <c r="L196" i="29"/>
  <c r="L195" i="29"/>
  <c r="L194" i="29"/>
  <c r="L193" i="29"/>
  <c r="I150" i="37"/>
  <c r="J150" i="37" s="1"/>
  <c r="E150" i="37"/>
  <c r="I151" i="37"/>
  <c r="C150" i="37"/>
  <c r="C151" i="37"/>
  <c r="A149" i="37"/>
  <c r="B149" i="37"/>
  <c r="B150" i="37"/>
  <c r="JK50" i="3" s="1"/>
  <c r="B151" i="37"/>
  <c r="D233" i="8"/>
  <c r="F233" i="8" s="1"/>
  <c r="L404" i="29" l="1"/>
  <c r="K404" i="29" s="1"/>
  <c r="L379" i="29"/>
  <c r="K379" i="29" s="1"/>
  <c r="K387" i="29"/>
  <c r="L192" i="29"/>
  <c r="K192" i="29" s="1"/>
  <c r="D151" i="37"/>
  <c r="J151" i="37" s="1"/>
  <c r="K29" i="41"/>
  <c r="K30" i="41"/>
  <c r="E31" i="41" s="1"/>
  <c r="K31" i="41" s="1"/>
  <c r="M36" i="41"/>
  <c r="J36" i="41"/>
  <c r="K35" i="41"/>
  <c r="M35" i="41"/>
  <c r="K28" i="41"/>
  <c r="M28" i="41"/>
  <c r="J64" i="40"/>
  <c r="J63" i="40"/>
  <c r="J65" i="40"/>
  <c r="E65" i="40"/>
  <c r="K65" i="40" s="1"/>
  <c r="E64" i="40"/>
  <c r="K64" i="40" s="1"/>
  <c r="E63" i="40"/>
  <c r="K63" i="40" s="1"/>
  <c r="K150" i="37"/>
  <c r="E151" i="37" s="1"/>
  <c r="K151" i="37" s="1"/>
  <c r="J30" i="36" l="1"/>
  <c r="K30" i="36"/>
  <c r="M30" i="36"/>
  <c r="J7" i="48" l="1"/>
  <c r="J6" i="48"/>
  <c r="B28" i="26"/>
  <c r="A42" i="25"/>
  <c r="B404" i="8"/>
  <c r="C35" i="7" l="1"/>
  <c r="C34" i="7"/>
  <c r="C33" i="7"/>
  <c r="C32" i="7"/>
  <c r="B37" i="7"/>
  <c r="B35" i="7"/>
  <c r="D35" i="7" s="1"/>
  <c r="B34" i="7"/>
  <c r="D34" i="7" s="1"/>
  <c r="B33" i="7"/>
  <c r="B32" i="7"/>
  <c r="B31" i="7"/>
  <c r="B30" i="7"/>
  <c r="B29" i="7"/>
  <c r="D33" i="7"/>
  <c r="D32" i="7"/>
  <c r="H322" i="29" l="1"/>
  <c r="A322" i="29"/>
  <c r="L317" i="29"/>
  <c r="L318" i="29"/>
  <c r="L319" i="29"/>
  <c r="L320" i="29"/>
  <c r="L321" i="29"/>
  <c r="L323" i="29"/>
  <c r="L322" i="29" s="1"/>
  <c r="L333" i="29"/>
  <c r="I61" i="40"/>
  <c r="J61" i="40" s="1"/>
  <c r="E61" i="40"/>
  <c r="C61" i="40"/>
  <c r="B61" i="40"/>
  <c r="JI50" i="3" s="1"/>
  <c r="H308" i="8"/>
  <c r="B153" i="1"/>
  <c r="B154" i="1"/>
  <c r="B155" i="1"/>
  <c r="B156" i="1"/>
  <c r="B157" i="1"/>
  <c r="B158" i="1"/>
  <c r="B159" i="1"/>
  <c r="B160" i="1"/>
  <c r="B152" i="1"/>
  <c r="B151" i="1"/>
  <c r="B131" i="1"/>
  <c r="B132" i="1"/>
  <c r="B133" i="1"/>
  <c r="B134" i="1"/>
  <c r="B135" i="1"/>
  <c r="B136" i="1"/>
  <c r="B137" i="1"/>
  <c r="B138" i="1"/>
  <c r="B130" i="1"/>
  <c r="B129" i="1"/>
  <c r="B109" i="1"/>
  <c r="B110" i="1"/>
  <c r="B111" i="1"/>
  <c r="B112" i="1"/>
  <c r="B113" i="1"/>
  <c r="B114" i="1"/>
  <c r="B115" i="1"/>
  <c r="B116" i="1"/>
  <c r="B108" i="1"/>
  <c r="B107" i="1"/>
  <c r="B87" i="1"/>
  <c r="B88" i="1"/>
  <c r="B89" i="1"/>
  <c r="B90" i="1"/>
  <c r="B91" i="1"/>
  <c r="B92" i="1"/>
  <c r="B93" i="1"/>
  <c r="B94" i="1"/>
  <c r="B86" i="1"/>
  <c r="B85" i="1"/>
  <c r="B38" i="1"/>
  <c r="B39" i="1"/>
  <c r="B40" i="1"/>
  <c r="B41" i="1"/>
  <c r="B42" i="1"/>
  <c r="B43" i="1"/>
  <c r="B44" i="1"/>
  <c r="B45" i="1"/>
  <c r="B37" i="1"/>
  <c r="B36" i="1"/>
  <c r="B12" i="1"/>
  <c r="C12" i="1"/>
  <c r="B21" i="4" s="1"/>
  <c r="B13" i="1"/>
  <c r="A22" i="4" s="1"/>
  <c r="C13" i="1"/>
  <c r="B22" i="4" s="1"/>
  <c r="B14" i="1"/>
  <c r="C14" i="1"/>
  <c r="B23" i="4" s="1"/>
  <c r="B15" i="1"/>
  <c r="C15" i="1"/>
  <c r="B24" i="4" s="1"/>
  <c r="B16" i="1"/>
  <c r="C16" i="1"/>
  <c r="B25" i="4" s="1"/>
  <c r="B17" i="1"/>
  <c r="C17" i="1"/>
  <c r="B26" i="4" s="1"/>
  <c r="B18" i="1"/>
  <c r="C18" i="1"/>
  <c r="B27" i="4" s="1"/>
  <c r="B19" i="1"/>
  <c r="C19" i="1"/>
  <c r="B28" i="4" s="1"/>
  <c r="B11" i="1"/>
  <c r="B10" i="1"/>
  <c r="C11" i="1"/>
  <c r="B10" i="21"/>
  <c r="B32" i="21" s="1"/>
  <c r="C10" i="21"/>
  <c r="C32" i="21" s="1"/>
  <c r="B11" i="21"/>
  <c r="B33" i="21" s="1"/>
  <c r="C11" i="21"/>
  <c r="C33" i="21" s="1"/>
  <c r="B12" i="21"/>
  <c r="B34" i="21" s="1"/>
  <c r="C12" i="21"/>
  <c r="C34" i="21" s="1"/>
  <c r="B13" i="21"/>
  <c r="B57" i="21" s="1"/>
  <c r="C13" i="21"/>
  <c r="C35" i="21" s="1"/>
  <c r="B14" i="21"/>
  <c r="B36" i="21" s="1"/>
  <c r="C14" i="21"/>
  <c r="C36" i="21" s="1"/>
  <c r="B15" i="21"/>
  <c r="B37" i="21" s="1"/>
  <c r="C15" i="21"/>
  <c r="C37" i="21" s="1"/>
  <c r="B16" i="21"/>
  <c r="B38" i="21" s="1"/>
  <c r="C16" i="21"/>
  <c r="C38" i="21" s="1"/>
  <c r="B17" i="21"/>
  <c r="B39" i="21" s="1"/>
  <c r="C17" i="21"/>
  <c r="C39" i="21" s="1"/>
  <c r="C9" i="21"/>
  <c r="B9" i="21"/>
  <c r="C8" i="21"/>
  <c r="B8" i="21"/>
  <c r="B6" i="21"/>
  <c r="F1" i="21"/>
  <c r="B10" i="20"/>
  <c r="B32" i="20" s="1"/>
  <c r="C10" i="20"/>
  <c r="C32" i="20" s="1"/>
  <c r="B11" i="20"/>
  <c r="B33" i="20" s="1"/>
  <c r="C11" i="20"/>
  <c r="C33" i="20" s="1"/>
  <c r="B12" i="20"/>
  <c r="B34" i="20" s="1"/>
  <c r="C12" i="20"/>
  <c r="C34" i="20" s="1"/>
  <c r="B13" i="20"/>
  <c r="B35" i="20" s="1"/>
  <c r="C13" i="20"/>
  <c r="C35" i="20" s="1"/>
  <c r="B14" i="20"/>
  <c r="B36" i="20" s="1"/>
  <c r="C14" i="20"/>
  <c r="C36" i="20" s="1"/>
  <c r="B15" i="20"/>
  <c r="B37" i="20" s="1"/>
  <c r="C15" i="20"/>
  <c r="C37" i="20" s="1"/>
  <c r="B16" i="20"/>
  <c r="B38" i="20" s="1"/>
  <c r="C16" i="20"/>
  <c r="C38" i="20" s="1"/>
  <c r="B17" i="20"/>
  <c r="B39" i="20" s="1"/>
  <c r="C17" i="20"/>
  <c r="C39" i="20" s="1"/>
  <c r="C9" i="20"/>
  <c r="B9" i="20"/>
  <c r="C8" i="20"/>
  <c r="B8" i="20"/>
  <c r="B6" i="20"/>
  <c r="F1" i="20"/>
  <c r="B10" i="19"/>
  <c r="B32" i="19" s="1"/>
  <c r="C10" i="19"/>
  <c r="C32" i="19" s="1"/>
  <c r="B11" i="19"/>
  <c r="B33" i="19" s="1"/>
  <c r="C11" i="19"/>
  <c r="C33" i="19" s="1"/>
  <c r="B12" i="19"/>
  <c r="B34" i="19" s="1"/>
  <c r="C12" i="19"/>
  <c r="C34" i="19" s="1"/>
  <c r="B13" i="19"/>
  <c r="B35" i="19" s="1"/>
  <c r="C13" i="19"/>
  <c r="C35" i="19" s="1"/>
  <c r="B14" i="19"/>
  <c r="B36" i="19" s="1"/>
  <c r="C14" i="19"/>
  <c r="C36" i="19" s="1"/>
  <c r="B15" i="19"/>
  <c r="B37" i="19" s="1"/>
  <c r="C15" i="19"/>
  <c r="C37" i="19" s="1"/>
  <c r="B16" i="19"/>
  <c r="B38" i="19" s="1"/>
  <c r="C16" i="19"/>
  <c r="C38" i="19" s="1"/>
  <c r="B17" i="19"/>
  <c r="B39" i="19" s="1"/>
  <c r="C17" i="19"/>
  <c r="C39" i="19" s="1"/>
  <c r="C9" i="19"/>
  <c r="B9" i="19"/>
  <c r="C8" i="19"/>
  <c r="B8" i="19"/>
  <c r="B6" i="19"/>
  <c r="F1" i="19"/>
  <c r="B10" i="18"/>
  <c r="B32" i="18" s="1"/>
  <c r="C10" i="18"/>
  <c r="C32" i="18" s="1"/>
  <c r="B11" i="18"/>
  <c r="B33" i="18" s="1"/>
  <c r="C11" i="18"/>
  <c r="C33" i="18" s="1"/>
  <c r="B12" i="18"/>
  <c r="B34" i="18" s="1"/>
  <c r="C12" i="18"/>
  <c r="C34" i="18" s="1"/>
  <c r="B13" i="18"/>
  <c r="B35" i="18" s="1"/>
  <c r="C13" i="18"/>
  <c r="C35" i="18" s="1"/>
  <c r="B14" i="18"/>
  <c r="B36" i="18" s="1"/>
  <c r="C14" i="18"/>
  <c r="C36" i="18" s="1"/>
  <c r="B15" i="18"/>
  <c r="B37" i="18" s="1"/>
  <c r="C15" i="18"/>
  <c r="C37" i="18" s="1"/>
  <c r="B16" i="18"/>
  <c r="B38" i="18" s="1"/>
  <c r="C16" i="18"/>
  <c r="C38" i="18" s="1"/>
  <c r="B17" i="18"/>
  <c r="B39" i="18" s="1"/>
  <c r="C17" i="18"/>
  <c r="C39" i="18" s="1"/>
  <c r="C9" i="18"/>
  <c r="B9" i="18"/>
  <c r="C8" i="18"/>
  <c r="B8" i="18"/>
  <c r="B6" i="18"/>
  <c r="F1" i="18"/>
  <c r="B10" i="17"/>
  <c r="B32" i="17" s="1"/>
  <c r="C10" i="17"/>
  <c r="C32" i="17" s="1"/>
  <c r="B11" i="17"/>
  <c r="B33" i="17" s="1"/>
  <c r="C11" i="17"/>
  <c r="C33" i="17" s="1"/>
  <c r="B12" i="17"/>
  <c r="B34" i="17" s="1"/>
  <c r="C12" i="17"/>
  <c r="C34" i="17" s="1"/>
  <c r="B13" i="17"/>
  <c r="B35" i="17" s="1"/>
  <c r="C13" i="17"/>
  <c r="C35" i="17" s="1"/>
  <c r="B14" i="17"/>
  <c r="B36" i="17" s="1"/>
  <c r="C14" i="17"/>
  <c r="C36" i="17" s="1"/>
  <c r="B15" i="17"/>
  <c r="B37" i="17" s="1"/>
  <c r="C15" i="17"/>
  <c r="C37" i="17" s="1"/>
  <c r="B16" i="17"/>
  <c r="B38" i="17" s="1"/>
  <c r="C16" i="17"/>
  <c r="C38" i="17" s="1"/>
  <c r="B17" i="17"/>
  <c r="B39" i="17" s="1"/>
  <c r="C17" i="17"/>
  <c r="C39" i="17" s="1"/>
  <c r="C9" i="17"/>
  <c r="B9" i="17"/>
  <c r="C8" i="17"/>
  <c r="B8" i="17"/>
  <c r="B6" i="17"/>
  <c r="F1" i="17"/>
  <c r="B10" i="16"/>
  <c r="B32" i="16" s="1"/>
  <c r="C10" i="16"/>
  <c r="C32" i="16" s="1"/>
  <c r="B11" i="16"/>
  <c r="B33" i="16" s="1"/>
  <c r="C11" i="16"/>
  <c r="C33" i="16" s="1"/>
  <c r="B12" i="16"/>
  <c r="B34" i="16" s="1"/>
  <c r="C12" i="16"/>
  <c r="C34" i="16" s="1"/>
  <c r="B13" i="16"/>
  <c r="B35" i="16" s="1"/>
  <c r="C13" i="16"/>
  <c r="C35" i="16" s="1"/>
  <c r="B14" i="16"/>
  <c r="B36" i="16" s="1"/>
  <c r="C14" i="16"/>
  <c r="C36" i="16" s="1"/>
  <c r="B15" i="16"/>
  <c r="B37" i="16" s="1"/>
  <c r="C15" i="16"/>
  <c r="C37" i="16" s="1"/>
  <c r="B16" i="16"/>
  <c r="B38" i="16" s="1"/>
  <c r="C16" i="16"/>
  <c r="C38" i="16" s="1"/>
  <c r="B17" i="16"/>
  <c r="B39" i="16" s="1"/>
  <c r="C17" i="16"/>
  <c r="C39" i="16" s="1"/>
  <c r="C9" i="16"/>
  <c r="B9" i="16"/>
  <c r="C8" i="16"/>
  <c r="B8" i="16"/>
  <c r="B6" i="16"/>
  <c r="F1" i="16"/>
  <c r="B6" i="15"/>
  <c r="F1" i="15"/>
  <c r="B10" i="15"/>
  <c r="B32" i="15" s="1"/>
  <c r="B11" i="15"/>
  <c r="B33" i="15" s="1"/>
  <c r="B12" i="15"/>
  <c r="B34" i="15" s="1"/>
  <c r="B13" i="15"/>
  <c r="B35" i="15" s="1"/>
  <c r="B14" i="15"/>
  <c r="B36" i="15" s="1"/>
  <c r="B15" i="15"/>
  <c r="B37" i="15" s="1"/>
  <c r="B16" i="15"/>
  <c r="B38" i="15" s="1"/>
  <c r="B17" i="15"/>
  <c r="B39" i="15" s="1"/>
  <c r="B9" i="15"/>
  <c r="B8" i="15"/>
  <c r="C10" i="15"/>
  <c r="C32" i="15" s="1"/>
  <c r="C11" i="15"/>
  <c r="C33" i="15" s="1"/>
  <c r="C12" i="15"/>
  <c r="C34" i="15" s="1"/>
  <c r="C13" i="15"/>
  <c r="C35" i="15" s="1"/>
  <c r="C14" i="15"/>
  <c r="C36" i="15" s="1"/>
  <c r="C15" i="15"/>
  <c r="C37" i="15" s="1"/>
  <c r="C16" i="15"/>
  <c r="C60" i="15" s="1"/>
  <c r="C17" i="15"/>
  <c r="C39" i="15" s="1"/>
  <c r="C9" i="15"/>
  <c r="C8" i="15"/>
  <c r="K61" i="40" l="1"/>
  <c r="C116" i="1"/>
  <c r="C136" i="1"/>
  <c r="C134" i="1"/>
  <c r="C130" i="1"/>
  <c r="C93" i="1"/>
  <c r="C42" i="1"/>
  <c r="C89" i="1"/>
  <c r="C38" i="1"/>
  <c r="C76" i="20"/>
  <c r="C82" i="15"/>
  <c r="C78" i="15"/>
  <c r="C76" i="16"/>
  <c r="C76" i="19"/>
  <c r="C76" i="21"/>
  <c r="C158" i="1"/>
  <c r="C157" i="1"/>
  <c r="C156" i="1"/>
  <c r="C155" i="1"/>
  <c r="A25" i="4"/>
  <c r="A21" i="4"/>
  <c r="C83" i="15"/>
  <c r="C79" i="15"/>
  <c r="C138" i="1"/>
  <c r="C154" i="1"/>
  <c r="A28" i="4"/>
  <c r="A24" i="4"/>
  <c r="C80" i="15"/>
  <c r="C76" i="15"/>
  <c r="C76" i="17"/>
  <c r="C153" i="1"/>
  <c r="A27" i="4"/>
  <c r="A23" i="4"/>
  <c r="C81" i="15"/>
  <c r="C77" i="15"/>
  <c r="C54" i="18"/>
  <c r="C76" i="18"/>
  <c r="C160" i="1"/>
  <c r="C159" i="1"/>
  <c r="A26" i="4"/>
  <c r="C114" i="1"/>
  <c r="C112" i="1"/>
  <c r="C110" i="1"/>
  <c r="C135" i="1"/>
  <c r="C133" i="1"/>
  <c r="C131" i="1"/>
  <c r="C137" i="1"/>
  <c r="C132" i="1"/>
  <c r="C152" i="1"/>
  <c r="C115" i="1"/>
  <c r="C113" i="1"/>
  <c r="C111" i="1"/>
  <c r="C109" i="1"/>
  <c r="C40" i="1"/>
  <c r="C108" i="1"/>
  <c r="C45" i="1"/>
  <c r="C43" i="1"/>
  <c r="C41" i="1"/>
  <c r="C39" i="1"/>
  <c r="C44" i="1"/>
  <c r="C94" i="1"/>
  <c r="C92" i="1"/>
  <c r="C90" i="1"/>
  <c r="C88" i="1"/>
  <c r="C91" i="1"/>
  <c r="C87" i="1"/>
  <c r="C37" i="1"/>
  <c r="C86" i="1"/>
  <c r="C78" i="18"/>
  <c r="C77" i="17"/>
  <c r="B83" i="20"/>
  <c r="B83" i="15"/>
  <c r="B80" i="17"/>
  <c r="C79" i="19"/>
  <c r="B80" i="18"/>
  <c r="B82" i="19"/>
  <c r="C77" i="21"/>
  <c r="C83" i="19"/>
  <c r="B79" i="19"/>
  <c r="C80" i="20"/>
  <c r="B76" i="20"/>
  <c r="C80" i="21"/>
  <c r="B76" i="21"/>
  <c r="B78" i="15"/>
  <c r="C81" i="21"/>
  <c r="B57" i="17"/>
  <c r="B57" i="20"/>
  <c r="B79" i="20"/>
  <c r="B82" i="15"/>
  <c r="B79" i="15"/>
  <c r="C81" i="17"/>
  <c r="B76" i="17"/>
  <c r="C82" i="18"/>
  <c r="B76" i="18"/>
  <c r="B83" i="19"/>
  <c r="B78" i="19"/>
  <c r="B80" i="20"/>
  <c r="B80" i="21"/>
  <c r="C81" i="16"/>
  <c r="B81" i="18"/>
  <c r="B77" i="18"/>
  <c r="C60" i="19"/>
  <c r="B79" i="17"/>
  <c r="C81" i="18"/>
  <c r="C77" i="18"/>
  <c r="C57" i="20"/>
  <c r="B81" i="15"/>
  <c r="B77" i="15"/>
  <c r="C82" i="16"/>
  <c r="C80" i="16"/>
  <c r="C78" i="16"/>
  <c r="C83" i="17"/>
  <c r="B82" i="17"/>
  <c r="C79" i="17"/>
  <c r="B78" i="17"/>
  <c r="B57" i="18"/>
  <c r="B83" i="18"/>
  <c r="C80" i="18"/>
  <c r="B79" i="18"/>
  <c r="C82" i="19"/>
  <c r="B81" i="19"/>
  <c r="C78" i="19"/>
  <c r="B77" i="19"/>
  <c r="C61" i="20"/>
  <c r="C83" i="20"/>
  <c r="B82" i="20"/>
  <c r="C79" i="20"/>
  <c r="B78" i="20"/>
  <c r="C83" i="21"/>
  <c r="B82" i="21"/>
  <c r="C79" i="21"/>
  <c r="B78" i="21"/>
  <c r="C83" i="16"/>
  <c r="C79" i="16"/>
  <c r="C77" i="16"/>
  <c r="C80" i="19"/>
  <c r="C81" i="20"/>
  <c r="C77" i="20"/>
  <c r="B82" i="16"/>
  <c r="B80" i="16"/>
  <c r="B78" i="16"/>
  <c r="B76" i="16"/>
  <c r="B83" i="17"/>
  <c r="C80" i="17"/>
  <c r="B83" i="21"/>
  <c r="B79" i="21"/>
  <c r="B55" i="15"/>
  <c r="B80" i="15"/>
  <c r="B76" i="15"/>
  <c r="B83" i="16"/>
  <c r="B81" i="16"/>
  <c r="B79" i="16"/>
  <c r="B77" i="16"/>
  <c r="C82" i="17"/>
  <c r="B81" i="17"/>
  <c r="C78" i="17"/>
  <c r="B77" i="17"/>
  <c r="C83" i="18"/>
  <c r="B82" i="18"/>
  <c r="C79" i="18"/>
  <c r="B78" i="18"/>
  <c r="B56" i="19"/>
  <c r="C81" i="19"/>
  <c r="B80" i="19"/>
  <c r="C77" i="19"/>
  <c r="B76" i="19"/>
  <c r="C82" i="20"/>
  <c r="B81" i="20"/>
  <c r="C78" i="20"/>
  <c r="B77" i="20"/>
  <c r="C82" i="21"/>
  <c r="B81" i="21"/>
  <c r="C78" i="21"/>
  <c r="B77" i="21"/>
  <c r="C54" i="21"/>
  <c r="B55" i="21"/>
  <c r="B35" i="21"/>
  <c r="C60" i="21"/>
  <c r="C56" i="21"/>
  <c r="C58" i="21"/>
  <c r="B59" i="21"/>
  <c r="B61" i="21"/>
  <c r="C61" i="21"/>
  <c r="C59" i="21"/>
  <c r="C57" i="21"/>
  <c r="C55" i="21"/>
  <c r="B60" i="21"/>
  <c r="B58" i="21"/>
  <c r="B56" i="21"/>
  <c r="B54" i="21"/>
  <c r="B61" i="20"/>
  <c r="B56" i="20"/>
  <c r="B60" i="20"/>
  <c r="C58" i="20"/>
  <c r="C54" i="20"/>
  <c r="C60" i="20"/>
  <c r="B59" i="20"/>
  <c r="C56" i="20"/>
  <c r="B55" i="20"/>
  <c r="C59" i="20"/>
  <c r="B58" i="20"/>
  <c r="C55" i="20"/>
  <c r="B54" i="20"/>
  <c r="B60" i="19"/>
  <c r="B55" i="19"/>
  <c r="C56" i="19"/>
  <c r="B59" i="19"/>
  <c r="B61" i="19"/>
  <c r="C58" i="19"/>
  <c r="B57" i="19"/>
  <c r="C54" i="19"/>
  <c r="C61" i="19"/>
  <c r="C57" i="19"/>
  <c r="C59" i="19"/>
  <c r="B58" i="19"/>
  <c r="C55" i="19"/>
  <c r="B54" i="19"/>
  <c r="C58" i="18"/>
  <c r="B61" i="18"/>
  <c r="B60" i="18"/>
  <c r="C60" i="18"/>
  <c r="B59" i="18"/>
  <c r="C56" i="18"/>
  <c r="B55" i="18"/>
  <c r="C61" i="18"/>
  <c r="C57" i="18"/>
  <c r="B56" i="18"/>
  <c r="C59" i="18"/>
  <c r="B58" i="18"/>
  <c r="C55" i="18"/>
  <c r="B54" i="18"/>
  <c r="C55" i="17"/>
  <c r="C59" i="17"/>
  <c r="B61" i="17"/>
  <c r="C61" i="17"/>
  <c r="B60" i="17"/>
  <c r="C57" i="17"/>
  <c r="B56" i="17"/>
  <c r="B58" i="17"/>
  <c r="B54" i="17"/>
  <c r="C58" i="17"/>
  <c r="C54" i="17"/>
  <c r="C60" i="17"/>
  <c r="B59" i="17"/>
  <c r="C56" i="17"/>
  <c r="B55" i="17"/>
  <c r="B59" i="16"/>
  <c r="C61" i="16"/>
  <c r="C60" i="16"/>
  <c r="C58" i="16"/>
  <c r="C56" i="16"/>
  <c r="C54" i="16"/>
  <c r="B61" i="16"/>
  <c r="B57" i="16"/>
  <c r="B55" i="16"/>
  <c r="C59" i="16"/>
  <c r="C57" i="16"/>
  <c r="C55" i="16"/>
  <c r="B60" i="16"/>
  <c r="B58" i="16"/>
  <c r="B56" i="16"/>
  <c r="B54" i="16"/>
  <c r="C57" i="15"/>
  <c r="B59" i="15"/>
  <c r="C61" i="15"/>
  <c r="B60" i="15"/>
  <c r="B56" i="15"/>
  <c r="C38" i="15"/>
  <c r="B61" i="15"/>
  <c r="C58" i="15"/>
  <c r="B57" i="15"/>
  <c r="C54" i="15"/>
  <c r="C56" i="15"/>
  <c r="C59" i="15"/>
  <c r="B58" i="15"/>
  <c r="C55" i="15"/>
  <c r="B54" i="15"/>
  <c r="B9" i="22"/>
  <c r="B53" i="22" s="1"/>
  <c r="B10" i="22"/>
  <c r="B54" i="22" s="1"/>
  <c r="B11" i="22"/>
  <c r="B33" i="22" s="1"/>
  <c r="B12" i="22"/>
  <c r="B34" i="22" s="1"/>
  <c r="B13" i="22"/>
  <c r="B57" i="22" s="1"/>
  <c r="B14" i="22"/>
  <c r="B58" i="22" s="1"/>
  <c r="B15" i="22"/>
  <c r="B37" i="22" s="1"/>
  <c r="B16" i="22"/>
  <c r="B38" i="22" s="1"/>
  <c r="B17" i="22"/>
  <c r="B61" i="22" s="1"/>
  <c r="B8" i="22"/>
  <c r="B208" i="22" s="1"/>
  <c r="C10" i="22"/>
  <c r="C54" i="22" s="1"/>
  <c r="C11" i="22"/>
  <c r="C33" i="22" s="1"/>
  <c r="C12" i="22"/>
  <c r="C34" i="22" s="1"/>
  <c r="C13" i="22"/>
  <c r="C35" i="22" s="1"/>
  <c r="C14" i="22"/>
  <c r="C36" i="22" s="1"/>
  <c r="C15" i="22"/>
  <c r="C37" i="22" s="1"/>
  <c r="C16" i="22"/>
  <c r="C38" i="22" s="1"/>
  <c r="C17" i="22"/>
  <c r="C39" i="22" s="1"/>
  <c r="C9" i="22"/>
  <c r="C53" i="22" s="1"/>
  <c r="C8" i="22"/>
  <c r="C208" i="22" s="1"/>
  <c r="B17" i="50"/>
  <c r="D17" i="50" s="1"/>
  <c r="B18" i="50"/>
  <c r="D18" i="50" s="1"/>
  <c r="B19" i="50"/>
  <c r="D19" i="50" s="1"/>
  <c r="B20" i="50"/>
  <c r="D20" i="50" s="1"/>
  <c r="B21" i="50"/>
  <c r="D21" i="50" s="1"/>
  <c r="B16" i="50"/>
  <c r="B15" i="50"/>
  <c r="B14" i="50"/>
  <c r="B13" i="50"/>
  <c r="B12" i="50"/>
  <c r="C409" i="22" l="1"/>
  <c r="C411" i="22"/>
  <c r="C477" i="22" s="1"/>
  <c r="C415" i="22"/>
  <c r="C481" i="22" s="1"/>
  <c r="B409" i="22"/>
  <c r="B411" i="22"/>
  <c r="B477" i="22" s="1"/>
  <c r="B413" i="22"/>
  <c r="B479" i="22" s="1"/>
  <c r="B415" i="22"/>
  <c r="B481" i="22" s="1"/>
  <c r="B417" i="22"/>
  <c r="B483" i="22" s="1"/>
  <c r="C413" i="22"/>
  <c r="C479" i="22" s="1"/>
  <c r="C408" i="22"/>
  <c r="C410" i="22"/>
  <c r="C476" i="22" s="1"/>
  <c r="C412" i="22"/>
  <c r="C478" i="22" s="1"/>
  <c r="C414" i="22"/>
  <c r="C480" i="22" s="1"/>
  <c r="C416" i="22"/>
  <c r="C482" i="22" s="1"/>
  <c r="C417" i="22"/>
  <c r="C483" i="22" s="1"/>
  <c r="B408" i="22"/>
  <c r="B410" i="22"/>
  <c r="B476" i="22" s="1"/>
  <c r="B412" i="22"/>
  <c r="B478" i="22" s="1"/>
  <c r="B414" i="22"/>
  <c r="B480" i="22" s="1"/>
  <c r="B416" i="22"/>
  <c r="B482" i="22" s="1"/>
  <c r="C310" i="22"/>
  <c r="C376" i="22" s="1"/>
  <c r="C308" i="22"/>
  <c r="C314" i="22"/>
  <c r="C380" i="22" s="1"/>
  <c r="B309" i="22"/>
  <c r="B311" i="22"/>
  <c r="B377" i="22" s="1"/>
  <c r="B313" i="22"/>
  <c r="B379" i="22" s="1"/>
  <c r="B315" i="22"/>
  <c r="B381" i="22" s="1"/>
  <c r="B317" i="22"/>
  <c r="B383" i="22" s="1"/>
  <c r="B308" i="22"/>
  <c r="B310" i="22"/>
  <c r="B376" i="22" s="1"/>
  <c r="B312" i="22"/>
  <c r="B378" i="22" s="1"/>
  <c r="B314" i="22"/>
  <c r="B380" i="22" s="1"/>
  <c r="B316" i="22"/>
  <c r="B382" i="22" s="1"/>
  <c r="C312" i="22"/>
  <c r="C378" i="22" s="1"/>
  <c r="C316" i="22"/>
  <c r="C382" i="22" s="1"/>
  <c r="C309" i="22"/>
  <c r="C311" i="22"/>
  <c r="C377" i="22" s="1"/>
  <c r="C313" i="22"/>
  <c r="C379" i="22" s="1"/>
  <c r="C315" i="22"/>
  <c r="C381" i="22" s="1"/>
  <c r="C317" i="22"/>
  <c r="C383" i="22" s="1"/>
  <c r="C214" i="22"/>
  <c r="C280" i="22" s="1"/>
  <c r="B210" i="22"/>
  <c r="B276" i="22" s="1"/>
  <c r="C210" i="22"/>
  <c r="C276" i="22" s="1"/>
  <c r="B214" i="22"/>
  <c r="B280" i="22" s="1"/>
  <c r="B209" i="22"/>
  <c r="B211" i="22"/>
  <c r="B277" i="22" s="1"/>
  <c r="B213" i="22"/>
  <c r="B279" i="22" s="1"/>
  <c r="B215" i="22"/>
  <c r="B281" i="22" s="1"/>
  <c r="B217" i="22"/>
  <c r="B283" i="22" s="1"/>
  <c r="C212" i="22"/>
  <c r="C278" i="22" s="1"/>
  <c r="C216" i="22"/>
  <c r="C282" i="22" s="1"/>
  <c r="B212" i="22"/>
  <c r="B278" i="22" s="1"/>
  <c r="B216" i="22"/>
  <c r="B282" i="22" s="1"/>
  <c r="C209" i="22"/>
  <c r="C211" i="22"/>
  <c r="C277" i="22" s="1"/>
  <c r="C213" i="22"/>
  <c r="C279" i="22" s="1"/>
  <c r="C215" i="22"/>
  <c r="C281" i="22" s="1"/>
  <c r="C217" i="22"/>
  <c r="C283" i="22" s="1"/>
  <c r="C112" i="22"/>
  <c r="C178" i="22" s="1"/>
  <c r="C117" i="22"/>
  <c r="C183" i="22" s="1"/>
  <c r="C113" i="22"/>
  <c r="C179" i="22" s="1"/>
  <c r="C116" i="22"/>
  <c r="C182" i="22" s="1"/>
  <c r="C111" i="22"/>
  <c r="C177" i="22" s="1"/>
  <c r="C115" i="22"/>
  <c r="C181" i="22" s="1"/>
  <c r="B76" i="22"/>
  <c r="C114" i="22"/>
  <c r="C180" i="22" s="1"/>
  <c r="B78" i="22"/>
  <c r="B116" i="22"/>
  <c r="B182" i="22" s="1"/>
  <c r="B113" i="22"/>
  <c r="B179" i="22" s="1"/>
  <c r="B117" i="22"/>
  <c r="B183" i="22" s="1"/>
  <c r="B82" i="22"/>
  <c r="B111" i="22"/>
  <c r="B177" i="22" s="1"/>
  <c r="B115" i="22"/>
  <c r="B181" i="22" s="1"/>
  <c r="B112" i="22"/>
  <c r="B178" i="22" s="1"/>
  <c r="B114" i="22"/>
  <c r="B180" i="22" s="1"/>
  <c r="B60" i="22"/>
  <c r="B80" i="22"/>
  <c r="C76" i="22"/>
  <c r="C82" i="22"/>
  <c r="C80" i="22"/>
  <c r="C78" i="22"/>
  <c r="B83" i="22"/>
  <c r="B81" i="22"/>
  <c r="B79" i="22"/>
  <c r="B77" i="22"/>
  <c r="C83" i="22"/>
  <c r="C81" i="22"/>
  <c r="C79" i="22"/>
  <c r="C77" i="22"/>
  <c r="C61" i="22"/>
  <c r="B56" i="22"/>
  <c r="C59" i="22"/>
  <c r="C55" i="22"/>
  <c r="C57" i="22"/>
  <c r="C60" i="22"/>
  <c r="C58" i="22"/>
  <c r="C56" i="22"/>
  <c r="B59" i="22"/>
  <c r="B55" i="22"/>
  <c r="B36" i="22"/>
  <c r="B39" i="22"/>
  <c r="B35" i="22"/>
  <c r="B434" i="22" l="1"/>
  <c r="B456" i="22"/>
  <c r="C432" i="22"/>
  <c r="C454" i="22"/>
  <c r="C435" i="22"/>
  <c r="C457" i="22"/>
  <c r="B435" i="22"/>
  <c r="B457" i="22"/>
  <c r="B436" i="22"/>
  <c r="B458" i="22"/>
  <c r="C439" i="22"/>
  <c r="C461" i="22"/>
  <c r="C434" i="22"/>
  <c r="C456" i="22"/>
  <c r="B437" i="22"/>
  <c r="B459" i="22"/>
  <c r="C437" i="22"/>
  <c r="C459" i="22"/>
  <c r="B438" i="22"/>
  <c r="B460" i="22"/>
  <c r="C436" i="22"/>
  <c r="C458" i="22"/>
  <c r="B439" i="22"/>
  <c r="B461" i="22"/>
  <c r="B432" i="22"/>
  <c r="B454" i="22"/>
  <c r="C438" i="22"/>
  <c r="C460" i="22"/>
  <c r="B433" i="22"/>
  <c r="B455" i="22"/>
  <c r="C433" i="22"/>
  <c r="C455" i="22"/>
  <c r="B338" i="22"/>
  <c r="B360" i="22"/>
  <c r="C332" i="22"/>
  <c r="C354" i="22"/>
  <c r="B332" i="22"/>
  <c r="B354" i="22"/>
  <c r="B337" i="22"/>
  <c r="B359" i="22"/>
  <c r="C335" i="22"/>
  <c r="C357" i="22"/>
  <c r="C334" i="22"/>
  <c r="C356" i="22"/>
  <c r="B334" i="22"/>
  <c r="B356" i="22"/>
  <c r="B339" i="22"/>
  <c r="B361" i="22"/>
  <c r="C339" i="22"/>
  <c r="C361" i="22"/>
  <c r="B335" i="22"/>
  <c r="B357" i="22"/>
  <c r="C333" i="22"/>
  <c r="C355" i="22"/>
  <c r="C337" i="22"/>
  <c r="C359" i="22"/>
  <c r="C338" i="22"/>
  <c r="C360" i="22"/>
  <c r="B336" i="22"/>
  <c r="B358" i="22"/>
  <c r="B333" i="22"/>
  <c r="B355" i="22"/>
  <c r="C336" i="22"/>
  <c r="C358" i="22"/>
  <c r="B239" i="22"/>
  <c r="B261" i="22"/>
  <c r="B236" i="22"/>
  <c r="B258" i="22"/>
  <c r="C236" i="22"/>
  <c r="C258" i="22"/>
  <c r="C233" i="22"/>
  <c r="C255" i="22"/>
  <c r="B233" i="22"/>
  <c r="B255" i="22"/>
  <c r="C235" i="22"/>
  <c r="C257" i="22"/>
  <c r="B238" i="22"/>
  <c r="B260" i="22"/>
  <c r="C234" i="22"/>
  <c r="C256" i="22"/>
  <c r="B235" i="22"/>
  <c r="B257" i="22"/>
  <c r="C239" i="22"/>
  <c r="C261" i="22"/>
  <c r="B234" i="22"/>
  <c r="B256" i="22"/>
  <c r="C232" i="22"/>
  <c r="C254" i="22"/>
  <c r="C237" i="22"/>
  <c r="C259" i="22"/>
  <c r="C238" i="22"/>
  <c r="C260" i="22"/>
  <c r="B237" i="22"/>
  <c r="B259" i="22"/>
  <c r="B232" i="22"/>
  <c r="B254" i="22"/>
  <c r="B136" i="22"/>
  <c r="B158" i="22"/>
  <c r="C136" i="22"/>
  <c r="C158" i="22"/>
  <c r="C133" i="22"/>
  <c r="C155" i="22"/>
  <c r="C139" i="22"/>
  <c r="C161" i="22"/>
  <c r="B137" i="22"/>
  <c r="B159" i="22"/>
  <c r="B138" i="22"/>
  <c r="B160" i="22"/>
  <c r="C138" i="22"/>
  <c r="C160" i="22"/>
  <c r="B134" i="22"/>
  <c r="B156" i="22"/>
  <c r="B135" i="22"/>
  <c r="B157" i="22"/>
  <c r="C137" i="22"/>
  <c r="C159" i="22"/>
  <c r="C135" i="22"/>
  <c r="C157" i="22"/>
  <c r="B133" i="22"/>
  <c r="B155" i="22"/>
  <c r="B139" i="22"/>
  <c r="B161" i="22"/>
  <c r="C134" i="22"/>
  <c r="C156" i="22"/>
  <c r="E16" i="46" l="1"/>
  <c r="K6" i="48" l="1"/>
  <c r="B16" i="46"/>
  <c r="K7" i="48" s="1"/>
  <c r="L10" i="48" s="1"/>
  <c r="B16" i="47" l="1"/>
  <c r="I29" i="49"/>
  <c r="G29" i="49"/>
  <c r="I26" i="49"/>
  <c r="G26" i="49"/>
  <c r="I23" i="49"/>
  <c r="G23" i="49"/>
  <c r="I20" i="49"/>
  <c r="G20" i="49"/>
  <c r="I17" i="49"/>
  <c r="G17" i="49"/>
  <c r="I14" i="49"/>
  <c r="G14" i="49"/>
  <c r="I11" i="49"/>
  <c r="G11" i="49"/>
  <c r="I29" i="40"/>
  <c r="G29" i="40"/>
  <c r="I26" i="40"/>
  <c r="G26" i="40"/>
  <c r="I23" i="40"/>
  <c r="G23" i="40"/>
  <c r="I20" i="40"/>
  <c r="G20" i="40"/>
  <c r="I17" i="40"/>
  <c r="G17" i="40"/>
  <c r="I14" i="40"/>
  <c r="G14" i="40"/>
  <c r="I11" i="40"/>
  <c r="G11" i="40"/>
  <c r="I73" i="37"/>
  <c r="G73" i="37"/>
  <c r="I70" i="37"/>
  <c r="G70" i="37"/>
  <c r="I67" i="37"/>
  <c r="G67" i="37"/>
  <c r="I64" i="37"/>
  <c r="G64" i="37"/>
  <c r="I61" i="37"/>
  <c r="G61" i="37"/>
  <c r="I58" i="37"/>
  <c r="G58" i="37"/>
  <c r="I55" i="37"/>
  <c r="G55" i="37"/>
  <c r="I51" i="37"/>
  <c r="G51" i="37"/>
  <c r="I48" i="37"/>
  <c r="G48" i="37"/>
  <c r="I45" i="37"/>
  <c r="G45" i="37"/>
  <c r="I42" i="37"/>
  <c r="G42" i="37"/>
  <c r="I39" i="37"/>
  <c r="G39" i="37"/>
  <c r="I36" i="37"/>
  <c r="G36" i="37"/>
  <c r="I33" i="37"/>
  <c r="G33" i="37"/>
  <c r="I29" i="37"/>
  <c r="G29" i="37"/>
  <c r="I26" i="37"/>
  <c r="G26" i="37"/>
  <c r="I23" i="37"/>
  <c r="G23" i="37"/>
  <c r="I20" i="37"/>
  <c r="G20" i="37"/>
  <c r="I17" i="37"/>
  <c r="G17" i="37"/>
  <c r="I14" i="37"/>
  <c r="G14" i="37"/>
  <c r="I11" i="37"/>
  <c r="G11" i="37"/>
  <c r="C4" i="22"/>
  <c r="E2" i="21"/>
  <c r="E2" i="20"/>
  <c r="E2" i="19"/>
  <c r="E2" i="18"/>
  <c r="E2" i="17"/>
  <c r="E2" i="16"/>
  <c r="E2" i="15"/>
  <c r="I30" i="40"/>
  <c r="D30" i="40"/>
  <c r="C30" i="40"/>
  <c r="B30" i="40"/>
  <c r="GP50" i="3" s="1"/>
  <c r="F277" i="8"/>
  <c r="J30" i="40" l="1"/>
  <c r="E30" i="40"/>
  <c r="K30" i="40" s="1"/>
  <c r="M30" i="40"/>
  <c r="GO56" i="3" l="1"/>
  <c r="GO52" i="3" s="1"/>
  <c r="I36" i="25" s="1"/>
  <c r="GN56" i="3"/>
  <c r="GN52" i="3" s="1"/>
  <c r="GO50" i="3"/>
  <c r="GN50" i="3"/>
  <c r="C404" i="22" l="1"/>
  <c r="C304" i="22"/>
  <c r="C204" i="22"/>
  <c r="C104" i="22"/>
  <c r="E147" i="37" l="1"/>
  <c r="B112" i="13"/>
  <c r="B111" i="13"/>
  <c r="B96" i="13"/>
  <c r="B95" i="13"/>
  <c r="B80" i="13"/>
  <c r="B79" i="13"/>
  <c r="B64" i="13"/>
  <c r="B63" i="13"/>
  <c r="B48" i="13"/>
  <c r="B47" i="13"/>
  <c r="B32" i="13"/>
  <c r="B31" i="13"/>
  <c r="B16" i="13"/>
  <c r="B15" i="13"/>
  <c r="B111" i="12"/>
  <c r="B112" i="12" s="1"/>
  <c r="B96" i="12"/>
  <c r="B95" i="12"/>
  <c r="B80" i="12"/>
  <c r="B79" i="12"/>
  <c r="B64" i="12"/>
  <c r="B63" i="12"/>
  <c r="B48" i="12"/>
  <c r="B47" i="12"/>
  <c r="B32" i="12"/>
  <c r="B31" i="12"/>
  <c r="B16" i="12"/>
  <c r="B15" i="12"/>
  <c r="B112" i="11"/>
  <c r="B111" i="11"/>
  <c r="B96" i="11"/>
  <c r="B95" i="11"/>
  <c r="B80" i="11"/>
  <c r="B79" i="11"/>
  <c r="B64" i="11"/>
  <c r="B63" i="11"/>
  <c r="B48" i="11"/>
  <c r="B47" i="11"/>
  <c r="B32" i="11"/>
  <c r="B31" i="11"/>
  <c r="B16" i="11"/>
  <c r="B15" i="11"/>
  <c r="A104" i="9"/>
  <c r="A145" i="14" s="1"/>
  <c r="A88" i="9"/>
  <c r="A88" i="13" s="1"/>
  <c r="A72" i="9"/>
  <c r="A99" i="14" s="1"/>
  <c r="A56" i="9"/>
  <c r="A56" i="13" s="1"/>
  <c r="A40" i="9"/>
  <c r="A53" i="14" s="1"/>
  <c r="A24" i="9"/>
  <c r="A24" i="13" s="1"/>
  <c r="A8" i="9"/>
  <c r="A6" i="14" s="1"/>
  <c r="P56" i="3"/>
  <c r="O56" i="3"/>
  <c r="O52" i="3" s="1"/>
  <c r="H356" i="8"/>
  <c r="H357" i="8"/>
  <c r="H355" i="8"/>
  <c r="H334" i="8"/>
  <c r="H354" i="8"/>
  <c r="H336" i="8"/>
  <c r="F336" i="8"/>
  <c r="H335" i="8"/>
  <c r="H333" i="8"/>
  <c r="H332" i="8"/>
  <c r="H331" i="8"/>
  <c r="H330" i="8"/>
  <c r="H329" i="8"/>
  <c r="H323" i="8"/>
  <c r="H322" i="8"/>
  <c r="H321" i="8"/>
  <c r="H320" i="8"/>
  <c r="H325" i="8"/>
  <c r="H324" i="8"/>
  <c r="H307" i="8"/>
  <c r="H306" i="8"/>
  <c r="H303" i="8"/>
  <c r="F303" i="8"/>
  <c r="H302" i="8"/>
  <c r="F302" i="8"/>
  <c r="H300" i="8"/>
  <c r="H298" i="8"/>
  <c r="H304" i="8"/>
  <c r="H299" i="8"/>
  <c r="H297" i="8"/>
  <c r="H296" i="8"/>
  <c r="F296" i="8"/>
  <c r="H295" i="8"/>
  <c r="H294" i="8"/>
  <c r="H293" i="8"/>
  <c r="H292" i="8"/>
  <c r="H290" i="8"/>
  <c r="H289" i="8"/>
  <c r="H288" i="8"/>
  <c r="H286" i="8"/>
  <c r="H285" i="8"/>
  <c r="H284" i="8"/>
  <c r="F284" i="8"/>
  <c r="H251" i="8"/>
  <c r="H250" i="8"/>
  <c r="H248" i="8"/>
  <c r="H247" i="8"/>
  <c r="H246" i="8"/>
  <c r="H241" i="8"/>
  <c r="H242" i="8"/>
  <c r="F242" i="8"/>
  <c r="H240" i="8"/>
  <c r="H230" i="8"/>
  <c r="H229" i="8"/>
  <c r="H228" i="8"/>
  <c r="F228" i="8"/>
  <c r="H227" i="8"/>
  <c r="F227" i="8"/>
  <c r="H226" i="8"/>
  <c r="F226" i="8"/>
  <c r="H225" i="8"/>
  <c r="F225" i="8"/>
  <c r="H224" i="8"/>
  <c r="F224" i="8"/>
  <c r="H223" i="8"/>
  <c r="F223" i="8"/>
  <c r="H222" i="8"/>
  <c r="F222" i="8"/>
  <c r="H221" i="8"/>
  <c r="F221" i="8"/>
  <c r="H220" i="8"/>
  <c r="F220" i="8"/>
  <c r="H219" i="8"/>
  <c r="F219" i="8"/>
  <c r="H218" i="8"/>
  <c r="F218" i="8"/>
  <c r="H217" i="8"/>
  <c r="F217" i="8"/>
  <c r="H216" i="8"/>
  <c r="F216" i="8"/>
  <c r="H215" i="8"/>
  <c r="F215" i="8"/>
  <c r="H214" i="8"/>
  <c r="F214" i="8"/>
  <c r="H213" i="8"/>
  <c r="F213" i="8"/>
  <c r="H212" i="8"/>
  <c r="F212" i="8"/>
  <c r="H211" i="8"/>
  <c r="F211" i="8"/>
  <c r="H210" i="8"/>
  <c r="F210" i="8"/>
  <c r="H209" i="8"/>
  <c r="F209" i="8"/>
  <c r="H208" i="8"/>
  <c r="F208" i="8"/>
  <c r="H207" i="8"/>
  <c r="F207" i="8"/>
  <c r="H206" i="8"/>
  <c r="F206" i="8"/>
  <c r="H205" i="8"/>
  <c r="F205" i="8"/>
  <c r="H204" i="8"/>
  <c r="F204" i="8"/>
  <c r="H203" i="8"/>
  <c r="F203" i="8"/>
  <c r="H202" i="8"/>
  <c r="F202" i="8"/>
  <c r="H201" i="8"/>
  <c r="F201" i="8"/>
  <c r="H198" i="8"/>
  <c r="F198" i="8"/>
  <c r="H197" i="8"/>
  <c r="F197" i="8"/>
  <c r="H195" i="8"/>
  <c r="F195" i="8"/>
  <c r="H194" i="8"/>
  <c r="F194" i="8"/>
  <c r="H193" i="8"/>
  <c r="F193" i="8"/>
  <c r="H192" i="8"/>
  <c r="H191" i="8"/>
  <c r="H190" i="8"/>
  <c r="H187" i="8"/>
  <c r="H186" i="8"/>
  <c r="H188" i="8"/>
  <c r="H184" i="8"/>
  <c r="H183" i="8"/>
  <c r="H182" i="8"/>
  <c r="H181" i="8"/>
  <c r="H175" i="8"/>
  <c r="H174" i="8"/>
  <c r="H173" i="8"/>
  <c r="H170" i="8"/>
  <c r="H169" i="8"/>
  <c r="H168" i="8"/>
  <c r="H165" i="8"/>
  <c r="H166" i="8"/>
  <c r="H159" i="8"/>
  <c r="H158" i="8"/>
  <c r="H157" i="8"/>
  <c r="H86" i="8"/>
  <c r="H85" i="8"/>
  <c r="H84" i="8"/>
  <c r="F84" i="8"/>
  <c r="H83" i="8"/>
  <c r="F83" i="8"/>
  <c r="H82" i="8"/>
  <c r="F82" i="8"/>
  <c r="H81" i="8"/>
  <c r="F81" i="8"/>
  <c r="H80" i="8"/>
  <c r="F80" i="8"/>
  <c r="H79" i="8"/>
  <c r="F79" i="8"/>
  <c r="H78" i="8"/>
  <c r="F78" i="8"/>
  <c r="H77" i="8"/>
  <c r="F77" i="8"/>
  <c r="H76" i="8"/>
  <c r="F76" i="8"/>
  <c r="H75" i="8"/>
  <c r="F75" i="8"/>
  <c r="H74" i="8"/>
  <c r="F74" i="8"/>
  <c r="H73" i="8"/>
  <c r="F73" i="8"/>
  <c r="H72" i="8"/>
  <c r="F72" i="8"/>
  <c r="H71" i="8"/>
  <c r="F71" i="8"/>
  <c r="H70" i="8"/>
  <c r="F70" i="8"/>
  <c r="H69" i="8"/>
  <c r="F69" i="8"/>
  <c r="H68" i="8"/>
  <c r="F68" i="8"/>
  <c r="H67" i="8"/>
  <c r="F67" i="8"/>
  <c r="H66" i="8"/>
  <c r="F66" i="8"/>
  <c r="H65" i="8"/>
  <c r="F65" i="8"/>
  <c r="H64" i="8"/>
  <c r="F64" i="8"/>
  <c r="H63" i="8"/>
  <c r="F63" i="8"/>
  <c r="H62" i="8"/>
  <c r="F62" i="8"/>
  <c r="H61" i="8"/>
  <c r="F61" i="8"/>
  <c r="H60" i="8"/>
  <c r="H59" i="8"/>
  <c r="H58" i="8"/>
  <c r="F58" i="8"/>
  <c r="H57" i="8"/>
  <c r="F57" i="8"/>
  <c r="H54" i="8"/>
  <c r="H53" i="8"/>
  <c r="H51" i="8"/>
  <c r="F51" i="8"/>
  <c r="H50" i="8"/>
  <c r="F50" i="8"/>
  <c r="H49" i="8"/>
  <c r="H48" i="8"/>
  <c r="H47" i="8"/>
  <c r="H42" i="8"/>
  <c r="H41" i="8"/>
  <c r="H35" i="8"/>
  <c r="H33" i="8"/>
  <c r="H32" i="8"/>
  <c r="H24" i="8"/>
  <c r="H26" i="8"/>
  <c r="H25" i="8"/>
  <c r="H13" i="8"/>
  <c r="H16" i="8"/>
  <c r="H14" i="8"/>
  <c r="H17" i="8"/>
  <c r="H19" i="8"/>
  <c r="H20" i="8"/>
  <c r="D1" i="1"/>
  <c r="C10" i="1"/>
  <c r="D16" i="50"/>
  <c r="D15" i="50"/>
  <c r="D14" i="50"/>
  <c r="D13" i="50"/>
  <c r="D12" i="50"/>
  <c r="B2" i="50"/>
  <c r="F1" i="8"/>
  <c r="P52" i="3" l="1"/>
  <c r="I38" i="25"/>
  <c r="C129" i="1"/>
  <c r="C151" i="1"/>
  <c r="C85" i="1"/>
  <c r="C36" i="1"/>
  <c r="C107" i="1"/>
  <c r="A56" i="10"/>
  <c r="A88" i="12"/>
  <c r="A29" i="14"/>
  <c r="A88" i="10"/>
  <c r="A24" i="12"/>
  <c r="A76" i="14"/>
  <c r="A24" i="10"/>
  <c r="A56" i="12"/>
  <c r="A122" i="14"/>
  <c r="A8" i="11"/>
  <c r="A8" i="13"/>
  <c r="A40" i="11"/>
  <c r="A40" i="13"/>
  <c r="A72" i="11"/>
  <c r="A72" i="13"/>
  <c r="A104" i="11"/>
  <c r="A104" i="13"/>
  <c r="A8" i="10"/>
  <c r="A8" i="12"/>
  <c r="A24" i="11"/>
  <c r="A40" i="10"/>
  <c r="A40" i="12"/>
  <c r="A56" i="11"/>
  <c r="A72" i="10"/>
  <c r="A72" i="12"/>
  <c r="A88" i="11"/>
  <c r="A104" i="10"/>
  <c r="A104" i="12"/>
  <c r="B3" i="21"/>
  <c r="B3" i="20"/>
  <c r="B3" i="19"/>
  <c r="B3" i="18"/>
  <c r="B3" i="17"/>
  <c r="B3" i="16"/>
  <c r="B3" i="15"/>
  <c r="G1" i="7"/>
  <c r="I105" i="37"/>
  <c r="I104" i="37"/>
  <c r="I106" i="37"/>
  <c r="E105" i="37"/>
  <c r="E104" i="37"/>
  <c r="H165" i="29"/>
  <c r="H157" i="29"/>
  <c r="A165" i="29"/>
  <c r="A157" i="29"/>
  <c r="A156" i="29"/>
  <c r="L172" i="29"/>
  <c r="L171" i="29"/>
  <c r="L170" i="29"/>
  <c r="L169" i="29"/>
  <c r="L168" i="29"/>
  <c r="L167" i="29"/>
  <c r="L166" i="29"/>
  <c r="L164" i="29"/>
  <c r="L163" i="29"/>
  <c r="L162" i="29"/>
  <c r="L161" i="29"/>
  <c r="L160" i="29"/>
  <c r="L159" i="29"/>
  <c r="L158" i="29"/>
  <c r="C106" i="37"/>
  <c r="C105" i="37"/>
  <c r="AL50" i="3" s="1"/>
  <c r="C104" i="37"/>
  <c r="AK50" i="3" s="1"/>
  <c r="B104" i="37"/>
  <c r="B105" i="37"/>
  <c r="B106" i="37"/>
  <c r="B103" i="37"/>
  <c r="A103" i="37"/>
  <c r="D188" i="8"/>
  <c r="F188" i="8" s="1"/>
  <c r="J8" i="34"/>
  <c r="N57" i="3"/>
  <c r="B105" i="13"/>
  <c r="B105" i="12"/>
  <c r="B105" i="11"/>
  <c r="B105" i="10"/>
  <c r="B89" i="13"/>
  <c r="B89" i="12"/>
  <c r="B89" i="11"/>
  <c r="B89" i="10"/>
  <c r="B73" i="13"/>
  <c r="B73" i="12"/>
  <c r="B73" i="11"/>
  <c r="B73" i="10"/>
  <c r="B57" i="13"/>
  <c r="B57" i="12"/>
  <c r="B57" i="11"/>
  <c r="B57" i="10"/>
  <c r="B41" i="13"/>
  <c r="B41" i="12"/>
  <c r="B41" i="11"/>
  <c r="B41" i="10"/>
  <c r="B25" i="13"/>
  <c r="B25" i="12"/>
  <c r="B25" i="11"/>
  <c r="B25" i="10"/>
  <c r="B9" i="13"/>
  <c r="B9" i="12"/>
  <c r="B9" i="11"/>
  <c r="B9" i="10"/>
  <c r="K104" i="37" l="1"/>
  <c r="K105" i="37"/>
  <c r="E106" i="37" s="1"/>
  <c r="K106" i="37" s="1"/>
  <c r="D106" i="37"/>
  <c r="J106" i="37" s="1"/>
  <c r="J105" i="37"/>
  <c r="J104" i="37"/>
  <c r="L157" i="29"/>
  <c r="K157" i="29" s="1"/>
  <c r="L165" i="29"/>
  <c r="K165" i="29" s="1"/>
  <c r="AZ133" i="13"/>
  <c r="AP133" i="13"/>
  <c r="AF133" i="13"/>
  <c r="V133" i="13"/>
  <c r="L133" i="13"/>
  <c r="B133" i="13"/>
  <c r="AZ133" i="12"/>
  <c r="AP133" i="12"/>
  <c r="AF133" i="12"/>
  <c r="V133" i="12"/>
  <c r="L133" i="12"/>
  <c r="B133" i="12"/>
  <c r="B136" i="11"/>
  <c r="A147" i="11" s="1"/>
  <c r="AZ133" i="11"/>
  <c r="AP133" i="11"/>
  <c r="AF133" i="11"/>
  <c r="V133" i="11"/>
  <c r="L133" i="11"/>
  <c r="B133" i="11"/>
  <c r="AZ133" i="10"/>
  <c r="AP133" i="10"/>
  <c r="AF133" i="10"/>
  <c r="V133" i="10"/>
  <c r="L133" i="10"/>
  <c r="B133" i="10"/>
  <c r="B136" i="9"/>
  <c r="A144" i="9" s="1"/>
  <c r="L136" i="9"/>
  <c r="K317" i="9" s="1"/>
  <c r="B9" i="46"/>
  <c r="E3" i="46"/>
  <c r="B9" i="47"/>
  <c r="E3" i="47"/>
  <c r="B9" i="24"/>
  <c r="E3" i="24"/>
  <c r="C4" i="14"/>
  <c r="C1" i="14"/>
  <c r="A1" i="14"/>
  <c r="A3" i="13"/>
  <c r="C1" i="13"/>
  <c r="A1" i="13"/>
  <c r="A3" i="12"/>
  <c r="C1" i="12"/>
  <c r="A1" i="12"/>
  <c r="A3" i="11"/>
  <c r="C1" i="11"/>
  <c r="A1" i="11"/>
  <c r="A3" i="10"/>
  <c r="C1" i="10"/>
  <c r="A1" i="10"/>
  <c r="A3" i="9"/>
  <c r="C1" i="9"/>
  <c r="A1" i="9"/>
  <c r="B105" i="9"/>
  <c r="BJ133" i="9" s="1"/>
  <c r="B89" i="9"/>
  <c r="AZ133" i="9" s="1"/>
  <c r="B73" i="9"/>
  <c r="AP133" i="9" s="1"/>
  <c r="B57" i="9"/>
  <c r="AF133" i="9" s="1"/>
  <c r="B41" i="9"/>
  <c r="V133" i="9" s="1"/>
  <c r="B25" i="9"/>
  <c r="L133" i="9" s="1"/>
  <c r="B9" i="9"/>
  <c r="B13" i="9" s="1"/>
  <c r="B4" i="4"/>
  <c r="B3" i="4"/>
  <c r="B8" i="3"/>
  <c r="E330" i="8" s="1"/>
  <c r="F330" i="8" s="1"/>
  <c r="B9" i="3"/>
  <c r="E331" i="8" s="1"/>
  <c r="F331" i="8" s="1"/>
  <c r="B10" i="3"/>
  <c r="E332" i="8" s="1"/>
  <c r="F332" i="8" s="1"/>
  <c r="B7" i="3"/>
  <c r="E329" i="8" s="1"/>
  <c r="F329" i="8" s="1"/>
  <c r="C13" i="3"/>
  <c r="D13" i="3" s="1"/>
  <c r="A15" i="3"/>
  <c r="S2" i="3" s="1"/>
  <c r="A18" i="3"/>
  <c r="B18" i="3" s="1"/>
  <c r="A1" i="8"/>
  <c r="B1" i="21"/>
  <c r="B1" i="20"/>
  <c r="B1" i="19"/>
  <c r="B1" i="18"/>
  <c r="B1" i="17"/>
  <c r="B1" i="16"/>
  <c r="B1" i="15"/>
  <c r="B1" i="22"/>
  <c r="B2" i="1"/>
  <c r="B25" i="7"/>
  <c r="B18" i="7"/>
  <c r="B19" i="7"/>
  <c r="B20" i="7"/>
  <c r="B21" i="7"/>
  <c r="B22" i="7"/>
  <c r="B23" i="7"/>
  <c r="B17" i="7"/>
  <c r="A18" i="7"/>
  <c r="A30" i="7" s="1"/>
  <c r="A19" i="7"/>
  <c r="A31" i="7" s="1"/>
  <c r="A20" i="7"/>
  <c r="A32" i="7" s="1"/>
  <c r="A21" i="7"/>
  <c r="A33" i="7" s="1"/>
  <c r="A22" i="7"/>
  <c r="A34" i="7" s="1"/>
  <c r="A23" i="7"/>
  <c r="A35" i="7" s="1"/>
  <c r="A17" i="7"/>
  <c r="A29" i="7" s="1"/>
  <c r="E8" i="7"/>
  <c r="F8" i="7"/>
  <c r="G8" i="7"/>
  <c r="H8" i="7"/>
  <c r="I8" i="7"/>
  <c r="E9" i="7"/>
  <c r="F9" i="7"/>
  <c r="G9" i="7"/>
  <c r="H9" i="7"/>
  <c r="I9" i="7"/>
  <c r="E10" i="7"/>
  <c r="F10" i="7"/>
  <c r="G10" i="7"/>
  <c r="H10" i="7"/>
  <c r="I10" i="7"/>
  <c r="E11" i="7"/>
  <c r="F11" i="7"/>
  <c r="G11" i="7"/>
  <c r="H11" i="7"/>
  <c r="I11" i="7"/>
  <c r="E12" i="7"/>
  <c r="F12" i="7"/>
  <c r="G12" i="7"/>
  <c r="H12" i="7"/>
  <c r="I12" i="7"/>
  <c r="E13" i="7"/>
  <c r="F13" i="7"/>
  <c r="G13" i="7"/>
  <c r="H13" i="7"/>
  <c r="I13" i="7"/>
  <c r="F7" i="7"/>
  <c r="G7" i="7"/>
  <c r="H7" i="7"/>
  <c r="I7" i="7"/>
  <c r="E7" i="7"/>
  <c r="C8" i="7"/>
  <c r="C9" i="7"/>
  <c r="C10" i="7"/>
  <c r="C11" i="7"/>
  <c r="C12" i="7"/>
  <c r="C13" i="7"/>
  <c r="C7" i="7"/>
  <c r="G6" i="15" s="1"/>
  <c r="B8" i="7"/>
  <c r="B9" i="7"/>
  <c r="B10" i="7"/>
  <c r="B11" i="7"/>
  <c r="B12" i="7"/>
  <c r="B13" i="7"/>
  <c r="B7" i="7"/>
  <c r="A8" i="7"/>
  <c r="A9" i="7"/>
  <c r="A10" i="7"/>
  <c r="A11" i="7"/>
  <c r="A12" i="7"/>
  <c r="A13" i="7"/>
  <c r="A7" i="7"/>
  <c r="C3" i="7"/>
  <c r="D1" i="7"/>
  <c r="L436" i="29"/>
  <c r="L437" i="29"/>
  <c r="L438" i="29"/>
  <c r="L439" i="29"/>
  <c r="L440" i="29"/>
  <c r="L441" i="29"/>
  <c r="L435" i="29"/>
  <c r="E25" i="41"/>
  <c r="E23" i="41"/>
  <c r="E59" i="40"/>
  <c r="E11" i="42"/>
  <c r="E9" i="42"/>
  <c r="H434" i="29"/>
  <c r="A434" i="29"/>
  <c r="L428" i="29"/>
  <c r="L429" i="29"/>
  <c r="L430" i="29"/>
  <c r="L431" i="29"/>
  <c r="L432" i="29"/>
  <c r="L433" i="29"/>
  <c r="L427" i="29"/>
  <c r="H426" i="29"/>
  <c r="A426" i="29"/>
  <c r="A425" i="29"/>
  <c r="A424" i="29"/>
  <c r="H370" i="29"/>
  <c r="A370" i="29"/>
  <c r="L377" i="29"/>
  <c r="L376" i="29"/>
  <c r="L375" i="29"/>
  <c r="L374" i="29"/>
  <c r="L373" i="29"/>
  <c r="L372" i="29"/>
  <c r="L371" i="29"/>
  <c r="L369" i="29"/>
  <c r="L368" i="29"/>
  <c r="L367" i="29"/>
  <c r="L366" i="29"/>
  <c r="L365" i="29"/>
  <c r="L364" i="29"/>
  <c r="L363" i="29"/>
  <c r="H362" i="29"/>
  <c r="A362" i="29"/>
  <c r="A361" i="29"/>
  <c r="L355" i="29"/>
  <c r="L356" i="29"/>
  <c r="L357" i="29"/>
  <c r="L358" i="29"/>
  <c r="L359" i="29"/>
  <c r="L360" i="29"/>
  <c r="L354" i="29"/>
  <c r="H353" i="29"/>
  <c r="A353" i="29"/>
  <c r="A352" i="29"/>
  <c r="A351" i="29"/>
  <c r="H314" i="29"/>
  <c r="H305" i="29"/>
  <c r="A314" i="29"/>
  <c r="A313" i="29"/>
  <c r="A305" i="29"/>
  <c r="A304" i="29"/>
  <c r="L338" i="29"/>
  <c r="L337" i="29"/>
  <c r="L336" i="29"/>
  <c r="L335" i="29"/>
  <c r="L334" i="29"/>
  <c r="L316" i="29"/>
  <c r="L315" i="29"/>
  <c r="L312" i="29"/>
  <c r="L311" i="29"/>
  <c r="L310" i="29"/>
  <c r="L309" i="29"/>
  <c r="L308" i="29"/>
  <c r="L307" i="29"/>
  <c r="L306" i="29"/>
  <c r="E57" i="40"/>
  <c r="H296" i="29"/>
  <c r="A296" i="29"/>
  <c r="H288" i="29"/>
  <c r="A288" i="29"/>
  <c r="E52" i="40"/>
  <c r="L303" i="29"/>
  <c r="L302" i="29"/>
  <c r="L301" i="29"/>
  <c r="L300" i="29"/>
  <c r="L299" i="29"/>
  <c r="L298" i="29"/>
  <c r="L297" i="29"/>
  <c r="L295" i="29"/>
  <c r="L294" i="29"/>
  <c r="L293" i="29"/>
  <c r="L292" i="29"/>
  <c r="L291" i="29"/>
  <c r="L290" i="29"/>
  <c r="L289" i="29"/>
  <c r="E50" i="40"/>
  <c r="H280" i="29"/>
  <c r="A280" i="29"/>
  <c r="H272" i="29"/>
  <c r="A272" i="29"/>
  <c r="A271" i="29"/>
  <c r="L287" i="29"/>
  <c r="L286" i="29"/>
  <c r="L285" i="29"/>
  <c r="L284" i="29"/>
  <c r="L283" i="29"/>
  <c r="L282" i="29"/>
  <c r="L281" i="29"/>
  <c r="L279" i="29"/>
  <c r="L278" i="29"/>
  <c r="L277" i="29"/>
  <c r="L276" i="29"/>
  <c r="L275" i="29"/>
  <c r="L274" i="29"/>
  <c r="L273" i="29"/>
  <c r="E47" i="40"/>
  <c r="E45" i="40"/>
  <c r="E41" i="40"/>
  <c r="H254" i="29"/>
  <c r="H263" i="29"/>
  <c r="A263" i="29"/>
  <c r="A262" i="29"/>
  <c r="L270" i="29"/>
  <c r="L269" i="29"/>
  <c r="L268" i="29"/>
  <c r="L267" i="29"/>
  <c r="L266" i="29"/>
  <c r="L265" i="29"/>
  <c r="L264" i="29"/>
  <c r="E38" i="40"/>
  <c r="A254" i="29"/>
  <c r="A253" i="29"/>
  <c r="A234" i="29"/>
  <c r="L261" i="29"/>
  <c r="L260" i="29"/>
  <c r="L259" i="29"/>
  <c r="L258" i="29"/>
  <c r="L257" i="29"/>
  <c r="L256" i="29"/>
  <c r="L255" i="29"/>
  <c r="E10" i="39"/>
  <c r="L216" i="29"/>
  <c r="L217" i="29"/>
  <c r="L218" i="29"/>
  <c r="L219" i="29"/>
  <c r="L220" i="29"/>
  <c r="L221" i="29"/>
  <c r="L215" i="29"/>
  <c r="H214" i="29"/>
  <c r="A214" i="29"/>
  <c r="A213" i="29"/>
  <c r="A212" i="29"/>
  <c r="H183" i="29"/>
  <c r="A183" i="29"/>
  <c r="A182" i="29"/>
  <c r="L190" i="29"/>
  <c r="L189" i="29"/>
  <c r="L188" i="29"/>
  <c r="L187" i="29"/>
  <c r="L186" i="29"/>
  <c r="L185" i="29"/>
  <c r="L184" i="29"/>
  <c r="E109" i="37"/>
  <c r="H174" i="29"/>
  <c r="A174" i="29"/>
  <c r="A173" i="29"/>
  <c r="L181" i="29"/>
  <c r="L180" i="29"/>
  <c r="L179" i="29"/>
  <c r="L178" i="29"/>
  <c r="L177" i="29"/>
  <c r="L176" i="29"/>
  <c r="L175" i="29"/>
  <c r="E100" i="37"/>
  <c r="E101" i="37"/>
  <c r="H148" i="29"/>
  <c r="H140" i="29"/>
  <c r="A148" i="29"/>
  <c r="A140" i="29"/>
  <c r="A139" i="29"/>
  <c r="L155" i="29"/>
  <c r="L154" i="29"/>
  <c r="L153" i="29"/>
  <c r="L152" i="29"/>
  <c r="L151" i="29"/>
  <c r="L150" i="29"/>
  <c r="L149" i="29"/>
  <c r="L147" i="29"/>
  <c r="L146" i="29"/>
  <c r="L145" i="29"/>
  <c r="L144" i="29"/>
  <c r="L143" i="29"/>
  <c r="L142" i="29"/>
  <c r="L141" i="29"/>
  <c r="E93" i="37"/>
  <c r="E86" i="37"/>
  <c r="E83" i="37"/>
  <c r="E70" i="36"/>
  <c r="E29" i="36"/>
  <c r="E26" i="36"/>
  <c r="E20" i="36"/>
  <c r="E24" i="36"/>
  <c r="E17" i="36"/>
  <c r="E9" i="36"/>
  <c r="H122" i="29"/>
  <c r="A122" i="29"/>
  <c r="A120" i="29"/>
  <c r="L133" i="29"/>
  <c r="L134" i="29"/>
  <c r="L135" i="29"/>
  <c r="L136" i="29"/>
  <c r="L137" i="29"/>
  <c r="L138" i="29"/>
  <c r="L123" i="29"/>
  <c r="L122" i="29" s="1"/>
  <c r="L114" i="29"/>
  <c r="L115" i="29"/>
  <c r="L116" i="29"/>
  <c r="L117" i="29"/>
  <c r="L118" i="29"/>
  <c r="L119" i="29"/>
  <c r="L113" i="29"/>
  <c r="H112" i="29"/>
  <c r="A112" i="29"/>
  <c r="A111" i="29"/>
  <c r="L105" i="29"/>
  <c r="L106" i="29"/>
  <c r="L107" i="29"/>
  <c r="L108" i="29"/>
  <c r="L109" i="29"/>
  <c r="L110" i="29"/>
  <c r="L104" i="29"/>
  <c r="H103" i="29"/>
  <c r="A101" i="29"/>
  <c r="A103" i="29"/>
  <c r="A102" i="29"/>
  <c r="I42" i="36"/>
  <c r="M42" i="36" s="1"/>
  <c r="I43" i="36"/>
  <c r="M43" i="36" s="1"/>
  <c r="I44" i="36"/>
  <c r="M44" i="36" s="1"/>
  <c r="I45" i="36"/>
  <c r="M45" i="36" s="1"/>
  <c r="I46" i="36"/>
  <c r="M46" i="36" s="1"/>
  <c r="I47" i="36"/>
  <c r="M47" i="36" s="1"/>
  <c r="I48" i="36"/>
  <c r="M48" i="36" s="1"/>
  <c r="I49" i="36"/>
  <c r="M49" i="36" s="1"/>
  <c r="I50" i="36"/>
  <c r="M50" i="36" s="1"/>
  <c r="I51" i="36"/>
  <c r="M51" i="36" s="1"/>
  <c r="I52" i="36"/>
  <c r="M52" i="36" s="1"/>
  <c r="I53" i="36"/>
  <c r="M53" i="36" s="1"/>
  <c r="I54" i="36"/>
  <c r="M54" i="36" s="1"/>
  <c r="I55" i="36"/>
  <c r="M55" i="36" s="1"/>
  <c r="I56" i="36"/>
  <c r="M56" i="36" s="1"/>
  <c r="I57" i="36"/>
  <c r="M57" i="36" s="1"/>
  <c r="I58" i="36"/>
  <c r="M58" i="36" s="1"/>
  <c r="I59" i="36"/>
  <c r="M59" i="36" s="1"/>
  <c r="I60" i="36"/>
  <c r="M60" i="36" s="1"/>
  <c r="I61" i="36"/>
  <c r="M61" i="36" s="1"/>
  <c r="I62" i="36"/>
  <c r="M62" i="36" s="1"/>
  <c r="I63" i="36"/>
  <c r="M63" i="36" s="1"/>
  <c r="I64" i="36"/>
  <c r="M64" i="36" s="1"/>
  <c r="I65" i="36"/>
  <c r="M65" i="36" s="1"/>
  <c r="I66" i="36"/>
  <c r="M66" i="36" s="1"/>
  <c r="I67" i="36"/>
  <c r="M67" i="36" s="1"/>
  <c r="I68" i="36"/>
  <c r="M68" i="36" s="1"/>
  <c r="I69" i="36"/>
  <c r="M69" i="36" s="1"/>
  <c r="D42" i="36"/>
  <c r="E42" i="36" s="1"/>
  <c r="D43" i="36"/>
  <c r="E43" i="36" s="1"/>
  <c r="K43" i="36" s="1"/>
  <c r="D46" i="36"/>
  <c r="E46" i="36" s="1"/>
  <c r="K46" i="36" s="1"/>
  <c r="D47" i="36"/>
  <c r="E47" i="36" s="1"/>
  <c r="D48" i="36"/>
  <c r="E48" i="36" s="1"/>
  <c r="D49" i="36"/>
  <c r="E49" i="36" s="1"/>
  <c r="D50" i="36"/>
  <c r="E50" i="36" s="1"/>
  <c r="D51" i="36"/>
  <c r="E51" i="36" s="1"/>
  <c r="K51" i="36" s="1"/>
  <c r="D52" i="36"/>
  <c r="E52" i="36" s="1"/>
  <c r="D53" i="36"/>
  <c r="E53" i="36" s="1"/>
  <c r="K53" i="36" s="1"/>
  <c r="D54" i="36"/>
  <c r="E54" i="36" s="1"/>
  <c r="K54" i="36" s="1"/>
  <c r="D55" i="36"/>
  <c r="E55" i="36" s="1"/>
  <c r="D56" i="36"/>
  <c r="E56" i="36" s="1"/>
  <c r="D57" i="36"/>
  <c r="E57" i="36" s="1"/>
  <c r="D58" i="36"/>
  <c r="E58" i="36" s="1"/>
  <c r="D59" i="36"/>
  <c r="E59" i="36" s="1"/>
  <c r="K59" i="36" s="1"/>
  <c r="D60" i="36"/>
  <c r="E60" i="36" s="1"/>
  <c r="D61" i="36"/>
  <c r="E61" i="36" s="1"/>
  <c r="K61" i="36" s="1"/>
  <c r="D62" i="36"/>
  <c r="E62" i="36" s="1"/>
  <c r="K62" i="36" s="1"/>
  <c r="D63" i="36"/>
  <c r="E63" i="36" s="1"/>
  <c r="D64" i="36"/>
  <c r="E64" i="36" s="1"/>
  <c r="D65" i="36"/>
  <c r="E65" i="36" s="1"/>
  <c r="D66" i="36"/>
  <c r="E66" i="36" s="1"/>
  <c r="D67" i="36"/>
  <c r="E67" i="36" s="1"/>
  <c r="K67" i="36" s="1"/>
  <c r="D68" i="36"/>
  <c r="E68" i="36" s="1"/>
  <c r="K68" i="36" s="1"/>
  <c r="D69" i="36"/>
  <c r="E69" i="36" s="1"/>
  <c r="K69" i="36" s="1"/>
  <c r="C42" i="36"/>
  <c r="C43" i="36"/>
  <c r="C44" i="36"/>
  <c r="C45" i="36"/>
  <c r="C46" i="36"/>
  <c r="C47" i="36"/>
  <c r="C48" i="36"/>
  <c r="C49" i="36"/>
  <c r="C50" i="36"/>
  <c r="C51" i="36"/>
  <c r="C52" i="36"/>
  <c r="C53" i="36"/>
  <c r="C54" i="36"/>
  <c r="C55" i="36"/>
  <c r="C56" i="36"/>
  <c r="C57" i="36"/>
  <c r="C58" i="36"/>
  <c r="C59" i="36"/>
  <c r="C60" i="36"/>
  <c r="C61" i="36"/>
  <c r="C62" i="36"/>
  <c r="C63" i="36"/>
  <c r="C64" i="36"/>
  <c r="C65" i="36"/>
  <c r="C66" i="36"/>
  <c r="C67" i="36"/>
  <c r="C68" i="36"/>
  <c r="C69" i="36"/>
  <c r="B67" i="36"/>
  <c r="BS50" i="3" s="1"/>
  <c r="B68" i="36"/>
  <c r="BT50" i="3" s="1"/>
  <c r="B69" i="36"/>
  <c r="BU50" i="3" s="1"/>
  <c r="B61" i="36"/>
  <c r="BM50" i="3" s="1"/>
  <c r="B62" i="36"/>
  <c r="BN50" i="3" s="1"/>
  <c r="B63" i="36"/>
  <c r="BO50" i="3" s="1"/>
  <c r="B64" i="36"/>
  <c r="BP50" i="3" s="1"/>
  <c r="B65" i="36"/>
  <c r="BQ50" i="3" s="1"/>
  <c r="B66" i="36"/>
  <c r="BR50" i="3" s="1"/>
  <c r="B52" i="36"/>
  <c r="BD50" i="3" s="1"/>
  <c r="B53" i="36"/>
  <c r="BE50" i="3" s="1"/>
  <c r="B54" i="36"/>
  <c r="BF50" i="3" s="1"/>
  <c r="B55" i="36"/>
  <c r="BG50" i="3" s="1"/>
  <c r="B56" i="36"/>
  <c r="BH50" i="3" s="1"/>
  <c r="B57" i="36"/>
  <c r="BI50" i="3" s="1"/>
  <c r="B58" i="36"/>
  <c r="BJ50" i="3" s="1"/>
  <c r="B59" i="36"/>
  <c r="BK50" i="3" s="1"/>
  <c r="B60" i="36"/>
  <c r="BL50" i="3" s="1"/>
  <c r="B43" i="36"/>
  <c r="AU50" i="3" s="1"/>
  <c r="B44" i="36"/>
  <c r="AV50" i="3" s="1"/>
  <c r="B45" i="36"/>
  <c r="AW50" i="3" s="1"/>
  <c r="B46" i="36"/>
  <c r="AX50" i="3" s="1"/>
  <c r="B47" i="36"/>
  <c r="AY50" i="3" s="1"/>
  <c r="B48" i="36"/>
  <c r="AZ50" i="3" s="1"/>
  <c r="B49" i="36"/>
  <c r="BA50" i="3" s="1"/>
  <c r="B50" i="36"/>
  <c r="BB50" i="3" s="1"/>
  <c r="B51" i="36"/>
  <c r="BC50" i="3" s="1"/>
  <c r="B42" i="36"/>
  <c r="AT50" i="3" s="1"/>
  <c r="L83" i="29"/>
  <c r="L84" i="29"/>
  <c r="L85" i="29"/>
  <c r="L86" i="29"/>
  <c r="L87" i="29"/>
  <c r="L88" i="29"/>
  <c r="L82" i="29"/>
  <c r="L58" i="29"/>
  <c r="L55" i="29" s="1"/>
  <c r="L65" i="29"/>
  <c r="L63" i="29" s="1"/>
  <c r="L74" i="29"/>
  <c r="L77" i="29"/>
  <c r="L78" i="29"/>
  <c r="L79" i="29"/>
  <c r="L39" i="29"/>
  <c r="L38" i="29" s="1"/>
  <c r="L31" i="29"/>
  <c r="L32" i="29"/>
  <c r="L33" i="29"/>
  <c r="L34" i="29"/>
  <c r="L35" i="29"/>
  <c r="L36" i="29"/>
  <c r="L30" i="29"/>
  <c r="C300" i="3"/>
  <c r="H81" i="29"/>
  <c r="A81" i="29"/>
  <c r="A80" i="29"/>
  <c r="A37" i="29"/>
  <c r="H29" i="29"/>
  <c r="A29" i="29"/>
  <c r="A28" i="29"/>
  <c r="H11" i="29"/>
  <c r="A11" i="29"/>
  <c r="A10" i="29"/>
  <c r="A9" i="29"/>
  <c r="T50" i="3"/>
  <c r="S50" i="3"/>
  <c r="R50" i="3"/>
  <c r="Q50" i="3"/>
  <c r="P50" i="3"/>
  <c r="O50" i="3"/>
  <c r="L13" i="29"/>
  <c r="L23" i="29"/>
  <c r="L20" i="29" s="1"/>
  <c r="K20" i="29" s="1"/>
  <c r="L12" i="29"/>
  <c r="F3" i="48"/>
  <c r="G3" i="34"/>
  <c r="F3" i="33"/>
  <c r="F3" i="32"/>
  <c r="F3" i="31"/>
  <c r="E3" i="30"/>
  <c r="F3" i="29"/>
  <c r="F344" i="29" s="1"/>
  <c r="H3" i="28"/>
  <c r="E3" i="27"/>
  <c r="H3" i="26"/>
  <c r="F301" i="3"/>
  <c r="F302" i="3" s="1"/>
  <c r="H303" i="3" s="1"/>
  <c r="D111" i="24"/>
  <c r="D112" i="24"/>
  <c r="D113" i="24"/>
  <c r="D114" i="24"/>
  <c r="D115" i="24"/>
  <c r="D116" i="24"/>
  <c r="D117" i="24"/>
  <c r="D118" i="24"/>
  <c r="D119" i="24"/>
  <c r="D120" i="24"/>
  <c r="D121" i="24"/>
  <c r="D110" i="24"/>
  <c r="D98" i="24"/>
  <c r="D99" i="24"/>
  <c r="D100" i="24"/>
  <c r="D101" i="24"/>
  <c r="D102" i="24"/>
  <c r="D103" i="24"/>
  <c r="D104" i="24"/>
  <c r="D105" i="24"/>
  <c r="D106" i="24"/>
  <c r="D107" i="24"/>
  <c r="D108" i="24"/>
  <c r="D97" i="24"/>
  <c r="D85" i="24"/>
  <c r="D86" i="24"/>
  <c r="D87" i="24"/>
  <c r="D88" i="24"/>
  <c r="D89" i="24"/>
  <c r="D90" i="24"/>
  <c r="D91" i="24"/>
  <c r="D92" i="24"/>
  <c r="D93" i="24"/>
  <c r="D94" i="24"/>
  <c r="D95" i="24"/>
  <c r="D84" i="24"/>
  <c r="D47" i="24"/>
  <c r="D48" i="24"/>
  <c r="D49" i="24"/>
  <c r="D50" i="24"/>
  <c r="D51" i="24"/>
  <c r="D52" i="24"/>
  <c r="D53" i="24"/>
  <c r="D54" i="24"/>
  <c r="D55" i="24"/>
  <c r="D56" i="24"/>
  <c r="D57" i="24"/>
  <c r="D46" i="24"/>
  <c r="D34" i="24"/>
  <c r="D35" i="24"/>
  <c r="D36" i="24"/>
  <c r="D37" i="24"/>
  <c r="D38" i="24"/>
  <c r="D39" i="24"/>
  <c r="D40" i="24"/>
  <c r="D41" i="24"/>
  <c r="D42" i="24"/>
  <c r="D43" i="24"/>
  <c r="D44" i="24"/>
  <c r="D33" i="24"/>
  <c r="D21" i="24"/>
  <c r="D22" i="24"/>
  <c r="D23" i="24"/>
  <c r="D24" i="24"/>
  <c r="D25" i="24"/>
  <c r="D26" i="24"/>
  <c r="D27" i="24"/>
  <c r="D28" i="24"/>
  <c r="D29" i="24"/>
  <c r="D30" i="24"/>
  <c r="D31" i="24"/>
  <c r="D20" i="24"/>
  <c r="A83" i="46"/>
  <c r="B79" i="46"/>
  <c r="E78" i="46"/>
  <c r="B78" i="46"/>
  <c r="B77" i="46"/>
  <c r="E67" i="46"/>
  <c r="F122" i="46"/>
  <c r="D122" i="46"/>
  <c r="D122" i="24" s="1"/>
  <c r="E121" i="46"/>
  <c r="E120" i="46"/>
  <c r="E119" i="46"/>
  <c r="E118" i="46"/>
  <c r="E117" i="46"/>
  <c r="E116" i="46"/>
  <c r="E115" i="46"/>
  <c r="E114" i="46"/>
  <c r="E113" i="46"/>
  <c r="E112" i="46"/>
  <c r="E111" i="46"/>
  <c r="E110" i="46"/>
  <c r="F109" i="46"/>
  <c r="D109" i="46"/>
  <c r="D109" i="24" s="1"/>
  <c r="E108" i="46"/>
  <c r="E107" i="46"/>
  <c r="E106" i="46"/>
  <c r="E105" i="46"/>
  <c r="E104" i="46"/>
  <c r="E103" i="46"/>
  <c r="E102" i="46"/>
  <c r="E101" i="46"/>
  <c r="E100" i="46"/>
  <c r="E99" i="46"/>
  <c r="E98" i="46"/>
  <c r="E97" i="46"/>
  <c r="F96" i="46"/>
  <c r="D96" i="46"/>
  <c r="D96" i="24" s="1"/>
  <c r="E95" i="46"/>
  <c r="E94" i="46"/>
  <c r="E93" i="46"/>
  <c r="E92" i="46"/>
  <c r="E91" i="46"/>
  <c r="E90" i="46"/>
  <c r="E89" i="46"/>
  <c r="E88" i="46"/>
  <c r="E87" i="46"/>
  <c r="E86" i="46"/>
  <c r="E85" i="46"/>
  <c r="E84" i="46"/>
  <c r="B111" i="24"/>
  <c r="C111" i="24"/>
  <c r="B112" i="24"/>
  <c r="C112" i="24"/>
  <c r="B113" i="24"/>
  <c r="C113" i="24"/>
  <c r="B114" i="24"/>
  <c r="C114" i="24"/>
  <c r="B115" i="24"/>
  <c r="C115" i="24"/>
  <c r="B116" i="24"/>
  <c r="C116" i="24"/>
  <c r="B117" i="24"/>
  <c r="C117" i="24"/>
  <c r="B118" i="24"/>
  <c r="C118" i="24"/>
  <c r="B119" i="24"/>
  <c r="C119" i="24"/>
  <c r="B120" i="24"/>
  <c r="C120" i="24"/>
  <c r="B121" i="24"/>
  <c r="C121" i="24"/>
  <c r="C110" i="24"/>
  <c r="B110" i="24"/>
  <c r="B98" i="24"/>
  <c r="C98" i="24"/>
  <c r="B99" i="24"/>
  <c r="C99" i="24"/>
  <c r="B100" i="24"/>
  <c r="C100" i="24"/>
  <c r="B101" i="24"/>
  <c r="C101" i="24"/>
  <c r="B102" i="24"/>
  <c r="C102" i="24"/>
  <c r="B103" i="24"/>
  <c r="C103" i="24"/>
  <c r="B104" i="24"/>
  <c r="C104" i="24"/>
  <c r="B105" i="24"/>
  <c r="C105" i="24"/>
  <c r="B106" i="24"/>
  <c r="C106" i="24"/>
  <c r="B107" i="24"/>
  <c r="C107" i="24"/>
  <c r="B108" i="24"/>
  <c r="C108" i="24"/>
  <c r="C97" i="24"/>
  <c r="B97" i="24"/>
  <c r="B85" i="24"/>
  <c r="C85" i="24"/>
  <c r="B86" i="24"/>
  <c r="C86" i="24"/>
  <c r="B87" i="24"/>
  <c r="C87" i="24"/>
  <c r="B88" i="24"/>
  <c r="C88" i="24"/>
  <c r="B89" i="24"/>
  <c r="C89" i="24"/>
  <c r="B90" i="24"/>
  <c r="C90" i="24"/>
  <c r="B91" i="24"/>
  <c r="C91" i="24"/>
  <c r="B92" i="24"/>
  <c r="C92" i="24"/>
  <c r="B93" i="24"/>
  <c r="C93" i="24"/>
  <c r="B94" i="24"/>
  <c r="C94" i="24"/>
  <c r="B95" i="24"/>
  <c r="C95" i="24"/>
  <c r="C84" i="24"/>
  <c r="B84" i="24"/>
  <c r="B47" i="24"/>
  <c r="C47" i="24"/>
  <c r="B48" i="24"/>
  <c r="C48" i="24"/>
  <c r="B49" i="24"/>
  <c r="C49" i="24"/>
  <c r="B50" i="24"/>
  <c r="C50" i="24"/>
  <c r="B51" i="24"/>
  <c r="C51" i="24"/>
  <c r="B52" i="24"/>
  <c r="C52" i="24"/>
  <c r="B53" i="24"/>
  <c r="C53" i="24"/>
  <c r="B54" i="24"/>
  <c r="C54" i="24"/>
  <c r="B55" i="24"/>
  <c r="C55" i="24"/>
  <c r="B56" i="24"/>
  <c r="C56" i="24"/>
  <c r="B57" i="24"/>
  <c r="C57" i="24"/>
  <c r="C46" i="24"/>
  <c r="B46" i="24"/>
  <c r="B34" i="24"/>
  <c r="C34" i="24"/>
  <c r="B35" i="24"/>
  <c r="C35" i="24"/>
  <c r="B36" i="24"/>
  <c r="C36" i="24"/>
  <c r="B37" i="24"/>
  <c r="C37" i="24"/>
  <c r="B38" i="24"/>
  <c r="C38" i="24"/>
  <c r="B39" i="24"/>
  <c r="C39" i="24"/>
  <c r="B40" i="24"/>
  <c r="C40" i="24"/>
  <c r="B41" i="24"/>
  <c r="C41" i="24"/>
  <c r="B42" i="24"/>
  <c r="C42" i="24"/>
  <c r="B43" i="24"/>
  <c r="C43" i="24"/>
  <c r="B44" i="24"/>
  <c r="C44" i="24"/>
  <c r="C33" i="24"/>
  <c r="B33" i="24"/>
  <c r="B21" i="24"/>
  <c r="C21" i="24"/>
  <c r="B22" i="24"/>
  <c r="C22" i="24"/>
  <c r="B23" i="24"/>
  <c r="C23" i="24"/>
  <c r="B24" i="24"/>
  <c r="C24" i="24"/>
  <c r="B25" i="24"/>
  <c r="C25" i="24"/>
  <c r="B26" i="24"/>
  <c r="C26" i="24"/>
  <c r="B27" i="24"/>
  <c r="C27" i="24"/>
  <c r="B28" i="24"/>
  <c r="C28" i="24"/>
  <c r="B29" i="24"/>
  <c r="C29" i="24"/>
  <c r="B30" i="24"/>
  <c r="C30" i="24"/>
  <c r="B31" i="24"/>
  <c r="C31" i="24"/>
  <c r="C20" i="24"/>
  <c r="B20" i="24"/>
  <c r="D123" i="24"/>
  <c r="A83" i="47"/>
  <c r="E74" i="47"/>
  <c r="B74" i="47"/>
  <c r="D65" i="47"/>
  <c r="C66" i="47"/>
  <c r="F122" i="47"/>
  <c r="C122" i="47"/>
  <c r="C122" i="24" s="1"/>
  <c r="B122" i="47"/>
  <c r="B122" i="24" s="1"/>
  <c r="E121" i="47"/>
  <c r="E120" i="47"/>
  <c r="E119" i="47"/>
  <c r="E118" i="47"/>
  <c r="E117" i="47"/>
  <c r="E116" i="47"/>
  <c r="E115" i="47"/>
  <c r="E114" i="47"/>
  <c r="E113" i="47"/>
  <c r="E112" i="47"/>
  <c r="E111" i="47"/>
  <c r="E110" i="47"/>
  <c r="F109" i="47"/>
  <c r="C109" i="47"/>
  <c r="C109" i="24" s="1"/>
  <c r="B109" i="47"/>
  <c r="B109" i="24" s="1"/>
  <c r="E108" i="47"/>
  <c r="E107" i="47"/>
  <c r="E106" i="47"/>
  <c r="E105" i="47"/>
  <c r="E104" i="47"/>
  <c r="E103" i="47"/>
  <c r="E102" i="47"/>
  <c r="E101" i="47"/>
  <c r="E100" i="47"/>
  <c r="E99" i="47"/>
  <c r="E98" i="47"/>
  <c r="E97" i="47"/>
  <c r="F96" i="47"/>
  <c r="C96" i="47"/>
  <c r="C96" i="24" s="1"/>
  <c r="B96" i="47"/>
  <c r="B96" i="24" s="1"/>
  <c r="E95" i="47"/>
  <c r="E94" i="47"/>
  <c r="E93" i="47"/>
  <c r="E92" i="47"/>
  <c r="E91" i="47"/>
  <c r="E90" i="47"/>
  <c r="E89" i="47"/>
  <c r="E88" i="47"/>
  <c r="E87" i="47"/>
  <c r="E86" i="47"/>
  <c r="E85" i="47"/>
  <c r="E84" i="47"/>
  <c r="E82" i="47"/>
  <c r="B15" i="24"/>
  <c r="B78" i="24" s="1"/>
  <c r="F122" i="24"/>
  <c r="F109" i="24"/>
  <c r="F96" i="24"/>
  <c r="Y3" i="3"/>
  <c r="Y2" i="3"/>
  <c r="W5" i="3"/>
  <c r="W7" i="3" s="1"/>
  <c r="W9" i="3" s="1"/>
  <c r="W11" i="3" s="1"/>
  <c r="W13" i="3" s="1"/>
  <c r="W15" i="3" s="1"/>
  <c r="W4" i="3"/>
  <c r="K3" i="37"/>
  <c r="N53" i="3"/>
  <c r="N124" i="28"/>
  <c r="P124" i="28" s="1"/>
  <c r="J124" i="28"/>
  <c r="L124" i="28" s="1"/>
  <c r="N123" i="28"/>
  <c r="P123" i="28" s="1"/>
  <c r="J123" i="28"/>
  <c r="L123" i="28" s="1"/>
  <c r="N122" i="28"/>
  <c r="P122" i="28" s="1"/>
  <c r="J122" i="28"/>
  <c r="L122" i="28" s="1"/>
  <c r="N121" i="28"/>
  <c r="P121" i="28" s="1"/>
  <c r="J121" i="28"/>
  <c r="L121" i="28" s="1"/>
  <c r="N120" i="28"/>
  <c r="P120" i="28" s="1"/>
  <c r="J120" i="28"/>
  <c r="L120" i="28" s="1"/>
  <c r="N119" i="28"/>
  <c r="P119" i="28" s="1"/>
  <c r="J119" i="28"/>
  <c r="L119" i="28" s="1"/>
  <c r="N118" i="28"/>
  <c r="P118" i="28" s="1"/>
  <c r="J118" i="28"/>
  <c r="L118" i="28" s="1"/>
  <c r="N117" i="28"/>
  <c r="P117" i="28" s="1"/>
  <c r="J117" i="28"/>
  <c r="L117" i="28" s="1"/>
  <c r="N116" i="28"/>
  <c r="P116" i="28" s="1"/>
  <c r="J116" i="28"/>
  <c r="L116" i="28" s="1"/>
  <c r="N115" i="28"/>
  <c r="P115" i="28" s="1"/>
  <c r="J115" i="28"/>
  <c r="L115" i="28" s="1"/>
  <c r="N114" i="28"/>
  <c r="P114" i="28" s="1"/>
  <c r="J114" i="28"/>
  <c r="L114" i="28" s="1"/>
  <c r="N113" i="28"/>
  <c r="P113" i="28" s="1"/>
  <c r="J113" i="28"/>
  <c r="L113" i="28" s="1"/>
  <c r="N112" i="28"/>
  <c r="P112" i="28" s="1"/>
  <c r="J112" i="28"/>
  <c r="L112" i="28" s="1"/>
  <c r="N111" i="28"/>
  <c r="P111" i="28" s="1"/>
  <c r="J111" i="28"/>
  <c r="L111" i="28" s="1"/>
  <c r="N110" i="28"/>
  <c r="P110" i="28" s="1"/>
  <c r="J110" i="28"/>
  <c r="L110" i="28" s="1"/>
  <c r="N109" i="28"/>
  <c r="P109" i="28" s="1"/>
  <c r="J109" i="28"/>
  <c r="L109" i="28" s="1"/>
  <c r="N108" i="28"/>
  <c r="P108" i="28" s="1"/>
  <c r="J108" i="28"/>
  <c r="L108" i="28" s="1"/>
  <c r="N107" i="28"/>
  <c r="P107" i="28" s="1"/>
  <c r="J107" i="28"/>
  <c r="L107" i="28" s="1"/>
  <c r="N100" i="28"/>
  <c r="P100" i="28" s="1"/>
  <c r="J100" i="28"/>
  <c r="L100" i="28" s="1"/>
  <c r="N99" i="28"/>
  <c r="P99" i="28" s="1"/>
  <c r="J99" i="28"/>
  <c r="L99" i="28" s="1"/>
  <c r="N98" i="28"/>
  <c r="P98" i="28" s="1"/>
  <c r="J98" i="28"/>
  <c r="L98" i="28" s="1"/>
  <c r="N97" i="28"/>
  <c r="P97" i="28" s="1"/>
  <c r="J97" i="28"/>
  <c r="L97" i="28" s="1"/>
  <c r="N96" i="28"/>
  <c r="P96" i="28" s="1"/>
  <c r="J96" i="28"/>
  <c r="L96" i="28" s="1"/>
  <c r="N95" i="28"/>
  <c r="P95" i="28" s="1"/>
  <c r="J95" i="28"/>
  <c r="L95" i="28" s="1"/>
  <c r="N94" i="28"/>
  <c r="P94" i="28" s="1"/>
  <c r="J94" i="28"/>
  <c r="L94" i="28" s="1"/>
  <c r="N93" i="28"/>
  <c r="P93" i="28" s="1"/>
  <c r="J93" i="28"/>
  <c r="L93" i="28" s="1"/>
  <c r="N92" i="28"/>
  <c r="P92" i="28" s="1"/>
  <c r="J92" i="28"/>
  <c r="L92" i="28" s="1"/>
  <c r="N91" i="28"/>
  <c r="P91" i="28" s="1"/>
  <c r="J91" i="28"/>
  <c r="L91" i="28" s="1"/>
  <c r="N90" i="28"/>
  <c r="P90" i="28" s="1"/>
  <c r="J90" i="28"/>
  <c r="L90" i="28" s="1"/>
  <c r="N89" i="28"/>
  <c r="P89" i="28" s="1"/>
  <c r="J89" i="28"/>
  <c r="L89" i="28" s="1"/>
  <c r="N88" i="28"/>
  <c r="P88" i="28" s="1"/>
  <c r="J88" i="28"/>
  <c r="L88" i="28" s="1"/>
  <c r="N87" i="28"/>
  <c r="P87" i="28" s="1"/>
  <c r="J87" i="28"/>
  <c r="L87" i="28" s="1"/>
  <c r="N86" i="28"/>
  <c r="P86" i="28" s="1"/>
  <c r="J86" i="28"/>
  <c r="L86" i="28" s="1"/>
  <c r="N85" i="28"/>
  <c r="P85" i="28" s="1"/>
  <c r="J85" i="28"/>
  <c r="L85" i="28" s="1"/>
  <c r="N84" i="28"/>
  <c r="P84" i="28" s="1"/>
  <c r="J84" i="28"/>
  <c r="L84" i="28" s="1"/>
  <c r="N83" i="28"/>
  <c r="P83" i="28" s="1"/>
  <c r="J83" i="28"/>
  <c r="L83" i="28" s="1"/>
  <c r="N76" i="28"/>
  <c r="P76" i="28" s="1"/>
  <c r="J76" i="28"/>
  <c r="L76" i="28" s="1"/>
  <c r="N75" i="28"/>
  <c r="P75" i="28" s="1"/>
  <c r="J75" i="28"/>
  <c r="L75" i="28" s="1"/>
  <c r="N74" i="28"/>
  <c r="P74" i="28" s="1"/>
  <c r="J74" i="28"/>
  <c r="L74" i="28" s="1"/>
  <c r="N73" i="28"/>
  <c r="P73" i="28" s="1"/>
  <c r="J73" i="28"/>
  <c r="L73" i="28" s="1"/>
  <c r="N72" i="28"/>
  <c r="P72" i="28" s="1"/>
  <c r="J72" i="28"/>
  <c r="L72" i="28" s="1"/>
  <c r="N71" i="28"/>
  <c r="P71" i="28" s="1"/>
  <c r="J71" i="28"/>
  <c r="L71" i="28" s="1"/>
  <c r="N70" i="28"/>
  <c r="P70" i="28" s="1"/>
  <c r="J70" i="28"/>
  <c r="L70" i="28" s="1"/>
  <c r="N69" i="28"/>
  <c r="P69" i="28" s="1"/>
  <c r="J69" i="28"/>
  <c r="L69" i="28" s="1"/>
  <c r="N68" i="28"/>
  <c r="P68" i="28" s="1"/>
  <c r="J68" i="28"/>
  <c r="L68" i="28" s="1"/>
  <c r="N67" i="28"/>
  <c r="P67" i="28" s="1"/>
  <c r="J67" i="28"/>
  <c r="L67" i="28" s="1"/>
  <c r="N66" i="28"/>
  <c r="P66" i="28" s="1"/>
  <c r="J66" i="28"/>
  <c r="L66" i="28" s="1"/>
  <c r="N65" i="28"/>
  <c r="P65" i="28" s="1"/>
  <c r="J65" i="28"/>
  <c r="L65" i="28" s="1"/>
  <c r="N64" i="28"/>
  <c r="P64" i="28" s="1"/>
  <c r="J64" i="28"/>
  <c r="L64" i="28" s="1"/>
  <c r="N63" i="28"/>
  <c r="P63" i="28" s="1"/>
  <c r="J63" i="28"/>
  <c r="L63" i="28" s="1"/>
  <c r="N62" i="28"/>
  <c r="P62" i="28" s="1"/>
  <c r="J62" i="28"/>
  <c r="L62" i="28" s="1"/>
  <c r="N61" i="28"/>
  <c r="P61" i="28" s="1"/>
  <c r="J61" i="28"/>
  <c r="L61" i="28" s="1"/>
  <c r="N60" i="28"/>
  <c r="P60" i="28" s="1"/>
  <c r="J60" i="28"/>
  <c r="L60" i="28" s="1"/>
  <c r="N59" i="28"/>
  <c r="P59" i="28" s="1"/>
  <c r="J59" i="28"/>
  <c r="L59" i="28" s="1"/>
  <c r="N52" i="28"/>
  <c r="J52" i="28"/>
  <c r="L52" i="28" s="1"/>
  <c r="N51" i="28"/>
  <c r="P51" i="28" s="1"/>
  <c r="J51" i="28"/>
  <c r="L51" i="28" s="1"/>
  <c r="N50" i="28"/>
  <c r="J50" i="28"/>
  <c r="L50" i="28" s="1"/>
  <c r="N49" i="28"/>
  <c r="P49" i="28" s="1"/>
  <c r="J49" i="28"/>
  <c r="L49" i="28" s="1"/>
  <c r="N48" i="28"/>
  <c r="J48" i="28"/>
  <c r="L48" i="28" s="1"/>
  <c r="N47" i="28"/>
  <c r="P47" i="28" s="1"/>
  <c r="J47" i="28"/>
  <c r="L47" i="28" s="1"/>
  <c r="N46" i="28"/>
  <c r="J46" i="28"/>
  <c r="L46" i="28" s="1"/>
  <c r="N45" i="28"/>
  <c r="P45" i="28" s="1"/>
  <c r="J45" i="28"/>
  <c r="L45" i="28" s="1"/>
  <c r="N44" i="28"/>
  <c r="J44" i="28"/>
  <c r="L44" i="28" s="1"/>
  <c r="N43" i="28"/>
  <c r="P43" i="28" s="1"/>
  <c r="J43" i="28"/>
  <c r="L43" i="28" s="1"/>
  <c r="N42" i="28"/>
  <c r="J42" i="28"/>
  <c r="L42" i="28" s="1"/>
  <c r="N41" i="28"/>
  <c r="P41" i="28" s="1"/>
  <c r="J41" i="28"/>
  <c r="L41" i="28" s="1"/>
  <c r="N40" i="28"/>
  <c r="J40" i="28"/>
  <c r="L40" i="28" s="1"/>
  <c r="N39" i="28"/>
  <c r="P39" i="28" s="1"/>
  <c r="J39" i="28"/>
  <c r="L39" i="28" s="1"/>
  <c r="N38" i="28"/>
  <c r="J38" i="28"/>
  <c r="L38" i="28" s="1"/>
  <c r="N37" i="28"/>
  <c r="P37" i="28" s="1"/>
  <c r="J37" i="28"/>
  <c r="L37" i="28" s="1"/>
  <c r="N36" i="28"/>
  <c r="J36" i="28"/>
  <c r="L36" i="28" s="1"/>
  <c r="N35" i="28"/>
  <c r="P35" i="28" s="1"/>
  <c r="J35" i="28"/>
  <c r="L35" i="28" s="1"/>
  <c r="M53" i="28"/>
  <c r="M54" i="28"/>
  <c r="K53" i="28"/>
  <c r="K54" i="28"/>
  <c r="L18" i="33"/>
  <c r="L29" i="32"/>
  <c r="L18" i="32"/>
  <c r="I146" i="37"/>
  <c r="D146" i="37"/>
  <c r="E146" i="37" s="1"/>
  <c r="C146" i="37"/>
  <c r="I145" i="37"/>
  <c r="D145" i="37"/>
  <c r="E145" i="37" s="1"/>
  <c r="C145" i="37"/>
  <c r="I144" i="37"/>
  <c r="D144" i="37"/>
  <c r="E144" i="37" s="1"/>
  <c r="C144" i="37"/>
  <c r="I143" i="37"/>
  <c r="D143" i="37"/>
  <c r="E143" i="37" s="1"/>
  <c r="C143" i="37"/>
  <c r="I142" i="37"/>
  <c r="D142" i="37"/>
  <c r="E142" i="37" s="1"/>
  <c r="C142" i="37"/>
  <c r="I141" i="37"/>
  <c r="D141" i="37"/>
  <c r="E141" i="37" s="1"/>
  <c r="C141" i="37"/>
  <c r="I140" i="37"/>
  <c r="D140" i="37"/>
  <c r="E140" i="37" s="1"/>
  <c r="C140" i="37"/>
  <c r="I139" i="37"/>
  <c r="D139" i="37"/>
  <c r="E139" i="37" s="1"/>
  <c r="C139" i="37"/>
  <c r="I138" i="37"/>
  <c r="D138" i="37"/>
  <c r="E138" i="37" s="1"/>
  <c r="C138" i="37"/>
  <c r="I137" i="37"/>
  <c r="D137" i="37"/>
  <c r="E137" i="37" s="1"/>
  <c r="C137" i="37"/>
  <c r="I136" i="37"/>
  <c r="D136" i="37"/>
  <c r="E136" i="37" s="1"/>
  <c r="C136" i="37"/>
  <c r="I135" i="37"/>
  <c r="D135" i="37"/>
  <c r="E135" i="37" s="1"/>
  <c r="C135" i="37"/>
  <c r="I134" i="37"/>
  <c r="D134" i="37"/>
  <c r="E134" i="37" s="1"/>
  <c r="C134" i="37"/>
  <c r="I133" i="37"/>
  <c r="D133" i="37"/>
  <c r="E133" i="37" s="1"/>
  <c r="C133" i="37"/>
  <c r="I132" i="37"/>
  <c r="D132" i="37"/>
  <c r="E132" i="37" s="1"/>
  <c r="C132" i="37"/>
  <c r="I131" i="37"/>
  <c r="D131" i="37"/>
  <c r="E131" i="37" s="1"/>
  <c r="C131" i="37"/>
  <c r="I130" i="37"/>
  <c r="D130" i="37"/>
  <c r="E130" i="37" s="1"/>
  <c r="C130" i="37"/>
  <c r="I129" i="37"/>
  <c r="D129" i="37"/>
  <c r="E129" i="37" s="1"/>
  <c r="C129" i="37"/>
  <c r="I128" i="37"/>
  <c r="D128" i="37"/>
  <c r="E128" i="37" s="1"/>
  <c r="C128" i="37"/>
  <c r="I127" i="37"/>
  <c r="D127" i="37"/>
  <c r="E127" i="37" s="1"/>
  <c r="C127" i="37"/>
  <c r="I126" i="37"/>
  <c r="D126" i="37"/>
  <c r="E126" i="37" s="1"/>
  <c r="C126" i="37"/>
  <c r="I125" i="37"/>
  <c r="D125" i="37"/>
  <c r="E125" i="37" s="1"/>
  <c r="C125" i="37"/>
  <c r="I124" i="37"/>
  <c r="D124" i="37"/>
  <c r="E124" i="37" s="1"/>
  <c r="C124" i="37"/>
  <c r="I123" i="37"/>
  <c r="D123" i="37"/>
  <c r="E123" i="37" s="1"/>
  <c r="C123" i="37"/>
  <c r="I122" i="37"/>
  <c r="D122" i="37"/>
  <c r="E122" i="37" s="1"/>
  <c r="C122" i="37"/>
  <c r="I121" i="37"/>
  <c r="D121" i="37"/>
  <c r="E121" i="37" s="1"/>
  <c r="C121" i="37"/>
  <c r="I120" i="37"/>
  <c r="D120" i="37"/>
  <c r="E120" i="37" s="1"/>
  <c r="C120" i="37"/>
  <c r="I119" i="37"/>
  <c r="D119" i="37"/>
  <c r="E119" i="37" s="1"/>
  <c r="C119" i="37"/>
  <c r="B119" i="37"/>
  <c r="DN50" i="3" s="1"/>
  <c r="B120" i="37"/>
  <c r="DO50" i="3" s="1"/>
  <c r="B121" i="37"/>
  <c r="DP50" i="3" s="1"/>
  <c r="B122" i="37"/>
  <c r="DQ50" i="3" s="1"/>
  <c r="B123" i="37"/>
  <c r="DR50" i="3" s="1"/>
  <c r="B124" i="37"/>
  <c r="DS50" i="3" s="1"/>
  <c r="B125" i="37"/>
  <c r="DT50" i="3" s="1"/>
  <c r="B126" i="37"/>
  <c r="DU50" i="3" s="1"/>
  <c r="B127" i="37"/>
  <c r="DV50" i="3" s="1"/>
  <c r="B128" i="37"/>
  <c r="DW50" i="3" s="1"/>
  <c r="B129" i="37"/>
  <c r="DX50" i="3" s="1"/>
  <c r="B130" i="37"/>
  <c r="DY50" i="3" s="1"/>
  <c r="B131" i="37"/>
  <c r="DZ50" i="3" s="1"/>
  <c r="B132" i="37"/>
  <c r="EA50" i="3" s="1"/>
  <c r="B133" i="37"/>
  <c r="EB50" i="3" s="1"/>
  <c r="B134" i="37"/>
  <c r="EC50" i="3" s="1"/>
  <c r="B135" i="37"/>
  <c r="ED50" i="3" s="1"/>
  <c r="B136" i="37"/>
  <c r="EE50" i="3" s="1"/>
  <c r="B137" i="37"/>
  <c r="EF50" i="3" s="1"/>
  <c r="B138" i="37"/>
  <c r="EG50" i="3" s="1"/>
  <c r="B139" i="37"/>
  <c r="EH50" i="3" s="1"/>
  <c r="B140" i="37"/>
  <c r="EI50" i="3" s="1"/>
  <c r="B141" i="37"/>
  <c r="EJ50" i="3" s="1"/>
  <c r="B142" i="37"/>
  <c r="EK50" i="3" s="1"/>
  <c r="B143" i="37"/>
  <c r="EL50" i="3" s="1"/>
  <c r="B144" i="37"/>
  <c r="EM50" i="3" s="1"/>
  <c r="B145" i="37"/>
  <c r="EN50" i="3" s="1"/>
  <c r="B146" i="37"/>
  <c r="EO50" i="3" s="1"/>
  <c r="B26" i="49"/>
  <c r="C26" i="49"/>
  <c r="B27" i="49"/>
  <c r="B28" i="49"/>
  <c r="GM50" i="3" s="1"/>
  <c r="C28" i="49"/>
  <c r="B29" i="49"/>
  <c r="C29" i="49"/>
  <c r="B10" i="49"/>
  <c r="GG50" i="3" s="1"/>
  <c r="C10" i="49"/>
  <c r="B11" i="49"/>
  <c r="C11" i="49"/>
  <c r="B12" i="49"/>
  <c r="B13" i="49"/>
  <c r="GH50" i="3" s="1"/>
  <c r="C13" i="49"/>
  <c r="B14" i="49"/>
  <c r="C14" i="49"/>
  <c r="B15" i="49"/>
  <c r="B16" i="49"/>
  <c r="GI50" i="3" s="1"/>
  <c r="C16" i="49"/>
  <c r="B17" i="49"/>
  <c r="C17" i="49"/>
  <c r="B18" i="49"/>
  <c r="B19" i="49"/>
  <c r="GJ50" i="3" s="1"/>
  <c r="C19" i="49"/>
  <c r="B20" i="49"/>
  <c r="C20" i="49"/>
  <c r="B21" i="49"/>
  <c r="B22" i="49"/>
  <c r="GK50" i="3" s="1"/>
  <c r="C22" i="49"/>
  <c r="B23" i="49"/>
  <c r="C23" i="49"/>
  <c r="B24" i="49"/>
  <c r="B25" i="49"/>
  <c r="GL50" i="3" s="1"/>
  <c r="C25" i="49"/>
  <c r="B9" i="49"/>
  <c r="B8" i="49"/>
  <c r="A8" i="49"/>
  <c r="B7" i="49"/>
  <c r="A7" i="49"/>
  <c r="I12" i="42"/>
  <c r="I11" i="42"/>
  <c r="J11" i="42" s="1"/>
  <c r="I10" i="42"/>
  <c r="I9" i="42"/>
  <c r="K9" i="42" s="1"/>
  <c r="E10" i="42" s="1"/>
  <c r="B9" i="42"/>
  <c r="GE50" i="3" s="1"/>
  <c r="C9" i="42"/>
  <c r="B10" i="42"/>
  <c r="C10" i="42"/>
  <c r="B11" i="42"/>
  <c r="GF50" i="3" s="1"/>
  <c r="C11" i="42"/>
  <c r="B12" i="42"/>
  <c r="C12" i="42"/>
  <c r="B8" i="42"/>
  <c r="A8" i="42"/>
  <c r="B7" i="42"/>
  <c r="A7" i="42"/>
  <c r="K442" i="29" s="1"/>
  <c r="I26" i="41"/>
  <c r="D26" i="41"/>
  <c r="E26" i="41" s="1"/>
  <c r="I16" i="41"/>
  <c r="D16" i="41"/>
  <c r="E16" i="41" s="1"/>
  <c r="D22" i="41"/>
  <c r="E22" i="41" s="1"/>
  <c r="D21" i="41"/>
  <c r="E21" i="41" s="1"/>
  <c r="D20" i="41"/>
  <c r="E20" i="41" s="1"/>
  <c r="D19" i="41"/>
  <c r="E19" i="41" s="1"/>
  <c r="D13" i="41"/>
  <c r="E13" i="41" s="1"/>
  <c r="D12" i="41"/>
  <c r="E12" i="41" s="1"/>
  <c r="D11" i="41"/>
  <c r="E11" i="41" s="1"/>
  <c r="D10" i="41"/>
  <c r="E10" i="41" s="1"/>
  <c r="I25" i="41"/>
  <c r="I23" i="41"/>
  <c r="I24" i="41"/>
  <c r="I15" i="41"/>
  <c r="I14" i="41"/>
  <c r="B19" i="41"/>
  <c r="FX50" i="3" s="1"/>
  <c r="C19" i="41"/>
  <c r="B20" i="41"/>
  <c r="FY50" i="3" s="1"/>
  <c r="C20" i="41"/>
  <c r="B21" i="41"/>
  <c r="FZ50" i="3" s="1"/>
  <c r="C21" i="41"/>
  <c r="B22" i="41"/>
  <c r="GA50" i="3" s="1"/>
  <c r="C22" i="41"/>
  <c r="B23" i="41"/>
  <c r="GB50" i="3" s="1"/>
  <c r="C23" i="41"/>
  <c r="B24" i="41"/>
  <c r="C24" i="41"/>
  <c r="A25" i="41"/>
  <c r="B25" i="41"/>
  <c r="GC50" i="3" s="1"/>
  <c r="C25" i="41"/>
  <c r="A26" i="41"/>
  <c r="B26" i="41"/>
  <c r="GD50" i="3" s="1"/>
  <c r="C26" i="41"/>
  <c r="B13" i="41"/>
  <c r="FU50" i="3" s="1"/>
  <c r="C13" i="41"/>
  <c r="B14" i="41"/>
  <c r="FV50" i="3" s="1"/>
  <c r="C14" i="41"/>
  <c r="B15" i="41"/>
  <c r="C15" i="41"/>
  <c r="A16" i="41"/>
  <c r="B16" i="41"/>
  <c r="FW50" i="3" s="1"/>
  <c r="C16" i="41"/>
  <c r="A17" i="41"/>
  <c r="B17" i="41"/>
  <c r="B18" i="41"/>
  <c r="B9" i="41"/>
  <c r="B10" i="41"/>
  <c r="FR50" i="3" s="1"/>
  <c r="C10" i="41"/>
  <c r="B11" i="41"/>
  <c r="FS50" i="3" s="1"/>
  <c r="C11" i="41"/>
  <c r="B12" i="41"/>
  <c r="FT50" i="3" s="1"/>
  <c r="C12" i="41"/>
  <c r="B8" i="41"/>
  <c r="A8" i="41"/>
  <c r="B7" i="41"/>
  <c r="A7" i="41"/>
  <c r="K412" i="29" s="1"/>
  <c r="I60" i="40"/>
  <c r="I53" i="40"/>
  <c r="I51" i="40"/>
  <c r="I48" i="40"/>
  <c r="I46" i="40"/>
  <c r="I42" i="40"/>
  <c r="I39" i="40"/>
  <c r="I43" i="40"/>
  <c r="I56" i="40"/>
  <c r="D56" i="40"/>
  <c r="E56" i="40" s="1"/>
  <c r="I55" i="40"/>
  <c r="D55" i="40"/>
  <c r="E55" i="40" s="1"/>
  <c r="I49" i="40"/>
  <c r="D49" i="40"/>
  <c r="E49" i="40" s="1"/>
  <c r="I37" i="40"/>
  <c r="D37" i="40"/>
  <c r="E37" i="40" s="1"/>
  <c r="I59" i="40"/>
  <c r="I57" i="40"/>
  <c r="I52" i="40"/>
  <c r="I50" i="40"/>
  <c r="I47" i="40"/>
  <c r="I45" i="40"/>
  <c r="I41" i="40"/>
  <c r="I38" i="40"/>
  <c r="B59" i="40"/>
  <c r="FQ50" i="3" s="1"/>
  <c r="C59" i="40"/>
  <c r="B60" i="40"/>
  <c r="C60" i="40"/>
  <c r="B55" i="40"/>
  <c r="FN50" i="3" s="1"/>
  <c r="C55" i="40"/>
  <c r="B56" i="40"/>
  <c r="FO50" i="3" s="1"/>
  <c r="C56" i="40"/>
  <c r="B57" i="40"/>
  <c r="FP50" i="3" s="1"/>
  <c r="C57" i="40"/>
  <c r="A58" i="40"/>
  <c r="B58" i="40"/>
  <c r="B51" i="40"/>
  <c r="C51" i="40"/>
  <c r="B52" i="40"/>
  <c r="FM50" i="3" s="1"/>
  <c r="C52" i="40"/>
  <c r="B53" i="40"/>
  <c r="C53" i="40"/>
  <c r="A54" i="40"/>
  <c r="B54" i="40"/>
  <c r="B46" i="40"/>
  <c r="C46" i="40"/>
  <c r="B47" i="40"/>
  <c r="FJ50" i="3" s="1"/>
  <c r="C47" i="40"/>
  <c r="B48" i="40"/>
  <c r="C48" i="40"/>
  <c r="B49" i="40"/>
  <c r="FK50" i="3" s="1"/>
  <c r="C49" i="40"/>
  <c r="B50" i="40"/>
  <c r="FL50" i="3" s="1"/>
  <c r="C50" i="40"/>
  <c r="A44" i="40"/>
  <c r="B44" i="40"/>
  <c r="B45" i="40"/>
  <c r="FI50" i="3" s="1"/>
  <c r="C45" i="40"/>
  <c r="A40" i="40"/>
  <c r="B40" i="40"/>
  <c r="B41" i="40"/>
  <c r="FG50" i="3" s="1"/>
  <c r="C41" i="40"/>
  <c r="B42" i="40"/>
  <c r="C42" i="40"/>
  <c r="B43" i="40"/>
  <c r="FH50" i="3" s="1"/>
  <c r="C43" i="40"/>
  <c r="A36" i="40"/>
  <c r="B36" i="40"/>
  <c r="B37" i="40"/>
  <c r="FE50" i="3" s="1"/>
  <c r="C37" i="40"/>
  <c r="B38" i="40"/>
  <c r="FF50" i="3" s="1"/>
  <c r="C38" i="40"/>
  <c r="B39" i="40"/>
  <c r="C39" i="40"/>
  <c r="B22" i="40"/>
  <c r="FB50" i="3" s="1"/>
  <c r="C22" i="40"/>
  <c r="B23" i="40"/>
  <c r="C23" i="40"/>
  <c r="B24" i="40"/>
  <c r="B25" i="40"/>
  <c r="FC50" i="3" s="1"/>
  <c r="C25" i="40"/>
  <c r="B26" i="40"/>
  <c r="C26" i="40"/>
  <c r="B27" i="40"/>
  <c r="B28" i="40"/>
  <c r="FD50" i="3" s="1"/>
  <c r="C28" i="40"/>
  <c r="B29" i="40"/>
  <c r="C29" i="40"/>
  <c r="B10" i="40"/>
  <c r="EX50" i="3" s="1"/>
  <c r="C10" i="40"/>
  <c r="B11" i="40"/>
  <c r="C11" i="40"/>
  <c r="B12" i="40"/>
  <c r="B13" i="40"/>
  <c r="EY50" i="3" s="1"/>
  <c r="C13" i="40"/>
  <c r="B14" i="40"/>
  <c r="C14" i="40"/>
  <c r="B15" i="40"/>
  <c r="B16" i="40"/>
  <c r="EZ50" i="3" s="1"/>
  <c r="C16" i="40"/>
  <c r="B17" i="40"/>
  <c r="C17" i="40"/>
  <c r="B18" i="40"/>
  <c r="B19" i="40"/>
  <c r="FA50" i="3" s="1"/>
  <c r="C19" i="40"/>
  <c r="B20" i="40"/>
  <c r="C20" i="40"/>
  <c r="B21" i="40"/>
  <c r="B9" i="40"/>
  <c r="B8" i="40"/>
  <c r="A8" i="40"/>
  <c r="B7" i="40"/>
  <c r="A7" i="40"/>
  <c r="K339" i="29" s="1"/>
  <c r="I11" i="39"/>
  <c r="I14" i="39"/>
  <c r="K14" i="39" s="1"/>
  <c r="I10" i="39"/>
  <c r="K10" i="39" s="1"/>
  <c r="E11" i="39" s="1"/>
  <c r="C14" i="39"/>
  <c r="C10" i="39"/>
  <c r="B10" i="39"/>
  <c r="EU50" i="3" s="1"/>
  <c r="B11" i="39"/>
  <c r="C11" i="39"/>
  <c r="A12" i="39"/>
  <c r="B12" i="39"/>
  <c r="B13" i="39"/>
  <c r="EV50" i="3" s="1"/>
  <c r="C13" i="39"/>
  <c r="B14" i="39"/>
  <c r="EW50" i="3" s="1"/>
  <c r="I9" i="39"/>
  <c r="J9" i="39" s="1"/>
  <c r="C9" i="39"/>
  <c r="B9" i="39"/>
  <c r="ET50" i="3" s="1"/>
  <c r="B8" i="39"/>
  <c r="A8" i="39"/>
  <c r="B7" i="39"/>
  <c r="A7" i="39"/>
  <c r="K222" i="29" s="1"/>
  <c r="I10" i="38"/>
  <c r="I11" i="38"/>
  <c r="D11" i="38"/>
  <c r="E11" i="38" s="1"/>
  <c r="C10" i="38"/>
  <c r="C11" i="38"/>
  <c r="C9" i="38"/>
  <c r="B9" i="38"/>
  <c r="EQ50" i="3" s="1"/>
  <c r="B10" i="38"/>
  <c r="ER50" i="3" s="1"/>
  <c r="B11" i="38"/>
  <c r="ES50" i="3" s="1"/>
  <c r="B8" i="38"/>
  <c r="A8" i="38"/>
  <c r="B7" i="38"/>
  <c r="A7" i="38"/>
  <c r="I148" i="37"/>
  <c r="I116" i="37"/>
  <c r="D116" i="37"/>
  <c r="E116" i="37" s="1"/>
  <c r="I115" i="37"/>
  <c r="D115" i="37"/>
  <c r="E115" i="37" s="1"/>
  <c r="I113" i="37"/>
  <c r="D113" i="37"/>
  <c r="E113" i="37" s="1"/>
  <c r="I112" i="37"/>
  <c r="D112" i="37"/>
  <c r="E112" i="37" s="1"/>
  <c r="I111" i="37"/>
  <c r="D111" i="37"/>
  <c r="E111" i="37" s="1"/>
  <c r="E92" i="37"/>
  <c r="M91" i="37"/>
  <c r="E91" i="37"/>
  <c r="I110" i="37"/>
  <c r="I102" i="37"/>
  <c r="B3" i="49"/>
  <c r="B3" i="42"/>
  <c r="B3" i="41"/>
  <c r="B3" i="40"/>
  <c r="B3" i="39"/>
  <c r="B3" i="38"/>
  <c r="B3" i="37"/>
  <c r="B3" i="36"/>
  <c r="B3" i="35"/>
  <c r="K33" i="3"/>
  <c r="P24" i="3"/>
  <c r="P33" i="3" s="1"/>
  <c r="O24" i="3"/>
  <c r="O33" i="3" s="1"/>
  <c r="N24" i="3"/>
  <c r="N33" i="3" s="1"/>
  <c r="M24" i="3"/>
  <c r="M33" i="3" s="1"/>
  <c r="L24" i="3"/>
  <c r="L33" i="3" s="1"/>
  <c r="P23" i="3"/>
  <c r="H2" i="14"/>
  <c r="I147" i="37"/>
  <c r="I109" i="37"/>
  <c r="I108" i="37"/>
  <c r="K108" i="37" s="1"/>
  <c r="I101" i="37"/>
  <c r="I100" i="37"/>
  <c r="I99" i="37"/>
  <c r="I93" i="37"/>
  <c r="I88" i="37"/>
  <c r="I87" i="37"/>
  <c r="K87" i="37" s="1"/>
  <c r="I86" i="37"/>
  <c r="I84" i="37"/>
  <c r="I83" i="37"/>
  <c r="K83" i="37" s="1"/>
  <c r="I77" i="37"/>
  <c r="I76" i="37"/>
  <c r="I75" i="37"/>
  <c r="B10" i="37"/>
  <c r="BW50" i="3" s="1"/>
  <c r="C10" i="37"/>
  <c r="B11" i="37"/>
  <c r="C11" i="37"/>
  <c r="B12" i="37"/>
  <c r="B13" i="37"/>
  <c r="BX50" i="3" s="1"/>
  <c r="C13" i="37"/>
  <c r="B14" i="37"/>
  <c r="C14" i="37"/>
  <c r="B15" i="37"/>
  <c r="B16" i="37"/>
  <c r="BY50" i="3" s="1"/>
  <c r="C16" i="37"/>
  <c r="B17" i="37"/>
  <c r="C17" i="37"/>
  <c r="B18" i="37"/>
  <c r="B19" i="37"/>
  <c r="BZ50" i="3" s="1"/>
  <c r="C19" i="37"/>
  <c r="B20" i="37"/>
  <c r="C20" i="37"/>
  <c r="B21" i="37"/>
  <c r="B22" i="37"/>
  <c r="CA50" i="3" s="1"/>
  <c r="C22" i="37"/>
  <c r="B23" i="37"/>
  <c r="C23" i="37"/>
  <c r="B24" i="37"/>
  <c r="B25" i="37"/>
  <c r="CB50" i="3" s="1"/>
  <c r="C25" i="37"/>
  <c r="B26" i="37"/>
  <c r="C26" i="37"/>
  <c r="B27" i="37"/>
  <c r="B28" i="37"/>
  <c r="CC50" i="3" s="1"/>
  <c r="C28" i="37"/>
  <c r="B29" i="37"/>
  <c r="C29" i="37"/>
  <c r="A30" i="37"/>
  <c r="B30" i="37"/>
  <c r="B31" i="37"/>
  <c r="B32" i="37"/>
  <c r="CD50" i="3" s="1"/>
  <c r="C32" i="37"/>
  <c r="B33" i="37"/>
  <c r="C33" i="37"/>
  <c r="B34" i="37"/>
  <c r="B35" i="37"/>
  <c r="CE50" i="3" s="1"/>
  <c r="C35" i="37"/>
  <c r="B36" i="37"/>
  <c r="C36" i="37"/>
  <c r="B37" i="37"/>
  <c r="B38" i="37"/>
  <c r="CF50" i="3" s="1"/>
  <c r="C38" i="37"/>
  <c r="B39" i="37"/>
  <c r="C39" i="37"/>
  <c r="B40" i="37"/>
  <c r="B41" i="37"/>
  <c r="CG50" i="3" s="1"/>
  <c r="C41" i="37"/>
  <c r="B42" i="37"/>
  <c r="C42" i="37"/>
  <c r="B43" i="37"/>
  <c r="B44" i="37"/>
  <c r="CH50" i="3" s="1"/>
  <c r="C44" i="37"/>
  <c r="B45" i="37"/>
  <c r="C45" i="37"/>
  <c r="B46" i="37"/>
  <c r="B47" i="37"/>
  <c r="CI50" i="3" s="1"/>
  <c r="C47" i="37"/>
  <c r="B48" i="37"/>
  <c r="C48" i="37"/>
  <c r="B49" i="37"/>
  <c r="B50" i="37"/>
  <c r="CJ50" i="3" s="1"/>
  <c r="C50" i="37"/>
  <c r="B51" i="37"/>
  <c r="C51" i="37"/>
  <c r="A52" i="37"/>
  <c r="B52" i="37"/>
  <c r="B53" i="37"/>
  <c r="B54" i="37"/>
  <c r="CK50" i="3" s="1"/>
  <c r="C54" i="37"/>
  <c r="B55" i="37"/>
  <c r="C55" i="37"/>
  <c r="B56" i="37"/>
  <c r="B57" i="37"/>
  <c r="CL50" i="3" s="1"/>
  <c r="C57" i="37"/>
  <c r="B58" i="37"/>
  <c r="C58" i="37"/>
  <c r="B59" i="37"/>
  <c r="B60" i="37"/>
  <c r="CM50" i="3" s="1"/>
  <c r="C60" i="37"/>
  <c r="B61" i="37"/>
  <c r="C61" i="37"/>
  <c r="B62" i="37"/>
  <c r="B63" i="37"/>
  <c r="CN50" i="3" s="1"/>
  <c r="C63" i="37"/>
  <c r="B64" i="37"/>
  <c r="C64" i="37"/>
  <c r="B65" i="37"/>
  <c r="B66" i="37"/>
  <c r="CO50" i="3" s="1"/>
  <c r="C66" i="37"/>
  <c r="B67" i="37"/>
  <c r="C67" i="37"/>
  <c r="B68" i="37"/>
  <c r="B69" i="37"/>
  <c r="CP50" i="3" s="1"/>
  <c r="C69" i="37"/>
  <c r="B70" i="37"/>
  <c r="C70" i="37"/>
  <c r="B71" i="37"/>
  <c r="B72" i="37"/>
  <c r="CQ50" i="3" s="1"/>
  <c r="C72" i="37"/>
  <c r="B73" i="37"/>
  <c r="C73" i="37"/>
  <c r="A74" i="37"/>
  <c r="B74" i="37"/>
  <c r="B75" i="37"/>
  <c r="CR50" i="3" s="1"/>
  <c r="C75" i="37"/>
  <c r="B76" i="37"/>
  <c r="CS50" i="3" s="1"/>
  <c r="C76" i="37"/>
  <c r="B77" i="37"/>
  <c r="CT50" i="3" s="1"/>
  <c r="C77" i="37"/>
  <c r="A78" i="37"/>
  <c r="B78" i="37"/>
  <c r="A82" i="37"/>
  <c r="B82" i="37"/>
  <c r="B83" i="37"/>
  <c r="CV50" i="3" s="1"/>
  <c r="C83" i="37"/>
  <c r="B84" i="37"/>
  <c r="CW50" i="3" s="1"/>
  <c r="C84" i="37"/>
  <c r="A85" i="37"/>
  <c r="B85" i="37"/>
  <c r="B86" i="37"/>
  <c r="CX50" i="3" s="1"/>
  <c r="C86" i="37"/>
  <c r="B87" i="37"/>
  <c r="CY50" i="3" s="1"/>
  <c r="C87" i="37"/>
  <c r="A88" i="37"/>
  <c r="B88" i="37"/>
  <c r="CZ50" i="3" s="1"/>
  <c r="C88" i="37"/>
  <c r="A89" i="37"/>
  <c r="B89" i="37"/>
  <c r="B91" i="37"/>
  <c r="DA50" i="3" s="1"/>
  <c r="C91" i="37"/>
  <c r="B92" i="37"/>
  <c r="DB50" i="3" s="1"/>
  <c r="C92" i="37"/>
  <c r="B93" i="37"/>
  <c r="DC50" i="3" s="1"/>
  <c r="C93" i="37"/>
  <c r="A98" i="37"/>
  <c r="B98" i="37"/>
  <c r="B99" i="37"/>
  <c r="DD50" i="3" s="1"/>
  <c r="C99" i="37"/>
  <c r="B100" i="37"/>
  <c r="DE50" i="3" s="1"/>
  <c r="C100" i="37"/>
  <c r="B101" i="37"/>
  <c r="DF50" i="3" s="1"/>
  <c r="C101" i="37"/>
  <c r="B102" i="37"/>
  <c r="C102" i="37"/>
  <c r="A107" i="37"/>
  <c r="B107" i="37"/>
  <c r="B108" i="37"/>
  <c r="DG50" i="3" s="1"/>
  <c r="C108" i="37"/>
  <c r="B109" i="37"/>
  <c r="DH50" i="3" s="1"/>
  <c r="C109" i="37"/>
  <c r="B110" i="37"/>
  <c r="C110" i="37"/>
  <c r="B111" i="37"/>
  <c r="DI50" i="3" s="1"/>
  <c r="C111" i="37"/>
  <c r="B112" i="37"/>
  <c r="DJ50" i="3" s="1"/>
  <c r="C112" i="37"/>
  <c r="B113" i="37"/>
  <c r="DK50" i="3" s="1"/>
  <c r="C113" i="37"/>
  <c r="B114" i="37"/>
  <c r="B115" i="37"/>
  <c r="DL50" i="3" s="1"/>
  <c r="C115" i="37"/>
  <c r="B116" i="37"/>
  <c r="DM50" i="3" s="1"/>
  <c r="C116" i="37"/>
  <c r="A117" i="37"/>
  <c r="B117" i="37"/>
  <c r="B118" i="37"/>
  <c r="B147" i="37"/>
  <c r="EP50" i="3" s="1"/>
  <c r="C147" i="37"/>
  <c r="B148" i="37"/>
  <c r="C148" i="37"/>
  <c r="B9" i="37"/>
  <c r="B8" i="37"/>
  <c r="A8" i="37"/>
  <c r="B7" i="37"/>
  <c r="A7" i="37"/>
  <c r="K200" i="29" s="1"/>
  <c r="I71" i="36"/>
  <c r="I39" i="36"/>
  <c r="I38" i="36"/>
  <c r="I36" i="36"/>
  <c r="I35" i="36"/>
  <c r="M35" i="36" s="1"/>
  <c r="I34" i="36"/>
  <c r="I33" i="36"/>
  <c r="I70" i="36"/>
  <c r="I32" i="36"/>
  <c r="D36" i="36"/>
  <c r="E36" i="36" s="1"/>
  <c r="D35" i="36"/>
  <c r="E35" i="36" s="1"/>
  <c r="J26" i="36"/>
  <c r="I18" i="36"/>
  <c r="M18" i="36" s="1"/>
  <c r="I17" i="36"/>
  <c r="I10" i="36"/>
  <c r="I11" i="36"/>
  <c r="M11" i="36" s="1"/>
  <c r="I9" i="36"/>
  <c r="B10" i="36"/>
  <c r="AB50" i="3" s="1"/>
  <c r="C10" i="36"/>
  <c r="B11" i="36"/>
  <c r="AC50" i="3" s="1"/>
  <c r="C11" i="36"/>
  <c r="A16" i="36"/>
  <c r="B16" i="36"/>
  <c r="B17" i="36"/>
  <c r="AD50" i="3" s="1"/>
  <c r="C17" i="36"/>
  <c r="B18" i="36"/>
  <c r="AE50" i="3" s="1"/>
  <c r="C18" i="36"/>
  <c r="AG50" i="3"/>
  <c r="A31" i="36"/>
  <c r="B31" i="36"/>
  <c r="B32" i="36"/>
  <c r="JZ50" i="3" s="1"/>
  <c r="C32" i="36"/>
  <c r="B33" i="36"/>
  <c r="AN50" i="3" s="1"/>
  <c r="C33" i="36"/>
  <c r="B34" i="36"/>
  <c r="AO50" i="3" s="1"/>
  <c r="C34" i="36"/>
  <c r="B35" i="36"/>
  <c r="AP50" i="3" s="1"/>
  <c r="C35" i="36"/>
  <c r="B36" i="36"/>
  <c r="AQ50" i="3" s="1"/>
  <c r="C36" i="36"/>
  <c r="B37" i="36"/>
  <c r="B38" i="36"/>
  <c r="AR50" i="3" s="1"/>
  <c r="C38" i="36"/>
  <c r="B39" i="36"/>
  <c r="AS50" i="3" s="1"/>
  <c r="C39" i="36"/>
  <c r="A40" i="36"/>
  <c r="B40" i="36"/>
  <c r="B41" i="36"/>
  <c r="B70" i="36"/>
  <c r="BV50" i="3" s="1"/>
  <c r="C70" i="36"/>
  <c r="B71" i="36"/>
  <c r="C71" i="36"/>
  <c r="C9" i="36"/>
  <c r="B9" i="36"/>
  <c r="AA50" i="3" s="1"/>
  <c r="B8" i="36"/>
  <c r="A8" i="36"/>
  <c r="B7" i="36"/>
  <c r="A7" i="36"/>
  <c r="K89" i="29" s="1"/>
  <c r="C2" i="25"/>
  <c r="L30" i="25"/>
  <c r="D17" i="27" s="1"/>
  <c r="L28" i="25"/>
  <c r="D16" i="27" s="1"/>
  <c r="L26" i="25"/>
  <c r="D15" i="27" s="1"/>
  <c r="L24" i="25"/>
  <c r="D14" i="27" s="1"/>
  <c r="L22" i="25"/>
  <c r="D13" i="27" s="1"/>
  <c r="L20" i="25"/>
  <c r="D12" i="27" s="1"/>
  <c r="L18" i="25"/>
  <c r="D11" i="27" s="1"/>
  <c r="L16" i="25"/>
  <c r="D10" i="27" s="1"/>
  <c r="F4" i="24"/>
  <c r="F67" i="24" s="1"/>
  <c r="D2" i="46"/>
  <c r="D65" i="46" s="1"/>
  <c r="D2" i="24"/>
  <c r="D65" i="24" s="1"/>
  <c r="C3" i="24"/>
  <c r="C66" i="24" s="1"/>
  <c r="C3" i="46"/>
  <c r="C66" i="46" s="1"/>
  <c r="B400" i="8"/>
  <c r="B30" i="25" s="1"/>
  <c r="B17" i="27" s="1"/>
  <c r="A400" i="8"/>
  <c r="A30" i="25" s="1"/>
  <c r="A17" i="27" s="1"/>
  <c r="D357" i="8"/>
  <c r="D355" i="8"/>
  <c r="D230" i="8"/>
  <c r="F230" i="8" s="1"/>
  <c r="D192" i="8"/>
  <c r="F192" i="8" s="1"/>
  <c r="D86" i="8"/>
  <c r="K66" i="36" l="1"/>
  <c r="K58" i="36"/>
  <c r="K50" i="36"/>
  <c r="K42" i="36"/>
  <c r="K65" i="36"/>
  <c r="K57" i="36"/>
  <c r="K49" i="36"/>
  <c r="K48" i="36"/>
  <c r="K63" i="36"/>
  <c r="K55" i="36"/>
  <c r="K47" i="36"/>
  <c r="L131" i="29"/>
  <c r="K131" i="29" s="1"/>
  <c r="K10" i="38"/>
  <c r="K86" i="37"/>
  <c r="K99" i="37"/>
  <c r="K59" i="40"/>
  <c r="E60" i="40" s="1"/>
  <c r="K60" i="40" s="1"/>
  <c r="L331" i="29"/>
  <c r="K331" i="29" s="1"/>
  <c r="L72" i="29"/>
  <c r="K72" i="29"/>
  <c r="K63" i="29"/>
  <c r="K55" i="29"/>
  <c r="L11" i="29"/>
  <c r="K56" i="36"/>
  <c r="K52" i="36"/>
  <c r="K60" i="36"/>
  <c r="K64" i="36"/>
  <c r="K100" i="37"/>
  <c r="K41" i="40"/>
  <c r="E42" i="40" s="1"/>
  <c r="K52" i="40"/>
  <c r="E53" i="40" s="1"/>
  <c r="K322" i="29"/>
  <c r="K75" i="37"/>
  <c r="K84" i="37"/>
  <c r="L314" i="29"/>
  <c r="IF50" i="3"/>
  <c r="IE50" i="3"/>
  <c r="HW50" i="3"/>
  <c r="HX50" i="3"/>
  <c r="IJ50" i="3"/>
  <c r="II50" i="3"/>
  <c r="HY50" i="3"/>
  <c r="HZ50" i="3"/>
  <c r="HM50" i="3"/>
  <c r="HN50" i="3"/>
  <c r="IK50" i="3"/>
  <c r="IL50" i="3"/>
  <c r="IO50" i="3"/>
  <c r="IP50" i="3"/>
  <c r="JD50" i="3"/>
  <c r="JC50" i="3"/>
  <c r="IV50" i="3"/>
  <c r="IU50" i="3"/>
  <c r="JG50" i="3"/>
  <c r="JH50" i="3"/>
  <c r="HK50" i="3"/>
  <c r="HL50" i="3"/>
  <c r="JA50" i="3"/>
  <c r="JB50" i="3"/>
  <c r="JE50" i="3"/>
  <c r="JF50" i="3"/>
  <c r="IB50" i="3"/>
  <c r="IA50" i="3"/>
  <c r="HS50" i="3"/>
  <c r="HT50" i="3"/>
  <c r="HP50" i="3"/>
  <c r="HO50" i="3"/>
  <c r="HG50" i="3"/>
  <c r="HH50" i="3"/>
  <c r="IN50" i="3"/>
  <c r="IM50" i="3"/>
  <c r="IR50" i="3"/>
  <c r="IQ50" i="3"/>
  <c r="IW50" i="3"/>
  <c r="IX50" i="3"/>
  <c r="IC50" i="3"/>
  <c r="ID50" i="3"/>
  <c r="HU50" i="3"/>
  <c r="HV50" i="3"/>
  <c r="HQ50" i="3"/>
  <c r="HR50" i="3"/>
  <c r="HI50" i="3"/>
  <c r="HJ50" i="3"/>
  <c r="IG50" i="3"/>
  <c r="IH50" i="3"/>
  <c r="IS50" i="3"/>
  <c r="IT50" i="3"/>
  <c r="IZ50" i="3"/>
  <c r="IY50" i="3"/>
  <c r="HE50" i="3"/>
  <c r="HF50" i="3"/>
  <c r="HA50" i="3"/>
  <c r="HB50" i="3"/>
  <c r="GY50" i="3"/>
  <c r="GZ50" i="3"/>
  <c r="HC50" i="3"/>
  <c r="HD50" i="3"/>
  <c r="GW50" i="3"/>
  <c r="GX50" i="3"/>
  <c r="GR50" i="3"/>
  <c r="GQ50" i="3"/>
  <c r="GT50" i="3"/>
  <c r="GS50" i="3"/>
  <c r="GU50" i="3"/>
  <c r="GV50" i="3"/>
  <c r="J26" i="41"/>
  <c r="E6" i="18"/>
  <c r="G6" i="18"/>
  <c r="H6" i="18"/>
  <c r="E6" i="19"/>
  <c r="G6" i="19"/>
  <c r="H6" i="19"/>
  <c r="H6" i="20"/>
  <c r="E6" i="20"/>
  <c r="G6" i="20"/>
  <c r="G6" i="16"/>
  <c r="E155" i="1" s="1"/>
  <c r="G6" i="21"/>
  <c r="H6" i="21"/>
  <c r="E6" i="21"/>
  <c r="G6" i="17"/>
  <c r="K29" i="36"/>
  <c r="K76" i="37"/>
  <c r="K88" i="37"/>
  <c r="K109" i="37"/>
  <c r="E110" i="37" s="1"/>
  <c r="K110" i="37" s="1"/>
  <c r="K38" i="40"/>
  <c r="E39" i="40" s="1"/>
  <c r="K39" i="40" s="1"/>
  <c r="K45" i="40"/>
  <c r="E46" i="40" s="1"/>
  <c r="K46" i="40" s="1"/>
  <c r="K23" i="41"/>
  <c r="E24" i="41" s="1"/>
  <c r="K24" i="41" s="1"/>
  <c r="E96" i="47"/>
  <c r="E122" i="47"/>
  <c r="D10" i="42"/>
  <c r="J10" i="42" s="1"/>
  <c r="F355" i="8"/>
  <c r="Y5" i="3"/>
  <c r="Y4" i="3"/>
  <c r="A292" i="9"/>
  <c r="A228" i="9"/>
  <c r="A164" i="9"/>
  <c r="A317" i="11"/>
  <c r="H317" i="11" s="1"/>
  <c r="A316" i="11"/>
  <c r="H316" i="11" s="1"/>
  <c r="A313" i="11"/>
  <c r="H313" i="11" s="1"/>
  <c r="A312" i="11"/>
  <c r="H312" i="11" s="1"/>
  <c r="A309" i="11"/>
  <c r="H309" i="11" s="1"/>
  <c r="A308" i="11"/>
  <c r="H308" i="11" s="1"/>
  <c r="A305" i="11"/>
  <c r="H305" i="11" s="1"/>
  <c r="A304" i="11"/>
  <c r="H304" i="11" s="1"/>
  <c r="A301" i="11"/>
  <c r="H301" i="11" s="1"/>
  <c r="A300" i="11"/>
  <c r="H300" i="11" s="1"/>
  <c r="A297" i="11"/>
  <c r="H297" i="11" s="1"/>
  <c r="A296" i="11"/>
  <c r="H296" i="11" s="1"/>
  <c r="A293" i="11"/>
  <c r="H293" i="11" s="1"/>
  <c r="A289" i="11"/>
  <c r="H289" i="11" s="1"/>
  <c r="A285" i="11"/>
  <c r="H285" i="11" s="1"/>
  <c r="A281" i="11"/>
  <c r="H281" i="11" s="1"/>
  <c r="A277" i="11"/>
  <c r="H277" i="11" s="1"/>
  <c r="A273" i="11"/>
  <c r="H273" i="11" s="1"/>
  <c r="A269" i="11"/>
  <c r="H269" i="11" s="1"/>
  <c r="A265" i="11"/>
  <c r="H265" i="11" s="1"/>
  <c r="A261" i="11"/>
  <c r="H261" i="11" s="1"/>
  <c r="A257" i="11"/>
  <c r="H257" i="11" s="1"/>
  <c r="A253" i="11"/>
  <c r="H253" i="11" s="1"/>
  <c r="A249" i="11"/>
  <c r="H249" i="11" s="1"/>
  <c r="A245" i="11"/>
  <c r="H245" i="11" s="1"/>
  <c r="A241" i="11"/>
  <c r="H241" i="11" s="1"/>
  <c r="A237" i="11"/>
  <c r="H237" i="11" s="1"/>
  <c r="A233" i="11"/>
  <c r="H233" i="11" s="1"/>
  <c r="A229" i="11"/>
  <c r="H229" i="11" s="1"/>
  <c r="A225" i="11"/>
  <c r="H225" i="11" s="1"/>
  <c r="A221" i="11"/>
  <c r="H221" i="11" s="1"/>
  <c r="A217" i="11"/>
  <c r="H217" i="11" s="1"/>
  <c r="A213" i="11"/>
  <c r="H213" i="11" s="1"/>
  <c r="A209" i="11"/>
  <c r="H209" i="11" s="1"/>
  <c r="A205" i="11"/>
  <c r="H205" i="11" s="1"/>
  <c r="A201" i="11"/>
  <c r="H201" i="11" s="1"/>
  <c r="A197" i="11"/>
  <c r="H197" i="11" s="1"/>
  <c r="A193" i="11"/>
  <c r="H193" i="11" s="1"/>
  <c r="A189" i="11"/>
  <c r="H189" i="11" s="1"/>
  <c r="A185" i="11"/>
  <c r="H185" i="11" s="1"/>
  <c r="A181" i="11"/>
  <c r="H181" i="11" s="1"/>
  <c r="A177" i="11"/>
  <c r="H177" i="11" s="1"/>
  <c r="A173" i="11"/>
  <c r="A169" i="11"/>
  <c r="A165" i="11"/>
  <c r="H165" i="11" s="1"/>
  <c r="A161" i="11"/>
  <c r="H161" i="11" s="1"/>
  <c r="A157" i="11"/>
  <c r="A153" i="11"/>
  <c r="H153" i="11" s="1"/>
  <c r="A149" i="11"/>
  <c r="H149" i="11" s="1"/>
  <c r="A145" i="11"/>
  <c r="H145" i="11" s="1"/>
  <c r="E96" i="46"/>
  <c r="E122" i="46"/>
  <c r="G301" i="3"/>
  <c r="G302" i="3" s="1"/>
  <c r="H302" i="3"/>
  <c r="A276" i="9"/>
  <c r="A212" i="9"/>
  <c r="A148" i="9"/>
  <c r="A143" i="11"/>
  <c r="H143" i="11" s="1"/>
  <c r="A318" i="11"/>
  <c r="H318" i="11" s="1"/>
  <c r="A315" i="11"/>
  <c r="H315" i="11" s="1"/>
  <c r="A314" i="11"/>
  <c r="H314" i="11" s="1"/>
  <c r="A311" i="11"/>
  <c r="H311" i="11" s="1"/>
  <c r="A310" i="11"/>
  <c r="H310" i="11" s="1"/>
  <c r="A307" i="11"/>
  <c r="H307" i="11" s="1"/>
  <c r="A306" i="11"/>
  <c r="H306" i="11" s="1"/>
  <c r="A303" i="11"/>
  <c r="H303" i="11" s="1"/>
  <c r="A302" i="11"/>
  <c r="H302" i="11" s="1"/>
  <c r="A299" i="11"/>
  <c r="H299" i="11" s="1"/>
  <c r="A298" i="11"/>
  <c r="H298" i="11" s="1"/>
  <c r="A295" i="11"/>
  <c r="H295" i="11" s="1"/>
  <c r="A294" i="11"/>
  <c r="H294" i="11" s="1"/>
  <c r="A291" i="11"/>
  <c r="H291" i="11" s="1"/>
  <c r="A287" i="11"/>
  <c r="H287" i="11" s="1"/>
  <c r="A283" i="11"/>
  <c r="H283" i="11" s="1"/>
  <c r="A279" i="11"/>
  <c r="H279" i="11" s="1"/>
  <c r="A275" i="11"/>
  <c r="H275" i="11" s="1"/>
  <c r="A271" i="11"/>
  <c r="H271" i="11" s="1"/>
  <c r="A267" i="11"/>
  <c r="H267" i="11" s="1"/>
  <c r="A263" i="11"/>
  <c r="H263" i="11" s="1"/>
  <c r="A259" i="11"/>
  <c r="H259" i="11" s="1"/>
  <c r="A255" i="11"/>
  <c r="H255" i="11" s="1"/>
  <c r="A251" i="11"/>
  <c r="H251" i="11" s="1"/>
  <c r="A247" i="11"/>
  <c r="H247" i="11" s="1"/>
  <c r="A243" i="11"/>
  <c r="H243" i="11" s="1"/>
  <c r="A239" i="11"/>
  <c r="H239" i="11" s="1"/>
  <c r="A235" i="11"/>
  <c r="H235" i="11" s="1"/>
  <c r="A231" i="11"/>
  <c r="H231" i="11" s="1"/>
  <c r="A227" i="11"/>
  <c r="H227" i="11" s="1"/>
  <c r="A223" i="11"/>
  <c r="H223" i="11" s="1"/>
  <c r="A219" i="11"/>
  <c r="H219" i="11" s="1"/>
  <c r="A215" i="11"/>
  <c r="H215" i="11" s="1"/>
  <c r="A211" i="11"/>
  <c r="H211" i="11" s="1"/>
  <c r="A207" i="11"/>
  <c r="H207" i="11" s="1"/>
  <c r="A203" i="11"/>
  <c r="H203" i="11" s="1"/>
  <c r="A199" i="11"/>
  <c r="H199" i="11" s="1"/>
  <c r="A195" i="11"/>
  <c r="H195" i="11" s="1"/>
  <c r="A191" i="11"/>
  <c r="H191" i="11" s="1"/>
  <c r="A187" i="11"/>
  <c r="H187" i="11" s="1"/>
  <c r="A184" i="11"/>
  <c r="H184" i="11" s="1"/>
  <c r="A180" i="11"/>
  <c r="H180" i="11" s="1"/>
  <c r="A176" i="11"/>
  <c r="H176" i="11" s="1"/>
  <c r="A172" i="11"/>
  <c r="H172" i="11" s="1"/>
  <c r="A168" i="11"/>
  <c r="A164" i="11"/>
  <c r="H164" i="11" s="1"/>
  <c r="A160" i="11"/>
  <c r="H160" i="11" s="1"/>
  <c r="A156" i="11"/>
  <c r="A152" i="11"/>
  <c r="H152" i="11" s="1"/>
  <c r="A148" i="11"/>
  <c r="H148" i="11" s="1"/>
  <c r="A144" i="11"/>
  <c r="D12" i="42"/>
  <c r="J12" i="42" s="1"/>
  <c r="F357" i="8"/>
  <c r="F86" i="8"/>
  <c r="A182" i="11"/>
  <c r="H182" i="11" s="1"/>
  <c r="A178" i="11"/>
  <c r="H178" i="11" s="1"/>
  <c r="A174" i="11"/>
  <c r="H174" i="11" s="1"/>
  <c r="A170" i="11"/>
  <c r="H170" i="11" s="1"/>
  <c r="A166" i="11"/>
  <c r="H166" i="11" s="1"/>
  <c r="A162" i="11"/>
  <c r="H162" i="11" s="1"/>
  <c r="A158" i="11"/>
  <c r="A154" i="11"/>
  <c r="H154" i="11" s="1"/>
  <c r="A150" i="11"/>
  <c r="H150" i="11" s="1"/>
  <c r="A146" i="11"/>
  <c r="H146" i="11" s="1"/>
  <c r="A292" i="11"/>
  <c r="H292" i="11" s="1"/>
  <c r="A290" i="11"/>
  <c r="H290" i="11" s="1"/>
  <c r="A288" i="11"/>
  <c r="H288" i="11" s="1"/>
  <c r="A286" i="11"/>
  <c r="H286" i="11" s="1"/>
  <c r="A284" i="11"/>
  <c r="H284" i="11" s="1"/>
  <c r="A282" i="11"/>
  <c r="H282" i="11" s="1"/>
  <c r="A280" i="11"/>
  <c r="H280" i="11" s="1"/>
  <c r="A278" i="11"/>
  <c r="H278" i="11" s="1"/>
  <c r="A276" i="11"/>
  <c r="H276" i="11" s="1"/>
  <c r="A274" i="11"/>
  <c r="H274" i="11" s="1"/>
  <c r="A272" i="11"/>
  <c r="H272" i="11" s="1"/>
  <c r="A270" i="11"/>
  <c r="H270" i="11" s="1"/>
  <c r="A268" i="11"/>
  <c r="H268" i="11" s="1"/>
  <c r="A266" i="11"/>
  <c r="H266" i="11" s="1"/>
  <c r="A264" i="11"/>
  <c r="H264" i="11" s="1"/>
  <c r="A262" i="11"/>
  <c r="H262" i="11" s="1"/>
  <c r="A260" i="11"/>
  <c r="H260" i="11" s="1"/>
  <c r="A258" i="11"/>
  <c r="H258" i="11" s="1"/>
  <c r="A256" i="11"/>
  <c r="H256" i="11" s="1"/>
  <c r="A254" i="11"/>
  <c r="H254" i="11" s="1"/>
  <c r="A252" i="11"/>
  <c r="H252" i="11" s="1"/>
  <c r="A250" i="11"/>
  <c r="H250" i="11" s="1"/>
  <c r="A248" i="11"/>
  <c r="H248" i="11" s="1"/>
  <c r="A246" i="11"/>
  <c r="H246" i="11" s="1"/>
  <c r="A244" i="11"/>
  <c r="H244" i="11" s="1"/>
  <c r="A242" i="11"/>
  <c r="H242" i="11" s="1"/>
  <c r="A240" i="11"/>
  <c r="H240" i="11" s="1"/>
  <c r="A238" i="11"/>
  <c r="H238" i="11" s="1"/>
  <c r="A236" i="11"/>
  <c r="H236" i="11" s="1"/>
  <c r="A234" i="11"/>
  <c r="H234" i="11" s="1"/>
  <c r="A232" i="11"/>
  <c r="H232" i="11" s="1"/>
  <c r="A230" i="11"/>
  <c r="H230" i="11" s="1"/>
  <c r="A228" i="11"/>
  <c r="H228" i="11" s="1"/>
  <c r="A226" i="11"/>
  <c r="H226" i="11" s="1"/>
  <c r="A224" i="11"/>
  <c r="H224" i="11" s="1"/>
  <c r="A222" i="11"/>
  <c r="H222" i="11" s="1"/>
  <c r="A220" i="11"/>
  <c r="H220" i="11" s="1"/>
  <c r="A218" i="11"/>
  <c r="H218" i="11" s="1"/>
  <c r="A216" i="11"/>
  <c r="H216" i="11" s="1"/>
  <c r="A214" i="11"/>
  <c r="H214" i="11" s="1"/>
  <c r="A212" i="11"/>
  <c r="H212" i="11" s="1"/>
  <c r="A210" i="11"/>
  <c r="H210" i="11" s="1"/>
  <c r="A208" i="11"/>
  <c r="H208" i="11" s="1"/>
  <c r="A206" i="11"/>
  <c r="H206" i="11" s="1"/>
  <c r="A204" i="11"/>
  <c r="H204" i="11" s="1"/>
  <c r="A202" i="11"/>
  <c r="H202" i="11" s="1"/>
  <c r="A200" i="11"/>
  <c r="H200" i="11" s="1"/>
  <c r="A198" i="11"/>
  <c r="H198" i="11" s="1"/>
  <c r="A196" i="11"/>
  <c r="H196" i="11" s="1"/>
  <c r="A194" i="11"/>
  <c r="H194" i="11" s="1"/>
  <c r="A192" i="11"/>
  <c r="H192" i="11" s="1"/>
  <c r="A190" i="11"/>
  <c r="H190" i="11" s="1"/>
  <c r="A188" i="11"/>
  <c r="H188" i="11" s="1"/>
  <c r="A186" i="11"/>
  <c r="H186" i="11" s="1"/>
  <c r="A183" i="11"/>
  <c r="H183" i="11" s="1"/>
  <c r="A179" i="11"/>
  <c r="A175" i="11"/>
  <c r="H175" i="11" s="1"/>
  <c r="A171" i="11"/>
  <c r="H171" i="11" s="1"/>
  <c r="A167" i="11"/>
  <c r="H167" i="11" s="1"/>
  <c r="A163" i="11"/>
  <c r="A159" i="11"/>
  <c r="H159" i="11" s="1"/>
  <c r="A155" i="11"/>
  <c r="H155" i="11" s="1"/>
  <c r="A151" i="11"/>
  <c r="H151" i="11" s="1"/>
  <c r="K313" i="9"/>
  <c r="K315" i="9"/>
  <c r="A308" i="9"/>
  <c r="A244" i="9"/>
  <c r="A180" i="9"/>
  <c r="A143" i="9"/>
  <c r="H143" i="9" s="1"/>
  <c r="A260" i="9"/>
  <c r="A196" i="9"/>
  <c r="J68" i="36"/>
  <c r="J52" i="36"/>
  <c r="J56" i="36"/>
  <c r="J60" i="36"/>
  <c r="J64" i="36"/>
  <c r="J48" i="36"/>
  <c r="H179" i="11"/>
  <c r="H173" i="11"/>
  <c r="H169" i="11"/>
  <c r="H168" i="11"/>
  <c r="H163" i="11"/>
  <c r="H158" i="11"/>
  <c r="H157" i="11"/>
  <c r="H156" i="11"/>
  <c r="H147" i="11"/>
  <c r="H144" i="11"/>
  <c r="K143" i="9"/>
  <c r="K145" i="9"/>
  <c r="K147" i="9"/>
  <c r="K149" i="9"/>
  <c r="K151" i="9"/>
  <c r="K153" i="9"/>
  <c r="K155" i="9"/>
  <c r="K157" i="9"/>
  <c r="K159" i="9"/>
  <c r="K161" i="9"/>
  <c r="K163" i="9"/>
  <c r="K165" i="9"/>
  <c r="K167" i="9"/>
  <c r="K169" i="9"/>
  <c r="K171" i="9"/>
  <c r="K173" i="9"/>
  <c r="K175" i="9"/>
  <c r="K177" i="9"/>
  <c r="K179" i="9"/>
  <c r="K181" i="9"/>
  <c r="K183" i="9"/>
  <c r="K185" i="9"/>
  <c r="K187" i="9"/>
  <c r="K189" i="9"/>
  <c r="K191" i="9"/>
  <c r="K193" i="9"/>
  <c r="K195" i="9"/>
  <c r="K197" i="9"/>
  <c r="K199" i="9"/>
  <c r="K201" i="9"/>
  <c r="K203" i="9"/>
  <c r="K205" i="9"/>
  <c r="K207" i="9"/>
  <c r="K209" i="9"/>
  <c r="K211" i="9"/>
  <c r="K213" i="9"/>
  <c r="K215" i="9"/>
  <c r="K217" i="9"/>
  <c r="K219" i="9"/>
  <c r="K221" i="9"/>
  <c r="K223" i="9"/>
  <c r="K225" i="9"/>
  <c r="K227" i="9"/>
  <c r="K229" i="9"/>
  <c r="K231" i="9"/>
  <c r="K233" i="9"/>
  <c r="K235" i="9"/>
  <c r="K237" i="9"/>
  <c r="K239" i="9"/>
  <c r="K241" i="9"/>
  <c r="K243" i="9"/>
  <c r="K245" i="9"/>
  <c r="K247" i="9"/>
  <c r="K249" i="9"/>
  <c r="K251" i="9"/>
  <c r="K253" i="9"/>
  <c r="K255" i="9"/>
  <c r="K257" i="9"/>
  <c r="K259" i="9"/>
  <c r="K261" i="9"/>
  <c r="K263" i="9"/>
  <c r="K265" i="9"/>
  <c r="K267" i="9"/>
  <c r="K269" i="9"/>
  <c r="K271" i="9"/>
  <c r="K273" i="9"/>
  <c r="K275" i="9"/>
  <c r="K277" i="9"/>
  <c r="K279" i="9"/>
  <c r="K281" i="9"/>
  <c r="K283" i="9"/>
  <c r="K285" i="9"/>
  <c r="K287" i="9"/>
  <c r="K289" i="9"/>
  <c r="K291" i="9"/>
  <c r="K293" i="9"/>
  <c r="K295" i="9"/>
  <c r="K297" i="9"/>
  <c r="K299" i="9"/>
  <c r="K301" i="9"/>
  <c r="K303" i="9"/>
  <c r="K305" i="9"/>
  <c r="K307" i="9"/>
  <c r="K309" i="9"/>
  <c r="K311" i="9"/>
  <c r="K144" i="9"/>
  <c r="K146" i="9"/>
  <c r="K148" i="9"/>
  <c r="K150" i="9"/>
  <c r="K152" i="9"/>
  <c r="K154" i="9"/>
  <c r="K156" i="9"/>
  <c r="K158" i="9"/>
  <c r="K160" i="9"/>
  <c r="K162" i="9"/>
  <c r="K164" i="9"/>
  <c r="K166" i="9"/>
  <c r="K168" i="9"/>
  <c r="K170" i="9"/>
  <c r="K172" i="9"/>
  <c r="K174" i="9"/>
  <c r="K176" i="9"/>
  <c r="K178" i="9"/>
  <c r="K180" i="9"/>
  <c r="K182" i="9"/>
  <c r="K184" i="9"/>
  <c r="K186" i="9"/>
  <c r="K188" i="9"/>
  <c r="K190" i="9"/>
  <c r="K192" i="9"/>
  <c r="K194" i="9"/>
  <c r="K196" i="9"/>
  <c r="K198" i="9"/>
  <c r="K200" i="9"/>
  <c r="K202" i="9"/>
  <c r="K204" i="9"/>
  <c r="K206" i="9"/>
  <c r="K208" i="9"/>
  <c r="K210" i="9"/>
  <c r="K212" i="9"/>
  <c r="K214" i="9"/>
  <c r="K216" i="9"/>
  <c r="K218" i="9"/>
  <c r="K220" i="9"/>
  <c r="K222" i="9"/>
  <c r="K224" i="9"/>
  <c r="K226" i="9"/>
  <c r="K228" i="9"/>
  <c r="K230" i="9"/>
  <c r="K232" i="9"/>
  <c r="K234" i="9"/>
  <c r="K236" i="9"/>
  <c r="K238" i="9"/>
  <c r="K240" i="9"/>
  <c r="K242" i="9"/>
  <c r="K244" i="9"/>
  <c r="K246" i="9"/>
  <c r="K248" i="9"/>
  <c r="K250" i="9"/>
  <c r="K252" i="9"/>
  <c r="K254" i="9"/>
  <c r="K256" i="9"/>
  <c r="K258" i="9"/>
  <c r="K260" i="9"/>
  <c r="K262" i="9"/>
  <c r="K264" i="9"/>
  <c r="K266" i="9"/>
  <c r="K268" i="9"/>
  <c r="K270" i="9"/>
  <c r="K272" i="9"/>
  <c r="K274" i="9"/>
  <c r="K276" i="9"/>
  <c r="K278" i="9"/>
  <c r="K280" i="9"/>
  <c r="K282" i="9"/>
  <c r="K284" i="9"/>
  <c r="K286" i="9"/>
  <c r="K288" i="9"/>
  <c r="K290" i="9"/>
  <c r="K292" i="9"/>
  <c r="K294" i="9"/>
  <c r="K296" i="9"/>
  <c r="K298" i="9"/>
  <c r="K300" i="9"/>
  <c r="K302" i="9"/>
  <c r="K304" i="9"/>
  <c r="K306" i="9"/>
  <c r="K308" i="9"/>
  <c r="K310" i="9"/>
  <c r="K312" i="9"/>
  <c r="K318" i="9"/>
  <c r="K316" i="9"/>
  <c r="K314" i="9"/>
  <c r="A315" i="9"/>
  <c r="A300" i="9"/>
  <c r="A284" i="9"/>
  <c r="A268" i="9"/>
  <c r="A252" i="9"/>
  <c r="A236" i="9"/>
  <c r="A220" i="9"/>
  <c r="A204" i="9"/>
  <c r="A188" i="9"/>
  <c r="A172" i="9"/>
  <c r="A156" i="9"/>
  <c r="A317" i="9"/>
  <c r="A312" i="9"/>
  <c r="A304" i="9"/>
  <c r="A296" i="9"/>
  <c r="A288" i="9"/>
  <c r="A280" i="9"/>
  <c r="A272" i="9"/>
  <c r="A264" i="9"/>
  <c r="A256" i="9"/>
  <c r="A248" i="9"/>
  <c r="A240" i="9"/>
  <c r="A232" i="9"/>
  <c r="A224" i="9"/>
  <c r="A216" i="9"/>
  <c r="A208" i="9"/>
  <c r="A200" i="9"/>
  <c r="A192" i="9"/>
  <c r="A184" i="9"/>
  <c r="A176" i="9"/>
  <c r="A168" i="9"/>
  <c r="A160" i="9"/>
  <c r="A152" i="9"/>
  <c r="A145" i="9"/>
  <c r="A147" i="9"/>
  <c r="A149" i="9"/>
  <c r="A151" i="9"/>
  <c r="A153" i="9"/>
  <c r="A155" i="9"/>
  <c r="A157" i="9"/>
  <c r="A159" i="9"/>
  <c r="A161" i="9"/>
  <c r="A163" i="9"/>
  <c r="A165" i="9"/>
  <c r="A167" i="9"/>
  <c r="A169" i="9"/>
  <c r="A171" i="9"/>
  <c r="A173" i="9"/>
  <c r="A175" i="9"/>
  <c r="A177" i="9"/>
  <c r="A179" i="9"/>
  <c r="A181" i="9"/>
  <c r="A183" i="9"/>
  <c r="A185" i="9"/>
  <c r="A187" i="9"/>
  <c r="A189" i="9"/>
  <c r="A191" i="9"/>
  <c r="A193" i="9"/>
  <c r="A195" i="9"/>
  <c r="A197" i="9"/>
  <c r="A199" i="9"/>
  <c r="A201" i="9"/>
  <c r="A203" i="9"/>
  <c r="A205" i="9"/>
  <c r="A207" i="9"/>
  <c r="A209" i="9"/>
  <c r="A211" i="9"/>
  <c r="A213" i="9"/>
  <c r="A215" i="9"/>
  <c r="A217" i="9"/>
  <c r="A219" i="9"/>
  <c r="A221" i="9"/>
  <c r="A223" i="9"/>
  <c r="A225" i="9"/>
  <c r="A227" i="9"/>
  <c r="A229" i="9"/>
  <c r="A231" i="9"/>
  <c r="A233" i="9"/>
  <c r="A235" i="9"/>
  <c r="A237" i="9"/>
  <c r="A239" i="9"/>
  <c r="A241" i="9"/>
  <c r="A243" i="9"/>
  <c r="A245" i="9"/>
  <c r="A247" i="9"/>
  <c r="A249" i="9"/>
  <c r="A251" i="9"/>
  <c r="A253" i="9"/>
  <c r="A255" i="9"/>
  <c r="A257" i="9"/>
  <c r="A259" i="9"/>
  <c r="A261" i="9"/>
  <c r="A263" i="9"/>
  <c r="A265" i="9"/>
  <c r="A267" i="9"/>
  <c r="A269" i="9"/>
  <c r="A271" i="9"/>
  <c r="A273" i="9"/>
  <c r="A275" i="9"/>
  <c r="A277" i="9"/>
  <c r="A279" i="9"/>
  <c r="A281" i="9"/>
  <c r="A283" i="9"/>
  <c r="A285" i="9"/>
  <c r="A287" i="9"/>
  <c r="A289" i="9"/>
  <c r="A291" i="9"/>
  <c r="A293" i="9"/>
  <c r="A295" i="9"/>
  <c r="A297" i="9"/>
  <c r="A299" i="9"/>
  <c r="A301" i="9"/>
  <c r="A303" i="9"/>
  <c r="A305" i="9"/>
  <c r="A307" i="9"/>
  <c r="A309" i="9"/>
  <c r="A311" i="9"/>
  <c r="A313" i="9"/>
  <c r="A318" i="9"/>
  <c r="A316" i="9"/>
  <c r="A314" i="9"/>
  <c r="A310" i="9"/>
  <c r="A306" i="9"/>
  <c r="A302" i="9"/>
  <c r="A298" i="9"/>
  <c r="A294" i="9"/>
  <c r="A290" i="9"/>
  <c r="A286" i="9"/>
  <c r="A282" i="9"/>
  <c r="A278" i="9"/>
  <c r="A274" i="9"/>
  <c r="A270" i="9"/>
  <c r="A266" i="9"/>
  <c r="A262" i="9"/>
  <c r="A258" i="9"/>
  <c r="A254" i="9"/>
  <c r="A250" i="9"/>
  <c r="A246" i="9"/>
  <c r="A242" i="9"/>
  <c r="A238" i="9"/>
  <c r="A234" i="9"/>
  <c r="A230" i="9"/>
  <c r="A226" i="9"/>
  <c r="A222" i="9"/>
  <c r="A218" i="9"/>
  <c r="A214" i="9"/>
  <c r="A210" i="9"/>
  <c r="A206" i="9"/>
  <c r="A202" i="9"/>
  <c r="A198" i="9"/>
  <c r="A194" i="9"/>
  <c r="A190" i="9"/>
  <c r="A186" i="9"/>
  <c r="A182" i="9"/>
  <c r="A178" i="9"/>
  <c r="A174" i="9"/>
  <c r="A170" i="9"/>
  <c r="A166" i="9"/>
  <c r="A162" i="9"/>
  <c r="A158" i="9"/>
  <c r="A154" i="9"/>
  <c r="A150" i="9"/>
  <c r="A146" i="9"/>
  <c r="B29" i="9"/>
  <c r="L137" i="9" s="1"/>
  <c r="B133" i="9"/>
  <c r="R143" i="9"/>
  <c r="B137" i="9"/>
  <c r="K11" i="38"/>
  <c r="K55" i="40"/>
  <c r="K56" i="40"/>
  <c r="K16" i="41"/>
  <c r="K26" i="41"/>
  <c r="K120" i="37"/>
  <c r="K124" i="37"/>
  <c r="K128" i="37"/>
  <c r="K132" i="37"/>
  <c r="K136" i="37"/>
  <c r="K140" i="37"/>
  <c r="K144" i="37"/>
  <c r="O36" i="28"/>
  <c r="Q36" i="28" s="1"/>
  <c r="O38" i="28"/>
  <c r="Q38" i="28" s="1"/>
  <c r="O40" i="28"/>
  <c r="O42" i="28"/>
  <c r="Q42" i="28" s="1"/>
  <c r="O44" i="28"/>
  <c r="Q44" i="28" s="1"/>
  <c r="O46" i="28"/>
  <c r="Q46" i="28" s="1"/>
  <c r="O48" i="28"/>
  <c r="O50" i="28"/>
  <c r="O52" i="28"/>
  <c r="Q52" i="28" s="1"/>
  <c r="O108" i="28"/>
  <c r="Q108" i="28" s="1"/>
  <c r="O109" i="28"/>
  <c r="Q109" i="28" s="1"/>
  <c r="O112" i="28"/>
  <c r="O113" i="28"/>
  <c r="Q113" i="28" s="1"/>
  <c r="O116" i="28"/>
  <c r="Q116" i="28" s="1"/>
  <c r="O117" i="28"/>
  <c r="Q117" i="28" s="1"/>
  <c r="O120" i="28"/>
  <c r="Q120" i="28" s="1"/>
  <c r="O121" i="28"/>
  <c r="Q121" i="28" s="1"/>
  <c r="O124" i="28"/>
  <c r="Q124" i="28" s="1"/>
  <c r="J69" i="36"/>
  <c r="J67" i="36"/>
  <c r="J65" i="36"/>
  <c r="J63" i="36"/>
  <c r="J61" i="36"/>
  <c r="J59" i="36"/>
  <c r="J57" i="36"/>
  <c r="J55" i="36"/>
  <c r="J53" i="36"/>
  <c r="J51" i="36"/>
  <c r="J49" i="36"/>
  <c r="J47" i="36"/>
  <c r="J43" i="36"/>
  <c r="K36" i="36"/>
  <c r="K92" i="37"/>
  <c r="K111" i="37"/>
  <c r="K112" i="37"/>
  <c r="K113" i="37"/>
  <c r="K115" i="37"/>
  <c r="K116" i="37"/>
  <c r="K119" i="37"/>
  <c r="K123" i="37"/>
  <c r="K127" i="37"/>
  <c r="K131" i="37"/>
  <c r="K135" i="37"/>
  <c r="K139" i="37"/>
  <c r="K143" i="37"/>
  <c r="Q50" i="28"/>
  <c r="O107" i="28"/>
  <c r="Q107" i="28" s="1"/>
  <c r="O110" i="28"/>
  <c r="Q110" i="28" s="1"/>
  <c r="O111" i="28"/>
  <c r="Q111" i="28" s="1"/>
  <c r="Q112" i="28"/>
  <c r="O114" i="28"/>
  <c r="Q114" i="28" s="1"/>
  <c r="O115" i="28"/>
  <c r="Q115" i="28" s="1"/>
  <c r="O118" i="28"/>
  <c r="Q118" i="28" s="1"/>
  <c r="O119" i="28"/>
  <c r="Q119" i="28" s="1"/>
  <c r="O122" i="28"/>
  <c r="Q122" i="28" s="1"/>
  <c r="O123" i="28"/>
  <c r="Q123" i="28" s="1"/>
  <c r="W6" i="3"/>
  <c r="E109" i="47"/>
  <c r="E109" i="46"/>
  <c r="J66" i="36"/>
  <c r="J62" i="36"/>
  <c r="J58" i="36"/>
  <c r="J54" i="36"/>
  <c r="J50" i="36"/>
  <c r="J46" i="36"/>
  <c r="J42" i="36"/>
  <c r="E321" i="8"/>
  <c r="F321" i="8" s="1"/>
  <c r="E323" i="8"/>
  <c r="F323" i="8" s="1"/>
  <c r="L434" i="29"/>
  <c r="K434" i="29" s="1"/>
  <c r="E320" i="8"/>
  <c r="F320" i="8" s="1"/>
  <c r="E322" i="8"/>
  <c r="F322" i="8" s="1"/>
  <c r="K25" i="41"/>
  <c r="L426" i="29"/>
  <c r="L362" i="29"/>
  <c r="K362" i="29" s="1"/>
  <c r="L183" i="29"/>
  <c r="L353" i="29"/>
  <c r="L370" i="29"/>
  <c r="K370" i="29" s="1"/>
  <c r="F417" i="29"/>
  <c r="L305" i="29"/>
  <c r="K305" i="29" s="1"/>
  <c r="L280" i="29"/>
  <c r="K280" i="29" s="1"/>
  <c r="L288" i="29"/>
  <c r="K288" i="29" s="1"/>
  <c r="L296" i="29"/>
  <c r="K296" i="29" s="1"/>
  <c r="L272" i="29"/>
  <c r="K272" i="29" s="1"/>
  <c r="K57" i="40"/>
  <c r="L254" i="29"/>
  <c r="L263" i="29"/>
  <c r="K263" i="29" s="1"/>
  <c r="K50" i="40"/>
  <c r="E51" i="40" s="1"/>
  <c r="K51" i="40" s="1"/>
  <c r="K49" i="40"/>
  <c r="K47" i="40"/>
  <c r="E48" i="40" s="1"/>
  <c r="K48" i="40" s="1"/>
  <c r="K43" i="40"/>
  <c r="F227" i="29"/>
  <c r="L214" i="29"/>
  <c r="L222" i="29" s="1"/>
  <c r="L103" i="29"/>
  <c r="L112" i="29"/>
  <c r="K112" i="29" s="1"/>
  <c r="K122" i="29"/>
  <c r="L174" i="29"/>
  <c r="K174" i="29" s="1"/>
  <c r="L140" i="29"/>
  <c r="K140" i="29" s="1"/>
  <c r="L148" i="29"/>
  <c r="K148" i="29" s="1"/>
  <c r="K147" i="37"/>
  <c r="E148" i="37" s="1"/>
  <c r="K148" i="37" s="1"/>
  <c r="K121" i="37"/>
  <c r="K122" i="37"/>
  <c r="K125" i="37"/>
  <c r="K126" i="37"/>
  <c r="K129" i="37"/>
  <c r="K130" i="37"/>
  <c r="K133" i="37"/>
  <c r="K134" i="37"/>
  <c r="K137" i="37"/>
  <c r="K138" i="37"/>
  <c r="K141" i="37"/>
  <c r="K142" i="37"/>
  <c r="K145" i="37"/>
  <c r="K146" i="37"/>
  <c r="K101" i="37"/>
  <c r="K93" i="37"/>
  <c r="K77" i="37"/>
  <c r="K24" i="36"/>
  <c r="K9" i="36"/>
  <c r="J119" i="37"/>
  <c r="J120" i="37"/>
  <c r="J121" i="37"/>
  <c r="J124" i="37"/>
  <c r="J125" i="37"/>
  <c r="J126" i="37"/>
  <c r="J138" i="37"/>
  <c r="J139" i="37"/>
  <c r="J140" i="37"/>
  <c r="J144" i="37"/>
  <c r="J145" i="37"/>
  <c r="J146" i="37"/>
  <c r="J127" i="37"/>
  <c r="J131" i="37"/>
  <c r="J133" i="37"/>
  <c r="J134" i="37"/>
  <c r="J129" i="37"/>
  <c r="J130" i="37"/>
  <c r="J135" i="37"/>
  <c r="J122" i="37"/>
  <c r="J128" i="37"/>
  <c r="J132" i="37"/>
  <c r="J136" i="37"/>
  <c r="J137" i="37"/>
  <c r="J141" i="37"/>
  <c r="J142" i="37"/>
  <c r="J123" i="37"/>
  <c r="J143" i="37"/>
  <c r="L81" i="29"/>
  <c r="F303" i="3"/>
  <c r="K38" i="29"/>
  <c r="L29" i="29"/>
  <c r="K29" i="29" s="1"/>
  <c r="F94" i="29"/>
  <c r="F205" i="29"/>
  <c r="E85" i="24"/>
  <c r="E89" i="24"/>
  <c r="E100" i="24"/>
  <c r="E104" i="24"/>
  <c r="E108" i="24"/>
  <c r="E91" i="24"/>
  <c r="E114" i="24"/>
  <c r="E84" i="24"/>
  <c r="E93" i="24"/>
  <c r="E107" i="24"/>
  <c r="E120" i="24"/>
  <c r="E97" i="24"/>
  <c r="E102" i="24"/>
  <c r="E111" i="24"/>
  <c r="E115" i="24"/>
  <c r="E119" i="24"/>
  <c r="E87" i="24"/>
  <c r="E92" i="24"/>
  <c r="E98" i="24"/>
  <c r="E103" i="24"/>
  <c r="E110" i="24"/>
  <c r="E116" i="24"/>
  <c r="E121" i="24"/>
  <c r="E88" i="24"/>
  <c r="E94" i="24"/>
  <c r="E99" i="24"/>
  <c r="E105" i="24"/>
  <c r="E112" i="24"/>
  <c r="E117" i="24"/>
  <c r="E86" i="24"/>
  <c r="E90" i="24"/>
  <c r="E95" i="24"/>
  <c r="E101" i="24"/>
  <c r="E106" i="24"/>
  <c r="E113" i="24"/>
  <c r="E118" i="24"/>
  <c r="B15" i="3"/>
  <c r="K25" i="3" s="1"/>
  <c r="K26" i="3" s="1"/>
  <c r="K28" i="3" s="1"/>
  <c r="K31" i="3" s="1"/>
  <c r="T2" i="3"/>
  <c r="W17" i="3"/>
  <c r="W19" i="3" s="1"/>
  <c r="W21" i="3" s="1"/>
  <c r="W23" i="3" s="1"/>
  <c r="W25" i="3" s="1"/>
  <c r="W27" i="3" s="1"/>
  <c r="W29" i="3" s="1"/>
  <c r="W31" i="3" s="1"/>
  <c r="W33" i="3" s="1"/>
  <c r="W35" i="3" s="1"/>
  <c r="W37" i="3" s="1"/>
  <c r="W39" i="3" s="1"/>
  <c r="W41" i="3" s="1"/>
  <c r="M53" i="3"/>
  <c r="M54" i="3" s="1"/>
  <c r="K3" i="33"/>
  <c r="K3" i="38"/>
  <c r="I3" i="27"/>
  <c r="K3" i="42"/>
  <c r="K3" i="26"/>
  <c r="K3" i="31"/>
  <c r="K3" i="36"/>
  <c r="K3" i="41"/>
  <c r="E4" i="47"/>
  <c r="K3" i="30"/>
  <c r="K3" i="48"/>
  <c r="K3" i="40"/>
  <c r="K3" i="29"/>
  <c r="M3" i="34"/>
  <c r="N3" i="28"/>
  <c r="K3" i="32"/>
  <c r="K3" i="35"/>
  <c r="K3" i="39"/>
  <c r="K3" i="49"/>
  <c r="M52" i="3"/>
  <c r="C5" i="14"/>
  <c r="A20" i="3"/>
  <c r="H20" i="3" s="1"/>
  <c r="O84" i="28"/>
  <c r="Q84" i="28" s="1"/>
  <c r="O86" i="28"/>
  <c r="Q86" i="28" s="1"/>
  <c r="O88" i="28"/>
  <c r="Q88" i="28" s="1"/>
  <c r="O90" i="28"/>
  <c r="Q90" i="28" s="1"/>
  <c r="O92" i="28"/>
  <c r="Q92" i="28" s="1"/>
  <c r="O94" i="28"/>
  <c r="Q94" i="28" s="1"/>
  <c r="O96" i="28"/>
  <c r="Q96" i="28" s="1"/>
  <c r="O98" i="28"/>
  <c r="Q98" i="28" s="1"/>
  <c r="O100" i="28"/>
  <c r="Q100" i="28" s="1"/>
  <c r="O83" i="28"/>
  <c r="Q83" i="28" s="1"/>
  <c r="O85" i="28"/>
  <c r="Q85" i="28" s="1"/>
  <c r="O87" i="28"/>
  <c r="Q87" i="28" s="1"/>
  <c r="O89" i="28"/>
  <c r="Q89" i="28" s="1"/>
  <c r="O91" i="28"/>
  <c r="Q91" i="28" s="1"/>
  <c r="O93" i="28"/>
  <c r="Q93" i="28" s="1"/>
  <c r="O95" i="28"/>
  <c r="Q95" i="28" s="1"/>
  <c r="O97" i="28"/>
  <c r="Q97" i="28" s="1"/>
  <c r="O99" i="28"/>
  <c r="Q99" i="28" s="1"/>
  <c r="O60" i="28"/>
  <c r="Q60" i="28" s="1"/>
  <c r="O62" i="28"/>
  <c r="Q62" i="28" s="1"/>
  <c r="O64" i="28"/>
  <c r="Q64" i="28" s="1"/>
  <c r="O66" i="28"/>
  <c r="Q66" i="28" s="1"/>
  <c r="O68" i="28"/>
  <c r="Q68" i="28" s="1"/>
  <c r="O70" i="28"/>
  <c r="Q70" i="28" s="1"/>
  <c r="O72" i="28"/>
  <c r="Q72" i="28" s="1"/>
  <c r="O74" i="28"/>
  <c r="Q74" i="28" s="1"/>
  <c r="O76" i="28"/>
  <c r="Q76" i="28" s="1"/>
  <c r="O59" i="28"/>
  <c r="Q59" i="28" s="1"/>
  <c r="O61" i="28"/>
  <c r="Q61" i="28" s="1"/>
  <c r="O63" i="28"/>
  <c r="Q63" i="28" s="1"/>
  <c r="O65" i="28"/>
  <c r="Q65" i="28" s="1"/>
  <c r="O67" i="28"/>
  <c r="Q67" i="28" s="1"/>
  <c r="O69" i="28"/>
  <c r="Q69" i="28" s="1"/>
  <c r="O71" i="28"/>
  <c r="Q71" i="28" s="1"/>
  <c r="O73" i="28"/>
  <c r="Q73" i="28" s="1"/>
  <c r="O75" i="28"/>
  <c r="Q75" i="28" s="1"/>
  <c r="Q40" i="28"/>
  <c r="Q48" i="28"/>
  <c r="O35" i="28"/>
  <c r="Q35" i="28" s="1"/>
  <c r="O37" i="28"/>
  <c r="Q37" i="28" s="1"/>
  <c r="O39" i="28"/>
  <c r="Q39" i="28" s="1"/>
  <c r="O41" i="28"/>
  <c r="Q41" i="28" s="1"/>
  <c r="O43" i="28"/>
  <c r="Q43" i="28" s="1"/>
  <c r="O45" i="28"/>
  <c r="Q45" i="28" s="1"/>
  <c r="O47" i="28"/>
  <c r="Q47" i="28" s="1"/>
  <c r="O49" i="28"/>
  <c r="Q49" i="28" s="1"/>
  <c r="O51" i="28"/>
  <c r="Q51" i="28" s="1"/>
  <c r="P36" i="28"/>
  <c r="P38" i="28"/>
  <c r="P40" i="28"/>
  <c r="P42" i="28"/>
  <c r="P44" i="28"/>
  <c r="P46" i="28"/>
  <c r="P48" i="28"/>
  <c r="P50" i="28"/>
  <c r="P52" i="28"/>
  <c r="M146" i="37"/>
  <c r="M145" i="37"/>
  <c r="M144" i="37"/>
  <c r="M143" i="37"/>
  <c r="M142" i="37"/>
  <c r="M141" i="37"/>
  <c r="M140" i="37"/>
  <c r="M139" i="37"/>
  <c r="M138" i="37"/>
  <c r="M137" i="37"/>
  <c r="M136" i="37"/>
  <c r="M135" i="37"/>
  <c r="M134" i="37"/>
  <c r="M133" i="37"/>
  <c r="M132" i="37"/>
  <c r="M131" i="37"/>
  <c r="M130" i="37"/>
  <c r="M129" i="37"/>
  <c r="M128" i="37"/>
  <c r="M127" i="37"/>
  <c r="M126" i="37"/>
  <c r="M125" i="37"/>
  <c r="M124" i="37"/>
  <c r="M123" i="37"/>
  <c r="M122" i="37"/>
  <c r="M121" i="37"/>
  <c r="M120" i="37"/>
  <c r="M119" i="37"/>
  <c r="B20" i="26"/>
  <c r="G20" i="26"/>
  <c r="K37" i="40"/>
  <c r="K14" i="41"/>
  <c r="M33" i="36"/>
  <c r="J29" i="36"/>
  <c r="M38" i="36"/>
  <c r="J43" i="40"/>
  <c r="J76" i="37"/>
  <c r="J91" i="37"/>
  <c r="J14" i="41"/>
  <c r="K42" i="40"/>
  <c r="K53" i="40"/>
  <c r="J37" i="40"/>
  <c r="M36" i="36"/>
  <c r="J92" i="37"/>
  <c r="K70" i="36"/>
  <c r="E71" i="36" s="1"/>
  <c r="K71" i="36" s="1"/>
  <c r="K17" i="36"/>
  <c r="K9" i="39"/>
  <c r="M10" i="38"/>
  <c r="J17" i="36"/>
  <c r="J111" i="37"/>
  <c r="J57" i="40"/>
  <c r="J59" i="40"/>
  <c r="J70" i="36"/>
  <c r="K10" i="36"/>
  <c r="J18" i="36"/>
  <c r="K26" i="36"/>
  <c r="K35" i="36"/>
  <c r="D71" i="36"/>
  <c r="J71" i="36" s="1"/>
  <c r="J113" i="37"/>
  <c r="J56" i="40"/>
  <c r="J25" i="41"/>
  <c r="J36" i="36"/>
  <c r="K18" i="36"/>
  <c r="J112" i="37"/>
  <c r="M26" i="41"/>
  <c r="J9" i="36"/>
  <c r="M10" i="36"/>
  <c r="K20" i="36"/>
  <c r="J24" i="36"/>
  <c r="M32" i="36"/>
  <c r="M34" i="36"/>
  <c r="M39" i="36"/>
  <c r="J83" i="37"/>
  <c r="J84" i="37"/>
  <c r="J86" i="37"/>
  <c r="J100" i="37"/>
  <c r="J101" i="37"/>
  <c r="J116" i="37"/>
  <c r="J38" i="40"/>
  <c r="J41" i="40"/>
  <c r="J45" i="40"/>
  <c r="J55" i="40"/>
  <c r="K11" i="36"/>
  <c r="J20" i="36"/>
  <c r="J11" i="36"/>
  <c r="K32" i="36"/>
  <c r="J35" i="36"/>
  <c r="D148" i="37"/>
  <c r="J148" i="37" s="1"/>
  <c r="J10" i="36"/>
  <c r="J32" i="36"/>
  <c r="D110" i="37"/>
  <c r="J110" i="37" s="1"/>
  <c r="K91" i="37"/>
  <c r="J115" i="37"/>
  <c r="J49" i="40"/>
  <c r="K10" i="42"/>
  <c r="K11" i="42"/>
  <c r="E12" i="42" s="1"/>
  <c r="K12" i="42" s="1"/>
  <c r="J9" i="42"/>
  <c r="M16" i="41"/>
  <c r="J23" i="41"/>
  <c r="M43" i="40"/>
  <c r="M56" i="40"/>
  <c r="M55" i="40"/>
  <c r="M49" i="40"/>
  <c r="M37" i="40"/>
  <c r="J52" i="40"/>
  <c r="J50" i="40"/>
  <c r="J47" i="40"/>
  <c r="K11" i="39"/>
  <c r="K20" i="39" s="1"/>
  <c r="M14" i="39"/>
  <c r="J14" i="39"/>
  <c r="J10" i="39"/>
  <c r="M9" i="39"/>
  <c r="J10" i="38"/>
  <c r="J11" i="38"/>
  <c r="M11" i="38"/>
  <c r="M116" i="37"/>
  <c r="M115" i="37"/>
  <c r="M113" i="37"/>
  <c r="M112" i="37"/>
  <c r="M111" i="37"/>
  <c r="M92" i="37"/>
  <c r="J147" i="37"/>
  <c r="J109" i="37"/>
  <c r="M108" i="37"/>
  <c r="J108" i="37"/>
  <c r="M99" i="37"/>
  <c r="J99" i="37"/>
  <c r="J93" i="37"/>
  <c r="M88" i="37"/>
  <c r="J88" i="37"/>
  <c r="M87" i="37"/>
  <c r="J87" i="37"/>
  <c r="M84" i="37"/>
  <c r="M77" i="37"/>
  <c r="J77" i="37"/>
  <c r="M76" i="37"/>
  <c r="M75" i="37"/>
  <c r="J75" i="37"/>
  <c r="D307" i="8"/>
  <c r="F307" i="8" s="1"/>
  <c r="L31" i="48"/>
  <c r="B16" i="24"/>
  <c r="B79" i="24" s="1"/>
  <c r="E15" i="24"/>
  <c r="E78" i="24" s="1"/>
  <c r="B14" i="24"/>
  <c r="B77" i="24" s="1"/>
  <c r="E11" i="24"/>
  <c r="E74" i="24" s="1"/>
  <c r="B11" i="24"/>
  <c r="B74" i="24" s="1"/>
  <c r="E57" i="46"/>
  <c r="E56" i="46"/>
  <c r="E55" i="46"/>
  <c r="E54" i="46"/>
  <c r="E53" i="46"/>
  <c r="E52" i="46"/>
  <c r="E51" i="46"/>
  <c r="E50" i="46"/>
  <c r="E49" i="46"/>
  <c r="E48" i="46"/>
  <c r="E47" i="46"/>
  <c r="E46" i="46"/>
  <c r="E44" i="46"/>
  <c r="E43" i="46"/>
  <c r="E42" i="46"/>
  <c r="E41" i="46"/>
  <c r="E40" i="46"/>
  <c r="E39" i="46"/>
  <c r="E38" i="46"/>
  <c r="E37" i="46"/>
  <c r="E36" i="46"/>
  <c r="E35" i="46"/>
  <c r="E34" i="46"/>
  <c r="E33" i="46"/>
  <c r="E31" i="46"/>
  <c r="E30" i="46"/>
  <c r="E29" i="46"/>
  <c r="E28" i="46"/>
  <c r="E27" i="46"/>
  <c r="E26" i="46"/>
  <c r="E25" i="46"/>
  <c r="E24" i="46"/>
  <c r="E23" i="46"/>
  <c r="E22" i="46"/>
  <c r="E21" i="46"/>
  <c r="E20" i="46"/>
  <c r="E57" i="47"/>
  <c r="E56" i="47"/>
  <c r="E55" i="47"/>
  <c r="E54" i="47"/>
  <c r="E53" i="47"/>
  <c r="E52" i="47"/>
  <c r="E51" i="47"/>
  <c r="E50" i="47"/>
  <c r="E49" i="47"/>
  <c r="E48" i="47"/>
  <c r="E47" i="47"/>
  <c r="E46" i="47"/>
  <c r="E44" i="47"/>
  <c r="E43" i="47"/>
  <c r="E42" i="47"/>
  <c r="E41" i="47"/>
  <c r="E40" i="47"/>
  <c r="E39" i="47"/>
  <c r="E38" i="47"/>
  <c r="E37" i="47"/>
  <c r="E36" i="47"/>
  <c r="E35" i="47"/>
  <c r="E34" i="47"/>
  <c r="E33" i="47"/>
  <c r="E31" i="47"/>
  <c r="E30" i="47"/>
  <c r="E29" i="47"/>
  <c r="E28" i="47"/>
  <c r="E27" i="47"/>
  <c r="E26" i="47"/>
  <c r="E25" i="47"/>
  <c r="E24" i="47"/>
  <c r="E23" i="47"/>
  <c r="E22" i="47"/>
  <c r="E21" i="47"/>
  <c r="E20" i="47"/>
  <c r="B79" i="47"/>
  <c r="B14" i="47"/>
  <c r="B77" i="47" s="1"/>
  <c r="E15" i="47"/>
  <c r="E78" i="47" s="1"/>
  <c r="B15" i="47"/>
  <c r="B78" i="47" s="1"/>
  <c r="E11" i="46"/>
  <c r="E74" i="46" s="1"/>
  <c r="B11" i="46"/>
  <c r="B74" i="46" s="1"/>
  <c r="F58" i="47"/>
  <c r="C58" i="47"/>
  <c r="C58" i="24" s="1"/>
  <c r="B58" i="47"/>
  <c r="B58" i="24" s="1"/>
  <c r="F45" i="47"/>
  <c r="C45" i="47"/>
  <c r="C45" i="24" s="1"/>
  <c r="B45" i="47"/>
  <c r="B45" i="24" s="1"/>
  <c r="F32" i="47"/>
  <c r="C32" i="47"/>
  <c r="B32" i="47"/>
  <c r="B12" i="47"/>
  <c r="B75" i="47" s="1"/>
  <c r="B72" i="47"/>
  <c r="F58" i="46"/>
  <c r="D58" i="46"/>
  <c r="D58" i="24" s="1"/>
  <c r="F45" i="46"/>
  <c r="D45" i="46"/>
  <c r="D45" i="24" s="1"/>
  <c r="F32" i="46"/>
  <c r="D32" i="46"/>
  <c r="B12" i="46"/>
  <c r="B75" i="46" s="1"/>
  <c r="B72" i="46"/>
  <c r="E116" i="1" l="1"/>
  <c r="E96" i="1"/>
  <c r="E161" i="1"/>
  <c r="E141" i="1"/>
  <c r="E121" i="1"/>
  <c r="E93" i="1"/>
  <c r="E158" i="1"/>
  <c r="E130" i="1"/>
  <c r="E145" i="1"/>
  <c r="E125" i="1"/>
  <c r="E108" i="1"/>
  <c r="E88" i="1"/>
  <c r="E153" i="1"/>
  <c r="E133" i="1"/>
  <c r="E113" i="1"/>
  <c r="E107" i="1"/>
  <c r="E100" i="1"/>
  <c r="E165" i="1"/>
  <c r="E137" i="1"/>
  <c r="E117" i="1"/>
  <c r="E143" i="1"/>
  <c r="E123" i="1"/>
  <c r="E103" i="1"/>
  <c r="E168" i="1"/>
  <c r="E148" i="1"/>
  <c r="E120" i="1"/>
  <c r="E92" i="1"/>
  <c r="E157" i="1"/>
  <c r="E151" i="1"/>
  <c r="E109" i="1"/>
  <c r="E135" i="1"/>
  <c r="E115" i="1"/>
  <c r="E95" i="1"/>
  <c r="E160" i="1"/>
  <c r="E140" i="1"/>
  <c r="E112" i="1"/>
  <c r="E127" i="1"/>
  <c r="E99" i="1"/>
  <c r="E164" i="1"/>
  <c r="E144" i="1"/>
  <c r="E105" i="1"/>
  <c r="E170" i="1"/>
  <c r="E129" i="1"/>
  <c r="E87" i="1"/>
  <c r="E152" i="1"/>
  <c r="E132" i="1"/>
  <c r="E147" i="1"/>
  <c r="E119" i="1"/>
  <c r="E91" i="1"/>
  <c r="E156" i="1"/>
  <c r="E136" i="1"/>
  <c r="E97" i="1"/>
  <c r="E162" i="1"/>
  <c r="E142" i="1"/>
  <c r="E122" i="1"/>
  <c r="E102" i="1"/>
  <c r="E167" i="1"/>
  <c r="E139" i="1"/>
  <c r="E111" i="1"/>
  <c r="E126" i="1"/>
  <c r="E85" i="1"/>
  <c r="E171" i="1"/>
  <c r="E89" i="1"/>
  <c r="E154" i="1"/>
  <c r="E134" i="1"/>
  <c r="E114" i="1"/>
  <c r="E94" i="1"/>
  <c r="E159" i="1"/>
  <c r="E131" i="1"/>
  <c r="E146" i="1"/>
  <c r="E118" i="1"/>
  <c r="E98" i="1"/>
  <c r="E163" i="1"/>
  <c r="E124" i="1"/>
  <c r="E104" i="1"/>
  <c r="E169" i="1"/>
  <c r="E149" i="1"/>
  <c r="E86" i="1"/>
  <c r="E101" i="1"/>
  <c r="E166" i="1"/>
  <c r="E138" i="1"/>
  <c r="E110" i="1"/>
  <c r="E90" i="1"/>
  <c r="M72" i="40"/>
  <c r="J72" i="40"/>
  <c r="K72" i="40"/>
  <c r="L89" i="29"/>
  <c r="L200" i="29"/>
  <c r="K158" i="37"/>
  <c r="JI52" i="3"/>
  <c r="F61" i="40" s="1"/>
  <c r="KJ52" i="3"/>
  <c r="F37" i="41" s="1"/>
  <c r="KK52" i="3"/>
  <c r="F39" i="41" s="1"/>
  <c r="KH52" i="3"/>
  <c r="F68" i="40" s="1"/>
  <c r="KG52" i="3"/>
  <c r="F154" i="37" s="1"/>
  <c r="JV52" i="3"/>
  <c r="F15" i="36" s="1"/>
  <c r="KI52" i="3"/>
  <c r="F32" i="41" s="1"/>
  <c r="KD52" i="3"/>
  <c r="F96" i="37" s="1"/>
  <c r="JT52" i="3"/>
  <c r="F13" i="36" s="1"/>
  <c r="KF52" i="3"/>
  <c r="F153" i="37" s="1"/>
  <c r="KE52" i="3"/>
  <c r="F97" i="37" s="1"/>
  <c r="KB52" i="3"/>
  <c r="F81" i="37" s="1"/>
  <c r="JY52" i="3"/>
  <c r="F30" i="36" s="1"/>
  <c r="JX52" i="3"/>
  <c r="F29" i="36" s="1"/>
  <c r="JU52" i="3"/>
  <c r="F14" i="36" s="1"/>
  <c r="KA52" i="3"/>
  <c r="F80" i="37" s="1"/>
  <c r="KC52" i="3"/>
  <c r="F95" i="37" s="1"/>
  <c r="JZ52" i="3"/>
  <c r="F32" i="36" s="1"/>
  <c r="JW52" i="3"/>
  <c r="F26" i="36" s="1"/>
  <c r="JQ52" i="3"/>
  <c r="F30" i="41" s="1"/>
  <c r="JM52" i="3"/>
  <c r="F64" i="40" s="1"/>
  <c r="JS52" i="3"/>
  <c r="F36" i="41" s="1"/>
  <c r="JR52" i="3"/>
  <c r="F35" i="41" s="1"/>
  <c r="JP52" i="3"/>
  <c r="F29" i="41" s="1"/>
  <c r="JL52" i="3"/>
  <c r="F63" i="40" s="1"/>
  <c r="JO52" i="3"/>
  <c r="F28" i="41" s="1"/>
  <c r="JN52" i="3"/>
  <c r="F65" i="40" s="1"/>
  <c r="JK52" i="3"/>
  <c r="F150" i="37" s="1"/>
  <c r="JJ52" i="3"/>
  <c r="F15" i="39" s="1"/>
  <c r="L412" i="29"/>
  <c r="J158" i="37"/>
  <c r="J76" i="36"/>
  <c r="M75" i="36"/>
  <c r="M158" i="37"/>
  <c r="K76" i="36"/>
  <c r="K353" i="29"/>
  <c r="E102" i="37"/>
  <c r="K102" i="37" s="1"/>
  <c r="F59" i="47"/>
  <c r="F83" i="47" s="1"/>
  <c r="F123" i="47" s="1"/>
  <c r="E45" i="47"/>
  <c r="E58" i="46"/>
  <c r="JF52" i="3"/>
  <c r="L26" i="49" s="1"/>
  <c r="JB52" i="3"/>
  <c r="L20" i="49" s="1"/>
  <c r="IU52" i="3"/>
  <c r="F11" i="49" s="1"/>
  <c r="IQ52" i="3"/>
  <c r="F26" i="40" s="1"/>
  <c r="IM52" i="3"/>
  <c r="F20" i="40" s="1"/>
  <c r="II52" i="3"/>
  <c r="F14" i="40" s="1"/>
  <c r="IE52" i="3"/>
  <c r="F73" i="37" s="1"/>
  <c r="IA52" i="3"/>
  <c r="F67" i="37" s="1"/>
  <c r="HW52" i="3"/>
  <c r="F61" i="37" s="1"/>
  <c r="HS52" i="3"/>
  <c r="F55" i="37" s="1"/>
  <c r="HO52" i="3"/>
  <c r="F48" i="37" s="1"/>
  <c r="HK52" i="3"/>
  <c r="F42" i="37" s="1"/>
  <c r="HG52" i="3"/>
  <c r="F36" i="37" s="1"/>
  <c r="JH52" i="3"/>
  <c r="L29" i="49" s="1"/>
  <c r="JE52" i="3"/>
  <c r="F26" i="49" s="1"/>
  <c r="IX52" i="3"/>
  <c r="L14" i="49" s="1"/>
  <c r="IT52" i="3"/>
  <c r="L29" i="40" s="1"/>
  <c r="IL52" i="3"/>
  <c r="L17" i="40" s="1"/>
  <c r="HZ52" i="3"/>
  <c r="L64" i="37" s="1"/>
  <c r="HV52" i="3"/>
  <c r="L58" i="37" s="1"/>
  <c r="HR52" i="3"/>
  <c r="L51" i="37" s="1"/>
  <c r="JC52" i="3"/>
  <c r="F23" i="49" s="1"/>
  <c r="IY52" i="3"/>
  <c r="F17" i="49" s="1"/>
  <c r="IV52" i="3"/>
  <c r="L11" i="49" s="1"/>
  <c r="IR52" i="3"/>
  <c r="L26" i="40" s="1"/>
  <c r="IN52" i="3"/>
  <c r="L20" i="40" s="1"/>
  <c r="IJ52" i="3"/>
  <c r="L14" i="40" s="1"/>
  <c r="IF52" i="3"/>
  <c r="L73" i="37" s="1"/>
  <c r="IB52" i="3"/>
  <c r="L67" i="37" s="1"/>
  <c r="HX52" i="3"/>
  <c r="L61" i="37" s="1"/>
  <c r="HT52" i="3"/>
  <c r="L55" i="37" s="1"/>
  <c r="HP52" i="3"/>
  <c r="L48" i="37" s="1"/>
  <c r="HL52" i="3"/>
  <c r="L42" i="37" s="1"/>
  <c r="HH52" i="3"/>
  <c r="L36" i="37" s="1"/>
  <c r="IP52" i="3"/>
  <c r="L23" i="40" s="1"/>
  <c r="IH52" i="3"/>
  <c r="L11" i="40" s="1"/>
  <c r="ID52" i="3"/>
  <c r="L70" i="37" s="1"/>
  <c r="HJ52" i="3"/>
  <c r="L39" i="37" s="1"/>
  <c r="JG52" i="3"/>
  <c r="F29" i="49" s="1"/>
  <c r="JD52" i="3"/>
  <c r="L23" i="49" s="1"/>
  <c r="IZ52" i="3"/>
  <c r="L17" i="49" s="1"/>
  <c r="IW52" i="3"/>
  <c r="F14" i="49" s="1"/>
  <c r="IS52" i="3"/>
  <c r="F29" i="40" s="1"/>
  <c r="IO52" i="3"/>
  <c r="F23" i="40" s="1"/>
  <c r="IK52" i="3"/>
  <c r="F17" i="40" s="1"/>
  <c r="IG52" i="3"/>
  <c r="F11" i="40" s="1"/>
  <c r="IC52" i="3"/>
  <c r="F70" i="37" s="1"/>
  <c r="HY52" i="3"/>
  <c r="F64" i="37" s="1"/>
  <c r="HU52" i="3"/>
  <c r="F58" i="37" s="1"/>
  <c r="HQ52" i="3"/>
  <c r="F51" i="37" s="1"/>
  <c r="HM52" i="3"/>
  <c r="F45" i="37" s="1"/>
  <c r="HI52" i="3"/>
  <c r="F39" i="37" s="1"/>
  <c r="JA52" i="3"/>
  <c r="F20" i="49" s="1"/>
  <c r="HN52" i="3"/>
  <c r="L45" i="37" s="1"/>
  <c r="HF52" i="3"/>
  <c r="L33" i="37" s="1"/>
  <c r="HD52" i="3"/>
  <c r="L29" i="37" s="1"/>
  <c r="HB52" i="3"/>
  <c r="L26" i="37" s="1"/>
  <c r="GX52" i="3"/>
  <c r="L20" i="37" s="1"/>
  <c r="HA52" i="3"/>
  <c r="F26" i="37" s="1"/>
  <c r="GY52" i="3"/>
  <c r="F23" i="37" s="1"/>
  <c r="GW52" i="3"/>
  <c r="F20" i="37" s="1"/>
  <c r="HE52" i="3"/>
  <c r="F33" i="37" s="1"/>
  <c r="HC52" i="3"/>
  <c r="F29" i="37" s="1"/>
  <c r="GZ52" i="3"/>
  <c r="L23" i="37" s="1"/>
  <c r="GP52" i="3"/>
  <c r="GS52" i="3"/>
  <c r="F14" i="37" s="1"/>
  <c r="GV52" i="3"/>
  <c r="L17" i="37" s="1"/>
  <c r="GT52" i="3"/>
  <c r="L14" i="37" s="1"/>
  <c r="GU52" i="3"/>
  <c r="F17" i="37" s="1"/>
  <c r="GQ52" i="3"/>
  <c r="F11" i="37" s="1"/>
  <c r="G303" i="3"/>
  <c r="I34" i="25"/>
  <c r="W8" i="3"/>
  <c r="Y7" i="3"/>
  <c r="Y6" i="3"/>
  <c r="D59" i="46"/>
  <c r="E32" i="46"/>
  <c r="K183" i="29"/>
  <c r="GJ52" i="3"/>
  <c r="F19" i="49" s="1"/>
  <c r="H19" i="49" s="1"/>
  <c r="GF52" i="3"/>
  <c r="F11" i="42" s="1"/>
  <c r="G11" i="42" s="1"/>
  <c r="M11" i="42" s="1"/>
  <c r="G12" i="42" s="1"/>
  <c r="M12" i="42" s="1"/>
  <c r="FZ52" i="3"/>
  <c r="F21" i="41" s="1"/>
  <c r="H21" i="41" s="1"/>
  <c r="FZ53" i="3" s="1"/>
  <c r="FU52" i="3"/>
  <c r="F13" i="41" s="1"/>
  <c r="H13" i="41" s="1"/>
  <c r="FU53" i="3" s="1"/>
  <c r="FQ52" i="3"/>
  <c r="F59" i="40" s="1"/>
  <c r="L59" i="40" s="1"/>
  <c r="F60" i="40" s="1"/>
  <c r="L60" i="40" s="1"/>
  <c r="FD52" i="3"/>
  <c r="F28" i="40" s="1"/>
  <c r="H28" i="40" s="1"/>
  <c r="EZ52" i="3"/>
  <c r="F16" i="40" s="1"/>
  <c r="H16" i="40" s="1"/>
  <c r="H17" i="40" s="1"/>
  <c r="EX52" i="3"/>
  <c r="EU52" i="3"/>
  <c r="F10" i="39" s="1"/>
  <c r="L10" i="39" s="1"/>
  <c r="F11" i="39" s="1"/>
  <c r="L11" i="39" s="1"/>
  <c r="L20" i="39" s="1"/>
  <c r="EQ52" i="3"/>
  <c r="F9" i="38" s="1"/>
  <c r="H9" i="38" s="1"/>
  <c r="EQ53" i="3" s="1"/>
  <c r="GK52" i="3"/>
  <c r="F22" i="49" s="1"/>
  <c r="H22" i="49" s="1"/>
  <c r="GG52" i="3"/>
  <c r="F10" i="49" s="1"/>
  <c r="H10" i="49" s="1"/>
  <c r="GB52" i="3"/>
  <c r="F23" i="41" s="1"/>
  <c r="L23" i="41" s="1"/>
  <c r="F24" i="41" s="1"/>
  <c r="L24" i="41" s="1"/>
  <c r="GA52" i="3"/>
  <c r="F22" i="41" s="1"/>
  <c r="H22" i="41" s="1"/>
  <c r="GA53" i="3" s="1"/>
  <c r="FV52" i="3"/>
  <c r="F14" i="41" s="1"/>
  <c r="L14" i="41" s="1"/>
  <c r="FR52" i="3"/>
  <c r="F10" i="41" s="1"/>
  <c r="H10" i="41" s="1"/>
  <c r="FR53" i="3" s="1"/>
  <c r="FN52" i="3"/>
  <c r="F55" i="40" s="1"/>
  <c r="FK52" i="3"/>
  <c r="F49" i="40" s="1"/>
  <c r="FI52" i="3"/>
  <c r="F45" i="40" s="1"/>
  <c r="L45" i="40" s="1"/>
  <c r="F46" i="40" s="1"/>
  <c r="L46" i="40" s="1"/>
  <c r="FH52" i="3"/>
  <c r="F43" i="40" s="1"/>
  <c r="FG52" i="3"/>
  <c r="F41" i="40" s="1"/>
  <c r="L41" i="40" s="1"/>
  <c r="F42" i="40" s="1"/>
  <c r="L42" i="40" s="1"/>
  <c r="FE52" i="3"/>
  <c r="F37" i="40" s="1"/>
  <c r="FA52" i="3"/>
  <c r="F19" i="40" s="1"/>
  <c r="H19" i="40" s="1"/>
  <c r="H20" i="40" s="1"/>
  <c r="EV52" i="3"/>
  <c r="F13" i="39" s="1"/>
  <c r="H13" i="39" s="1"/>
  <c r="EV53" i="3" s="1"/>
  <c r="ER52" i="3"/>
  <c r="F10" i="38" s="1"/>
  <c r="EP52" i="3"/>
  <c r="GC52" i="3"/>
  <c r="FX52" i="3"/>
  <c r="F19" i="41" s="1"/>
  <c r="H19" i="41" s="1"/>
  <c r="FX53" i="3" s="1"/>
  <c r="FS52" i="3"/>
  <c r="F11" i="41" s="1"/>
  <c r="H11" i="41" s="1"/>
  <c r="FS53" i="3" s="1"/>
  <c r="FL52" i="3"/>
  <c r="F50" i="40" s="1"/>
  <c r="L50" i="40" s="1"/>
  <c r="F51" i="40" s="1"/>
  <c r="L51" i="40" s="1"/>
  <c r="FJ52" i="3"/>
  <c r="FB52" i="3"/>
  <c r="F22" i="40" s="1"/>
  <c r="H22" i="40" s="1"/>
  <c r="ES52" i="3"/>
  <c r="F11" i="38" s="1"/>
  <c r="GM52" i="3"/>
  <c r="F28" i="49" s="1"/>
  <c r="H28" i="49" s="1"/>
  <c r="GI52" i="3"/>
  <c r="F16" i="49" s="1"/>
  <c r="H16" i="49" s="1"/>
  <c r="GE52" i="3"/>
  <c r="F9" i="42" s="1"/>
  <c r="GD52" i="3"/>
  <c r="F26" i="41" s="1"/>
  <c r="FY52" i="3"/>
  <c r="F20" i="41" s="1"/>
  <c r="H20" i="41" s="1"/>
  <c r="FY53" i="3" s="1"/>
  <c r="FT52" i="3"/>
  <c r="F12" i="41" s="1"/>
  <c r="H12" i="41" s="1"/>
  <c r="FT53" i="3" s="1"/>
  <c r="FP52" i="3"/>
  <c r="F57" i="40" s="1"/>
  <c r="L57" i="40" s="1"/>
  <c r="FC52" i="3"/>
  <c r="F25" i="40" s="1"/>
  <c r="H25" i="40" s="1"/>
  <c r="H26" i="40" s="1"/>
  <c r="EY52" i="3"/>
  <c r="F13" i="40" s="1"/>
  <c r="H13" i="40" s="1"/>
  <c r="ET52" i="3"/>
  <c r="F9" i="39" s="1"/>
  <c r="GL52" i="3"/>
  <c r="F25" i="49" s="1"/>
  <c r="H25" i="49" s="1"/>
  <c r="GH52" i="3"/>
  <c r="F13" i="49" s="1"/>
  <c r="H13" i="49" s="1"/>
  <c r="FW52" i="3"/>
  <c r="F16" i="41" s="1"/>
  <c r="FO52" i="3"/>
  <c r="F56" i="40" s="1"/>
  <c r="FM52" i="3"/>
  <c r="F52" i="40" s="1"/>
  <c r="L52" i="40" s="1"/>
  <c r="F53" i="40" s="1"/>
  <c r="L53" i="40" s="1"/>
  <c r="FF52" i="3"/>
  <c r="F38" i="40" s="1"/>
  <c r="L38" i="40" s="1"/>
  <c r="F39" i="40" s="1"/>
  <c r="L39" i="40" s="1"/>
  <c r="EW52" i="3"/>
  <c r="F14" i="39" s="1"/>
  <c r="K426" i="29"/>
  <c r="L442" i="29"/>
  <c r="K94" i="29"/>
  <c r="K417" i="29"/>
  <c r="K227" i="29"/>
  <c r="K205" i="29"/>
  <c r="K344" i="29"/>
  <c r="K254" i="29"/>
  <c r="K214" i="29"/>
  <c r="K103" i="29"/>
  <c r="EO52" i="3"/>
  <c r="F146" i="37" s="1"/>
  <c r="EK52" i="3"/>
  <c r="F142" i="37" s="1"/>
  <c r="EG52" i="3"/>
  <c r="F138" i="37" s="1"/>
  <c r="EC52" i="3"/>
  <c r="F134" i="37" s="1"/>
  <c r="DY52" i="3"/>
  <c r="F130" i="37" s="1"/>
  <c r="DU52" i="3"/>
  <c r="F126" i="37" s="1"/>
  <c r="DQ52" i="3"/>
  <c r="F122" i="37" s="1"/>
  <c r="DJ52" i="3"/>
  <c r="F112" i="37" s="1"/>
  <c r="DF52" i="3"/>
  <c r="F101" i="37" s="1"/>
  <c r="L101" i="37" s="1"/>
  <c r="CW52" i="3"/>
  <c r="F84" i="37" s="1"/>
  <c r="CS52" i="3"/>
  <c r="F76" i="37" s="1"/>
  <c r="CO52" i="3"/>
  <c r="F66" i="37" s="1"/>
  <c r="H66" i="37" s="1"/>
  <c r="CK52" i="3"/>
  <c r="F54" i="37" s="1"/>
  <c r="H54" i="37" s="1"/>
  <c r="H55" i="37" s="1"/>
  <c r="CG52" i="3"/>
  <c r="F41" i="37" s="1"/>
  <c r="H41" i="37" s="1"/>
  <c r="CC52" i="3"/>
  <c r="F28" i="37" s="1"/>
  <c r="H28" i="37" s="1"/>
  <c r="BY52" i="3"/>
  <c r="F16" i="37" s="1"/>
  <c r="H16" i="37" s="1"/>
  <c r="BU52" i="3"/>
  <c r="F69" i="36" s="1"/>
  <c r="BQ52" i="3"/>
  <c r="F65" i="36" s="1"/>
  <c r="BM52" i="3"/>
  <c r="F61" i="36" s="1"/>
  <c r="BI52" i="3"/>
  <c r="F57" i="36" s="1"/>
  <c r="BE52" i="3"/>
  <c r="F53" i="36" s="1"/>
  <c r="BA52" i="3"/>
  <c r="F49" i="36" s="1"/>
  <c r="AW52" i="3"/>
  <c r="F45" i="36" s="1"/>
  <c r="AS52" i="3"/>
  <c r="F39" i="36" s="1"/>
  <c r="AO52" i="3"/>
  <c r="F34" i="36" s="1"/>
  <c r="AK52" i="3"/>
  <c r="F104" i="37" s="1"/>
  <c r="AG52" i="3"/>
  <c r="F24" i="36" s="1"/>
  <c r="G24" i="36" s="1"/>
  <c r="M24" i="36" s="1"/>
  <c r="AC52" i="3"/>
  <c r="F11" i="36" s="1"/>
  <c r="Y52" i="3"/>
  <c r="F15" i="35" s="1"/>
  <c r="H15" i="35" s="1"/>
  <c r="Y53" i="3" s="1"/>
  <c r="U52" i="3"/>
  <c r="F9" i="35" s="1"/>
  <c r="Q52" i="3"/>
  <c r="H26" i="26" s="1"/>
  <c r="EL52" i="3"/>
  <c r="F143" i="37" s="1"/>
  <c r="EH52" i="3"/>
  <c r="F139" i="37" s="1"/>
  <c r="ED52" i="3"/>
  <c r="F135" i="37" s="1"/>
  <c r="DZ52" i="3"/>
  <c r="F131" i="37" s="1"/>
  <c r="DV52" i="3"/>
  <c r="F127" i="37" s="1"/>
  <c r="DR52" i="3"/>
  <c r="F123" i="37" s="1"/>
  <c r="DN52" i="3"/>
  <c r="F119" i="37" s="1"/>
  <c r="DL52" i="3"/>
  <c r="F115" i="37" s="1"/>
  <c r="DK52" i="3"/>
  <c r="F113" i="37" s="1"/>
  <c r="DG52" i="3"/>
  <c r="DA52" i="3"/>
  <c r="F91" i="37" s="1"/>
  <c r="CX52" i="3"/>
  <c r="F86" i="37" s="1"/>
  <c r="G86" i="37" s="1"/>
  <c r="M86" i="37" s="1"/>
  <c r="CT52" i="3"/>
  <c r="F77" i="37" s="1"/>
  <c r="CP52" i="3"/>
  <c r="F69" i="37" s="1"/>
  <c r="H69" i="37" s="1"/>
  <c r="H70" i="37" s="1"/>
  <c r="CL52" i="3"/>
  <c r="F57" i="37" s="1"/>
  <c r="H57" i="37" s="1"/>
  <c r="CH52" i="3"/>
  <c r="F44" i="37" s="1"/>
  <c r="H44" i="37" s="1"/>
  <c r="H45" i="37" s="1"/>
  <c r="CD52" i="3"/>
  <c r="F32" i="37" s="1"/>
  <c r="H32" i="37" s="1"/>
  <c r="BZ52" i="3"/>
  <c r="F19" i="37" s="1"/>
  <c r="H19" i="37" s="1"/>
  <c r="BV52" i="3"/>
  <c r="F70" i="36" s="1"/>
  <c r="BR52" i="3"/>
  <c r="F66" i="36" s="1"/>
  <c r="BN52" i="3"/>
  <c r="F62" i="36" s="1"/>
  <c r="BJ52" i="3"/>
  <c r="F58" i="36" s="1"/>
  <c r="BF52" i="3"/>
  <c r="F54" i="36" s="1"/>
  <c r="BB52" i="3"/>
  <c r="F50" i="36" s="1"/>
  <c r="AX52" i="3"/>
  <c r="F46" i="36" s="1"/>
  <c r="AT52" i="3"/>
  <c r="F42" i="36" s="1"/>
  <c r="AP52" i="3"/>
  <c r="F35" i="36" s="1"/>
  <c r="AL52" i="3"/>
  <c r="F105" i="37" s="1"/>
  <c r="AH52" i="3"/>
  <c r="AD52" i="3"/>
  <c r="F17" i="36" s="1"/>
  <c r="L17" i="36" s="1"/>
  <c r="Z52" i="3"/>
  <c r="F16" i="35" s="1"/>
  <c r="H16" i="35" s="1"/>
  <c r="Z53" i="3" s="1"/>
  <c r="V52" i="3"/>
  <c r="F10" i="35" s="1"/>
  <c r="H10" i="35" s="1"/>
  <c r="V53" i="3" s="1"/>
  <c r="R52" i="3"/>
  <c r="J26" i="26" s="1"/>
  <c r="N52" i="3"/>
  <c r="EM52" i="3"/>
  <c r="F144" i="37" s="1"/>
  <c r="EI52" i="3"/>
  <c r="F140" i="37" s="1"/>
  <c r="EE52" i="3"/>
  <c r="F136" i="37" s="1"/>
  <c r="EA52" i="3"/>
  <c r="F132" i="37" s="1"/>
  <c r="DW52" i="3"/>
  <c r="F128" i="37" s="1"/>
  <c r="DS52" i="3"/>
  <c r="F124" i="37" s="1"/>
  <c r="DO52" i="3"/>
  <c r="F120" i="37" s="1"/>
  <c r="DM52" i="3"/>
  <c r="F116" i="37" s="1"/>
  <c r="DB52" i="3"/>
  <c r="F92" i="37" s="1"/>
  <c r="CY52" i="3"/>
  <c r="F87" i="37" s="1"/>
  <c r="CU52" i="3"/>
  <c r="F79" i="37" s="1"/>
  <c r="CQ52" i="3"/>
  <c r="F72" i="37" s="1"/>
  <c r="H72" i="37" s="1"/>
  <c r="H73" i="37" s="1"/>
  <c r="CM52" i="3"/>
  <c r="F60" i="37" s="1"/>
  <c r="H60" i="37" s="1"/>
  <c r="H61" i="37" s="1"/>
  <c r="CI52" i="3"/>
  <c r="F47" i="37" s="1"/>
  <c r="H47" i="37" s="1"/>
  <c r="H48" i="37" s="1"/>
  <c r="CE52" i="3"/>
  <c r="F35" i="37" s="1"/>
  <c r="H35" i="37" s="1"/>
  <c r="CA52" i="3"/>
  <c r="F22" i="37" s="1"/>
  <c r="H22" i="37" s="1"/>
  <c r="H23" i="37" s="1"/>
  <c r="BW52" i="3"/>
  <c r="F10" i="37" s="1"/>
  <c r="H10" i="37" s="1"/>
  <c r="BS52" i="3"/>
  <c r="F67" i="36" s="1"/>
  <c r="BO52" i="3"/>
  <c r="F63" i="36" s="1"/>
  <c r="BK52" i="3"/>
  <c r="F59" i="36" s="1"/>
  <c r="BG52" i="3"/>
  <c r="F55" i="36" s="1"/>
  <c r="BC52" i="3"/>
  <c r="F51" i="36" s="1"/>
  <c r="AY52" i="3"/>
  <c r="F47" i="36" s="1"/>
  <c r="AU52" i="3"/>
  <c r="F43" i="36" s="1"/>
  <c r="AQ52" i="3"/>
  <c r="F36" i="36" s="1"/>
  <c r="AM52" i="3"/>
  <c r="AI52" i="3"/>
  <c r="F20" i="36" s="1"/>
  <c r="G20" i="36" s="1"/>
  <c r="AE52" i="3"/>
  <c r="F18" i="36" s="1"/>
  <c r="AA52" i="3"/>
  <c r="W52" i="3"/>
  <c r="F12" i="35" s="1"/>
  <c r="H12" i="35" s="1"/>
  <c r="W53" i="3" s="1"/>
  <c r="S52" i="3"/>
  <c r="H29" i="27" s="1"/>
  <c r="I32" i="25"/>
  <c r="EN52" i="3"/>
  <c r="F145" i="37" s="1"/>
  <c r="EJ52" i="3"/>
  <c r="F141" i="37" s="1"/>
  <c r="EF52" i="3"/>
  <c r="F137" i="37" s="1"/>
  <c r="EB52" i="3"/>
  <c r="F133" i="37" s="1"/>
  <c r="DX52" i="3"/>
  <c r="F129" i="37" s="1"/>
  <c r="DT52" i="3"/>
  <c r="F125" i="37" s="1"/>
  <c r="DP52" i="3"/>
  <c r="F121" i="37" s="1"/>
  <c r="DI52" i="3"/>
  <c r="F111" i="37" s="1"/>
  <c r="DH52" i="3"/>
  <c r="F109" i="37" s="1"/>
  <c r="DE52" i="3"/>
  <c r="F100" i="37" s="1"/>
  <c r="L100" i="37" s="1"/>
  <c r="DD52" i="3"/>
  <c r="F99" i="37" s="1"/>
  <c r="DC52" i="3"/>
  <c r="F93" i="37" s="1"/>
  <c r="L93" i="37" s="1"/>
  <c r="CZ52" i="3"/>
  <c r="F88" i="37" s="1"/>
  <c r="CV52" i="3"/>
  <c r="F83" i="37" s="1"/>
  <c r="CR52" i="3"/>
  <c r="F75" i="37" s="1"/>
  <c r="CN52" i="3"/>
  <c r="F63" i="37" s="1"/>
  <c r="H63" i="37" s="1"/>
  <c r="CJ52" i="3"/>
  <c r="F50" i="37" s="1"/>
  <c r="H50" i="37" s="1"/>
  <c r="CF52" i="3"/>
  <c r="F38" i="37" s="1"/>
  <c r="H38" i="37" s="1"/>
  <c r="H39" i="37" s="1"/>
  <c r="CB52" i="3"/>
  <c r="F25" i="37" s="1"/>
  <c r="H25" i="37" s="1"/>
  <c r="H26" i="37" s="1"/>
  <c r="BX52" i="3"/>
  <c r="F13" i="37" s="1"/>
  <c r="H13" i="37" s="1"/>
  <c r="H14" i="37" s="1"/>
  <c r="BT52" i="3"/>
  <c r="F68" i="36" s="1"/>
  <c r="BP52" i="3"/>
  <c r="F64" i="36" s="1"/>
  <c r="BL52" i="3"/>
  <c r="F60" i="36" s="1"/>
  <c r="BH52" i="3"/>
  <c r="F56" i="36" s="1"/>
  <c r="BD52" i="3"/>
  <c r="F52" i="36" s="1"/>
  <c r="AZ52" i="3"/>
  <c r="F48" i="36" s="1"/>
  <c r="AV52" i="3"/>
  <c r="F44" i="36" s="1"/>
  <c r="AR52" i="3"/>
  <c r="F38" i="36" s="1"/>
  <c r="AN52" i="3"/>
  <c r="F33" i="36" s="1"/>
  <c r="AJ52" i="3"/>
  <c r="AF52" i="3"/>
  <c r="AB52" i="3"/>
  <c r="F10" i="36" s="1"/>
  <c r="X52" i="3"/>
  <c r="F13" i="35" s="1"/>
  <c r="H13" i="35" s="1"/>
  <c r="X53" i="3" s="1"/>
  <c r="T52" i="3"/>
  <c r="J17" i="42"/>
  <c r="J18" i="42" s="1"/>
  <c r="K17" i="42"/>
  <c r="K18" i="42" s="1"/>
  <c r="E15" i="41"/>
  <c r="K15" i="41" s="1"/>
  <c r="K45" i="41" s="1"/>
  <c r="K81" i="29"/>
  <c r="F304" i="3"/>
  <c r="H304" i="3"/>
  <c r="K11" i="29"/>
  <c r="F59" i="46"/>
  <c r="D32" i="24"/>
  <c r="B8" i="46"/>
  <c r="E66" i="46"/>
  <c r="B71" i="46" s="1"/>
  <c r="E45" i="46"/>
  <c r="E59" i="46" s="1"/>
  <c r="E83" i="46" s="1"/>
  <c r="E123" i="46" s="1"/>
  <c r="C59" i="47"/>
  <c r="C83" i="47" s="1"/>
  <c r="C123" i="47" s="1"/>
  <c r="C123" i="24" s="1"/>
  <c r="E58" i="47"/>
  <c r="B59" i="47"/>
  <c r="B83" i="47" s="1"/>
  <c r="B123" i="47" s="1"/>
  <c r="B123" i="24" s="1"/>
  <c r="B32" i="24"/>
  <c r="E32" i="47"/>
  <c r="C32" i="24"/>
  <c r="E4" i="24"/>
  <c r="E67" i="24" s="1"/>
  <c r="E67" i="47"/>
  <c r="B8" i="47"/>
  <c r="B71" i="47" s="1"/>
  <c r="E66" i="47"/>
  <c r="E96" i="24"/>
  <c r="E122" i="24"/>
  <c r="E109" i="24"/>
  <c r="X2" i="3"/>
  <c r="C20" i="3"/>
  <c r="D20" i="3" s="1"/>
  <c r="A21" i="3"/>
  <c r="H21" i="3" s="1"/>
  <c r="K32" i="3"/>
  <c r="J13" i="42"/>
  <c r="K13" i="42"/>
  <c r="F16" i="27" s="1"/>
  <c r="D60" i="40"/>
  <c r="J60" i="40" s="1"/>
  <c r="D300" i="8"/>
  <c r="F300" i="8" s="1"/>
  <c r="D298" i="8"/>
  <c r="F298" i="8" s="1"/>
  <c r="D295" i="8"/>
  <c r="F295" i="8" s="1"/>
  <c r="D293" i="8"/>
  <c r="F293" i="8" s="1"/>
  <c r="D289" i="8"/>
  <c r="F289" i="8" s="1"/>
  <c r="D286" i="8"/>
  <c r="F286" i="8" s="1"/>
  <c r="I16" i="35"/>
  <c r="M16" i="35" s="1"/>
  <c r="I13" i="35"/>
  <c r="M13" i="35" s="1"/>
  <c r="I10" i="35"/>
  <c r="J10" i="35" s="1"/>
  <c r="A8" i="35"/>
  <c r="B8" i="35"/>
  <c r="B9" i="35"/>
  <c r="U50" i="3" s="1"/>
  <c r="C9" i="35"/>
  <c r="B10" i="35"/>
  <c r="V50" i="3" s="1"/>
  <c r="C10" i="35"/>
  <c r="A11" i="35"/>
  <c r="B11" i="35"/>
  <c r="B12" i="35"/>
  <c r="W50" i="3" s="1"/>
  <c r="C12" i="35"/>
  <c r="B13" i="35"/>
  <c r="X50" i="3" s="1"/>
  <c r="C13" i="35"/>
  <c r="A14" i="35"/>
  <c r="B14" i="35"/>
  <c r="B15" i="35"/>
  <c r="Y50" i="3" s="1"/>
  <c r="C15" i="35"/>
  <c r="B16" i="35"/>
  <c r="Z50" i="3" s="1"/>
  <c r="C16" i="35"/>
  <c r="B7" i="35"/>
  <c r="A7" i="35"/>
  <c r="B12" i="24"/>
  <c r="D41" i="43"/>
  <c r="C41" i="43"/>
  <c r="F53" i="34"/>
  <c r="G53" i="34" s="1"/>
  <c r="L52" i="34"/>
  <c r="N52" i="34" s="1"/>
  <c r="E52" i="34"/>
  <c r="G52" i="34" s="1"/>
  <c r="L51" i="34"/>
  <c r="N51" i="34" s="1"/>
  <c r="E51" i="34"/>
  <c r="G51" i="34" s="1"/>
  <c r="L50" i="34"/>
  <c r="N50" i="34" s="1"/>
  <c r="E50" i="34"/>
  <c r="G50" i="34" s="1"/>
  <c r="L49" i="34"/>
  <c r="N49" i="34" s="1"/>
  <c r="E49" i="34"/>
  <c r="G49" i="34" s="1"/>
  <c r="L48" i="34"/>
  <c r="N48" i="34" s="1"/>
  <c r="E48" i="34"/>
  <c r="G48" i="34" s="1"/>
  <c r="L47" i="34"/>
  <c r="N47" i="34" s="1"/>
  <c r="E47" i="34"/>
  <c r="G47" i="34" s="1"/>
  <c r="L46" i="34"/>
  <c r="N46" i="34" s="1"/>
  <c r="E46" i="34"/>
  <c r="G46" i="34" s="1"/>
  <c r="L45" i="34"/>
  <c r="N45" i="34" s="1"/>
  <c r="E45" i="34"/>
  <c r="G45" i="34" s="1"/>
  <c r="L44" i="34"/>
  <c r="N44" i="34" s="1"/>
  <c r="E44" i="34"/>
  <c r="G44" i="34" s="1"/>
  <c r="L43" i="34"/>
  <c r="N43" i="34" s="1"/>
  <c r="E43" i="34"/>
  <c r="G43" i="34" s="1"/>
  <c r="L42" i="34"/>
  <c r="N42" i="34" s="1"/>
  <c r="E42" i="34"/>
  <c r="G42" i="34" s="1"/>
  <c r="L41" i="34"/>
  <c r="N41" i="34" s="1"/>
  <c r="E41" i="34"/>
  <c r="G41" i="34" s="1"/>
  <c r="L40" i="34"/>
  <c r="N40" i="34" s="1"/>
  <c r="E40" i="34"/>
  <c r="G40" i="34" s="1"/>
  <c r="L39" i="34"/>
  <c r="N39" i="34" s="1"/>
  <c r="E39" i="34"/>
  <c r="G39" i="34" s="1"/>
  <c r="L38" i="34"/>
  <c r="N38" i="34" s="1"/>
  <c r="E38" i="34"/>
  <c r="G38" i="34" s="1"/>
  <c r="L37" i="34"/>
  <c r="N37" i="34" s="1"/>
  <c r="E37" i="34"/>
  <c r="G37" i="34" s="1"/>
  <c r="L36" i="34"/>
  <c r="N36" i="34" s="1"/>
  <c r="L35" i="34"/>
  <c r="N35" i="34" s="1"/>
  <c r="F35" i="34"/>
  <c r="G35" i="34" s="1"/>
  <c r="L34" i="34"/>
  <c r="N34" i="34" s="1"/>
  <c r="L33" i="34"/>
  <c r="N33" i="34" s="1"/>
  <c r="E33" i="34"/>
  <c r="G33" i="34" s="1"/>
  <c r="L32" i="34"/>
  <c r="N32" i="34" s="1"/>
  <c r="E32" i="34"/>
  <c r="G32" i="34" s="1"/>
  <c r="L31" i="34"/>
  <c r="N31" i="34" s="1"/>
  <c r="E31" i="34"/>
  <c r="G31" i="34" s="1"/>
  <c r="L30" i="34"/>
  <c r="N30" i="34" s="1"/>
  <c r="E30" i="34"/>
  <c r="G30" i="34" s="1"/>
  <c r="L29" i="34"/>
  <c r="N29" i="34" s="1"/>
  <c r="E29" i="34"/>
  <c r="G29" i="34" s="1"/>
  <c r="L28" i="34"/>
  <c r="N28" i="34" s="1"/>
  <c r="E28" i="34"/>
  <c r="G28" i="34" s="1"/>
  <c r="L27" i="34"/>
  <c r="N27" i="34" s="1"/>
  <c r="E27" i="34"/>
  <c r="G27" i="34" s="1"/>
  <c r="L26" i="34"/>
  <c r="N26" i="34" s="1"/>
  <c r="E26" i="34"/>
  <c r="G26" i="34" s="1"/>
  <c r="L25" i="34"/>
  <c r="N25" i="34" s="1"/>
  <c r="E25" i="34"/>
  <c r="G25" i="34" s="1"/>
  <c r="L24" i="34"/>
  <c r="N24" i="34" s="1"/>
  <c r="E24" i="34"/>
  <c r="G24" i="34" s="1"/>
  <c r="L23" i="34"/>
  <c r="N23" i="34" s="1"/>
  <c r="E23" i="34"/>
  <c r="G23" i="34" s="1"/>
  <c r="L22" i="34"/>
  <c r="N22" i="34" s="1"/>
  <c r="E22" i="34"/>
  <c r="G22" i="34" s="1"/>
  <c r="L21" i="34"/>
  <c r="N21" i="34" s="1"/>
  <c r="E21" i="34"/>
  <c r="G21" i="34" s="1"/>
  <c r="L20" i="34"/>
  <c r="N20" i="34" s="1"/>
  <c r="E20" i="34"/>
  <c r="G20" i="34" s="1"/>
  <c r="L19" i="34"/>
  <c r="N19" i="34" s="1"/>
  <c r="E19" i="34"/>
  <c r="G19" i="34" s="1"/>
  <c r="L18" i="34"/>
  <c r="N18" i="34" s="1"/>
  <c r="E18" i="34"/>
  <c r="G18" i="34" s="1"/>
  <c r="L17" i="34"/>
  <c r="N17" i="34" s="1"/>
  <c r="E17" i="34"/>
  <c r="G17" i="34" s="1"/>
  <c r="L16" i="34"/>
  <c r="N16" i="34" s="1"/>
  <c r="E16" i="34"/>
  <c r="G16" i="34" s="1"/>
  <c r="L15" i="34"/>
  <c r="N15" i="34" s="1"/>
  <c r="E15" i="34"/>
  <c r="G15" i="34" s="1"/>
  <c r="L33" i="33"/>
  <c r="J23" i="26" s="1"/>
  <c r="L32" i="33"/>
  <c r="L32" i="32"/>
  <c r="J14" i="26" s="1"/>
  <c r="L31" i="32"/>
  <c r="L32" i="31"/>
  <c r="I25" i="27" s="1"/>
  <c r="L31" i="31"/>
  <c r="L37" i="30"/>
  <c r="L20" i="30"/>
  <c r="L15" i="30"/>
  <c r="M126" i="28"/>
  <c r="K126" i="28"/>
  <c r="M125" i="28"/>
  <c r="K125" i="28"/>
  <c r="M102" i="28"/>
  <c r="K102" i="28"/>
  <c r="M101" i="28"/>
  <c r="K101" i="28"/>
  <c r="M78" i="28"/>
  <c r="K78" i="28"/>
  <c r="M77" i="28"/>
  <c r="K77" i="28"/>
  <c r="M30" i="28"/>
  <c r="K30" i="28"/>
  <c r="M29" i="28"/>
  <c r="K29" i="28"/>
  <c r="N28" i="28"/>
  <c r="P28" i="28" s="1"/>
  <c r="J28" i="28"/>
  <c r="L28" i="28" s="1"/>
  <c r="N27" i="28"/>
  <c r="P27" i="28" s="1"/>
  <c r="J27" i="28"/>
  <c r="L27" i="28" s="1"/>
  <c r="N26" i="28"/>
  <c r="P26" i="28" s="1"/>
  <c r="J26" i="28"/>
  <c r="L26" i="28" s="1"/>
  <c r="N25" i="28"/>
  <c r="P25" i="28" s="1"/>
  <c r="J25" i="28"/>
  <c r="N24" i="28"/>
  <c r="P24" i="28" s="1"/>
  <c r="J24" i="28"/>
  <c r="L24" i="28" s="1"/>
  <c r="N23" i="28"/>
  <c r="P23" i="28" s="1"/>
  <c r="J23" i="28"/>
  <c r="L23" i="28" s="1"/>
  <c r="N22" i="28"/>
  <c r="P22" i="28" s="1"/>
  <c r="J22" i="28"/>
  <c r="L22" i="28" s="1"/>
  <c r="N21" i="28"/>
  <c r="P21" i="28" s="1"/>
  <c r="J21" i="28"/>
  <c r="L21" i="28" s="1"/>
  <c r="N20" i="28"/>
  <c r="P20" i="28" s="1"/>
  <c r="J20" i="28"/>
  <c r="L20" i="28" s="1"/>
  <c r="N19" i="28"/>
  <c r="P19" i="28" s="1"/>
  <c r="J19" i="28"/>
  <c r="L19" i="28" s="1"/>
  <c r="N18" i="28"/>
  <c r="P18" i="28" s="1"/>
  <c r="J18" i="28"/>
  <c r="L18" i="28" s="1"/>
  <c r="N17" i="28"/>
  <c r="P17" i="28" s="1"/>
  <c r="J17" i="28"/>
  <c r="N16" i="28"/>
  <c r="P16" i="28" s="1"/>
  <c r="J16" i="28"/>
  <c r="L16" i="28" s="1"/>
  <c r="N15" i="28"/>
  <c r="J15" i="28"/>
  <c r="L15" i="28" s="1"/>
  <c r="N14" i="28"/>
  <c r="P14" i="28" s="1"/>
  <c r="J14" i="28"/>
  <c r="L14" i="28" s="1"/>
  <c r="N13" i="28"/>
  <c r="P13" i="28" s="1"/>
  <c r="J13" i="28"/>
  <c r="L13" i="28" s="1"/>
  <c r="N12" i="28"/>
  <c r="J12" i="28"/>
  <c r="L12" i="28" s="1"/>
  <c r="N11" i="28"/>
  <c r="P11" i="28" s="1"/>
  <c r="J11" i="28"/>
  <c r="H25" i="27"/>
  <c r="H13" i="26"/>
  <c r="F58" i="24"/>
  <c r="E57" i="24"/>
  <c r="E56" i="24"/>
  <c r="E55" i="24"/>
  <c r="E54" i="24"/>
  <c r="E53" i="24"/>
  <c r="E52" i="24"/>
  <c r="E51" i="24"/>
  <c r="E50" i="24"/>
  <c r="E49" i="24"/>
  <c r="E48" i="24"/>
  <c r="E47" i="24"/>
  <c r="E46" i="24"/>
  <c r="F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F32" i="24"/>
  <c r="E31" i="24"/>
  <c r="E30" i="24"/>
  <c r="E29" i="24"/>
  <c r="E28" i="24"/>
  <c r="E27" i="24"/>
  <c r="E26" i="24"/>
  <c r="E25" i="24"/>
  <c r="E24" i="24"/>
  <c r="E23" i="24"/>
  <c r="E22" i="24"/>
  <c r="E21" i="24"/>
  <c r="E20" i="24"/>
  <c r="D325" i="8"/>
  <c r="D334" i="8"/>
  <c r="F334" i="8" s="1"/>
  <c r="H23" i="40" l="1"/>
  <c r="H42" i="37"/>
  <c r="H29" i="40"/>
  <c r="H11" i="49"/>
  <c r="H58" i="37"/>
  <c r="H20" i="49"/>
  <c r="H36" i="37"/>
  <c r="H67" i="37"/>
  <c r="H51" i="37"/>
  <c r="H64" i="37"/>
  <c r="H20" i="37"/>
  <c r="H14" i="49"/>
  <c r="H17" i="37"/>
  <c r="H11" i="37"/>
  <c r="H33" i="37"/>
  <c r="H26" i="49"/>
  <c r="H68" i="40"/>
  <c r="L68" i="40"/>
  <c r="H29" i="37"/>
  <c r="H17" i="49"/>
  <c r="H23" i="49"/>
  <c r="H14" i="40"/>
  <c r="H29" i="49"/>
  <c r="L67" i="40"/>
  <c r="H81" i="37"/>
  <c r="L81" i="37"/>
  <c r="H15" i="36"/>
  <c r="L15" i="36"/>
  <c r="L37" i="41"/>
  <c r="H37" i="41"/>
  <c r="L80" i="37"/>
  <c r="H80" i="37"/>
  <c r="H96" i="37"/>
  <c r="L96" i="37"/>
  <c r="G9" i="42"/>
  <c r="M9" i="42" s="1"/>
  <c r="G10" i="42" s="1"/>
  <c r="M10" i="42" s="1"/>
  <c r="M13" i="42" s="1"/>
  <c r="H16" i="27" s="1"/>
  <c r="L14" i="36"/>
  <c r="H14" i="36"/>
  <c r="L97" i="37"/>
  <c r="G97" i="37"/>
  <c r="M97" i="37" s="1"/>
  <c r="G32" i="41"/>
  <c r="M32" i="41" s="1"/>
  <c r="G33" i="41" s="1"/>
  <c r="M33" i="41" s="1"/>
  <c r="L32" i="41"/>
  <c r="F33" i="41" s="1"/>
  <c r="L39" i="41"/>
  <c r="F40" i="41" s="1"/>
  <c r="G39" i="41"/>
  <c r="M39" i="41" s="1"/>
  <c r="G40" i="41" s="1"/>
  <c r="M40" i="41" s="1"/>
  <c r="L15" i="39"/>
  <c r="H15" i="39"/>
  <c r="L95" i="37"/>
  <c r="H95" i="37"/>
  <c r="H30" i="36"/>
  <c r="L30" i="36"/>
  <c r="L13" i="36"/>
  <c r="G13" i="36"/>
  <c r="M13" i="36" s="1"/>
  <c r="F108" i="37"/>
  <c r="H79" i="37"/>
  <c r="L79" i="37"/>
  <c r="F27" i="36"/>
  <c r="L20" i="36"/>
  <c r="F22" i="36"/>
  <c r="G26" i="36"/>
  <c r="M26" i="36" s="1"/>
  <c r="F25" i="36"/>
  <c r="F21" i="36"/>
  <c r="F9" i="36"/>
  <c r="L9" i="36" s="1"/>
  <c r="F10" i="40"/>
  <c r="F25" i="41"/>
  <c r="L25" i="41" s="1"/>
  <c r="F15" i="41"/>
  <c r="L15" i="41" s="1"/>
  <c r="F30" i="40"/>
  <c r="H30" i="40" s="1"/>
  <c r="N30" i="40" s="1"/>
  <c r="F147" i="37"/>
  <c r="G147" i="37" s="1"/>
  <c r="C59" i="24"/>
  <c r="C83" i="24" s="1"/>
  <c r="F47" i="40"/>
  <c r="L47" i="40" s="1"/>
  <c r="F48" i="40" s="1"/>
  <c r="L48" i="40" s="1"/>
  <c r="E150" i="1"/>
  <c r="E106" i="1"/>
  <c r="E128" i="1"/>
  <c r="CF53" i="3"/>
  <c r="CI53" i="3"/>
  <c r="CH53" i="3"/>
  <c r="CC53" i="3"/>
  <c r="GH53" i="3"/>
  <c r="GJ53" i="3"/>
  <c r="CB53" i="3"/>
  <c r="CE53" i="3"/>
  <c r="CD53" i="3"/>
  <c r="BY53" i="3"/>
  <c r="CO53" i="3"/>
  <c r="GM53" i="3"/>
  <c r="BX53" i="3"/>
  <c r="CN53" i="3"/>
  <c r="CA53" i="3"/>
  <c r="CQ53" i="3"/>
  <c r="BZ53" i="3"/>
  <c r="CP53" i="3"/>
  <c r="CK53" i="3"/>
  <c r="GI53" i="3"/>
  <c r="GK53" i="3"/>
  <c r="CJ53" i="3"/>
  <c r="CM53" i="3"/>
  <c r="CL53" i="3"/>
  <c r="CG53" i="3"/>
  <c r="GL53" i="3"/>
  <c r="GG53" i="3"/>
  <c r="FA53" i="3"/>
  <c r="EZ53" i="3"/>
  <c r="EY53" i="3"/>
  <c r="FD53" i="3"/>
  <c r="FB53" i="3"/>
  <c r="FC53" i="3"/>
  <c r="D15" i="41"/>
  <c r="J15" i="41" s="1"/>
  <c r="F325" i="8"/>
  <c r="F351" i="8" s="1"/>
  <c r="J13" i="26"/>
  <c r="L33" i="31"/>
  <c r="L34" i="33"/>
  <c r="H17" i="26"/>
  <c r="E59" i="47"/>
  <c r="E83" i="47" s="1"/>
  <c r="E123" i="47" s="1"/>
  <c r="L104" i="37"/>
  <c r="G104" i="37"/>
  <c r="M104" i="37" s="1"/>
  <c r="L105" i="37"/>
  <c r="F106" i="37" s="1"/>
  <c r="G105" i="37"/>
  <c r="M105" i="37" s="1"/>
  <c r="G106" i="37" s="1"/>
  <c r="M106" i="37" s="1"/>
  <c r="G41" i="40"/>
  <c r="H41" i="40" s="1"/>
  <c r="N41" i="40" s="1"/>
  <c r="D24" i="41"/>
  <c r="J24" i="41" s="1"/>
  <c r="L23" i="30"/>
  <c r="L38" i="30" s="1"/>
  <c r="M53" i="34"/>
  <c r="N53" i="34" s="1"/>
  <c r="J17" i="26" s="1"/>
  <c r="L32" i="48"/>
  <c r="F83" i="46"/>
  <c r="F123" i="46" s="1"/>
  <c r="D59" i="24"/>
  <c r="D83" i="24" s="1"/>
  <c r="D83" i="46"/>
  <c r="D123" i="46" s="1"/>
  <c r="J25" i="27"/>
  <c r="W10" i="3"/>
  <c r="Y9" i="3"/>
  <c r="Y8" i="3"/>
  <c r="L444" i="29"/>
  <c r="G10" i="39"/>
  <c r="H10" i="39" s="1"/>
  <c r="N10" i="39" s="1"/>
  <c r="G50" i="40"/>
  <c r="M50" i="40" s="1"/>
  <c r="G51" i="40" s="1"/>
  <c r="M51" i="40" s="1"/>
  <c r="G14" i="41"/>
  <c r="H14" i="41" s="1"/>
  <c r="FV53" i="3" s="1"/>
  <c r="L9" i="42"/>
  <c r="F10" i="42" s="1"/>
  <c r="L10" i="42" s="1"/>
  <c r="H43" i="40"/>
  <c r="L43" i="40"/>
  <c r="H55" i="40"/>
  <c r="L55" i="40"/>
  <c r="H14" i="39"/>
  <c r="L14" i="39"/>
  <c r="H16" i="41"/>
  <c r="L16" i="41"/>
  <c r="H37" i="40"/>
  <c r="L37" i="40"/>
  <c r="H49" i="40"/>
  <c r="L49" i="40"/>
  <c r="H11" i="42"/>
  <c r="L11" i="42"/>
  <c r="F12" i="42" s="1"/>
  <c r="G52" i="40"/>
  <c r="G57" i="40"/>
  <c r="G38" i="40"/>
  <c r="H38" i="40" s="1"/>
  <c r="FF53" i="3" s="1"/>
  <c r="G45" i="40"/>
  <c r="H26" i="41"/>
  <c r="L26" i="41"/>
  <c r="H11" i="38"/>
  <c r="L11" i="38"/>
  <c r="H10" i="38"/>
  <c r="L10" i="38"/>
  <c r="H56" i="40"/>
  <c r="L56" i="40"/>
  <c r="H9" i="39"/>
  <c r="L9" i="39"/>
  <c r="G23" i="41"/>
  <c r="G100" i="37"/>
  <c r="M100" i="37" s="1"/>
  <c r="F102" i="37"/>
  <c r="L102" i="37" s="1"/>
  <c r="M20" i="36"/>
  <c r="H133" i="37"/>
  <c r="L133" i="37"/>
  <c r="H132" i="37"/>
  <c r="L132" i="37"/>
  <c r="H139" i="37"/>
  <c r="L139" i="37"/>
  <c r="H146" i="37"/>
  <c r="L146" i="37"/>
  <c r="L109" i="37"/>
  <c r="F110" i="37" s="1"/>
  <c r="L110" i="37" s="1"/>
  <c r="G109" i="37"/>
  <c r="H145" i="37"/>
  <c r="L145" i="37"/>
  <c r="H92" i="37"/>
  <c r="L92" i="37"/>
  <c r="H144" i="37"/>
  <c r="L144" i="37"/>
  <c r="H135" i="37"/>
  <c r="L135" i="37"/>
  <c r="H142" i="37"/>
  <c r="L142" i="37"/>
  <c r="G83" i="37"/>
  <c r="L83" i="37"/>
  <c r="H125" i="37"/>
  <c r="L125" i="37"/>
  <c r="H141" i="37"/>
  <c r="L141" i="37"/>
  <c r="H87" i="37"/>
  <c r="L87" i="37"/>
  <c r="H124" i="37"/>
  <c r="L124" i="37"/>
  <c r="H140" i="37"/>
  <c r="L140" i="37"/>
  <c r="H86" i="37"/>
  <c r="L86" i="37"/>
  <c r="H115" i="37"/>
  <c r="L115" i="37"/>
  <c r="H131" i="37"/>
  <c r="L131" i="37"/>
  <c r="H76" i="37"/>
  <c r="L76" i="37"/>
  <c r="H122" i="37"/>
  <c r="L122" i="37"/>
  <c r="H138" i="37"/>
  <c r="L138" i="37"/>
  <c r="G93" i="37"/>
  <c r="G101" i="37"/>
  <c r="M101" i="37" s="1"/>
  <c r="H111" i="37"/>
  <c r="L111" i="37"/>
  <c r="H116" i="37"/>
  <c r="L116" i="37"/>
  <c r="H108" i="37"/>
  <c r="L108" i="37"/>
  <c r="H123" i="37"/>
  <c r="L123" i="37"/>
  <c r="H130" i="37"/>
  <c r="L130" i="37"/>
  <c r="H88" i="37"/>
  <c r="L88" i="37"/>
  <c r="H129" i="37"/>
  <c r="L129" i="37"/>
  <c r="H128" i="37"/>
  <c r="L128" i="37"/>
  <c r="H91" i="37"/>
  <c r="L91" i="37"/>
  <c r="H119" i="37"/>
  <c r="L119" i="37"/>
  <c r="H84" i="37"/>
  <c r="L84" i="37"/>
  <c r="H126" i="37"/>
  <c r="L126" i="37"/>
  <c r="H75" i="37"/>
  <c r="L75" i="37"/>
  <c r="H99" i="37"/>
  <c r="L99" i="37"/>
  <c r="H121" i="37"/>
  <c r="L121" i="37"/>
  <c r="H137" i="37"/>
  <c r="L137" i="37"/>
  <c r="H120" i="37"/>
  <c r="L120" i="37"/>
  <c r="H136" i="37"/>
  <c r="L136" i="37"/>
  <c r="H77" i="37"/>
  <c r="L77" i="37"/>
  <c r="H113" i="37"/>
  <c r="L113" i="37"/>
  <c r="H127" i="37"/>
  <c r="L127" i="37"/>
  <c r="H143" i="37"/>
  <c r="L143" i="37"/>
  <c r="H112" i="37"/>
  <c r="L112" i="37"/>
  <c r="H134" i="37"/>
  <c r="L134" i="37"/>
  <c r="G17" i="36"/>
  <c r="H52" i="36"/>
  <c r="L52" i="36"/>
  <c r="H11" i="36"/>
  <c r="N11" i="36" s="1"/>
  <c r="L11" i="36"/>
  <c r="H51" i="36"/>
  <c r="L51" i="36"/>
  <c r="H67" i="36"/>
  <c r="L67" i="36"/>
  <c r="H58" i="36"/>
  <c r="L58" i="36"/>
  <c r="H10" i="36"/>
  <c r="AB53" i="3" s="1"/>
  <c r="L10" i="36"/>
  <c r="H39" i="36"/>
  <c r="L39" i="36"/>
  <c r="H48" i="36"/>
  <c r="L48" i="36"/>
  <c r="L47" i="36"/>
  <c r="H47" i="36"/>
  <c r="L63" i="36"/>
  <c r="H63" i="36"/>
  <c r="L54" i="36"/>
  <c r="H54" i="36"/>
  <c r="H34" i="36"/>
  <c r="L34" i="36"/>
  <c r="L69" i="36"/>
  <c r="H69" i="36"/>
  <c r="H38" i="36"/>
  <c r="L38" i="36"/>
  <c r="L56" i="36"/>
  <c r="H56" i="36"/>
  <c r="G70" i="36"/>
  <c r="M70" i="36" s="1"/>
  <c r="G71" i="36" s="1"/>
  <c r="M71" i="36" s="1"/>
  <c r="L70" i="36"/>
  <c r="F71" i="36" s="1"/>
  <c r="H24" i="36"/>
  <c r="L24" i="36"/>
  <c r="H42" i="36"/>
  <c r="L42" i="36"/>
  <c r="L55" i="36"/>
  <c r="H55" i="36"/>
  <c r="L46" i="36"/>
  <c r="H46" i="36"/>
  <c r="H62" i="36"/>
  <c r="L62" i="36"/>
  <c r="H18" i="36"/>
  <c r="L18" i="36"/>
  <c r="H45" i="36"/>
  <c r="L45" i="36"/>
  <c r="H61" i="36"/>
  <c r="L61" i="36"/>
  <c r="H33" i="36"/>
  <c r="L33" i="36"/>
  <c r="H68" i="36"/>
  <c r="L68" i="36"/>
  <c r="H36" i="36"/>
  <c r="L36" i="36"/>
  <c r="H35" i="36"/>
  <c r="L35" i="36"/>
  <c r="L57" i="36"/>
  <c r="H57" i="36"/>
  <c r="L64" i="36"/>
  <c r="H64" i="36"/>
  <c r="H32" i="36"/>
  <c r="JZ53" i="3" s="1"/>
  <c r="L32" i="36"/>
  <c r="L53" i="36"/>
  <c r="H53" i="36"/>
  <c r="L26" i="36"/>
  <c r="H44" i="36"/>
  <c r="L44" i="36"/>
  <c r="L60" i="36"/>
  <c r="H60" i="36"/>
  <c r="L43" i="36"/>
  <c r="H43" i="36"/>
  <c r="L59" i="36"/>
  <c r="H59" i="36"/>
  <c r="H50" i="36"/>
  <c r="L50" i="36"/>
  <c r="H66" i="36"/>
  <c r="L66" i="36"/>
  <c r="H49" i="36"/>
  <c r="L49" i="36"/>
  <c r="H65" i="36"/>
  <c r="L65" i="36"/>
  <c r="H9" i="35"/>
  <c r="U53" i="3" s="1"/>
  <c r="F305" i="3"/>
  <c r="H305" i="3"/>
  <c r="G304" i="3"/>
  <c r="L91" i="29"/>
  <c r="L100" i="29" s="1"/>
  <c r="L202" i="29" s="1"/>
  <c r="L26" i="26"/>
  <c r="I29" i="27"/>
  <c r="J29" i="27" s="1"/>
  <c r="B59" i="24"/>
  <c r="B83" i="24" s="1"/>
  <c r="F59" i="24"/>
  <c r="F83" i="24" s="1"/>
  <c r="F123" i="24" s="1"/>
  <c r="C7" i="25"/>
  <c r="B72" i="24"/>
  <c r="K4" i="42"/>
  <c r="E66" i="24"/>
  <c r="B71" i="24" s="1"/>
  <c r="C3" i="25"/>
  <c r="B75" i="24"/>
  <c r="E32" i="24"/>
  <c r="X3" i="3"/>
  <c r="X4" i="3" s="1"/>
  <c r="B21" i="3"/>
  <c r="A22" i="3" s="1"/>
  <c r="C22" i="3" s="1"/>
  <c r="D22" i="3" s="1"/>
  <c r="C21" i="3"/>
  <c r="D21" i="3" s="1"/>
  <c r="N53" i="28"/>
  <c r="N54" i="28"/>
  <c r="O11" i="28"/>
  <c r="L11" i="28"/>
  <c r="O27" i="28"/>
  <c r="Q27" i="28" s="1"/>
  <c r="O15" i="28"/>
  <c r="Q15" i="28" s="1"/>
  <c r="O19" i="28"/>
  <c r="Q19" i="28" s="1"/>
  <c r="O24" i="28"/>
  <c r="Q24" i="28" s="1"/>
  <c r="K128" i="28"/>
  <c r="N125" i="28"/>
  <c r="L125" i="28"/>
  <c r="L30" i="28"/>
  <c r="O16" i="28"/>
  <c r="Q16" i="28" s="1"/>
  <c r="L78" i="28"/>
  <c r="M129" i="28"/>
  <c r="O17" i="28"/>
  <c r="O28" i="28"/>
  <c r="Q28" i="28" s="1"/>
  <c r="O12" i="28"/>
  <c r="Q12" i="28" s="1"/>
  <c r="O23" i="28"/>
  <c r="Q23" i="28" s="1"/>
  <c r="K129" i="28"/>
  <c r="P77" i="28"/>
  <c r="P15" i="28"/>
  <c r="P29" i="28" s="1"/>
  <c r="N29" i="28"/>
  <c r="L101" i="28"/>
  <c r="N126" i="28"/>
  <c r="O20" i="28"/>
  <c r="Q20" i="28" s="1"/>
  <c r="O25" i="28"/>
  <c r="H23" i="26"/>
  <c r="L23" i="26" s="1"/>
  <c r="H36" i="25" s="1"/>
  <c r="K36" i="25" s="1"/>
  <c r="GO53" i="3" s="1"/>
  <c r="L13" i="26"/>
  <c r="L16" i="35"/>
  <c r="I22" i="41"/>
  <c r="J22" i="41" s="1"/>
  <c r="I13" i="41"/>
  <c r="J13" i="41" s="1"/>
  <c r="D46" i="40"/>
  <c r="J46" i="40" s="1"/>
  <c r="I19" i="41"/>
  <c r="J19" i="41" s="1"/>
  <c r="I10" i="41"/>
  <c r="J10" i="41" s="1"/>
  <c r="D42" i="40"/>
  <c r="J42" i="40" s="1"/>
  <c r="I21" i="41"/>
  <c r="J21" i="41" s="1"/>
  <c r="I12" i="41"/>
  <c r="J12" i="41" s="1"/>
  <c r="D39" i="40"/>
  <c r="J39" i="40" s="1"/>
  <c r="D48" i="40"/>
  <c r="J48" i="40" s="1"/>
  <c r="D53" i="40"/>
  <c r="J53" i="40" s="1"/>
  <c r="D51" i="40"/>
  <c r="J51" i="40" s="1"/>
  <c r="I20" i="41"/>
  <c r="J20" i="41" s="1"/>
  <c r="I11" i="41"/>
  <c r="J11" i="41" s="1"/>
  <c r="A2" i="43"/>
  <c r="K4" i="49"/>
  <c r="E58" i="24"/>
  <c r="E45" i="24"/>
  <c r="M10" i="35"/>
  <c r="L10" i="35"/>
  <c r="N10" i="35"/>
  <c r="L13" i="35"/>
  <c r="K10" i="35"/>
  <c r="K16" i="35"/>
  <c r="J16" i="35"/>
  <c r="N16" i="35"/>
  <c r="K13" i="35"/>
  <c r="J13" i="35"/>
  <c r="N13" i="35"/>
  <c r="K4" i="35"/>
  <c r="K4" i="37"/>
  <c r="K4" i="41"/>
  <c r="K4" i="36"/>
  <c r="K4" i="40"/>
  <c r="B8" i="24"/>
  <c r="K6" i="25" s="1"/>
  <c r="L3" i="25" s="1"/>
  <c r="K4" i="38"/>
  <c r="K4" i="39"/>
  <c r="L33" i="32"/>
  <c r="H14" i="26"/>
  <c r="L14" i="26" s="1"/>
  <c r="N77" i="28"/>
  <c r="L102" i="28"/>
  <c r="O13" i="28"/>
  <c r="L17" i="28"/>
  <c r="O18" i="28"/>
  <c r="Q18" i="28" s="1"/>
  <c r="O21" i="28"/>
  <c r="Q21" i="28" s="1"/>
  <c r="L25" i="28"/>
  <c r="O26" i="28"/>
  <c r="Q26" i="28" s="1"/>
  <c r="M128" i="28"/>
  <c r="N78" i="28"/>
  <c r="N102" i="28"/>
  <c r="L77" i="28"/>
  <c r="N30" i="28"/>
  <c r="P12" i="28"/>
  <c r="P30" i="28" s="1"/>
  <c r="N101" i="28"/>
  <c r="O14" i="28"/>
  <c r="Q14" i="28" s="1"/>
  <c r="O22" i="28"/>
  <c r="Q22" i="28" s="1"/>
  <c r="E16" i="27"/>
  <c r="G28" i="25" s="1"/>
  <c r="P53" i="28"/>
  <c r="P126" i="28"/>
  <c r="G67" i="40" l="1"/>
  <c r="M67" i="40" s="1"/>
  <c r="N68" i="40"/>
  <c r="KH53" i="3"/>
  <c r="H10" i="40"/>
  <c r="H11" i="40" s="1"/>
  <c r="H32" i="41"/>
  <c r="N32" i="41" s="1"/>
  <c r="H97" i="37"/>
  <c r="N97" i="37" s="1"/>
  <c r="H9" i="42"/>
  <c r="GE53" i="3" s="1"/>
  <c r="H13" i="36"/>
  <c r="JT53" i="3" s="1"/>
  <c r="J45" i="41"/>
  <c r="JY53" i="3"/>
  <c r="N30" i="36"/>
  <c r="KA53" i="3"/>
  <c r="N80" i="37"/>
  <c r="L33" i="41"/>
  <c r="H33" i="41"/>
  <c r="N33" i="41" s="1"/>
  <c r="JV53" i="3"/>
  <c r="N15" i="36"/>
  <c r="Q25" i="28"/>
  <c r="M17" i="42"/>
  <c r="M18" i="42" s="1"/>
  <c r="H39" i="41"/>
  <c r="JU53" i="3"/>
  <c r="N14" i="36"/>
  <c r="N37" i="41"/>
  <c r="KJ53" i="3"/>
  <c r="J41" i="41"/>
  <c r="E15" i="27" s="1"/>
  <c r="G26" i="25" s="1"/>
  <c r="J44" i="41"/>
  <c r="N95" i="37"/>
  <c r="KC53" i="3"/>
  <c r="JJ53" i="3"/>
  <c r="N15" i="39"/>
  <c r="L40" i="41"/>
  <c r="H40" i="41"/>
  <c r="N40" i="41" s="1"/>
  <c r="KD53" i="3"/>
  <c r="N96" i="37"/>
  <c r="KB53" i="3"/>
  <c r="N81" i="37"/>
  <c r="L153" i="37"/>
  <c r="H153" i="37"/>
  <c r="G9" i="36"/>
  <c r="H9" i="36" s="1"/>
  <c r="L154" i="37"/>
  <c r="H154" i="37"/>
  <c r="N154" i="37" s="1"/>
  <c r="N79" i="37"/>
  <c r="CU53" i="3"/>
  <c r="L29" i="36"/>
  <c r="G29" i="36"/>
  <c r="M29" i="36" s="1"/>
  <c r="H27" i="36"/>
  <c r="L27" i="36"/>
  <c r="H26" i="36"/>
  <c r="JW53" i="3" s="1"/>
  <c r="H21" i="36"/>
  <c r="L21" i="36"/>
  <c r="L22" i="36"/>
  <c r="H22" i="36"/>
  <c r="G25" i="36"/>
  <c r="L25" i="36"/>
  <c r="G25" i="41"/>
  <c r="H25" i="41" s="1"/>
  <c r="L36" i="41"/>
  <c r="H36" i="41"/>
  <c r="L30" i="41"/>
  <c r="F31" i="41" s="1"/>
  <c r="G30" i="41"/>
  <c r="M30" i="41" s="1"/>
  <c r="G31" i="41" s="1"/>
  <c r="M31" i="41" s="1"/>
  <c r="H28" i="41"/>
  <c r="L28" i="41"/>
  <c r="L35" i="41"/>
  <c r="H35" i="41"/>
  <c r="L29" i="41"/>
  <c r="G29" i="41"/>
  <c r="M29" i="41" s="1"/>
  <c r="GP53" i="3"/>
  <c r="L30" i="40"/>
  <c r="L147" i="37"/>
  <c r="F148" i="37" s="1"/>
  <c r="L148" i="37" s="1"/>
  <c r="L63" i="40"/>
  <c r="H63" i="40"/>
  <c r="L64" i="40"/>
  <c r="H64" i="40"/>
  <c r="L65" i="40"/>
  <c r="H65" i="40"/>
  <c r="L150" i="37"/>
  <c r="F151" i="37" s="1"/>
  <c r="G150" i="37"/>
  <c r="L61" i="40"/>
  <c r="G61" i="40"/>
  <c r="M61" i="40" s="1"/>
  <c r="G47" i="40"/>
  <c r="H47" i="40" s="1"/>
  <c r="N47" i="40" s="1"/>
  <c r="L17" i="26"/>
  <c r="H32" i="25" s="1"/>
  <c r="K32" i="25" s="1"/>
  <c r="O53" i="3" s="1"/>
  <c r="H34" i="25"/>
  <c r="K34" i="25" s="1"/>
  <c r="GN53" i="3" s="1"/>
  <c r="H105" i="37"/>
  <c r="AL53" i="3" s="1"/>
  <c r="H104" i="37"/>
  <c r="L106" i="37"/>
  <c r="H106" i="37"/>
  <c r="N106" i="37" s="1"/>
  <c r="M41" i="40"/>
  <c r="G42" i="40" s="1"/>
  <c r="M42" i="40" s="1"/>
  <c r="N14" i="41"/>
  <c r="FG53" i="3"/>
  <c r="W12" i="3"/>
  <c r="Y11" i="3"/>
  <c r="Y10" i="3"/>
  <c r="EU53" i="3"/>
  <c r="M10" i="39"/>
  <c r="H51" i="40"/>
  <c r="N51" i="40" s="1"/>
  <c r="N38" i="40"/>
  <c r="H50" i="40"/>
  <c r="FL53" i="3" s="1"/>
  <c r="M14" i="41"/>
  <c r="H23" i="41"/>
  <c r="M23" i="41"/>
  <c r="GD53" i="3"/>
  <c r="N26" i="41"/>
  <c r="GF53" i="3"/>
  <c r="N11" i="42"/>
  <c r="FN53" i="3"/>
  <c r="N55" i="40"/>
  <c r="H12" i="42"/>
  <c r="N12" i="42" s="1"/>
  <c r="L12" i="42"/>
  <c r="FO53" i="3"/>
  <c r="N56" i="40"/>
  <c r="ES53" i="3"/>
  <c r="N11" i="38"/>
  <c r="H52" i="40"/>
  <c r="M52" i="40"/>
  <c r="G53" i="40" s="1"/>
  <c r="FK53" i="3"/>
  <c r="N49" i="40"/>
  <c r="H147" i="37"/>
  <c r="M147" i="37"/>
  <c r="G148" i="37" s="1"/>
  <c r="M148" i="37" s="1"/>
  <c r="EW53" i="3"/>
  <c r="N14" i="39"/>
  <c r="N43" i="40"/>
  <c r="FH53" i="3"/>
  <c r="H10" i="42"/>
  <c r="N10" i="42" s="1"/>
  <c r="ET53" i="3"/>
  <c r="N9" i="39"/>
  <c r="ER53" i="3"/>
  <c r="N10" i="38"/>
  <c r="FE53" i="3"/>
  <c r="N37" i="40"/>
  <c r="FW53" i="3"/>
  <c r="N16" i="41"/>
  <c r="H45" i="40"/>
  <c r="M45" i="40"/>
  <c r="G46" i="40" s="1"/>
  <c r="H57" i="40"/>
  <c r="M57" i="40"/>
  <c r="M38" i="40"/>
  <c r="G102" i="37"/>
  <c r="M102" i="37" s="1"/>
  <c r="H100" i="37"/>
  <c r="DE53" i="3" s="1"/>
  <c r="H101" i="37"/>
  <c r="DF53" i="3" s="1"/>
  <c r="H20" i="36"/>
  <c r="AI53" i="3" s="1"/>
  <c r="DJ53" i="3"/>
  <c r="N112" i="37"/>
  <c r="CT53" i="3"/>
  <c r="N77" i="37"/>
  <c r="DO53" i="3"/>
  <c r="N120" i="37"/>
  <c r="EF53" i="3"/>
  <c r="N137" i="37"/>
  <c r="DD53" i="3"/>
  <c r="N99" i="37"/>
  <c r="DN53" i="3"/>
  <c r="N119" i="37"/>
  <c r="DW53" i="3"/>
  <c r="N128" i="37"/>
  <c r="CZ53" i="3"/>
  <c r="N88" i="37"/>
  <c r="DR53" i="3"/>
  <c r="N123" i="37"/>
  <c r="DM53" i="3"/>
  <c r="N116" i="37"/>
  <c r="DQ53" i="3"/>
  <c r="N122" i="37"/>
  <c r="DZ53" i="3"/>
  <c r="N131" i="37"/>
  <c r="CX53" i="3"/>
  <c r="N86" i="37"/>
  <c r="DS53" i="3"/>
  <c r="N124" i="37"/>
  <c r="EJ53" i="3"/>
  <c r="N141" i="37"/>
  <c r="H83" i="37"/>
  <c r="M83" i="37"/>
  <c r="ED53" i="3"/>
  <c r="N135" i="37"/>
  <c r="DB53" i="3"/>
  <c r="N92" i="37"/>
  <c r="EB53" i="3"/>
  <c r="N133" i="37"/>
  <c r="EC53" i="3"/>
  <c r="N134" i="37"/>
  <c r="EL53" i="3"/>
  <c r="N143" i="37"/>
  <c r="N113" i="37"/>
  <c r="DK53" i="3"/>
  <c r="EE53" i="3"/>
  <c r="N136" i="37"/>
  <c r="DP53" i="3"/>
  <c r="N121" i="37"/>
  <c r="CR53" i="3"/>
  <c r="N75" i="37"/>
  <c r="CW53" i="3"/>
  <c r="N84" i="37"/>
  <c r="DA53" i="3"/>
  <c r="N91" i="37"/>
  <c r="DX53" i="3"/>
  <c r="N129" i="37"/>
  <c r="DY53" i="3"/>
  <c r="N130" i="37"/>
  <c r="DG53" i="3"/>
  <c r="N108" i="37"/>
  <c r="DI53" i="3"/>
  <c r="N111" i="37"/>
  <c r="EG53" i="3"/>
  <c r="N138" i="37"/>
  <c r="CS53" i="3"/>
  <c r="N76" i="37"/>
  <c r="DL53" i="3"/>
  <c r="N115" i="37"/>
  <c r="EI53" i="3"/>
  <c r="N140" i="37"/>
  <c r="CY53" i="3"/>
  <c r="N87" i="37"/>
  <c r="DT53" i="3"/>
  <c r="N125" i="37"/>
  <c r="EK53" i="3"/>
  <c r="N142" i="37"/>
  <c r="EM53" i="3"/>
  <c r="N144" i="37"/>
  <c r="EN53" i="3"/>
  <c r="N145" i="37"/>
  <c r="EO53" i="3"/>
  <c r="N146" i="37"/>
  <c r="EA53" i="3"/>
  <c r="N132" i="37"/>
  <c r="DV53" i="3"/>
  <c r="N127" i="37"/>
  <c r="DU53" i="3"/>
  <c r="N126" i="37"/>
  <c r="H93" i="37"/>
  <c r="M93" i="37"/>
  <c r="EH53" i="3"/>
  <c r="N139" i="37"/>
  <c r="H109" i="37"/>
  <c r="M109" i="37"/>
  <c r="G110" i="37" s="1"/>
  <c r="M110" i="37" s="1"/>
  <c r="M17" i="36"/>
  <c r="H17" i="36"/>
  <c r="AP53" i="3"/>
  <c r="N35" i="36"/>
  <c r="BN53" i="3"/>
  <c r="N62" i="36"/>
  <c r="N56" i="36"/>
  <c r="BH53" i="3"/>
  <c r="BU53" i="3"/>
  <c r="N69" i="36"/>
  <c r="AY53" i="3"/>
  <c r="N47" i="36"/>
  <c r="AU53" i="3"/>
  <c r="N43" i="36"/>
  <c r="N64" i="36"/>
  <c r="BP53" i="3"/>
  <c r="BG53" i="3"/>
  <c r="N55" i="36"/>
  <c r="AR53" i="3"/>
  <c r="N38" i="36"/>
  <c r="N48" i="36"/>
  <c r="AZ53" i="3"/>
  <c r="AC53" i="3"/>
  <c r="N10" i="36"/>
  <c r="BK53" i="3"/>
  <c r="N59" i="36"/>
  <c r="N60" i="36"/>
  <c r="BL53" i="3"/>
  <c r="N57" i="36"/>
  <c r="BI53" i="3"/>
  <c r="N46" i="36"/>
  <c r="AX53" i="3"/>
  <c r="H71" i="36"/>
  <c r="N71" i="36" s="1"/>
  <c r="L71" i="36"/>
  <c r="AS53" i="3"/>
  <c r="N39" i="36"/>
  <c r="BJ53" i="3"/>
  <c r="N58" i="36"/>
  <c r="BC53" i="3"/>
  <c r="N51" i="36"/>
  <c r="N52" i="36"/>
  <c r="BD53" i="3"/>
  <c r="N65" i="36"/>
  <c r="BQ53" i="3"/>
  <c r="BB53" i="3"/>
  <c r="N50" i="36"/>
  <c r="N44" i="36"/>
  <c r="AV53" i="3"/>
  <c r="N68" i="36"/>
  <c r="BT53" i="3"/>
  <c r="N45" i="36"/>
  <c r="AW53" i="3"/>
  <c r="AG53" i="3"/>
  <c r="N24" i="36"/>
  <c r="BF53" i="3"/>
  <c r="N54" i="36"/>
  <c r="N53" i="36"/>
  <c r="BE53" i="3"/>
  <c r="AO53" i="3"/>
  <c r="N34" i="36"/>
  <c r="BS53" i="3"/>
  <c r="N67" i="36"/>
  <c r="N49" i="36"/>
  <c r="BA53" i="3"/>
  <c r="BR53" i="3"/>
  <c r="N66" i="36"/>
  <c r="N32" i="36"/>
  <c r="N36" i="36"/>
  <c r="AQ53" i="3"/>
  <c r="AN53" i="3"/>
  <c r="N33" i="36"/>
  <c r="N61" i="36"/>
  <c r="BM53" i="3"/>
  <c r="AE53" i="3"/>
  <c r="N18" i="36"/>
  <c r="AT53" i="3"/>
  <c r="N42" i="36"/>
  <c r="BO53" i="3"/>
  <c r="N63" i="36"/>
  <c r="H70" i="36"/>
  <c r="H306" i="3"/>
  <c r="F306" i="3"/>
  <c r="G305" i="3"/>
  <c r="L211" i="29"/>
  <c r="L224" i="29" s="1"/>
  <c r="L233" i="29" s="1"/>
  <c r="E59" i="24"/>
  <c r="E83" i="24" s="1"/>
  <c r="E123" i="24" s="1"/>
  <c r="X5" i="3"/>
  <c r="X6" i="3" s="1"/>
  <c r="X7" i="3" s="1"/>
  <c r="H22" i="3"/>
  <c r="A23" i="3"/>
  <c r="C23" i="3" s="1"/>
  <c r="D23" i="3" s="1"/>
  <c r="L54" i="28"/>
  <c r="L53" i="28"/>
  <c r="Q11" i="28"/>
  <c r="O53" i="28"/>
  <c r="O54" i="28"/>
  <c r="P54" i="28"/>
  <c r="L126" i="28"/>
  <c r="P125" i="28"/>
  <c r="O125" i="28"/>
  <c r="O126" i="28"/>
  <c r="P101" i="28"/>
  <c r="O102" i="28"/>
  <c r="O78" i="28"/>
  <c r="O29" i="28"/>
  <c r="N128" i="28"/>
  <c r="Q17" i="28"/>
  <c r="L12" i="41"/>
  <c r="K12" i="41"/>
  <c r="M12" i="41"/>
  <c r="N12" i="41"/>
  <c r="K13" i="41"/>
  <c r="M13" i="41"/>
  <c r="L13" i="41"/>
  <c r="N13" i="41"/>
  <c r="L21" i="41"/>
  <c r="M21" i="41"/>
  <c r="K21" i="41"/>
  <c r="N21" i="41"/>
  <c r="K19" i="41"/>
  <c r="M19" i="41"/>
  <c r="L19" i="41"/>
  <c r="N19" i="41"/>
  <c r="L22" i="41"/>
  <c r="K22" i="41"/>
  <c r="M22" i="41"/>
  <c r="N22" i="41"/>
  <c r="K10" i="41"/>
  <c r="N10" i="41"/>
  <c r="L10" i="41"/>
  <c r="M10" i="41"/>
  <c r="K20" i="41"/>
  <c r="N20" i="41"/>
  <c r="L20" i="41"/>
  <c r="M20" i="41"/>
  <c r="M11" i="41"/>
  <c r="K11" i="41"/>
  <c r="L11" i="41"/>
  <c r="N11" i="41"/>
  <c r="C3" i="26"/>
  <c r="A3" i="27" s="1"/>
  <c r="A3" i="28" s="1"/>
  <c r="C3" i="29" s="1"/>
  <c r="Q101" i="28"/>
  <c r="Q78" i="28"/>
  <c r="Q77" i="28"/>
  <c r="O77" i="28"/>
  <c r="L29" i="28"/>
  <c r="P102" i="28"/>
  <c r="N129" i="28"/>
  <c r="Q102" i="28"/>
  <c r="O30" i="28"/>
  <c r="Q13" i="28"/>
  <c r="P78" i="28"/>
  <c r="Q30" i="28"/>
  <c r="O101" i="28"/>
  <c r="A2" i="14"/>
  <c r="A2" i="4"/>
  <c r="B2" i="8"/>
  <c r="C2" i="21"/>
  <c r="C2" i="20"/>
  <c r="C2" i="19"/>
  <c r="C2" i="18"/>
  <c r="C2" i="17"/>
  <c r="C2" i="16"/>
  <c r="C2" i="15"/>
  <c r="C2" i="22"/>
  <c r="F429" i="22"/>
  <c r="F251" i="22"/>
  <c r="F173" i="22"/>
  <c r="F7" i="18"/>
  <c r="B74" i="22"/>
  <c r="B53" i="16"/>
  <c r="C72" i="1"/>
  <c r="C73" i="1"/>
  <c r="C74" i="1"/>
  <c r="C75" i="1"/>
  <c r="C76" i="1"/>
  <c r="C77" i="1"/>
  <c r="C71" i="1"/>
  <c r="C64" i="1"/>
  <c r="B64" i="1"/>
  <c r="C63" i="1"/>
  <c r="B63" i="1"/>
  <c r="C62" i="1"/>
  <c r="B62" i="1"/>
  <c r="C61" i="1"/>
  <c r="B61" i="1"/>
  <c r="C60" i="1"/>
  <c r="B60" i="1"/>
  <c r="E473" i="22"/>
  <c r="E451" i="22"/>
  <c r="E429" i="22"/>
  <c r="E407" i="22"/>
  <c r="F406" i="22"/>
  <c r="F373" i="22"/>
  <c r="E373" i="22"/>
  <c r="E351" i="22"/>
  <c r="E329" i="22"/>
  <c r="E307" i="22"/>
  <c r="F306" i="22"/>
  <c r="E273" i="22"/>
  <c r="E251" i="22"/>
  <c r="E229" i="22"/>
  <c r="E207" i="22"/>
  <c r="F206" i="22"/>
  <c r="E173" i="22"/>
  <c r="E151" i="22"/>
  <c r="E129" i="22"/>
  <c r="E107" i="22"/>
  <c r="F106" i="22"/>
  <c r="E73" i="22"/>
  <c r="E51" i="22"/>
  <c r="E29" i="22"/>
  <c r="C28" i="22"/>
  <c r="C94" i="22" s="1"/>
  <c r="B28" i="22"/>
  <c r="C75" i="22"/>
  <c r="C74" i="22"/>
  <c r="E7" i="22"/>
  <c r="F6" i="22"/>
  <c r="E73" i="21"/>
  <c r="E51" i="21"/>
  <c r="E29" i="21"/>
  <c r="C28" i="21"/>
  <c r="C50" i="21" s="1"/>
  <c r="B28" i="21"/>
  <c r="C31" i="21"/>
  <c r="C30" i="21"/>
  <c r="E7" i="21"/>
  <c r="F6" i="21"/>
  <c r="E73" i="20"/>
  <c r="E51" i="20"/>
  <c r="E29" i="20"/>
  <c r="C28" i="20"/>
  <c r="C94" i="20" s="1"/>
  <c r="B28" i="20"/>
  <c r="C75" i="20"/>
  <c r="C74" i="20"/>
  <c r="E7" i="20"/>
  <c r="F6" i="20"/>
  <c r="E73" i="19"/>
  <c r="E51" i="19"/>
  <c r="E29" i="19"/>
  <c r="C28" i="19"/>
  <c r="B28" i="19"/>
  <c r="B72" i="19" s="1"/>
  <c r="C31" i="19"/>
  <c r="C30" i="19"/>
  <c r="E7" i="19"/>
  <c r="F6" i="19"/>
  <c r="E73" i="18"/>
  <c r="E51" i="18"/>
  <c r="E29" i="18"/>
  <c r="C28" i="18"/>
  <c r="C50" i="18" s="1"/>
  <c r="B28" i="18"/>
  <c r="C31" i="18"/>
  <c r="C30" i="18"/>
  <c r="E7" i="18"/>
  <c r="F6" i="18"/>
  <c r="E73" i="17"/>
  <c r="E51" i="17"/>
  <c r="E29" i="17"/>
  <c r="C28" i="17"/>
  <c r="B28" i="17"/>
  <c r="C53" i="17"/>
  <c r="C52" i="17"/>
  <c r="E7" i="17"/>
  <c r="F6" i="17"/>
  <c r="E73" i="16"/>
  <c r="E51" i="16"/>
  <c r="E29" i="16"/>
  <c r="C28" i="16"/>
  <c r="C94" i="16" s="1"/>
  <c r="B28" i="16"/>
  <c r="C75" i="16"/>
  <c r="C74" i="16"/>
  <c r="E7" i="16"/>
  <c r="F6" i="16"/>
  <c r="F6" i="15"/>
  <c r="C28" i="15"/>
  <c r="C94" i="15" s="1"/>
  <c r="B28" i="15"/>
  <c r="C75" i="15"/>
  <c r="C74" i="15"/>
  <c r="E73" i="15"/>
  <c r="E51" i="15"/>
  <c r="E29" i="15"/>
  <c r="E7" i="15"/>
  <c r="B399" i="8"/>
  <c r="B28" i="25" s="1"/>
  <c r="B16" i="27" s="1"/>
  <c r="B398" i="8"/>
  <c r="B26" i="25" s="1"/>
  <c r="B15" i="27" s="1"/>
  <c r="A399" i="8"/>
  <c r="A28" i="25" s="1"/>
  <c r="A16" i="27" s="1"/>
  <c r="A398" i="8"/>
  <c r="A26" i="25" s="1"/>
  <c r="A15" i="27" s="1"/>
  <c r="F358" i="8"/>
  <c r="F399" i="8" s="1"/>
  <c r="F398" i="8"/>
  <c r="B397" i="8"/>
  <c r="B24" i="25" s="1"/>
  <c r="B14" i="27" s="1"/>
  <c r="A397" i="8"/>
  <c r="A24" i="25" s="1"/>
  <c r="A14" i="27" s="1"/>
  <c r="B396" i="8"/>
  <c r="B22" i="25" s="1"/>
  <c r="B13" i="27" s="1"/>
  <c r="A396" i="8"/>
  <c r="A22" i="25" s="1"/>
  <c r="A13" i="27" s="1"/>
  <c r="B395" i="8"/>
  <c r="B20" i="25" s="1"/>
  <c r="B12" i="27" s="1"/>
  <c r="A395" i="8"/>
  <c r="A20" i="25" s="1"/>
  <c r="A12" i="27" s="1"/>
  <c r="B394" i="8"/>
  <c r="B18" i="25" s="1"/>
  <c r="B11" i="27" s="1"/>
  <c r="A394" i="8"/>
  <c r="A18" i="25" s="1"/>
  <c r="A11" i="27" s="1"/>
  <c r="D248" i="8"/>
  <c r="F248" i="8" s="1"/>
  <c r="F385" i="8" s="1"/>
  <c r="D184" i="8"/>
  <c r="F184" i="8" s="1"/>
  <c r="B393" i="8"/>
  <c r="B16" i="25" s="1"/>
  <c r="B10" i="27" s="1"/>
  <c r="A393" i="8"/>
  <c r="A16" i="25" s="1"/>
  <c r="A10" i="27" s="1"/>
  <c r="B392" i="8"/>
  <c r="B14" i="25" s="1"/>
  <c r="B9" i="27" s="1"/>
  <c r="A392" i="8"/>
  <c r="A14" i="25" s="1"/>
  <c r="A9" i="27" s="1"/>
  <c r="H145" i="14"/>
  <c r="G145" i="14"/>
  <c r="F145" i="14"/>
  <c r="E145" i="14"/>
  <c r="D145" i="14"/>
  <c r="H122" i="14"/>
  <c r="G122" i="14"/>
  <c r="F122" i="14"/>
  <c r="E122" i="14"/>
  <c r="D122" i="14"/>
  <c r="H99" i="14"/>
  <c r="G99" i="14"/>
  <c r="F99" i="14"/>
  <c r="E99" i="14"/>
  <c r="D99" i="14"/>
  <c r="H76" i="14"/>
  <c r="G76" i="14"/>
  <c r="F76" i="14"/>
  <c r="E76" i="14"/>
  <c r="D76" i="14"/>
  <c r="H53" i="14"/>
  <c r="G53" i="14"/>
  <c r="F53" i="14"/>
  <c r="E53" i="14"/>
  <c r="D53" i="14"/>
  <c r="D34" i="14"/>
  <c r="H29" i="14"/>
  <c r="G29" i="14"/>
  <c r="F29" i="14"/>
  <c r="E29" i="14"/>
  <c r="D29" i="14"/>
  <c r="A13" i="14"/>
  <c r="A12" i="14"/>
  <c r="D11" i="14"/>
  <c r="A11" i="14"/>
  <c r="A10" i="14"/>
  <c r="A9" i="14"/>
  <c r="A8" i="14"/>
  <c r="H6" i="14"/>
  <c r="G6" i="14"/>
  <c r="F6" i="14"/>
  <c r="E6" i="14"/>
  <c r="D6" i="14"/>
  <c r="H3" i="14"/>
  <c r="G3" i="14"/>
  <c r="F3" i="14"/>
  <c r="E3" i="14"/>
  <c r="D3" i="14"/>
  <c r="BI141" i="13"/>
  <c r="AY141" i="13"/>
  <c r="AO141" i="13"/>
  <c r="AE141" i="13"/>
  <c r="U141" i="13"/>
  <c r="K141" i="13"/>
  <c r="I7" i="13"/>
  <c r="BI141" i="12"/>
  <c r="AY141" i="12"/>
  <c r="AO141" i="12"/>
  <c r="AE141" i="12"/>
  <c r="U141" i="12"/>
  <c r="K141" i="12"/>
  <c r="I7" i="12"/>
  <c r="BI141" i="11"/>
  <c r="AY141" i="11"/>
  <c r="AO141" i="11"/>
  <c r="AE141" i="11"/>
  <c r="U141" i="11"/>
  <c r="K141" i="11"/>
  <c r="I7" i="11"/>
  <c r="BI141" i="10"/>
  <c r="AY141" i="10"/>
  <c r="AO141" i="10"/>
  <c r="AE141" i="10"/>
  <c r="U141" i="10"/>
  <c r="L31" i="10"/>
  <c r="B28" i="10" s="1"/>
  <c r="K141" i="10"/>
  <c r="L13" i="10"/>
  <c r="B12" i="10" s="1"/>
  <c r="I7" i="10"/>
  <c r="BI141" i="9"/>
  <c r="AY141" i="9"/>
  <c r="AO141" i="9"/>
  <c r="D78" i="14"/>
  <c r="AE141" i="9"/>
  <c r="U141" i="9"/>
  <c r="K141" i="9"/>
  <c r="A141" i="9"/>
  <c r="I7" i="9"/>
  <c r="C147" i="14"/>
  <c r="C150" i="14" s="1"/>
  <c r="C101" i="14"/>
  <c r="C104" i="14" s="1"/>
  <c r="C55" i="14"/>
  <c r="C58" i="14" s="1"/>
  <c r="C8" i="14"/>
  <c r="C11" i="14" s="1"/>
  <c r="A19" i="14"/>
  <c r="A18" i="14"/>
  <c r="A17" i="14"/>
  <c r="A16" i="14"/>
  <c r="A15" i="14"/>
  <c r="B158" i="14"/>
  <c r="B155" i="14"/>
  <c r="B154" i="14"/>
  <c r="B135" i="14"/>
  <c r="B112" i="14"/>
  <c r="B87" i="14"/>
  <c r="B86" i="14"/>
  <c r="B85" i="14"/>
  <c r="B66" i="14"/>
  <c r="B65" i="14"/>
  <c r="B42" i="14"/>
  <c r="B39" i="14"/>
  <c r="B19" i="14"/>
  <c r="B17" i="14"/>
  <c r="B16" i="14"/>
  <c r="J14" i="3"/>
  <c r="I14" i="3"/>
  <c r="H14" i="3"/>
  <c r="G14" i="3"/>
  <c r="S9" i="3"/>
  <c r="K9" i="3"/>
  <c r="G10" i="3" s="1"/>
  <c r="K7" i="3"/>
  <c r="H6" i="3" s="1"/>
  <c r="H11" i="3" s="1"/>
  <c r="C171" i="1"/>
  <c r="B171" i="1"/>
  <c r="C149" i="1"/>
  <c r="B149" i="1"/>
  <c r="C127" i="1"/>
  <c r="B127" i="1"/>
  <c r="C105" i="1"/>
  <c r="B105" i="1"/>
  <c r="C56" i="1"/>
  <c r="B56" i="1"/>
  <c r="N9" i="42" l="1"/>
  <c r="F386" i="8"/>
  <c r="H67" i="40"/>
  <c r="H29" i="36"/>
  <c r="JX53" i="3" s="1"/>
  <c r="KE53" i="3"/>
  <c r="EX53" i="3"/>
  <c r="L72" i="40"/>
  <c r="N13" i="36"/>
  <c r="K44" i="41"/>
  <c r="K46" i="41" s="1"/>
  <c r="K41" i="41"/>
  <c r="F15" i="27" s="1"/>
  <c r="M44" i="41"/>
  <c r="N39" i="41"/>
  <c r="KK53" i="3"/>
  <c r="L44" i="41"/>
  <c r="KI53" i="3"/>
  <c r="L31" i="41"/>
  <c r="H31" i="41"/>
  <c r="N31" i="41" s="1"/>
  <c r="M9" i="36"/>
  <c r="N26" i="36"/>
  <c r="L158" i="37"/>
  <c r="G11" i="39"/>
  <c r="M11" i="39" s="1"/>
  <c r="M20" i="39" s="1"/>
  <c r="N153" i="37"/>
  <c r="N158" i="37" s="1"/>
  <c r="KG53" i="3"/>
  <c r="KF53" i="3"/>
  <c r="L75" i="36"/>
  <c r="L76" i="36"/>
  <c r="N27" i="36"/>
  <c r="AM53" i="3"/>
  <c r="M25" i="41"/>
  <c r="H25" i="36"/>
  <c r="M25" i="36"/>
  <c r="N21" i="36"/>
  <c r="AJ53" i="3"/>
  <c r="N22" i="36"/>
  <c r="AF53" i="3"/>
  <c r="N36" i="41"/>
  <c r="JS53" i="3"/>
  <c r="N35" i="41"/>
  <c r="JR53" i="3"/>
  <c r="N28" i="41"/>
  <c r="JO53" i="3"/>
  <c r="H30" i="41"/>
  <c r="H29" i="41"/>
  <c r="G15" i="41"/>
  <c r="M15" i="41" s="1"/>
  <c r="N65" i="40"/>
  <c r="JN53" i="3"/>
  <c r="N64" i="40"/>
  <c r="JM53" i="3"/>
  <c r="N63" i="40"/>
  <c r="JL53" i="3"/>
  <c r="H150" i="37"/>
  <c r="M150" i="37"/>
  <c r="G151" i="37" s="1"/>
  <c r="M151" i="37" s="1"/>
  <c r="L151" i="37"/>
  <c r="FJ53" i="3"/>
  <c r="M47" i="40"/>
  <c r="G48" i="40" s="1"/>
  <c r="M48" i="40" s="1"/>
  <c r="H61" i="40"/>
  <c r="G39" i="40"/>
  <c r="M39" i="40" s="1"/>
  <c r="B94" i="21"/>
  <c r="B94" i="20"/>
  <c r="C50" i="19"/>
  <c r="C72" i="19"/>
  <c r="B94" i="19"/>
  <c r="F14" i="18"/>
  <c r="G14" i="18" s="1"/>
  <c r="F10" i="18"/>
  <c r="G10" i="18" s="1"/>
  <c r="F13" i="18"/>
  <c r="G13" i="18" s="1"/>
  <c r="F15" i="18"/>
  <c r="G15" i="18" s="1"/>
  <c r="F11" i="18"/>
  <c r="G11" i="18" s="1"/>
  <c r="F16" i="18"/>
  <c r="G16" i="18" s="1"/>
  <c r="F12" i="18"/>
  <c r="G12" i="18" s="1"/>
  <c r="F17" i="18"/>
  <c r="G17" i="18" s="1"/>
  <c r="F8" i="18"/>
  <c r="F9" i="18"/>
  <c r="B94" i="18"/>
  <c r="F28" i="18"/>
  <c r="G28" i="18" s="1"/>
  <c r="C72" i="17"/>
  <c r="B50" i="17"/>
  <c r="B72" i="16"/>
  <c r="B72" i="15"/>
  <c r="F435" i="22"/>
  <c r="G435" i="22" s="1"/>
  <c r="F436" i="22"/>
  <c r="G436" i="22" s="1"/>
  <c r="F432" i="22"/>
  <c r="G432" i="22" s="1"/>
  <c r="F439" i="22"/>
  <c r="G439" i="22" s="1"/>
  <c r="F438" i="22"/>
  <c r="G438" i="22" s="1"/>
  <c r="F434" i="22"/>
  <c r="G434" i="22" s="1"/>
  <c r="F437" i="22"/>
  <c r="G437" i="22" s="1"/>
  <c r="F433" i="22"/>
  <c r="G433" i="22" s="1"/>
  <c r="F380" i="22"/>
  <c r="G380" i="22" s="1"/>
  <c r="F379" i="22"/>
  <c r="G379" i="22" s="1"/>
  <c r="F378" i="22"/>
  <c r="G378" i="22" s="1"/>
  <c r="F376" i="22"/>
  <c r="G376" i="22" s="1"/>
  <c r="F381" i="22"/>
  <c r="G381" i="22" s="1"/>
  <c r="F383" i="22"/>
  <c r="G383" i="22" s="1"/>
  <c r="F377" i="22"/>
  <c r="G377" i="22" s="1"/>
  <c r="F382" i="22"/>
  <c r="G382" i="22" s="1"/>
  <c r="F254" i="22"/>
  <c r="G254" i="22" s="1"/>
  <c r="F257" i="22"/>
  <c r="G257" i="22" s="1"/>
  <c r="F256" i="22"/>
  <c r="G256" i="22" s="1"/>
  <c r="F259" i="22"/>
  <c r="G259" i="22" s="1"/>
  <c r="F260" i="22"/>
  <c r="G260" i="22" s="1"/>
  <c r="F255" i="22"/>
  <c r="G255" i="22" s="1"/>
  <c r="F261" i="22"/>
  <c r="G261" i="22" s="1"/>
  <c r="F258" i="22"/>
  <c r="G258" i="22" s="1"/>
  <c r="F177" i="22"/>
  <c r="G177" i="22" s="1"/>
  <c r="F178" i="22"/>
  <c r="G178" i="22" s="1"/>
  <c r="F183" i="22"/>
  <c r="G183" i="22" s="1"/>
  <c r="F179" i="22"/>
  <c r="G179" i="22" s="1"/>
  <c r="F181" i="22"/>
  <c r="G181" i="22" s="1"/>
  <c r="F180" i="22"/>
  <c r="G180" i="22" s="1"/>
  <c r="F182" i="22"/>
  <c r="G182" i="22" s="1"/>
  <c r="B94" i="22"/>
  <c r="J46" i="41"/>
  <c r="G306" i="3"/>
  <c r="B136" i="10"/>
  <c r="A150" i="10" s="1"/>
  <c r="H150" i="10" s="1"/>
  <c r="L136" i="10"/>
  <c r="K144" i="10" s="1"/>
  <c r="R144" i="10" s="1"/>
  <c r="B32" i="10"/>
  <c r="B31" i="10"/>
  <c r="N105" i="37"/>
  <c r="K266" i="10"/>
  <c r="R266" i="10" s="1"/>
  <c r="K186" i="10"/>
  <c r="R186" i="10" s="1"/>
  <c r="K251" i="10"/>
  <c r="R251" i="10" s="1"/>
  <c r="K299" i="10"/>
  <c r="R299" i="10" s="1"/>
  <c r="K177" i="10"/>
  <c r="R177" i="10" s="1"/>
  <c r="AK53" i="3"/>
  <c r="N104" i="37"/>
  <c r="H42" i="40"/>
  <c r="N42" i="40" s="1"/>
  <c r="BJ133" i="11"/>
  <c r="BJ133" i="13"/>
  <c r="BJ133" i="10"/>
  <c r="BJ133" i="12"/>
  <c r="P25" i="3"/>
  <c r="P26" i="3" s="1"/>
  <c r="H4" i="14"/>
  <c r="H5" i="14" s="1"/>
  <c r="D11" i="39"/>
  <c r="J11" i="39" s="1"/>
  <c r="J20" i="39" s="1"/>
  <c r="H173" i="22"/>
  <c r="H429" i="22"/>
  <c r="I10" i="3"/>
  <c r="D4" i="14"/>
  <c r="D5" i="14" s="1"/>
  <c r="L25" i="3"/>
  <c r="L26" i="3" s="1"/>
  <c r="E4" i="14"/>
  <c r="E5" i="14" s="1"/>
  <c r="M25" i="3"/>
  <c r="M26" i="3" s="1"/>
  <c r="O25" i="3"/>
  <c r="O26" i="3" s="1"/>
  <c r="G4" i="14"/>
  <c r="G5" i="14" s="1"/>
  <c r="Y13" i="3"/>
  <c r="W14" i="3"/>
  <c r="Y12" i="3"/>
  <c r="N50" i="40"/>
  <c r="GC53" i="3"/>
  <c r="N25" i="41"/>
  <c r="H148" i="37"/>
  <c r="N148" i="37" s="1"/>
  <c r="N17" i="42"/>
  <c r="N18" i="42" s="1"/>
  <c r="N13" i="42"/>
  <c r="I16" i="27" s="1"/>
  <c r="M46" i="40"/>
  <c r="H46" i="40"/>
  <c r="N46" i="40" s="1"/>
  <c r="EP53" i="3"/>
  <c r="N147" i="37"/>
  <c r="FM53" i="3"/>
  <c r="N52" i="40"/>
  <c r="GB53" i="3"/>
  <c r="N23" i="41"/>
  <c r="N57" i="40"/>
  <c r="FP53" i="3"/>
  <c r="G24" i="41"/>
  <c r="M53" i="40"/>
  <c r="H53" i="40"/>
  <c r="N53" i="40" s="1"/>
  <c r="FI53" i="3"/>
  <c r="N45" i="40"/>
  <c r="L17" i="42"/>
  <c r="L18" i="42" s="1"/>
  <c r="L13" i="42"/>
  <c r="G16" i="27" s="1"/>
  <c r="I28" i="25" s="1"/>
  <c r="C94" i="29"/>
  <c r="C417" i="29"/>
  <c r="C227" i="29"/>
  <c r="C205" i="29"/>
  <c r="C344" i="29"/>
  <c r="N100" i="37"/>
  <c r="H102" i="37"/>
  <c r="N102" i="37" s="1"/>
  <c r="N9" i="36"/>
  <c r="AA53" i="3"/>
  <c r="N20" i="36"/>
  <c r="N101" i="37"/>
  <c r="CV53" i="3"/>
  <c r="N83" i="37"/>
  <c r="H110" i="37"/>
  <c r="N110" i="37" s="1"/>
  <c r="N109" i="37"/>
  <c r="DH53" i="3"/>
  <c r="N93" i="37"/>
  <c r="DC53" i="3"/>
  <c r="N17" i="36"/>
  <c r="AD53" i="3"/>
  <c r="L72" i="36"/>
  <c r="G10" i="27" s="1"/>
  <c r="I16" i="25" s="1"/>
  <c r="BV53" i="3"/>
  <c r="N70" i="36"/>
  <c r="N29" i="36"/>
  <c r="H307" i="3"/>
  <c r="F307" i="3"/>
  <c r="X8" i="3"/>
  <c r="X9" i="3" s="1"/>
  <c r="I6" i="3"/>
  <c r="I11" i="3" s="1"/>
  <c r="I15" i="3" s="1"/>
  <c r="L9" i="3"/>
  <c r="G6" i="3"/>
  <c r="G11" i="3" s="1"/>
  <c r="J6" i="3"/>
  <c r="J11" i="3" s="1"/>
  <c r="J10" i="3"/>
  <c r="F151" i="22"/>
  <c r="A24" i="3"/>
  <c r="C24" i="3" s="1"/>
  <c r="D24" i="3" s="1"/>
  <c r="F73" i="17"/>
  <c r="F73" i="19"/>
  <c r="F273" i="22"/>
  <c r="H23" i="3"/>
  <c r="F73" i="16"/>
  <c r="F73" i="22"/>
  <c r="L128" i="28"/>
  <c r="Q54" i="28"/>
  <c r="Q53" i="28"/>
  <c r="L129" i="28"/>
  <c r="Q29" i="28"/>
  <c r="P128" i="28"/>
  <c r="Q126" i="28"/>
  <c r="Q125" i="28"/>
  <c r="P129" i="28"/>
  <c r="O129" i="28"/>
  <c r="O128" i="28"/>
  <c r="D102" i="37"/>
  <c r="J102" i="37" s="1"/>
  <c r="F4" i="14"/>
  <c r="F5" i="14" s="1"/>
  <c r="N25" i="3"/>
  <c r="N26" i="3" s="1"/>
  <c r="A3" i="30"/>
  <c r="A3" i="31" s="1"/>
  <c r="A3" i="32" s="1"/>
  <c r="A3" i="48" s="1"/>
  <c r="F51" i="20"/>
  <c r="F29" i="22"/>
  <c r="F129" i="22"/>
  <c r="F29" i="17"/>
  <c r="F29" i="20"/>
  <c r="F29" i="21"/>
  <c r="F229" i="22"/>
  <c r="F7" i="17"/>
  <c r="E6" i="17" s="1"/>
  <c r="D35" i="14"/>
  <c r="F7" i="16"/>
  <c r="F407" i="22"/>
  <c r="F29" i="15"/>
  <c r="F29" i="16"/>
  <c r="F29" i="18"/>
  <c r="F29" i="19"/>
  <c r="F329" i="22"/>
  <c r="F7" i="15"/>
  <c r="F7" i="19"/>
  <c r="F7" i="21"/>
  <c r="F28" i="21" s="1"/>
  <c r="F7" i="22"/>
  <c r="F51" i="21"/>
  <c r="F7" i="20"/>
  <c r="F28" i="20" s="1"/>
  <c r="F107" i="22"/>
  <c r="F207" i="22"/>
  <c r="F307" i="22"/>
  <c r="H7" i="18"/>
  <c r="R176" i="9"/>
  <c r="R208" i="9"/>
  <c r="R228" i="9"/>
  <c r="R196" i="9"/>
  <c r="F51" i="18"/>
  <c r="F451" i="22"/>
  <c r="F73" i="15"/>
  <c r="F51" i="16"/>
  <c r="F51" i="17"/>
  <c r="F73" i="18"/>
  <c r="H251" i="22"/>
  <c r="F351" i="22"/>
  <c r="F473" i="22"/>
  <c r="F51" i="15"/>
  <c r="F51" i="19"/>
  <c r="F72" i="19" s="1"/>
  <c r="G72" i="19" s="1"/>
  <c r="F73" i="20"/>
  <c r="F73" i="21"/>
  <c r="F51" i="22"/>
  <c r="H373" i="22"/>
  <c r="AP136" i="11"/>
  <c r="D31" i="14"/>
  <c r="R236" i="9"/>
  <c r="R234" i="9"/>
  <c r="R232" i="9"/>
  <c r="R220" i="9"/>
  <c r="R200" i="9"/>
  <c r="R188" i="9"/>
  <c r="R168" i="9"/>
  <c r="R156" i="9"/>
  <c r="R278" i="9"/>
  <c r="R264" i="9"/>
  <c r="R262" i="9"/>
  <c r="R248" i="9"/>
  <c r="R246" i="9"/>
  <c r="R216" i="9"/>
  <c r="R204" i="9"/>
  <c r="R266" i="9"/>
  <c r="R250" i="9"/>
  <c r="R224" i="9"/>
  <c r="R212" i="9"/>
  <c r="R192" i="9"/>
  <c r="R180" i="9"/>
  <c r="R160" i="9"/>
  <c r="R148" i="9"/>
  <c r="R147" i="9"/>
  <c r="R152" i="9"/>
  <c r="R172" i="9"/>
  <c r="R260" i="9"/>
  <c r="R144" i="9"/>
  <c r="R164" i="9"/>
  <c r="D101" i="14"/>
  <c r="R184" i="9"/>
  <c r="R244" i="9"/>
  <c r="R276" i="9"/>
  <c r="A141" i="12"/>
  <c r="B13" i="11"/>
  <c r="R149" i="9"/>
  <c r="R150" i="9"/>
  <c r="R158" i="9"/>
  <c r="R166" i="9"/>
  <c r="R174" i="9"/>
  <c r="R182" i="9"/>
  <c r="R190" i="9"/>
  <c r="R198" i="9"/>
  <c r="R206" i="9"/>
  <c r="R214" i="9"/>
  <c r="R222" i="9"/>
  <c r="R230" i="9"/>
  <c r="R238" i="9"/>
  <c r="R240" i="9"/>
  <c r="R242" i="9"/>
  <c r="R256" i="9"/>
  <c r="R258" i="9"/>
  <c r="R272" i="9"/>
  <c r="R274" i="9"/>
  <c r="R145" i="9"/>
  <c r="R146" i="9"/>
  <c r="R151" i="9"/>
  <c r="R154" i="9"/>
  <c r="R162" i="9"/>
  <c r="R170" i="9"/>
  <c r="R178" i="9"/>
  <c r="R186" i="9"/>
  <c r="R194" i="9"/>
  <c r="R202" i="9"/>
  <c r="R210" i="9"/>
  <c r="R218" i="9"/>
  <c r="R226" i="9"/>
  <c r="R252" i="9"/>
  <c r="R254" i="9"/>
  <c r="R268" i="9"/>
  <c r="R270" i="9"/>
  <c r="AZ136" i="9"/>
  <c r="B31" i="17"/>
  <c r="F31" i="17" s="1"/>
  <c r="B75" i="18"/>
  <c r="B75" i="19"/>
  <c r="F75" i="19" s="1"/>
  <c r="B75" i="21"/>
  <c r="F75" i="21" s="1"/>
  <c r="B75" i="22"/>
  <c r="B75" i="20"/>
  <c r="B75" i="15"/>
  <c r="F75" i="15" s="1"/>
  <c r="B74" i="20"/>
  <c r="B74" i="18"/>
  <c r="B74" i="21"/>
  <c r="B74" i="15"/>
  <c r="F74" i="15" s="1"/>
  <c r="B52" i="16"/>
  <c r="B74" i="19"/>
  <c r="B30" i="17"/>
  <c r="C452" i="22"/>
  <c r="B474" i="22"/>
  <c r="F474" i="22" s="1"/>
  <c r="B428" i="22"/>
  <c r="C428" i="22"/>
  <c r="C75" i="18"/>
  <c r="C94" i="19"/>
  <c r="C109" i="22"/>
  <c r="C175" i="22" s="1"/>
  <c r="C108" i="22"/>
  <c r="C130" i="22" s="1"/>
  <c r="C331" i="22"/>
  <c r="B72" i="21"/>
  <c r="C74" i="17"/>
  <c r="B50" i="18"/>
  <c r="B72" i="18"/>
  <c r="F72" i="18" s="1"/>
  <c r="C275" i="22"/>
  <c r="C328" i="22"/>
  <c r="C350" i="22" s="1"/>
  <c r="B108" i="22"/>
  <c r="C74" i="21"/>
  <c r="C75" i="17"/>
  <c r="B128" i="22"/>
  <c r="C228" i="22"/>
  <c r="C272" i="22" s="1"/>
  <c r="C50" i="20"/>
  <c r="C30" i="20"/>
  <c r="B328" i="22"/>
  <c r="B72" i="17"/>
  <c r="C72" i="18"/>
  <c r="C75" i="19"/>
  <c r="C110" i="22"/>
  <c r="C128" i="22"/>
  <c r="C150" i="22" s="1"/>
  <c r="B274" i="22"/>
  <c r="B228" i="22"/>
  <c r="C31" i="22"/>
  <c r="C32" i="22"/>
  <c r="C50" i="22"/>
  <c r="C52" i="22"/>
  <c r="C30" i="22"/>
  <c r="C72" i="22"/>
  <c r="B50" i="22"/>
  <c r="B52" i="22"/>
  <c r="B72" i="22"/>
  <c r="B30" i="22"/>
  <c r="C52" i="18"/>
  <c r="B94" i="16"/>
  <c r="F94" i="16" s="1"/>
  <c r="C94" i="17"/>
  <c r="C53" i="18"/>
  <c r="C74" i="19"/>
  <c r="C94" i="21"/>
  <c r="C74" i="18"/>
  <c r="B50" i="19"/>
  <c r="C52" i="19"/>
  <c r="C53" i="21"/>
  <c r="B50" i="15"/>
  <c r="B75" i="16"/>
  <c r="F75" i="16" s="1"/>
  <c r="B94" i="17"/>
  <c r="C94" i="18"/>
  <c r="C53" i="19"/>
  <c r="C31" i="20"/>
  <c r="B50" i="21"/>
  <c r="C52" i="21"/>
  <c r="C72" i="21"/>
  <c r="C75" i="21"/>
  <c r="B50" i="20"/>
  <c r="C52" i="20"/>
  <c r="C53" i="20"/>
  <c r="C72" i="20"/>
  <c r="B72" i="20"/>
  <c r="C30" i="17"/>
  <c r="C31" i="17"/>
  <c r="C50" i="17"/>
  <c r="C31" i="16"/>
  <c r="B31" i="16"/>
  <c r="B50" i="16"/>
  <c r="C52" i="16"/>
  <c r="C53" i="16"/>
  <c r="C72" i="16"/>
  <c r="C30" i="16"/>
  <c r="C50" i="16"/>
  <c r="C52" i="15"/>
  <c r="B94" i="15"/>
  <c r="C72" i="15"/>
  <c r="C50" i="15"/>
  <c r="C30" i="15"/>
  <c r="C31" i="15"/>
  <c r="C53" i="15"/>
  <c r="B41" i="14"/>
  <c r="B111" i="14"/>
  <c r="B157" i="14"/>
  <c r="B62" i="14"/>
  <c r="E11" i="14"/>
  <c r="B13" i="10"/>
  <c r="B15" i="10" s="1"/>
  <c r="B16" i="10" s="1"/>
  <c r="B18" i="14"/>
  <c r="C124" i="14"/>
  <c r="C127" i="14" s="1"/>
  <c r="B15" i="14"/>
  <c r="B64" i="14"/>
  <c r="B132" i="14"/>
  <c r="B40" i="14"/>
  <c r="B89" i="14"/>
  <c r="B156" i="14"/>
  <c r="D8" i="14"/>
  <c r="H238" i="9"/>
  <c r="H236" i="9"/>
  <c r="H278" i="9"/>
  <c r="H276" i="9"/>
  <c r="H274" i="9"/>
  <c r="H272" i="9"/>
  <c r="H270" i="9"/>
  <c r="H268" i="9"/>
  <c r="H266" i="9"/>
  <c r="H264" i="9"/>
  <c r="H262" i="9"/>
  <c r="H260" i="9"/>
  <c r="H258" i="9"/>
  <c r="H256" i="9"/>
  <c r="H254" i="9"/>
  <c r="H252" i="9"/>
  <c r="H250" i="9"/>
  <c r="H248" i="9"/>
  <c r="H246" i="9"/>
  <c r="H244" i="9"/>
  <c r="H242" i="9"/>
  <c r="H240" i="9"/>
  <c r="H234" i="9"/>
  <c r="B38" i="14"/>
  <c r="D55" i="14"/>
  <c r="V136" i="9"/>
  <c r="A141" i="10"/>
  <c r="B131" i="14"/>
  <c r="H145" i="9"/>
  <c r="B110" i="14"/>
  <c r="H144" i="9"/>
  <c r="H146" i="9"/>
  <c r="H148" i="9"/>
  <c r="H152" i="9"/>
  <c r="H154" i="9"/>
  <c r="H156" i="9"/>
  <c r="H158" i="9"/>
  <c r="H160" i="9"/>
  <c r="H162" i="9"/>
  <c r="H164" i="9"/>
  <c r="H166" i="9"/>
  <c r="H168" i="9"/>
  <c r="H170" i="9"/>
  <c r="H172" i="9"/>
  <c r="H174" i="9"/>
  <c r="H176" i="9"/>
  <c r="H178" i="9"/>
  <c r="H180" i="9"/>
  <c r="H182" i="9"/>
  <c r="H184" i="9"/>
  <c r="H186" i="9"/>
  <c r="H188" i="9"/>
  <c r="H190" i="9"/>
  <c r="H192" i="9"/>
  <c r="H194" i="9"/>
  <c r="H196" i="9"/>
  <c r="H198" i="9"/>
  <c r="H200" i="9"/>
  <c r="H202" i="9"/>
  <c r="H204" i="9"/>
  <c r="H206" i="9"/>
  <c r="H208" i="9"/>
  <c r="H210" i="9"/>
  <c r="H212" i="9"/>
  <c r="H214" i="9"/>
  <c r="H216" i="9"/>
  <c r="H218" i="9"/>
  <c r="H220" i="9"/>
  <c r="H222" i="9"/>
  <c r="H224" i="9"/>
  <c r="H226" i="9"/>
  <c r="H228" i="9"/>
  <c r="H230" i="9"/>
  <c r="H232" i="9"/>
  <c r="B88" i="14"/>
  <c r="B134" i="14"/>
  <c r="D124" i="14"/>
  <c r="D147" i="14"/>
  <c r="B108" i="9"/>
  <c r="B109" i="14"/>
  <c r="B133" i="14"/>
  <c r="E34" i="14"/>
  <c r="B29" i="10"/>
  <c r="C31" i="14"/>
  <c r="C34" i="14" s="1"/>
  <c r="C78" i="14"/>
  <c r="C81" i="14" s="1"/>
  <c r="B108" i="14"/>
  <c r="G101" i="14"/>
  <c r="AP136" i="12"/>
  <c r="E8" i="14"/>
  <c r="E31" i="14"/>
  <c r="E55" i="14"/>
  <c r="E78" i="14"/>
  <c r="E101" i="14"/>
  <c r="E124" i="14"/>
  <c r="E147" i="14"/>
  <c r="A141" i="11"/>
  <c r="F124" i="14"/>
  <c r="F147" i="14"/>
  <c r="BJ136" i="11"/>
  <c r="F8" i="14"/>
  <c r="F55" i="14"/>
  <c r="G78" i="14"/>
  <c r="F31" i="14"/>
  <c r="F78" i="14"/>
  <c r="F101" i="14"/>
  <c r="G8" i="14"/>
  <c r="B136" i="12"/>
  <c r="L136" i="11"/>
  <c r="AF136" i="11"/>
  <c r="G55" i="14"/>
  <c r="G147" i="14"/>
  <c r="H55" i="14"/>
  <c r="V136" i="13"/>
  <c r="L136" i="12"/>
  <c r="AZ136" i="12"/>
  <c r="G31" i="14"/>
  <c r="G124" i="14"/>
  <c r="A141" i="13"/>
  <c r="H31" i="14"/>
  <c r="L136" i="13"/>
  <c r="H124" i="14"/>
  <c r="H147" i="14"/>
  <c r="BJ136" i="13"/>
  <c r="H78" i="14"/>
  <c r="H8" i="14"/>
  <c r="H101" i="14"/>
  <c r="AF136" i="13"/>
  <c r="J15" i="3"/>
  <c r="G15" i="3"/>
  <c r="H10" i="3"/>
  <c r="H15" i="3"/>
  <c r="N67" i="40" l="1"/>
  <c r="KP53" i="3"/>
  <c r="N72" i="40"/>
  <c r="N44" i="41"/>
  <c r="F75" i="20"/>
  <c r="F75" i="22"/>
  <c r="G75" i="22" s="1"/>
  <c r="A213" i="10"/>
  <c r="H213" i="10" s="1"/>
  <c r="K315" i="10"/>
  <c r="R315" i="10" s="1"/>
  <c r="K283" i="10"/>
  <c r="R283" i="10" s="1"/>
  <c r="K219" i="10"/>
  <c r="R219" i="10" s="1"/>
  <c r="K167" i="10"/>
  <c r="R167" i="10" s="1"/>
  <c r="K181" i="10"/>
  <c r="R181" i="10" s="1"/>
  <c r="K291" i="10"/>
  <c r="R291" i="10" s="1"/>
  <c r="K227" i="10"/>
  <c r="R227" i="10" s="1"/>
  <c r="K183" i="10"/>
  <c r="R183" i="10" s="1"/>
  <c r="L41" i="41"/>
  <c r="G15" i="27" s="1"/>
  <c r="I26" i="25" s="1"/>
  <c r="F94" i="15"/>
  <c r="F74" i="20"/>
  <c r="K153" i="10"/>
  <c r="R153" i="10" s="1"/>
  <c r="K307" i="10"/>
  <c r="R307" i="10" s="1"/>
  <c r="K259" i="10"/>
  <c r="R259" i="10" s="1"/>
  <c r="K195" i="10"/>
  <c r="R195" i="10" s="1"/>
  <c r="K290" i="10"/>
  <c r="R290" i="10" s="1"/>
  <c r="L45" i="41"/>
  <c r="L46" i="41" s="1"/>
  <c r="L77" i="36"/>
  <c r="M76" i="36"/>
  <c r="M77" i="36" s="1"/>
  <c r="H11" i="39"/>
  <c r="N11" i="39" s="1"/>
  <c r="N20" i="39" s="1"/>
  <c r="H48" i="40"/>
  <c r="N48" i="40" s="1"/>
  <c r="N75" i="36"/>
  <c r="N25" i="36"/>
  <c r="N76" i="36" s="1"/>
  <c r="AH53" i="3"/>
  <c r="N30" i="41"/>
  <c r="JQ53" i="3"/>
  <c r="N29" i="41"/>
  <c r="JP53" i="3"/>
  <c r="H15" i="41"/>
  <c r="N15" i="41" s="1"/>
  <c r="H151" i="37"/>
  <c r="N151" i="37" s="1"/>
  <c r="N150" i="37"/>
  <c r="JK53" i="3"/>
  <c r="A147" i="10"/>
  <c r="H147" i="10" s="1"/>
  <c r="A250" i="10"/>
  <c r="H250" i="10" s="1"/>
  <c r="K267" i="10"/>
  <c r="R267" i="10" s="1"/>
  <c r="K235" i="10"/>
  <c r="R235" i="10" s="1"/>
  <c r="K203" i="10"/>
  <c r="R203" i="10" s="1"/>
  <c r="K154" i="10"/>
  <c r="R154" i="10" s="1"/>
  <c r="K312" i="10"/>
  <c r="R312" i="10" s="1"/>
  <c r="F50" i="15"/>
  <c r="G50" i="15" s="1"/>
  <c r="K275" i="10"/>
  <c r="R275" i="10" s="1"/>
  <c r="K243" i="10"/>
  <c r="R243" i="10" s="1"/>
  <c r="K211" i="10"/>
  <c r="R211" i="10" s="1"/>
  <c r="K170" i="10"/>
  <c r="R170" i="10" s="1"/>
  <c r="K147" i="10"/>
  <c r="R147" i="10" s="1"/>
  <c r="N61" i="40"/>
  <c r="JI53" i="3"/>
  <c r="H39" i="40"/>
  <c r="N39" i="40" s="1"/>
  <c r="A151" i="10"/>
  <c r="H151" i="10" s="1"/>
  <c r="A245" i="10"/>
  <c r="H245" i="10" s="1"/>
  <c r="A284" i="10"/>
  <c r="H284" i="10" s="1"/>
  <c r="A146" i="10"/>
  <c r="H146" i="10" s="1"/>
  <c r="F74" i="21"/>
  <c r="A247" i="10"/>
  <c r="H247" i="10" s="1"/>
  <c r="A316" i="10"/>
  <c r="H316" i="10" s="1"/>
  <c r="A204" i="10"/>
  <c r="H204" i="10" s="1"/>
  <c r="F72" i="17"/>
  <c r="G72" i="17" s="1"/>
  <c r="A295" i="10"/>
  <c r="H295" i="10" s="1"/>
  <c r="A167" i="10"/>
  <c r="H167" i="10" s="1"/>
  <c r="A236" i="10"/>
  <c r="H236" i="10" s="1"/>
  <c r="F80" i="21"/>
  <c r="G80" i="21" s="1"/>
  <c r="F81" i="21"/>
  <c r="G81" i="21" s="1"/>
  <c r="F83" i="21"/>
  <c r="G83" i="21" s="1"/>
  <c r="F76" i="21"/>
  <c r="G76" i="21" s="1"/>
  <c r="F79" i="21"/>
  <c r="G79" i="21" s="1"/>
  <c r="F78" i="21"/>
  <c r="G78" i="21" s="1"/>
  <c r="F77" i="21"/>
  <c r="G77" i="21" s="1"/>
  <c r="F82" i="21"/>
  <c r="G82" i="21" s="1"/>
  <c r="H473" i="22"/>
  <c r="F482" i="22"/>
  <c r="G482" i="22" s="1"/>
  <c r="F477" i="22"/>
  <c r="G477" i="22" s="1"/>
  <c r="F479" i="22"/>
  <c r="G479" i="22" s="1"/>
  <c r="F481" i="22"/>
  <c r="G481" i="22" s="1"/>
  <c r="F480" i="22"/>
  <c r="G480" i="22" s="1"/>
  <c r="F483" i="22"/>
  <c r="G483" i="22" s="1"/>
  <c r="F478" i="22"/>
  <c r="G478" i="22" s="1"/>
  <c r="F476" i="22"/>
  <c r="G476" i="22" s="1"/>
  <c r="F72" i="15"/>
  <c r="H73" i="18"/>
  <c r="F78" i="18"/>
  <c r="G78" i="18" s="1"/>
  <c r="F82" i="18"/>
  <c r="G82" i="18" s="1"/>
  <c r="F79" i="18"/>
  <c r="G79" i="18" s="1"/>
  <c r="F83" i="18"/>
  <c r="G83" i="18" s="1"/>
  <c r="F80" i="18"/>
  <c r="G80" i="18" s="1"/>
  <c r="F76" i="18"/>
  <c r="G76" i="18" s="1"/>
  <c r="F81" i="18"/>
  <c r="G81" i="18" s="1"/>
  <c r="F77" i="18"/>
  <c r="G77" i="18" s="1"/>
  <c r="H73" i="17"/>
  <c r="F76" i="17"/>
  <c r="G76" i="17" s="1"/>
  <c r="F77" i="17"/>
  <c r="G77" i="17" s="1"/>
  <c r="F79" i="17"/>
  <c r="G79" i="17" s="1"/>
  <c r="F78" i="17"/>
  <c r="G78" i="17" s="1"/>
  <c r="F80" i="17"/>
  <c r="G80" i="17" s="1"/>
  <c r="F81" i="17"/>
  <c r="G81" i="17" s="1"/>
  <c r="F83" i="17"/>
  <c r="G83" i="17" s="1"/>
  <c r="F82" i="17"/>
  <c r="G82" i="17" s="1"/>
  <c r="F83" i="15"/>
  <c r="G83" i="15" s="1"/>
  <c r="F78" i="15"/>
  <c r="G78" i="15" s="1"/>
  <c r="F81" i="15"/>
  <c r="G81" i="15" s="1"/>
  <c r="F79" i="15"/>
  <c r="G79" i="15" s="1"/>
  <c r="F80" i="15"/>
  <c r="G80" i="15" s="1"/>
  <c r="F76" i="15"/>
  <c r="G76" i="15" s="1"/>
  <c r="F77" i="15"/>
  <c r="G77" i="15" s="1"/>
  <c r="F82" i="15"/>
  <c r="G82" i="15" s="1"/>
  <c r="H73" i="16"/>
  <c r="F82" i="16"/>
  <c r="G82" i="16" s="1"/>
  <c r="F83" i="16"/>
  <c r="G83" i="16" s="1"/>
  <c r="F79" i="16"/>
  <c r="G79" i="16" s="1"/>
  <c r="F80" i="16"/>
  <c r="G80" i="16" s="1"/>
  <c r="F78" i="16"/>
  <c r="G78" i="16" s="1"/>
  <c r="F77" i="16"/>
  <c r="G77" i="16" s="1"/>
  <c r="F76" i="16"/>
  <c r="G76" i="16" s="1"/>
  <c r="F81" i="16"/>
  <c r="G81" i="16" s="1"/>
  <c r="H73" i="19"/>
  <c r="F77" i="19"/>
  <c r="G77" i="19" s="1"/>
  <c r="F81" i="19"/>
  <c r="G81" i="19" s="1"/>
  <c r="F78" i="19"/>
  <c r="G78" i="19" s="1"/>
  <c r="F83" i="19"/>
  <c r="G83" i="19" s="1"/>
  <c r="F82" i="19"/>
  <c r="G82" i="19" s="1"/>
  <c r="F76" i="19"/>
  <c r="G76" i="19" s="1"/>
  <c r="F80" i="19"/>
  <c r="G80" i="19" s="1"/>
  <c r="F79" i="19"/>
  <c r="G79" i="19" s="1"/>
  <c r="H73" i="20"/>
  <c r="F76" i="20"/>
  <c r="G76" i="20" s="1"/>
  <c r="F77" i="20"/>
  <c r="G77" i="20" s="1"/>
  <c r="F83" i="20"/>
  <c r="G83" i="20" s="1"/>
  <c r="F82" i="20"/>
  <c r="G82" i="20" s="1"/>
  <c r="F80" i="20"/>
  <c r="G80" i="20" s="1"/>
  <c r="F79" i="20"/>
  <c r="G79" i="20" s="1"/>
  <c r="F78" i="20"/>
  <c r="G78" i="20" s="1"/>
  <c r="F81" i="20"/>
  <c r="G81" i="20" s="1"/>
  <c r="F94" i="21"/>
  <c r="G94" i="21" s="1"/>
  <c r="H51" i="21"/>
  <c r="F58" i="21"/>
  <c r="G58" i="21" s="1"/>
  <c r="F61" i="21"/>
  <c r="G61" i="21" s="1"/>
  <c r="F57" i="21"/>
  <c r="G57" i="21" s="1"/>
  <c r="F59" i="21"/>
  <c r="G59" i="21" s="1"/>
  <c r="F55" i="21"/>
  <c r="G55" i="21" s="1"/>
  <c r="F60" i="21"/>
  <c r="G60" i="21" s="1"/>
  <c r="F54" i="21"/>
  <c r="G54" i="21" s="1"/>
  <c r="F56" i="21"/>
  <c r="G56" i="21" s="1"/>
  <c r="H29" i="21"/>
  <c r="F36" i="21"/>
  <c r="G36" i="21" s="1"/>
  <c r="F32" i="21"/>
  <c r="G32" i="21" s="1"/>
  <c r="F33" i="21"/>
  <c r="G33" i="21" s="1"/>
  <c r="F35" i="21"/>
  <c r="G35" i="21" s="1"/>
  <c r="F38" i="21"/>
  <c r="G38" i="21" s="1"/>
  <c r="F39" i="21"/>
  <c r="G39" i="21" s="1"/>
  <c r="F34" i="21"/>
  <c r="G34" i="21" s="1"/>
  <c r="F37" i="21"/>
  <c r="G37" i="21" s="1"/>
  <c r="F72" i="21"/>
  <c r="G72" i="21" s="1"/>
  <c r="F11" i="21"/>
  <c r="G11" i="21" s="1"/>
  <c r="F14" i="21"/>
  <c r="G14" i="21" s="1"/>
  <c r="F17" i="21"/>
  <c r="G17" i="21" s="1"/>
  <c r="F13" i="21"/>
  <c r="G13" i="21" s="1"/>
  <c r="F15" i="21"/>
  <c r="G15" i="21" s="1"/>
  <c r="F16" i="21"/>
  <c r="G16" i="21" s="1"/>
  <c r="F10" i="21"/>
  <c r="G10" i="21" s="1"/>
  <c r="F12" i="21"/>
  <c r="G12" i="21" s="1"/>
  <c r="F50" i="21"/>
  <c r="G50" i="21" s="1"/>
  <c r="F9" i="21"/>
  <c r="G9" i="21" s="1"/>
  <c r="F8" i="21"/>
  <c r="G8" i="21" s="1"/>
  <c r="F94" i="20"/>
  <c r="G94" i="20" s="1"/>
  <c r="F72" i="20"/>
  <c r="G72" i="20" s="1"/>
  <c r="H51" i="20"/>
  <c r="F57" i="20"/>
  <c r="G57" i="20" s="1"/>
  <c r="F60" i="20"/>
  <c r="G60" i="20" s="1"/>
  <c r="F56" i="20"/>
  <c r="G56" i="20" s="1"/>
  <c r="F61" i="20"/>
  <c r="G61" i="20" s="1"/>
  <c r="F54" i="20"/>
  <c r="G54" i="20" s="1"/>
  <c r="F59" i="20"/>
  <c r="G59" i="20" s="1"/>
  <c r="F58" i="20"/>
  <c r="G58" i="20" s="1"/>
  <c r="F55" i="20"/>
  <c r="G55" i="20" s="1"/>
  <c r="H29" i="20"/>
  <c r="F38" i="20"/>
  <c r="G38" i="20" s="1"/>
  <c r="F34" i="20"/>
  <c r="G34" i="20" s="1"/>
  <c r="F39" i="20"/>
  <c r="G39" i="20" s="1"/>
  <c r="F32" i="20"/>
  <c r="G32" i="20" s="1"/>
  <c r="F37" i="20"/>
  <c r="G37" i="20" s="1"/>
  <c r="F33" i="20"/>
  <c r="G33" i="20" s="1"/>
  <c r="F35" i="20"/>
  <c r="G35" i="20" s="1"/>
  <c r="F36" i="20"/>
  <c r="G36" i="20" s="1"/>
  <c r="F50" i="20"/>
  <c r="G50" i="20" s="1"/>
  <c r="F14" i="20"/>
  <c r="G14" i="20" s="1"/>
  <c r="F10" i="20"/>
  <c r="G10" i="20" s="1"/>
  <c r="F15" i="20"/>
  <c r="G15" i="20" s="1"/>
  <c r="F11" i="20"/>
  <c r="G11" i="20" s="1"/>
  <c r="F17" i="20"/>
  <c r="G17" i="20" s="1"/>
  <c r="F13" i="20"/>
  <c r="G13" i="20" s="1"/>
  <c r="F16" i="20"/>
  <c r="G16" i="20" s="1"/>
  <c r="F12" i="20"/>
  <c r="G12" i="20" s="1"/>
  <c r="F8" i="20"/>
  <c r="G8" i="20" s="1"/>
  <c r="F9" i="20"/>
  <c r="G9" i="20" s="1"/>
  <c r="F74" i="19"/>
  <c r="G74" i="19" s="1"/>
  <c r="H51" i="19"/>
  <c r="F60" i="19"/>
  <c r="G60" i="19" s="1"/>
  <c r="F59" i="19"/>
  <c r="G59" i="19" s="1"/>
  <c r="F55" i="19"/>
  <c r="G55" i="19" s="1"/>
  <c r="F56" i="19"/>
  <c r="G56" i="19" s="1"/>
  <c r="F54" i="19"/>
  <c r="G54" i="19" s="1"/>
  <c r="F58" i="19"/>
  <c r="G58" i="19" s="1"/>
  <c r="F57" i="19"/>
  <c r="G57" i="19" s="1"/>
  <c r="F61" i="19"/>
  <c r="G61" i="19" s="1"/>
  <c r="F94" i="19"/>
  <c r="G94" i="19" s="1"/>
  <c r="H29" i="19"/>
  <c r="F39" i="19"/>
  <c r="G39" i="19" s="1"/>
  <c r="F35" i="19"/>
  <c r="G35" i="19" s="1"/>
  <c r="F37" i="19"/>
  <c r="G37" i="19" s="1"/>
  <c r="F34" i="19"/>
  <c r="G34" i="19" s="1"/>
  <c r="F36" i="19"/>
  <c r="G36" i="19" s="1"/>
  <c r="F32" i="19"/>
  <c r="G32" i="19" s="1"/>
  <c r="F33" i="19"/>
  <c r="G33" i="19" s="1"/>
  <c r="F38" i="19"/>
  <c r="G38" i="19" s="1"/>
  <c r="F16" i="19"/>
  <c r="G16" i="19" s="1"/>
  <c r="F12" i="19"/>
  <c r="G12" i="19" s="1"/>
  <c r="F10" i="19"/>
  <c r="G10" i="19" s="1"/>
  <c r="F15" i="19"/>
  <c r="G15" i="19" s="1"/>
  <c r="F17" i="19"/>
  <c r="G17" i="19" s="1"/>
  <c r="F13" i="19"/>
  <c r="G13" i="19" s="1"/>
  <c r="F14" i="19"/>
  <c r="G14" i="19" s="1"/>
  <c r="F11" i="19"/>
  <c r="G11" i="19" s="1"/>
  <c r="F50" i="19"/>
  <c r="G50" i="19" s="1"/>
  <c r="H7" i="19"/>
  <c r="F8" i="19"/>
  <c r="G8" i="19" s="1"/>
  <c r="F9" i="19"/>
  <c r="G9" i="19" s="1"/>
  <c r="F28" i="19"/>
  <c r="G28" i="19" s="1"/>
  <c r="F94" i="18"/>
  <c r="G94" i="18" s="1"/>
  <c r="H51" i="18"/>
  <c r="F61" i="18"/>
  <c r="G61" i="18" s="1"/>
  <c r="F57" i="18"/>
  <c r="G57" i="18" s="1"/>
  <c r="F58" i="18"/>
  <c r="G58" i="18" s="1"/>
  <c r="F59" i="18"/>
  <c r="G59" i="18" s="1"/>
  <c r="F54" i="18"/>
  <c r="G54" i="18" s="1"/>
  <c r="F56" i="18"/>
  <c r="G56" i="18" s="1"/>
  <c r="F55" i="18"/>
  <c r="G55" i="18" s="1"/>
  <c r="F60" i="18"/>
  <c r="G60" i="18" s="1"/>
  <c r="F75" i="18"/>
  <c r="G75" i="18" s="1"/>
  <c r="F74" i="18"/>
  <c r="G74" i="18" s="1"/>
  <c r="F50" i="18"/>
  <c r="G50" i="18" s="1"/>
  <c r="H29" i="18"/>
  <c r="F36" i="18"/>
  <c r="G36" i="18" s="1"/>
  <c r="F32" i="18"/>
  <c r="G32" i="18" s="1"/>
  <c r="F39" i="18"/>
  <c r="G39" i="18" s="1"/>
  <c r="F35" i="18"/>
  <c r="G35" i="18" s="1"/>
  <c r="F37" i="18"/>
  <c r="G37" i="18" s="1"/>
  <c r="F33" i="18"/>
  <c r="G33" i="18" s="1"/>
  <c r="F38" i="18"/>
  <c r="G38" i="18" s="1"/>
  <c r="F34" i="18"/>
  <c r="G34" i="18" s="1"/>
  <c r="F94" i="17"/>
  <c r="G94" i="17" s="1"/>
  <c r="F61" i="17"/>
  <c r="G61" i="17" s="1"/>
  <c r="F57" i="17"/>
  <c r="G57" i="17" s="1"/>
  <c r="F59" i="17"/>
  <c r="G59" i="17" s="1"/>
  <c r="F55" i="17"/>
  <c r="G55" i="17" s="1"/>
  <c r="F54" i="17"/>
  <c r="G54" i="17" s="1"/>
  <c r="F58" i="17"/>
  <c r="G58" i="17" s="1"/>
  <c r="F60" i="17"/>
  <c r="G60" i="17" s="1"/>
  <c r="F56" i="17"/>
  <c r="G56" i="17" s="1"/>
  <c r="F37" i="17"/>
  <c r="G37" i="17" s="1"/>
  <c r="F33" i="17"/>
  <c r="G33" i="17" s="1"/>
  <c r="F38" i="17"/>
  <c r="G38" i="17" s="1"/>
  <c r="F39" i="17"/>
  <c r="G39" i="17" s="1"/>
  <c r="F36" i="17"/>
  <c r="G36" i="17" s="1"/>
  <c r="F32" i="17"/>
  <c r="G32" i="17" s="1"/>
  <c r="F34" i="17"/>
  <c r="G34" i="17" s="1"/>
  <c r="F35" i="17"/>
  <c r="G35" i="17" s="1"/>
  <c r="F30" i="17"/>
  <c r="G30" i="17" s="1"/>
  <c r="H29" i="17"/>
  <c r="F50" i="17"/>
  <c r="G50" i="17" s="1"/>
  <c r="F16" i="17"/>
  <c r="G16" i="17" s="1"/>
  <c r="F12" i="17"/>
  <c r="G12" i="17" s="1"/>
  <c r="F14" i="17"/>
  <c r="G14" i="17" s="1"/>
  <c r="F15" i="17"/>
  <c r="G15" i="17" s="1"/>
  <c r="F17" i="17"/>
  <c r="G17" i="17" s="1"/>
  <c r="F13" i="17"/>
  <c r="G13" i="17" s="1"/>
  <c r="F10" i="17"/>
  <c r="G10" i="17" s="1"/>
  <c r="F11" i="17"/>
  <c r="G11" i="17" s="1"/>
  <c r="F9" i="17"/>
  <c r="G9" i="17" s="1"/>
  <c r="F8" i="17"/>
  <c r="G8" i="17" s="1"/>
  <c r="F28" i="17"/>
  <c r="G28" i="17" s="1"/>
  <c r="F52" i="16"/>
  <c r="G52" i="16" s="1"/>
  <c r="H51" i="16"/>
  <c r="F57" i="16"/>
  <c r="G57" i="16" s="1"/>
  <c r="F54" i="16"/>
  <c r="G54" i="16" s="1"/>
  <c r="F55" i="16"/>
  <c r="G55" i="16" s="1"/>
  <c r="F60" i="16"/>
  <c r="G60" i="16" s="1"/>
  <c r="F59" i="16"/>
  <c r="G59" i="16" s="1"/>
  <c r="F56" i="16"/>
  <c r="G56" i="16" s="1"/>
  <c r="F58" i="16"/>
  <c r="G58" i="16" s="1"/>
  <c r="F61" i="16"/>
  <c r="G61" i="16" s="1"/>
  <c r="F53" i="16"/>
  <c r="G53" i="16" s="1"/>
  <c r="H29" i="16"/>
  <c r="F38" i="16"/>
  <c r="G38" i="16" s="1"/>
  <c r="F34" i="16"/>
  <c r="G34" i="16" s="1"/>
  <c r="F39" i="16"/>
  <c r="G39" i="16" s="1"/>
  <c r="F36" i="16"/>
  <c r="G36" i="16" s="1"/>
  <c r="F37" i="16"/>
  <c r="G37" i="16" s="1"/>
  <c r="F33" i="16"/>
  <c r="G33" i="16" s="1"/>
  <c r="F35" i="16"/>
  <c r="G35" i="16" s="1"/>
  <c r="F32" i="16"/>
  <c r="G32" i="16" s="1"/>
  <c r="F72" i="16"/>
  <c r="G72" i="16" s="1"/>
  <c r="F31" i="16"/>
  <c r="G31" i="16" s="1"/>
  <c r="F50" i="16"/>
  <c r="G50" i="16" s="1"/>
  <c r="F28" i="16"/>
  <c r="G28" i="16" s="1"/>
  <c r="F15" i="16"/>
  <c r="G15" i="16" s="1"/>
  <c r="F11" i="16"/>
  <c r="G11" i="16" s="1"/>
  <c r="F17" i="16"/>
  <c r="G17" i="16" s="1"/>
  <c r="F16" i="16"/>
  <c r="G16" i="16" s="1"/>
  <c r="F12" i="16"/>
  <c r="G12" i="16" s="1"/>
  <c r="F13" i="16"/>
  <c r="G13" i="16" s="1"/>
  <c r="F14" i="16"/>
  <c r="G14" i="16" s="1"/>
  <c r="F10" i="16"/>
  <c r="G10" i="16" s="1"/>
  <c r="F8" i="16"/>
  <c r="G8" i="16" s="1"/>
  <c r="F9" i="16"/>
  <c r="G9" i="16" s="1"/>
  <c r="H51" i="15"/>
  <c r="F55" i="15"/>
  <c r="G55" i="15" s="1"/>
  <c r="F59" i="15"/>
  <c r="G59" i="15" s="1"/>
  <c r="F57" i="15"/>
  <c r="G57" i="15" s="1"/>
  <c r="F61" i="15"/>
  <c r="G61" i="15" s="1"/>
  <c r="F54" i="15"/>
  <c r="G54" i="15" s="1"/>
  <c r="F56" i="15"/>
  <c r="G56" i="15" s="1"/>
  <c r="F58" i="15"/>
  <c r="G58" i="15" s="1"/>
  <c r="F60" i="15"/>
  <c r="G60" i="15" s="1"/>
  <c r="F36" i="15"/>
  <c r="G36" i="15" s="1"/>
  <c r="F32" i="15"/>
  <c r="G32" i="15" s="1"/>
  <c r="F33" i="15"/>
  <c r="G33" i="15" s="1"/>
  <c r="F39" i="15"/>
  <c r="G39" i="15" s="1"/>
  <c r="F35" i="15"/>
  <c r="G35" i="15" s="1"/>
  <c r="F37" i="15"/>
  <c r="G37" i="15" s="1"/>
  <c r="F38" i="15"/>
  <c r="G38" i="15" s="1"/>
  <c r="F34" i="15"/>
  <c r="G34" i="15" s="1"/>
  <c r="F16" i="15"/>
  <c r="G16" i="15" s="1"/>
  <c r="F13" i="15"/>
  <c r="G13" i="15" s="1"/>
  <c r="F15" i="15"/>
  <c r="G15" i="15" s="1"/>
  <c r="F12" i="15"/>
  <c r="G12" i="15" s="1"/>
  <c r="F17" i="15"/>
  <c r="G17" i="15" s="1"/>
  <c r="F14" i="15"/>
  <c r="G14" i="15" s="1"/>
  <c r="F10" i="15"/>
  <c r="G10" i="15" s="1"/>
  <c r="F11" i="15"/>
  <c r="G11" i="15" s="1"/>
  <c r="F28" i="15"/>
  <c r="G28" i="15" s="1"/>
  <c r="H7" i="15"/>
  <c r="F9" i="15"/>
  <c r="G9" i="15" s="1"/>
  <c r="F8" i="15"/>
  <c r="G8" i="15" s="1"/>
  <c r="H451" i="22"/>
  <c r="F454" i="22"/>
  <c r="G454" i="22" s="1"/>
  <c r="F456" i="22"/>
  <c r="G456" i="22" s="1"/>
  <c r="F460" i="22"/>
  <c r="G460" i="22" s="1"/>
  <c r="F457" i="22"/>
  <c r="G457" i="22" s="1"/>
  <c r="F461" i="22"/>
  <c r="G461" i="22" s="1"/>
  <c r="F455" i="22"/>
  <c r="G455" i="22" s="1"/>
  <c r="F459" i="22"/>
  <c r="G459" i="22" s="1"/>
  <c r="F458" i="22"/>
  <c r="G458" i="22" s="1"/>
  <c r="B494" i="22"/>
  <c r="F428" i="22"/>
  <c r="G428" i="22" s="1"/>
  <c r="F417" i="22"/>
  <c r="G417" i="22" s="1"/>
  <c r="F409" i="22"/>
  <c r="F416" i="22"/>
  <c r="G416" i="22" s="1"/>
  <c r="F412" i="22"/>
  <c r="G412" i="22" s="1"/>
  <c r="F411" i="22"/>
  <c r="G411" i="22" s="1"/>
  <c r="F413" i="22"/>
  <c r="G413" i="22" s="1"/>
  <c r="F408" i="22"/>
  <c r="G408" i="22" s="1"/>
  <c r="F410" i="22"/>
  <c r="G410" i="22" s="1"/>
  <c r="F414" i="22"/>
  <c r="G414" i="22" s="1"/>
  <c r="F415" i="22"/>
  <c r="G415" i="22" s="1"/>
  <c r="F274" i="22"/>
  <c r="G274" i="22" s="1"/>
  <c r="E406" i="22"/>
  <c r="E64" i="1" s="1"/>
  <c r="E206" i="22"/>
  <c r="E62" i="1" s="1"/>
  <c r="H351" i="22"/>
  <c r="F358" i="22"/>
  <c r="G358" i="22" s="1"/>
  <c r="F354" i="22"/>
  <c r="G354" i="22" s="1"/>
  <c r="F356" i="22"/>
  <c r="G356" i="22" s="1"/>
  <c r="F355" i="22"/>
  <c r="G355" i="22" s="1"/>
  <c r="F359" i="22"/>
  <c r="G359" i="22" s="1"/>
  <c r="F360" i="22"/>
  <c r="G360" i="22" s="1"/>
  <c r="F357" i="22"/>
  <c r="G357" i="22" s="1"/>
  <c r="F361" i="22"/>
  <c r="G361" i="22" s="1"/>
  <c r="H329" i="22"/>
  <c r="F333" i="22"/>
  <c r="G333" i="22" s="1"/>
  <c r="F337" i="22"/>
  <c r="G337" i="22" s="1"/>
  <c r="F339" i="22"/>
  <c r="G339" i="22" s="1"/>
  <c r="F332" i="22"/>
  <c r="G332" i="22" s="1"/>
  <c r="F334" i="22"/>
  <c r="G334" i="22" s="1"/>
  <c r="F335" i="22"/>
  <c r="G335" i="22" s="1"/>
  <c r="F336" i="22"/>
  <c r="G336" i="22" s="1"/>
  <c r="F338" i="22"/>
  <c r="G338" i="22" s="1"/>
  <c r="F328" i="22"/>
  <c r="G328" i="22" s="1"/>
  <c r="F28" i="22"/>
  <c r="G28" i="22" s="1"/>
  <c r="E6" i="22"/>
  <c r="E60" i="1" s="1"/>
  <c r="E306" i="22"/>
  <c r="E63" i="1" s="1"/>
  <c r="F310" i="22"/>
  <c r="G310" i="22" s="1"/>
  <c r="F308" i="22"/>
  <c r="G308" i="22" s="1"/>
  <c r="F309" i="22"/>
  <c r="F315" i="22"/>
  <c r="G315" i="22" s="1"/>
  <c r="F312" i="22"/>
  <c r="G312" i="22" s="1"/>
  <c r="F317" i="22"/>
  <c r="G317" i="22" s="1"/>
  <c r="F313" i="22"/>
  <c r="G313" i="22" s="1"/>
  <c r="F314" i="22"/>
  <c r="G314" i="22" s="1"/>
  <c r="F316" i="22"/>
  <c r="G316" i="22" s="1"/>
  <c r="F311" i="22"/>
  <c r="G311" i="22" s="1"/>
  <c r="E106" i="22"/>
  <c r="E61" i="1" s="1"/>
  <c r="H273" i="22"/>
  <c r="F277" i="22"/>
  <c r="G277" i="22" s="1"/>
  <c r="F279" i="22"/>
  <c r="G279" i="22" s="1"/>
  <c r="F278" i="22"/>
  <c r="G278" i="22" s="1"/>
  <c r="F276" i="22"/>
  <c r="G276" i="22" s="1"/>
  <c r="F280" i="22"/>
  <c r="G280" i="22" s="1"/>
  <c r="F281" i="22"/>
  <c r="G281" i="22" s="1"/>
  <c r="F282" i="22"/>
  <c r="G282" i="22" s="1"/>
  <c r="F283" i="22"/>
  <c r="G283" i="22" s="1"/>
  <c r="F235" i="22"/>
  <c r="G235" i="22" s="1"/>
  <c r="F237" i="22"/>
  <c r="G237" i="22" s="1"/>
  <c r="F233" i="22"/>
  <c r="G233" i="22" s="1"/>
  <c r="F236" i="22"/>
  <c r="G236" i="22" s="1"/>
  <c r="F238" i="22"/>
  <c r="G238" i="22" s="1"/>
  <c r="F234" i="22"/>
  <c r="G234" i="22" s="1"/>
  <c r="F232" i="22"/>
  <c r="G232" i="22" s="1"/>
  <c r="F239" i="22"/>
  <c r="G239" i="22" s="1"/>
  <c r="F210" i="22"/>
  <c r="G210" i="22" s="1"/>
  <c r="F214" i="22"/>
  <c r="G214" i="22" s="1"/>
  <c r="F208" i="22"/>
  <c r="G208" i="22" s="1"/>
  <c r="F211" i="22"/>
  <c r="G211" i="22" s="1"/>
  <c r="F209" i="22"/>
  <c r="F212" i="22"/>
  <c r="G212" i="22" s="1"/>
  <c r="F217" i="22"/>
  <c r="G217" i="22" s="1"/>
  <c r="F215" i="22"/>
  <c r="G215" i="22" s="1"/>
  <c r="F216" i="22"/>
  <c r="G216" i="22" s="1"/>
  <c r="F213" i="22"/>
  <c r="G213" i="22" s="1"/>
  <c r="B294" i="22"/>
  <c r="F228" i="22"/>
  <c r="G228" i="22" s="1"/>
  <c r="F94" i="22"/>
  <c r="G94" i="22" s="1"/>
  <c r="C154" i="22"/>
  <c r="C176" i="22"/>
  <c r="H151" i="22"/>
  <c r="F155" i="22"/>
  <c r="G155" i="22" s="1"/>
  <c r="F159" i="22"/>
  <c r="G159" i="22" s="1"/>
  <c r="F157" i="22"/>
  <c r="G157" i="22" s="1"/>
  <c r="F160" i="22"/>
  <c r="G160" i="22" s="1"/>
  <c r="F156" i="22"/>
  <c r="G156" i="22" s="1"/>
  <c r="F161" i="22"/>
  <c r="G161" i="22" s="1"/>
  <c r="F158" i="22"/>
  <c r="G158" i="22" s="1"/>
  <c r="C132" i="22"/>
  <c r="H129" i="22"/>
  <c r="F135" i="22"/>
  <c r="G135" i="22" s="1"/>
  <c r="F133" i="22"/>
  <c r="G133" i="22" s="1"/>
  <c r="F137" i="22"/>
  <c r="G137" i="22" s="1"/>
  <c r="F134" i="22"/>
  <c r="G134" i="22" s="1"/>
  <c r="F136" i="22"/>
  <c r="G136" i="22" s="1"/>
  <c r="F139" i="22"/>
  <c r="G139" i="22" s="1"/>
  <c r="F138" i="22"/>
  <c r="G138" i="22" s="1"/>
  <c r="B194" i="22"/>
  <c r="F128" i="22"/>
  <c r="G128" i="22" s="1"/>
  <c r="F111" i="22"/>
  <c r="G111" i="22" s="1"/>
  <c r="F112" i="22"/>
  <c r="G112" i="22" s="1"/>
  <c r="F117" i="22"/>
  <c r="G117" i="22" s="1"/>
  <c r="F113" i="22"/>
  <c r="G113" i="22" s="1"/>
  <c r="F116" i="22"/>
  <c r="G116" i="22" s="1"/>
  <c r="F115" i="22"/>
  <c r="G115" i="22" s="1"/>
  <c r="F114" i="22"/>
  <c r="G114" i="22" s="1"/>
  <c r="B174" i="22"/>
  <c r="F108" i="22"/>
  <c r="G108" i="22" s="1"/>
  <c r="H73" i="22"/>
  <c r="F82" i="22"/>
  <c r="G82" i="22" s="1"/>
  <c r="F78" i="22"/>
  <c r="G78" i="22" s="1"/>
  <c r="F83" i="22"/>
  <c r="G83" i="22" s="1"/>
  <c r="F77" i="22"/>
  <c r="G77" i="22" s="1"/>
  <c r="F80" i="22"/>
  <c r="G80" i="22" s="1"/>
  <c r="F76" i="22"/>
  <c r="G76" i="22" s="1"/>
  <c r="F81" i="22"/>
  <c r="G81" i="22" s="1"/>
  <c r="F79" i="22"/>
  <c r="G79" i="22" s="1"/>
  <c r="F52" i="22"/>
  <c r="G52" i="22" s="1"/>
  <c r="F72" i="22"/>
  <c r="G72" i="22" s="1"/>
  <c r="H51" i="22"/>
  <c r="F60" i="22"/>
  <c r="G60" i="22" s="1"/>
  <c r="F61" i="22"/>
  <c r="G61" i="22" s="1"/>
  <c r="F58" i="22"/>
  <c r="G58" i="22" s="1"/>
  <c r="F54" i="22"/>
  <c r="G54" i="22" s="1"/>
  <c r="F56" i="22"/>
  <c r="G56" i="22" s="1"/>
  <c r="F57" i="22"/>
  <c r="G57" i="22" s="1"/>
  <c r="F53" i="22"/>
  <c r="G53" i="22" s="1"/>
  <c r="F55" i="22"/>
  <c r="G55" i="22" s="1"/>
  <c r="F59" i="22"/>
  <c r="G59" i="22" s="1"/>
  <c r="F74" i="22"/>
  <c r="G74" i="22" s="1"/>
  <c r="H29" i="22"/>
  <c r="F38" i="22"/>
  <c r="G38" i="22" s="1"/>
  <c r="F37" i="22"/>
  <c r="G37" i="22" s="1"/>
  <c r="F33" i="22"/>
  <c r="G33" i="22" s="1"/>
  <c r="F34" i="22"/>
  <c r="G34" i="22" s="1"/>
  <c r="F39" i="22"/>
  <c r="G39" i="22" s="1"/>
  <c r="F35" i="22"/>
  <c r="G35" i="22" s="1"/>
  <c r="F36" i="22"/>
  <c r="G36" i="22" s="1"/>
  <c r="F16" i="22"/>
  <c r="F11" i="22"/>
  <c r="F12" i="22"/>
  <c r="F8" i="22"/>
  <c r="F15" i="22"/>
  <c r="F17" i="22"/>
  <c r="F13" i="22"/>
  <c r="F10" i="22"/>
  <c r="F14" i="22"/>
  <c r="F9" i="22"/>
  <c r="F30" i="22"/>
  <c r="G30" i="22" s="1"/>
  <c r="F50" i="22"/>
  <c r="G50" i="22" s="1"/>
  <c r="K148" i="10"/>
  <c r="R148" i="10" s="1"/>
  <c r="K185" i="10"/>
  <c r="R185" i="10" s="1"/>
  <c r="K309" i="10"/>
  <c r="R309" i="10" s="1"/>
  <c r="K293" i="10"/>
  <c r="R293" i="10" s="1"/>
  <c r="K277" i="10"/>
  <c r="R277" i="10" s="1"/>
  <c r="K261" i="10"/>
  <c r="R261" i="10" s="1"/>
  <c r="K245" i="10"/>
  <c r="R245" i="10" s="1"/>
  <c r="K229" i="10"/>
  <c r="R229" i="10" s="1"/>
  <c r="K213" i="10"/>
  <c r="R213" i="10" s="1"/>
  <c r="K197" i="10"/>
  <c r="R197" i="10" s="1"/>
  <c r="K158" i="10"/>
  <c r="R158" i="10" s="1"/>
  <c r="K157" i="10"/>
  <c r="R157" i="10" s="1"/>
  <c r="K145" i="10"/>
  <c r="R145" i="10" s="1"/>
  <c r="K149" i="10"/>
  <c r="R149" i="10" s="1"/>
  <c r="K311" i="10"/>
  <c r="R311" i="10" s="1"/>
  <c r="K303" i="10"/>
  <c r="R303" i="10" s="1"/>
  <c r="K295" i="10"/>
  <c r="R295" i="10" s="1"/>
  <c r="K287" i="10"/>
  <c r="R287" i="10" s="1"/>
  <c r="K279" i="10"/>
  <c r="R279" i="10" s="1"/>
  <c r="K271" i="10"/>
  <c r="R271" i="10" s="1"/>
  <c r="K263" i="10"/>
  <c r="R263" i="10" s="1"/>
  <c r="K255" i="10"/>
  <c r="R255" i="10" s="1"/>
  <c r="K247" i="10"/>
  <c r="R247" i="10" s="1"/>
  <c r="K239" i="10"/>
  <c r="R239" i="10" s="1"/>
  <c r="K231" i="10"/>
  <c r="R231" i="10" s="1"/>
  <c r="K223" i="10"/>
  <c r="R223" i="10" s="1"/>
  <c r="K215" i="10"/>
  <c r="R215" i="10" s="1"/>
  <c r="K207" i="10"/>
  <c r="R207" i="10" s="1"/>
  <c r="K199" i="10"/>
  <c r="R199" i="10" s="1"/>
  <c r="K191" i="10"/>
  <c r="R191" i="10" s="1"/>
  <c r="K178" i="10"/>
  <c r="R178" i="10" s="1"/>
  <c r="K162" i="10"/>
  <c r="R162" i="10" s="1"/>
  <c r="K146" i="10"/>
  <c r="R146" i="10" s="1"/>
  <c r="K175" i="10"/>
  <c r="R175" i="10" s="1"/>
  <c r="K159" i="10"/>
  <c r="R159" i="10" s="1"/>
  <c r="K318" i="10"/>
  <c r="R318" i="10" s="1"/>
  <c r="K298" i="10"/>
  <c r="R298" i="10" s="1"/>
  <c r="K280" i="10"/>
  <c r="R280" i="10" s="1"/>
  <c r="K258" i="10"/>
  <c r="R258" i="10" s="1"/>
  <c r="K169" i="10"/>
  <c r="R169" i="10" s="1"/>
  <c r="K317" i="10"/>
  <c r="R317" i="10" s="1"/>
  <c r="K301" i="10"/>
  <c r="R301" i="10" s="1"/>
  <c r="K285" i="10"/>
  <c r="R285" i="10" s="1"/>
  <c r="K269" i="10"/>
  <c r="R269" i="10" s="1"/>
  <c r="K253" i="10"/>
  <c r="R253" i="10" s="1"/>
  <c r="K237" i="10"/>
  <c r="R237" i="10" s="1"/>
  <c r="K221" i="10"/>
  <c r="R221" i="10" s="1"/>
  <c r="K205" i="10"/>
  <c r="R205" i="10" s="1"/>
  <c r="K189" i="10"/>
  <c r="R189" i="10" s="1"/>
  <c r="K174" i="10"/>
  <c r="R174" i="10" s="1"/>
  <c r="K187" i="10"/>
  <c r="R187" i="10" s="1"/>
  <c r="K171" i="10"/>
  <c r="R171" i="10" s="1"/>
  <c r="K155" i="10"/>
  <c r="R155" i="10" s="1"/>
  <c r="K314" i="10"/>
  <c r="R314" i="10" s="1"/>
  <c r="K296" i="10"/>
  <c r="R296" i="10" s="1"/>
  <c r="K274" i="10"/>
  <c r="R274" i="10" s="1"/>
  <c r="K200" i="10"/>
  <c r="R200" i="10" s="1"/>
  <c r="K173" i="10"/>
  <c r="R173" i="10" s="1"/>
  <c r="K161" i="10"/>
  <c r="R161" i="10" s="1"/>
  <c r="K165" i="10"/>
  <c r="R165" i="10" s="1"/>
  <c r="K313" i="10"/>
  <c r="R313" i="10" s="1"/>
  <c r="K305" i="10"/>
  <c r="R305" i="10" s="1"/>
  <c r="K297" i="10"/>
  <c r="R297" i="10" s="1"/>
  <c r="K289" i="10"/>
  <c r="R289" i="10" s="1"/>
  <c r="K281" i="10"/>
  <c r="R281" i="10" s="1"/>
  <c r="K273" i="10"/>
  <c r="R273" i="10" s="1"/>
  <c r="K265" i="10"/>
  <c r="R265" i="10" s="1"/>
  <c r="K257" i="10"/>
  <c r="R257" i="10" s="1"/>
  <c r="K249" i="10"/>
  <c r="R249" i="10" s="1"/>
  <c r="K241" i="10"/>
  <c r="R241" i="10" s="1"/>
  <c r="K233" i="10"/>
  <c r="R233" i="10" s="1"/>
  <c r="K225" i="10"/>
  <c r="R225" i="10" s="1"/>
  <c r="K217" i="10"/>
  <c r="R217" i="10" s="1"/>
  <c r="K209" i="10"/>
  <c r="R209" i="10" s="1"/>
  <c r="K201" i="10"/>
  <c r="R201" i="10" s="1"/>
  <c r="K193" i="10"/>
  <c r="R193" i="10" s="1"/>
  <c r="K182" i="10"/>
  <c r="R182" i="10" s="1"/>
  <c r="K166" i="10"/>
  <c r="R166" i="10" s="1"/>
  <c r="K150" i="10"/>
  <c r="R150" i="10" s="1"/>
  <c r="K179" i="10"/>
  <c r="R179" i="10" s="1"/>
  <c r="K163" i="10"/>
  <c r="R163" i="10" s="1"/>
  <c r="K143" i="10"/>
  <c r="R143" i="10" s="1"/>
  <c r="K306" i="10"/>
  <c r="R306" i="10" s="1"/>
  <c r="K282" i="10"/>
  <c r="R282" i="10" s="1"/>
  <c r="K264" i="10"/>
  <c r="R264" i="10" s="1"/>
  <c r="K151" i="10"/>
  <c r="R151" i="10" s="1"/>
  <c r="K316" i="10"/>
  <c r="R316" i="10" s="1"/>
  <c r="K304" i="10"/>
  <c r="R304" i="10" s="1"/>
  <c r="K288" i="10"/>
  <c r="R288" i="10" s="1"/>
  <c r="K272" i="10"/>
  <c r="R272" i="10" s="1"/>
  <c r="K256" i="10"/>
  <c r="R256" i="10" s="1"/>
  <c r="K308" i="10"/>
  <c r="R308" i="10" s="1"/>
  <c r="K300" i="10"/>
  <c r="R300" i="10" s="1"/>
  <c r="K292" i="10"/>
  <c r="R292" i="10" s="1"/>
  <c r="K284" i="10"/>
  <c r="R284" i="10" s="1"/>
  <c r="K276" i="10"/>
  <c r="R276" i="10" s="1"/>
  <c r="K268" i="10"/>
  <c r="R268" i="10" s="1"/>
  <c r="K260" i="10"/>
  <c r="R260" i="10" s="1"/>
  <c r="K208" i="10"/>
  <c r="R208" i="10" s="1"/>
  <c r="K310" i="10"/>
  <c r="R310" i="10" s="1"/>
  <c r="K302" i="10"/>
  <c r="R302" i="10" s="1"/>
  <c r="K294" i="10"/>
  <c r="R294" i="10" s="1"/>
  <c r="K286" i="10"/>
  <c r="R286" i="10" s="1"/>
  <c r="K278" i="10"/>
  <c r="R278" i="10" s="1"/>
  <c r="K270" i="10"/>
  <c r="R270" i="10" s="1"/>
  <c r="K262" i="10"/>
  <c r="R262" i="10" s="1"/>
  <c r="K232" i="10"/>
  <c r="R232" i="10" s="1"/>
  <c r="G307" i="3"/>
  <c r="A279" i="10"/>
  <c r="H279" i="10" s="1"/>
  <c r="A199" i="10"/>
  <c r="H199" i="10" s="1"/>
  <c r="A282" i="10"/>
  <c r="H282" i="10" s="1"/>
  <c r="A188" i="10"/>
  <c r="H188" i="10" s="1"/>
  <c r="A311" i="10"/>
  <c r="H311" i="10" s="1"/>
  <c r="A277" i="10"/>
  <c r="H277" i="10" s="1"/>
  <c r="A231" i="10"/>
  <c r="H231" i="10" s="1"/>
  <c r="A183" i="10"/>
  <c r="H183" i="10" s="1"/>
  <c r="A314" i="10"/>
  <c r="H314" i="10" s="1"/>
  <c r="A268" i="10"/>
  <c r="H268" i="10" s="1"/>
  <c r="A220" i="10"/>
  <c r="H220" i="10" s="1"/>
  <c r="A186" i="10"/>
  <c r="H186" i="10" s="1"/>
  <c r="A309" i="10"/>
  <c r="H309" i="10" s="1"/>
  <c r="A263" i="10"/>
  <c r="H263" i="10" s="1"/>
  <c r="A215" i="10"/>
  <c r="H215" i="10" s="1"/>
  <c r="A181" i="10"/>
  <c r="H181" i="10" s="1"/>
  <c r="A300" i="10"/>
  <c r="H300" i="10" s="1"/>
  <c r="A252" i="10"/>
  <c r="H252" i="10" s="1"/>
  <c r="A218" i="10"/>
  <c r="H218" i="10" s="1"/>
  <c r="A172" i="10"/>
  <c r="H172" i="10" s="1"/>
  <c r="A159" i="10"/>
  <c r="H159" i="10" s="1"/>
  <c r="A293" i="10"/>
  <c r="H293" i="10" s="1"/>
  <c r="A261" i="10"/>
  <c r="H261" i="10" s="1"/>
  <c r="A229" i="10"/>
  <c r="H229" i="10" s="1"/>
  <c r="A197" i="10"/>
  <c r="H197" i="10" s="1"/>
  <c r="A164" i="10"/>
  <c r="H164" i="10" s="1"/>
  <c r="A298" i="10"/>
  <c r="H298" i="10" s="1"/>
  <c r="A266" i="10"/>
  <c r="H266" i="10" s="1"/>
  <c r="A234" i="10"/>
  <c r="H234" i="10" s="1"/>
  <c r="A202" i="10"/>
  <c r="H202" i="10" s="1"/>
  <c r="A170" i="10"/>
  <c r="H170" i="10" s="1"/>
  <c r="A153" i="10"/>
  <c r="H153" i="10" s="1"/>
  <c r="A149" i="10"/>
  <c r="H149" i="10" s="1"/>
  <c r="A303" i="10"/>
  <c r="H303" i="10" s="1"/>
  <c r="A287" i="10"/>
  <c r="H287" i="10" s="1"/>
  <c r="A271" i="10"/>
  <c r="H271" i="10" s="1"/>
  <c r="A255" i="10"/>
  <c r="H255" i="10" s="1"/>
  <c r="A239" i="10"/>
  <c r="H239" i="10" s="1"/>
  <c r="A223" i="10"/>
  <c r="H223" i="10" s="1"/>
  <c r="A207" i="10"/>
  <c r="H207" i="10" s="1"/>
  <c r="A191" i="10"/>
  <c r="H191" i="10" s="1"/>
  <c r="A175" i="10"/>
  <c r="H175" i="10" s="1"/>
  <c r="A152" i="10"/>
  <c r="H152" i="10" s="1"/>
  <c r="A308" i="10"/>
  <c r="H308" i="10" s="1"/>
  <c r="A292" i="10"/>
  <c r="H292" i="10" s="1"/>
  <c r="A276" i="10"/>
  <c r="H276" i="10" s="1"/>
  <c r="A260" i="10"/>
  <c r="H260" i="10" s="1"/>
  <c r="A244" i="10"/>
  <c r="H244" i="10" s="1"/>
  <c r="A228" i="10"/>
  <c r="H228" i="10" s="1"/>
  <c r="A212" i="10"/>
  <c r="H212" i="10" s="1"/>
  <c r="A196" i="10"/>
  <c r="H196" i="10" s="1"/>
  <c r="A180" i="10"/>
  <c r="H180" i="10" s="1"/>
  <c r="A162" i="10"/>
  <c r="H162" i="10" s="1"/>
  <c r="A145" i="10"/>
  <c r="H145" i="10" s="1"/>
  <c r="A317" i="10"/>
  <c r="H317" i="10" s="1"/>
  <c r="A301" i="10"/>
  <c r="H301" i="10" s="1"/>
  <c r="A285" i="10"/>
  <c r="H285" i="10" s="1"/>
  <c r="A269" i="10"/>
  <c r="H269" i="10" s="1"/>
  <c r="A253" i="10"/>
  <c r="H253" i="10" s="1"/>
  <c r="A237" i="10"/>
  <c r="H237" i="10" s="1"/>
  <c r="A221" i="10"/>
  <c r="H221" i="10" s="1"/>
  <c r="A205" i="10"/>
  <c r="H205" i="10" s="1"/>
  <c r="A189" i="10"/>
  <c r="H189" i="10" s="1"/>
  <c r="A173" i="10"/>
  <c r="H173" i="10" s="1"/>
  <c r="A148" i="10"/>
  <c r="H148" i="10" s="1"/>
  <c r="A306" i="10"/>
  <c r="H306" i="10" s="1"/>
  <c r="A290" i="10"/>
  <c r="H290" i="10" s="1"/>
  <c r="A274" i="10"/>
  <c r="H274" i="10" s="1"/>
  <c r="A258" i="10"/>
  <c r="H258" i="10" s="1"/>
  <c r="A242" i="10"/>
  <c r="H242" i="10" s="1"/>
  <c r="A226" i="10"/>
  <c r="H226" i="10" s="1"/>
  <c r="A210" i="10"/>
  <c r="H210" i="10" s="1"/>
  <c r="A194" i="10"/>
  <c r="H194" i="10" s="1"/>
  <c r="A178" i="10"/>
  <c r="H178" i="10" s="1"/>
  <c r="A158" i="10"/>
  <c r="H158" i="10" s="1"/>
  <c r="A143" i="10"/>
  <c r="H143" i="10" s="1"/>
  <c r="A163" i="10"/>
  <c r="H163" i="10" s="1"/>
  <c r="A165" i="10"/>
  <c r="H165" i="10" s="1"/>
  <c r="A315" i="10"/>
  <c r="H315" i="10" s="1"/>
  <c r="A307" i="10"/>
  <c r="H307" i="10" s="1"/>
  <c r="A299" i="10"/>
  <c r="H299" i="10" s="1"/>
  <c r="A291" i="10"/>
  <c r="H291" i="10" s="1"/>
  <c r="A283" i="10"/>
  <c r="H283" i="10" s="1"/>
  <c r="A275" i="10"/>
  <c r="H275" i="10" s="1"/>
  <c r="A267" i="10"/>
  <c r="H267" i="10" s="1"/>
  <c r="A259" i="10"/>
  <c r="H259" i="10" s="1"/>
  <c r="A251" i="10"/>
  <c r="H251" i="10" s="1"/>
  <c r="A243" i="10"/>
  <c r="H243" i="10" s="1"/>
  <c r="A235" i="10"/>
  <c r="H235" i="10" s="1"/>
  <c r="A227" i="10"/>
  <c r="H227" i="10" s="1"/>
  <c r="A219" i="10"/>
  <c r="H219" i="10" s="1"/>
  <c r="A211" i="10"/>
  <c r="H211" i="10" s="1"/>
  <c r="A203" i="10"/>
  <c r="H203" i="10" s="1"/>
  <c r="A195" i="10"/>
  <c r="H195" i="10" s="1"/>
  <c r="A187" i="10"/>
  <c r="H187" i="10" s="1"/>
  <c r="A179" i="10"/>
  <c r="H179" i="10" s="1"/>
  <c r="A171" i="10"/>
  <c r="H171" i="10" s="1"/>
  <c r="A160" i="10"/>
  <c r="H160" i="10" s="1"/>
  <c r="A144" i="10"/>
  <c r="H144" i="10" s="1"/>
  <c r="A312" i="10"/>
  <c r="H312" i="10" s="1"/>
  <c r="A304" i="10"/>
  <c r="H304" i="10" s="1"/>
  <c r="A296" i="10"/>
  <c r="H296" i="10" s="1"/>
  <c r="A288" i="10"/>
  <c r="H288" i="10" s="1"/>
  <c r="A280" i="10"/>
  <c r="H280" i="10" s="1"/>
  <c r="A272" i="10"/>
  <c r="H272" i="10" s="1"/>
  <c r="A264" i="10"/>
  <c r="H264" i="10" s="1"/>
  <c r="A256" i="10"/>
  <c r="H256" i="10" s="1"/>
  <c r="A248" i="10"/>
  <c r="H248" i="10" s="1"/>
  <c r="A240" i="10"/>
  <c r="H240" i="10" s="1"/>
  <c r="A232" i="10"/>
  <c r="H232" i="10" s="1"/>
  <c r="A224" i="10"/>
  <c r="H224" i="10" s="1"/>
  <c r="A216" i="10"/>
  <c r="H216" i="10" s="1"/>
  <c r="A208" i="10"/>
  <c r="H208" i="10" s="1"/>
  <c r="A200" i="10"/>
  <c r="H200" i="10" s="1"/>
  <c r="A192" i="10"/>
  <c r="H192" i="10" s="1"/>
  <c r="A184" i="10"/>
  <c r="H184" i="10" s="1"/>
  <c r="A176" i="10"/>
  <c r="H176" i="10" s="1"/>
  <c r="A168" i="10"/>
  <c r="H168" i="10" s="1"/>
  <c r="A154" i="10"/>
  <c r="H154" i="10" s="1"/>
  <c r="A161" i="10"/>
  <c r="H161" i="10" s="1"/>
  <c r="A155" i="10"/>
  <c r="H155" i="10" s="1"/>
  <c r="A157" i="10"/>
  <c r="H157" i="10" s="1"/>
  <c r="A313" i="10"/>
  <c r="H313" i="10" s="1"/>
  <c r="A305" i="10"/>
  <c r="H305" i="10" s="1"/>
  <c r="A297" i="10"/>
  <c r="H297" i="10" s="1"/>
  <c r="A289" i="10"/>
  <c r="H289" i="10" s="1"/>
  <c r="A281" i="10"/>
  <c r="H281" i="10" s="1"/>
  <c r="A273" i="10"/>
  <c r="H273" i="10" s="1"/>
  <c r="A265" i="10"/>
  <c r="H265" i="10" s="1"/>
  <c r="A257" i="10"/>
  <c r="H257" i="10" s="1"/>
  <c r="A249" i="10"/>
  <c r="H249" i="10" s="1"/>
  <c r="A241" i="10"/>
  <c r="H241" i="10" s="1"/>
  <c r="A233" i="10"/>
  <c r="H233" i="10" s="1"/>
  <c r="A225" i="10"/>
  <c r="H225" i="10" s="1"/>
  <c r="A217" i="10"/>
  <c r="H217" i="10" s="1"/>
  <c r="A209" i="10"/>
  <c r="H209" i="10" s="1"/>
  <c r="A201" i="10"/>
  <c r="H201" i="10" s="1"/>
  <c r="A193" i="10"/>
  <c r="H193" i="10" s="1"/>
  <c r="A185" i="10"/>
  <c r="H185" i="10" s="1"/>
  <c r="A177" i="10"/>
  <c r="H177" i="10" s="1"/>
  <c r="A169" i="10"/>
  <c r="H169" i="10" s="1"/>
  <c r="A156" i="10"/>
  <c r="H156" i="10" s="1"/>
  <c r="A318" i="10"/>
  <c r="H318" i="10" s="1"/>
  <c r="A310" i="10"/>
  <c r="H310" i="10" s="1"/>
  <c r="A302" i="10"/>
  <c r="H302" i="10" s="1"/>
  <c r="A294" i="10"/>
  <c r="H294" i="10" s="1"/>
  <c r="A286" i="10"/>
  <c r="H286" i="10" s="1"/>
  <c r="A278" i="10"/>
  <c r="H278" i="10" s="1"/>
  <c r="A270" i="10"/>
  <c r="H270" i="10" s="1"/>
  <c r="A262" i="10"/>
  <c r="H262" i="10" s="1"/>
  <c r="A254" i="10"/>
  <c r="H254" i="10" s="1"/>
  <c r="A246" i="10"/>
  <c r="H246" i="10" s="1"/>
  <c r="A238" i="10"/>
  <c r="H238" i="10" s="1"/>
  <c r="A230" i="10"/>
  <c r="H230" i="10" s="1"/>
  <c r="A222" i="10"/>
  <c r="H222" i="10" s="1"/>
  <c r="A214" i="10"/>
  <c r="H214" i="10" s="1"/>
  <c r="A206" i="10"/>
  <c r="H206" i="10" s="1"/>
  <c r="A198" i="10"/>
  <c r="H198" i="10" s="1"/>
  <c r="A190" i="10"/>
  <c r="H190" i="10" s="1"/>
  <c r="A182" i="10"/>
  <c r="H182" i="10" s="1"/>
  <c r="A174" i="10"/>
  <c r="H174" i="10" s="1"/>
  <c r="A166" i="10"/>
  <c r="H166" i="10" s="1"/>
  <c r="H107" i="22"/>
  <c r="H407" i="22"/>
  <c r="H207" i="22"/>
  <c r="H307" i="22"/>
  <c r="K240" i="10"/>
  <c r="R240" i="10" s="1"/>
  <c r="K164" i="10"/>
  <c r="R164" i="10" s="1"/>
  <c r="K248" i="10"/>
  <c r="R248" i="10" s="1"/>
  <c r="K216" i="10"/>
  <c r="R216" i="10" s="1"/>
  <c r="K180" i="10"/>
  <c r="R180" i="10" s="1"/>
  <c r="E6" i="15"/>
  <c r="E71" i="1" s="1"/>
  <c r="K252" i="10"/>
  <c r="R252" i="10" s="1"/>
  <c r="K224" i="10"/>
  <c r="R224" i="10" s="1"/>
  <c r="K192" i="10"/>
  <c r="R192" i="10" s="1"/>
  <c r="E6" i="16"/>
  <c r="E72" i="1" s="1"/>
  <c r="K244" i="10"/>
  <c r="R244" i="10" s="1"/>
  <c r="K236" i="10"/>
  <c r="R236" i="10" s="1"/>
  <c r="K228" i="10"/>
  <c r="R228" i="10" s="1"/>
  <c r="K220" i="10"/>
  <c r="R220" i="10" s="1"/>
  <c r="K212" i="10"/>
  <c r="R212" i="10" s="1"/>
  <c r="K204" i="10"/>
  <c r="R204" i="10" s="1"/>
  <c r="K196" i="10"/>
  <c r="R196" i="10" s="1"/>
  <c r="K188" i="10"/>
  <c r="R188" i="10" s="1"/>
  <c r="K172" i="10"/>
  <c r="R172" i="10" s="1"/>
  <c r="K156" i="10"/>
  <c r="R156" i="10" s="1"/>
  <c r="K254" i="10"/>
  <c r="R254" i="10" s="1"/>
  <c r="K250" i="10"/>
  <c r="R250" i="10" s="1"/>
  <c r="K246" i="10"/>
  <c r="R246" i="10" s="1"/>
  <c r="K242" i="10"/>
  <c r="R242" i="10" s="1"/>
  <c r="K238" i="10"/>
  <c r="R238" i="10" s="1"/>
  <c r="K234" i="10"/>
  <c r="R234" i="10" s="1"/>
  <c r="K230" i="10"/>
  <c r="R230" i="10" s="1"/>
  <c r="K226" i="10"/>
  <c r="R226" i="10" s="1"/>
  <c r="K222" i="10"/>
  <c r="R222" i="10" s="1"/>
  <c r="K218" i="10"/>
  <c r="R218" i="10" s="1"/>
  <c r="K214" i="10"/>
  <c r="R214" i="10" s="1"/>
  <c r="K210" i="10"/>
  <c r="R210" i="10" s="1"/>
  <c r="K206" i="10"/>
  <c r="R206" i="10" s="1"/>
  <c r="K202" i="10"/>
  <c r="R202" i="10" s="1"/>
  <c r="K198" i="10"/>
  <c r="R198" i="10" s="1"/>
  <c r="K194" i="10"/>
  <c r="R194" i="10" s="1"/>
  <c r="K190" i="10"/>
  <c r="R190" i="10" s="1"/>
  <c r="K184" i="10"/>
  <c r="R184" i="10" s="1"/>
  <c r="K176" i="10"/>
  <c r="R176" i="10" s="1"/>
  <c r="K168" i="10"/>
  <c r="R168" i="10" s="1"/>
  <c r="K160" i="10"/>
  <c r="R160" i="10" s="1"/>
  <c r="K152" i="10"/>
  <c r="R152" i="10" s="1"/>
  <c r="B61" i="9"/>
  <c r="AF137" i="9" s="1"/>
  <c r="AF136" i="9"/>
  <c r="BI147" i="13"/>
  <c r="BP147" i="13" s="1"/>
  <c r="BI151" i="13"/>
  <c r="BP151" i="13" s="1"/>
  <c r="BI155" i="13"/>
  <c r="BP155" i="13" s="1"/>
  <c r="BI159" i="13"/>
  <c r="BP159" i="13" s="1"/>
  <c r="BI163" i="13"/>
  <c r="BP163" i="13" s="1"/>
  <c r="BI167" i="13"/>
  <c r="BP167" i="13" s="1"/>
  <c r="BI171" i="13"/>
  <c r="BP171" i="13" s="1"/>
  <c r="BI175" i="13"/>
  <c r="BP175" i="13" s="1"/>
  <c r="BI179" i="13"/>
  <c r="BP179" i="13" s="1"/>
  <c r="BI183" i="13"/>
  <c r="BP183" i="13" s="1"/>
  <c r="BI187" i="13"/>
  <c r="BP187" i="13" s="1"/>
  <c r="BI191" i="13"/>
  <c r="BP191" i="13" s="1"/>
  <c r="BI195" i="13"/>
  <c r="BP195" i="13" s="1"/>
  <c r="BI199" i="13"/>
  <c r="BP199" i="13" s="1"/>
  <c r="BI203" i="13"/>
  <c r="BP203" i="13" s="1"/>
  <c r="BI207" i="13"/>
  <c r="BP207" i="13" s="1"/>
  <c r="BI211" i="13"/>
  <c r="BP211" i="13" s="1"/>
  <c r="BI215" i="13"/>
  <c r="BP215" i="13" s="1"/>
  <c r="BI219" i="13"/>
  <c r="BP219" i="13" s="1"/>
  <c r="BI223" i="13"/>
  <c r="BP223" i="13" s="1"/>
  <c r="BI227" i="13"/>
  <c r="BP227" i="13" s="1"/>
  <c r="BI231" i="13"/>
  <c r="BP231" i="13" s="1"/>
  <c r="BI235" i="13"/>
  <c r="BP235" i="13" s="1"/>
  <c r="BI239" i="13"/>
  <c r="BP239" i="13" s="1"/>
  <c r="BI243" i="13"/>
  <c r="BP243" i="13" s="1"/>
  <c r="BI247" i="13"/>
  <c r="BP247" i="13" s="1"/>
  <c r="BI251" i="13"/>
  <c r="BP251" i="13" s="1"/>
  <c r="BI255" i="13"/>
  <c r="BP255" i="13" s="1"/>
  <c r="BI259" i="13"/>
  <c r="BP259" i="13" s="1"/>
  <c r="BI263" i="13"/>
  <c r="BP263" i="13" s="1"/>
  <c r="BI267" i="13"/>
  <c r="BP267" i="13" s="1"/>
  <c r="BI271" i="13"/>
  <c r="BP271" i="13" s="1"/>
  <c r="BI275" i="13"/>
  <c r="BP275" i="13" s="1"/>
  <c r="BI279" i="13"/>
  <c r="BP279" i="13" s="1"/>
  <c r="BI283" i="13"/>
  <c r="BP283" i="13" s="1"/>
  <c r="BI287" i="13"/>
  <c r="BP287" i="13" s="1"/>
  <c r="BI291" i="13"/>
  <c r="BP291" i="13" s="1"/>
  <c r="BI295" i="13"/>
  <c r="BP295" i="13" s="1"/>
  <c r="BI299" i="13"/>
  <c r="BP299" i="13" s="1"/>
  <c r="BI303" i="13"/>
  <c r="BP303" i="13" s="1"/>
  <c r="BI307" i="13"/>
  <c r="BP307" i="13" s="1"/>
  <c r="BI311" i="13"/>
  <c r="BP311" i="13" s="1"/>
  <c r="BI315" i="13"/>
  <c r="BP315" i="13" s="1"/>
  <c r="BI145" i="13"/>
  <c r="BP145" i="13" s="1"/>
  <c r="BI153" i="13"/>
  <c r="BP153" i="13" s="1"/>
  <c r="BI161" i="13"/>
  <c r="BP161" i="13" s="1"/>
  <c r="BI169" i="13"/>
  <c r="BP169" i="13" s="1"/>
  <c r="BI177" i="13"/>
  <c r="BP177" i="13" s="1"/>
  <c r="BI185" i="13"/>
  <c r="BP185" i="13" s="1"/>
  <c r="BI193" i="13"/>
  <c r="BP193" i="13" s="1"/>
  <c r="BI205" i="13"/>
  <c r="BP205" i="13" s="1"/>
  <c r="BI213" i="13"/>
  <c r="BP213" i="13" s="1"/>
  <c r="BI221" i="13"/>
  <c r="BP221" i="13" s="1"/>
  <c r="BI229" i="13"/>
  <c r="BP229" i="13" s="1"/>
  <c r="BI237" i="13"/>
  <c r="BP237" i="13" s="1"/>
  <c r="BI245" i="13"/>
  <c r="BP245" i="13" s="1"/>
  <c r="BI249" i="13"/>
  <c r="BP249" i="13" s="1"/>
  <c r="BI257" i="13"/>
  <c r="BP257" i="13" s="1"/>
  <c r="BI265" i="13"/>
  <c r="BP265" i="13" s="1"/>
  <c r="BI273" i="13"/>
  <c r="BP273" i="13" s="1"/>
  <c r="BI281" i="13"/>
  <c r="BP281" i="13" s="1"/>
  <c r="BI289" i="13"/>
  <c r="BP289" i="13" s="1"/>
  <c r="BI301" i="13"/>
  <c r="BP301" i="13" s="1"/>
  <c r="BI309" i="13"/>
  <c r="BP309" i="13" s="1"/>
  <c r="BI317" i="13"/>
  <c r="BP317" i="13" s="1"/>
  <c r="BI148" i="13"/>
  <c r="BP148" i="13" s="1"/>
  <c r="BI156" i="13"/>
  <c r="BP156" i="13" s="1"/>
  <c r="BI168" i="13"/>
  <c r="BP168" i="13" s="1"/>
  <c r="BI176" i="13"/>
  <c r="BP176" i="13" s="1"/>
  <c r="BI184" i="13"/>
  <c r="BP184" i="13" s="1"/>
  <c r="BI192" i="13"/>
  <c r="BP192" i="13" s="1"/>
  <c r="BI200" i="13"/>
  <c r="BP200" i="13" s="1"/>
  <c r="BI212" i="13"/>
  <c r="BP212" i="13" s="1"/>
  <c r="BI220" i="13"/>
  <c r="BP220" i="13" s="1"/>
  <c r="BI228" i="13"/>
  <c r="BP228" i="13" s="1"/>
  <c r="BI236" i="13"/>
  <c r="BP236" i="13" s="1"/>
  <c r="BI244" i="13"/>
  <c r="BP244" i="13" s="1"/>
  <c r="BI252" i="13"/>
  <c r="BP252" i="13" s="1"/>
  <c r="BI256" i="13"/>
  <c r="BP256" i="13" s="1"/>
  <c r="BI264" i="13"/>
  <c r="BP264" i="13" s="1"/>
  <c r="BI276" i="13"/>
  <c r="BP276" i="13" s="1"/>
  <c r="BI284" i="13"/>
  <c r="BP284" i="13" s="1"/>
  <c r="BI292" i="13"/>
  <c r="BP292" i="13" s="1"/>
  <c r="BI300" i="13"/>
  <c r="BP300" i="13" s="1"/>
  <c r="BI308" i="13"/>
  <c r="BP308" i="13" s="1"/>
  <c r="BI316" i="13"/>
  <c r="BP316" i="13" s="1"/>
  <c r="BI146" i="13"/>
  <c r="BP146" i="13" s="1"/>
  <c r="BI150" i="13"/>
  <c r="BP150" i="13" s="1"/>
  <c r="BI154" i="13"/>
  <c r="BP154" i="13" s="1"/>
  <c r="BI158" i="13"/>
  <c r="BP158" i="13" s="1"/>
  <c r="BI162" i="13"/>
  <c r="BP162" i="13" s="1"/>
  <c r="BI166" i="13"/>
  <c r="BP166" i="13" s="1"/>
  <c r="BI170" i="13"/>
  <c r="BP170" i="13" s="1"/>
  <c r="BI174" i="13"/>
  <c r="BP174" i="13" s="1"/>
  <c r="BI178" i="13"/>
  <c r="BP178" i="13" s="1"/>
  <c r="BI182" i="13"/>
  <c r="BP182" i="13" s="1"/>
  <c r="BI186" i="13"/>
  <c r="BP186" i="13" s="1"/>
  <c r="BI190" i="13"/>
  <c r="BP190" i="13" s="1"/>
  <c r="BI194" i="13"/>
  <c r="BP194" i="13" s="1"/>
  <c r="BI198" i="13"/>
  <c r="BP198" i="13" s="1"/>
  <c r="BI202" i="13"/>
  <c r="BP202" i="13" s="1"/>
  <c r="BI206" i="13"/>
  <c r="BP206" i="13" s="1"/>
  <c r="BI210" i="13"/>
  <c r="BP210" i="13" s="1"/>
  <c r="BI214" i="13"/>
  <c r="BP214" i="13" s="1"/>
  <c r="BI218" i="13"/>
  <c r="BP218" i="13" s="1"/>
  <c r="BI222" i="13"/>
  <c r="BP222" i="13" s="1"/>
  <c r="BI226" i="13"/>
  <c r="BP226" i="13" s="1"/>
  <c r="BI230" i="13"/>
  <c r="BP230" i="13" s="1"/>
  <c r="BI234" i="13"/>
  <c r="BP234" i="13" s="1"/>
  <c r="BI238" i="13"/>
  <c r="BP238" i="13" s="1"/>
  <c r="BI242" i="13"/>
  <c r="BP242" i="13" s="1"/>
  <c r="BI246" i="13"/>
  <c r="BP246" i="13" s="1"/>
  <c r="BI250" i="13"/>
  <c r="BP250" i="13" s="1"/>
  <c r="BI254" i="13"/>
  <c r="BP254" i="13" s="1"/>
  <c r="BI258" i="13"/>
  <c r="BP258" i="13" s="1"/>
  <c r="BI262" i="13"/>
  <c r="BP262" i="13" s="1"/>
  <c r="BI266" i="13"/>
  <c r="BP266" i="13" s="1"/>
  <c r="BI270" i="13"/>
  <c r="BP270" i="13" s="1"/>
  <c r="BI274" i="13"/>
  <c r="BP274" i="13" s="1"/>
  <c r="BI278" i="13"/>
  <c r="BP278" i="13" s="1"/>
  <c r="BI282" i="13"/>
  <c r="BP282" i="13" s="1"/>
  <c r="BI286" i="13"/>
  <c r="BP286" i="13" s="1"/>
  <c r="BI290" i="13"/>
  <c r="BP290" i="13" s="1"/>
  <c r="BI294" i="13"/>
  <c r="BP294" i="13" s="1"/>
  <c r="BI298" i="13"/>
  <c r="BP298" i="13" s="1"/>
  <c r="BI302" i="13"/>
  <c r="BP302" i="13" s="1"/>
  <c r="BI306" i="13"/>
  <c r="BP306" i="13" s="1"/>
  <c r="BI310" i="13"/>
  <c r="BP310" i="13" s="1"/>
  <c r="BI314" i="13"/>
  <c r="BP314" i="13" s="1"/>
  <c r="BI318" i="13"/>
  <c r="BP318" i="13" s="1"/>
  <c r="BI143" i="13"/>
  <c r="BP143" i="13" s="1"/>
  <c r="BI149" i="13"/>
  <c r="BP149" i="13" s="1"/>
  <c r="BI157" i="13"/>
  <c r="BP157" i="13" s="1"/>
  <c r="BI165" i="13"/>
  <c r="BP165" i="13" s="1"/>
  <c r="BI173" i="13"/>
  <c r="BP173" i="13" s="1"/>
  <c r="BI181" i="13"/>
  <c r="BP181" i="13" s="1"/>
  <c r="BI189" i="13"/>
  <c r="BP189" i="13" s="1"/>
  <c r="BI197" i="13"/>
  <c r="BP197" i="13" s="1"/>
  <c r="BI201" i="13"/>
  <c r="BP201" i="13" s="1"/>
  <c r="BI209" i="13"/>
  <c r="BP209" i="13" s="1"/>
  <c r="BI217" i="13"/>
  <c r="BP217" i="13" s="1"/>
  <c r="BI225" i="13"/>
  <c r="BP225" i="13" s="1"/>
  <c r="BI233" i="13"/>
  <c r="BP233" i="13" s="1"/>
  <c r="BI241" i="13"/>
  <c r="BP241" i="13" s="1"/>
  <c r="BI253" i="13"/>
  <c r="BP253" i="13" s="1"/>
  <c r="BI261" i="13"/>
  <c r="BP261" i="13" s="1"/>
  <c r="BI269" i="13"/>
  <c r="BP269" i="13" s="1"/>
  <c r="BI277" i="13"/>
  <c r="BP277" i="13" s="1"/>
  <c r="BI285" i="13"/>
  <c r="BP285" i="13" s="1"/>
  <c r="BI293" i="13"/>
  <c r="BP293" i="13" s="1"/>
  <c r="BI297" i="13"/>
  <c r="BP297" i="13" s="1"/>
  <c r="BI305" i="13"/>
  <c r="BP305" i="13" s="1"/>
  <c r="BI313" i="13"/>
  <c r="BP313" i="13" s="1"/>
  <c r="BI144" i="13"/>
  <c r="BP144" i="13" s="1"/>
  <c r="BI152" i="13"/>
  <c r="BP152" i="13" s="1"/>
  <c r="BI160" i="13"/>
  <c r="BP160" i="13" s="1"/>
  <c r="BI164" i="13"/>
  <c r="BP164" i="13" s="1"/>
  <c r="BI172" i="13"/>
  <c r="BP172" i="13" s="1"/>
  <c r="BI180" i="13"/>
  <c r="BP180" i="13" s="1"/>
  <c r="BI188" i="13"/>
  <c r="BP188" i="13" s="1"/>
  <c r="BI196" i="13"/>
  <c r="BP196" i="13" s="1"/>
  <c r="BI204" i="13"/>
  <c r="BP204" i="13" s="1"/>
  <c r="BI208" i="13"/>
  <c r="BP208" i="13" s="1"/>
  <c r="BI216" i="13"/>
  <c r="BP216" i="13" s="1"/>
  <c r="BI224" i="13"/>
  <c r="BP224" i="13" s="1"/>
  <c r="BI232" i="13"/>
  <c r="BP232" i="13" s="1"/>
  <c r="BI240" i="13"/>
  <c r="BP240" i="13" s="1"/>
  <c r="BI248" i="13"/>
  <c r="BP248" i="13" s="1"/>
  <c r="BI260" i="13"/>
  <c r="BP260" i="13" s="1"/>
  <c r="BI268" i="13"/>
  <c r="BP268" i="13" s="1"/>
  <c r="BI272" i="13"/>
  <c r="BP272" i="13" s="1"/>
  <c r="BI280" i="13"/>
  <c r="BP280" i="13" s="1"/>
  <c r="BI288" i="13"/>
  <c r="BP288" i="13" s="1"/>
  <c r="BI296" i="13"/>
  <c r="BP296" i="13" s="1"/>
  <c r="BI304" i="13"/>
  <c r="BP304" i="13" s="1"/>
  <c r="BI312" i="13"/>
  <c r="BP312" i="13" s="1"/>
  <c r="BI146" i="11"/>
  <c r="BP146" i="11" s="1"/>
  <c r="BI151" i="11"/>
  <c r="BP151" i="11" s="1"/>
  <c r="BI154" i="11"/>
  <c r="BP154" i="11" s="1"/>
  <c r="BI159" i="11"/>
  <c r="BP159" i="11" s="1"/>
  <c r="BI162" i="11"/>
  <c r="BP162" i="11" s="1"/>
  <c r="BI167" i="11"/>
  <c r="BP167" i="11" s="1"/>
  <c r="BI170" i="11"/>
  <c r="BP170" i="11" s="1"/>
  <c r="BI216" i="11"/>
  <c r="BP216" i="11" s="1"/>
  <c r="BI217" i="11"/>
  <c r="BP217" i="11" s="1"/>
  <c r="BI218" i="11"/>
  <c r="BP218" i="11" s="1"/>
  <c r="BI219" i="11"/>
  <c r="BP219" i="11" s="1"/>
  <c r="BI220" i="11"/>
  <c r="BP220" i="11" s="1"/>
  <c r="BI221" i="11"/>
  <c r="BP221" i="11" s="1"/>
  <c r="BI222" i="11"/>
  <c r="BP222" i="11" s="1"/>
  <c r="BI223" i="11"/>
  <c r="BP223" i="11" s="1"/>
  <c r="BI224" i="11"/>
  <c r="BP224" i="11" s="1"/>
  <c r="BI225" i="11"/>
  <c r="BP225" i="11" s="1"/>
  <c r="BI226" i="11"/>
  <c r="BP226" i="11" s="1"/>
  <c r="BI227" i="11"/>
  <c r="BP227" i="11" s="1"/>
  <c r="BI228" i="11"/>
  <c r="BP228" i="11" s="1"/>
  <c r="BI229" i="11"/>
  <c r="BP229" i="11" s="1"/>
  <c r="BI230" i="11"/>
  <c r="BP230" i="11" s="1"/>
  <c r="BI231" i="11"/>
  <c r="BP231" i="11" s="1"/>
  <c r="BI232" i="11"/>
  <c r="BP232" i="11" s="1"/>
  <c r="BI233" i="11"/>
  <c r="BP233" i="11" s="1"/>
  <c r="BI234" i="11"/>
  <c r="BP234" i="11" s="1"/>
  <c r="BI235" i="11"/>
  <c r="BP235" i="11" s="1"/>
  <c r="BI236" i="11"/>
  <c r="BP236" i="11" s="1"/>
  <c r="BI237" i="11"/>
  <c r="BP237" i="11" s="1"/>
  <c r="BI238" i="11"/>
  <c r="BP238" i="11" s="1"/>
  <c r="BI239" i="11"/>
  <c r="BP239" i="11" s="1"/>
  <c r="BI240" i="11"/>
  <c r="BP240" i="11" s="1"/>
  <c r="BI241" i="11"/>
  <c r="BP241" i="11" s="1"/>
  <c r="BI242" i="11"/>
  <c r="BP242" i="11" s="1"/>
  <c r="BI243" i="11"/>
  <c r="BP243" i="11" s="1"/>
  <c r="BI244" i="11"/>
  <c r="BP244" i="11" s="1"/>
  <c r="BI245" i="11"/>
  <c r="BP245" i="11" s="1"/>
  <c r="BI246" i="11"/>
  <c r="BP246" i="11" s="1"/>
  <c r="BI247" i="11"/>
  <c r="BP247" i="11" s="1"/>
  <c r="BI248" i="11"/>
  <c r="BP248" i="11" s="1"/>
  <c r="BI249" i="11"/>
  <c r="BP249" i="11" s="1"/>
  <c r="BI250" i="11"/>
  <c r="BP250" i="11" s="1"/>
  <c r="BI251" i="11"/>
  <c r="BP251" i="11" s="1"/>
  <c r="BI252" i="11"/>
  <c r="BP252" i="11" s="1"/>
  <c r="BI253" i="11"/>
  <c r="BP253" i="11" s="1"/>
  <c r="BI254" i="11"/>
  <c r="BP254" i="11" s="1"/>
  <c r="BI255" i="11"/>
  <c r="BP255" i="11" s="1"/>
  <c r="BI256" i="11"/>
  <c r="BP256" i="11" s="1"/>
  <c r="BI257" i="11"/>
  <c r="BP257" i="11" s="1"/>
  <c r="BI258" i="11"/>
  <c r="BP258" i="11" s="1"/>
  <c r="BI259" i="11"/>
  <c r="BP259" i="11" s="1"/>
  <c r="BI260" i="11"/>
  <c r="BP260" i="11" s="1"/>
  <c r="BI261" i="11"/>
  <c r="BP261" i="11" s="1"/>
  <c r="BI262" i="11"/>
  <c r="BP262" i="11" s="1"/>
  <c r="BI263" i="11"/>
  <c r="BP263" i="11" s="1"/>
  <c r="BI264" i="11"/>
  <c r="BP264" i="11" s="1"/>
  <c r="BI265" i="11"/>
  <c r="BP265" i="11" s="1"/>
  <c r="BI266" i="11"/>
  <c r="BP266" i="11" s="1"/>
  <c r="BI267" i="11"/>
  <c r="BP267" i="11" s="1"/>
  <c r="BI268" i="11"/>
  <c r="BP268" i="11" s="1"/>
  <c r="BI269" i="11"/>
  <c r="BP269" i="11" s="1"/>
  <c r="BI270" i="11"/>
  <c r="BP270" i="11" s="1"/>
  <c r="BI271" i="11"/>
  <c r="BP271" i="11" s="1"/>
  <c r="BI272" i="11"/>
  <c r="BP272" i="11" s="1"/>
  <c r="BI273" i="11"/>
  <c r="BP273" i="11" s="1"/>
  <c r="BI274" i="11"/>
  <c r="BP274" i="11" s="1"/>
  <c r="BI275" i="11"/>
  <c r="BP275" i="11" s="1"/>
  <c r="BI276" i="11"/>
  <c r="BP276" i="11" s="1"/>
  <c r="BI277" i="11"/>
  <c r="BP277" i="11" s="1"/>
  <c r="BI278" i="11"/>
  <c r="BP278" i="11" s="1"/>
  <c r="BI279" i="11"/>
  <c r="BP279" i="11" s="1"/>
  <c r="BI280" i="11"/>
  <c r="BP280" i="11" s="1"/>
  <c r="BI281" i="11"/>
  <c r="BP281" i="11" s="1"/>
  <c r="BI282" i="11"/>
  <c r="BP282" i="11" s="1"/>
  <c r="BI283" i="11"/>
  <c r="BP283" i="11" s="1"/>
  <c r="BI284" i="11"/>
  <c r="BP284" i="11" s="1"/>
  <c r="BI285" i="11"/>
  <c r="BP285" i="11" s="1"/>
  <c r="BI286" i="11"/>
  <c r="BP286" i="11" s="1"/>
  <c r="BI287" i="11"/>
  <c r="BP287" i="11" s="1"/>
  <c r="BI288" i="11"/>
  <c r="BP288" i="11" s="1"/>
  <c r="BI289" i="11"/>
  <c r="BP289" i="11" s="1"/>
  <c r="BI290" i="11"/>
  <c r="BP290" i="11" s="1"/>
  <c r="BI291" i="11"/>
  <c r="BP291" i="11" s="1"/>
  <c r="BI292" i="11"/>
  <c r="BP292" i="11" s="1"/>
  <c r="BI293" i="11"/>
  <c r="BP293" i="11" s="1"/>
  <c r="BI294" i="11"/>
  <c r="BP294" i="11" s="1"/>
  <c r="BI295" i="11"/>
  <c r="BP295" i="11" s="1"/>
  <c r="BI296" i="11"/>
  <c r="BP296" i="11" s="1"/>
  <c r="BI297" i="11"/>
  <c r="BP297" i="11" s="1"/>
  <c r="BI298" i="11"/>
  <c r="BP298" i="11" s="1"/>
  <c r="BI299" i="11"/>
  <c r="BP299" i="11" s="1"/>
  <c r="BI300" i="11"/>
  <c r="BP300" i="11" s="1"/>
  <c r="BI301" i="11"/>
  <c r="BP301" i="11" s="1"/>
  <c r="BI302" i="11"/>
  <c r="BP302" i="11" s="1"/>
  <c r="BI303" i="11"/>
  <c r="BP303" i="11" s="1"/>
  <c r="BI304" i="11"/>
  <c r="BP304" i="11" s="1"/>
  <c r="BI305" i="11"/>
  <c r="BP305" i="11" s="1"/>
  <c r="BI306" i="11"/>
  <c r="BP306" i="11" s="1"/>
  <c r="BI307" i="11"/>
  <c r="BP307" i="11" s="1"/>
  <c r="BI308" i="11"/>
  <c r="BP308" i="11" s="1"/>
  <c r="BI309" i="11"/>
  <c r="BP309" i="11" s="1"/>
  <c r="BI145" i="11"/>
  <c r="BP145" i="11" s="1"/>
  <c r="BI148" i="11"/>
  <c r="BP148" i="11" s="1"/>
  <c r="BI153" i="11"/>
  <c r="BP153" i="11" s="1"/>
  <c r="BI156" i="11"/>
  <c r="BP156" i="11" s="1"/>
  <c r="BI161" i="11"/>
  <c r="BP161" i="11" s="1"/>
  <c r="BI164" i="11"/>
  <c r="BP164" i="11" s="1"/>
  <c r="BI169" i="11"/>
  <c r="BP169" i="11" s="1"/>
  <c r="BI172" i="11"/>
  <c r="BP172" i="11" s="1"/>
  <c r="BI198" i="11"/>
  <c r="BP198" i="11" s="1"/>
  <c r="BI200" i="11"/>
  <c r="BP200" i="11" s="1"/>
  <c r="BI202" i="11"/>
  <c r="BP202" i="11" s="1"/>
  <c r="BI204" i="11"/>
  <c r="BP204" i="11" s="1"/>
  <c r="BI206" i="11"/>
  <c r="BP206" i="11" s="1"/>
  <c r="BI208" i="11"/>
  <c r="BP208" i="11" s="1"/>
  <c r="BI210" i="11"/>
  <c r="BP210" i="11" s="1"/>
  <c r="BI212" i="11"/>
  <c r="BP212" i="11" s="1"/>
  <c r="BI214" i="11"/>
  <c r="BP214" i="11" s="1"/>
  <c r="BI144" i="11"/>
  <c r="BP144" i="11" s="1"/>
  <c r="BI149" i="11"/>
  <c r="BP149" i="11" s="1"/>
  <c r="BI160" i="11"/>
  <c r="BP160" i="11" s="1"/>
  <c r="BI165" i="11"/>
  <c r="BP165" i="11" s="1"/>
  <c r="BI310" i="11"/>
  <c r="BP310" i="11" s="1"/>
  <c r="BI311" i="11"/>
  <c r="BP311" i="11" s="1"/>
  <c r="BI312" i="11"/>
  <c r="BP312" i="11" s="1"/>
  <c r="BI313" i="11"/>
  <c r="BP313" i="11" s="1"/>
  <c r="BI314" i="11"/>
  <c r="BP314" i="11" s="1"/>
  <c r="BI315" i="11"/>
  <c r="BP315" i="11" s="1"/>
  <c r="BI316" i="11"/>
  <c r="BP316" i="11" s="1"/>
  <c r="BI317" i="11"/>
  <c r="BP317" i="11" s="1"/>
  <c r="BI318" i="11"/>
  <c r="BP318" i="11" s="1"/>
  <c r="BI143" i="11"/>
  <c r="BP143" i="11" s="1"/>
  <c r="BI152" i="11"/>
  <c r="BP152" i="11" s="1"/>
  <c r="BI175" i="11"/>
  <c r="BP175" i="11" s="1"/>
  <c r="BI179" i="11"/>
  <c r="BP179" i="11" s="1"/>
  <c r="BI183" i="11"/>
  <c r="BP183" i="11" s="1"/>
  <c r="BI187" i="11"/>
  <c r="BP187" i="11" s="1"/>
  <c r="BI191" i="11"/>
  <c r="BP191" i="11" s="1"/>
  <c r="BI195" i="11"/>
  <c r="BP195" i="11" s="1"/>
  <c r="BI158" i="11"/>
  <c r="BP158" i="11" s="1"/>
  <c r="BI174" i="11"/>
  <c r="BP174" i="11" s="1"/>
  <c r="BI180" i="11"/>
  <c r="BP180" i="11" s="1"/>
  <c r="BI184" i="11"/>
  <c r="BP184" i="11" s="1"/>
  <c r="BI188" i="11"/>
  <c r="BP188" i="11" s="1"/>
  <c r="BI192" i="11"/>
  <c r="BP192" i="11" s="1"/>
  <c r="BI196" i="11"/>
  <c r="BP196" i="11" s="1"/>
  <c r="BI150" i="11"/>
  <c r="BP150" i="11" s="1"/>
  <c r="BI155" i="11"/>
  <c r="BP155" i="11" s="1"/>
  <c r="BI166" i="11"/>
  <c r="BP166" i="11" s="1"/>
  <c r="BI171" i="11"/>
  <c r="BP171" i="11" s="1"/>
  <c r="BI197" i="11"/>
  <c r="BP197" i="11" s="1"/>
  <c r="BI199" i="11"/>
  <c r="BP199" i="11" s="1"/>
  <c r="BI201" i="11"/>
  <c r="BP201" i="11" s="1"/>
  <c r="BI203" i="11"/>
  <c r="BP203" i="11" s="1"/>
  <c r="BI205" i="11"/>
  <c r="BP205" i="11" s="1"/>
  <c r="BI207" i="11"/>
  <c r="BP207" i="11" s="1"/>
  <c r="BI209" i="11"/>
  <c r="BP209" i="11" s="1"/>
  <c r="BI211" i="11"/>
  <c r="BP211" i="11" s="1"/>
  <c r="BI213" i="11"/>
  <c r="BP213" i="11" s="1"/>
  <c r="BI215" i="11"/>
  <c r="BP215" i="11" s="1"/>
  <c r="BI157" i="11"/>
  <c r="BP157" i="11" s="1"/>
  <c r="BI168" i="11"/>
  <c r="BP168" i="11" s="1"/>
  <c r="BI173" i="11"/>
  <c r="BP173" i="11" s="1"/>
  <c r="BI177" i="11"/>
  <c r="BP177" i="11" s="1"/>
  <c r="BI181" i="11"/>
  <c r="BP181" i="11" s="1"/>
  <c r="BI185" i="11"/>
  <c r="BP185" i="11" s="1"/>
  <c r="BI189" i="11"/>
  <c r="BP189" i="11" s="1"/>
  <c r="BI193" i="11"/>
  <c r="BP193" i="11" s="1"/>
  <c r="BI147" i="11"/>
  <c r="BP147" i="11" s="1"/>
  <c r="BI163" i="11"/>
  <c r="BP163" i="11" s="1"/>
  <c r="BI176" i="11"/>
  <c r="BP176" i="11" s="1"/>
  <c r="BI178" i="11"/>
  <c r="BP178" i="11" s="1"/>
  <c r="BI182" i="11"/>
  <c r="BP182" i="11" s="1"/>
  <c r="BI186" i="11"/>
  <c r="BP186" i="11" s="1"/>
  <c r="BI190" i="11"/>
  <c r="BP190" i="11" s="1"/>
  <c r="BI194" i="11"/>
  <c r="BP194" i="11" s="1"/>
  <c r="B93" i="13"/>
  <c r="H128" i="14" s="1"/>
  <c r="AZ136" i="13"/>
  <c r="AY147" i="12"/>
  <c r="BF147" i="12" s="1"/>
  <c r="AY151" i="12"/>
  <c r="AY155" i="12"/>
  <c r="BF155" i="12" s="1"/>
  <c r="AY159" i="12"/>
  <c r="BF159" i="12" s="1"/>
  <c r="AY163" i="12"/>
  <c r="BF163" i="12" s="1"/>
  <c r="AY167" i="12"/>
  <c r="AY171" i="12"/>
  <c r="AY175" i="12"/>
  <c r="AY179" i="12"/>
  <c r="AY183" i="12"/>
  <c r="AY187" i="12"/>
  <c r="AY191" i="12"/>
  <c r="BF191" i="12" s="1"/>
  <c r="AY195" i="12"/>
  <c r="BF195" i="12" s="1"/>
  <c r="AY199" i="12"/>
  <c r="BF199" i="12" s="1"/>
  <c r="AY203" i="12"/>
  <c r="AY207" i="12"/>
  <c r="BF207" i="12" s="1"/>
  <c r="AY211" i="12"/>
  <c r="BF211" i="12" s="1"/>
  <c r="AY215" i="12"/>
  <c r="AY219" i="12"/>
  <c r="BF219" i="12" s="1"/>
  <c r="AY223" i="12"/>
  <c r="BF223" i="12" s="1"/>
  <c r="AY227" i="12"/>
  <c r="BF227" i="12" s="1"/>
  <c r="AY231" i="12"/>
  <c r="BF231" i="12" s="1"/>
  <c r="AY235" i="12"/>
  <c r="AY239" i="12"/>
  <c r="BF239" i="12" s="1"/>
  <c r="AY243" i="12"/>
  <c r="BF243" i="12" s="1"/>
  <c r="AY247" i="12"/>
  <c r="AY251" i="12"/>
  <c r="BF251" i="12" s="1"/>
  <c r="AY255" i="12"/>
  <c r="BF255" i="12" s="1"/>
  <c r="AY259" i="12"/>
  <c r="BF259" i="12" s="1"/>
  <c r="AY263" i="12"/>
  <c r="BF263" i="12" s="1"/>
  <c r="AY267" i="12"/>
  <c r="AY271" i="12"/>
  <c r="BF271" i="12" s="1"/>
  <c r="AY275" i="12"/>
  <c r="BF275" i="12" s="1"/>
  <c r="AY279" i="12"/>
  <c r="BF279" i="12" s="1"/>
  <c r="AY283" i="12"/>
  <c r="BF283" i="12" s="1"/>
  <c r="AY287" i="12"/>
  <c r="BF287" i="12" s="1"/>
  <c r="AY291" i="12"/>
  <c r="BF291" i="12" s="1"/>
  <c r="AY295" i="12"/>
  <c r="AY299" i="12"/>
  <c r="AY303" i="12"/>
  <c r="BF303" i="12" s="1"/>
  <c r="AY307" i="12"/>
  <c r="BF307" i="12" s="1"/>
  <c r="AY311" i="12"/>
  <c r="AY315" i="12"/>
  <c r="AY143" i="12"/>
  <c r="BF143" i="12" s="1"/>
  <c r="AY145" i="12"/>
  <c r="BF145" i="12" s="1"/>
  <c r="AY153" i="12"/>
  <c r="AY161" i="12"/>
  <c r="AY169" i="12"/>
  <c r="BF169" i="12" s="1"/>
  <c r="AY177" i="12"/>
  <c r="AY185" i="12"/>
  <c r="BF185" i="12" s="1"/>
  <c r="AY197" i="12"/>
  <c r="AY205" i="12"/>
  <c r="BF205" i="12" s="1"/>
  <c r="AY213" i="12"/>
  <c r="BF213" i="12" s="1"/>
  <c r="AY221" i="12"/>
  <c r="AY229" i="12"/>
  <c r="AY237" i="12"/>
  <c r="BF237" i="12" s="1"/>
  <c r="AY245" i="12"/>
  <c r="BF245" i="12" s="1"/>
  <c r="AY257" i="12"/>
  <c r="AY265" i="12"/>
  <c r="BF265" i="12" s="1"/>
  <c r="AY269" i="12"/>
  <c r="BF269" i="12" s="1"/>
  <c r="AY277" i="12"/>
  <c r="BF277" i="12" s="1"/>
  <c r="AY285" i="12"/>
  <c r="AY293" i="12"/>
  <c r="BF293" i="12" s="1"/>
  <c r="AY301" i="12"/>
  <c r="BF301" i="12" s="1"/>
  <c r="AY309" i="12"/>
  <c r="BF309" i="12" s="1"/>
  <c r="AY317" i="12"/>
  <c r="BF317" i="12" s="1"/>
  <c r="AY144" i="12"/>
  <c r="BF144" i="12" s="1"/>
  <c r="AY152" i="12"/>
  <c r="BF152" i="12" s="1"/>
  <c r="AY164" i="12"/>
  <c r="BF164" i="12" s="1"/>
  <c r="AY172" i="12"/>
  <c r="AY184" i="12"/>
  <c r="BF184" i="12" s="1"/>
  <c r="AY192" i="12"/>
  <c r="BF192" i="12" s="1"/>
  <c r="AY200" i="12"/>
  <c r="BF200" i="12" s="1"/>
  <c r="AY208" i="12"/>
  <c r="BF208" i="12" s="1"/>
  <c r="AY216" i="12"/>
  <c r="BF216" i="12" s="1"/>
  <c r="AY224" i="12"/>
  <c r="BF224" i="12" s="1"/>
  <c r="AY232" i="12"/>
  <c r="BF232" i="12" s="1"/>
  <c r="AY240" i="12"/>
  <c r="BF240" i="12" s="1"/>
  <c r="AY248" i="12"/>
  <c r="BF248" i="12" s="1"/>
  <c r="AY256" i="12"/>
  <c r="BF256" i="12" s="1"/>
  <c r="AY264" i="12"/>
  <c r="BF264" i="12" s="1"/>
  <c r="AY272" i="12"/>
  <c r="BF272" i="12" s="1"/>
  <c r="AY280" i="12"/>
  <c r="AY288" i="12"/>
  <c r="AY292" i="12"/>
  <c r="AY300" i="12"/>
  <c r="AY308" i="12"/>
  <c r="AY316" i="12"/>
  <c r="BF316" i="12" s="1"/>
  <c r="AY146" i="12"/>
  <c r="BF146" i="12" s="1"/>
  <c r="AY150" i="12"/>
  <c r="AY154" i="12"/>
  <c r="AY158" i="12"/>
  <c r="BF158" i="12" s="1"/>
  <c r="AY162" i="12"/>
  <c r="BF162" i="12" s="1"/>
  <c r="AY166" i="12"/>
  <c r="AY170" i="12"/>
  <c r="AY174" i="12"/>
  <c r="BF174" i="12" s="1"/>
  <c r="AY178" i="12"/>
  <c r="BF178" i="12" s="1"/>
  <c r="AY182" i="12"/>
  <c r="BF182" i="12" s="1"/>
  <c r="AY186" i="12"/>
  <c r="BF186" i="12" s="1"/>
  <c r="AY190" i="12"/>
  <c r="BF190" i="12" s="1"/>
  <c r="AY194" i="12"/>
  <c r="BF194" i="12" s="1"/>
  <c r="AY198" i="12"/>
  <c r="BF198" i="12" s="1"/>
  <c r="AY202" i="12"/>
  <c r="BF202" i="12" s="1"/>
  <c r="AY206" i="12"/>
  <c r="BF206" i="12" s="1"/>
  <c r="AY210" i="12"/>
  <c r="BF210" i="12" s="1"/>
  <c r="AY214" i="12"/>
  <c r="BF214" i="12" s="1"/>
  <c r="AY218" i="12"/>
  <c r="BF218" i="12" s="1"/>
  <c r="AY222" i="12"/>
  <c r="BF222" i="12" s="1"/>
  <c r="AY226" i="12"/>
  <c r="BF226" i="12" s="1"/>
  <c r="AY230" i="12"/>
  <c r="BF230" i="12" s="1"/>
  <c r="AY234" i="12"/>
  <c r="BF234" i="12" s="1"/>
  <c r="AY238" i="12"/>
  <c r="BF238" i="12" s="1"/>
  <c r="AY242" i="12"/>
  <c r="BF242" i="12" s="1"/>
  <c r="AY246" i="12"/>
  <c r="BF246" i="12" s="1"/>
  <c r="AY250" i="12"/>
  <c r="BF250" i="12" s="1"/>
  <c r="AY254" i="12"/>
  <c r="BF254" i="12" s="1"/>
  <c r="AY258" i="12"/>
  <c r="BF258" i="12" s="1"/>
  <c r="AY262" i="12"/>
  <c r="BF262" i="12" s="1"/>
  <c r="AY266" i="12"/>
  <c r="BF266" i="12" s="1"/>
  <c r="AY270" i="12"/>
  <c r="BF270" i="12" s="1"/>
  <c r="AY274" i="12"/>
  <c r="BF274" i="12" s="1"/>
  <c r="AY278" i="12"/>
  <c r="AY282" i="12"/>
  <c r="AY286" i="12"/>
  <c r="BF286" i="12" s="1"/>
  <c r="AY290" i="12"/>
  <c r="BF290" i="12" s="1"/>
  <c r="AY294" i="12"/>
  <c r="AY298" i="12"/>
  <c r="BF298" i="12" s="1"/>
  <c r="AY302" i="12"/>
  <c r="BF302" i="12" s="1"/>
  <c r="AY306" i="12"/>
  <c r="BF306" i="12" s="1"/>
  <c r="AY310" i="12"/>
  <c r="AY314" i="12"/>
  <c r="AY318" i="12"/>
  <c r="BF318" i="12" s="1"/>
  <c r="AY149" i="12"/>
  <c r="BF149" i="12" s="1"/>
  <c r="AY157" i="12"/>
  <c r="AY165" i="12"/>
  <c r="AY173" i="12"/>
  <c r="AY181" i="12"/>
  <c r="AY189" i="12"/>
  <c r="AY193" i="12"/>
  <c r="AY201" i="12"/>
  <c r="BF201" i="12" s="1"/>
  <c r="AY209" i="12"/>
  <c r="BF209" i="12" s="1"/>
  <c r="AY217" i="12"/>
  <c r="BF217" i="12" s="1"/>
  <c r="AY225" i="12"/>
  <c r="AY233" i="12"/>
  <c r="BF233" i="12" s="1"/>
  <c r="AY241" i="12"/>
  <c r="BF241" i="12" s="1"/>
  <c r="AY249" i="12"/>
  <c r="BF249" i="12" s="1"/>
  <c r="AY253" i="12"/>
  <c r="BF253" i="12" s="1"/>
  <c r="AY261" i="12"/>
  <c r="BF261" i="12" s="1"/>
  <c r="AY273" i="12"/>
  <c r="BF273" i="12" s="1"/>
  <c r="AY281" i="12"/>
  <c r="AY289" i="12"/>
  <c r="BF289" i="12" s="1"/>
  <c r="AY297" i="12"/>
  <c r="BF297" i="12" s="1"/>
  <c r="AY305" i="12"/>
  <c r="BF305" i="12" s="1"/>
  <c r="AY313" i="12"/>
  <c r="BF313" i="12" s="1"/>
  <c r="AY148" i="12"/>
  <c r="BF148" i="12" s="1"/>
  <c r="AY156" i="12"/>
  <c r="BF156" i="12" s="1"/>
  <c r="AY160" i="12"/>
  <c r="BF160" i="12" s="1"/>
  <c r="AY168" i="12"/>
  <c r="BF168" i="12" s="1"/>
  <c r="AY176" i="12"/>
  <c r="BF176" i="12" s="1"/>
  <c r="AY180" i="12"/>
  <c r="BF180" i="12" s="1"/>
  <c r="AY188" i="12"/>
  <c r="BF188" i="12" s="1"/>
  <c r="AY196" i="12"/>
  <c r="AY204" i="12"/>
  <c r="AY212" i="12"/>
  <c r="BF212" i="12" s="1"/>
  <c r="AY220" i="12"/>
  <c r="BF220" i="12" s="1"/>
  <c r="AY228" i="12"/>
  <c r="AY236" i="12"/>
  <c r="AY244" i="12"/>
  <c r="BF244" i="12" s="1"/>
  <c r="AY252" i="12"/>
  <c r="BF252" i="12" s="1"/>
  <c r="AY260" i="12"/>
  <c r="AY268" i="12"/>
  <c r="AY276" i="12"/>
  <c r="AY284" i="12"/>
  <c r="AY296" i="12"/>
  <c r="AY304" i="12"/>
  <c r="AY312" i="12"/>
  <c r="BF312" i="12" s="1"/>
  <c r="B93" i="11"/>
  <c r="AZ136" i="11"/>
  <c r="B77" i="13"/>
  <c r="H105" i="14" s="1"/>
  <c r="AP136" i="13"/>
  <c r="AO147" i="12"/>
  <c r="AV147" i="12" s="1"/>
  <c r="AO151" i="12"/>
  <c r="AV151" i="12" s="1"/>
  <c r="AO155" i="12"/>
  <c r="AV155" i="12" s="1"/>
  <c r="AO159" i="12"/>
  <c r="AV159" i="12" s="1"/>
  <c r="AO163" i="12"/>
  <c r="AV163" i="12" s="1"/>
  <c r="AO167" i="12"/>
  <c r="AV167" i="12" s="1"/>
  <c r="AO171" i="12"/>
  <c r="AO175" i="12"/>
  <c r="AV175" i="12" s="1"/>
  <c r="AO179" i="12"/>
  <c r="AO183" i="12"/>
  <c r="AV183" i="12" s="1"/>
  <c r="AO187" i="12"/>
  <c r="AO191" i="12"/>
  <c r="AV191" i="12" s="1"/>
  <c r="AO195" i="12"/>
  <c r="AV195" i="12" s="1"/>
  <c r="AO199" i="12"/>
  <c r="AV199" i="12" s="1"/>
  <c r="AO203" i="12"/>
  <c r="AV203" i="12" s="1"/>
  <c r="AO207" i="12"/>
  <c r="AV207" i="12" s="1"/>
  <c r="AO211" i="12"/>
  <c r="AV211" i="12" s="1"/>
  <c r="AO215" i="12"/>
  <c r="AV215" i="12" s="1"/>
  <c r="AO219" i="12"/>
  <c r="AO223" i="12"/>
  <c r="AV223" i="12" s="1"/>
  <c r="AO227" i="12"/>
  <c r="AV227" i="12" s="1"/>
  <c r="AO231" i="12"/>
  <c r="AV231" i="12" s="1"/>
  <c r="AO235" i="12"/>
  <c r="AO239" i="12"/>
  <c r="AV239" i="12" s="1"/>
  <c r="AO243" i="12"/>
  <c r="AV243" i="12" s="1"/>
  <c r="AO247" i="12"/>
  <c r="AV247" i="12" s="1"/>
  <c r="AO251" i="12"/>
  <c r="AO255" i="12"/>
  <c r="AV255" i="12" s="1"/>
  <c r="AO259" i="12"/>
  <c r="AV259" i="12" s="1"/>
  <c r="AO263" i="12"/>
  <c r="AV263" i="12" s="1"/>
  <c r="AO267" i="12"/>
  <c r="AV267" i="12" s="1"/>
  <c r="AO271" i="12"/>
  <c r="AV271" i="12" s="1"/>
  <c r="AO275" i="12"/>
  <c r="AV275" i="12" s="1"/>
  <c r="AO279" i="12"/>
  <c r="AV279" i="12" s="1"/>
  <c r="AO283" i="12"/>
  <c r="AO287" i="12"/>
  <c r="AV287" i="12" s="1"/>
  <c r="AO291" i="12"/>
  <c r="AV291" i="12" s="1"/>
  <c r="AO295" i="12"/>
  <c r="AV295" i="12" s="1"/>
  <c r="AO299" i="12"/>
  <c r="AV299" i="12" s="1"/>
  <c r="AO303" i="12"/>
  <c r="AV303" i="12" s="1"/>
  <c r="AO307" i="12"/>
  <c r="AV307" i="12" s="1"/>
  <c r="AO311" i="12"/>
  <c r="AV311" i="12" s="1"/>
  <c r="AO315" i="12"/>
  <c r="AV315" i="12" s="1"/>
  <c r="AO150" i="12"/>
  <c r="AO158" i="12"/>
  <c r="AV158" i="12" s="1"/>
  <c r="AO166" i="12"/>
  <c r="AV166" i="12" s="1"/>
  <c r="AO174" i="12"/>
  <c r="AO182" i="12"/>
  <c r="AV182" i="12" s="1"/>
  <c r="AO190" i="12"/>
  <c r="AV190" i="12" s="1"/>
  <c r="AO198" i="12"/>
  <c r="AV198" i="12" s="1"/>
  <c r="AO206" i="12"/>
  <c r="AV206" i="12" s="1"/>
  <c r="AO214" i="12"/>
  <c r="AV214" i="12" s="1"/>
  <c r="AO226" i="12"/>
  <c r="AO234" i="12"/>
  <c r="AV234" i="12" s="1"/>
  <c r="AO242" i="12"/>
  <c r="AO250" i="12"/>
  <c r="AV250" i="12" s="1"/>
  <c r="AO258" i="12"/>
  <c r="AV258" i="12" s="1"/>
  <c r="AO266" i="12"/>
  <c r="AV266" i="12" s="1"/>
  <c r="AO278" i="12"/>
  <c r="AO286" i="12"/>
  <c r="AV286" i="12" s="1"/>
  <c r="AO294" i="12"/>
  <c r="AV294" i="12" s="1"/>
  <c r="AO302" i="12"/>
  <c r="AV302" i="12" s="1"/>
  <c r="AO310" i="12"/>
  <c r="AO314" i="12"/>
  <c r="AV314" i="12" s="1"/>
  <c r="AO149" i="12"/>
  <c r="AV149" i="12" s="1"/>
  <c r="AO157" i="12"/>
  <c r="AO165" i="12"/>
  <c r="AV165" i="12" s="1"/>
  <c r="AO177" i="12"/>
  <c r="AV177" i="12" s="1"/>
  <c r="AO185" i="12"/>
  <c r="AV185" i="12" s="1"/>
  <c r="AO193" i="12"/>
  <c r="AV193" i="12" s="1"/>
  <c r="AO201" i="12"/>
  <c r="AO209" i="12"/>
  <c r="AV209" i="12" s="1"/>
  <c r="AO217" i="12"/>
  <c r="AV217" i="12" s="1"/>
  <c r="AO225" i="12"/>
  <c r="AV225" i="12" s="1"/>
  <c r="AO233" i="12"/>
  <c r="AO241" i="12"/>
  <c r="AV241" i="12" s="1"/>
  <c r="AO249" i="12"/>
  <c r="AV249" i="12" s="1"/>
  <c r="AO257" i="12"/>
  <c r="AO265" i="12"/>
  <c r="AO273" i="12"/>
  <c r="AV273" i="12" s="1"/>
  <c r="AO281" i="12"/>
  <c r="AV281" i="12" s="1"/>
  <c r="AO289" i="12"/>
  <c r="AV289" i="12" s="1"/>
  <c r="AO297" i="12"/>
  <c r="AO305" i="12"/>
  <c r="AV305" i="12" s="1"/>
  <c r="AO313" i="12"/>
  <c r="AV313" i="12" s="1"/>
  <c r="AO144" i="12"/>
  <c r="AV144" i="12" s="1"/>
  <c r="AO148" i="12"/>
  <c r="AO152" i="12"/>
  <c r="AO156" i="12"/>
  <c r="AV156" i="12" s="1"/>
  <c r="AO160" i="12"/>
  <c r="AV160" i="12" s="1"/>
  <c r="AO164" i="12"/>
  <c r="AV164" i="12" s="1"/>
  <c r="AO168" i="12"/>
  <c r="AV168" i="12" s="1"/>
  <c r="AO172" i="12"/>
  <c r="AV172" i="12" s="1"/>
  <c r="AO176" i="12"/>
  <c r="AV176" i="12" s="1"/>
  <c r="AO180" i="12"/>
  <c r="AV180" i="12" s="1"/>
  <c r="AO184" i="12"/>
  <c r="AV184" i="12" s="1"/>
  <c r="AO188" i="12"/>
  <c r="AV188" i="12" s="1"/>
  <c r="AO192" i="12"/>
  <c r="AV192" i="12" s="1"/>
  <c r="AO196" i="12"/>
  <c r="AV196" i="12" s="1"/>
  <c r="AO200" i="12"/>
  <c r="AV200" i="12" s="1"/>
  <c r="AO204" i="12"/>
  <c r="AV204" i="12" s="1"/>
  <c r="AO208" i="12"/>
  <c r="AV208" i="12" s="1"/>
  <c r="AO212" i="12"/>
  <c r="AO216" i="12"/>
  <c r="AV216" i="12" s="1"/>
  <c r="AO220" i="12"/>
  <c r="AV220" i="12" s="1"/>
  <c r="AO224" i="12"/>
  <c r="AV224" i="12" s="1"/>
  <c r="AO228" i="12"/>
  <c r="AO232" i="12"/>
  <c r="AV232" i="12" s="1"/>
  <c r="AO236" i="12"/>
  <c r="AV236" i="12" s="1"/>
  <c r="AO240" i="12"/>
  <c r="AV240" i="12" s="1"/>
  <c r="AO244" i="12"/>
  <c r="AO248" i="12"/>
  <c r="AV248" i="12" s="1"/>
  <c r="AO252" i="12"/>
  <c r="AV252" i="12" s="1"/>
  <c r="AO256" i="12"/>
  <c r="AV256" i="12" s="1"/>
  <c r="AO260" i="12"/>
  <c r="AV260" i="12" s="1"/>
  <c r="AO264" i="12"/>
  <c r="AV264" i="12" s="1"/>
  <c r="AO268" i="12"/>
  <c r="AV268" i="12" s="1"/>
  <c r="AO272" i="12"/>
  <c r="AV272" i="12" s="1"/>
  <c r="AO276" i="12"/>
  <c r="AV276" i="12" s="1"/>
  <c r="AO280" i="12"/>
  <c r="AO284" i="12"/>
  <c r="AV284" i="12" s="1"/>
  <c r="AO288" i="12"/>
  <c r="AV288" i="12" s="1"/>
  <c r="AO292" i="12"/>
  <c r="AV292" i="12" s="1"/>
  <c r="AO296" i="12"/>
  <c r="AV296" i="12" s="1"/>
  <c r="AO300" i="12"/>
  <c r="AV300" i="12" s="1"/>
  <c r="AO304" i="12"/>
  <c r="AV304" i="12" s="1"/>
  <c r="AO308" i="12"/>
  <c r="AO312" i="12"/>
  <c r="AV312" i="12" s="1"/>
  <c r="AO316" i="12"/>
  <c r="AV316" i="12" s="1"/>
  <c r="AO143" i="12"/>
  <c r="AO146" i="12"/>
  <c r="AO154" i="12"/>
  <c r="AV154" i="12" s="1"/>
  <c r="AO162" i="12"/>
  <c r="AV162" i="12" s="1"/>
  <c r="AO170" i="12"/>
  <c r="AV170" i="12" s="1"/>
  <c r="AO178" i="12"/>
  <c r="AO186" i="12"/>
  <c r="AV186" i="12" s="1"/>
  <c r="AO194" i="12"/>
  <c r="AO202" i="12"/>
  <c r="AV202" i="12" s="1"/>
  <c r="AO210" i="12"/>
  <c r="AV210" i="12" s="1"/>
  <c r="AO218" i="12"/>
  <c r="AO222" i="12"/>
  <c r="AV222" i="12" s="1"/>
  <c r="AO230" i="12"/>
  <c r="AO238" i="12"/>
  <c r="AV238" i="12" s="1"/>
  <c r="AO246" i="12"/>
  <c r="AV246" i="12" s="1"/>
  <c r="AO254" i="12"/>
  <c r="AV254" i="12" s="1"/>
  <c r="AO262" i="12"/>
  <c r="AV262" i="12" s="1"/>
  <c r="AO270" i="12"/>
  <c r="AO274" i="12"/>
  <c r="AO282" i="12"/>
  <c r="AV282" i="12" s="1"/>
  <c r="AO290" i="12"/>
  <c r="AV290" i="12" s="1"/>
  <c r="AO298" i="12"/>
  <c r="AV298" i="12" s="1"/>
  <c r="AO306" i="12"/>
  <c r="AV306" i="12" s="1"/>
  <c r="AO318" i="12"/>
  <c r="AV318" i="12" s="1"/>
  <c r="AO145" i="12"/>
  <c r="AV145" i="12" s="1"/>
  <c r="AO153" i="12"/>
  <c r="AO161" i="12"/>
  <c r="AV161" i="12" s="1"/>
  <c r="AO169" i="12"/>
  <c r="AV169" i="12" s="1"/>
  <c r="AO173" i="12"/>
  <c r="AV173" i="12" s="1"/>
  <c r="AO181" i="12"/>
  <c r="AO189" i="12"/>
  <c r="AV189" i="12" s="1"/>
  <c r="AO197" i="12"/>
  <c r="AV197" i="12" s="1"/>
  <c r="AO205" i="12"/>
  <c r="AV205" i="12" s="1"/>
  <c r="AO213" i="12"/>
  <c r="AO221" i="12"/>
  <c r="AV221" i="12" s="1"/>
  <c r="AO229" i="12"/>
  <c r="AV229" i="12" s="1"/>
  <c r="AO237" i="12"/>
  <c r="AV237" i="12" s="1"/>
  <c r="AO245" i="12"/>
  <c r="AV245" i="12" s="1"/>
  <c r="AO253" i="12"/>
  <c r="AV253" i="12" s="1"/>
  <c r="AO261" i="12"/>
  <c r="AV261" i="12" s="1"/>
  <c r="AO269" i="12"/>
  <c r="AV269" i="12" s="1"/>
  <c r="AO277" i="12"/>
  <c r="AO285" i="12"/>
  <c r="AV285" i="12" s="1"/>
  <c r="AO293" i="12"/>
  <c r="AV293" i="12" s="1"/>
  <c r="AO301" i="12"/>
  <c r="AV301" i="12" s="1"/>
  <c r="AO309" i="12"/>
  <c r="AO317" i="12"/>
  <c r="AO146" i="11"/>
  <c r="AO150" i="11"/>
  <c r="AO154" i="11"/>
  <c r="AO158" i="11"/>
  <c r="AO162" i="11"/>
  <c r="AO145" i="11"/>
  <c r="AO149" i="11"/>
  <c r="AO153" i="11"/>
  <c r="AO157" i="11"/>
  <c r="AO161" i="11"/>
  <c r="AO165" i="11"/>
  <c r="AO151" i="11"/>
  <c r="AO159" i="11"/>
  <c r="AO166" i="11"/>
  <c r="AO167" i="11"/>
  <c r="AO168" i="11"/>
  <c r="AO169" i="11"/>
  <c r="AO170" i="11"/>
  <c r="AO171" i="11"/>
  <c r="AO172" i="11"/>
  <c r="AO173" i="11"/>
  <c r="AO174" i="11"/>
  <c r="AO175" i="11"/>
  <c r="AO176" i="11"/>
  <c r="AO177" i="11"/>
  <c r="AO178" i="11"/>
  <c r="AO179" i="11"/>
  <c r="AO180" i="11"/>
  <c r="AO181" i="11"/>
  <c r="AO182" i="11"/>
  <c r="AO183" i="11"/>
  <c r="AO184" i="11"/>
  <c r="AO185" i="11"/>
  <c r="AO186" i="11"/>
  <c r="AO187" i="11"/>
  <c r="AO188" i="11"/>
  <c r="AO189" i="11"/>
  <c r="AO190" i="11"/>
  <c r="AO191" i="11"/>
  <c r="AO192" i="11"/>
  <c r="AO193" i="11"/>
  <c r="AO194" i="11"/>
  <c r="AO195" i="11"/>
  <c r="AO196" i="11"/>
  <c r="AO197" i="11"/>
  <c r="AO198" i="11"/>
  <c r="AO199" i="11"/>
  <c r="AO200" i="11"/>
  <c r="AO201" i="11"/>
  <c r="AO202" i="11"/>
  <c r="AO203" i="11"/>
  <c r="AO204" i="11"/>
  <c r="AO205" i="11"/>
  <c r="AO206" i="11"/>
  <c r="AO207" i="11"/>
  <c r="AO208" i="11"/>
  <c r="AO209" i="11"/>
  <c r="AO210" i="11"/>
  <c r="AO211" i="11"/>
  <c r="AO212" i="11"/>
  <c r="AO213" i="11"/>
  <c r="AO214" i="11"/>
  <c r="AO215" i="11"/>
  <c r="AO216" i="11"/>
  <c r="AO217" i="11"/>
  <c r="AO218" i="11"/>
  <c r="AO219" i="11"/>
  <c r="AO220" i="11"/>
  <c r="AO221" i="11"/>
  <c r="AO222" i="11"/>
  <c r="AO223" i="11"/>
  <c r="AO224" i="11"/>
  <c r="AO225" i="11"/>
  <c r="AO226" i="11"/>
  <c r="AO227" i="11"/>
  <c r="AO228" i="11"/>
  <c r="AO229" i="11"/>
  <c r="AO230" i="11"/>
  <c r="AO231" i="11"/>
  <c r="AO232" i="11"/>
  <c r="AO233" i="11"/>
  <c r="AO234" i="11"/>
  <c r="AO235" i="11"/>
  <c r="AO236" i="11"/>
  <c r="AO237" i="11"/>
  <c r="AO238" i="11"/>
  <c r="AO239" i="11"/>
  <c r="AO240" i="11"/>
  <c r="AO241" i="11"/>
  <c r="AO242" i="11"/>
  <c r="AO243" i="11"/>
  <c r="AO244" i="11"/>
  <c r="AO245" i="11"/>
  <c r="AO246" i="11"/>
  <c r="AO247" i="11"/>
  <c r="AO248" i="11"/>
  <c r="AO249" i="11"/>
  <c r="AO250" i="11"/>
  <c r="AO251" i="11"/>
  <c r="AO252" i="11"/>
  <c r="AO253" i="11"/>
  <c r="AO254" i="11"/>
  <c r="AO255" i="11"/>
  <c r="AO256" i="11"/>
  <c r="AO257" i="11"/>
  <c r="AO258" i="11"/>
  <c r="AO259" i="11"/>
  <c r="AO260" i="11"/>
  <c r="AO261" i="11"/>
  <c r="AO262" i="11"/>
  <c r="AO263" i="11"/>
  <c r="AO264" i="11"/>
  <c r="AO265" i="11"/>
  <c r="AO266" i="11"/>
  <c r="AO267" i="11"/>
  <c r="AO268" i="11"/>
  <c r="AO269" i="11"/>
  <c r="AO270" i="11"/>
  <c r="AO271" i="11"/>
  <c r="AO272" i="11"/>
  <c r="AO273" i="11"/>
  <c r="AO274" i="11"/>
  <c r="AO275" i="11"/>
  <c r="AO276" i="11"/>
  <c r="AO277" i="11"/>
  <c r="AO278" i="11"/>
  <c r="AO279" i="11"/>
  <c r="AO280" i="11"/>
  <c r="AO281" i="11"/>
  <c r="AO282" i="11"/>
  <c r="AO283" i="11"/>
  <c r="AO284" i="11"/>
  <c r="AO285" i="11"/>
  <c r="AO286" i="11"/>
  <c r="AO287" i="11"/>
  <c r="AO288" i="11"/>
  <c r="AO289" i="11"/>
  <c r="AO290" i="11"/>
  <c r="AO143" i="11"/>
  <c r="AO147" i="11"/>
  <c r="AO163" i="11"/>
  <c r="AO292" i="11"/>
  <c r="AO296" i="11"/>
  <c r="AO297" i="11"/>
  <c r="AO148" i="11"/>
  <c r="AO156" i="11"/>
  <c r="AO164" i="11"/>
  <c r="AO155" i="11"/>
  <c r="AO291" i="11"/>
  <c r="AO293" i="11"/>
  <c r="AO294" i="11"/>
  <c r="AO295" i="11"/>
  <c r="AO144" i="11"/>
  <c r="AO298" i="11"/>
  <c r="AO299" i="11"/>
  <c r="AO300" i="11"/>
  <c r="AO301" i="11"/>
  <c r="AO302" i="11"/>
  <c r="AO303" i="11"/>
  <c r="AO304" i="11"/>
  <c r="AO305" i="11"/>
  <c r="AO306" i="11"/>
  <c r="AO307" i="11"/>
  <c r="AO308" i="11"/>
  <c r="AO309" i="11"/>
  <c r="AO310" i="11"/>
  <c r="AO311" i="11"/>
  <c r="AO312" i="11"/>
  <c r="AO313" i="11"/>
  <c r="AO314" i="11"/>
  <c r="AO315" i="11"/>
  <c r="AO316" i="11"/>
  <c r="AO317" i="11"/>
  <c r="AO318" i="11"/>
  <c r="AO160" i="11"/>
  <c r="AO152" i="11"/>
  <c r="AE144" i="13"/>
  <c r="AL144" i="13" s="1"/>
  <c r="AE148" i="13"/>
  <c r="AL148" i="13" s="1"/>
  <c r="AE152" i="13"/>
  <c r="AL152" i="13" s="1"/>
  <c r="AE156" i="13"/>
  <c r="AL156" i="13" s="1"/>
  <c r="AE160" i="13"/>
  <c r="AL160" i="13" s="1"/>
  <c r="AE164" i="13"/>
  <c r="AL164" i="13" s="1"/>
  <c r="AE168" i="13"/>
  <c r="AL168" i="13" s="1"/>
  <c r="AE172" i="13"/>
  <c r="AL172" i="13" s="1"/>
  <c r="AE176" i="13"/>
  <c r="AL176" i="13" s="1"/>
  <c r="AE180" i="13"/>
  <c r="AL180" i="13" s="1"/>
  <c r="AE184" i="13"/>
  <c r="AL184" i="13" s="1"/>
  <c r="AE188" i="13"/>
  <c r="AL188" i="13" s="1"/>
  <c r="AE192" i="13"/>
  <c r="AL192" i="13" s="1"/>
  <c r="AE196" i="13"/>
  <c r="AL196" i="13" s="1"/>
  <c r="AE200" i="13"/>
  <c r="AL200" i="13" s="1"/>
  <c r="AE204" i="13"/>
  <c r="AL204" i="13" s="1"/>
  <c r="AE208" i="13"/>
  <c r="AE212" i="13"/>
  <c r="AL212" i="13" s="1"/>
  <c r="AE216" i="13"/>
  <c r="AL216" i="13" s="1"/>
  <c r="AE220" i="13"/>
  <c r="AL220" i="13" s="1"/>
  <c r="AE224" i="13"/>
  <c r="AE228" i="13"/>
  <c r="AL228" i="13" s="1"/>
  <c r="AE232" i="13"/>
  <c r="AL232" i="13" s="1"/>
  <c r="AE236" i="13"/>
  <c r="AL236" i="13" s="1"/>
  <c r="AE240" i="13"/>
  <c r="AE244" i="13"/>
  <c r="AL244" i="13" s="1"/>
  <c r="AE248" i="13"/>
  <c r="AL248" i="13" s="1"/>
  <c r="AE252" i="13"/>
  <c r="AE256" i="13"/>
  <c r="AL256" i="13" s="1"/>
  <c r="AE260" i="13"/>
  <c r="AL260" i="13" s="1"/>
  <c r="AE264" i="13"/>
  <c r="AL264" i="13" s="1"/>
  <c r="AE268" i="13"/>
  <c r="AL268" i="13" s="1"/>
  <c r="AE272" i="13"/>
  <c r="AL272" i="13" s="1"/>
  <c r="AE276" i="13"/>
  <c r="AL276" i="13" s="1"/>
  <c r="AE280" i="13"/>
  <c r="AL280" i="13" s="1"/>
  <c r="AE284" i="13"/>
  <c r="AL284" i="13" s="1"/>
  <c r="AE288" i="13"/>
  <c r="AL288" i="13" s="1"/>
  <c r="AE292" i="13"/>
  <c r="AL292" i="13" s="1"/>
  <c r="AE296" i="13"/>
  <c r="AL296" i="13" s="1"/>
  <c r="AE300" i="13"/>
  <c r="AL300" i="13" s="1"/>
  <c r="AE304" i="13"/>
  <c r="AE308" i="13"/>
  <c r="AL308" i="13" s="1"/>
  <c r="AE312" i="13"/>
  <c r="AL312" i="13" s="1"/>
  <c r="AE316" i="13"/>
  <c r="AL316" i="13" s="1"/>
  <c r="AE146" i="13"/>
  <c r="AL146" i="13" s="1"/>
  <c r="AE154" i="13"/>
  <c r="AL154" i="13" s="1"/>
  <c r="AE162" i="13"/>
  <c r="AL162" i="13" s="1"/>
  <c r="AE174" i="13"/>
  <c r="AL174" i="13" s="1"/>
  <c r="AE182" i="13"/>
  <c r="AL182" i="13" s="1"/>
  <c r="AE190" i="13"/>
  <c r="AL190" i="13" s="1"/>
  <c r="AE198" i="13"/>
  <c r="AL198" i="13" s="1"/>
  <c r="AE206" i="13"/>
  <c r="AL206" i="13" s="1"/>
  <c r="AE214" i="13"/>
  <c r="AL214" i="13" s="1"/>
  <c r="AE222" i="13"/>
  <c r="AL222" i="13" s="1"/>
  <c r="AE230" i="13"/>
  <c r="AL230" i="13" s="1"/>
  <c r="AE238" i="13"/>
  <c r="AL238" i="13" s="1"/>
  <c r="AE246" i="13"/>
  <c r="AE254" i="13"/>
  <c r="AL254" i="13" s="1"/>
  <c r="AE262" i="13"/>
  <c r="AL262" i="13" s="1"/>
  <c r="AE270" i="13"/>
  <c r="AL270" i="13" s="1"/>
  <c r="AE278" i="13"/>
  <c r="AE282" i="13"/>
  <c r="AL282" i="13" s="1"/>
  <c r="AE290" i="13"/>
  <c r="AL290" i="13" s="1"/>
  <c r="AE298" i="13"/>
  <c r="AL298" i="13" s="1"/>
  <c r="AE306" i="13"/>
  <c r="AL306" i="13" s="1"/>
  <c r="AE314" i="13"/>
  <c r="AL314" i="13" s="1"/>
  <c r="AE318" i="13"/>
  <c r="AL318" i="13" s="1"/>
  <c r="AE149" i="13"/>
  <c r="AL149" i="13" s="1"/>
  <c r="AE157" i="13"/>
  <c r="AE165" i="13"/>
  <c r="AL165" i="13" s="1"/>
  <c r="AE173" i="13"/>
  <c r="AL173" i="13" s="1"/>
  <c r="AE181" i="13"/>
  <c r="AL181" i="13" s="1"/>
  <c r="AE189" i="13"/>
  <c r="AL189" i="13" s="1"/>
  <c r="AE197" i="13"/>
  <c r="AL197" i="13" s="1"/>
  <c r="AE205" i="13"/>
  <c r="AL205" i="13" s="1"/>
  <c r="AE213" i="13"/>
  <c r="AL213" i="13" s="1"/>
  <c r="AE221" i="13"/>
  <c r="AL221" i="13" s="1"/>
  <c r="AE225" i="13"/>
  <c r="AL225" i="13" s="1"/>
  <c r="AE233" i="13"/>
  <c r="AE241" i="13"/>
  <c r="AL241" i="13" s="1"/>
  <c r="AE249" i="13"/>
  <c r="AL249" i="13" s="1"/>
  <c r="AE253" i="13"/>
  <c r="AL253" i="13" s="1"/>
  <c r="AE261" i="13"/>
  <c r="AL261" i="13" s="1"/>
  <c r="AE269" i="13"/>
  <c r="AL269" i="13" s="1"/>
  <c r="AE277" i="13"/>
  <c r="AL277" i="13" s="1"/>
  <c r="AE285" i="13"/>
  <c r="AL285" i="13" s="1"/>
  <c r="AE297" i="13"/>
  <c r="AE305" i="13"/>
  <c r="AE313" i="13"/>
  <c r="AL313" i="13" s="1"/>
  <c r="AE317" i="13"/>
  <c r="AE147" i="13"/>
  <c r="AL147" i="13" s="1"/>
  <c r="AE151" i="13"/>
  <c r="AL151" i="13" s="1"/>
  <c r="AE155" i="13"/>
  <c r="AE159" i="13"/>
  <c r="AL159" i="13" s="1"/>
  <c r="AE163" i="13"/>
  <c r="AL163" i="13" s="1"/>
  <c r="AE167" i="13"/>
  <c r="AL167" i="13" s="1"/>
  <c r="AE171" i="13"/>
  <c r="AL171" i="13" s="1"/>
  <c r="AE175" i="13"/>
  <c r="AL175" i="13" s="1"/>
  <c r="AE179" i="13"/>
  <c r="AL179" i="13" s="1"/>
  <c r="AE183" i="13"/>
  <c r="AL183" i="13" s="1"/>
  <c r="AE187" i="13"/>
  <c r="AL187" i="13" s="1"/>
  <c r="AE191" i="13"/>
  <c r="AL191" i="13" s="1"/>
  <c r="AE195" i="13"/>
  <c r="AE199" i="13"/>
  <c r="AL199" i="13" s="1"/>
  <c r="AE203" i="13"/>
  <c r="AL203" i="13" s="1"/>
  <c r="AE207" i="13"/>
  <c r="AL207" i="13" s="1"/>
  <c r="AE211" i="13"/>
  <c r="AL211" i="13" s="1"/>
  <c r="AE215" i="13"/>
  <c r="AL215" i="13" s="1"/>
  <c r="AE219" i="13"/>
  <c r="AE223" i="13"/>
  <c r="AL223" i="13" s="1"/>
  <c r="AE227" i="13"/>
  <c r="AE231" i="13"/>
  <c r="AL231" i="13" s="1"/>
  <c r="AE235" i="13"/>
  <c r="AL235" i="13" s="1"/>
  <c r="AE239" i="13"/>
  <c r="AL239" i="13" s="1"/>
  <c r="AE243" i="13"/>
  <c r="AL243" i="13" s="1"/>
  <c r="AE247" i="13"/>
  <c r="AL247" i="13" s="1"/>
  <c r="AE251" i="13"/>
  <c r="AE255" i="13"/>
  <c r="AL255" i="13" s="1"/>
  <c r="AE259" i="13"/>
  <c r="AL259" i="13" s="1"/>
  <c r="AE263" i="13"/>
  <c r="AL263" i="13" s="1"/>
  <c r="AE267" i="13"/>
  <c r="AL267" i="13" s="1"/>
  <c r="AE271" i="13"/>
  <c r="AL271" i="13" s="1"/>
  <c r="AE275" i="13"/>
  <c r="AE279" i="13"/>
  <c r="AL279" i="13" s="1"/>
  <c r="AE283" i="13"/>
  <c r="AL283" i="13" s="1"/>
  <c r="AE287" i="13"/>
  <c r="AL287" i="13" s="1"/>
  <c r="AE291" i="13"/>
  <c r="AE295" i="13"/>
  <c r="AL295" i="13" s="1"/>
  <c r="AE299" i="13"/>
  <c r="AE303" i="13"/>
  <c r="AL303" i="13" s="1"/>
  <c r="AE307" i="13"/>
  <c r="AL307" i="13" s="1"/>
  <c r="AE311" i="13"/>
  <c r="AL311" i="13" s="1"/>
  <c r="AE315" i="13"/>
  <c r="AL315" i="13" s="1"/>
  <c r="AE143" i="13"/>
  <c r="AE150" i="13"/>
  <c r="AL150" i="13" s="1"/>
  <c r="AE158" i="13"/>
  <c r="AL158" i="13" s="1"/>
  <c r="AE166" i="13"/>
  <c r="AL166" i="13" s="1"/>
  <c r="AE170" i="13"/>
  <c r="AL170" i="13" s="1"/>
  <c r="AE178" i="13"/>
  <c r="AL178" i="13" s="1"/>
  <c r="AE186" i="13"/>
  <c r="AL186" i="13" s="1"/>
  <c r="AE194" i="13"/>
  <c r="AL194" i="13" s="1"/>
  <c r="AE202" i="13"/>
  <c r="AL202" i="13" s="1"/>
  <c r="AE210" i="13"/>
  <c r="AL210" i="13" s="1"/>
  <c r="AE218" i="13"/>
  <c r="AL218" i="13" s="1"/>
  <c r="AE226" i="13"/>
  <c r="AL226" i="13" s="1"/>
  <c r="AE234" i="13"/>
  <c r="AL234" i="13" s="1"/>
  <c r="AE242" i="13"/>
  <c r="AL242" i="13" s="1"/>
  <c r="AE250" i="13"/>
  <c r="AL250" i="13" s="1"/>
  <c r="AE258" i="13"/>
  <c r="AE266" i="13"/>
  <c r="AL266" i="13" s="1"/>
  <c r="AE274" i="13"/>
  <c r="AL274" i="13" s="1"/>
  <c r="AE286" i="13"/>
  <c r="AL286" i="13" s="1"/>
  <c r="AE294" i="13"/>
  <c r="AE302" i="13"/>
  <c r="AL302" i="13" s="1"/>
  <c r="AE310" i="13"/>
  <c r="AL310" i="13" s="1"/>
  <c r="AE145" i="13"/>
  <c r="AL145" i="13" s="1"/>
  <c r="AE153" i="13"/>
  <c r="AL153" i="13" s="1"/>
  <c r="AE161" i="13"/>
  <c r="AL161" i="13" s="1"/>
  <c r="AE169" i="13"/>
  <c r="AL169" i="13" s="1"/>
  <c r="AE177" i="13"/>
  <c r="AE185" i="13"/>
  <c r="AL185" i="13" s="1"/>
  <c r="AE193" i="13"/>
  <c r="AL193" i="13" s="1"/>
  <c r="AE201" i="13"/>
  <c r="AL201" i="13" s="1"/>
  <c r="AE209" i="13"/>
  <c r="AL209" i="13" s="1"/>
  <c r="AE217" i="13"/>
  <c r="AE229" i="13"/>
  <c r="AL229" i="13" s="1"/>
  <c r="AE237" i="13"/>
  <c r="AE245" i="13"/>
  <c r="AL245" i="13" s="1"/>
  <c r="AE257" i="13"/>
  <c r="AL257" i="13" s="1"/>
  <c r="AE265" i="13"/>
  <c r="AL265" i="13" s="1"/>
  <c r="AE273" i="13"/>
  <c r="AL273" i="13" s="1"/>
  <c r="AE281" i="13"/>
  <c r="AL281" i="13" s="1"/>
  <c r="AE289" i="13"/>
  <c r="AL289" i="13" s="1"/>
  <c r="AE293" i="13"/>
  <c r="AL293" i="13" s="1"/>
  <c r="AE301" i="13"/>
  <c r="AL301" i="13" s="1"/>
  <c r="AE309" i="13"/>
  <c r="AL309" i="13" s="1"/>
  <c r="G81" i="14"/>
  <c r="AF136" i="12"/>
  <c r="AE159" i="11"/>
  <c r="AE145" i="11"/>
  <c r="AE146" i="11"/>
  <c r="AE147" i="11"/>
  <c r="AE148" i="11"/>
  <c r="AE149" i="11"/>
  <c r="AE150" i="11"/>
  <c r="AE151" i="11"/>
  <c r="AE152" i="11"/>
  <c r="AE153" i="11"/>
  <c r="AE154" i="11"/>
  <c r="AE155" i="11"/>
  <c r="AE156" i="11"/>
  <c r="AE157" i="11"/>
  <c r="AE158" i="11"/>
  <c r="AE162" i="11"/>
  <c r="AE163" i="11"/>
  <c r="AE164" i="11"/>
  <c r="AE165" i="11"/>
  <c r="AE166" i="11"/>
  <c r="AE167" i="11"/>
  <c r="AE168" i="11"/>
  <c r="AE169" i="11"/>
  <c r="AE170" i="11"/>
  <c r="AE171" i="11"/>
  <c r="AE172" i="11"/>
  <c r="AE173" i="11"/>
  <c r="AE174" i="11"/>
  <c r="AE175" i="11"/>
  <c r="AE176" i="11"/>
  <c r="AE177" i="11"/>
  <c r="AE178" i="11"/>
  <c r="AE179" i="11"/>
  <c r="AE180" i="11"/>
  <c r="AE160" i="11"/>
  <c r="AE182" i="11"/>
  <c r="AE184" i="11"/>
  <c r="AE186" i="11"/>
  <c r="AE188" i="11"/>
  <c r="AE190" i="11"/>
  <c r="AE192" i="11"/>
  <c r="AE194" i="11"/>
  <c r="AE196" i="11"/>
  <c r="AE198" i="11"/>
  <c r="AE200" i="11"/>
  <c r="AE203" i="11"/>
  <c r="AE205" i="11"/>
  <c r="AE207" i="11"/>
  <c r="AE209" i="11"/>
  <c r="AE211" i="11"/>
  <c r="AE213" i="11"/>
  <c r="AE215" i="11"/>
  <c r="AE217" i="11"/>
  <c r="AE219" i="11"/>
  <c r="AE221" i="11"/>
  <c r="AE223" i="11"/>
  <c r="AE225" i="11"/>
  <c r="AE227" i="11"/>
  <c r="AE229" i="11"/>
  <c r="AE231" i="11"/>
  <c r="AE233" i="11"/>
  <c r="AE235" i="11"/>
  <c r="AE238" i="11"/>
  <c r="AE241" i="11"/>
  <c r="AE243" i="11"/>
  <c r="AE245" i="11"/>
  <c r="AE248" i="11"/>
  <c r="AE250" i="11"/>
  <c r="AE251" i="11"/>
  <c r="AE253" i="11"/>
  <c r="AE255" i="11"/>
  <c r="AE257" i="11"/>
  <c r="AE259" i="11"/>
  <c r="AE261" i="11"/>
  <c r="AE263" i="11"/>
  <c r="AE265" i="11"/>
  <c r="AE267" i="11"/>
  <c r="AE269" i="11"/>
  <c r="AE271" i="11"/>
  <c r="AE273" i="11"/>
  <c r="AE275" i="11"/>
  <c r="AE277" i="11"/>
  <c r="AE279" i="11"/>
  <c r="AE281" i="11"/>
  <c r="AE283" i="11"/>
  <c r="AE286" i="11"/>
  <c r="AE288" i="11"/>
  <c r="AE290" i="11"/>
  <c r="AE293" i="11"/>
  <c r="AE294" i="11"/>
  <c r="AE295" i="11"/>
  <c r="AE299" i="11"/>
  <c r="AE300" i="11"/>
  <c r="AE301" i="11"/>
  <c r="AE302" i="11"/>
  <c r="AE308" i="11"/>
  <c r="AE309" i="11"/>
  <c r="AE310" i="11"/>
  <c r="AE311" i="11"/>
  <c r="AE315" i="11"/>
  <c r="AE316" i="11"/>
  <c r="AE317" i="11"/>
  <c r="AE318" i="11"/>
  <c r="AE143" i="11"/>
  <c r="AE144" i="11"/>
  <c r="AE161" i="11"/>
  <c r="AE181" i="11"/>
  <c r="AE183" i="11"/>
  <c r="AE185" i="11"/>
  <c r="AE187" i="11"/>
  <c r="AE189" i="11"/>
  <c r="AE191" i="11"/>
  <c r="AE193" i="11"/>
  <c r="AE195" i="11"/>
  <c r="AE197" i="11"/>
  <c r="AE199" i="11"/>
  <c r="AE201" i="11"/>
  <c r="AE202" i="11"/>
  <c r="AE204" i="11"/>
  <c r="AE206" i="11"/>
  <c r="AE208" i="11"/>
  <c r="AE210" i="11"/>
  <c r="AE212" i="11"/>
  <c r="AE214" i="11"/>
  <c r="AE216" i="11"/>
  <c r="AE218" i="11"/>
  <c r="AE220" i="11"/>
  <c r="AE222" i="11"/>
  <c r="AE224" i="11"/>
  <c r="AE226" i="11"/>
  <c r="AE228" i="11"/>
  <c r="AE230" i="11"/>
  <c r="AE232" i="11"/>
  <c r="AE234" i="11"/>
  <c r="AE236" i="11"/>
  <c r="AE237" i="11"/>
  <c r="AE239" i="11"/>
  <c r="AE240" i="11"/>
  <c r="AE242" i="11"/>
  <c r="AE244" i="11"/>
  <c r="AE246" i="11"/>
  <c r="AE247" i="11"/>
  <c r="AE249" i="11"/>
  <c r="AE252" i="11"/>
  <c r="AE254" i="11"/>
  <c r="AE256" i="11"/>
  <c r="AE258" i="11"/>
  <c r="AE260" i="11"/>
  <c r="AE262" i="11"/>
  <c r="AE264" i="11"/>
  <c r="AE266" i="11"/>
  <c r="AE268" i="11"/>
  <c r="AE270" i="11"/>
  <c r="AE272" i="11"/>
  <c r="AE274" i="11"/>
  <c r="AE276" i="11"/>
  <c r="AE278" i="11"/>
  <c r="AE280" i="11"/>
  <c r="AE282" i="11"/>
  <c r="AE284" i="11"/>
  <c r="AE285" i="11"/>
  <c r="AE287" i="11"/>
  <c r="AE289" i="11"/>
  <c r="AE291" i="11"/>
  <c r="AE292" i="11"/>
  <c r="AE296" i="11"/>
  <c r="AE297" i="11"/>
  <c r="AE298" i="11"/>
  <c r="AE303" i="11"/>
  <c r="AE304" i="11"/>
  <c r="AE305" i="11"/>
  <c r="AE306" i="11"/>
  <c r="AE307" i="11"/>
  <c r="AE312" i="11"/>
  <c r="AE313" i="11"/>
  <c r="AE314" i="11"/>
  <c r="U146" i="13"/>
  <c r="U150" i="13"/>
  <c r="AB150" i="13" s="1"/>
  <c r="U154" i="13"/>
  <c r="AB154" i="13" s="1"/>
  <c r="U158" i="13"/>
  <c r="AB158" i="13" s="1"/>
  <c r="U162" i="13"/>
  <c r="U166" i="13"/>
  <c r="AB166" i="13" s="1"/>
  <c r="U170" i="13"/>
  <c r="AB170" i="13" s="1"/>
  <c r="U174" i="13"/>
  <c r="AB174" i="13" s="1"/>
  <c r="U178" i="13"/>
  <c r="U182" i="13"/>
  <c r="AB182" i="13" s="1"/>
  <c r="U186" i="13"/>
  <c r="U190" i="13"/>
  <c r="AB190" i="13" s="1"/>
  <c r="U194" i="13"/>
  <c r="AB194" i="13" s="1"/>
  <c r="U198" i="13"/>
  <c r="AB198" i="13" s="1"/>
  <c r="U202" i="13"/>
  <c r="U206" i="13"/>
  <c r="U210" i="13"/>
  <c r="U214" i="13"/>
  <c r="AB214" i="13" s="1"/>
  <c r="U218" i="13"/>
  <c r="U222" i="13"/>
  <c r="AB222" i="13" s="1"/>
  <c r="U226" i="13"/>
  <c r="AB226" i="13" s="1"/>
  <c r="U230" i="13"/>
  <c r="AB230" i="13" s="1"/>
  <c r="U234" i="13"/>
  <c r="U238" i="13"/>
  <c r="U242" i="13"/>
  <c r="U246" i="13"/>
  <c r="AB246" i="13" s="1"/>
  <c r="U250" i="13"/>
  <c r="AB250" i="13" s="1"/>
  <c r="U254" i="13"/>
  <c r="AB254" i="13" s="1"/>
  <c r="U258" i="13"/>
  <c r="U262" i="13"/>
  <c r="AB262" i="13" s="1"/>
  <c r="U266" i="13"/>
  <c r="U270" i="13"/>
  <c r="AB270" i="13" s="1"/>
  <c r="U274" i="13"/>
  <c r="U278" i="13"/>
  <c r="AB278" i="13" s="1"/>
  <c r="U282" i="13"/>
  <c r="U286" i="13"/>
  <c r="AB286" i="13" s="1"/>
  <c r="U290" i="13"/>
  <c r="U294" i="13"/>
  <c r="AB294" i="13" s="1"/>
  <c r="U298" i="13"/>
  <c r="AB298" i="13" s="1"/>
  <c r="U302" i="13"/>
  <c r="AB302" i="13" s="1"/>
  <c r="U306" i="13"/>
  <c r="U310" i="13"/>
  <c r="AB310" i="13" s="1"/>
  <c r="U314" i="13"/>
  <c r="AB314" i="13" s="1"/>
  <c r="U318" i="13"/>
  <c r="AB318" i="13" s="1"/>
  <c r="U144" i="13"/>
  <c r="AB144" i="13" s="1"/>
  <c r="U152" i="13"/>
  <c r="AB152" i="13" s="1"/>
  <c r="U160" i="13"/>
  <c r="U168" i="13"/>
  <c r="AB168" i="13" s="1"/>
  <c r="U180" i="13"/>
  <c r="AB180" i="13" s="1"/>
  <c r="U188" i="13"/>
  <c r="AB188" i="13" s="1"/>
  <c r="U196" i="13"/>
  <c r="AB196" i="13" s="1"/>
  <c r="U204" i="13"/>
  <c r="AB204" i="13" s="1"/>
  <c r="U212" i="13"/>
  <c r="U224" i="13"/>
  <c r="AB224" i="13" s="1"/>
  <c r="U232" i="13"/>
  <c r="AB232" i="13" s="1"/>
  <c r="U240" i="13"/>
  <c r="AB240" i="13" s="1"/>
  <c r="U248" i="13"/>
  <c r="U256" i="13"/>
  <c r="AB256" i="13" s="1"/>
  <c r="U264" i="13"/>
  <c r="AB264" i="13" s="1"/>
  <c r="U272" i="13"/>
  <c r="AB272" i="13" s="1"/>
  <c r="U280" i="13"/>
  <c r="AB280" i="13" s="1"/>
  <c r="U288" i="13"/>
  <c r="AB288" i="13" s="1"/>
  <c r="U296" i="13"/>
  <c r="U304" i="13"/>
  <c r="AB304" i="13" s="1"/>
  <c r="U312" i="13"/>
  <c r="AB312" i="13" s="1"/>
  <c r="U147" i="13"/>
  <c r="AB147" i="13" s="1"/>
  <c r="U155" i="13"/>
  <c r="AB155" i="13" s="1"/>
  <c r="U163" i="13"/>
  <c r="U171" i="13"/>
  <c r="AB171" i="13" s="1"/>
  <c r="U179" i="13"/>
  <c r="AB179" i="13" s="1"/>
  <c r="U183" i="13"/>
  <c r="AB183" i="13" s="1"/>
  <c r="U195" i="13"/>
  <c r="AB195" i="13" s="1"/>
  <c r="U203" i="13"/>
  <c r="AB203" i="13" s="1"/>
  <c r="U207" i="13"/>
  <c r="AB207" i="13" s="1"/>
  <c r="U215" i="13"/>
  <c r="AB215" i="13" s="1"/>
  <c r="U223" i="13"/>
  <c r="AB223" i="13" s="1"/>
  <c r="U231" i="13"/>
  <c r="AB231" i="13" s="1"/>
  <c r="U243" i="13"/>
  <c r="U251" i="13"/>
  <c r="U255" i="13"/>
  <c r="AB255" i="13" s="1"/>
  <c r="U267" i="13"/>
  <c r="U271" i="13"/>
  <c r="AB271" i="13" s="1"/>
  <c r="U279" i="13"/>
  <c r="U287" i="13"/>
  <c r="U295" i="13"/>
  <c r="U303" i="13"/>
  <c r="AB303" i="13" s="1"/>
  <c r="U311" i="13"/>
  <c r="AB311" i="13" s="1"/>
  <c r="U145" i="13"/>
  <c r="AB145" i="13" s="1"/>
  <c r="U149" i="13"/>
  <c r="U153" i="13"/>
  <c r="AB153" i="13" s="1"/>
  <c r="U157" i="13"/>
  <c r="U161" i="13"/>
  <c r="AB161" i="13" s="1"/>
  <c r="U165" i="13"/>
  <c r="AB165" i="13" s="1"/>
  <c r="U169" i="13"/>
  <c r="AB169" i="13" s="1"/>
  <c r="U173" i="13"/>
  <c r="U177" i="13"/>
  <c r="AB177" i="13" s="1"/>
  <c r="U181" i="13"/>
  <c r="AB181" i="13" s="1"/>
  <c r="U185" i="13"/>
  <c r="AB185" i="13" s="1"/>
  <c r="U189" i="13"/>
  <c r="AB189" i="13" s="1"/>
  <c r="U193" i="13"/>
  <c r="AB193" i="13" s="1"/>
  <c r="U197" i="13"/>
  <c r="U201" i="13"/>
  <c r="AB201" i="13" s="1"/>
  <c r="U205" i="13"/>
  <c r="U209" i="13"/>
  <c r="AB209" i="13" s="1"/>
  <c r="U213" i="13"/>
  <c r="U217" i="13"/>
  <c r="AB217" i="13" s="1"/>
  <c r="U221" i="13"/>
  <c r="AB221" i="13" s="1"/>
  <c r="U225" i="13"/>
  <c r="AB225" i="13" s="1"/>
  <c r="U229" i="13"/>
  <c r="U233" i="13"/>
  <c r="AB233" i="13" s="1"/>
  <c r="U237" i="13"/>
  <c r="U241" i="13"/>
  <c r="U245" i="13"/>
  <c r="AB245" i="13" s="1"/>
  <c r="U249" i="13"/>
  <c r="AB249" i="13" s="1"/>
  <c r="U253" i="13"/>
  <c r="U257" i="13"/>
  <c r="AB257" i="13" s="1"/>
  <c r="U261" i="13"/>
  <c r="AB261" i="13" s="1"/>
  <c r="U265" i="13"/>
  <c r="AB265" i="13" s="1"/>
  <c r="U269" i="13"/>
  <c r="AB269" i="13" s="1"/>
  <c r="U273" i="13"/>
  <c r="AB273" i="13" s="1"/>
  <c r="U277" i="13"/>
  <c r="U281" i="13"/>
  <c r="AB281" i="13" s="1"/>
  <c r="U285" i="13"/>
  <c r="U289" i="13"/>
  <c r="U293" i="13"/>
  <c r="U297" i="13"/>
  <c r="AB297" i="13" s="1"/>
  <c r="U301" i="13"/>
  <c r="AB301" i="13" s="1"/>
  <c r="U305" i="13"/>
  <c r="U309" i="13"/>
  <c r="AB309" i="13" s="1"/>
  <c r="U313" i="13"/>
  <c r="AB313" i="13" s="1"/>
  <c r="U317" i="13"/>
  <c r="U148" i="13"/>
  <c r="AB148" i="13" s="1"/>
  <c r="U156" i="13"/>
  <c r="AB156" i="13" s="1"/>
  <c r="U164" i="13"/>
  <c r="AB164" i="13" s="1"/>
  <c r="U172" i="13"/>
  <c r="AB172" i="13" s="1"/>
  <c r="U176" i="13"/>
  <c r="AB176" i="13" s="1"/>
  <c r="U184" i="13"/>
  <c r="AB184" i="13" s="1"/>
  <c r="U192" i="13"/>
  <c r="AB192" i="13" s="1"/>
  <c r="U200" i="13"/>
  <c r="AB200" i="13" s="1"/>
  <c r="U208" i="13"/>
  <c r="AB208" i="13" s="1"/>
  <c r="U216" i="13"/>
  <c r="AB216" i="13" s="1"/>
  <c r="U220" i="13"/>
  <c r="AB220" i="13" s="1"/>
  <c r="U228" i="13"/>
  <c r="AB228" i="13" s="1"/>
  <c r="U236" i="13"/>
  <c r="AB236" i="13" s="1"/>
  <c r="U244" i="13"/>
  <c r="U252" i="13"/>
  <c r="AB252" i="13" s="1"/>
  <c r="U260" i="13"/>
  <c r="U268" i="13"/>
  <c r="AB268" i="13" s="1"/>
  <c r="U276" i="13"/>
  <c r="AB276" i="13" s="1"/>
  <c r="U284" i="13"/>
  <c r="AB284" i="13" s="1"/>
  <c r="U292" i="13"/>
  <c r="U300" i="13"/>
  <c r="AB300" i="13" s="1"/>
  <c r="U308" i="13"/>
  <c r="U316" i="13"/>
  <c r="AB316" i="13" s="1"/>
  <c r="U143" i="13"/>
  <c r="U151" i="13"/>
  <c r="AB151" i="13" s="1"/>
  <c r="U159" i="13"/>
  <c r="AB159" i="13" s="1"/>
  <c r="U167" i="13"/>
  <c r="AB167" i="13" s="1"/>
  <c r="U175" i="13"/>
  <c r="AB175" i="13" s="1"/>
  <c r="U187" i="13"/>
  <c r="AB187" i="13" s="1"/>
  <c r="U191" i="13"/>
  <c r="AB191" i="13" s="1"/>
  <c r="U199" i="13"/>
  <c r="AB199" i="13" s="1"/>
  <c r="U211" i="13"/>
  <c r="AB211" i="13" s="1"/>
  <c r="U219" i="13"/>
  <c r="U227" i="13"/>
  <c r="U235" i="13"/>
  <c r="AB235" i="13" s="1"/>
  <c r="U239" i="13"/>
  <c r="U247" i="13"/>
  <c r="AB247" i="13" s="1"/>
  <c r="U259" i="13"/>
  <c r="U263" i="13"/>
  <c r="AB263" i="13" s="1"/>
  <c r="U275" i="13"/>
  <c r="AB275" i="13" s="1"/>
  <c r="U283" i="13"/>
  <c r="AB283" i="13" s="1"/>
  <c r="U291" i="13"/>
  <c r="AB291" i="13" s="1"/>
  <c r="U299" i="13"/>
  <c r="AB299" i="13" s="1"/>
  <c r="U307" i="13"/>
  <c r="U315" i="13"/>
  <c r="AB315" i="13" s="1"/>
  <c r="G58" i="14"/>
  <c r="V136" i="12"/>
  <c r="B45" i="11"/>
  <c r="V136" i="11"/>
  <c r="K144" i="13"/>
  <c r="K148" i="13"/>
  <c r="R148" i="13" s="1"/>
  <c r="K152" i="13"/>
  <c r="R152" i="13" s="1"/>
  <c r="K156" i="13"/>
  <c r="R156" i="13" s="1"/>
  <c r="K160" i="13"/>
  <c r="R160" i="13" s="1"/>
  <c r="K164" i="13"/>
  <c r="R164" i="13" s="1"/>
  <c r="K168" i="13"/>
  <c r="K172" i="13"/>
  <c r="R172" i="13" s="1"/>
  <c r="K176" i="13"/>
  <c r="R176" i="13" s="1"/>
  <c r="K180" i="13"/>
  <c r="R180" i="13" s="1"/>
  <c r="K184" i="13"/>
  <c r="R184" i="13" s="1"/>
  <c r="K188" i="13"/>
  <c r="R188" i="13" s="1"/>
  <c r="K192" i="13"/>
  <c r="K196" i="13"/>
  <c r="R196" i="13" s="1"/>
  <c r="K200" i="13"/>
  <c r="R200" i="13" s="1"/>
  <c r="K204" i="13"/>
  <c r="K208" i="13"/>
  <c r="R208" i="13" s="1"/>
  <c r="K212" i="13"/>
  <c r="R212" i="13" s="1"/>
  <c r="K216" i="13"/>
  <c r="R216" i="13" s="1"/>
  <c r="K220" i="13"/>
  <c r="K224" i="13"/>
  <c r="R224" i="13" s="1"/>
  <c r="K228" i="13"/>
  <c r="R228" i="13" s="1"/>
  <c r="K232" i="13"/>
  <c r="K236" i="13"/>
  <c r="R236" i="13" s="1"/>
  <c r="K240" i="13"/>
  <c r="R240" i="13" s="1"/>
  <c r="K244" i="13"/>
  <c r="R244" i="13" s="1"/>
  <c r="K248" i="13"/>
  <c r="R248" i="13" s="1"/>
  <c r="K252" i="13"/>
  <c r="R252" i="13" s="1"/>
  <c r="K256" i="13"/>
  <c r="K260" i="13"/>
  <c r="K264" i="13"/>
  <c r="R264" i="13" s="1"/>
  <c r="K268" i="13"/>
  <c r="R268" i="13" s="1"/>
  <c r="K272" i="13"/>
  <c r="R272" i="13" s="1"/>
  <c r="K276" i="13"/>
  <c r="R276" i="13" s="1"/>
  <c r="K280" i="13"/>
  <c r="R280" i="13" s="1"/>
  <c r="K284" i="13"/>
  <c r="K288" i="13"/>
  <c r="K292" i="13"/>
  <c r="R292" i="13" s="1"/>
  <c r="K296" i="13"/>
  <c r="R296" i="13" s="1"/>
  <c r="K300" i="13"/>
  <c r="R300" i="13" s="1"/>
  <c r="K304" i="13"/>
  <c r="K308" i="13"/>
  <c r="R308" i="13" s="1"/>
  <c r="K312" i="13"/>
  <c r="K316" i="13"/>
  <c r="K150" i="13"/>
  <c r="K158" i="13"/>
  <c r="R158" i="13" s="1"/>
  <c r="K166" i="13"/>
  <c r="R166" i="13" s="1"/>
  <c r="K170" i="13"/>
  <c r="R170" i="13" s="1"/>
  <c r="K178" i="13"/>
  <c r="R178" i="13" s="1"/>
  <c r="K182" i="13"/>
  <c r="R182" i="13" s="1"/>
  <c r="K190" i="13"/>
  <c r="R190" i="13" s="1"/>
  <c r="K194" i="13"/>
  <c r="R194" i="13" s="1"/>
  <c r="K202" i="13"/>
  <c r="K210" i="13"/>
  <c r="R210" i="13" s="1"/>
  <c r="K218" i="13"/>
  <c r="K226" i="13"/>
  <c r="R226" i="13" s="1"/>
  <c r="K234" i="13"/>
  <c r="K242" i="13"/>
  <c r="R242" i="13" s="1"/>
  <c r="K254" i="13"/>
  <c r="K266" i="13"/>
  <c r="R266" i="13" s="1"/>
  <c r="K274" i="13"/>
  <c r="K282" i="13"/>
  <c r="R282" i="13" s="1"/>
  <c r="K286" i="13"/>
  <c r="K294" i="13"/>
  <c r="R294" i="13" s="1"/>
  <c r="K302" i="13"/>
  <c r="R302" i="13" s="1"/>
  <c r="K310" i="13"/>
  <c r="R310" i="13" s="1"/>
  <c r="K318" i="13"/>
  <c r="R318" i="13" s="1"/>
  <c r="K143" i="13"/>
  <c r="K145" i="13"/>
  <c r="R145" i="13" s="1"/>
  <c r="K153" i="13"/>
  <c r="R153" i="13" s="1"/>
  <c r="K161" i="13"/>
  <c r="K169" i="13"/>
  <c r="R169" i="13" s="1"/>
  <c r="K177" i="13"/>
  <c r="K185" i="13"/>
  <c r="R185" i="13" s="1"/>
  <c r="K193" i="13"/>
  <c r="R193" i="13" s="1"/>
  <c r="K201" i="13"/>
  <c r="R201" i="13" s="1"/>
  <c r="K209" i="13"/>
  <c r="K217" i="13"/>
  <c r="R217" i="13" s="1"/>
  <c r="K225" i="13"/>
  <c r="R225" i="13" s="1"/>
  <c r="K233" i="13"/>
  <c r="R233" i="13" s="1"/>
  <c r="K241" i="13"/>
  <c r="R241" i="13" s="1"/>
  <c r="K253" i="13"/>
  <c r="R253" i="13" s="1"/>
  <c r="K261" i="13"/>
  <c r="R261" i="13" s="1"/>
  <c r="K269" i="13"/>
  <c r="R269" i="13" s="1"/>
  <c r="K277" i="13"/>
  <c r="R277" i="13" s="1"/>
  <c r="K285" i="13"/>
  <c r="R285" i="13" s="1"/>
  <c r="K293" i="13"/>
  <c r="K301" i="13"/>
  <c r="R301" i="13" s="1"/>
  <c r="K309" i="13"/>
  <c r="R309" i="13" s="1"/>
  <c r="K317" i="13"/>
  <c r="R317" i="13" s="1"/>
  <c r="K147" i="13"/>
  <c r="R147" i="13" s="1"/>
  <c r="K151" i="13"/>
  <c r="R151" i="13" s="1"/>
  <c r="K155" i="13"/>
  <c r="K159" i="13"/>
  <c r="R159" i="13" s="1"/>
  <c r="K163" i="13"/>
  <c r="K167" i="13"/>
  <c r="K171" i="13"/>
  <c r="R171" i="13" s="1"/>
  <c r="K175" i="13"/>
  <c r="K179" i="13"/>
  <c r="R179" i="13" s="1"/>
  <c r="K183" i="13"/>
  <c r="R183" i="13" s="1"/>
  <c r="K187" i="13"/>
  <c r="K191" i="13"/>
  <c r="R191" i="13" s="1"/>
  <c r="K195" i="13"/>
  <c r="K199" i="13"/>
  <c r="R199" i="13" s="1"/>
  <c r="K203" i="13"/>
  <c r="R203" i="13" s="1"/>
  <c r="K207" i="13"/>
  <c r="R207" i="13" s="1"/>
  <c r="K211" i="13"/>
  <c r="R211" i="13" s="1"/>
  <c r="K215" i="13"/>
  <c r="R215" i="13" s="1"/>
  <c r="K219" i="13"/>
  <c r="K223" i="13"/>
  <c r="R223" i="13" s="1"/>
  <c r="K227" i="13"/>
  <c r="K231" i="13"/>
  <c r="K235" i="13"/>
  <c r="R235" i="13" s="1"/>
  <c r="K239" i="13"/>
  <c r="R239" i="13" s="1"/>
  <c r="K243" i="13"/>
  <c r="K247" i="13"/>
  <c r="R247" i="13" s="1"/>
  <c r="K251" i="13"/>
  <c r="K255" i="13"/>
  <c r="R255" i="13" s="1"/>
  <c r="K259" i="13"/>
  <c r="K263" i="13"/>
  <c r="R263" i="13" s="1"/>
  <c r="K267" i="13"/>
  <c r="R267" i="13" s="1"/>
  <c r="K271" i="13"/>
  <c r="R271" i="13" s="1"/>
  <c r="K275" i="13"/>
  <c r="R275" i="13" s="1"/>
  <c r="K279" i="13"/>
  <c r="R279" i="13" s="1"/>
  <c r="K283" i="13"/>
  <c r="R283" i="13" s="1"/>
  <c r="K287" i="13"/>
  <c r="R287" i="13" s="1"/>
  <c r="K291" i="13"/>
  <c r="K295" i="13"/>
  <c r="R295" i="13" s="1"/>
  <c r="K299" i="13"/>
  <c r="R299" i="13" s="1"/>
  <c r="K303" i="13"/>
  <c r="R303" i="13" s="1"/>
  <c r="K307" i="13"/>
  <c r="R307" i="13" s="1"/>
  <c r="K311" i="13"/>
  <c r="R311" i="13" s="1"/>
  <c r="K315" i="13"/>
  <c r="R315" i="13" s="1"/>
  <c r="K146" i="13"/>
  <c r="R146" i="13" s="1"/>
  <c r="K154" i="13"/>
  <c r="K162" i="13"/>
  <c r="R162" i="13" s="1"/>
  <c r="K174" i="13"/>
  <c r="R174" i="13" s="1"/>
  <c r="K186" i="13"/>
  <c r="R186" i="13" s="1"/>
  <c r="K198" i="13"/>
  <c r="R198" i="13" s="1"/>
  <c r="K206" i="13"/>
  <c r="R206" i="13" s="1"/>
  <c r="K214" i="13"/>
  <c r="R214" i="13" s="1"/>
  <c r="K222" i="13"/>
  <c r="R222" i="13" s="1"/>
  <c r="K230" i="13"/>
  <c r="K238" i="13"/>
  <c r="R238" i="13" s="1"/>
  <c r="K246" i="13"/>
  <c r="R246" i="13" s="1"/>
  <c r="K250" i="13"/>
  <c r="R250" i="13" s="1"/>
  <c r="K258" i="13"/>
  <c r="K262" i="13"/>
  <c r="R262" i="13" s="1"/>
  <c r="K270" i="13"/>
  <c r="K278" i="13"/>
  <c r="R278" i="13" s="1"/>
  <c r="K290" i="13"/>
  <c r="K298" i="13"/>
  <c r="R298" i="13" s="1"/>
  <c r="K306" i="13"/>
  <c r="R306" i="13" s="1"/>
  <c r="K314" i="13"/>
  <c r="R314" i="13" s="1"/>
  <c r="K149" i="13"/>
  <c r="R149" i="13" s="1"/>
  <c r="K157" i="13"/>
  <c r="R157" i="13" s="1"/>
  <c r="K165" i="13"/>
  <c r="K173" i="13"/>
  <c r="R173" i="13" s="1"/>
  <c r="K181" i="13"/>
  <c r="R181" i="13" s="1"/>
  <c r="K189" i="13"/>
  <c r="K197" i="13"/>
  <c r="R197" i="13" s="1"/>
  <c r="K205" i="13"/>
  <c r="R205" i="13" s="1"/>
  <c r="K213" i="13"/>
  <c r="R213" i="13" s="1"/>
  <c r="K221" i="13"/>
  <c r="R221" i="13" s="1"/>
  <c r="K229" i="13"/>
  <c r="R229" i="13" s="1"/>
  <c r="K237" i="13"/>
  <c r="R237" i="13" s="1"/>
  <c r="K245" i="13"/>
  <c r="R245" i="13" s="1"/>
  <c r="K249" i="13"/>
  <c r="R249" i="13" s="1"/>
  <c r="K257" i="13"/>
  <c r="K265" i="13"/>
  <c r="R265" i="13" s="1"/>
  <c r="K273" i="13"/>
  <c r="R273" i="13" s="1"/>
  <c r="K281" i="13"/>
  <c r="R281" i="13" s="1"/>
  <c r="K289" i="13"/>
  <c r="R289" i="13" s="1"/>
  <c r="K297" i="13"/>
  <c r="R297" i="13" s="1"/>
  <c r="K305" i="13"/>
  <c r="K313" i="13"/>
  <c r="R313" i="13" s="1"/>
  <c r="K147" i="12"/>
  <c r="R147" i="12" s="1"/>
  <c r="K151" i="12"/>
  <c r="R151" i="12" s="1"/>
  <c r="K155" i="12"/>
  <c r="R155" i="12" s="1"/>
  <c r="K159" i="12"/>
  <c r="R159" i="12" s="1"/>
  <c r="K163" i="12"/>
  <c r="K167" i="12"/>
  <c r="K171" i="12"/>
  <c r="R171" i="12" s="1"/>
  <c r="K175" i="12"/>
  <c r="R175" i="12" s="1"/>
  <c r="K179" i="12"/>
  <c r="R179" i="12" s="1"/>
  <c r="K183" i="12"/>
  <c r="R183" i="12" s="1"/>
  <c r="K187" i="12"/>
  <c r="R187" i="12" s="1"/>
  <c r="K191" i="12"/>
  <c r="R191" i="12" s="1"/>
  <c r="K195" i="12"/>
  <c r="R195" i="12" s="1"/>
  <c r="K199" i="12"/>
  <c r="R199" i="12" s="1"/>
  <c r="K203" i="12"/>
  <c r="R203" i="12" s="1"/>
  <c r="K207" i="12"/>
  <c r="R207" i="12" s="1"/>
  <c r="K211" i="12"/>
  <c r="R211" i="12" s="1"/>
  <c r="K215" i="12"/>
  <c r="R215" i="12" s="1"/>
  <c r="K219" i="12"/>
  <c r="R219" i="12" s="1"/>
  <c r="K223" i="12"/>
  <c r="K227" i="12"/>
  <c r="K231" i="12"/>
  <c r="R231" i="12" s="1"/>
  <c r="K235" i="12"/>
  <c r="R235" i="12" s="1"/>
  <c r="K239" i="12"/>
  <c r="R239" i="12" s="1"/>
  <c r="K243" i="12"/>
  <c r="K247" i="12"/>
  <c r="R247" i="12" s="1"/>
  <c r="K251" i="12"/>
  <c r="R251" i="12" s="1"/>
  <c r="K255" i="12"/>
  <c r="R255" i="12" s="1"/>
  <c r="K259" i="12"/>
  <c r="R259" i="12" s="1"/>
  <c r="K263" i="12"/>
  <c r="R263" i="12" s="1"/>
  <c r="K267" i="12"/>
  <c r="K271" i="12"/>
  <c r="K275" i="12"/>
  <c r="R275" i="12" s="1"/>
  <c r="K279" i="12"/>
  <c r="R279" i="12" s="1"/>
  <c r="K283" i="12"/>
  <c r="K287" i="12"/>
  <c r="R287" i="12" s="1"/>
  <c r="K291" i="12"/>
  <c r="K295" i="12"/>
  <c r="R295" i="12" s="1"/>
  <c r="K299" i="12"/>
  <c r="R299" i="12" s="1"/>
  <c r="K303" i="12"/>
  <c r="R303" i="12" s="1"/>
  <c r="K307" i="12"/>
  <c r="K311" i="12"/>
  <c r="R311" i="12" s="1"/>
  <c r="K315" i="12"/>
  <c r="R315" i="12" s="1"/>
  <c r="K146" i="12"/>
  <c r="K154" i="12"/>
  <c r="R154" i="12" s="1"/>
  <c r="K162" i="12"/>
  <c r="R162" i="12" s="1"/>
  <c r="K170" i="12"/>
  <c r="R170" i="12" s="1"/>
  <c r="K178" i="12"/>
  <c r="R178" i="12" s="1"/>
  <c r="K186" i="12"/>
  <c r="R186" i="12" s="1"/>
  <c r="K194" i="12"/>
  <c r="R194" i="12" s="1"/>
  <c r="K202" i="12"/>
  <c r="K210" i="12"/>
  <c r="R210" i="12" s="1"/>
  <c r="K218" i="12"/>
  <c r="R218" i="12" s="1"/>
  <c r="K226" i="12"/>
  <c r="R226" i="12" s="1"/>
  <c r="K234" i="12"/>
  <c r="K242" i="12"/>
  <c r="R242" i="12" s="1"/>
  <c r="K250" i="12"/>
  <c r="R250" i="12" s="1"/>
  <c r="K258" i="12"/>
  <c r="R258" i="12" s="1"/>
  <c r="K266" i="12"/>
  <c r="K274" i="12"/>
  <c r="K282" i="12"/>
  <c r="K290" i="12"/>
  <c r="R290" i="12" s="1"/>
  <c r="K298" i="12"/>
  <c r="R298" i="12" s="1"/>
  <c r="K306" i="12"/>
  <c r="R306" i="12" s="1"/>
  <c r="K318" i="12"/>
  <c r="R318" i="12" s="1"/>
  <c r="K145" i="12"/>
  <c r="R145" i="12" s="1"/>
  <c r="K149" i="12"/>
  <c r="K157" i="12"/>
  <c r="K165" i="12"/>
  <c r="R165" i="12" s="1"/>
  <c r="K173" i="12"/>
  <c r="R173" i="12" s="1"/>
  <c r="K181" i="12"/>
  <c r="R181" i="12" s="1"/>
  <c r="K189" i="12"/>
  <c r="K197" i="12"/>
  <c r="K205" i="12"/>
  <c r="R205" i="12" s="1"/>
  <c r="K213" i="12"/>
  <c r="R213" i="12" s="1"/>
  <c r="K221" i="12"/>
  <c r="R221" i="12" s="1"/>
  <c r="K229" i="12"/>
  <c r="R229" i="12" s="1"/>
  <c r="K237" i="12"/>
  <c r="K245" i="12"/>
  <c r="R245" i="12" s="1"/>
  <c r="K253" i="12"/>
  <c r="R253" i="12" s="1"/>
  <c r="K261" i="12"/>
  <c r="R261" i="12" s="1"/>
  <c r="K269" i="12"/>
  <c r="R269" i="12" s="1"/>
  <c r="K273" i="12"/>
  <c r="K281" i="12"/>
  <c r="K289" i="12"/>
  <c r="R289" i="12" s="1"/>
  <c r="K297" i="12"/>
  <c r="R297" i="12" s="1"/>
  <c r="K305" i="12"/>
  <c r="K313" i="12"/>
  <c r="K144" i="12"/>
  <c r="K148" i="12"/>
  <c r="R148" i="12" s="1"/>
  <c r="K152" i="12"/>
  <c r="R152" i="12" s="1"/>
  <c r="K156" i="12"/>
  <c r="R156" i="12" s="1"/>
  <c r="K160" i="12"/>
  <c r="K164" i="12"/>
  <c r="R164" i="12" s="1"/>
  <c r="K168" i="12"/>
  <c r="R168" i="12" s="1"/>
  <c r="K172" i="12"/>
  <c r="K176" i="12"/>
  <c r="K180" i="12"/>
  <c r="R180" i="12" s="1"/>
  <c r="K184" i="12"/>
  <c r="K188" i="12"/>
  <c r="K192" i="12"/>
  <c r="R192" i="12" s="1"/>
  <c r="K196" i="12"/>
  <c r="R196" i="12" s="1"/>
  <c r="K200" i="12"/>
  <c r="R200" i="12" s="1"/>
  <c r="K204" i="12"/>
  <c r="R204" i="12" s="1"/>
  <c r="K208" i="12"/>
  <c r="R208" i="12" s="1"/>
  <c r="K212" i="12"/>
  <c r="R212" i="12" s="1"/>
  <c r="K216" i="12"/>
  <c r="K220" i="12"/>
  <c r="R220" i="12" s="1"/>
  <c r="K224" i="12"/>
  <c r="K228" i="12"/>
  <c r="R228" i="12" s="1"/>
  <c r="K232" i="12"/>
  <c r="R232" i="12" s="1"/>
  <c r="K236" i="12"/>
  <c r="R236" i="12" s="1"/>
  <c r="K240" i="12"/>
  <c r="R240" i="12" s="1"/>
  <c r="K244" i="12"/>
  <c r="R244" i="12" s="1"/>
  <c r="K248" i="12"/>
  <c r="R248" i="12" s="1"/>
  <c r="K252" i="12"/>
  <c r="K256" i="12"/>
  <c r="R256" i="12" s="1"/>
  <c r="K260" i="12"/>
  <c r="R260" i="12" s="1"/>
  <c r="K264" i="12"/>
  <c r="R264" i="12" s="1"/>
  <c r="K268" i="12"/>
  <c r="R268" i="12" s="1"/>
  <c r="K272" i="12"/>
  <c r="R272" i="12" s="1"/>
  <c r="K276" i="12"/>
  <c r="R276" i="12" s="1"/>
  <c r="K280" i="12"/>
  <c r="R280" i="12" s="1"/>
  <c r="K284" i="12"/>
  <c r="R284" i="12" s="1"/>
  <c r="K288" i="12"/>
  <c r="R288" i="12" s="1"/>
  <c r="K292" i="12"/>
  <c r="R292" i="12" s="1"/>
  <c r="K296" i="12"/>
  <c r="R296" i="12" s="1"/>
  <c r="K300" i="12"/>
  <c r="R300" i="12" s="1"/>
  <c r="K304" i="12"/>
  <c r="R304" i="12" s="1"/>
  <c r="K308" i="12"/>
  <c r="R308" i="12" s="1"/>
  <c r="K312" i="12"/>
  <c r="R312" i="12" s="1"/>
  <c r="K316" i="12"/>
  <c r="R316" i="12" s="1"/>
  <c r="K150" i="12"/>
  <c r="K158" i="12"/>
  <c r="R158" i="12" s="1"/>
  <c r="K166" i="12"/>
  <c r="R166" i="12" s="1"/>
  <c r="K174" i="12"/>
  <c r="R174" i="12" s="1"/>
  <c r="K182" i="12"/>
  <c r="K190" i="12"/>
  <c r="R190" i="12" s="1"/>
  <c r="K198" i="12"/>
  <c r="R198" i="12" s="1"/>
  <c r="K206" i="12"/>
  <c r="K214" i="12"/>
  <c r="K222" i="12"/>
  <c r="R222" i="12" s="1"/>
  <c r="K230" i="12"/>
  <c r="K238" i="12"/>
  <c r="R238" i="12" s="1"/>
  <c r="K246" i="12"/>
  <c r="K254" i="12"/>
  <c r="R254" i="12" s="1"/>
  <c r="K262" i="12"/>
  <c r="K270" i="12"/>
  <c r="K278" i="12"/>
  <c r="R278" i="12" s="1"/>
  <c r="K286" i="12"/>
  <c r="R286" i="12" s="1"/>
  <c r="K294" i="12"/>
  <c r="K302" i="12"/>
  <c r="K310" i="12"/>
  <c r="R310" i="12" s="1"/>
  <c r="K314" i="12"/>
  <c r="R314" i="12" s="1"/>
  <c r="K153" i="12"/>
  <c r="K161" i="12"/>
  <c r="R161" i="12" s="1"/>
  <c r="K169" i="12"/>
  <c r="K177" i="12"/>
  <c r="R177" i="12" s="1"/>
  <c r="K185" i="12"/>
  <c r="R185" i="12" s="1"/>
  <c r="K193" i="12"/>
  <c r="R193" i="12" s="1"/>
  <c r="K201" i="12"/>
  <c r="R201" i="12" s="1"/>
  <c r="K209" i="12"/>
  <c r="R209" i="12" s="1"/>
  <c r="K217" i="12"/>
  <c r="R217" i="12" s="1"/>
  <c r="K225" i="12"/>
  <c r="R225" i="12" s="1"/>
  <c r="K233" i="12"/>
  <c r="K241" i="12"/>
  <c r="R241" i="12" s="1"/>
  <c r="K249" i="12"/>
  <c r="R249" i="12" s="1"/>
  <c r="K257" i="12"/>
  <c r="R257" i="12" s="1"/>
  <c r="K265" i="12"/>
  <c r="R265" i="12" s="1"/>
  <c r="K277" i="12"/>
  <c r="R277" i="12" s="1"/>
  <c r="K285" i="12"/>
  <c r="K293" i="12"/>
  <c r="R293" i="12" s="1"/>
  <c r="K301" i="12"/>
  <c r="K309" i="12"/>
  <c r="R309" i="12" s="1"/>
  <c r="K317" i="12"/>
  <c r="R317" i="12" s="1"/>
  <c r="K143" i="12"/>
  <c r="K144" i="11"/>
  <c r="K148" i="11"/>
  <c r="K152" i="11"/>
  <c r="K156" i="11"/>
  <c r="K160" i="11"/>
  <c r="K164" i="11"/>
  <c r="K147" i="11"/>
  <c r="K151" i="11"/>
  <c r="K155" i="11"/>
  <c r="K159" i="11"/>
  <c r="K163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K190" i="11"/>
  <c r="K191" i="11"/>
  <c r="K192" i="11"/>
  <c r="K193" i="11"/>
  <c r="K194" i="11"/>
  <c r="K195" i="11"/>
  <c r="K196" i="11"/>
  <c r="K197" i="11"/>
  <c r="K198" i="11"/>
  <c r="K199" i="11"/>
  <c r="K200" i="11"/>
  <c r="K201" i="11"/>
  <c r="K202" i="11"/>
  <c r="K203" i="11"/>
  <c r="K204" i="11"/>
  <c r="K205" i="11"/>
  <c r="K206" i="11"/>
  <c r="K207" i="11"/>
  <c r="K208" i="11"/>
  <c r="K209" i="11"/>
  <c r="K210" i="11"/>
  <c r="K211" i="11"/>
  <c r="K212" i="11"/>
  <c r="K213" i="11"/>
  <c r="K214" i="11"/>
  <c r="K215" i="11"/>
  <c r="K216" i="11"/>
  <c r="K217" i="11"/>
  <c r="K218" i="11"/>
  <c r="K219" i="11"/>
  <c r="K220" i="11"/>
  <c r="K221" i="11"/>
  <c r="K222" i="11"/>
  <c r="K223" i="11"/>
  <c r="K224" i="11"/>
  <c r="K225" i="11"/>
  <c r="K226" i="11"/>
  <c r="K227" i="11"/>
  <c r="K228" i="11"/>
  <c r="K229" i="11"/>
  <c r="K230" i="11"/>
  <c r="K231" i="11"/>
  <c r="K232" i="11"/>
  <c r="K233" i="11"/>
  <c r="K234" i="11"/>
  <c r="K235" i="11"/>
  <c r="K236" i="11"/>
  <c r="K237" i="11"/>
  <c r="K238" i="11"/>
  <c r="K239" i="11"/>
  <c r="K240" i="11"/>
  <c r="K241" i="11"/>
  <c r="K242" i="11"/>
  <c r="K243" i="11"/>
  <c r="K244" i="11"/>
  <c r="K245" i="11"/>
  <c r="K246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K262" i="11"/>
  <c r="K263" i="11"/>
  <c r="K264" i="11"/>
  <c r="K265" i="11"/>
  <c r="K266" i="11"/>
  <c r="K267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145" i="11"/>
  <c r="K153" i="11"/>
  <c r="K161" i="11"/>
  <c r="K291" i="11"/>
  <c r="K292" i="11"/>
  <c r="K293" i="11"/>
  <c r="K294" i="11"/>
  <c r="K295" i="11"/>
  <c r="K296" i="11"/>
  <c r="K297" i="11"/>
  <c r="K298" i="11"/>
  <c r="K299" i="11"/>
  <c r="K300" i="11"/>
  <c r="K301" i="11"/>
  <c r="K302" i="11"/>
  <c r="K303" i="11"/>
  <c r="K304" i="11"/>
  <c r="K305" i="11"/>
  <c r="K306" i="11"/>
  <c r="K307" i="11"/>
  <c r="K308" i="11"/>
  <c r="K309" i="11"/>
  <c r="K310" i="11"/>
  <c r="K311" i="11"/>
  <c r="K312" i="11"/>
  <c r="K313" i="11"/>
  <c r="K314" i="11"/>
  <c r="K315" i="11"/>
  <c r="K316" i="11"/>
  <c r="K317" i="11"/>
  <c r="K318" i="11"/>
  <c r="K143" i="11"/>
  <c r="K157" i="11"/>
  <c r="K150" i="11"/>
  <c r="K158" i="11"/>
  <c r="K149" i="11"/>
  <c r="K165" i="11"/>
  <c r="K154" i="11"/>
  <c r="K162" i="11"/>
  <c r="K146" i="11"/>
  <c r="L137" i="10"/>
  <c r="B13" i="13"/>
  <c r="H12" i="14" s="1"/>
  <c r="B136" i="13"/>
  <c r="A147" i="12"/>
  <c r="H147" i="12" s="1"/>
  <c r="A151" i="12"/>
  <c r="H151" i="12" s="1"/>
  <c r="A155" i="12"/>
  <c r="H155" i="12" s="1"/>
  <c r="A159" i="12"/>
  <c r="H159" i="12" s="1"/>
  <c r="A163" i="12"/>
  <c r="H163" i="12" s="1"/>
  <c r="A167" i="12"/>
  <c r="H167" i="12" s="1"/>
  <c r="A171" i="12"/>
  <c r="H171" i="12" s="1"/>
  <c r="A175" i="12"/>
  <c r="H175" i="12" s="1"/>
  <c r="A179" i="12"/>
  <c r="A183" i="12"/>
  <c r="A187" i="12"/>
  <c r="H187" i="12" s="1"/>
  <c r="A191" i="12"/>
  <c r="H191" i="12" s="1"/>
  <c r="A195" i="12"/>
  <c r="A199" i="12"/>
  <c r="H199" i="12" s="1"/>
  <c r="A203" i="12"/>
  <c r="H203" i="12" s="1"/>
  <c r="A207" i="12"/>
  <c r="H207" i="12" s="1"/>
  <c r="A211" i="12"/>
  <c r="A215" i="12"/>
  <c r="A219" i="12"/>
  <c r="H219" i="12" s="1"/>
  <c r="A223" i="12"/>
  <c r="H223" i="12" s="1"/>
  <c r="A227" i="12"/>
  <c r="A231" i="12"/>
  <c r="H231" i="12" s="1"/>
  <c r="A235" i="12"/>
  <c r="H235" i="12" s="1"/>
  <c r="A239" i="12"/>
  <c r="H239" i="12" s="1"/>
  <c r="A243" i="12"/>
  <c r="A247" i="12"/>
  <c r="A251" i="12"/>
  <c r="H251" i="12" s="1"/>
  <c r="A255" i="12"/>
  <c r="H255" i="12" s="1"/>
  <c r="A259" i="12"/>
  <c r="A263" i="12"/>
  <c r="H263" i="12" s="1"/>
  <c r="A267" i="12"/>
  <c r="A271" i="12"/>
  <c r="H271" i="12" s="1"/>
  <c r="A275" i="12"/>
  <c r="H275" i="12" s="1"/>
  <c r="A279" i="12"/>
  <c r="H279" i="12" s="1"/>
  <c r="A283" i="12"/>
  <c r="H283" i="12" s="1"/>
  <c r="A287" i="12"/>
  <c r="H287" i="12" s="1"/>
  <c r="A291" i="12"/>
  <c r="H291" i="12" s="1"/>
  <c r="A295" i="12"/>
  <c r="H295" i="12" s="1"/>
  <c r="A299" i="12"/>
  <c r="H299" i="12" s="1"/>
  <c r="A303" i="12"/>
  <c r="H303" i="12" s="1"/>
  <c r="A307" i="12"/>
  <c r="H307" i="12" s="1"/>
  <c r="A311" i="12"/>
  <c r="H311" i="12" s="1"/>
  <c r="A315" i="12"/>
  <c r="H315" i="12" s="1"/>
  <c r="A145" i="12"/>
  <c r="H145" i="12" s="1"/>
  <c r="A149" i="12"/>
  <c r="H149" i="12" s="1"/>
  <c r="A153" i="12"/>
  <c r="H153" i="12" s="1"/>
  <c r="A157" i="12"/>
  <c r="H157" i="12" s="1"/>
  <c r="A161" i="12"/>
  <c r="H161" i="12" s="1"/>
  <c r="A165" i="12"/>
  <c r="H165" i="12" s="1"/>
  <c r="A169" i="12"/>
  <c r="H169" i="12" s="1"/>
  <c r="A173" i="12"/>
  <c r="H173" i="12" s="1"/>
  <c r="A177" i="12"/>
  <c r="H177" i="12" s="1"/>
  <c r="A181" i="12"/>
  <c r="A185" i="12"/>
  <c r="A189" i="12"/>
  <c r="H189" i="12" s="1"/>
  <c r="A193" i="12"/>
  <c r="H193" i="12" s="1"/>
  <c r="A197" i="12"/>
  <c r="A205" i="12"/>
  <c r="H205" i="12" s="1"/>
  <c r="A209" i="12"/>
  <c r="H209" i="12" s="1"/>
  <c r="A213" i="12"/>
  <c r="H213" i="12" s="1"/>
  <c r="A217" i="12"/>
  <c r="H217" i="12" s="1"/>
  <c r="A225" i="12"/>
  <c r="H225" i="12" s="1"/>
  <c r="A229" i="12"/>
  <c r="A237" i="12"/>
  <c r="H237" i="12" s="1"/>
  <c r="A245" i="12"/>
  <c r="A249" i="12"/>
  <c r="A257" i="12"/>
  <c r="H257" i="12" s="1"/>
  <c r="A265" i="12"/>
  <c r="H265" i="12" s="1"/>
  <c r="A273" i="12"/>
  <c r="A281" i="12"/>
  <c r="H281" i="12" s="1"/>
  <c r="A289" i="12"/>
  <c r="A301" i="12"/>
  <c r="H301" i="12" s="1"/>
  <c r="A309" i="12"/>
  <c r="H309" i="12" s="1"/>
  <c r="A317" i="12"/>
  <c r="A152" i="12"/>
  <c r="H152" i="12" s="1"/>
  <c r="A160" i="12"/>
  <c r="H160" i="12" s="1"/>
  <c r="A164" i="12"/>
  <c r="H164" i="12" s="1"/>
  <c r="A172" i="12"/>
  <c r="H172" i="12" s="1"/>
  <c r="A180" i="12"/>
  <c r="H180" i="12" s="1"/>
  <c r="A188" i="12"/>
  <c r="H188" i="12" s="1"/>
  <c r="A196" i="12"/>
  <c r="A204" i="12"/>
  <c r="H204" i="12" s="1"/>
  <c r="A212" i="12"/>
  <c r="H212" i="12" s="1"/>
  <c r="A224" i="12"/>
  <c r="H224" i="12" s="1"/>
  <c r="A232" i="12"/>
  <c r="H232" i="12" s="1"/>
  <c r="A240" i="12"/>
  <c r="H240" i="12" s="1"/>
  <c r="A248" i="12"/>
  <c r="H248" i="12" s="1"/>
  <c r="A252" i="12"/>
  <c r="H252" i="12" s="1"/>
  <c r="A260" i="12"/>
  <c r="A268" i="12"/>
  <c r="H268" i="12" s="1"/>
  <c r="A276" i="12"/>
  <c r="H276" i="12" s="1"/>
  <c r="A284" i="12"/>
  <c r="A292" i="12"/>
  <c r="A300" i="12"/>
  <c r="H300" i="12" s="1"/>
  <c r="A308" i="12"/>
  <c r="A316" i="12"/>
  <c r="H316" i="12" s="1"/>
  <c r="A146" i="12"/>
  <c r="A150" i="12"/>
  <c r="A154" i="12"/>
  <c r="A158" i="12"/>
  <c r="H158" i="12" s="1"/>
  <c r="A162" i="12"/>
  <c r="A166" i="12"/>
  <c r="A170" i="12"/>
  <c r="H170" i="12" s="1"/>
  <c r="A174" i="12"/>
  <c r="H174" i="12" s="1"/>
  <c r="A178" i="12"/>
  <c r="H178" i="12" s="1"/>
  <c r="A182" i="12"/>
  <c r="H182" i="12" s="1"/>
  <c r="A186" i="12"/>
  <c r="H186" i="12" s="1"/>
  <c r="A190" i="12"/>
  <c r="A194" i="12"/>
  <c r="H194" i="12" s="1"/>
  <c r="A198" i="12"/>
  <c r="H198" i="12" s="1"/>
  <c r="A202" i="12"/>
  <c r="H202" i="12" s="1"/>
  <c r="A206" i="12"/>
  <c r="H206" i="12" s="1"/>
  <c r="A210" i="12"/>
  <c r="H210" i="12" s="1"/>
  <c r="A214" i="12"/>
  <c r="H214" i="12" s="1"/>
  <c r="A218" i="12"/>
  <c r="H218" i="12" s="1"/>
  <c r="A222" i="12"/>
  <c r="H222" i="12" s="1"/>
  <c r="A226" i="12"/>
  <c r="H226" i="12" s="1"/>
  <c r="A230" i="12"/>
  <c r="H230" i="12" s="1"/>
  <c r="A234" i="12"/>
  <c r="H234" i="12" s="1"/>
  <c r="A238" i="12"/>
  <c r="H238" i="12" s="1"/>
  <c r="A242" i="12"/>
  <c r="H242" i="12" s="1"/>
  <c r="A246" i="12"/>
  <c r="H246" i="12" s="1"/>
  <c r="A250" i="12"/>
  <c r="H250" i="12" s="1"/>
  <c r="A254" i="12"/>
  <c r="H254" i="12" s="1"/>
  <c r="A258" i="12"/>
  <c r="H258" i="12" s="1"/>
  <c r="A262" i="12"/>
  <c r="H262" i="12" s="1"/>
  <c r="A266" i="12"/>
  <c r="H266" i="12" s="1"/>
  <c r="A270" i="12"/>
  <c r="H270" i="12" s="1"/>
  <c r="A274" i="12"/>
  <c r="H274" i="12" s="1"/>
  <c r="A278" i="12"/>
  <c r="A282" i="12"/>
  <c r="A286" i="12"/>
  <c r="H286" i="12" s="1"/>
  <c r="A290" i="12"/>
  <c r="H290" i="12" s="1"/>
  <c r="A294" i="12"/>
  <c r="H294" i="12" s="1"/>
  <c r="A298" i="12"/>
  <c r="H298" i="12" s="1"/>
  <c r="A302" i="12"/>
  <c r="H302" i="12" s="1"/>
  <c r="A306" i="12"/>
  <c r="H306" i="12" s="1"/>
  <c r="A310" i="12"/>
  <c r="H310" i="12" s="1"/>
  <c r="A314" i="12"/>
  <c r="H314" i="12" s="1"/>
  <c r="A318" i="12"/>
  <c r="H318" i="12" s="1"/>
  <c r="A201" i="12"/>
  <c r="H201" i="12" s="1"/>
  <c r="A221" i="12"/>
  <c r="H221" i="12" s="1"/>
  <c r="A233" i="12"/>
  <c r="H233" i="12" s="1"/>
  <c r="A241" i="12"/>
  <c r="H241" i="12" s="1"/>
  <c r="A253" i="12"/>
  <c r="H253" i="12" s="1"/>
  <c r="A261" i="12"/>
  <c r="H261" i="12" s="1"/>
  <c r="A269" i="12"/>
  <c r="H269" i="12" s="1"/>
  <c r="A277" i="12"/>
  <c r="A285" i="12"/>
  <c r="A293" i="12"/>
  <c r="A297" i="12"/>
  <c r="A305" i="12"/>
  <c r="H305" i="12" s="1"/>
  <c r="A313" i="12"/>
  <c r="A144" i="12"/>
  <c r="H144" i="12" s="1"/>
  <c r="A148" i="12"/>
  <c r="H148" i="12" s="1"/>
  <c r="A156" i="12"/>
  <c r="H156" i="12" s="1"/>
  <c r="A168" i="12"/>
  <c r="H168" i="12" s="1"/>
  <c r="A176" i="12"/>
  <c r="A184" i="12"/>
  <c r="H184" i="12" s="1"/>
  <c r="A192" i="12"/>
  <c r="H192" i="12" s="1"/>
  <c r="A200" i="12"/>
  <c r="H200" i="12" s="1"/>
  <c r="A208" i="12"/>
  <c r="H208" i="12" s="1"/>
  <c r="A216" i="12"/>
  <c r="H216" i="12" s="1"/>
  <c r="A220" i="12"/>
  <c r="H220" i="12" s="1"/>
  <c r="A228" i="12"/>
  <c r="A236" i="12"/>
  <c r="H236" i="12" s="1"/>
  <c r="A244" i="12"/>
  <c r="A256" i="12"/>
  <c r="H256" i="12" s="1"/>
  <c r="A264" i="12"/>
  <c r="H264" i="12" s="1"/>
  <c r="A272" i="12"/>
  <c r="H272" i="12" s="1"/>
  <c r="A280" i="12"/>
  <c r="H280" i="12" s="1"/>
  <c r="A288" i="12"/>
  <c r="H288" i="12" s="1"/>
  <c r="A296" i="12"/>
  <c r="H296" i="12" s="1"/>
  <c r="A304" i="12"/>
  <c r="H304" i="12" s="1"/>
  <c r="A312" i="12"/>
  <c r="H312" i="12" s="1"/>
  <c r="A143" i="12"/>
  <c r="F12" i="14"/>
  <c r="B137" i="11"/>
  <c r="E12" i="14"/>
  <c r="B137" i="10"/>
  <c r="G150" i="14"/>
  <c r="BJ136" i="12"/>
  <c r="B109" i="9"/>
  <c r="D151" i="14" s="1"/>
  <c r="BJ136" i="9"/>
  <c r="U144" i="9"/>
  <c r="AB144" i="9" s="1"/>
  <c r="U146" i="9"/>
  <c r="U148" i="9"/>
  <c r="AB148" i="9" s="1"/>
  <c r="U150" i="9"/>
  <c r="AB150" i="9" s="1"/>
  <c r="U152" i="9"/>
  <c r="AB152" i="9" s="1"/>
  <c r="U154" i="9"/>
  <c r="AB154" i="9" s="1"/>
  <c r="U156" i="9"/>
  <c r="AB156" i="9" s="1"/>
  <c r="U158" i="9"/>
  <c r="AB158" i="9" s="1"/>
  <c r="U160" i="9"/>
  <c r="AB160" i="9" s="1"/>
  <c r="U162" i="9"/>
  <c r="U164" i="9"/>
  <c r="AB164" i="9" s="1"/>
  <c r="U166" i="9"/>
  <c r="AB166" i="9" s="1"/>
  <c r="U168" i="9"/>
  <c r="AB168" i="9" s="1"/>
  <c r="U170" i="9"/>
  <c r="AB170" i="9" s="1"/>
  <c r="U172" i="9"/>
  <c r="U174" i="9"/>
  <c r="AB174" i="9" s="1"/>
  <c r="U176" i="9"/>
  <c r="AB176" i="9" s="1"/>
  <c r="U178" i="9"/>
  <c r="U180" i="9"/>
  <c r="AB180" i="9" s="1"/>
  <c r="U182" i="9"/>
  <c r="AB182" i="9" s="1"/>
  <c r="U184" i="9"/>
  <c r="AB184" i="9" s="1"/>
  <c r="U186" i="9"/>
  <c r="AB186" i="9" s="1"/>
  <c r="U188" i="9"/>
  <c r="AB188" i="9" s="1"/>
  <c r="U190" i="9"/>
  <c r="AB190" i="9" s="1"/>
  <c r="U192" i="9"/>
  <c r="AB192" i="9" s="1"/>
  <c r="U194" i="9"/>
  <c r="U196" i="9"/>
  <c r="AB196" i="9" s="1"/>
  <c r="U198" i="9"/>
  <c r="AB198" i="9" s="1"/>
  <c r="U200" i="9"/>
  <c r="AB200" i="9" s="1"/>
  <c r="U202" i="9"/>
  <c r="AB202" i="9" s="1"/>
  <c r="U204" i="9"/>
  <c r="U206" i="9"/>
  <c r="AB206" i="9" s="1"/>
  <c r="U208" i="9"/>
  <c r="AB208" i="9" s="1"/>
  <c r="U210" i="9"/>
  <c r="U212" i="9"/>
  <c r="AB212" i="9" s="1"/>
  <c r="U214" i="9"/>
  <c r="AB214" i="9" s="1"/>
  <c r="U216" i="9"/>
  <c r="AB216" i="9" s="1"/>
  <c r="U218" i="9"/>
  <c r="AB218" i="9" s="1"/>
  <c r="U220" i="9"/>
  <c r="AB220" i="9" s="1"/>
  <c r="U222" i="9"/>
  <c r="AB222" i="9" s="1"/>
  <c r="U224" i="9"/>
  <c r="AB224" i="9" s="1"/>
  <c r="U226" i="9"/>
  <c r="U228" i="9"/>
  <c r="AB228" i="9" s="1"/>
  <c r="U230" i="9"/>
  <c r="AB230" i="9" s="1"/>
  <c r="U232" i="9"/>
  <c r="AB232" i="9" s="1"/>
  <c r="U234" i="9"/>
  <c r="AB234" i="9" s="1"/>
  <c r="U236" i="9"/>
  <c r="U238" i="9"/>
  <c r="AB238" i="9" s="1"/>
  <c r="U240" i="9"/>
  <c r="AB240" i="9" s="1"/>
  <c r="U242" i="9"/>
  <c r="AB242" i="9" s="1"/>
  <c r="U244" i="9"/>
  <c r="U246" i="9"/>
  <c r="U248" i="9"/>
  <c r="AB248" i="9" s="1"/>
  <c r="U250" i="9"/>
  <c r="U252" i="9"/>
  <c r="AB252" i="9" s="1"/>
  <c r="U254" i="9"/>
  <c r="AB254" i="9" s="1"/>
  <c r="U256" i="9"/>
  <c r="AB256" i="9" s="1"/>
  <c r="U258" i="9"/>
  <c r="AB258" i="9" s="1"/>
  <c r="U260" i="9"/>
  <c r="AB260" i="9" s="1"/>
  <c r="U262" i="9"/>
  <c r="AB262" i="9" s="1"/>
  <c r="U264" i="9"/>
  <c r="AB264" i="9" s="1"/>
  <c r="U266" i="9"/>
  <c r="U268" i="9"/>
  <c r="AB268" i="9" s="1"/>
  <c r="U270" i="9"/>
  <c r="AB270" i="9" s="1"/>
  <c r="U272" i="9"/>
  <c r="U274" i="9"/>
  <c r="AB274" i="9" s="1"/>
  <c r="U276" i="9"/>
  <c r="AB276" i="9" s="1"/>
  <c r="U278" i="9"/>
  <c r="AB278" i="9" s="1"/>
  <c r="U280" i="9"/>
  <c r="AB280" i="9" s="1"/>
  <c r="U282" i="9"/>
  <c r="AB282" i="9" s="1"/>
  <c r="U284" i="9"/>
  <c r="AB284" i="9" s="1"/>
  <c r="U286" i="9"/>
  <c r="U288" i="9"/>
  <c r="AB288" i="9" s="1"/>
  <c r="U290" i="9"/>
  <c r="AB290" i="9" s="1"/>
  <c r="U292" i="9"/>
  <c r="AB292" i="9" s="1"/>
  <c r="U294" i="9"/>
  <c r="AB294" i="9" s="1"/>
  <c r="U296" i="9"/>
  <c r="AB296" i="9" s="1"/>
  <c r="U298" i="9"/>
  <c r="U300" i="9"/>
  <c r="U302" i="9"/>
  <c r="AB302" i="9" s="1"/>
  <c r="U304" i="9"/>
  <c r="AB304" i="9" s="1"/>
  <c r="U306" i="9"/>
  <c r="AB306" i="9" s="1"/>
  <c r="U308" i="9"/>
  <c r="AB308" i="9" s="1"/>
  <c r="U310" i="9"/>
  <c r="U312" i="9"/>
  <c r="AB312" i="9" s="1"/>
  <c r="U314" i="9"/>
  <c r="AB314" i="9" s="1"/>
  <c r="U316" i="9"/>
  <c r="AB316" i="9" s="1"/>
  <c r="U318" i="9"/>
  <c r="AB318" i="9" s="1"/>
  <c r="U147" i="9"/>
  <c r="AB147" i="9" s="1"/>
  <c r="U151" i="9"/>
  <c r="AB151" i="9" s="1"/>
  <c r="U155" i="9"/>
  <c r="AB155" i="9" s="1"/>
  <c r="U159" i="9"/>
  <c r="AB159" i="9" s="1"/>
  <c r="U163" i="9"/>
  <c r="AB163" i="9" s="1"/>
  <c r="U167" i="9"/>
  <c r="AB167" i="9" s="1"/>
  <c r="U171" i="9"/>
  <c r="AB171" i="9" s="1"/>
  <c r="U175" i="9"/>
  <c r="AB175" i="9" s="1"/>
  <c r="U179" i="9"/>
  <c r="AB179" i="9" s="1"/>
  <c r="U183" i="9"/>
  <c r="AB183" i="9" s="1"/>
  <c r="U187" i="9"/>
  <c r="AB187" i="9" s="1"/>
  <c r="U191" i="9"/>
  <c r="AB191" i="9" s="1"/>
  <c r="U195" i="9"/>
  <c r="AB195" i="9" s="1"/>
  <c r="U199" i="9"/>
  <c r="AB199" i="9" s="1"/>
  <c r="U203" i="9"/>
  <c r="AB203" i="9" s="1"/>
  <c r="U207" i="9"/>
  <c r="AB207" i="9" s="1"/>
  <c r="U211" i="9"/>
  <c r="AB211" i="9" s="1"/>
  <c r="U215" i="9"/>
  <c r="AB215" i="9" s="1"/>
  <c r="U219" i="9"/>
  <c r="AB219" i="9" s="1"/>
  <c r="U223" i="9"/>
  <c r="AB223" i="9" s="1"/>
  <c r="U227" i="9"/>
  <c r="AB227" i="9" s="1"/>
  <c r="U231" i="9"/>
  <c r="AB231" i="9" s="1"/>
  <c r="U235" i="9"/>
  <c r="AB235" i="9" s="1"/>
  <c r="U239" i="9"/>
  <c r="AB239" i="9" s="1"/>
  <c r="U243" i="9"/>
  <c r="AB243" i="9" s="1"/>
  <c r="U247" i="9"/>
  <c r="AB247" i="9" s="1"/>
  <c r="U251" i="9"/>
  <c r="AB251" i="9" s="1"/>
  <c r="U255" i="9"/>
  <c r="AB255" i="9" s="1"/>
  <c r="U259" i="9"/>
  <c r="AB259" i="9" s="1"/>
  <c r="U263" i="9"/>
  <c r="AB263" i="9" s="1"/>
  <c r="U267" i="9"/>
  <c r="AB267" i="9" s="1"/>
  <c r="U271" i="9"/>
  <c r="AB271" i="9" s="1"/>
  <c r="U275" i="9"/>
  <c r="AB275" i="9" s="1"/>
  <c r="U279" i="9"/>
  <c r="AB279" i="9" s="1"/>
  <c r="U283" i="9"/>
  <c r="AB283" i="9" s="1"/>
  <c r="U287" i="9"/>
  <c r="AB287" i="9" s="1"/>
  <c r="U291" i="9"/>
  <c r="AB291" i="9" s="1"/>
  <c r="U295" i="9"/>
  <c r="AB295" i="9" s="1"/>
  <c r="U299" i="9"/>
  <c r="AB299" i="9" s="1"/>
  <c r="U303" i="9"/>
  <c r="U307" i="9"/>
  <c r="U311" i="9"/>
  <c r="AB311" i="9" s="1"/>
  <c r="U315" i="9"/>
  <c r="AB315" i="9" s="1"/>
  <c r="U143" i="9"/>
  <c r="U145" i="9"/>
  <c r="AB145" i="9" s="1"/>
  <c r="U149" i="9"/>
  <c r="AB149" i="9" s="1"/>
  <c r="U153" i="9"/>
  <c r="AB153" i="9" s="1"/>
  <c r="U157" i="9"/>
  <c r="AB157" i="9" s="1"/>
  <c r="U161" i="9"/>
  <c r="AB161" i="9" s="1"/>
  <c r="U165" i="9"/>
  <c r="AB165" i="9" s="1"/>
  <c r="U169" i="9"/>
  <c r="AB169" i="9" s="1"/>
  <c r="U173" i="9"/>
  <c r="AB173" i="9" s="1"/>
  <c r="U177" i="9"/>
  <c r="AB177" i="9" s="1"/>
  <c r="U181" i="9"/>
  <c r="AB181" i="9" s="1"/>
  <c r="U185" i="9"/>
  <c r="AB185" i="9" s="1"/>
  <c r="U189" i="9"/>
  <c r="AB189" i="9" s="1"/>
  <c r="U193" i="9"/>
  <c r="AB193" i="9" s="1"/>
  <c r="U197" i="9"/>
  <c r="AB197" i="9" s="1"/>
  <c r="U201" i="9"/>
  <c r="AB201" i="9" s="1"/>
  <c r="U205" i="9"/>
  <c r="AB205" i="9" s="1"/>
  <c r="U209" i="9"/>
  <c r="AB209" i="9" s="1"/>
  <c r="U213" i="9"/>
  <c r="AB213" i="9" s="1"/>
  <c r="U217" i="9"/>
  <c r="AB217" i="9" s="1"/>
  <c r="U221" i="9"/>
  <c r="AB221" i="9" s="1"/>
  <c r="U225" i="9"/>
  <c r="AB225" i="9" s="1"/>
  <c r="U229" i="9"/>
  <c r="AB229" i="9" s="1"/>
  <c r="U233" i="9"/>
  <c r="AB233" i="9" s="1"/>
  <c r="U237" i="9"/>
  <c r="AB237" i="9" s="1"/>
  <c r="U241" i="9"/>
  <c r="AB241" i="9" s="1"/>
  <c r="U245" i="9"/>
  <c r="AB245" i="9" s="1"/>
  <c r="U249" i="9"/>
  <c r="AB249" i="9" s="1"/>
  <c r="U253" i="9"/>
  <c r="AB253" i="9" s="1"/>
  <c r="U257" i="9"/>
  <c r="AB257" i="9" s="1"/>
  <c r="U261" i="9"/>
  <c r="AB261" i="9" s="1"/>
  <c r="U265" i="9"/>
  <c r="AB265" i="9" s="1"/>
  <c r="U269" i="9"/>
  <c r="AB269" i="9" s="1"/>
  <c r="U273" i="9"/>
  <c r="AB273" i="9" s="1"/>
  <c r="U277" i="9"/>
  <c r="AB277" i="9" s="1"/>
  <c r="U281" i="9"/>
  <c r="U285" i="9"/>
  <c r="U289" i="9"/>
  <c r="U293" i="9"/>
  <c r="AB293" i="9" s="1"/>
  <c r="U297" i="9"/>
  <c r="AB297" i="9" s="1"/>
  <c r="U301" i="9"/>
  <c r="AB301" i="9" s="1"/>
  <c r="U305" i="9"/>
  <c r="AB305" i="9" s="1"/>
  <c r="U309" i="9"/>
  <c r="U313" i="9"/>
  <c r="AB313" i="9" s="1"/>
  <c r="U317" i="9"/>
  <c r="AB317" i="9" s="1"/>
  <c r="AY144" i="9"/>
  <c r="AY146" i="9"/>
  <c r="AY148" i="9"/>
  <c r="AY150" i="9"/>
  <c r="AY152" i="9"/>
  <c r="AY154" i="9"/>
  <c r="AY156" i="9"/>
  <c r="AY158" i="9"/>
  <c r="AY160" i="9"/>
  <c r="AY162" i="9"/>
  <c r="AY164" i="9"/>
  <c r="AY166" i="9"/>
  <c r="AY168" i="9"/>
  <c r="AY170" i="9"/>
  <c r="AY172" i="9"/>
  <c r="AY174" i="9"/>
  <c r="AY176" i="9"/>
  <c r="AY178" i="9"/>
  <c r="AY180" i="9"/>
  <c r="AY182" i="9"/>
  <c r="AY184" i="9"/>
  <c r="AY186" i="9"/>
  <c r="AY188" i="9"/>
  <c r="AY190" i="9"/>
  <c r="AY192" i="9"/>
  <c r="AY194" i="9"/>
  <c r="AY196" i="9"/>
  <c r="AY198" i="9"/>
  <c r="AY200" i="9"/>
  <c r="AY202" i="9"/>
  <c r="AY204" i="9"/>
  <c r="AY206" i="9"/>
  <c r="AY208" i="9"/>
  <c r="AY210" i="9"/>
  <c r="AY212" i="9"/>
  <c r="AY214" i="9"/>
  <c r="AY216" i="9"/>
  <c r="AY218" i="9"/>
  <c r="AY220" i="9"/>
  <c r="AY222" i="9"/>
  <c r="AY224" i="9"/>
  <c r="AY226" i="9"/>
  <c r="AY228" i="9"/>
  <c r="AY230" i="9"/>
  <c r="AY232" i="9"/>
  <c r="AY234" i="9"/>
  <c r="AY236" i="9"/>
  <c r="AY238" i="9"/>
  <c r="AY240" i="9"/>
  <c r="AY242" i="9"/>
  <c r="AY244" i="9"/>
  <c r="AY246" i="9"/>
  <c r="AY248" i="9"/>
  <c r="AY250" i="9"/>
  <c r="AY252" i="9"/>
  <c r="AY254" i="9"/>
  <c r="AY256" i="9"/>
  <c r="AY258" i="9"/>
  <c r="AY260" i="9"/>
  <c r="AY262" i="9"/>
  <c r="AY264" i="9"/>
  <c r="AY266" i="9"/>
  <c r="AY268" i="9"/>
  <c r="AY270" i="9"/>
  <c r="AY272" i="9"/>
  <c r="AY274" i="9"/>
  <c r="AY276" i="9"/>
  <c r="AY278" i="9"/>
  <c r="AY280" i="9"/>
  <c r="AY282" i="9"/>
  <c r="AY284" i="9"/>
  <c r="AY286" i="9"/>
  <c r="AY288" i="9"/>
  <c r="AY290" i="9"/>
  <c r="AY292" i="9"/>
  <c r="AY294" i="9"/>
  <c r="AY296" i="9"/>
  <c r="AY298" i="9"/>
  <c r="AY300" i="9"/>
  <c r="AY302" i="9"/>
  <c r="AY304" i="9"/>
  <c r="AY306" i="9"/>
  <c r="AY308" i="9"/>
  <c r="AY310" i="9"/>
  <c r="AY312" i="9"/>
  <c r="AY314" i="9"/>
  <c r="AY316" i="9"/>
  <c r="AY318" i="9"/>
  <c r="AY147" i="9"/>
  <c r="BF147" i="9" s="1"/>
  <c r="AY151" i="9"/>
  <c r="BF151" i="9" s="1"/>
  <c r="AY155" i="9"/>
  <c r="BF155" i="9" s="1"/>
  <c r="AY159" i="9"/>
  <c r="BF159" i="9" s="1"/>
  <c r="AY163" i="9"/>
  <c r="BF163" i="9" s="1"/>
  <c r="AY167" i="9"/>
  <c r="BF167" i="9" s="1"/>
  <c r="AY171" i="9"/>
  <c r="BF171" i="9" s="1"/>
  <c r="AY175" i="9"/>
  <c r="BF175" i="9" s="1"/>
  <c r="AY179" i="9"/>
  <c r="BF179" i="9" s="1"/>
  <c r="AY183" i="9"/>
  <c r="BF183" i="9" s="1"/>
  <c r="AY187" i="9"/>
  <c r="BF187" i="9" s="1"/>
  <c r="AY191" i="9"/>
  <c r="BF191" i="9" s="1"/>
  <c r="AY195" i="9"/>
  <c r="BF195" i="9" s="1"/>
  <c r="AY199" i="9"/>
  <c r="BF199" i="9" s="1"/>
  <c r="AY203" i="9"/>
  <c r="BF203" i="9" s="1"/>
  <c r="AY207" i="9"/>
  <c r="BF207" i="9" s="1"/>
  <c r="AY211" i="9"/>
  <c r="BF211" i="9" s="1"/>
  <c r="AY215" i="9"/>
  <c r="BF215" i="9" s="1"/>
  <c r="AY219" i="9"/>
  <c r="BF219" i="9" s="1"/>
  <c r="AY223" i="9"/>
  <c r="BF223" i="9" s="1"/>
  <c r="AY227" i="9"/>
  <c r="BF227" i="9" s="1"/>
  <c r="AY231" i="9"/>
  <c r="BF231" i="9" s="1"/>
  <c r="AY235" i="9"/>
  <c r="BF235" i="9" s="1"/>
  <c r="AY239" i="9"/>
  <c r="BF239" i="9" s="1"/>
  <c r="AY243" i="9"/>
  <c r="AY247" i="9"/>
  <c r="BF247" i="9" s="1"/>
  <c r="AY251" i="9"/>
  <c r="AY255" i="9"/>
  <c r="BF255" i="9" s="1"/>
  <c r="AY259" i="9"/>
  <c r="BF259" i="9" s="1"/>
  <c r="AY263" i="9"/>
  <c r="BF263" i="9" s="1"/>
  <c r="AY267" i="9"/>
  <c r="BF267" i="9" s="1"/>
  <c r="AY271" i="9"/>
  <c r="BF271" i="9" s="1"/>
  <c r="AY275" i="9"/>
  <c r="BF275" i="9" s="1"/>
  <c r="AY279" i="9"/>
  <c r="BF279" i="9" s="1"/>
  <c r="AY283" i="9"/>
  <c r="BF283" i="9" s="1"/>
  <c r="AY287" i="9"/>
  <c r="BF287" i="9" s="1"/>
  <c r="AY291" i="9"/>
  <c r="BF291" i="9" s="1"/>
  <c r="AY295" i="9"/>
  <c r="AY299" i="9"/>
  <c r="AY303" i="9"/>
  <c r="AY307" i="9"/>
  <c r="AY311" i="9"/>
  <c r="BF311" i="9" s="1"/>
  <c r="AY315" i="9"/>
  <c r="BF315" i="9" s="1"/>
  <c r="AY143" i="9"/>
  <c r="BF143" i="9" s="1"/>
  <c r="AY145" i="9"/>
  <c r="BF145" i="9" s="1"/>
  <c r="AY149" i="9"/>
  <c r="BF149" i="9" s="1"/>
  <c r="AY153" i="9"/>
  <c r="BF153" i="9" s="1"/>
  <c r="AY157" i="9"/>
  <c r="BF157" i="9" s="1"/>
  <c r="AY161" i="9"/>
  <c r="BF161" i="9" s="1"/>
  <c r="AY165" i="9"/>
  <c r="BF165" i="9" s="1"/>
  <c r="AY169" i="9"/>
  <c r="BF169" i="9" s="1"/>
  <c r="AY173" i="9"/>
  <c r="BF173" i="9" s="1"/>
  <c r="AY177" i="9"/>
  <c r="BF177" i="9" s="1"/>
  <c r="AY181" i="9"/>
  <c r="BF181" i="9" s="1"/>
  <c r="AY185" i="9"/>
  <c r="BF185" i="9" s="1"/>
  <c r="AY189" i="9"/>
  <c r="BF189" i="9" s="1"/>
  <c r="AY193" i="9"/>
  <c r="BF193" i="9" s="1"/>
  <c r="AY197" i="9"/>
  <c r="BF197" i="9" s="1"/>
  <c r="AY201" i="9"/>
  <c r="BF201" i="9" s="1"/>
  <c r="AY205" i="9"/>
  <c r="BF205" i="9" s="1"/>
  <c r="AY209" i="9"/>
  <c r="BF209" i="9" s="1"/>
  <c r="AY213" i="9"/>
  <c r="BF213" i="9" s="1"/>
  <c r="AY217" i="9"/>
  <c r="BF217" i="9" s="1"/>
  <c r="AY221" i="9"/>
  <c r="BF221" i="9" s="1"/>
  <c r="AY225" i="9"/>
  <c r="AY229" i="9"/>
  <c r="BF229" i="9" s="1"/>
  <c r="AY233" i="9"/>
  <c r="BF233" i="9" s="1"/>
  <c r="AY237" i="9"/>
  <c r="BF237" i="9" s="1"/>
  <c r="AY241" i="9"/>
  <c r="AY245" i="9"/>
  <c r="BF245" i="9" s="1"/>
  <c r="AY249" i="9"/>
  <c r="BF249" i="9" s="1"/>
  <c r="AY253" i="9"/>
  <c r="AY257" i="9"/>
  <c r="BF257" i="9" s="1"/>
  <c r="AY261" i="9"/>
  <c r="AY265" i="9"/>
  <c r="BF265" i="9" s="1"/>
  <c r="AY269" i="9"/>
  <c r="BF269" i="9" s="1"/>
  <c r="AY273" i="9"/>
  <c r="BF273" i="9" s="1"/>
  <c r="AY277" i="9"/>
  <c r="AY281" i="9"/>
  <c r="BF281" i="9" s="1"/>
  <c r="AY285" i="9"/>
  <c r="AY289" i="9"/>
  <c r="BF289" i="9" s="1"/>
  <c r="AY293" i="9"/>
  <c r="BF293" i="9" s="1"/>
  <c r="AY297" i="9"/>
  <c r="AY301" i="9"/>
  <c r="AY305" i="9"/>
  <c r="AY309" i="9"/>
  <c r="BF309" i="9" s="1"/>
  <c r="AY313" i="9"/>
  <c r="BF313" i="9" s="1"/>
  <c r="AY317" i="9"/>
  <c r="BF317" i="9" s="1"/>
  <c r="B77" i="9"/>
  <c r="D105" i="14" s="1"/>
  <c r="AP136" i="9"/>
  <c r="R235" i="9"/>
  <c r="H237" i="9"/>
  <c r="AB226" i="9"/>
  <c r="AB210" i="9"/>
  <c r="AB204" i="9"/>
  <c r="AB194" i="9"/>
  <c r="AB178" i="9"/>
  <c r="AB172" i="9"/>
  <c r="AB162" i="9"/>
  <c r="AB146" i="9"/>
  <c r="H229" i="9"/>
  <c r="H219" i="9"/>
  <c r="H213" i="9"/>
  <c r="H209" i="9"/>
  <c r="H203" i="9"/>
  <c r="H199" i="9"/>
  <c r="H191" i="9"/>
  <c r="H171" i="9"/>
  <c r="H167" i="9"/>
  <c r="H159" i="9"/>
  <c r="H155" i="9"/>
  <c r="H147" i="9"/>
  <c r="AB281" i="9"/>
  <c r="AB285" i="9"/>
  <c r="AB289" i="9"/>
  <c r="AB309" i="9"/>
  <c r="AB244" i="9"/>
  <c r="AB272" i="9"/>
  <c r="AB300" i="9"/>
  <c r="B45" i="9"/>
  <c r="V137" i="9" s="1"/>
  <c r="AB236" i="9"/>
  <c r="H241" i="9"/>
  <c r="H245" i="9"/>
  <c r="H251" i="9"/>
  <c r="H259" i="9"/>
  <c r="H265" i="9"/>
  <c r="H269" i="9"/>
  <c r="H277" i="9"/>
  <c r="H289" i="9"/>
  <c r="H293" i="9"/>
  <c r="H299" i="9"/>
  <c r="H303" i="9"/>
  <c r="H307" i="9"/>
  <c r="H311" i="9"/>
  <c r="H315" i="9"/>
  <c r="H235" i="9"/>
  <c r="H255" i="9"/>
  <c r="H263" i="9"/>
  <c r="H275" i="9"/>
  <c r="H283" i="9"/>
  <c r="H287" i="9"/>
  <c r="H280" i="9"/>
  <c r="H284" i="9"/>
  <c r="H288" i="9"/>
  <c r="H292" i="9"/>
  <c r="H296" i="9"/>
  <c r="H300" i="9"/>
  <c r="H304" i="9"/>
  <c r="H308" i="9"/>
  <c r="H312" i="9"/>
  <c r="H316" i="9"/>
  <c r="H225" i="9"/>
  <c r="H217" i="9"/>
  <c r="H197" i="9"/>
  <c r="H189" i="9"/>
  <c r="H185" i="9"/>
  <c r="H179" i="9"/>
  <c r="H175" i="9"/>
  <c r="H163" i="9"/>
  <c r="H153" i="9"/>
  <c r="R316" i="9"/>
  <c r="R307" i="9"/>
  <c r="R300" i="9"/>
  <c r="R291" i="9"/>
  <c r="R284" i="9"/>
  <c r="R275" i="9"/>
  <c r="R259" i="9"/>
  <c r="R243" i="9"/>
  <c r="R231" i="9"/>
  <c r="R225" i="9"/>
  <c r="R215" i="9"/>
  <c r="R209" i="9"/>
  <c r="R199" i="9"/>
  <c r="R193" i="9"/>
  <c r="R183" i="9"/>
  <c r="R177" i="9"/>
  <c r="R167" i="9"/>
  <c r="R161" i="9"/>
  <c r="R313" i="9"/>
  <c r="R306" i="9"/>
  <c r="R297" i="9"/>
  <c r="R290" i="9"/>
  <c r="R281" i="9"/>
  <c r="R265" i="9"/>
  <c r="R249" i="9"/>
  <c r="R229" i="9"/>
  <c r="R221" i="9"/>
  <c r="R213" i="9"/>
  <c r="R205" i="9"/>
  <c r="R197" i="9"/>
  <c r="R189" i="9"/>
  <c r="R181" i="9"/>
  <c r="R173" i="9"/>
  <c r="R165" i="9"/>
  <c r="R157" i="9"/>
  <c r="R287" i="9"/>
  <c r="R269" i="9"/>
  <c r="R171" i="9"/>
  <c r="AB143" i="9"/>
  <c r="R301" i="9"/>
  <c r="R271" i="9"/>
  <c r="R280" i="9"/>
  <c r="R227" i="9"/>
  <c r="R294" i="9"/>
  <c r="R179" i="9"/>
  <c r="R282" i="9"/>
  <c r="R314" i="9"/>
  <c r="R241" i="9"/>
  <c r="R273" i="9"/>
  <c r="R296" i="9"/>
  <c r="R310" i="9"/>
  <c r="R155" i="9"/>
  <c r="R219" i="9"/>
  <c r="R267" i="9"/>
  <c r="R299" i="9"/>
  <c r="R317" i="9"/>
  <c r="H233" i="9"/>
  <c r="R237" i="9"/>
  <c r="H150" i="9"/>
  <c r="H231" i="9"/>
  <c r="H223" i="9"/>
  <c r="H215" i="9"/>
  <c r="H211" i="9"/>
  <c r="H207" i="9"/>
  <c r="H201" i="9"/>
  <c r="H195" i="9"/>
  <c r="H181" i="9"/>
  <c r="H169" i="9"/>
  <c r="H165" i="9"/>
  <c r="H157" i="9"/>
  <c r="H149" i="9"/>
  <c r="AB303" i="9"/>
  <c r="AB307" i="9"/>
  <c r="AB246" i="9"/>
  <c r="AB250" i="9"/>
  <c r="AB266" i="9"/>
  <c r="AB286" i="9"/>
  <c r="AB298" i="9"/>
  <c r="AB310" i="9"/>
  <c r="H239" i="9"/>
  <c r="H243" i="9"/>
  <c r="H249" i="9"/>
  <c r="H253" i="9"/>
  <c r="H261" i="9"/>
  <c r="H267" i="9"/>
  <c r="H271" i="9"/>
  <c r="H279" i="9"/>
  <c r="H291" i="9"/>
  <c r="H295" i="9"/>
  <c r="H301" i="9"/>
  <c r="H305" i="9"/>
  <c r="H309" i="9"/>
  <c r="H313" i="9"/>
  <c r="H317" i="9"/>
  <c r="H247" i="9"/>
  <c r="H257" i="9"/>
  <c r="H273" i="9"/>
  <c r="H281" i="9"/>
  <c r="H285" i="9"/>
  <c r="H297" i="9"/>
  <c r="H282" i="9"/>
  <c r="H286" i="9"/>
  <c r="H290" i="9"/>
  <c r="H294" i="9"/>
  <c r="H298" i="9"/>
  <c r="H302" i="9"/>
  <c r="H306" i="9"/>
  <c r="H310" i="9"/>
  <c r="H314" i="9"/>
  <c r="H318" i="9"/>
  <c r="H227" i="9"/>
  <c r="H221" i="9"/>
  <c r="H205" i="9"/>
  <c r="H193" i="9"/>
  <c r="H187" i="9"/>
  <c r="H183" i="9"/>
  <c r="H177" i="9"/>
  <c r="H173" i="9"/>
  <c r="H161" i="9"/>
  <c r="H151" i="9"/>
  <c r="B93" i="9"/>
  <c r="AZ137" i="9" s="1"/>
  <c r="R318" i="9"/>
  <c r="R309" i="9"/>
  <c r="R302" i="9"/>
  <c r="R293" i="9"/>
  <c r="R286" i="9"/>
  <c r="R277" i="9"/>
  <c r="R261" i="9"/>
  <c r="R245" i="9"/>
  <c r="R233" i="9"/>
  <c r="R223" i="9"/>
  <c r="R217" i="9"/>
  <c r="R207" i="9"/>
  <c r="R201" i="9"/>
  <c r="R191" i="9"/>
  <c r="R185" i="9"/>
  <c r="R175" i="9"/>
  <c r="R169" i="9"/>
  <c r="R159" i="9"/>
  <c r="R153" i="9"/>
  <c r="R311" i="9"/>
  <c r="R304" i="9"/>
  <c r="R295" i="9"/>
  <c r="R288" i="9"/>
  <c r="R279" i="9"/>
  <c r="R263" i="9"/>
  <c r="R247" i="9"/>
  <c r="R308" i="9"/>
  <c r="R239" i="9"/>
  <c r="R195" i="9"/>
  <c r="R303" i="9"/>
  <c r="R253" i="9"/>
  <c r="R289" i="9"/>
  <c r="R211" i="9"/>
  <c r="R298" i="9"/>
  <c r="R203" i="9"/>
  <c r="R257" i="9"/>
  <c r="R305" i="9"/>
  <c r="R312" i="9"/>
  <c r="R187" i="9"/>
  <c r="R251" i="9"/>
  <c r="R283" i="9"/>
  <c r="R315" i="9"/>
  <c r="R255" i="9"/>
  <c r="R163" i="9"/>
  <c r="R292" i="9"/>
  <c r="R285" i="9"/>
  <c r="Q128" i="28"/>
  <c r="Y15" i="3"/>
  <c r="Y14" i="3"/>
  <c r="W16" i="3"/>
  <c r="P28" i="3"/>
  <c r="P32" i="3"/>
  <c r="M24" i="41"/>
  <c r="M41" i="41" s="1"/>
  <c r="H24" i="41"/>
  <c r="N24" i="41" s="1"/>
  <c r="H26" i="27"/>
  <c r="M72" i="36"/>
  <c r="H10" i="27" s="1"/>
  <c r="H308" i="3"/>
  <c r="F308" i="3"/>
  <c r="H309" i="3" s="1"/>
  <c r="G75" i="16"/>
  <c r="H24" i="3"/>
  <c r="X10" i="3"/>
  <c r="X11" i="3" s="1"/>
  <c r="A25" i="3"/>
  <c r="A26" i="3" s="1"/>
  <c r="K10" i="3"/>
  <c r="K11" i="3"/>
  <c r="K6" i="3"/>
  <c r="H5" i="3" s="1"/>
  <c r="G75" i="19"/>
  <c r="G94" i="16"/>
  <c r="Q129" i="28"/>
  <c r="A3" i="33"/>
  <c r="A3" i="34" s="1"/>
  <c r="B53" i="17"/>
  <c r="J16" i="27"/>
  <c r="O28" i="3"/>
  <c r="O29" i="3" s="1"/>
  <c r="O32" i="3"/>
  <c r="N28" i="3"/>
  <c r="N32" i="3"/>
  <c r="M28" i="3"/>
  <c r="M29" i="3" s="1"/>
  <c r="M32" i="3"/>
  <c r="G74" i="20"/>
  <c r="H7" i="21"/>
  <c r="H11" i="14"/>
  <c r="G31" i="17"/>
  <c r="G28" i="21"/>
  <c r="H7" i="17"/>
  <c r="E73" i="1"/>
  <c r="H229" i="22"/>
  <c r="H7" i="16"/>
  <c r="D12" i="14"/>
  <c r="G28" i="20"/>
  <c r="B45" i="12"/>
  <c r="G72" i="15"/>
  <c r="G74" i="15"/>
  <c r="G75" i="15"/>
  <c r="D81" i="14"/>
  <c r="E75" i="1"/>
  <c r="H73" i="15"/>
  <c r="H7" i="22"/>
  <c r="H29" i="15"/>
  <c r="G72" i="18"/>
  <c r="F75" i="1"/>
  <c r="H28" i="25"/>
  <c r="K28" i="25" s="1"/>
  <c r="G94" i="15"/>
  <c r="E74" i="1"/>
  <c r="F74" i="1"/>
  <c r="C20" i="7" s="1"/>
  <c r="D20" i="7" s="1"/>
  <c r="G474" i="22"/>
  <c r="G75" i="20"/>
  <c r="H51" i="17"/>
  <c r="E77" i="1"/>
  <c r="H7" i="20"/>
  <c r="F76" i="1" s="1"/>
  <c r="C22" i="7" s="1"/>
  <c r="E76" i="1"/>
  <c r="B31" i="22"/>
  <c r="F58" i="14"/>
  <c r="F127" i="14"/>
  <c r="L93" i="10"/>
  <c r="B92" i="10" s="1"/>
  <c r="H104" i="14"/>
  <c r="B61" i="12"/>
  <c r="F11" i="14"/>
  <c r="D104" i="14"/>
  <c r="B109" i="12"/>
  <c r="H127" i="14"/>
  <c r="D127" i="14"/>
  <c r="F104" i="14"/>
  <c r="L62" i="10"/>
  <c r="B60" i="10" s="1"/>
  <c r="H73" i="21"/>
  <c r="G74" i="21"/>
  <c r="G75" i="21"/>
  <c r="B77" i="11"/>
  <c r="L77" i="10"/>
  <c r="B76" i="10" s="1"/>
  <c r="B31" i="20"/>
  <c r="B75" i="17"/>
  <c r="F75" i="17" s="1"/>
  <c r="G9" i="18"/>
  <c r="B53" i="19"/>
  <c r="B275" i="22"/>
  <c r="B109" i="22"/>
  <c r="B375" i="22"/>
  <c r="B475" i="22"/>
  <c r="B53" i="20"/>
  <c r="B31" i="19"/>
  <c r="F31" i="19" s="1"/>
  <c r="B53" i="18"/>
  <c r="B31" i="15"/>
  <c r="B31" i="21"/>
  <c r="F31" i="21" s="1"/>
  <c r="B31" i="18"/>
  <c r="F31" i="18" s="1"/>
  <c r="B53" i="15"/>
  <c r="B53" i="21"/>
  <c r="B30" i="18"/>
  <c r="F30" i="18" s="1"/>
  <c r="B52" i="15"/>
  <c r="G8" i="18"/>
  <c r="B52" i="21"/>
  <c r="B30" i="15"/>
  <c r="B52" i="18"/>
  <c r="B30" i="21"/>
  <c r="F30" i="21" s="1"/>
  <c r="B30" i="16"/>
  <c r="B52" i="17"/>
  <c r="F52" i="17" s="1"/>
  <c r="B52" i="20"/>
  <c r="B30" i="20"/>
  <c r="B74" i="16"/>
  <c r="F74" i="16" s="1"/>
  <c r="B30" i="19"/>
  <c r="F30" i="19" s="1"/>
  <c r="B74" i="17"/>
  <c r="F74" i="17" s="1"/>
  <c r="B52" i="19"/>
  <c r="B110" i="22"/>
  <c r="B176" i="22" s="1"/>
  <c r="F176" i="22" s="1"/>
  <c r="G176" i="22" s="1"/>
  <c r="B32" i="22"/>
  <c r="B430" i="22"/>
  <c r="C430" i="22"/>
  <c r="B452" i="22"/>
  <c r="C152" i="22"/>
  <c r="C174" i="22"/>
  <c r="B450" i="22"/>
  <c r="B230" i="22"/>
  <c r="C474" i="22"/>
  <c r="B472" i="22"/>
  <c r="F472" i="22" s="1"/>
  <c r="C472" i="22"/>
  <c r="C450" i="22"/>
  <c r="C494" i="22"/>
  <c r="C453" i="22"/>
  <c r="C475" i="22"/>
  <c r="C431" i="22"/>
  <c r="C231" i="22"/>
  <c r="C394" i="22"/>
  <c r="C194" i="22"/>
  <c r="C375" i="22"/>
  <c r="B250" i="22"/>
  <c r="C253" i="22"/>
  <c r="C372" i="22"/>
  <c r="C153" i="22"/>
  <c r="C131" i="22"/>
  <c r="C353" i="22"/>
  <c r="B172" i="22"/>
  <c r="B252" i="22"/>
  <c r="B150" i="22"/>
  <c r="B272" i="22"/>
  <c r="C274" i="22"/>
  <c r="C230" i="22"/>
  <c r="B374" i="22"/>
  <c r="F374" i="22" s="1"/>
  <c r="B352" i="22"/>
  <c r="F352" i="22" s="1"/>
  <c r="B330" i="22"/>
  <c r="F330" i="22" s="1"/>
  <c r="C252" i="22"/>
  <c r="B394" i="22"/>
  <c r="F394" i="22" s="1"/>
  <c r="B372" i="22"/>
  <c r="B350" i="22"/>
  <c r="F350" i="22" s="1"/>
  <c r="C330" i="22"/>
  <c r="C374" i="22"/>
  <c r="C352" i="22"/>
  <c r="C294" i="22"/>
  <c r="C250" i="22"/>
  <c r="B130" i="22"/>
  <c r="B152" i="22"/>
  <c r="C172" i="22"/>
  <c r="AL275" i="13"/>
  <c r="AL297" i="13"/>
  <c r="AL304" i="13"/>
  <c r="R257" i="13"/>
  <c r="R177" i="13"/>
  <c r="R218" i="13"/>
  <c r="R234" i="13"/>
  <c r="R184" i="12"/>
  <c r="R216" i="12"/>
  <c r="R224" i="12"/>
  <c r="AL195" i="13"/>
  <c r="AL155" i="13"/>
  <c r="R168" i="13"/>
  <c r="R209" i="13"/>
  <c r="R175" i="13"/>
  <c r="R288" i="13"/>
  <c r="R254" i="13"/>
  <c r="R243" i="13"/>
  <c r="R256" i="13"/>
  <c r="R251" i="13"/>
  <c r="R305" i="13"/>
  <c r="R274" i="13"/>
  <c r="R286" i="13"/>
  <c r="R202" i="13"/>
  <c r="R144" i="13"/>
  <c r="R227" i="12"/>
  <c r="R243" i="12"/>
  <c r="R267" i="12"/>
  <c r="R169" i="12"/>
  <c r="R167" i="12"/>
  <c r="AB162" i="13"/>
  <c r="AB178" i="13"/>
  <c r="AB234" i="13"/>
  <c r="AB259" i="13"/>
  <c r="AB243" i="13"/>
  <c r="AB285" i="13"/>
  <c r="AB317" i="13"/>
  <c r="AB277" i="13"/>
  <c r="AB306" i="13"/>
  <c r="AV171" i="12"/>
  <c r="G104" i="14"/>
  <c r="B77" i="12"/>
  <c r="AV179" i="12"/>
  <c r="AV194" i="12"/>
  <c r="AV218" i="12"/>
  <c r="AV226" i="12"/>
  <c r="AV230" i="12"/>
  <c r="AV242" i="12"/>
  <c r="AV270" i="12"/>
  <c r="AV308" i="12"/>
  <c r="AL227" i="13"/>
  <c r="AL157" i="13"/>
  <c r="AL237" i="13"/>
  <c r="AL252" i="13"/>
  <c r="R161" i="13"/>
  <c r="R204" i="13"/>
  <c r="R227" i="13"/>
  <c r="R293" i="13"/>
  <c r="R284" i="13"/>
  <c r="R150" i="13"/>
  <c r="R188" i="12"/>
  <c r="R252" i="12"/>
  <c r="AL208" i="13"/>
  <c r="AL233" i="13"/>
  <c r="AL217" i="13"/>
  <c r="AL251" i="13"/>
  <c r="H34" i="14"/>
  <c r="B29" i="13"/>
  <c r="R167" i="13"/>
  <c r="R232" i="13"/>
  <c r="R223" i="12"/>
  <c r="R271" i="12"/>
  <c r="R285" i="12"/>
  <c r="R301" i="12"/>
  <c r="H58" i="14"/>
  <c r="B45" i="13"/>
  <c r="AB186" i="13"/>
  <c r="AB205" i="13"/>
  <c r="AB244" i="13"/>
  <c r="AB279" i="13"/>
  <c r="H317" i="12"/>
  <c r="F81" i="14"/>
  <c r="B61" i="11"/>
  <c r="AB238" i="13"/>
  <c r="R176" i="12"/>
  <c r="R172" i="12"/>
  <c r="AL219" i="13"/>
  <c r="AL177" i="13"/>
  <c r="AL305" i="13"/>
  <c r="AL224" i="13"/>
  <c r="AL246" i="13"/>
  <c r="AL278" i="13"/>
  <c r="AL299" i="13"/>
  <c r="R165" i="13"/>
  <c r="R189" i="13"/>
  <c r="R219" i="13"/>
  <c r="R270" i="13"/>
  <c r="R230" i="13"/>
  <c r="R260" i="13"/>
  <c r="R291" i="13"/>
  <c r="R316" i="13"/>
  <c r="R154" i="13"/>
  <c r="R182" i="12"/>
  <c r="R202" i="12"/>
  <c r="R206" i="12"/>
  <c r="R214" i="12"/>
  <c r="R230" i="12"/>
  <c r="R234" i="12"/>
  <c r="R246" i="12"/>
  <c r="R262" i="12"/>
  <c r="R266" i="12"/>
  <c r="R270" i="12"/>
  <c r="R283" i="12"/>
  <c r="R291" i="12"/>
  <c r="R307" i="12"/>
  <c r="H273" i="12"/>
  <c r="H289" i="12"/>
  <c r="H181" i="12"/>
  <c r="H196" i="12"/>
  <c r="H228" i="12"/>
  <c r="H244" i="12"/>
  <c r="H260" i="12"/>
  <c r="H81" i="14"/>
  <c r="B61" i="13"/>
  <c r="AL258" i="13"/>
  <c r="AL240" i="13"/>
  <c r="AL291" i="13"/>
  <c r="AL317" i="13"/>
  <c r="AL294" i="13"/>
  <c r="H150" i="14"/>
  <c r="B109" i="13"/>
  <c r="R192" i="13"/>
  <c r="R155" i="13"/>
  <c r="R163" i="13"/>
  <c r="R187" i="13"/>
  <c r="R195" i="13"/>
  <c r="R258" i="13"/>
  <c r="R231" i="13"/>
  <c r="R290" i="13"/>
  <c r="R220" i="13"/>
  <c r="R259" i="13"/>
  <c r="R304" i="13"/>
  <c r="R312" i="13"/>
  <c r="R189" i="12"/>
  <c r="R197" i="12"/>
  <c r="R233" i="12"/>
  <c r="R237" i="12"/>
  <c r="R273" i="12"/>
  <c r="R281" i="12"/>
  <c r="R305" i="12"/>
  <c r="R313" i="12"/>
  <c r="AB146" i="13"/>
  <c r="R302" i="12"/>
  <c r="R294" i="12"/>
  <c r="R282" i="12"/>
  <c r="R274" i="12"/>
  <c r="G34" i="14"/>
  <c r="B29" i="12"/>
  <c r="AB163" i="13"/>
  <c r="AB157" i="13"/>
  <c r="AB173" i="13"/>
  <c r="AB202" i="13"/>
  <c r="AB212" i="13"/>
  <c r="AB248" i="13"/>
  <c r="AB206" i="13"/>
  <c r="AB218" i="13"/>
  <c r="AB219" i="13"/>
  <c r="AB227" i="13"/>
  <c r="AB289" i="13"/>
  <c r="AB282" i="13"/>
  <c r="AB266" i="13"/>
  <c r="AB307" i="13"/>
  <c r="AB305" i="13"/>
  <c r="F34" i="14"/>
  <c r="B29" i="11"/>
  <c r="H285" i="12"/>
  <c r="G11" i="14"/>
  <c r="B13" i="12"/>
  <c r="H179" i="12"/>
  <c r="H183" i="12"/>
  <c r="H195" i="12"/>
  <c r="H211" i="12"/>
  <c r="H215" i="12"/>
  <c r="H227" i="12"/>
  <c r="H243" i="12"/>
  <c r="H247" i="12"/>
  <c r="H259" i="12"/>
  <c r="H267" i="12"/>
  <c r="H278" i="12"/>
  <c r="G127" i="14"/>
  <c r="B93" i="12"/>
  <c r="AB210" i="13"/>
  <c r="AB241" i="13"/>
  <c r="AB160" i="13"/>
  <c r="AB258" i="13"/>
  <c r="AB242" i="13"/>
  <c r="AB239" i="13"/>
  <c r="AB260" i="13"/>
  <c r="AB274" i="13"/>
  <c r="AB290" i="13"/>
  <c r="AB293" i="13"/>
  <c r="H146" i="12"/>
  <c r="H150" i="12"/>
  <c r="H154" i="12"/>
  <c r="H162" i="12"/>
  <c r="H166" i="12"/>
  <c r="H297" i="12"/>
  <c r="H190" i="12"/>
  <c r="H284" i="12"/>
  <c r="H292" i="12"/>
  <c r="H308" i="12"/>
  <c r="F150" i="14"/>
  <c r="B109" i="11"/>
  <c r="R163" i="12"/>
  <c r="R160" i="12"/>
  <c r="R157" i="12"/>
  <c r="R153" i="12"/>
  <c r="R150" i="12"/>
  <c r="R149" i="12"/>
  <c r="R146" i="12"/>
  <c r="R144" i="12"/>
  <c r="AB149" i="13"/>
  <c r="AB197" i="13"/>
  <c r="AB213" i="13"/>
  <c r="AB295" i="13"/>
  <c r="AB251" i="13"/>
  <c r="AB229" i="13"/>
  <c r="AB237" i="13"/>
  <c r="AB253" i="13"/>
  <c r="AB267" i="13"/>
  <c r="AB287" i="13"/>
  <c r="AB296" i="13"/>
  <c r="AB292" i="13"/>
  <c r="AB308" i="13"/>
  <c r="H176" i="12"/>
  <c r="H277" i="12"/>
  <c r="H293" i="12"/>
  <c r="H313" i="12"/>
  <c r="H185" i="12"/>
  <c r="H197" i="12"/>
  <c r="H229" i="12"/>
  <c r="H245" i="12"/>
  <c r="H249" i="12"/>
  <c r="H282" i="12"/>
  <c r="AV148" i="12"/>
  <c r="AV152" i="12"/>
  <c r="AV181" i="12"/>
  <c r="AV187" i="12"/>
  <c r="AV219" i="12"/>
  <c r="AV235" i="12"/>
  <c r="AV251" i="12"/>
  <c r="AV278" i="12"/>
  <c r="AV310" i="12"/>
  <c r="E35" i="14"/>
  <c r="B63" i="14"/>
  <c r="AV174" i="12"/>
  <c r="AV153" i="12"/>
  <c r="AV157" i="12"/>
  <c r="AV277" i="12"/>
  <c r="AV309" i="12"/>
  <c r="AV317" i="12"/>
  <c r="AV212" i="12"/>
  <c r="AV228" i="12"/>
  <c r="AV244" i="12"/>
  <c r="AV280" i="12"/>
  <c r="D150" i="14"/>
  <c r="L112" i="10"/>
  <c r="B108" i="10" s="1"/>
  <c r="D58" i="14"/>
  <c r="L44" i="10"/>
  <c r="B44" i="10" s="1"/>
  <c r="AV178" i="12"/>
  <c r="AV283" i="12"/>
  <c r="AV146" i="12"/>
  <c r="AV150" i="12"/>
  <c r="AV297" i="12"/>
  <c r="AV201" i="12"/>
  <c r="AV213" i="12"/>
  <c r="AV233" i="12"/>
  <c r="AV257" i="12"/>
  <c r="AV265" i="12"/>
  <c r="AV274" i="12"/>
  <c r="H6" i="17" l="1"/>
  <c r="N72" i="36"/>
  <c r="I10" i="27" s="1"/>
  <c r="J10" i="27" s="1"/>
  <c r="N41" i="41"/>
  <c r="I15" i="27" s="1"/>
  <c r="N45" i="41"/>
  <c r="M45" i="41"/>
  <c r="M46" i="41" s="1"/>
  <c r="N77" i="36"/>
  <c r="I5" i="3"/>
  <c r="F475" i="22"/>
  <c r="G475" i="22" s="1"/>
  <c r="F494" i="22"/>
  <c r="G494" i="22" s="1"/>
  <c r="F53" i="21"/>
  <c r="G53" i="21" s="1"/>
  <c r="F52" i="21"/>
  <c r="G52" i="21" s="1"/>
  <c r="F52" i="20"/>
  <c r="G52" i="20" s="1"/>
  <c r="F53" i="20"/>
  <c r="G53" i="20" s="1"/>
  <c r="F30" i="20"/>
  <c r="G30" i="20" s="1"/>
  <c r="F31" i="20"/>
  <c r="G31" i="20" s="1"/>
  <c r="F52" i="19"/>
  <c r="G52" i="19" s="1"/>
  <c r="F53" i="19"/>
  <c r="G53" i="19" s="1"/>
  <c r="F52" i="18"/>
  <c r="G52" i="18" s="1"/>
  <c r="F53" i="18"/>
  <c r="G53" i="18" s="1"/>
  <c r="F53" i="17"/>
  <c r="G53" i="17" s="1"/>
  <c r="F30" i="16"/>
  <c r="G30" i="16" s="1"/>
  <c r="F52" i="15"/>
  <c r="G52" i="15" s="1"/>
  <c r="F53" i="15"/>
  <c r="G53" i="15" s="1"/>
  <c r="F30" i="15"/>
  <c r="G30" i="15" s="1"/>
  <c r="F31" i="15"/>
  <c r="G31" i="15" s="1"/>
  <c r="H406" i="22"/>
  <c r="F250" i="8" s="1"/>
  <c r="F452" i="22"/>
  <c r="G452" i="22" s="1"/>
  <c r="F430" i="22"/>
  <c r="G430" i="22" s="1"/>
  <c r="F450" i="22"/>
  <c r="G450" i="22" s="1"/>
  <c r="F375" i="22"/>
  <c r="G375" i="22" s="1"/>
  <c r="F372" i="22"/>
  <c r="G372" i="22" s="1"/>
  <c r="H306" i="22"/>
  <c r="F240" i="8" s="1"/>
  <c r="F275" i="22"/>
  <c r="G275" i="22" s="1"/>
  <c r="F294" i="22"/>
  <c r="G294" i="22" s="1"/>
  <c r="F272" i="22"/>
  <c r="G272" i="22" s="1"/>
  <c r="F252" i="22"/>
  <c r="G252" i="22" s="1"/>
  <c r="F250" i="22"/>
  <c r="G250" i="22" s="1"/>
  <c r="F230" i="22"/>
  <c r="G230" i="22" s="1"/>
  <c r="F194" i="22"/>
  <c r="G194" i="22" s="1"/>
  <c r="F174" i="22"/>
  <c r="G174" i="22" s="1"/>
  <c r="F152" i="22"/>
  <c r="G152" i="22" s="1"/>
  <c r="B132" i="22"/>
  <c r="F132" i="22" s="1"/>
  <c r="G132" i="22" s="1"/>
  <c r="B154" i="22"/>
  <c r="F172" i="22"/>
  <c r="G172" i="22" s="1"/>
  <c r="F130" i="22"/>
  <c r="G130" i="22" s="1"/>
  <c r="F150" i="22"/>
  <c r="G150" i="22" s="1"/>
  <c r="H106" i="22"/>
  <c r="F16" i="8" s="1"/>
  <c r="I12" i="35" s="1"/>
  <c r="F110" i="22"/>
  <c r="G110" i="22" s="1"/>
  <c r="B175" i="22"/>
  <c r="F109" i="22"/>
  <c r="G109" i="22" s="1"/>
  <c r="H6" i="22"/>
  <c r="F13" i="8" s="1"/>
  <c r="I9" i="35" s="1"/>
  <c r="F31" i="22"/>
  <c r="G31" i="22" s="1"/>
  <c r="F32" i="22"/>
  <c r="G32" i="22" s="1"/>
  <c r="G10" i="22"/>
  <c r="G8" i="22"/>
  <c r="G9" i="22"/>
  <c r="H6" i="15"/>
  <c r="F71" i="1" s="1"/>
  <c r="C29" i="7" s="1"/>
  <c r="H206" i="22"/>
  <c r="F19" i="8" s="1"/>
  <c r="I15" i="35" s="1"/>
  <c r="H6" i="16"/>
  <c r="F72" i="1" s="1"/>
  <c r="D128" i="14"/>
  <c r="AP136" i="10"/>
  <c r="AO147" i="10" s="1"/>
  <c r="AV147" i="10" s="1"/>
  <c r="B79" i="10"/>
  <c r="B80" i="10"/>
  <c r="B96" i="10"/>
  <c r="B95" i="10"/>
  <c r="V136" i="10"/>
  <c r="U146" i="10" s="1"/>
  <c r="AB146" i="10" s="1"/>
  <c r="B47" i="10"/>
  <c r="B48" i="10"/>
  <c r="BJ136" i="10"/>
  <c r="BI144" i="10" s="1"/>
  <c r="BP144" i="10" s="1"/>
  <c r="B111" i="10"/>
  <c r="B112" i="10"/>
  <c r="B64" i="10"/>
  <c r="B63" i="10"/>
  <c r="G308" i="3"/>
  <c r="E81" i="14"/>
  <c r="AF136" i="10"/>
  <c r="BF261" i="9"/>
  <c r="BF298" i="9"/>
  <c r="BF274" i="9"/>
  <c r="BF258" i="9"/>
  <c r="BF234" i="9"/>
  <c r="BF210" i="9"/>
  <c r="BF186" i="9"/>
  <c r="BF170" i="9"/>
  <c r="BF146" i="9"/>
  <c r="BF296" i="12"/>
  <c r="BF228" i="12"/>
  <c r="BF196" i="12"/>
  <c r="BF189" i="12"/>
  <c r="BF157" i="12"/>
  <c r="BF310" i="12"/>
  <c r="BF294" i="12"/>
  <c r="BF278" i="12"/>
  <c r="BF166" i="12"/>
  <c r="BF150" i="12"/>
  <c r="BF300" i="12"/>
  <c r="BF172" i="12"/>
  <c r="BF285" i="12"/>
  <c r="BF257" i="12"/>
  <c r="BF221" i="12"/>
  <c r="BF153" i="12"/>
  <c r="BF311" i="12"/>
  <c r="BF295" i="12"/>
  <c r="BF247" i="12"/>
  <c r="BF215" i="12"/>
  <c r="BF183" i="12"/>
  <c r="BF167" i="12"/>
  <c r="BF151" i="12"/>
  <c r="U178" i="10"/>
  <c r="AB178" i="10" s="1"/>
  <c r="U194" i="10"/>
  <c r="AB194" i="10" s="1"/>
  <c r="U210" i="10"/>
  <c r="AB210" i="10" s="1"/>
  <c r="U242" i="10"/>
  <c r="AB242" i="10" s="1"/>
  <c r="U258" i="10"/>
  <c r="AB258" i="10" s="1"/>
  <c r="U274" i="10"/>
  <c r="AB274" i="10" s="1"/>
  <c r="U145" i="10"/>
  <c r="AB145" i="10" s="1"/>
  <c r="U301" i="10"/>
  <c r="AB301" i="10" s="1"/>
  <c r="U156" i="10"/>
  <c r="AB156" i="10" s="1"/>
  <c r="U193" i="10"/>
  <c r="AB193" i="10" s="1"/>
  <c r="U209" i="10"/>
  <c r="AB209" i="10" s="1"/>
  <c r="U225" i="10"/>
  <c r="AB225" i="10" s="1"/>
  <c r="U241" i="10"/>
  <c r="AB241" i="10" s="1"/>
  <c r="U257" i="10"/>
  <c r="AB257" i="10" s="1"/>
  <c r="U273" i="10"/>
  <c r="AB273" i="10" s="1"/>
  <c r="U289" i="10"/>
  <c r="AB289" i="10" s="1"/>
  <c r="U155" i="10"/>
  <c r="AB155" i="10" s="1"/>
  <c r="U143" i="10"/>
  <c r="AB143" i="10" s="1"/>
  <c r="C21" i="7"/>
  <c r="C102" i="14" s="1"/>
  <c r="BF297" i="9"/>
  <c r="BF299" i="9"/>
  <c r="BF251" i="9"/>
  <c r="BF316" i="9"/>
  <c r="BF308" i="9"/>
  <c r="BF300" i="9"/>
  <c r="BF292" i="9"/>
  <c r="BF284" i="9"/>
  <c r="BF276" i="9"/>
  <c r="BF268" i="9"/>
  <c r="BF260" i="9"/>
  <c r="BF252" i="9"/>
  <c r="BF244" i="9"/>
  <c r="BF236" i="9"/>
  <c r="BF228" i="9"/>
  <c r="BF220" i="9"/>
  <c r="BF212" i="9"/>
  <c r="BF204" i="9"/>
  <c r="BF196" i="9"/>
  <c r="BF188" i="9"/>
  <c r="BF180" i="9"/>
  <c r="BF172" i="9"/>
  <c r="BF164" i="9"/>
  <c r="BF156" i="9"/>
  <c r="BF148" i="9"/>
  <c r="BF304" i="12"/>
  <c r="BF268" i="12"/>
  <c r="BF236" i="12"/>
  <c r="BF204" i="12"/>
  <c r="BF225" i="12"/>
  <c r="BF193" i="12"/>
  <c r="BF165" i="12"/>
  <c r="BF314" i="12"/>
  <c r="BF282" i="12"/>
  <c r="BF170" i="12"/>
  <c r="BF154" i="12"/>
  <c r="BF308" i="12"/>
  <c r="BF280" i="12"/>
  <c r="BF229" i="12"/>
  <c r="BF197" i="12"/>
  <c r="BF161" i="12"/>
  <c r="BF315" i="12"/>
  <c r="BF299" i="12"/>
  <c r="BF267" i="12"/>
  <c r="BF235" i="12"/>
  <c r="BF203" i="12"/>
  <c r="BF187" i="12"/>
  <c r="BF171" i="12"/>
  <c r="D59" i="14"/>
  <c r="BF301" i="9"/>
  <c r="BF285" i="9"/>
  <c r="BF253" i="9"/>
  <c r="BF303" i="9"/>
  <c r="BF318" i="9"/>
  <c r="BF310" i="9"/>
  <c r="BF302" i="9"/>
  <c r="BF294" i="9"/>
  <c r="BF286" i="9"/>
  <c r="BF278" i="9"/>
  <c r="BF270" i="9"/>
  <c r="BF262" i="9"/>
  <c r="BF254" i="9"/>
  <c r="BF246" i="9"/>
  <c r="BF238" i="9"/>
  <c r="BF230" i="9"/>
  <c r="BF222" i="9"/>
  <c r="BF214" i="9"/>
  <c r="BF206" i="9"/>
  <c r="BF198" i="9"/>
  <c r="BF190" i="9"/>
  <c r="BF182" i="9"/>
  <c r="BF174" i="9"/>
  <c r="BF166" i="9"/>
  <c r="BF158" i="9"/>
  <c r="BF150" i="9"/>
  <c r="BF276" i="12"/>
  <c r="BF173" i="12"/>
  <c r="BF288" i="12"/>
  <c r="BF175" i="12"/>
  <c r="B59" i="11"/>
  <c r="AF135" i="11" s="1"/>
  <c r="AI142" i="11" s="1"/>
  <c r="AI161" i="11" s="1"/>
  <c r="B59" i="10"/>
  <c r="AF135" i="10" s="1"/>
  <c r="AI142" i="10" s="1"/>
  <c r="B59" i="13"/>
  <c r="AF135" i="13" s="1"/>
  <c r="AI142" i="13" s="1"/>
  <c r="B59" i="12"/>
  <c r="AF135" i="12" s="1"/>
  <c r="AI142" i="12" s="1"/>
  <c r="B90" i="10"/>
  <c r="B90" i="13"/>
  <c r="B90" i="12"/>
  <c r="B90" i="11"/>
  <c r="H22" i="7"/>
  <c r="F22" i="7"/>
  <c r="I22" i="7"/>
  <c r="E22" i="7"/>
  <c r="G22" i="7"/>
  <c r="B90" i="9"/>
  <c r="BF277" i="9"/>
  <c r="BF295" i="9"/>
  <c r="BF314" i="9"/>
  <c r="BF306" i="9"/>
  <c r="BF290" i="9"/>
  <c r="BF282" i="9"/>
  <c r="BF266" i="9"/>
  <c r="BF250" i="9"/>
  <c r="BF242" i="9"/>
  <c r="BF226" i="9"/>
  <c r="BF218" i="9"/>
  <c r="BF202" i="9"/>
  <c r="BF194" i="9"/>
  <c r="BF178" i="9"/>
  <c r="BF162" i="9"/>
  <c r="BF154" i="9"/>
  <c r="BF260" i="12"/>
  <c r="BF281" i="12"/>
  <c r="BI248" i="10"/>
  <c r="BP248" i="10" s="1"/>
  <c r="BI203" i="10"/>
  <c r="BP203" i="10" s="1"/>
  <c r="BI158" i="10"/>
  <c r="BP158" i="10" s="1"/>
  <c r="BI286" i="10"/>
  <c r="BP286" i="10" s="1"/>
  <c r="BI269" i="10"/>
  <c r="BP269" i="10" s="1"/>
  <c r="B93" i="10"/>
  <c r="E128" i="14" s="1"/>
  <c r="AZ136" i="10"/>
  <c r="B58" i="10"/>
  <c r="E79" i="14" s="1"/>
  <c r="B58" i="13"/>
  <c r="B58" i="12"/>
  <c r="G79" i="14" s="1"/>
  <c r="B58" i="11"/>
  <c r="F79" i="14" s="1"/>
  <c r="B58" i="9"/>
  <c r="D79" i="14" s="1"/>
  <c r="G20" i="7"/>
  <c r="C87" i="14" s="1"/>
  <c r="H20" i="7"/>
  <c r="F266" i="8" s="1"/>
  <c r="I19" i="40" s="1"/>
  <c r="I20" i="7"/>
  <c r="E20" i="7"/>
  <c r="C85" i="14" s="1"/>
  <c r="F20" i="7"/>
  <c r="C86" i="14" s="1"/>
  <c r="BF305" i="9"/>
  <c r="BF241" i="9"/>
  <c r="BF225" i="9"/>
  <c r="BF307" i="9"/>
  <c r="BF243" i="9"/>
  <c r="BF312" i="9"/>
  <c r="BF304" i="9"/>
  <c r="BF296" i="9"/>
  <c r="BF288" i="9"/>
  <c r="BF280" i="9"/>
  <c r="BF272" i="9"/>
  <c r="BF264" i="9"/>
  <c r="BF256" i="9"/>
  <c r="BF248" i="9"/>
  <c r="BF240" i="9"/>
  <c r="BF232" i="9"/>
  <c r="BF224" i="9"/>
  <c r="BF216" i="9"/>
  <c r="BF208" i="9"/>
  <c r="BF200" i="9"/>
  <c r="BF192" i="9"/>
  <c r="BF184" i="9"/>
  <c r="BF176" i="9"/>
  <c r="BF168" i="9"/>
  <c r="BF160" i="9"/>
  <c r="BF152" i="9"/>
  <c r="BF144" i="9"/>
  <c r="BF284" i="12"/>
  <c r="BF181" i="12"/>
  <c r="BF292" i="12"/>
  <c r="BF177" i="12"/>
  <c r="BF179" i="12"/>
  <c r="AE146" i="9"/>
  <c r="AE174" i="9"/>
  <c r="AE206" i="9"/>
  <c r="AE238" i="9"/>
  <c r="AE270" i="9"/>
  <c r="AE302" i="9"/>
  <c r="AE150" i="9"/>
  <c r="AE246" i="9"/>
  <c r="AE166" i="9"/>
  <c r="AE198" i="9"/>
  <c r="AE230" i="9"/>
  <c r="AE262" i="9"/>
  <c r="AE294" i="9"/>
  <c r="AE182" i="9"/>
  <c r="AE278" i="9"/>
  <c r="AE158" i="9"/>
  <c r="AE190" i="9"/>
  <c r="AE222" i="9"/>
  <c r="AE254" i="9"/>
  <c r="AE286" i="9"/>
  <c r="AE315" i="9"/>
  <c r="AE214" i="9"/>
  <c r="AE310" i="9"/>
  <c r="AE317" i="9"/>
  <c r="AE290" i="9"/>
  <c r="AE258" i="9"/>
  <c r="AE226" i="9"/>
  <c r="AE194" i="9"/>
  <c r="AE162" i="9"/>
  <c r="AE147" i="9"/>
  <c r="AE155" i="9"/>
  <c r="AE163" i="9"/>
  <c r="AE171" i="9"/>
  <c r="AE179" i="9"/>
  <c r="AE187" i="9"/>
  <c r="AE195" i="9"/>
  <c r="AE203" i="9"/>
  <c r="AE211" i="9"/>
  <c r="AE219" i="9"/>
  <c r="AE227" i="9"/>
  <c r="AE235" i="9"/>
  <c r="AE243" i="9"/>
  <c r="AE251" i="9"/>
  <c r="AE259" i="9"/>
  <c r="AE267" i="9"/>
  <c r="AE275" i="9"/>
  <c r="AE283" i="9"/>
  <c r="AE291" i="9"/>
  <c r="AE299" i="9"/>
  <c r="AE307" i="9"/>
  <c r="AE316" i="9"/>
  <c r="AE304" i="9"/>
  <c r="AE288" i="9"/>
  <c r="AE272" i="9"/>
  <c r="AE256" i="9"/>
  <c r="AE240" i="9"/>
  <c r="AE224" i="9"/>
  <c r="AE208" i="9"/>
  <c r="AE192" i="9"/>
  <c r="AE176" i="9"/>
  <c r="AE160" i="9"/>
  <c r="AE144" i="9"/>
  <c r="AE250" i="9"/>
  <c r="AE218" i="9"/>
  <c r="AE149" i="9"/>
  <c r="AE173" i="9"/>
  <c r="AE197" i="9"/>
  <c r="AE221" i="9"/>
  <c r="AE245" i="9"/>
  <c r="AE269" i="9"/>
  <c r="AE293" i="9"/>
  <c r="AE314" i="9"/>
  <c r="AE268" i="9"/>
  <c r="AE220" i="9"/>
  <c r="AE188" i="9"/>
  <c r="AE298" i="9"/>
  <c r="AE266" i="9"/>
  <c r="AE234" i="9"/>
  <c r="AE202" i="9"/>
  <c r="AE170" i="9"/>
  <c r="AE145" i="9"/>
  <c r="AE153" i="9"/>
  <c r="AE161" i="9"/>
  <c r="AE169" i="9"/>
  <c r="AE177" i="9"/>
  <c r="AE185" i="9"/>
  <c r="AE193" i="9"/>
  <c r="AE201" i="9"/>
  <c r="AE209" i="9"/>
  <c r="AE217" i="9"/>
  <c r="AE225" i="9"/>
  <c r="AE233" i="9"/>
  <c r="AE241" i="9"/>
  <c r="AE249" i="9"/>
  <c r="AE257" i="9"/>
  <c r="AE265" i="9"/>
  <c r="AE273" i="9"/>
  <c r="AE281" i="9"/>
  <c r="AE289" i="9"/>
  <c r="AE297" i="9"/>
  <c r="AE305" i="9"/>
  <c r="AE318" i="9"/>
  <c r="AE308" i="9"/>
  <c r="AE292" i="9"/>
  <c r="AE276" i="9"/>
  <c r="AE260" i="9"/>
  <c r="AE244" i="9"/>
  <c r="AE228" i="9"/>
  <c r="AE212" i="9"/>
  <c r="AE196" i="9"/>
  <c r="AE180" i="9"/>
  <c r="AE164" i="9"/>
  <c r="AE148" i="9"/>
  <c r="AE313" i="9"/>
  <c r="AE154" i="9"/>
  <c r="AE165" i="9"/>
  <c r="AE189" i="9"/>
  <c r="AE213" i="9"/>
  <c r="AE237" i="9"/>
  <c r="AE261" i="9"/>
  <c r="AE285" i="9"/>
  <c r="AE309" i="9"/>
  <c r="AE284" i="9"/>
  <c r="AE236" i="9"/>
  <c r="AE172" i="9"/>
  <c r="AE306" i="9"/>
  <c r="AE274" i="9"/>
  <c r="AE242" i="9"/>
  <c r="AE210" i="9"/>
  <c r="AE178" i="9"/>
  <c r="AE143" i="9"/>
  <c r="AE151" i="9"/>
  <c r="AE159" i="9"/>
  <c r="AE167" i="9"/>
  <c r="AE175" i="9"/>
  <c r="AE183" i="9"/>
  <c r="AE191" i="9"/>
  <c r="AE199" i="9"/>
  <c r="AE207" i="9"/>
  <c r="AE215" i="9"/>
  <c r="AE223" i="9"/>
  <c r="AE231" i="9"/>
  <c r="AE239" i="9"/>
  <c r="AE247" i="9"/>
  <c r="AE255" i="9"/>
  <c r="AE263" i="9"/>
  <c r="AE271" i="9"/>
  <c r="AE279" i="9"/>
  <c r="AE287" i="9"/>
  <c r="AE295" i="9"/>
  <c r="AE303" i="9"/>
  <c r="AE311" i="9"/>
  <c r="AE312" i="9"/>
  <c r="AE296" i="9"/>
  <c r="AE280" i="9"/>
  <c r="AE264" i="9"/>
  <c r="AE248" i="9"/>
  <c r="AE232" i="9"/>
  <c r="AE216" i="9"/>
  <c r="AE200" i="9"/>
  <c r="AE184" i="9"/>
  <c r="AE168" i="9"/>
  <c r="AE152" i="9"/>
  <c r="AE282" i="9"/>
  <c r="AE186" i="9"/>
  <c r="AE157" i="9"/>
  <c r="AE181" i="9"/>
  <c r="AE205" i="9"/>
  <c r="AE229" i="9"/>
  <c r="AE253" i="9"/>
  <c r="AE277" i="9"/>
  <c r="AE301" i="9"/>
  <c r="AE300" i="9"/>
  <c r="AE252" i="9"/>
  <c r="AE204" i="9"/>
  <c r="AE156" i="9"/>
  <c r="BI147" i="12"/>
  <c r="BP147" i="12" s="1"/>
  <c r="BI151" i="12"/>
  <c r="BP151" i="12" s="1"/>
  <c r="BI155" i="12"/>
  <c r="BP155" i="12" s="1"/>
  <c r="BI159" i="12"/>
  <c r="BP159" i="12" s="1"/>
  <c r="BI163" i="12"/>
  <c r="BP163" i="12" s="1"/>
  <c r="BI167" i="12"/>
  <c r="BP167" i="12" s="1"/>
  <c r="BI171" i="12"/>
  <c r="BP171" i="12" s="1"/>
  <c r="BI175" i="12"/>
  <c r="BP175" i="12" s="1"/>
  <c r="BI179" i="12"/>
  <c r="BP179" i="12" s="1"/>
  <c r="BI183" i="12"/>
  <c r="BP183" i="12" s="1"/>
  <c r="BI187" i="12"/>
  <c r="BP187" i="12" s="1"/>
  <c r="BI191" i="12"/>
  <c r="BP191" i="12" s="1"/>
  <c r="BI195" i="12"/>
  <c r="BP195" i="12" s="1"/>
  <c r="BI199" i="12"/>
  <c r="BP199" i="12" s="1"/>
  <c r="BI203" i="12"/>
  <c r="BP203" i="12" s="1"/>
  <c r="BI207" i="12"/>
  <c r="BP207" i="12" s="1"/>
  <c r="BI211" i="12"/>
  <c r="BP211" i="12" s="1"/>
  <c r="BI215" i="12"/>
  <c r="BP215" i="12" s="1"/>
  <c r="BI219" i="12"/>
  <c r="BP219" i="12" s="1"/>
  <c r="BI223" i="12"/>
  <c r="BP223" i="12" s="1"/>
  <c r="BI227" i="12"/>
  <c r="BP227" i="12" s="1"/>
  <c r="BI231" i="12"/>
  <c r="BP231" i="12" s="1"/>
  <c r="BI235" i="12"/>
  <c r="BP235" i="12" s="1"/>
  <c r="BI239" i="12"/>
  <c r="BP239" i="12" s="1"/>
  <c r="BI243" i="12"/>
  <c r="BP243" i="12" s="1"/>
  <c r="BI247" i="12"/>
  <c r="BP247" i="12" s="1"/>
  <c r="BI251" i="12"/>
  <c r="BP251" i="12" s="1"/>
  <c r="BI255" i="12"/>
  <c r="BP255" i="12" s="1"/>
  <c r="BI259" i="12"/>
  <c r="BP259" i="12" s="1"/>
  <c r="BI263" i="12"/>
  <c r="BP263" i="12" s="1"/>
  <c r="BI267" i="12"/>
  <c r="BP267" i="12" s="1"/>
  <c r="BI271" i="12"/>
  <c r="BP271" i="12" s="1"/>
  <c r="BI275" i="12"/>
  <c r="BP275" i="12" s="1"/>
  <c r="BI279" i="12"/>
  <c r="BP279" i="12" s="1"/>
  <c r="BI283" i="12"/>
  <c r="BP283" i="12" s="1"/>
  <c r="BI287" i="12"/>
  <c r="BP287" i="12" s="1"/>
  <c r="BI291" i="12"/>
  <c r="BP291" i="12" s="1"/>
  <c r="BI295" i="12"/>
  <c r="BP295" i="12" s="1"/>
  <c r="BI299" i="12"/>
  <c r="BP299" i="12" s="1"/>
  <c r="BI303" i="12"/>
  <c r="BP303" i="12" s="1"/>
  <c r="BI307" i="12"/>
  <c r="BP307" i="12" s="1"/>
  <c r="BI311" i="12"/>
  <c r="BP311" i="12" s="1"/>
  <c r="BI315" i="12"/>
  <c r="BP315" i="12" s="1"/>
  <c r="BI143" i="12"/>
  <c r="BP143" i="12" s="1"/>
  <c r="BI145" i="12"/>
  <c r="BP145" i="12" s="1"/>
  <c r="BI153" i="12"/>
  <c r="BP153" i="12" s="1"/>
  <c r="BI161" i="12"/>
  <c r="BP161" i="12" s="1"/>
  <c r="BI165" i="12"/>
  <c r="BP165" i="12" s="1"/>
  <c r="BI177" i="12"/>
  <c r="BP177" i="12" s="1"/>
  <c r="BI185" i="12"/>
  <c r="BP185" i="12" s="1"/>
  <c r="BI193" i="12"/>
  <c r="BP193" i="12" s="1"/>
  <c r="BI201" i="12"/>
  <c r="BP201" i="12" s="1"/>
  <c r="BI209" i="12"/>
  <c r="BP209" i="12" s="1"/>
  <c r="BI217" i="12"/>
  <c r="BP217" i="12" s="1"/>
  <c r="BI225" i="12"/>
  <c r="BP225" i="12" s="1"/>
  <c r="BI233" i="12"/>
  <c r="BP233" i="12" s="1"/>
  <c r="BI241" i="12"/>
  <c r="BP241" i="12" s="1"/>
  <c r="BI249" i="12"/>
  <c r="BP249" i="12" s="1"/>
  <c r="BI261" i="12"/>
  <c r="BP261" i="12" s="1"/>
  <c r="BI265" i="12"/>
  <c r="BP265" i="12" s="1"/>
  <c r="BI273" i="12"/>
  <c r="BP273" i="12" s="1"/>
  <c r="BI281" i="12"/>
  <c r="BP281" i="12" s="1"/>
  <c r="BI293" i="12"/>
  <c r="BP293" i="12" s="1"/>
  <c r="BI301" i="12"/>
  <c r="BP301" i="12" s="1"/>
  <c r="BI309" i="12"/>
  <c r="BP309" i="12" s="1"/>
  <c r="BI317" i="12"/>
  <c r="BP317" i="12" s="1"/>
  <c r="BI148" i="12"/>
  <c r="BP148" i="12" s="1"/>
  <c r="BI156" i="12"/>
  <c r="BP156" i="12" s="1"/>
  <c r="BI164" i="12"/>
  <c r="BP164" i="12" s="1"/>
  <c r="BI172" i="12"/>
  <c r="BP172" i="12" s="1"/>
  <c r="BI184" i="12"/>
  <c r="BP184" i="12" s="1"/>
  <c r="BI188" i="12"/>
  <c r="BP188" i="12" s="1"/>
  <c r="BI196" i="12"/>
  <c r="BP196" i="12" s="1"/>
  <c r="BI204" i="12"/>
  <c r="BP204" i="12" s="1"/>
  <c r="BI212" i="12"/>
  <c r="BP212" i="12" s="1"/>
  <c r="BI220" i="12"/>
  <c r="BP220" i="12" s="1"/>
  <c r="BI228" i="12"/>
  <c r="BP228" i="12" s="1"/>
  <c r="BI236" i="12"/>
  <c r="BP236" i="12" s="1"/>
  <c r="BI244" i="12"/>
  <c r="BP244" i="12" s="1"/>
  <c r="BI252" i="12"/>
  <c r="BP252" i="12" s="1"/>
  <c r="BI260" i="12"/>
  <c r="BP260" i="12" s="1"/>
  <c r="BI272" i="12"/>
  <c r="BP272" i="12" s="1"/>
  <c r="BI280" i="12"/>
  <c r="BP280" i="12" s="1"/>
  <c r="BI288" i="12"/>
  <c r="BP288" i="12" s="1"/>
  <c r="BI296" i="12"/>
  <c r="BP296" i="12" s="1"/>
  <c r="BI304" i="12"/>
  <c r="BP304" i="12" s="1"/>
  <c r="BI312" i="12"/>
  <c r="BP312" i="12" s="1"/>
  <c r="BI146" i="12"/>
  <c r="BP146" i="12" s="1"/>
  <c r="BI150" i="12"/>
  <c r="BP150" i="12" s="1"/>
  <c r="BI154" i="12"/>
  <c r="BP154" i="12" s="1"/>
  <c r="BI158" i="12"/>
  <c r="BP158" i="12" s="1"/>
  <c r="BI162" i="12"/>
  <c r="BP162" i="12" s="1"/>
  <c r="BI166" i="12"/>
  <c r="BP166" i="12" s="1"/>
  <c r="BI170" i="12"/>
  <c r="BP170" i="12" s="1"/>
  <c r="BI174" i="12"/>
  <c r="BP174" i="12" s="1"/>
  <c r="BI178" i="12"/>
  <c r="BP178" i="12" s="1"/>
  <c r="BI182" i="12"/>
  <c r="BP182" i="12" s="1"/>
  <c r="BI186" i="12"/>
  <c r="BP186" i="12" s="1"/>
  <c r="BI190" i="12"/>
  <c r="BP190" i="12" s="1"/>
  <c r="BI194" i="12"/>
  <c r="BP194" i="12" s="1"/>
  <c r="BI198" i="12"/>
  <c r="BP198" i="12" s="1"/>
  <c r="BI202" i="12"/>
  <c r="BP202" i="12" s="1"/>
  <c r="BI206" i="12"/>
  <c r="BP206" i="12" s="1"/>
  <c r="BI210" i="12"/>
  <c r="BP210" i="12" s="1"/>
  <c r="BI214" i="12"/>
  <c r="BP214" i="12" s="1"/>
  <c r="BI218" i="12"/>
  <c r="BP218" i="12" s="1"/>
  <c r="BI222" i="12"/>
  <c r="BP222" i="12" s="1"/>
  <c r="BI226" i="12"/>
  <c r="BP226" i="12" s="1"/>
  <c r="BI230" i="12"/>
  <c r="BP230" i="12" s="1"/>
  <c r="BI234" i="12"/>
  <c r="BP234" i="12" s="1"/>
  <c r="BI238" i="12"/>
  <c r="BP238" i="12" s="1"/>
  <c r="BI242" i="12"/>
  <c r="BP242" i="12" s="1"/>
  <c r="BI246" i="12"/>
  <c r="BP246" i="12" s="1"/>
  <c r="BI250" i="12"/>
  <c r="BP250" i="12" s="1"/>
  <c r="BI254" i="12"/>
  <c r="BP254" i="12" s="1"/>
  <c r="BI258" i="12"/>
  <c r="BP258" i="12" s="1"/>
  <c r="BI262" i="12"/>
  <c r="BP262" i="12" s="1"/>
  <c r="BI266" i="12"/>
  <c r="BP266" i="12" s="1"/>
  <c r="BI270" i="12"/>
  <c r="BP270" i="12" s="1"/>
  <c r="BI274" i="12"/>
  <c r="BP274" i="12" s="1"/>
  <c r="BI278" i="12"/>
  <c r="BP278" i="12" s="1"/>
  <c r="BI282" i="12"/>
  <c r="BP282" i="12" s="1"/>
  <c r="BI286" i="12"/>
  <c r="BP286" i="12" s="1"/>
  <c r="BI290" i="12"/>
  <c r="BP290" i="12" s="1"/>
  <c r="BI294" i="12"/>
  <c r="BP294" i="12" s="1"/>
  <c r="BI298" i="12"/>
  <c r="BP298" i="12" s="1"/>
  <c r="BI302" i="12"/>
  <c r="BP302" i="12" s="1"/>
  <c r="BI306" i="12"/>
  <c r="BP306" i="12" s="1"/>
  <c r="BI310" i="12"/>
  <c r="BP310" i="12" s="1"/>
  <c r="BI314" i="12"/>
  <c r="BP314" i="12" s="1"/>
  <c r="BI318" i="12"/>
  <c r="BP318" i="12" s="1"/>
  <c r="BI149" i="12"/>
  <c r="BP149" i="12" s="1"/>
  <c r="BI157" i="12"/>
  <c r="BP157" i="12" s="1"/>
  <c r="BI169" i="12"/>
  <c r="BP169" i="12" s="1"/>
  <c r="BI173" i="12"/>
  <c r="BP173" i="12" s="1"/>
  <c r="BI181" i="12"/>
  <c r="BP181" i="12" s="1"/>
  <c r="BI189" i="12"/>
  <c r="BP189" i="12" s="1"/>
  <c r="BI197" i="12"/>
  <c r="BP197" i="12" s="1"/>
  <c r="BI205" i="12"/>
  <c r="BP205" i="12" s="1"/>
  <c r="BI213" i="12"/>
  <c r="BP213" i="12" s="1"/>
  <c r="BI221" i="12"/>
  <c r="BP221" i="12" s="1"/>
  <c r="BI229" i="12"/>
  <c r="BP229" i="12" s="1"/>
  <c r="BI237" i="12"/>
  <c r="BP237" i="12" s="1"/>
  <c r="BI245" i="12"/>
  <c r="BP245" i="12" s="1"/>
  <c r="BI253" i="12"/>
  <c r="BP253" i="12" s="1"/>
  <c r="BI257" i="12"/>
  <c r="BP257" i="12" s="1"/>
  <c r="BI269" i="12"/>
  <c r="BP269" i="12" s="1"/>
  <c r="BI277" i="12"/>
  <c r="BP277" i="12" s="1"/>
  <c r="BI285" i="12"/>
  <c r="BP285" i="12" s="1"/>
  <c r="BI289" i="12"/>
  <c r="BP289" i="12" s="1"/>
  <c r="BI297" i="12"/>
  <c r="BP297" i="12" s="1"/>
  <c r="BI305" i="12"/>
  <c r="BP305" i="12" s="1"/>
  <c r="BI313" i="12"/>
  <c r="BP313" i="12" s="1"/>
  <c r="BI144" i="12"/>
  <c r="BP144" i="12" s="1"/>
  <c r="BI152" i="12"/>
  <c r="BP152" i="12" s="1"/>
  <c r="BI160" i="12"/>
  <c r="BP160" i="12" s="1"/>
  <c r="BI168" i="12"/>
  <c r="BP168" i="12" s="1"/>
  <c r="BI176" i="12"/>
  <c r="BP176" i="12" s="1"/>
  <c r="BI180" i="12"/>
  <c r="BP180" i="12" s="1"/>
  <c r="BI192" i="12"/>
  <c r="BP192" i="12" s="1"/>
  <c r="BI200" i="12"/>
  <c r="BP200" i="12" s="1"/>
  <c r="BI208" i="12"/>
  <c r="BP208" i="12" s="1"/>
  <c r="BI216" i="12"/>
  <c r="BP216" i="12" s="1"/>
  <c r="BI224" i="12"/>
  <c r="BP224" i="12" s="1"/>
  <c r="BI232" i="12"/>
  <c r="BP232" i="12" s="1"/>
  <c r="BI240" i="12"/>
  <c r="BP240" i="12" s="1"/>
  <c r="BI248" i="12"/>
  <c r="BP248" i="12" s="1"/>
  <c r="BI256" i="12"/>
  <c r="BP256" i="12" s="1"/>
  <c r="BI264" i="12"/>
  <c r="BP264" i="12" s="1"/>
  <c r="BI268" i="12"/>
  <c r="BP268" i="12" s="1"/>
  <c r="BI276" i="12"/>
  <c r="BP276" i="12" s="1"/>
  <c r="BI284" i="12"/>
  <c r="BP284" i="12" s="1"/>
  <c r="BI292" i="12"/>
  <c r="BP292" i="12" s="1"/>
  <c r="BI300" i="12"/>
  <c r="BP300" i="12" s="1"/>
  <c r="BI308" i="12"/>
  <c r="BP308" i="12" s="1"/>
  <c r="BI316" i="12"/>
  <c r="BP316" i="12" s="1"/>
  <c r="AY144" i="13"/>
  <c r="AY148" i="13"/>
  <c r="AY152" i="13"/>
  <c r="AY156" i="13"/>
  <c r="AY160" i="13"/>
  <c r="AY164" i="13"/>
  <c r="AY168" i="13"/>
  <c r="AY172" i="13"/>
  <c r="AY176" i="13"/>
  <c r="AY180" i="13"/>
  <c r="AY184" i="13"/>
  <c r="AY188" i="13"/>
  <c r="AY192" i="13"/>
  <c r="AY196" i="13"/>
  <c r="AY200" i="13"/>
  <c r="AY204" i="13"/>
  <c r="AY208" i="13"/>
  <c r="AY212" i="13"/>
  <c r="AY216" i="13"/>
  <c r="AY220" i="13"/>
  <c r="AY224" i="13"/>
  <c r="AY228" i="13"/>
  <c r="AY232" i="13"/>
  <c r="AY236" i="13"/>
  <c r="AY240" i="13"/>
  <c r="AY244" i="13"/>
  <c r="AY248" i="13"/>
  <c r="AY252" i="13"/>
  <c r="AY256" i="13"/>
  <c r="AY260" i="13"/>
  <c r="AY264" i="13"/>
  <c r="AY268" i="13"/>
  <c r="AY272" i="13"/>
  <c r="AY276" i="13"/>
  <c r="AY280" i="13"/>
  <c r="AY284" i="13"/>
  <c r="AY288" i="13"/>
  <c r="AY292" i="13"/>
  <c r="AY296" i="13"/>
  <c r="AY300" i="13"/>
  <c r="AY304" i="13"/>
  <c r="AY308" i="13"/>
  <c r="AY312" i="13"/>
  <c r="AY316" i="13"/>
  <c r="AY143" i="13"/>
  <c r="BF143" i="13" s="1"/>
  <c r="AY146" i="13"/>
  <c r="AY154" i="13"/>
  <c r="AY162" i="13"/>
  <c r="AY170" i="13"/>
  <c r="AY178" i="13"/>
  <c r="AY186" i="13"/>
  <c r="AY194" i="13"/>
  <c r="AY202" i="13"/>
  <c r="AY210" i="13"/>
  <c r="AY218" i="13"/>
  <c r="AY226" i="13"/>
  <c r="AY234" i="13"/>
  <c r="AY242" i="13"/>
  <c r="AY250" i="13"/>
  <c r="AY258" i="13"/>
  <c r="AY266" i="13"/>
  <c r="AY274" i="13"/>
  <c r="AY282" i="13"/>
  <c r="AY290" i="13"/>
  <c r="AY298" i="13"/>
  <c r="AY306" i="13"/>
  <c r="AY314" i="13"/>
  <c r="AY149" i="13"/>
  <c r="AY157" i="13"/>
  <c r="AY169" i="13"/>
  <c r="AY177" i="13"/>
  <c r="AY185" i="13"/>
  <c r="AY197" i="13"/>
  <c r="AY205" i="13"/>
  <c r="AY213" i="13"/>
  <c r="AY221" i="13"/>
  <c r="AY229" i="13"/>
  <c r="AY237" i="13"/>
  <c r="AY241" i="13"/>
  <c r="AY253" i="13"/>
  <c r="AY261" i="13"/>
  <c r="AY269" i="13"/>
  <c r="AY277" i="13"/>
  <c r="AY285" i="13"/>
  <c r="AY293" i="13"/>
  <c r="AY301" i="13"/>
  <c r="AY309" i="13"/>
  <c r="AY317" i="13"/>
  <c r="AY147" i="13"/>
  <c r="AY151" i="13"/>
  <c r="AY155" i="13"/>
  <c r="AY159" i="13"/>
  <c r="AY163" i="13"/>
  <c r="AY167" i="13"/>
  <c r="AY171" i="13"/>
  <c r="AY175" i="13"/>
  <c r="AY179" i="13"/>
  <c r="AY183" i="13"/>
  <c r="AY187" i="13"/>
  <c r="AY191" i="13"/>
  <c r="AY195" i="13"/>
  <c r="AY199" i="13"/>
  <c r="AY203" i="13"/>
  <c r="AY207" i="13"/>
  <c r="AY211" i="13"/>
  <c r="AY215" i="13"/>
  <c r="AY219" i="13"/>
  <c r="AY223" i="13"/>
  <c r="AY227" i="13"/>
  <c r="AY231" i="13"/>
  <c r="AY235" i="13"/>
  <c r="AY239" i="13"/>
  <c r="AY243" i="13"/>
  <c r="AY247" i="13"/>
  <c r="AY251" i="13"/>
  <c r="AY255" i="13"/>
  <c r="AY259" i="13"/>
  <c r="AY263" i="13"/>
  <c r="AY267" i="13"/>
  <c r="AY271" i="13"/>
  <c r="AY275" i="13"/>
  <c r="AY279" i="13"/>
  <c r="AY283" i="13"/>
  <c r="AY287" i="13"/>
  <c r="AY291" i="13"/>
  <c r="AY295" i="13"/>
  <c r="AY299" i="13"/>
  <c r="AY303" i="13"/>
  <c r="AY307" i="13"/>
  <c r="AY311" i="13"/>
  <c r="AY315" i="13"/>
  <c r="AY150" i="13"/>
  <c r="AY158" i="13"/>
  <c r="AY166" i="13"/>
  <c r="AY174" i="13"/>
  <c r="AY182" i="13"/>
  <c r="AY190" i="13"/>
  <c r="AY198" i="13"/>
  <c r="AY206" i="13"/>
  <c r="AY214" i="13"/>
  <c r="AY222" i="13"/>
  <c r="AY230" i="13"/>
  <c r="AY238" i="13"/>
  <c r="AY246" i="13"/>
  <c r="AY254" i="13"/>
  <c r="AY262" i="13"/>
  <c r="AY270" i="13"/>
  <c r="AY278" i="13"/>
  <c r="AY286" i="13"/>
  <c r="AY294" i="13"/>
  <c r="AY302" i="13"/>
  <c r="AY310" i="13"/>
  <c r="AY318" i="13"/>
  <c r="AY145" i="13"/>
  <c r="AY153" i="13"/>
  <c r="AY161" i="13"/>
  <c r="AY165" i="13"/>
  <c r="AY173" i="13"/>
  <c r="AY181" i="13"/>
  <c r="AY189" i="13"/>
  <c r="AY193" i="13"/>
  <c r="AY201" i="13"/>
  <c r="AY209" i="13"/>
  <c r="AY217" i="13"/>
  <c r="AY225" i="13"/>
  <c r="AY233" i="13"/>
  <c r="AY245" i="13"/>
  <c r="AY249" i="13"/>
  <c r="AY257" i="13"/>
  <c r="AY265" i="13"/>
  <c r="AY273" i="13"/>
  <c r="AY281" i="13"/>
  <c r="AY289" i="13"/>
  <c r="AY297" i="13"/>
  <c r="AY305" i="13"/>
  <c r="AY313" i="13"/>
  <c r="AZ137" i="13"/>
  <c r="G128" i="14"/>
  <c r="AZ137" i="12"/>
  <c r="F128" i="14"/>
  <c r="AZ137" i="11"/>
  <c r="AY144" i="11"/>
  <c r="BF144" i="11" s="1"/>
  <c r="AY148" i="11"/>
  <c r="BF148" i="11" s="1"/>
  <c r="AY152" i="11"/>
  <c r="BF152" i="11" s="1"/>
  <c r="AY156" i="11"/>
  <c r="BF156" i="11" s="1"/>
  <c r="AY160" i="11"/>
  <c r="BF160" i="11" s="1"/>
  <c r="AY164" i="11"/>
  <c r="BF164" i="11" s="1"/>
  <c r="AY195" i="11"/>
  <c r="BF195" i="11" s="1"/>
  <c r="AY196" i="11"/>
  <c r="BF196" i="11" s="1"/>
  <c r="AY197" i="11"/>
  <c r="BF197" i="11" s="1"/>
  <c r="AY198" i="11"/>
  <c r="BF198" i="11" s="1"/>
  <c r="AY199" i="11"/>
  <c r="BF199" i="11" s="1"/>
  <c r="AY200" i="11"/>
  <c r="BF200" i="11" s="1"/>
  <c r="AY201" i="11"/>
  <c r="BF201" i="11" s="1"/>
  <c r="AY202" i="11"/>
  <c r="BF202" i="11" s="1"/>
  <c r="AY203" i="11"/>
  <c r="BF203" i="11" s="1"/>
  <c r="AY204" i="11"/>
  <c r="BF204" i="11" s="1"/>
  <c r="AY205" i="11"/>
  <c r="BF205" i="11" s="1"/>
  <c r="AY206" i="11"/>
  <c r="BF206" i="11" s="1"/>
  <c r="AY207" i="11"/>
  <c r="BF207" i="11" s="1"/>
  <c r="AY208" i="11"/>
  <c r="BF208" i="11" s="1"/>
  <c r="AY209" i="11"/>
  <c r="BF209" i="11" s="1"/>
  <c r="AY147" i="11"/>
  <c r="BF147" i="11" s="1"/>
  <c r="AY151" i="11"/>
  <c r="BF151" i="11" s="1"/>
  <c r="AY155" i="11"/>
  <c r="BF155" i="11" s="1"/>
  <c r="AY159" i="11"/>
  <c r="BF159" i="11" s="1"/>
  <c r="AY163" i="11"/>
  <c r="BF163" i="11" s="1"/>
  <c r="AY166" i="11"/>
  <c r="BF166" i="11" s="1"/>
  <c r="AY167" i="11"/>
  <c r="BF167" i="11" s="1"/>
  <c r="AY168" i="11"/>
  <c r="BF168" i="11" s="1"/>
  <c r="AY169" i="11"/>
  <c r="BF169" i="11" s="1"/>
  <c r="AY170" i="11"/>
  <c r="BF170" i="11" s="1"/>
  <c r="AY171" i="11"/>
  <c r="BF171" i="11" s="1"/>
  <c r="AY172" i="11"/>
  <c r="BF172" i="11" s="1"/>
  <c r="AY173" i="11"/>
  <c r="BF173" i="11" s="1"/>
  <c r="AY174" i="11"/>
  <c r="BF174" i="11" s="1"/>
  <c r="AY175" i="11"/>
  <c r="BF175" i="11" s="1"/>
  <c r="AY176" i="11"/>
  <c r="BF176" i="11" s="1"/>
  <c r="AY177" i="11"/>
  <c r="BF177" i="11" s="1"/>
  <c r="AY178" i="11"/>
  <c r="BF178" i="11" s="1"/>
  <c r="AY179" i="11"/>
  <c r="BF179" i="11" s="1"/>
  <c r="AY180" i="11"/>
  <c r="BF180" i="11" s="1"/>
  <c r="AY181" i="11"/>
  <c r="BF181" i="11" s="1"/>
  <c r="AY182" i="11"/>
  <c r="BF182" i="11" s="1"/>
  <c r="AY183" i="11"/>
  <c r="BF183" i="11" s="1"/>
  <c r="AY187" i="11"/>
  <c r="BF187" i="11" s="1"/>
  <c r="AY189" i="11"/>
  <c r="BF189" i="11" s="1"/>
  <c r="AY191" i="11"/>
  <c r="BF191" i="11" s="1"/>
  <c r="AY192" i="11"/>
  <c r="BF192" i="11" s="1"/>
  <c r="AY193" i="11"/>
  <c r="BF193" i="11" s="1"/>
  <c r="AY194" i="11"/>
  <c r="BF194" i="11" s="1"/>
  <c r="AY145" i="11"/>
  <c r="BF145" i="11" s="1"/>
  <c r="AY153" i="11"/>
  <c r="BF153" i="11" s="1"/>
  <c r="AY161" i="11"/>
  <c r="BF161" i="11" s="1"/>
  <c r="AY188" i="11"/>
  <c r="BF188" i="11" s="1"/>
  <c r="AY295" i="11"/>
  <c r="BF295" i="11" s="1"/>
  <c r="AY297" i="11"/>
  <c r="BF297" i="11" s="1"/>
  <c r="AY299" i="11"/>
  <c r="BF299" i="11" s="1"/>
  <c r="AY301" i="11"/>
  <c r="BF301" i="11" s="1"/>
  <c r="AY158" i="11"/>
  <c r="BF158" i="11" s="1"/>
  <c r="AY185" i="11"/>
  <c r="BF185" i="11" s="1"/>
  <c r="AY190" i="11"/>
  <c r="BF190" i="11" s="1"/>
  <c r="AY149" i="11"/>
  <c r="BF149" i="11" s="1"/>
  <c r="AY165" i="11"/>
  <c r="BF165" i="11" s="1"/>
  <c r="AY146" i="11"/>
  <c r="BF146" i="11" s="1"/>
  <c r="AY154" i="11"/>
  <c r="BF154" i="11" s="1"/>
  <c r="AY162" i="11"/>
  <c r="BF162" i="11" s="1"/>
  <c r="AY210" i="11"/>
  <c r="BF210" i="11" s="1"/>
  <c r="AY211" i="11"/>
  <c r="BF211" i="11" s="1"/>
  <c r="AY212" i="11"/>
  <c r="BF212" i="11" s="1"/>
  <c r="AY213" i="11"/>
  <c r="BF213" i="11" s="1"/>
  <c r="AY214" i="11"/>
  <c r="BF214" i="11" s="1"/>
  <c r="AY215" i="11"/>
  <c r="BF215" i="11" s="1"/>
  <c r="AY216" i="11"/>
  <c r="BF216" i="11" s="1"/>
  <c r="AY217" i="11"/>
  <c r="BF217" i="11" s="1"/>
  <c r="AY218" i="11"/>
  <c r="BF218" i="11" s="1"/>
  <c r="AY219" i="11"/>
  <c r="BF219" i="11" s="1"/>
  <c r="AY220" i="11"/>
  <c r="BF220" i="11" s="1"/>
  <c r="AY221" i="11"/>
  <c r="BF221" i="11" s="1"/>
  <c r="AY222" i="11"/>
  <c r="BF222" i="11" s="1"/>
  <c r="AY223" i="11"/>
  <c r="BF223" i="11" s="1"/>
  <c r="AY224" i="11"/>
  <c r="BF224" i="11" s="1"/>
  <c r="AY225" i="11"/>
  <c r="BF225" i="11" s="1"/>
  <c r="AY226" i="11"/>
  <c r="BF226" i="11" s="1"/>
  <c r="AY227" i="11"/>
  <c r="BF227" i="11" s="1"/>
  <c r="AY228" i="11"/>
  <c r="BF228" i="11" s="1"/>
  <c r="AY229" i="11"/>
  <c r="BF229" i="11" s="1"/>
  <c r="AY230" i="11"/>
  <c r="BF230" i="11" s="1"/>
  <c r="AY231" i="11"/>
  <c r="BF231" i="11" s="1"/>
  <c r="AY232" i="11"/>
  <c r="BF232" i="11" s="1"/>
  <c r="AY233" i="11"/>
  <c r="BF233" i="11" s="1"/>
  <c r="AY234" i="11"/>
  <c r="BF234" i="11" s="1"/>
  <c r="AY235" i="11"/>
  <c r="BF235" i="11" s="1"/>
  <c r="AY236" i="11"/>
  <c r="BF236" i="11" s="1"/>
  <c r="AY237" i="11"/>
  <c r="BF237" i="11" s="1"/>
  <c r="AY238" i="11"/>
  <c r="BF238" i="11" s="1"/>
  <c r="AY239" i="11"/>
  <c r="BF239" i="11" s="1"/>
  <c r="AY240" i="11"/>
  <c r="BF240" i="11" s="1"/>
  <c r="AY241" i="11"/>
  <c r="BF241" i="11" s="1"/>
  <c r="AY242" i="11"/>
  <c r="BF242" i="11" s="1"/>
  <c r="AY243" i="11"/>
  <c r="BF243" i="11" s="1"/>
  <c r="AY244" i="11"/>
  <c r="BF244" i="11" s="1"/>
  <c r="AY245" i="11"/>
  <c r="BF245" i="11" s="1"/>
  <c r="AY246" i="11"/>
  <c r="BF246" i="11" s="1"/>
  <c r="AY247" i="11"/>
  <c r="BF247" i="11" s="1"/>
  <c r="AY248" i="11"/>
  <c r="BF248" i="11" s="1"/>
  <c r="AY249" i="11"/>
  <c r="BF249" i="11" s="1"/>
  <c r="AY250" i="11"/>
  <c r="BF250" i="11" s="1"/>
  <c r="AY251" i="11"/>
  <c r="BF251" i="11" s="1"/>
  <c r="AY252" i="11"/>
  <c r="BF252" i="11" s="1"/>
  <c r="AY253" i="11"/>
  <c r="BF253" i="11" s="1"/>
  <c r="AY254" i="11"/>
  <c r="BF254" i="11" s="1"/>
  <c r="AY255" i="11"/>
  <c r="BF255" i="11" s="1"/>
  <c r="AY256" i="11"/>
  <c r="BF256" i="11" s="1"/>
  <c r="AY257" i="11"/>
  <c r="BF257" i="11" s="1"/>
  <c r="AY258" i="11"/>
  <c r="BF258" i="11" s="1"/>
  <c r="AY259" i="11"/>
  <c r="BF259" i="11" s="1"/>
  <c r="AY260" i="11"/>
  <c r="BF260" i="11" s="1"/>
  <c r="AY261" i="11"/>
  <c r="BF261" i="11" s="1"/>
  <c r="AY262" i="11"/>
  <c r="BF262" i="11" s="1"/>
  <c r="AY263" i="11"/>
  <c r="BF263" i="11" s="1"/>
  <c r="AY264" i="11"/>
  <c r="BF264" i="11" s="1"/>
  <c r="AY265" i="11"/>
  <c r="BF265" i="11" s="1"/>
  <c r="AY266" i="11"/>
  <c r="BF266" i="11" s="1"/>
  <c r="AY267" i="11"/>
  <c r="BF267" i="11" s="1"/>
  <c r="AY268" i="11"/>
  <c r="BF268" i="11" s="1"/>
  <c r="AY269" i="11"/>
  <c r="BF269" i="11" s="1"/>
  <c r="AY270" i="11"/>
  <c r="BF270" i="11" s="1"/>
  <c r="AY271" i="11"/>
  <c r="BF271" i="11" s="1"/>
  <c r="AY272" i="11"/>
  <c r="BF272" i="11" s="1"/>
  <c r="AY273" i="11"/>
  <c r="BF273" i="11" s="1"/>
  <c r="AY274" i="11"/>
  <c r="BF274" i="11" s="1"/>
  <c r="AY275" i="11"/>
  <c r="BF275" i="11" s="1"/>
  <c r="AY276" i="11"/>
  <c r="BF276" i="11" s="1"/>
  <c r="AY277" i="11"/>
  <c r="BF277" i="11" s="1"/>
  <c r="AY278" i="11"/>
  <c r="BF278" i="11" s="1"/>
  <c r="AY279" i="11"/>
  <c r="BF279" i="11" s="1"/>
  <c r="AY280" i="11"/>
  <c r="BF280" i="11" s="1"/>
  <c r="AY281" i="11"/>
  <c r="BF281" i="11" s="1"/>
  <c r="AY282" i="11"/>
  <c r="BF282" i="11" s="1"/>
  <c r="AY283" i="11"/>
  <c r="BF283" i="11" s="1"/>
  <c r="AY284" i="11"/>
  <c r="BF284" i="11" s="1"/>
  <c r="AY285" i="11"/>
  <c r="BF285" i="11" s="1"/>
  <c r="AY286" i="11"/>
  <c r="BF286" i="11" s="1"/>
  <c r="AY287" i="11"/>
  <c r="BF287" i="11" s="1"/>
  <c r="AY288" i="11"/>
  <c r="BF288" i="11" s="1"/>
  <c r="AY289" i="11"/>
  <c r="BF289" i="11" s="1"/>
  <c r="AY290" i="11"/>
  <c r="BF290" i="11" s="1"/>
  <c r="AY291" i="11"/>
  <c r="BF291" i="11" s="1"/>
  <c r="AY292" i="11"/>
  <c r="BF292" i="11" s="1"/>
  <c r="AY293" i="11"/>
  <c r="BF293" i="11" s="1"/>
  <c r="AY150" i="11"/>
  <c r="BF150" i="11" s="1"/>
  <c r="AY184" i="11"/>
  <c r="BF184" i="11" s="1"/>
  <c r="AY157" i="11"/>
  <c r="BF157" i="11" s="1"/>
  <c r="AY294" i="11"/>
  <c r="BF294" i="11" s="1"/>
  <c r="AY302" i="11"/>
  <c r="BF302" i="11" s="1"/>
  <c r="AY304" i="11"/>
  <c r="BF304" i="11" s="1"/>
  <c r="AY306" i="11"/>
  <c r="BF306" i="11" s="1"/>
  <c r="AY308" i="11"/>
  <c r="BF308" i="11" s="1"/>
  <c r="AY310" i="11"/>
  <c r="BF310" i="11" s="1"/>
  <c r="AY312" i="11"/>
  <c r="BF312" i="11" s="1"/>
  <c r="AY314" i="11"/>
  <c r="BF314" i="11" s="1"/>
  <c r="AY316" i="11"/>
  <c r="BF316" i="11" s="1"/>
  <c r="AY318" i="11"/>
  <c r="BF318" i="11" s="1"/>
  <c r="AY143" i="11"/>
  <c r="BF143" i="11" s="1"/>
  <c r="AY300" i="11"/>
  <c r="BF300" i="11" s="1"/>
  <c r="AY296" i="11"/>
  <c r="BF296" i="11" s="1"/>
  <c r="AY186" i="11"/>
  <c r="BF186" i="11" s="1"/>
  <c r="AY298" i="11"/>
  <c r="BF298" i="11" s="1"/>
  <c r="AY303" i="11"/>
  <c r="BF303" i="11" s="1"/>
  <c r="AY305" i="11"/>
  <c r="BF305" i="11" s="1"/>
  <c r="AY307" i="11"/>
  <c r="BF307" i="11" s="1"/>
  <c r="AY309" i="11"/>
  <c r="BF309" i="11" s="1"/>
  <c r="AY311" i="11"/>
  <c r="BF311" i="11" s="1"/>
  <c r="AY313" i="11"/>
  <c r="BF313" i="11" s="1"/>
  <c r="AY315" i="11"/>
  <c r="BF315" i="11" s="1"/>
  <c r="AY317" i="11"/>
  <c r="BF317" i="11" s="1"/>
  <c r="AP137" i="13"/>
  <c r="AO146" i="13"/>
  <c r="AV146" i="13" s="1"/>
  <c r="AO150" i="13"/>
  <c r="AV150" i="13" s="1"/>
  <c r="AO154" i="13"/>
  <c r="AV154" i="13" s="1"/>
  <c r="AO158" i="13"/>
  <c r="AV158" i="13" s="1"/>
  <c r="AO162" i="13"/>
  <c r="AV162" i="13" s="1"/>
  <c r="AO166" i="13"/>
  <c r="AV166" i="13" s="1"/>
  <c r="AO170" i="13"/>
  <c r="AV170" i="13" s="1"/>
  <c r="AO174" i="13"/>
  <c r="AV174" i="13" s="1"/>
  <c r="AO178" i="13"/>
  <c r="AV178" i="13" s="1"/>
  <c r="AO182" i="13"/>
  <c r="AV182" i="13" s="1"/>
  <c r="AO186" i="13"/>
  <c r="AV186" i="13" s="1"/>
  <c r="AO190" i="13"/>
  <c r="AV190" i="13" s="1"/>
  <c r="AO194" i="13"/>
  <c r="AV194" i="13" s="1"/>
  <c r="AO198" i="13"/>
  <c r="AV198" i="13" s="1"/>
  <c r="AO202" i="13"/>
  <c r="AV202" i="13" s="1"/>
  <c r="AO206" i="13"/>
  <c r="AV206" i="13" s="1"/>
  <c r="AO210" i="13"/>
  <c r="AV210" i="13" s="1"/>
  <c r="AO214" i="13"/>
  <c r="AV214" i="13" s="1"/>
  <c r="AO218" i="13"/>
  <c r="AV218" i="13" s="1"/>
  <c r="AO222" i="13"/>
  <c r="AV222" i="13" s="1"/>
  <c r="AO226" i="13"/>
  <c r="AV226" i="13" s="1"/>
  <c r="AO230" i="13"/>
  <c r="AV230" i="13" s="1"/>
  <c r="AO234" i="13"/>
  <c r="AV234" i="13" s="1"/>
  <c r="AO238" i="13"/>
  <c r="AV238" i="13" s="1"/>
  <c r="AO242" i="13"/>
  <c r="AV242" i="13" s="1"/>
  <c r="AO246" i="13"/>
  <c r="AV246" i="13" s="1"/>
  <c r="AO250" i="13"/>
  <c r="AV250" i="13" s="1"/>
  <c r="AO254" i="13"/>
  <c r="AV254" i="13" s="1"/>
  <c r="AO258" i="13"/>
  <c r="AV258" i="13" s="1"/>
  <c r="AO262" i="13"/>
  <c r="AV262" i="13" s="1"/>
  <c r="AO266" i="13"/>
  <c r="AV266" i="13" s="1"/>
  <c r="AO270" i="13"/>
  <c r="AV270" i="13" s="1"/>
  <c r="AO274" i="13"/>
  <c r="AV274" i="13" s="1"/>
  <c r="AO278" i="13"/>
  <c r="AV278" i="13" s="1"/>
  <c r="AO282" i="13"/>
  <c r="AV282" i="13" s="1"/>
  <c r="AO286" i="13"/>
  <c r="AV286" i="13" s="1"/>
  <c r="AO290" i="13"/>
  <c r="AV290" i="13" s="1"/>
  <c r="AO294" i="13"/>
  <c r="AV294" i="13" s="1"/>
  <c r="AO298" i="13"/>
  <c r="AV298" i="13" s="1"/>
  <c r="AO302" i="13"/>
  <c r="AV302" i="13" s="1"/>
  <c r="AO306" i="13"/>
  <c r="AV306" i="13" s="1"/>
  <c r="AO310" i="13"/>
  <c r="AV310" i="13" s="1"/>
  <c r="AO314" i="13"/>
  <c r="AV314" i="13" s="1"/>
  <c r="AO318" i="13"/>
  <c r="AV318" i="13" s="1"/>
  <c r="AO144" i="13"/>
  <c r="AV144" i="13" s="1"/>
  <c r="AO152" i="13"/>
  <c r="AV152" i="13" s="1"/>
  <c r="AO160" i="13"/>
  <c r="AV160" i="13" s="1"/>
  <c r="AO168" i="13"/>
  <c r="AV168" i="13" s="1"/>
  <c r="AO176" i="13"/>
  <c r="AV176" i="13" s="1"/>
  <c r="AO184" i="13"/>
  <c r="AV184" i="13" s="1"/>
  <c r="AO192" i="13"/>
  <c r="AV192" i="13" s="1"/>
  <c r="AO200" i="13"/>
  <c r="AV200" i="13" s="1"/>
  <c r="AO208" i="13"/>
  <c r="AV208" i="13" s="1"/>
  <c r="AO216" i="13"/>
  <c r="AV216" i="13" s="1"/>
  <c r="AO224" i="13"/>
  <c r="AV224" i="13" s="1"/>
  <c r="AO232" i="13"/>
  <c r="AV232" i="13" s="1"/>
  <c r="AO240" i="13"/>
  <c r="AV240" i="13" s="1"/>
  <c r="AO248" i="13"/>
  <c r="AV248" i="13" s="1"/>
  <c r="AO256" i="13"/>
  <c r="AV256" i="13" s="1"/>
  <c r="AO264" i="13"/>
  <c r="AV264" i="13" s="1"/>
  <c r="AO272" i="13"/>
  <c r="AV272" i="13" s="1"/>
  <c r="AO280" i="13"/>
  <c r="AV280" i="13" s="1"/>
  <c r="AO288" i="13"/>
  <c r="AV288" i="13" s="1"/>
  <c r="AO296" i="13"/>
  <c r="AV296" i="13" s="1"/>
  <c r="AO300" i="13"/>
  <c r="AV300" i="13" s="1"/>
  <c r="AO308" i="13"/>
  <c r="AV308" i="13" s="1"/>
  <c r="AO316" i="13"/>
  <c r="AV316" i="13" s="1"/>
  <c r="AO151" i="13"/>
  <c r="AV151" i="13" s="1"/>
  <c r="AO159" i="13"/>
  <c r="AV159" i="13" s="1"/>
  <c r="AO167" i="13"/>
  <c r="AV167" i="13" s="1"/>
  <c r="AO175" i="13"/>
  <c r="AV175" i="13" s="1"/>
  <c r="AO187" i="13"/>
  <c r="AV187" i="13" s="1"/>
  <c r="AO195" i="13"/>
  <c r="AV195" i="13" s="1"/>
  <c r="AO203" i="13"/>
  <c r="AV203" i="13" s="1"/>
  <c r="AO211" i="13"/>
  <c r="AV211" i="13" s="1"/>
  <c r="AO219" i="13"/>
  <c r="AV219" i="13" s="1"/>
  <c r="AO227" i="13"/>
  <c r="AV227" i="13" s="1"/>
  <c r="AO235" i="13"/>
  <c r="AV235" i="13" s="1"/>
  <c r="AO243" i="13"/>
  <c r="AV243" i="13" s="1"/>
  <c r="AO251" i="13"/>
  <c r="AV251" i="13" s="1"/>
  <c r="AO259" i="13"/>
  <c r="AV259" i="13" s="1"/>
  <c r="AO271" i="13"/>
  <c r="AV271" i="13" s="1"/>
  <c r="AO279" i="13"/>
  <c r="AV279" i="13" s="1"/>
  <c r="AO287" i="13"/>
  <c r="AV287" i="13" s="1"/>
  <c r="AO291" i="13"/>
  <c r="AV291" i="13" s="1"/>
  <c r="AO303" i="13"/>
  <c r="AV303" i="13" s="1"/>
  <c r="AO311" i="13"/>
  <c r="AV311" i="13" s="1"/>
  <c r="AO145" i="13"/>
  <c r="AV145" i="13" s="1"/>
  <c r="AO149" i="13"/>
  <c r="AV149" i="13" s="1"/>
  <c r="AO153" i="13"/>
  <c r="AV153" i="13" s="1"/>
  <c r="AO157" i="13"/>
  <c r="AV157" i="13" s="1"/>
  <c r="AO161" i="13"/>
  <c r="AV161" i="13" s="1"/>
  <c r="AO165" i="13"/>
  <c r="AV165" i="13" s="1"/>
  <c r="AO169" i="13"/>
  <c r="AV169" i="13" s="1"/>
  <c r="AO173" i="13"/>
  <c r="AV173" i="13" s="1"/>
  <c r="AO177" i="13"/>
  <c r="AV177" i="13" s="1"/>
  <c r="AO181" i="13"/>
  <c r="AV181" i="13" s="1"/>
  <c r="AO185" i="13"/>
  <c r="AV185" i="13" s="1"/>
  <c r="AO189" i="13"/>
  <c r="AV189" i="13" s="1"/>
  <c r="AO193" i="13"/>
  <c r="AV193" i="13" s="1"/>
  <c r="AO197" i="13"/>
  <c r="AV197" i="13" s="1"/>
  <c r="AO201" i="13"/>
  <c r="AV201" i="13" s="1"/>
  <c r="AO205" i="13"/>
  <c r="AV205" i="13" s="1"/>
  <c r="AO209" i="13"/>
  <c r="AV209" i="13" s="1"/>
  <c r="AO213" i="13"/>
  <c r="AV213" i="13" s="1"/>
  <c r="AO217" i="13"/>
  <c r="AV217" i="13" s="1"/>
  <c r="AO221" i="13"/>
  <c r="AV221" i="13" s="1"/>
  <c r="AO225" i="13"/>
  <c r="AV225" i="13" s="1"/>
  <c r="AO229" i="13"/>
  <c r="AV229" i="13" s="1"/>
  <c r="AO233" i="13"/>
  <c r="AV233" i="13" s="1"/>
  <c r="AO237" i="13"/>
  <c r="AV237" i="13" s="1"/>
  <c r="AO241" i="13"/>
  <c r="AV241" i="13" s="1"/>
  <c r="AO245" i="13"/>
  <c r="AV245" i="13" s="1"/>
  <c r="AO249" i="13"/>
  <c r="AV249" i="13" s="1"/>
  <c r="AO253" i="13"/>
  <c r="AV253" i="13" s="1"/>
  <c r="AO257" i="13"/>
  <c r="AV257" i="13" s="1"/>
  <c r="AO261" i="13"/>
  <c r="AV261" i="13" s="1"/>
  <c r="AO265" i="13"/>
  <c r="AV265" i="13" s="1"/>
  <c r="AO269" i="13"/>
  <c r="AV269" i="13" s="1"/>
  <c r="AO273" i="13"/>
  <c r="AV273" i="13" s="1"/>
  <c r="AO277" i="13"/>
  <c r="AV277" i="13" s="1"/>
  <c r="AO281" i="13"/>
  <c r="AV281" i="13" s="1"/>
  <c r="AO285" i="13"/>
  <c r="AV285" i="13" s="1"/>
  <c r="AO289" i="13"/>
  <c r="AV289" i="13" s="1"/>
  <c r="AO293" i="13"/>
  <c r="AV293" i="13" s="1"/>
  <c r="AO297" i="13"/>
  <c r="AV297" i="13" s="1"/>
  <c r="AO301" i="13"/>
  <c r="AV301" i="13" s="1"/>
  <c r="AO305" i="13"/>
  <c r="AV305" i="13" s="1"/>
  <c r="AO309" i="13"/>
  <c r="AV309" i="13" s="1"/>
  <c r="AO313" i="13"/>
  <c r="AV313" i="13" s="1"/>
  <c r="AO317" i="13"/>
  <c r="AV317" i="13" s="1"/>
  <c r="AO148" i="13"/>
  <c r="AV148" i="13" s="1"/>
  <c r="AO156" i="13"/>
  <c r="AV156" i="13" s="1"/>
  <c r="AO164" i="13"/>
  <c r="AV164" i="13" s="1"/>
  <c r="AO172" i="13"/>
  <c r="AV172" i="13" s="1"/>
  <c r="AO180" i="13"/>
  <c r="AV180" i="13" s="1"/>
  <c r="AO188" i="13"/>
  <c r="AV188" i="13" s="1"/>
  <c r="AO196" i="13"/>
  <c r="AV196" i="13" s="1"/>
  <c r="AO204" i="13"/>
  <c r="AV204" i="13" s="1"/>
  <c r="AO212" i="13"/>
  <c r="AV212" i="13" s="1"/>
  <c r="AO220" i="13"/>
  <c r="AV220" i="13" s="1"/>
  <c r="AO228" i="13"/>
  <c r="AV228" i="13" s="1"/>
  <c r="AO236" i="13"/>
  <c r="AV236" i="13" s="1"/>
  <c r="AO244" i="13"/>
  <c r="AV244" i="13" s="1"/>
  <c r="AO252" i="13"/>
  <c r="AV252" i="13" s="1"/>
  <c r="AO260" i="13"/>
  <c r="AV260" i="13" s="1"/>
  <c r="AO268" i="13"/>
  <c r="AV268" i="13" s="1"/>
  <c r="AO276" i="13"/>
  <c r="AV276" i="13" s="1"/>
  <c r="AO284" i="13"/>
  <c r="AV284" i="13" s="1"/>
  <c r="AO292" i="13"/>
  <c r="AV292" i="13" s="1"/>
  <c r="AO304" i="13"/>
  <c r="AV304" i="13" s="1"/>
  <c r="AO312" i="13"/>
  <c r="AV312" i="13" s="1"/>
  <c r="AO147" i="13"/>
  <c r="AV147" i="13" s="1"/>
  <c r="AO155" i="13"/>
  <c r="AV155" i="13" s="1"/>
  <c r="AO163" i="13"/>
  <c r="AV163" i="13" s="1"/>
  <c r="AO171" i="13"/>
  <c r="AV171" i="13" s="1"/>
  <c r="AO179" i="13"/>
  <c r="AV179" i="13" s="1"/>
  <c r="AO183" i="13"/>
  <c r="AV183" i="13" s="1"/>
  <c r="AO191" i="13"/>
  <c r="AV191" i="13" s="1"/>
  <c r="AO199" i="13"/>
  <c r="AV199" i="13" s="1"/>
  <c r="AO207" i="13"/>
  <c r="AV207" i="13" s="1"/>
  <c r="AO215" i="13"/>
  <c r="AV215" i="13" s="1"/>
  <c r="AO223" i="13"/>
  <c r="AV223" i="13" s="1"/>
  <c r="AO231" i="13"/>
  <c r="AV231" i="13" s="1"/>
  <c r="AO239" i="13"/>
  <c r="AV239" i="13" s="1"/>
  <c r="AO247" i="13"/>
  <c r="AV247" i="13" s="1"/>
  <c r="AO255" i="13"/>
  <c r="AV255" i="13" s="1"/>
  <c r="AO263" i="13"/>
  <c r="AV263" i="13" s="1"/>
  <c r="AO267" i="13"/>
  <c r="AV267" i="13" s="1"/>
  <c r="AO275" i="13"/>
  <c r="AV275" i="13" s="1"/>
  <c r="AO283" i="13"/>
  <c r="AV283" i="13" s="1"/>
  <c r="AO295" i="13"/>
  <c r="AV295" i="13" s="1"/>
  <c r="AO299" i="13"/>
  <c r="AV299" i="13" s="1"/>
  <c r="AO307" i="13"/>
  <c r="AV307" i="13" s="1"/>
  <c r="AO315" i="13"/>
  <c r="AV315" i="13" s="1"/>
  <c r="AO143" i="13"/>
  <c r="AV143" i="12"/>
  <c r="G105" i="14"/>
  <c r="AP137" i="12"/>
  <c r="AV316" i="11"/>
  <c r="AV308" i="11"/>
  <c r="AV300" i="11"/>
  <c r="AV155" i="11"/>
  <c r="AV147" i="11"/>
  <c r="AV288" i="11"/>
  <c r="AV280" i="11"/>
  <c r="AV272" i="11"/>
  <c r="AV264" i="11"/>
  <c r="AV256" i="11"/>
  <c r="AV248" i="11"/>
  <c r="AV244" i="11"/>
  <c r="AV232" i="11"/>
  <c r="AV224" i="11"/>
  <c r="AV220" i="11"/>
  <c r="AV212" i="11"/>
  <c r="AV208" i="11"/>
  <c r="AV200" i="11"/>
  <c r="AV188" i="11"/>
  <c r="AV180" i="11"/>
  <c r="AV172" i="11"/>
  <c r="AV168" i="11"/>
  <c r="AV151" i="11"/>
  <c r="AV158" i="11"/>
  <c r="AV162" i="11"/>
  <c r="AV318" i="11"/>
  <c r="AV314" i="11"/>
  <c r="AV310" i="11"/>
  <c r="AV306" i="11"/>
  <c r="AV302" i="11"/>
  <c r="AV298" i="11"/>
  <c r="AV293" i="11"/>
  <c r="AV156" i="11"/>
  <c r="AV292" i="11"/>
  <c r="AV290" i="11"/>
  <c r="AV286" i="11"/>
  <c r="AV282" i="11"/>
  <c r="AV278" i="11"/>
  <c r="AV274" i="11"/>
  <c r="AV270" i="11"/>
  <c r="AV266" i="11"/>
  <c r="AV262" i="11"/>
  <c r="AV258" i="11"/>
  <c r="AV254" i="11"/>
  <c r="AV250" i="11"/>
  <c r="AV246" i="11"/>
  <c r="AV242" i="11"/>
  <c r="AV238" i="11"/>
  <c r="AV234" i="11"/>
  <c r="AV230" i="11"/>
  <c r="AV226" i="11"/>
  <c r="AV222" i="11"/>
  <c r="AV218" i="11"/>
  <c r="AV214" i="11"/>
  <c r="AV210" i="11"/>
  <c r="AV206" i="11"/>
  <c r="AV202" i="11"/>
  <c r="AV198" i="11"/>
  <c r="AV194" i="11"/>
  <c r="AV190" i="11"/>
  <c r="AV186" i="11"/>
  <c r="AV182" i="11"/>
  <c r="AV178" i="11"/>
  <c r="AV174" i="11"/>
  <c r="AV170" i="11"/>
  <c r="AV166" i="11"/>
  <c r="AV161" i="11"/>
  <c r="AV145" i="11"/>
  <c r="AV150" i="11"/>
  <c r="AV152" i="11"/>
  <c r="AV312" i="11"/>
  <c r="AV304" i="11"/>
  <c r="AV295" i="11"/>
  <c r="AV297" i="11"/>
  <c r="AV284" i="11"/>
  <c r="AV276" i="11"/>
  <c r="AV268" i="11"/>
  <c r="AV260" i="11"/>
  <c r="AV252" i="11"/>
  <c r="AV240" i="11"/>
  <c r="AV236" i="11"/>
  <c r="AV228" i="11"/>
  <c r="AV216" i="11"/>
  <c r="AV204" i="11"/>
  <c r="AV196" i="11"/>
  <c r="AV192" i="11"/>
  <c r="AV184" i="11"/>
  <c r="AV176" i="11"/>
  <c r="AV153" i="11"/>
  <c r="AV317" i="11"/>
  <c r="AV313" i="11"/>
  <c r="AV309" i="11"/>
  <c r="AV305" i="11"/>
  <c r="AV301" i="11"/>
  <c r="AV144" i="11"/>
  <c r="AV291" i="11"/>
  <c r="AV148" i="11"/>
  <c r="AV163" i="11"/>
  <c r="AV289" i="11"/>
  <c r="AV285" i="11"/>
  <c r="AV281" i="11"/>
  <c r="AV277" i="11"/>
  <c r="AV273" i="11"/>
  <c r="AV269" i="11"/>
  <c r="AV265" i="11"/>
  <c r="AV261" i="11"/>
  <c r="AV257" i="11"/>
  <c r="AV253" i="11"/>
  <c r="AV249" i="11"/>
  <c r="AV245" i="11"/>
  <c r="AV241" i="11"/>
  <c r="AV237" i="11"/>
  <c r="AV233" i="11"/>
  <c r="AV229" i="11"/>
  <c r="AV225" i="11"/>
  <c r="AV221" i="11"/>
  <c r="AV217" i="11"/>
  <c r="AV213" i="11"/>
  <c r="AV209" i="11"/>
  <c r="AV205" i="11"/>
  <c r="AV201" i="11"/>
  <c r="AV197" i="11"/>
  <c r="AV193" i="11"/>
  <c r="AV189" i="11"/>
  <c r="AV185" i="11"/>
  <c r="AV181" i="11"/>
  <c r="AV177" i="11"/>
  <c r="AV173" i="11"/>
  <c r="AV169" i="11"/>
  <c r="AV159" i="11"/>
  <c r="AV157" i="11"/>
  <c r="AV146" i="11"/>
  <c r="F105" i="14"/>
  <c r="AP137" i="11"/>
  <c r="AV160" i="11"/>
  <c r="AV315" i="11"/>
  <c r="AV311" i="11"/>
  <c r="AV307" i="11"/>
  <c r="AV303" i="11"/>
  <c r="AV299" i="11"/>
  <c r="AV294" i="11"/>
  <c r="AV164" i="11"/>
  <c r="AV296" i="11"/>
  <c r="AV143" i="11"/>
  <c r="AV287" i="11"/>
  <c r="AV283" i="11"/>
  <c r="AV279" i="11"/>
  <c r="AV275" i="11"/>
  <c r="AV271" i="11"/>
  <c r="AV267" i="11"/>
  <c r="AV263" i="11"/>
  <c r="AV259" i="11"/>
  <c r="AV255" i="11"/>
  <c r="AV251" i="11"/>
  <c r="AV247" i="11"/>
  <c r="AV243" i="11"/>
  <c r="AV239" i="11"/>
  <c r="AV235" i="11"/>
  <c r="AV231" i="11"/>
  <c r="AV227" i="11"/>
  <c r="AV223" i="11"/>
  <c r="AV219" i="11"/>
  <c r="AV215" i="11"/>
  <c r="AV211" i="11"/>
  <c r="AV207" i="11"/>
  <c r="AV203" i="11"/>
  <c r="AV199" i="11"/>
  <c r="AV195" i="11"/>
  <c r="AV191" i="11"/>
  <c r="AV187" i="11"/>
  <c r="AV183" i="11"/>
  <c r="AV179" i="11"/>
  <c r="AV175" i="11"/>
  <c r="AV171" i="11"/>
  <c r="AV167" i="11"/>
  <c r="AV165" i="11"/>
  <c r="AV149" i="11"/>
  <c r="AV154" i="11"/>
  <c r="AL143" i="13"/>
  <c r="H82" i="14"/>
  <c r="AF137" i="13"/>
  <c r="AE147" i="12"/>
  <c r="AL147" i="12" s="1"/>
  <c r="AE151" i="12"/>
  <c r="AL151" i="12" s="1"/>
  <c r="AE155" i="12"/>
  <c r="AL155" i="12" s="1"/>
  <c r="AE159" i="12"/>
  <c r="AL159" i="12" s="1"/>
  <c r="AE163" i="12"/>
  <c r="AL163" i="12" s="1"/>
  <c r="AE167" i="12"/>
  <c r="AL167" i="12" s="1"/>
  <c r="AE171" i="12"/>
  <c r="AL171" i="12" s="1"/>
  <c r="AE175" i="12"/>
  <c r="AL175" i="12" s="1"/>
  <c r="AE179" i="12"/>
  <c r="AL179" i="12" s="1"/>
  <c r="AE183" i="12"/>
  <c r="AL183" i="12" s="1"/>
  <c r="AE187" i="12"/>
  <c r="AL187" i="12" s="1"/>
  <c r="AE191" i="12"/>
  <c r="AL191" i="12" s="1"/>
  <c r="AE195" i="12"/>
  <c r="AL195" i="12" s="1"/>
  <c r="AE199" i="12"/>
  <c r="AL199" i="12" s="1"/>
  <c r="AE203" i="12"/>
  <c r="AL203" i="12" s="1"/>
  <c r="AE207" i="12"/>
  <c r="AL207" i="12" s="1"/>
  <c r="AE211" i="12"/>
  <c r="AL211" i="12" s="1"/>
  <c r="AE215" i="12"/>
  <c r="AL215" i="12" s="1"/>
  <c r="AE219" i="12"/>
  <c r="AL219" i="12" s="1"/>
  <c r="AE223" i="12"/>
  <c r="AL223" i="12" s="1"/>
  <c r="AE227" i="12"/>
  <c r="AL227" i="12" s="1"/>
  <c r="AE231" i="12"/>
  <c r="AL231" i="12" s="1"/>
  <c r="AE235" i="12"/>
  <c r="AL235" i="12" s="1"/>
  <c r="AE239" i="12"/>
  <c r="AL239" i="12" s="1"/>
  <c r="AE243" i="12"/>
  <c r="AL243" i="12" s="1"/>
  <c r="AE247" i="12"/>
  <c r="AL247" i="12" s="1"/>
  <c r="AE251" i="12"/>
  <c r="AL251" i="12" s="1"/>
  <c r="AE255" i="12"/>
  <c r="AL255" i="12" s="1"/>
  <c r="AE259" i="12"/>
  <c r="AL259" i="12" s="1"/>
  <c r="AE263" i="12"/>
  <c r="AL263" i="12" s="1"/>
  <c r="AE267" i="12"/>
  <c r="AL267" i="12" s="1"/>
  <c r="AE271" i="12"/>
  <c r="AL271" i="12" s="1"/>
  <c r="AE275" i="12"/>
  <c r="AL275" i="12" s="1"/>
  <c r="AE279" i="12"/>
  <c r="AL279" i="12" s="1"/>
  <c r="AE283" i="12"/>
  <c r="AL283" i="12" s="1"/>
  <c r="AE287" i="12"/>
  <c r="AL287" i="12" s="1"/>
  <c r="AE291" i="12"/>
  <c r="AL291" i="12" s="1"/>
  <c r="AE295" i="12"/>
  <c r="AL295" i="12" s="1"/>
  <c r="AE299" i="12"/>
  <c r="AL299" i="12" s="1"/>
  <c r="AE303" i="12"/>
  <c r="AL303" i="12" s="1"/>
  <c r="AE307" i="12"/>
  <c r="AL307" i="12" s="1"/>
  <c r="AE311" i="12"/>
  <c r="AL311" i="12" s="1"/>
  <c r="AE315" i="12"/>
  <c r="AL315" i="12" s="1"/>
  <c r="AE150" i="12"/>
  <c r="AL150" i="12" s="1"/>
  <c r="AE158" i="12"/>
  <c r="AL158" i="12" s="1"/>
  <c r="AE166" i="12"/>
  <c r="AL166" i="12" s="1"/>
  <c r="AE174" i="12"/>
  <c r="AL174" i="12" s="1"/>
  <c r="AE186" i="12"/>
  <c r="AL186" i="12" s="1"/>
  <c r="AE194" i="12"/>
  <c r="AL194" i="12" s="1"/>
  <c r="AE206" i="12"/>
  <c r="AL206" i="12" s="1"/>
  <c r="AE214" i="12"/>
  <c r="AL214" i="12" s="1"/>
  <c r="AE226" i="12"/>
  <c r="AL226" i="12" s="1"/>
  <c r="AE234" i="12"/>
  <c r="AL234" i="12" s="1"/>
  <c r="AE242" i="12"/>
  <c r="AL242" i="12" s="1"/>
  <c r="AE250" i="12"/>
  <c r="AL250" i="12" s="1"/>
  <c r="AE258" i="12"/>
  <c r="AL258" i="12" s="1"/>
  <c r="AE266" i="12"/>
  <c r="AL266" i="12" s="1"/>
  <c r="AE274" i="12"/>
  <c r="AL274" i="12" s="1"/>
  <c r="AE286" i="12"/>
  <c r="AL286" i="12" s="1"/>
  <c r="AE294" i="12"/>
  <c r="AL294" i="12" s="1"/>
  <c r="AE302" i="12"/>
  <c r="AL302" i="12" s="1"/>
  <c r="AE310" i="12"/>
  <c r="AL310" i="12" s="1"/>
  <c r="AE318" i="12"/>
  <c r="AL318" i="12" s="1"/>
  <c r="AE145" i="12"/>
  <c r="AL145" i="12" s="1"/>
  <c r="AE153" i="12"/>
  <c r="AL153" i="12" s="1"/>
  <c r="AE161" i="12"/>
  <c r="AL161" i="12" s="1"/>
  <c r="AE165" i="12"/>
  <c r="AL165" i="12" s="1"/>
  <c r="AE173" i="12"/>
  <c r="AL173" i="12" s="1"/>
  <c r="AE181" i="12"/>
  <c r="AL181" i="12" s="1"/>
  <c r="AE189" i="12"/>
  <c r="AL189" i="12" s="1"/>
  <c r="AE197" i="12"/>
  <c r="AL197" i="12" s="1"/>
  <c r="AE205" i="12"/>
  <c r="AL205" i="12" s="1"/>
  <c r="AE213" i="12"/>
  <c r="AL213" i="12" s="1"/>
  <c r="AE217" i="12"/>
  <c r="AL217" i="12" s="1"/>
  <c r="AE225" i="12"/>
  <c r="AL225" i="12" s="1"/>
  <c r="AE233" i="12"/>
  <c r="AL233" i="12" s="1"/>
  <c r="AE241" i="12"/>
  <c r="AL241" i="12" s="1"/>
  <c r="AE249" i="12"/>
  <c r="AL249" i="12" s="1"/>
  <c r="AE261" i="12"/>
  <c r="AL261" i="12" s="1"/>
  <c r="AE269" i="12"/>
  <c r="AL269" i="12" s="1"/>
  <c r="AE277" i="12"/>
  <c r="AL277" i="12" s="1"/>
  <c r="AE285" i="12"/>
  <c r="AL285" i="12" s="1"/>
  <c r="AE293" i="12"/>
  <c r="AL293" i="12" s="1"/>
  <c r="AE301" i="12"/>
  <c r="AL301" i="12" s="1"/>
  <c r="AE309" i="12"/>
  <c r="AL309" i="12" s="1"/>
  <c r="AE317" i="12"/>
  <c r="AL317" i="12" s="1"/>
  <c r="AE144" i="12"/>
  <c r="AL144" i="12" s="1"/>
  <c r="AE148" i="12"/>
  <c r="AL148" i="12" s="1"/>
  <c r="AE152" i="12"/>
  <c r="AL152" i="12" s="1"/>
  <c r="AE156" i="12"/>
  <c r="AL156" i="12" s="1"/>
  <c r="AE160" i="12"/>
  <c r="AL160" i="12" s="1"/>
  <c r="AE164" i="12"/>
  <c r="AL164" i="12" s="1"/>
  <c r="AE168" i="12"/>
  <c r="AL168" i="12" s="1"/>
  <c r="AE172" i="12"/>
  <c r="AL172" i="12" s="1"/>
  <c r="AE176" i="12"/>
  <c r="AL176" i="12" s="1"/>
  <c r="AE180" i="12"/>
  <c r="AL180" i="12" s="1"/>
  <c r="AE184" i="12"/>
  <c r="AL184" i="12" s="1"/>
  <c r="AE188" i="12"/>
  <c r="AL188" i="12" s="1"/>
  <c r="AE192" i="12"/>
  <c r="AL192" i="12" s="1"/>
  <c r="AE196" i="12"/>
  <c r="AL196" i="12" s="1"/>
  <c r="AE200" i="12"/>
  <c r="AL200" i="12" s="1"/>
  <c r="AE204" i="12"/>
  <c r="AL204" i="12" s="1"/>
  <c r="AE208" i="12"/>
  <c r="AL208" i="12" s="1"/>
  <c r="AE212" i="12"/>
  <c r="AL212" i="12" s="1"/>
  <c r="AE216" i="12"/>
  <c r="AL216" i="12" s="1"/>
  <c r="AE220" i="12"/>
  <c r="AL220" i="12" s="1"/>
  <c r="AE224" i="12"/>
  <c r="AL224" i="12" s="1"/>
  <c r="AE228" i="12"/>
  <c r="AL228" i="12" s="1"/>
  <c r="AE232" i="12"/>
  <c r="AL232" i="12" s="1"/>
  <c r="AE236" i="12"/>
  <c r="AL236" i="12" s="1"/>
  <c r="AE240" i="12"/>
  <c r="AL240" i="12" s="1"/>
  <c r="AE244" i="12"/>
  <c r="AL244" i="12" s="1"/>
  <c r="AE248" i="12"/>
  <c r="AL248" i="12" s="1"/>
  <c r="AE252" i="12"/>
  <c r="AL252" i="12" s="1"/>
  <c r="AE256" i="12"/>
  <c r="AL256" i="12" s="1"/>
  <c r="AE260" i="12"/>
  <c r="AL260" i="12" s="1"/>
  <c r="AE264" i="12"/>
  <c r="AL264" i="12" s="1"/>
  <c r="AE268" i="12"/>
  <c r="AL268" i="12" s="1"/>
  <c r="AE272" i="12"/>
  <c r="AL272" i="12" s="1"/>
  <c r="AE276" i="12"/>
  <c r="AL276" i="12" s="1"/>
  <c r="AE280" i="12"/>
  <c r="AL280" i="12" s="1"/>
  <c r="AE284" i="12"/>
  <c r="AL284" i="12" s="1"/>
  <c r="AE288" i="12"/>
  <c r="AL288" i="12" s="1"/>
  <c r="AE292" i="12"/>
  <c r="AL292" i="12" s="1"/>
  <c r="AE296" i="12"/>
  <c r="AL296" i="12" s="1"/>
  <c r="AE300" i="12"/>
  <c r="AL300" i="12" s="1"/>
  <c r="AE304" i="12"/>
  <c r="AL304" i="12" s="1"/>
  <c r="AE308" i="12"/>
  <c r="AL308" i="12" s="1"/>
  <c r="AE312" i="12"/>
  <c r="AL312" i="12" s="1"/>
  <c r="AE316" i="12"/>
  <c r="AL316" i="12" s="1"/>
  <c r="AE146" i="12"/>
  <c r="AL146" i="12" s="1"/>
  <c r="AE154" i="12"/>
  <c r="AL154" i="12" s="1"/>
  <c r="AE162" i="12"/>
  <c r="AL162" i="12" s="1"/>
  <c r="AE170" i="12"/>
  <c r="AL170" i="12" s="1"/>
  <c r="AE178" i="12"/>
  <c r="AL178" i="12" s="1"/>
  <c r="AE182" i="12"/>
  <c r="AL182" i="12" s="1"/>
  <c r="AE190" i="12"/>
  <c r="AL190" i="12" s="1"/>
  <c r="AE198" i="12"/>
  <c r="AL198" i="12" s="1"/>
  <c r="AE202" i="12"/>
  <c r="AL202" i="12" s="1"/>
  <c r="AE210" i="12"/>
  <c r="AL210" i="12" s="1"/>
  <c r="AE218" i="12"/>
  <c r="AL218" i="12" s="1"/>
  <c r="AE222" i="12"/>
  <c r="AL222" i="12" s="1"/>
  <c r="AE230" i="12"/>
  <c r="AL230" i="12" s="1"/>
  <c r="AE238" i="12"/>
  <c r="AL238" i="12" s="1"/>
  <c r="AE246" i="12"/>
  <c r="AL246" i="12" s="1"/>
  <c r="AE254" i="12"/>
  <c r="AL254" i="12" s="1"/>
  <c r="AE262" i="12"/>
  <c r="AL262" i="12" s="1"/>
  <c r="AE270" i="12"/>
  <c r="AL270" i="12" s="1"/>
  <c r="AE278" i="12"/>
  <c r="AL278" i="12" s="1"/>
  <c r="AE282" i="12"/>
  <c r="AL282" i="12" s="1"/>
  <c r="AE290" i="12"/>
  <c r="AL290" i="12" s="1"/>
  <c r="AE298" i="12"/>
  <c r="AL298" i="12" s="1"/>
  <c r="AE306" i="12"/>
  <c r="AL306" i="12" s="1"/>
  <c r="AE314" i="12"/>
  <c r="AL314" i="12" s="1"/>
  <c r="AE143" i="12"/>
  <c r="AE149" i="12"/>
  <c r="AL149" i="12" s="1"/>
  <c r="AE157" i="12"/>
  <c r="AL157" i="12" s="1"/>
  <c r="AE169" i="12"/>
  <c r="AL169" i="12" s="1"/>
  <c r="AE177" i="12"/>
  <c r="AL177" i="12" s="1"/>
  <c r="AE185" i="12"/>
  <c r="AL185" i="12" s="1"/>
  <c r="AE193" i="12"/>
  <c r="AL193" i="12" s="1"/>
  <c r="AE201" i="12"/>
  <c r="AL201" i="12" s="1"/>
  <c r="AE209" i="12"/>
  <c r="AL209" i="12" s="1"/>
  <c r="AE221" i="12"/>
  <c r="AL221" i="12" s="1"/>
  <c r="AE229" i="12"/>
  <c r="AL229" i="12" s="1"/>
  <c r="AE237" i="12"/>
  <c r="AL237" i="12" s="1"/>
  <c r="AE245" i="12"/>
  <c r="AL245" i="12" s="1"/>
  <c r="AE253" i="12"/>
  <c r="AL253" i="12" s="1"/>
  <c r="AE257" i="12"/>
  <c r="AL257" i="12" s="1"/>
  <c r="AE265" i="12"/>
  <c r="AL265" i="12" s="1"/>
  <c r="AE273" i="12"/>
  <c r="AL273" i="12" s="1"/>
  <c r="AE281" i="12"/>
  <c r="AL281" i="12" s="1"/>
  <c r="AE289" i="12"/>
  <c r="AL289" i="12" s="1"/>
  <c r="AE297" i="12"/>
  <c r="AL297" i="12" s="1"/>
  <c r="AE305" i="12"/>
  <c r="AL305" i="12" s="1"/>
  <c r="AE313" i="12"/>
  <c r="AL313" i="12" s="1"/>
  <c r="G82" i="14"/>
  <c r="AF137" i="12"/>
  <c r="AL304" i="11"/>
  <c r="AL287" i="11"/>
  <c r="AL272" i="11"/>
  <c r="AL256" i="11"/>
  <c r="AL240" i="11"/>
  <c r="AL234" i="11"/>
  <c r="AL218" i="11"/>
  <c r="AL202" i="11"/>
  <c r="AL161" i="11"/>
  <c r="AL317" i="11"/>
  <c r="AL301" i="11"/>
  <c r="AL286" i="11"/>
  <c r="AL277" i="11"/>
  <c r="AL261" i="11"/>
  <c r="AL245" i="11"/>
  <c r="AL227" i="11"/>
  <c r="AL211" i="11"/>
  <c r="AL194" i="11"/>
  <c r="AL186" i="11"/>
  <c r="AL176" i="11"/>
  <c r="AL172" i="11"/>
  <c r="AL168" i="11"/>
  <c r="AL164" i="11"/>
  <c r="AL157" i="11"/>
  <c r="AL153" i="11"/>
  <c r="AL149" i="11"/>
  <c r="AL305" i="11"/>
  <c r="AL297" i="11"/>
  <c r="AL282" i="11"/>
  <c r="AL266" i="11"/>
  <c r="AL249" i="11"/>
  <c r="AL236" i="11"/>
  <c r="AL220" i="11"/>
  <c r="AL204" i="11"/>
  <c r="AL189" i="11"/>
  <c r="AL318" i="11"/>
  <c r="AL302" i="11"/>
  <c r="AL288" i="11"/>
  <c r="AL271" i="11"/>
  <c r="AL255" i="11"/>
  <c r="AL238" i="11"/>
  <c r="AL205" i="11"/>
  <c r="AL150" i="11"/>
  <c r="AL307" i="11"/>
  <c r="AL303" i="11"/>
  <c r="AL292" i="11"/>
  <c r="AL285" i="11"/>
  <c r="AL278" i="11"/>
  <c r="AL270" i="11"/>
  <c r="AL262" i="11"/>
  <c r="AL254" i="11"/>
  <c r="AL246" i="11"/>
  <c r="AL239" i="11"/>
  <c r="AL232" i="11"/>
  <c r="AL224" i="11"/>
  <c r="AL216" i="11"/>
  <c r="AL208" i="11"/>
  <c r="AL201" i="11"/>
  <c r="AL193" i="11"/>
  <c r="AL185" i="11"/>
  <c r="AL144" i="11"/>
  <c r="AL316" i="11"/>
  <c r="AL309" i="11"/>
  <c r="AL300" i="11"/>
  <c r="AL293" i="11"/>
  <c r="AL283" i="11"/>
  <c r="AL275" i="11"/>
  <c r="AL267" i="11"/>
  <c r="AL259" i="11"/>
  <c r="AL251" i="11"/>
  <c r="AL243" i="11"/>
  <c r="AL233" i="11"/>
  <c r="AL225" i="11"/>
  <c r="AL217" i="11"/>
  <c r="AL209" i="11"/>
  <c r="AL200" i="11"/>
  <c r="AL192" i="11"/>
  <c r="AL184" i="11"/>
  <c r="AL179" i="11"/>
  <c r="AL175" i="11"/>
  <c r="AL171" i="11"/>
  <c r="AL167" i="11"/>
  <c r="AL163" i="11"/>
  <c r="AL156" i="11"/>
  <c r="AL152" i="11"/>
  <c r="AL148" i="11"/>
  <c r="AL159" i="11"/>
  <c r="AL312" i="11"/>
  <c r="AL296" i="11"/>
  <c r="AL280" i="11"/>
  <c r="AL264" i="11"/>
  <c r="AL247" i="11"/>
  <c r="AL226" i="11"/>
  <c r="AL210" i="11"/>
  <c r="AL195" i="11"/>
  <c r="AL187" i="11"/>
  <c r="AL310" i="11"/>
  <c r="AL294" i="11"/>
  <c r="AL269" i="11"/>
  <c r="AL253" i="11"/>
  <c r="AL235" i="11"/>
  <c r="AL219" i="11"/>
  <c r="AL203" i="11"/>
  <c r="AL180" i="11"/>
  <c r="AL145" i="11"/>
  <c r="AL313" i="11"/>
  <c r="AL289" i="11"/>
  <c r="AL274" i="11"/>
  <c r="AL258" i="11"/>
  <c r="AL242" i="11"/>
  <c r="AL228" i="11"/>
  <c r="AL212" i="11"/>
  <c r="AL197" i="11"/>
  <c r="AL181" i="11"/>
  <c r="AL311" i="11"/>
  <c r="AL295" i="11"/>
  <c r="AL279" i="11"/>
  <c r="AL263" i="11"/>
  <c r="AL248" i="11"/>
  <c r="AL229" i="11"/>
  <c r="AL221" i="11"/>
  <c r="AL213" i="11"/>
  <c r="AL196" i="11"/>
  <c r="AL188" i="11"/>
  <c r="AL160" i="11"/>
  <c r="AL177" i="11"/>
  <c r="AL173" i="11"/>
  <c r="AL169" i="11"/>
  <c r="AL165" i="11"/>
  <c r="AL158" i="11"/>
  <c r="AL154" i="11"/>
  <c r="AL146" i="11"/>
  <c r="F82" i="14"/>
  <c r="AF137" i="11"/>
  <c r="AL314" i="11"/>
  <c r="AL306" i="11"/>
  <c r="AL298" i="11"/>
  <c r="AL291" i="11"/>
  <c r="AL284" i="11"/>
  <c r="AL276" i="11"/>
  <c r="AL268" i="11"/>
  <c r="AL260" i="11"/>
  <c r="AL252" i="11"/>
  <c r="AL244" i="11"/>
  <c r="AL237" i="11"/>
  <c r="AL230" i="11"/>
  <c r="AL222" i="11"/>
  <c r="AL214" i="11"/>
  <c r="AL206" i="11"/>
  <c r="AL199" i="11"/>
  <c r="AL191" i="11"/>
  <c r="AL183" i="11"/>
  <c r="AL143" i="11"/>
  <c r="AL315" i="11"/>
  <c r="AL308" i="11"/>
  <c r="AL299" i="11"/>
  <c r="AL290" i="11"/>
  <c r="AL281" i="11"/>
  <c r="AL273" i="11"/>
  <c r="AL265" i="11"/>
  <c r="AL257" i="11"/>
  <c r="AL250" i="11"/>
  <c r="AL241" i="11"/>
  <c r="AL231" i="11"/>
  <c r="AL223" i="11"/>
  <c r="AL215" i="11"/>
  <c r="AL207" i="11"/>
  <c r="AL198" i="11"/>
  <c r="AL190" i="11"/>
  <c r="AL182" i="11"/>
  <c r="AL178" i="11"/>
  <c r="AL174" i="11"/>
  <c r="AL170" i="11"/>
  <c r="AL166" i="11"/>
  <c r="AL162" i="11"/>
  <c r="AL155" i="11"/>
  <c r="AL151" i="11"/>
  <c r="AL147" i="11"/>
  <c r="AB143" i="13"/>
  <c r="H59" i="14"/>
  <c r="V137" i="13"/>
  <c r="G59" i="14"/>
  <c r="V137" i="12"/>
  <c r="U147" i="12"/>
  <c r="AB147" i="12" s="1"/>
  <c r="U151" i="12"/>
  <c r="AB151" i="12" s="1"/>
  <c r="U155" i="12"/>
  <c r="AB155" i="12" s="1"/>
  <c r="U159" i="12"/>
  <c r="AB159" i="12" s="1"/>
  <c r="U163" i="12"/>
  <c r="AB163" i="12" s="1"/>
  <c r="U167" i="12"/>
  <c r="AB167" i="12" s="1"/>
  <c r="U171" i="12"/>
  <c r="AB171" i="12" s="1"/>
  <c r="U175" i="12"/>
  <c r="AB175" i="12" s="1"/>
  <c r="U179" i="12"/>
  <c r="AB179" i="12" s="1"/>
  <c r="U183" i="12"/>
  <c r="AB183" i="12" s="1"/>
  <c r="U187" i="12"/>
  <c r="AB187" i="12" s="1"/>
  <c r="U191" i="12"/>
  <c r="AB191" i="12" s="1"/>
  <c r="U195" i="12"/>
  <c r="AB195" i="12" s="1"/>
  <c r="U199" i="12"/>
  <c r="AB199" i="12" s="1"/>
  <c r="U203" i="12"/>
  <c r="AB203" i="12" s="1"/>
  <c r="U207" i="12"/>
  <c r="AB207" i="12" s="1"/>
  <c r="U211" i="12"/>
  <c r="AB211" i="12" s="1"/>
  <c r="U215" i="12"/>
  <c r="AB215" i="12" s="1"/>
  <c r="U219" i="12"/>
  <c r="AB219" i="12" s="1"/>
  <c r="U223" i="12"/>
  <c r="AB223" i="12" s="1"/>
  <c r="U227" i="12"/>
  <c r="AB227" i="12" s="1"/>
  <c r="U231" i="12"/>
  <c r="AB231" i="12" s="1"/>
  <c r="U235" i="12"/>
  <c r="AB235" i="12" s="1"/>
  <c r="U239" i="12"/>
  <c r="AB239" i="12" s="1"/>
  <c r="U243" i="12"/>
  <c r="AB243" i="12" s="1"/>
  <c r="U247" i="12"/>
  <c r="AB247" i="12" s="1"/>
  <c r="U251" i="12"/>
  <c r="AB251" i="12" s="1"/>
  <c r="U255" i="12"/>
  <c r="AB255" i="12" s="1"/>
  <c r="U259" i="12"/>
  <c r="AB259" i="12" s="1"/>
  <c r="U263" i="12"/>
  <c r="AB263" i="12" s="1"/>
  <c r="U267" i="12"/>
  <c r="AB267" i="12" s="1"/>
  <c r="U271" i="12"/>
  <c r="AB271" i="12" s="1"/>
  <c r="U275" i="12"/>
  <c r="AB275" i="12" s="1"/>
  <c r="U279" i="12"/>
  <c r="AB279" i="12" s="1"/>
  <c r="U283" i="12"/>
  <c r="AB283" i="12" s="1"/>
  <c r="U287" i="12"/>
  <c r="AB287" i="12" s="1"/>
  <c r="U291" i="12"/>
  <c r="AB291" i="12" s="1"/>
  <c r="U295" i="12"/>
  <c r="AB295" i="12" s="1"/>
  <c r="U299" i="12"/>
  <c r="AB299" i="12" s="1"/>
  <c r="U303" i="12"/>
  <c r="AB303" i="12" s="1"/>
  <c r="U307" i="12"/>
  <c r="AB307" i="12" s="1"/>
  <c r="U311" i="12"/>
  <c r="AB311" i="12" s="1"/>
  <c r="U315" i="12"/>
  <c r="AB315" i="12" s="1"/>
  <c r="U145" i="12"/>
  <c r="AB145" i="12" s="1"/>
  <c r="U153" i="12"/>
  <c r="AB153" i="12" s="1"/>
  <c r="U161" i="12"/>
  <c r="AB161" i="12" s="1"/>
  <c r="U165" i="12"/>
  <c r="AB165" i="12" s="1"/>
  <c r="U173" i="12"/>
  <c r="AB173" i="12" s="1"/>
  <c r="U181" i="12"/>
  <c r="AB181" i="12" s="1"/>
  <c r="U189" i="12"/>
  <c r="AB189" i="12" s="1"/>
  <c r="U193" i="12"/>
  <c r="AB193" i="12" s="1"/>
  <c r="U201" i="12"/>
  <c r="AB201" i="12" s="1"/>
  <c r="U209" i="12"/>
  <c r="AB209" i="12" s="1"/>
  <c r="U217" i="12"/>
  <c r="AB217" i="12" s="1"/>
  <c r="U225" i="12"/>
  <c r="AB225" i="12" s="1"/>
  <c r="U233" i="12"/>
  <c r="AB233" i="12" s="1"/>
  <c r="U241" i="12"/>
  <c r="AB241" i="12" s="1"/>
  <c r="U249" i="12"/>
  <c r="AB249" i="12" s="1"/>
  <c r="U257" i="12"/>
  <c r="AB257" i="12" s="1"/>
  <c r="U265" i="12"/>
  <c r="AB265" i="12" s="1"/>
  <c r="U273" i="12"/>
  <c r="AB273" i="12" s="1"/>
  <c r="U285" i="12"/>
  <c r="AB285" i="12" s="1"/>
  <c r="U293" i="12"/>
  <c r="AB293" i="12" s="1"/>
  <c r="U301" i="12"/>
  <c r="AB301" i="12" s="1"/>
  <c r="U309" i="12"/>
  <c r="AB309" i="12" s="1"/>
  <c r="U317" i="12"/>
  <c r="AB317" i="12" s="1"/>
  <c r="U148" i="12"/>
  <c r="AB148" i="12" s="1"/>
  <c r="U156" i="12"/>
  <c r="AB156" i="12" s="1"/>
  <c r="U164" i="12"/>
  <c r="AB164" i="12" s="1"/>
  <c r="U172" i="12"/>
  <c r="AB172" i="12" s="1"/>
  <c r="U180" i="12"/>
  <c r="AB180" i="12" s="1"/>
  <c r="U188" i="12"/>
  <c r="AB188" i="12" s="1"/>
  <c r="U196" i="12"/>
  <c r="AB196" i="12" s="1"/>
  <c r="U204" i="12"/>
  <c r="AB204" i="12" s="1"/>
  <c r="U212" i="12"/>
  <c r="AB212" i="12" s="1"/>
  <c r="U220" i="12"/>
  <c r="AB220" i="12" s="1"/>
  <c r="U228" i="12"/>
  <c r="AB228" i="12" s="1"/>
  <c r="U236" i="12"/>
  <c r="AB236" i="12" s="1"/>
  <c r="U244" i="12"/>
  <c r="AB244" i="12" s="1"/>
  <c r="U252" i="12"/>
  <c r="AB252" i="12" s="1"/>
  <c r="U260" i="12"/>
  <c r="AB260" i="12" s="1"/>
  <c r="U268" i="12"/>
  <c r="AB268" i="12" s="1"/>
  <c r="U276" i="12"/>
  <c r="AB276" i="12" s="1"/>
  <c r="U284" i="12"/>
  <c r="AB284" i="12" s="1"/>
  <c r="U292" i="12"/>
  <c r="AB292" i="12" s="1"/>
  <c r="U300" i="12"/>
  <c r="AB300" i="12" s="1"/>
  <c r="U308" i="12"/>
  <c r="AB308" i="12" s="1"/>
  <c r="U316" i="12"/>
  <c r="AB316" i="12" s="1"/>
  <c r="U146" i="12"/>
  <c r="AB146" i="12" s="1"/>
  <c r="U150" i="12"/>
  <c r="AB150" i="12" s="1"/>
  <c r="U154" i="12"/>
  <c r="AB154" i="12" s="1"/>
  <c r="U158" i="12"/>
  <c r="AB158" i="12" s="1"/>
  <c r="U162" i="12"/>
  <c r="AB162" i="12" s="1"/>
  <c r="U166" i="12"/>
  <c r="AB166" i="12" s="1"/>
  <c r="U170" i="12"/>
  <c r="AB170" i="12" s="1"/>
  <c r="U174" i="12"/>
  <c r="AB174" i="12" s="1"/>
  <c r="U178" i="12"/>
  <c r="AB178" i="12" s="1"/>
  <c r="U182" i="12"/>
  <c r="AB182" i="12" s="1"/>
  <c r="U186" i="12"/>
  <c r="AB186" i="12" s="1"/>
  <c r="U190" i="12"/>
  <c r="AB190" i="12" s="1"/>
  <c r="U194" i="12"/>
  <c r="AB194" i="12" s="1"/>
  <c r="U198" i="12"/>
  <c r="AB198" i="12" s="1"/>
  <c r="U202" i="12"/>
  <c r="AB202" i="12" s="1"/>
  <c r="U206" i="12"/>
  <c r="AB206" i="12" s="1"/>
  <c r="U210" i="12"/>
  <c r="AB210" i="12" s="1"/>
  <c r="U214" i="12"/>
  <c r="AB214" i="12" s="1"/>
  <c r="U218" i="12"/>
  <c r="AB218" i="12" s="1"/>
  <c r="U222" i="12"/>
  <c r="AB222" i="12" s="1"/>
  <c r="U226" i="12"/>
  <c r="AB226" i="12" s="1"/>
  <c r="U230" i="12"/>
  <c r="AB230" i="12" s="1"/>
  <c r="U234" i="12"/>
  <c r="AB234" i="12" s="1"/>
  <c r="U238" i="12"/>
  <c r="AB238" i="12" s="1"/>
  <c r="U242" i="12"/>
  <c r="AB242" i="12" s="1"/>
  <c r="U246" i="12"/>
  <c r="AB246" i="12" s="1"/>
  <c r="U250" i="12"/>
  <c r="AB250" i="12" s="1"/>
  <c r="U254" i="12"/>
  <c r="AB254" i="12" s="1"/>
  <c r="U258" i="12"/>
  <c r="AB258" i="12" s="1"/>
  <c r="U262" i="12"/>
  <c r="AB262" i="12" s="1"/>
  <c r="U266" i="12"/>
  <c r="AB266" i="12" s="1"/>
  <c r="U270" i="12"/>
  <c r="AB270" i="12" s="1"/>
  <c r="U274" i="12"/>
  <c r="AB274" i="12" s="1"/>
  <c r="U278" i="12"/>
  <c r="AB278" i="12" s="1"/>
  <c r="U282" i="12"/>
  <c r="AB282" i="12" s="1"/>
  <c r="U286" i="12"/>
  <c r="AB286" i="12" s="1"/>
  <c r="U290" i="12"/>
  <c r="AB290" i="12" s="1"/>
  <c r="U294" i="12"/>
  <c r="AB294" i="12" s="1"/>
  <c r="U298" i="12"/>
  <c r="AB298" i="12" s="1"/>
  <c r="U302" i="12"/>
  <c r="AB302" i="12" s="1"/>
  <c r="U306" i="12"/>
  <c r="AB306" i="12" s="1"/>
  <c r="U310" i="12"/>
  <c r="AB310" i="12" s="1"/>
  <c r="U314" i="12"/>
  <c r="AB314" i="12" s="1"/>
  <c r="U318" i="12"/>
  <c r="AB318" i="12" s="1"/>
  <c r="U149" i="12"/>
  <c r="AB149" i="12" s="1"/>
  <c r="U157" i="12"/>
  <c r="AB157" i="12" s="1"/>
  <c r="U169" i="12"/>
  <c r="AB169" i="12" s="1"/>
  <c r="U177" i="12"/>
  <c r="AB177" i="12" s="1"/>
  <c r="U185" i="12"/>
  <c r="AB185" i="12" s="1"/>
  <c r="U197" i="12"/>
  <c r="AB197" i="12" s="1"/>
  <c r="U205" i="12"/>
  <c r="AB205" i="12" s="1"/>
  <c r="U213" i="12"/>
  <c r="AB213" i="12" s="1"/>
  <c r="U221" i="12"/>
  <c r="AB221" i="12" s="1"/>
  <c r="U229" i="12"/>
  <c r="AB229" i="12" s="1"/>
  <c r="U237" i="12"/>
  <c r="AB237" i="12" s="1"/>
  <c r="U245" i="12"/>
  <c r="AB245" i="12" s="1"/>
  <c r="U253" i="12"/>
  <c r="AB253" i="12" s="1"/>
  <c r="U261" i="12"/>
  <c r="AB261" i="12" s="1"/>
  <c r="U269" i="12"/>
  <c r="AB269" i="12" s="1"/>
  <c r="U277" i="12"/>
  <c r="AB277" i="12" s="1"/>
  <c r="U281" i="12"/>
  <c r="AB281" i="12" s="1"/>
  <c r="U289" i="12"/>
  <c r="AB289" i="12" s="1"/>
  <c r="U297" i="12"/>
  <c r="AB297" i="12" s="1"/>
  <c r="U305" i="12"/>
  <c r="AB305" i="12" s="1"/>
  <c r="U313" i="12"/>
  <c r="AB313" i="12" s="1"/>
  <c r="U143" i="12"/>
  <c r="U144" i="12"/>
  <c r="AB144" i="12" s="1"/>
  <c r="U152" i="12"/>
  <c r="AB152" i="12" s="1"/>
  <c r="U160" i="12"/>
  <c r="AB160" i="12" s="1"/>
  <c r="U168" i="12"/>
  <c r="AB168" i="12" s="1"/>
  <c r="U176" i="12"/>
  <c r="AB176" i="12" s="1"/>
  <c r="U184" i="12"/>
  <c r="AB184" i="12" s="1"/>
  <c r="U192" i="12"/>
  <c r="AB192" i="12" s="1"/>
  <c r="U200" i="12"/>
  <c r="AB200" i="12" s="1"/>
  <c r="U208" i="12"/>
  <c r="AB208" i="12" s="1"/>
  <c r="U216" i="12"/>
  <c r="AB216" i="12" s="1"/>
  <c r="U224" i="12"/>
  <c r="AB224" i="12" s="1"/>
  <c r="U232" i="12"/>
  <c r="AB232" i="12" s="1"/>
  <c r="U240" i="12"/>
  <c r="AB240" i="12" s="1"/>
  <c r="U248" i="12"/>
  <c r="AB248" i="12" s="1"/>
  <c r="U256" i="12"/>
  <c r="AB256" i="12" s="1"/>
  <c r="U264" i="12"/>
  <c r="AB264" i="12" s="1"/>
  <c r="U272" i="12"/>
  <c r="AB272" i="12" s="1"/>
  <c r="U280" i="12"/>
  <c r="AB280" i="12" s="1"/>
  <c r="U288" i="12"/>
  <c r="AB288" i="12" s="1"/>
  <c r="U296" i="12"/>
  <c r="AB296" i="12" s="1"/>
  <c r="U304" i="12"/>
  <c r="AB304" i="12" s="1"/>
  <c r="U312" i="12"/>
  <c r="AB312" i="12" s="1"/>
  <c r="F59" i="14"/>
  <c r="V137" i="11"/>
  <c r="U147" i="11"/>
  <c r="U151" i="11"/>
  <c r="U155" i="11"/>
  <c r="U159" i="11"/>
  <c r="U163" i="11"/>
  <c r="U166" i="11"/>
  <c r="U167" i="11"/>
  <c r="U168" i="11"/>
  <c r="U169" i="11"/>
  <c r="U170" i="11"/>
  <c r="U171" i="11"/>
  <c r="U172" i="11"/>
  <c r="U173" i="11"/>
  <c r="U174" i="11"/>
  <c r="U175" i="11"/>
  <c r="U176" i="11"/>
  <c r="U177" i="11"/>
  <c r="U178" i="11"/>
  <c r="U179" i="11"/>
  <c r="U180" i="11"/>
  <c r="U181" i="11"/>
  <c r="U182" i="11"/>
  <c r="U183" i="11"/>
  <c r="U184" i="11"/>
  <c r="U185" i="11"/>
  <c r="U186" i="11"/>
  <c r="U187" i="11"/>
  <c r="U188" i="11"/>
  <c r="U189" i="11"/>
  <c r="U190" i="11"/>
  <c r="U191" i="11"/>
  <c r="U192" i="11"/>
  <c r="U193" i="11"/>
  <c r="U194" i="11"/>
  <c r="U195" i="11"/>
  <c r="U196" i="11"/>
  <c r="U197" i="11"/>
  <c r="U198" i="11"/>
  <c r="U199" i="11"/>
  <c r="U200" i="11"/>
  <c r="U201" i="11"/>
  <c r="U202" i="11"/>
  <c r="U203" i="11"/>
  <c r="U204" i="11"/>
  <c r="U205" i="11"/>
  <c r="U206" i="11"/>
  <c r="U207" i="11"/>
  <c r="U208" i="11"/>
  <c r="U209" i="11"/>
  <c r="U210" i="11"/>
  <c r="U211" i="11"/>
  <c r="U212" i="11"/>
  <c r="U213" i="11"/>
  <c r="U214" i="11"/>
  <c r="U215" i="11"/>
  <c r="U216" i="11"/>
  <c r="U217" i="11"/>
  <c r="U218" i="11"/>
  <c r="U219" i="11"/>
  <c r="U220" i="11"/>
  <c r="U221" i="11"/>
  <c r="U222" i="11"/>
  <c r="U223" i="11"/>
  <c r="U224" i="11"/>
  <c r="U225" i="11"/>
  <c r="U226" i="11"/>
  <c r="U227" i="11"/>
  <c r="U228" i="11"/>
  <c r="U229" i="11"/>
  <c r="U230" i="11"/>
  <c r="U231" i="11"/>
  <c r="U232" i="11"/>
  <c r="U233" i="11"/>
  <c r="U234" i="11"/>
  <c r="U235" i="11"/>
  <c r="U236" i="11"/>
  <c r="U237" i="11"/>
  <c r="U238" i="11"/>
  <c r="U239" i="11"/>
  <c r="U240" i="11"/>
  <c r="U241" i="11"/>
  <c r="U242" i="11"/>
  <c r="U243" i="11"/>
  <c r="U244" i="11"/>
  <c r="U245" i="11"/>
  <c r="U246" i="11"/>
  <c r="U247" i="11"/>
  <c r="U248" i="11"/>
  <c r="U249" i="11"/>
  <c r="U250" i="11"/>
  <c r="U251" i="11"/>
  <c r="U252" i="11"/>
  <c r="U253" i="11"/>
  <c r="U254" i="11"/>
  <c r="U255" i="11"/>
  <c r="U256" i="11"/>
  <c r="U257" i="11"/>
  <c r="U258" i="11"/>
  <c r="U259" i="11"/>
  <c r="U260" i="11"/>
  <c r="U261" i="11"/>
  <c r="U262" i="11"/>
  <c r="U263" i="11"/>
  <c r="U264" i="11"/>
  <c r="U265" i="11"/>
  <c r="U266" i="11"/>
  <c r="U267" i="11"/>
  <c r="U268" i="11"/>
  <c r="U269" i="11"/>
  <c r="U270" i="11"/>
  <c r="U271" i="11"/>
  <c r="U272" i="11"/>
  <c r="U273" i="11"/>
  <c r="U274" i="11"/>
  <c r="U275" i="11"/>
  <c r="U276" i="11"/>
  <c r="U277" i="11"/>
  <c r="U278" i="11"/>
  <c r="U279" i="11"/>
  <c r="U280" i="11"/>
  <c r="U281" i="11"/>
  <c r="U282" i="11"/>
  <c r="U283" i="11"/>
  <c r="U284" i="11"/>
  <c r="U285" i="11"/>
  <c r="U286" i="11"/>
  <c r="U287" i="11"/>
  <c r="U288" i="11"/>
  <c r="U289" i="11"/>
  <c r="U290" i="11"/>
  <c r="U146" i="11"/>
  <c r="U150" i="11"/>
  <c r="U154" i="11"/>
  <c r="U158" i="11"/>
  <c r="U162" i="11"/>
  <c r="U144" i="11"/>
  <c r="U152" i="11"/>
  <c r="U160" i="11"/>
  <c r="U291" i="11"/>
  <c r="U292" i="11"/>
  <c r="U293" i="11"/>
  <c r="U294" i="11"/>
  <c r="U295" i="11"/>
  <c r="U296" i="11"/>
  <c r="U297" i="11"/>
  <c r="U298" i="11"/>
  <c r="U299" i="11"/>
  <c r="U300" i="11"/>
  <c r="U301" i="11"/>
  <c r="U302" i="11"/>
  <c r="U303" i="11"/>
  <c r="U304" i="11"/>
  <c r="U305" i="11"/>
  <c r="U306" i="11"/>
  <c r="U307" i="11"/>
  <c r="U308" i="11"/>
  <c r="U309" i="11"/>
  <c r="U310" i="11"/>
  <c r="U311" i="11"/>
  <c r="U312" i="11"/>
  <c r="U313" i="11"/>
  <c r="U314" i="11"/>
  <c r="U315" i="11"/>
  <c r="U316" i="11"/>
  <c r="U317" i="11"/>
  <c r="U318" i="11"/>
  <c r="U148" i="11"/>
  <c r="U156" i="11"/>
  <c r="U164" i="11"/>
  <c r="U143" i="11"/>
  <c r="U145" i="11"/>
  <c r="U153" i="11"/>
  <c r="U161" i="11"/>
  <c r="U149" i="11"/>
  <c r="U157" i="11"/>
  <c r="U165" i="11"/>
  <c r="H35" i="14"/>
  <c r="L137" i="13"/>
  <c r="R143" i="13"/>
  <c r="G35" i="14"/>
  <c r="L137" i="12"/>
  <c r="R143" i="12"/>
  <c r="R154" i="11"/>
  <c r="R317" i="11"/>
  <c r="R309" i="11"/>
  <c r="R301" i="11"/>
  <c r="R293" i="11"/>
  <c r="R288" i="11"/>
  <c r="R280" i="11"/>
  <c r="R268" i="11"/>
  <c r="R260" i="11"/>
  <c r="R252" i="11"/>
  <c r="R244" i="11"/>
  <c r="R236" i="11"/>
  <c r="R228" i="11"/>
  <c r="R220" i="11"/>
  <c r="R212" i="11"/>
  <c r="R204" i="11"/>
  <c r="R196" i="11"/>
  <c r="R188" i="11"/>
  <c r="R180" i="11"/>
  <c r="R172" i="11"/>
  <c r="R168" i="11"/>
  <c r="R159" i="11"/>
  <c r="R164" i="11"/>
  <c r="R162" i="11"/>
  <c r="R158" i="11"/>
  <c r="R318" i="11"/>
  <c r="R314" i="11"/>
  <c r="R310" i="11"/>
  <c r="R306" i="11"/>
  <c r="R302" i="11"/>
  <c r="R298" i="11"/>
  <c r="R294" i="11"/>
  <c r="R161" i="11"/>
  <c r="R289" i="11"/>
  <c r="R285" i="11"/>
  <c r="R281" i="11"/>
  <c r="R277" i="11"/>
  <c r="R273" i="11"/>
  <c r="R269" i="11"/>
  <c r="R265" i="11"/>
  <c r="R261" i="11"/>
  <c r="R257" i="11"/>
  <c r="R253" i="11"/>
  <c r="R249" i="11"/>
  <c r="R245" i="11"/>
  <c r="R241" i="11"/>
  <c r="R237" i="11"/>
  <c r="R233" i="11"/>
  <c r="R229" i="11"/>
  <c r="R225" i="11"/>
  <c r="R221" i="11"/>
  <c r="R217" i="11"/>
  <c r="R213" i="11"/>
  <c r="R209" i="11"/>
  <c r="R205" i="11"/>
  <c r="R201" i="11"/>
  <c r="R197" i="11"/>
  <c r="R193" i="11"/>
  <c r="R189" i="11"/>
  <c r="R185" i="11"/>
  <c r="R181" i="11"/>
  <c r="R177" i="11"/>
  <c r="R173" i="11"/>
  <c r="R169" i="11"/>
  <c r="R163" i="11"/>
  <c r="R147" i="11"/>
  <c r="F35" i="14"/>
  <c r="L137" i="11"/>
  <c r="R165" i="11"/>
  <c r="R157" i="11"/>
  <c r="R316" i="11"/>
  <c r="R312" i="11"/>
  <c r="R308" i="11"/>
  <c r="R304" i="11"/>
  <c r="R300" i="11"/>
  <c r="R296" i="11"/>
  <c r="R292" i="11"/>
  <c r="R145" i="11"/>
  <c r="R287" i="11"/>
  <c r="R283" i="11"/>
  <c r="R279" i="11"/>
  <c r="R275" i="11"/>
  <c r="R271" i="11"/>
  <c r="R267" i="11"/>
  <c r="R263" i="11"/>
  <c r="R259" i="11"/>
  <c r="R255" i="11"/>
  <c r="R251" i="11"/>
  <c r="R247" i="11"/>
  <c r="R243" i="11"/>
  <c r="R239" i="11"/>
  <c r="R235" i="11"/>
  <c r="R231" i="11"/>
  <c r="R227" i="11"/>
  <c r="R223" i="11"/>
  <c r="R219" i="11"/>
  <c r="R215" i="11"/>
  <c r="R211" i="11"/>
  <c r="R207" i="11"/>
  <c r="R203" i="11"/>
  <c r="R199" i="11"/>
  <c r="R195" i="11"/>
  <c r="R191" i="11"/>
  <c r="R187" i="11"/>
  <c r="R183" i="11"/>
  <c r="R179" i="11"/>
  <c r="R175" i="11"/>
  <c r="R171" i="11"/>
  <c r="R167" i="11"/>
  <c r="R155" i="11"/>
  <c r="R160" i="11"/>
  <c r="R144" i="11"/>
  <c r="R150" i="11"/>
  <c r="R313" i="11"/>
  <c r="R305" i="11"/>
  <c r="R297" i="11"/>
  <c r="R153" i="11"/>
  <c r="R284" i="11"/>
  <c r="R276" i="11"/>
  <c r="R272" i="11"/>
  <c r="R264" i="11"/>
  <c r="R256" i="11"/>
  <c r="R248" i="11"/>
  <c r="R240" i="11"/>
  <c r="R232" i="11"/>
  <c r="R224" i="11"/>
  <c r="R216" i="11"/>
  <c r="R208" i="11"/>
  <c r="R200" i="11"/>
  <c r="R192" i="11"/>
  <c r="R184" i="11"/>
  <c r="R176" i="11"/>
  <c r="R148" i="11"/>
  <c r="R152" i="11"/>
  <c r="R146" i="11"/>
  <c r="R149" i="11"/>
  <c r="R143" i="11"/>
  <c r="R315" i="11"/>
  <c r="R311" i="11"/>
  <c r="R307" i="11"/>
  <c r="R303" i="11"/>
  <c r="R299" i="11"/>
  <c r="R295" i="11"/>
  <c r="R291" i="11"/>
  <c r="R290" i="11"/>
  <c r="R286" i="11"/>
  <c r="R282" i="11"/>
  <c r="R278" i="11"/>
  <c r="R274" i="11"/>
  <c r="R270" i="11"/>
  <c r="R266" i="11"/>
  <c r="R262" i="11"/>
  <c r="R258" i="11"/>
  <c r="R254" i="11"/>
  <c r="R250" i="11"/>
  <c r="R246" i="11"/>
  <c r="R242" i="11"/>
  <c r="R238" i="11"/>
  <c r="R234" i="11"/>
  <c r="R230" i="11"/>
  <c r="R226" i="11"/>
  <c r="R222" i="11"/>
  <c r="R218" i="11"/>
  <c r="R214" i="11"/>
  <c r="R210" i="11"/>
  <c r="R206" i="11"/>
  <c r="R202" i="11"/>
  <c r="R198" i="11"/>
  <c r="R194" i="11"/>
  <c r="R190" i="11"/>
  <c r="R186" i="11"/>
  <c r="R182" i="11"/>
  <c r="R178" i="11"/>
  <c r="R174" i="11"/>
  <c r="R170" i="11"/>
  <c r="R166" i="11"/>
  <c r="R151" i="11"/>
  <c r="R156" i="11"/>
  <c r="A146" i="13"/>
  <c r="H146" i="13" s="1"/>
  <c r="A150" i="13"/>
  <c r="H150" i="13" s="1"/>
  <c r="A154" i="13"/>
  <c r="H154" i="13" s="1"/>
  <c r="A158" i="13"/>
  <c r="H158" i="13" s="1"/>
  <c r="A162" i="13"/>
  <c r="H162" i="13" s="1"/>
  <c r="A166" i="13"/>
  <c r="H166" i="13" s="1"/>
  <c r="A170" i="13"/>
  <c r="H170" i="13" s="1"/>
  <c r="A174" i="13"/>
  <c r="H174" i="13" s="1"/>
  <c r="A178" i="13"/>
  <c r="H178" i="13" s="1"/>
  <c r="A182" i="13"/>
  <c r="H182" i="13" s="1"/>
  <c r="A186" i="13"/>
  <c r="H186" i="13" s="1"/>
  <c r="A190" i="13"/>
  <c r="H190" i="13" s="1"/>
  <c r="A194" i="13"/>
  <c r="H194" i="13" s="1"/>
  <c r="A198" i="13"/>
  <c r="H198" i="13" s="1"/>
  <c r="A202" i="13"/>
  <c r="H202" i="13" s="1"/>
  <c r="A206" i="13"/>
  <c r="H206" i="13" s="1"/>
  <c r="A210" i="13"/>
  <c r="H210" i="13" s="1"/>
  <c r="A214" i="13"/>
  <c r="H214" i="13" s="1"/>
  <c r="A218" i="13"/>
  <c r="H218" i="13" s="1"/>
  <c r="A222" i="13"/>
  <c r="H222" i="13" s="1"/>
  <c r="A226" i="13"/>
  <c r="H226" i="13" s="1"/>
  <c r="A230" i="13"/>
  <c r="H230" i="13" s="1"/>
  <c r="A234" i="13"/>
  <c r="H234" i="13" s="1"/>
  <c r="A238" i="13"/>
  <c r="H238" i="13" s="1"/>
  <c r="A242" i="13"/>
  <c r="H242" i="13" s="1"/>
  <c r="A246" i="13"/>
  <c r="H246" i="13" s="1"/>
  <c r="A250" i="13"/>
  <c r="H250" i="13" s="1"/>
  <c r="A254" i="13"/>
  <c r="H254" i="13" s="1"/>
  <c r="A258" i="13"/>
  <c r="H258" i="13" s="1"/>
  <c r="A262" i="13"/>
  <c r="H262" i="13" s="1"/>
  <c r="A266" i="13"/>
  <c r="H266" i="13" s="1"/>
  <c r="A270" i="13"/>
  <c r="H270" i="13" s="1"/>
  <c r="A274" i="13"/>
  <c r="H274" i="13" s="1"/>
  <c r="A278" i="13"/>
  <c r="H278" i="13" s="1"/>
  <c r="A282" i="13"/>
  <c r="H282" i="13" s="1"/>
  <c r="A286" i="13"/>
  <c r="H286" i="13" s="1"/>
  <c r="A290" i="13"/>
  <c r="H290" i="13" s="1"/>
  <c r="A294" i="13"/>
  <c r="H294" i="13" s="1"/>
  <c r="A298" i="13"/>
  <c r="H298" i="13" s="1"/>
  <c r="A302" i="13"/>
  <c r="H302" i="13" s="1"/>
  <c r="A306" i="13"/>
  <c r="H306" i="13" s="1"/>
  <c r="A310" i="13"/>
  <c r="H310" i="13" s="1"/>
  <c r="A314" i="13"/>
  <c r="H314" i="13" s="1"/>
  <c r="A318" i="13"/>
  <c r="H318" i="13" s="1"/>
  <c r="A148" i="13"/>
  <c r="H148" i="13" s="1"/>
  <c r="A156" i="13"/>
  <c r="H156" i="13" s="1"/>
  <c r="A164" i="13"/>
  <c r="H164" i="13" s="1"/>
  <c r="A172" i="13"/>
  <c r="H172" i="13" s="1"/>
  <c r="A180" i="13"/>
  <c r="H180" i="13" s="1"/>
  <c r="A188" i="13"/>
  <c r="H188" i="13" s="1"/>
  <c r="A200" i="13"/>
  <c r="H200" i="13" s="1"/>
  <c r="A208" i="13"/>
  <c r="H208" i="13" s="1"/>
  <c r="A216" i="13"/>
  <c r="H216" i="13" s="1"/>
  <c r="A224" i="13"/>
  <c r="H224" i="13" s="1"/>
  <c r="A232" i="13"/>
  <c r="H232" i="13" s="1"/>
  <c r="A240" i="13"/>
  <c r="H240" i="13" s="1"/>
  <c r="A248" i="13"/>
  <c r="H248" i="13" s="1"/>
  <c r="A256" i="13"/>
  <c r="H256" i="13" s="1"/>
  <c r="A264" i="13"/>
  <c r="H264" i="13" s="1"/>
  <c r="A272" i="13"/>
  <c r="H272" i="13" s="1"/>
  <c r="A280" i="13"/>
  <c r="H280" i="13" s="1"/>
  <c r="A288" i="13"/>
  <c r="H288" i="13" s="1"/>
  <c r="A296" i="13"/>
  <c r="H296" i="13" s="1"/>
  <c r="A304" i="13"/>
  <c r="H304" i="13" s="1"/>
  <c r="A312" i="13"/>
  <c r="H312" i="13" s="1"/>
  <c r="A147" i="13"/>
  <c r="H147" i="13" s="1"/>
  <c r="A155" i="13"/>
  <c r="H155" i="13" s="1"/>
  <c r="A163" i="13"/>
  <c r="H163" i="13" s="1"/>
  <c r="A171" i="13"/>
  <c r="H171" i="13" s="1"/>
  <c r="A179" i="13"/>
  <c r="H179" i="13" s="1"/>
  <c r="A183" i="13"/>
  <c r="H183" i="13" s="1"/>
  <c r="A191" i="13"/>
  <c r="H191" i="13" s="1"/>
  <c r="A199" i="13"/>
  <c r="H199" i="13" s="1"/>
  <c r="A207" i="13"/>
  <c r="H207" i="13" s="1"/>
  <c r="A215" i="13"/>
  <c r="H215" i="13" s="1"/>
  <c r="A223" i="13"/>
  <c r="H223" i="13" s="1"/>
  <c r="A231" i="13"/>
  <c r="H231" i="13" s="1"/>
  <c r="A239" i="13"/>
  <c r="H239" i="13" s="1"/>
  <c r="A247" i="13"/>
  <c r="H247" i="13" s="1"/>
  <c r="A255" i="13"/>
  <c r="H255" i="13" s="1"/>
  <c r="A267" i="13"/>
  <c r="H267" i="13" s="1"/>
  <c r="A279" i="13"/>
  <c r="H279" i="13" s="1"/>
  <c r="A287" i="13"/>
  <c r="H287" i="13" s="1"/>
  <c r="A295" i="13"/>
  <c r="H295" i="13" s="1"/>
  <c r="A303" i="13"/>
  <c r="H303" i="13" s="1"/>
  <c r="A315" i="13"/>
  <c r="H315" i="13" s="1"/>
  <c r="A143" i="13"/>
  <c r="A145" i="13"/>
  <c r="H145" i="13" s="1"/>
  <c r="A149" i="13"/>
  <c r="H149" i="13" s="1"/>
  <c r="A153" i="13"/>
  <c r="H153" i="13" s="1"/>
  <c r="A157" i="13"/>
  <c r="H157" i="13" s="1"/>
  <c r="A161" i="13"/>
  <c r="H161" i="13" s="1"/>
  <c r="A165" i="13"/>
  <c r="H165" i="13" s="1"/>
  <c r="A169" i="13"/>
  <c r="H169" i="13" s="1"/>
  <c r="A173" i="13"/>
  <c r="H173" i="13" s="1"/>
  <c r="A177" i="13"/>
  <c r="H177" i="13" s="1"/>
  <c r="A181" i="13"/>
  <c r="H181" i="13" s="1"/>
  <c r="A185" i="13"/>
  <c r="H185" i="13" s="1"/>
  <c r="A189" i="13"/>
  <c r="H189" i="13" s="1"/>
  <c r="A193" i="13"/>
  <c r="H193" i="13" s="1"/>
  <c r="A197" i="13"/>
  <c r="H197" i="13" s="1"/>
  <c r="A201" i="13"/>
  <c r="H201" i="13" s="1"/>
  <c r="A205" i="13"/>
  <c r="H205" i="13" s="1"/>
  <c r="A209" i="13"/>
  <c r="H209" i="13" s="1"/>
  <c r="A213" i="13"/>
  <c r="H213" i="13" s="1"/>
  <c r="A217" i="13"/>
  <c r="H217" i="13" s="1"/>
  <c r="A221" i="13"/>
  <c r="H221" i="13" s="1"/>
  <c r="A225" i="13"/>
  <c r="H225" i="13" s="1"/>
  <c r="A229" i="13"/>
  <c r="H229" i="13" s="1"/>
  <c r="A233" i="13"/>
  <c r="H233" i="13" s="1"/>
  <c r="A237" i="13"/>
  <c r="H237" i="13" s="1"/>
  <c r="A241" i="13"/>
  <c r="H241" i="13" s="1"/>
  <c r="A245" i="13"/>
  <c r="H245" i="13" s="1"/>
  <c r="A249" i="13"/>
  <c r="H249" i="13" s="1"/>
  <c r="A253" i="13"/>
  <c r="H253" i="13" s="1"/>
  <c r="A257" i="13"/>
  <c r="H257" i="13" s="1"/>
  <c r="A261" i="13"/>
  <c r="H261" i="13" s="1"/>
  <c r="A265" i="13"/>
  <c r="H265" i="13" s="1"/>
  <c r="A269" i="13"/>
  <c r="H269" i="13" s="1"/>
  <c r="A273" i="13"/>
  <c r="H273" i="13" s="1"/>
  <c r="A277" i="13"/>
  <c r="H277" i="13" s="1"/>
  <c r="A281" i="13"/>
  <c r="H281" i="13" s="1"/>
  <c r="A285" i="13"/>
  <c r="H285" i="13" s="1"/>
  <c r="A289" i="13"/>
  <c r="H289" i="13" s="1"/>
  <c r="A293" i="13"/>
  <c r="H293" i="13" s="1"/>
  <c r="A297" i="13"/>
  <c r="H297" i="13" s="1"/>
  <c r="A301" i="13"/>
  <c r="H301" i="13" s="1"/>
  <c r="A305" i="13"/>
  <c r="H305" i="13" s="1"/>
  <c r="A309" i="13"/>
  <c r="H309" i="13" s="1"/>
  <c r="A313" i="13"/>
  <c r="H313" i="13" s="1"/>
  <c r="A317" i="13"/>
  <c r="H317" i="13" s="1"/>
  <c r="A144" i="13"/>
  <c r="H144" i="13" s="1"/>
  <c r="A152" i="13"/>
  <c r="H152" i="13" s="1"/>
  <c r="A160" i="13"/>
  <c r="H160" i="13" s="1"/>
  <c r="A168" i="13"/>
  <c r="H168" i="13" s="1"/>
  <c r="A176" i="13"/>
  <c r="H176" i="13" s="1"/>
  <c r="A184" i="13"/>
  <c r="H184" i="13" s="1"/>
  <c r="A192" i="13"/>
  <c r="H192" i="13" s="1"/>
  <c r="A196" i="13"/>
  <c r="H196" i="13" s="1"/>
  <c r="A204" i="13"/>
  <c r="H204" i="13" s="1"/>
  <c r="A212" i="13"/>
  <c r="H212" i="13" s="1"/>
  <c r="A220" i="13"/>
  <c r="H220" i="13" s="1"/>
  <c r="A228" i="13"/>
  <c r="H228" i="13" s="1"/>
  <c r="A236" i="13"/>
  <c r="H236" i="13" s="1"/>
  <c r="A244" i="13"/>
  <c r="H244" i="13" s="1"/>
  <c r="A252" i="13"/>
  <c r="H252" i="13" s="1"/>
  <c r="A260" i="13"/>
  <c r="H260" i="13" s="1"/>
  <c r="A268" i="13"/>
  <c r="H268" i="13" s="1"/>
  <c r="A276" i="13"/>
  <c r="H276" i="13" s="1"/>
  <c r="A284" i="13"/>
  <c r="H284" i="13" s="1"/>
  <c r="A292" i="13"/>
  <c r="H292" i="13" s="1"/>
  <c r="A300" i="13"/>
  <c r="H300" i="13" s="1"/>
  <c r="A308" i="13"/>
  <c r="H308" i="13" s="1"/>
  <c r="A316" i="13"/>
  <c r="H316" i="13" s="1"/>
  <c r="A151" i="13"/>
  <c r="H151" i="13" s="1"/>
  <c r="A159" i="13"/>
  <c r="H159" i="13" s="1"/>
  <c r="A167" i="13"/>
  <c r="H167" i="13" s="1"/>
  <c r="A175" i="13"/>
  <c r="H175" i="13" s="1"/>
  <c r="A187" i="13"/>
  <c r="H187" i="13" s="1"/>
  <c r="A195" i="13"/>
  <c r="H195" i="13" s="1"/>
  <c r="A203" i="13"/>
  <c r="H203" i="13" s="1"/>
  <c r="A211" i="13"/>
  <c r="H211" i="13" s="1"/>
  <c r="A219" i="13"/>
  <c r="H219" i="13" s="1"/>
  <c r="A227" i="13"/>
  <c r="H227" i="13" s="1"/>
  <c r="A235" i="13"/>
  <c r="H235" i="13" s="1"/>
  <c r="A243" i="13"/>
  <c r="H243" i="13" s="1"/>
  <c r="A251" i="13"/>
  <c r="H251" i="13" s="1"/>
  <c r="A259" i="13"/>
  <c r="H259" i="13" s="1"/>
  <c r="A263" i="13"/>
  <c r="H263" i="13" s="1"/>
  <c r="A271" i="13"/>
  <c r="H271" i="13" s="1"/>
  <c r="A275" i="13"/>
  <c r="H275" i="13" s="1"/>
  <c r="A283" i="13"/>
  <c r="H283" i="13" s="1"/>
  <c r="A291" i="13"/>
  <c r="H291" i="13" s="1"/>
  <c r="A299" i="13"/>
  <c r="H299" i="13" s="1"/>
  <c r="A307" i="13"/>
  <c r="H307" i="13" s="1"/>
  <c r="A311" i="13"/>
  <c r="H311" i="13" s="1"/>
  <c r="B137" i="13"/>
  <c r="G12" i="14"/>
  <c r="B137" i="12"/>
  <c r="H143" i="12"/>
  <c r="F151" i="14"/>
  <c r="BJ137" i="11"/>
  <c r="G151" i="14"/>
  <c r="BJ137" i="12"/>
  <c r="H151" i="14"/>
  <c r="BJ137" i="13"/>
  <c r="B96" i="9"/>
  <c r="AO144" i="9"/>
  <c r="AV144" i="9" s="1"/>
  <c r="AO146" i="9"/>
  <c r="AV146" i="9" s="1"/>
  <c r="AO148" i="9"/>
  <c r="AV148" i="9" s="1"/>
  <c r="AO150" i="9"/>
  <c r="AV150" i="9" s="1"/>
  <c r="AO152" i="9"/>
  <c r="AV152" i="9" s="1"/>
  <c r="AO154" i="9"/>
  <c r="AV154" i="9" s="1"/>
  <c r="AO156" i="9"/>
  <c r="AV156" i="9" s="1"/>
  <c r="AO158" i="9"/>
  <c r="AV158" i="9" s="1"/>
  <c r="AO160" i="9"/>
  <c r="AV160" i="9" s="1"/>
  <c r="AO162" i="9"/>
  <c r="AV162" i="9" s="1"/>
  <c r="AO164" i="9"/>
  <c r="AV164" i="9" s="1"/>
  <c r="AO166" i="9"/>
  <c r="AV166" i="9" s="1"/>
  <c r="AO168" i="9"/>
  <c r="AV168" i="9" s="1"/>
  <c r="AO170" i="9"/>
  <c r="AV170" i="9" s="1"/>
  <c r="AO172" i="9"/>
  <c r="AV172" i="9" s="1"/>
  <c r="AO174" i="9"/>
  <c r="AV174" i="9" s="1"/>
  <c r="AO176" i="9"/>
  <c r="AV176" i="9" s="1"/>
  <c r="AO178" i="9"/>
  <c r="AV178" i="9" s="1"/>
  <c r="AO180" i="9"/>
  <c r="AV180" i="9" s="1"/>
  <c r="AO182" i="9"/>
  <c r="AV182" i="9" s="1"/>
  <c r="AO184" i="9"/>
  <c r="AV184" i="9" s="1"/>
  <c r="AO186" i="9"/>
  <c r="AV186" i="9" s="1"/>
  <c r="AO188" i="9"/>
  <c r="AV188" i="9" s="1"/>
  <c r="AO190" i="9"/>
  <c r="AV190" i="9" s="1"/>
  <c r="AO192" i="9"/>
  <c r="AV192" i="9" s="1"/>
  <c r="AO194" i="9"/>
  <c r="AV194" i="9" s="1"/>
  <c r="AO196" i="9"/>
  <c r="AV196" i="9" s="1"/>
  <c r="AO198" i="9"/>
  <c r="AV198" i="9" s="1"/>
  <c r="AO200" i="9"/>
  <c r="AV200" i="9" s="1"/>
  <c r="AO202" i="9"/>
  <c r="AV202" i="9" s="1"/>
  <c r="AO204" i="9"/>
  <c r="AV204" i="9" s="1"/>
  <c r="AO206" i="9"/>
  <c r="AV206" i="9" s="1"/>
  <c r="AO208" i="9"/>
  <c r="AV208" i="9" s="1"/>
  <c r="AO210" i="9"/>
  <c r="AV210" i="9" s="1"/>
  <c r="AO212" i="9"/>
  <c r="AV212" i="9" s="1"/>
  <c r="AO214" i="9"/>
  <c r="AV214" i="9" s="1"/>
  <c r="AO216" i="9"/>
  <c r="AV216" i="9" s="1"/>
  <c r="AO218" i="9"/>
  <c r="AV218" i="9" s="1"/>
  <c r="AO220" i="9"/>
  <c r="AV220" i="9" s="1"/>
  <c r="AO222" i="9"/>
  <c r="AV222" i="9" s="1"/>
  <c r="AO224" i="9"/>
  <c r="AV224" i="9" s="1"/>
  <c r="AO226" i="9"/>
  <c r="AV226" i="9" s="1"/>
  <c r="AO228" i="9"/>
  <c r="AV228" i="9" s="1"/>
  <c r="AO230" i="9"/>
  <c r="AV230" i="9" s="1"/>
  <c r="AO232" i="9"/>
  <c r="AV232" i="9" s="1"/>
  <c r="AO234" i="9"/>
  <c r="AV234" i="9" s="1"/>
  <c r="AO236" i="9"/>
  <c r="AV236" i="9" s="1"/>
  <c r="AO238" i="9"/>
  <c r="AV238" i="9" s="1"/>
  <c r="AO240" i="9"/>
  <c r="AV240" i="9" s="1"/>
  <c r="AO242" i="9"/>
  <c r="AV242" i="9" s="1"/>
  <c r="AO244" i="9"/>
  <c r="AV244" i="9" s="1"/>
  <c r="AO246" i="9"/>
  <c r="AV246" i="9" s="1"/>
  <c r="AO248" i="9"/>
  <c r="AV248" i="9" s="1"/>
  <c r="AO250" i="9"/>
  <c r="AV250" i="9" s="1"/>
  <c r="AO252" i="9"/>
  <c r="AV252" i="9" s="1"/>
  <c r="AO254" i="9"/>
  <c r="AV254" i="9" s="1"/>
  <c r="AO256" i="9"/>
  <c r="AV256" i="9" s="1"/>
  <c r="AO258" i="9"/>
  <c r="AV258" i="9" s="1"/>
  <c r="AO260" i="9"/>
  <c r="AV260" i="9" s="1"/>
  <c r="AO262" i="9"/>
  <c r="AV262" i="9" s="1"/>
  <c r="AO264" i="9"/>
  <c r="AV264" i="9" s="1"/>
  <c r="AO266" i="9"/>
  <c r="AV266" i="9" s="1"/>
  <c r="AO147" i="9"/>
  <c r="AV147" i="9" s="1"/>
  <c r="AO151" i="9"/>
  <c r="AV151" i="9" s="1"/>
  <c r="AO155" i="9"/>
  <c r="AV155" i="9" s="1"/>
  <c r="AO159" i="9"/>
  <c r="AV159" i="9" s="1"/>
  <c r="AO163" i="9"/>
  <c r="AV163" i="9" s="1"/>
  <c r="AO167" i="9"/>
  <c r="AV167" i="9" s="1"/>
  <c r="AO171" i="9"/>
  <c r="AV171" i="9" s="1"/>
  <c r="AO175" i="9"/>
  <c r="AV175" i="9" s="1"/>
  <c r="AO179" i="9"/>
  <c r="AV179" i="9" s="1"/>
  <c r="AO183" i="9"/>
  <c r="AV183" i="9" s="1"/>
  <c r="AO187" i="9"/>
  <c r="AV187" i="9" s="1"/>
  <c r="AO191" i="9"/>
  <c r="AV191" i="9" s="1"/>
  <c r="AO195" i="9"/>
  <c r="AV195" i="9" s="1"/>
  <c r="AO199" i="9"/>
  <c r="AV199" i="9" s="1"/>
  <c r="AO203" i="9"/>
  <c r="AV203" i="9" s="1"/>
  <c r="AO207" i="9"/>
  <c r="AV207" i="9" s="1"/>
  <c r="AO211" i="9"/>
  <c r="AV211" i="9" s="1"/>
  <c r="AO215" i="9"/>
  <c r="AV215" i="9" s="1"/>
  <c r="AO219" i="9"/>
  <c r="AV219" i="9" s="1"/>
  <c r="AO223" i="9"/>
  <c r="AV223" i="9" s="1"/>
  <c r="AO227" i="9"/>
  <c r="AV227" i="9" s="1"/>
  <c r="AO231" i="9"/>
  <c r="AV231" i="9" s="1"/>
  <c r="AO235" i="9"/>
  <c r="AV235" i="9" s="1"/>
  <c r="AO239" i="9"/>
  <c r="AV239" i="9" s="1"/>
  <c r="AO243" i="9"/>
  <c r="AV243" i="9" s="1"/>
  <c r="AO247" i="9"/>
  <c r="AV247" i="9" s="1"/>
  <c r="AO251" i="9"/>
  <c r="AV251" i="9" s="1"/>
  <c r="AO255" i="9"/>
  <c r="AV255" i="9" s="1"/>
  <c r="AO259" i="9"/>
  <c r="AV259" i="9" s="1"/>
  <c r="AO263" i="9"/>
  <c r="AV263" i="9" s="1"/>
  <c r="AO267" i="9"/>
  <c r="AV267" i="9" s="1"/>
  <c r="AO269" i="9"/>
  <c r="AV269" i="9" s="1"/>
  <c r="AO271" i="9"/>
  <c r="AV271" i="9" s="1"/>
  <c r="AO273" i="9"/>
  <c r="AV273" i="9" s="1"/>
  <c r="AO275" i="9"/>
  <c r="AV275" i="9" s="1"/>
  <c r="AO277" i="9"/>
  <c r="AV277" i="9" s="1"/>
  <c r="AO279" i="9"/>
  <c r="AV279" i="9" s="1"/>
  <c r="AO281" i="9"/>
  <c r="AV281" i="9" s="1"/>
  <c r="AO283" i="9"/>
  <c r="AV283" i="9" s="1"/>
  <c r="AO285" i="9"/>
  <c r="AV285" i="9" s="1"/>
  <c r="AO287" i="9"/>
  <c r="AV287" i="9" s="1"/>
  <c r="AO289" i="9"/>
  <c r="AV289" i="9" s="1"/>
  <c r="AO291" i="9"/>
  <c r="AV291" i="9" s="1"/>
  <c r="AO293" i="9"/>
  <c r="AV293" i="9" s="1"/>
  <c r="AO295" i="9"/>
  <c r="AV295" i="9" s="1"/>
  <c r="AO297" i="9"/>
  <c r="AV297" i="9" s="1"/>
  <c r="AO299" i="9"/>
  <c r="AV299" i="9" s="1"/>
  <c r="AO301" i="9"/>
  <c r="AV301" i="9" s="1"/>
  <c r="AO303" i="9"/>
  <c r="AV303" i="9" s="1"/>
  <c r="AO305" i="9"/>
  <c r="AV305" i="9" s="1"/>
  <c r="AO307" i="9"/>
  <c r="AV307" i="9" s="1"/>
  <c r="AO309" i="9"/>
  <c r="AV309" i="9" s="1"/>
  <c r="AO311" i="9"/>
  <c r="AV311" i="9" s="1"/>
  <c r="AO313" i="9"/>
  <c r="AV313" i="9" s="1"/>
  <c r="AO315" i="9"/>
  <c r="AV315" i="9" s="1"/>
  <c r="AO317" i="9"/>
  <c r="AV317" i="9" s="1"/>
  <c r="AO143" i="9"/>
  <c r="AV143" i="9" s="1"/>
  <c r="AO145" i="9"/>
  <c r="AV145" i="9" s="1"/>
  <c r="AO149" i="9"/>
  <c r="AV149" i="9" s="1"/>
  <c r="AO153" i="9"/>
  <c r="AV153" i="9" s="1"/>
  <c r="AO157" i="9"/>
  <c r="AV157" i="9" s="1"/>
  <c r="AO161" i="9"/>
  <c r="AV161" i="9" s="1"/>
  <c r="AO165" i="9"/>
  <c r="AV165" i="9" s="1"/>
  <c r="AO169" i="9"/>
  <c r="AV169" i="9" s="1"/>
  <c r="AO173" i="9"/>
  <c r="AV173" i="9" s="1"/>
  <c r="AO177" i="9"/>
  <c r="AV177" i="9" s="1"/>
  <c r="AO181" i="9"/>
  <c r="AV181" i="9" s="1"/>
  <c r="AO185" i="9"/>
  <c r="AV185" i="9" s="1"/>
  <c r="AO189" i="9"/>
  <c r="AV189" i="9" s="1"/>
  <c r="AO193" i="9"/>
  <c r="AV193" i="9" s="1"/>
  <c r="AO197" i="9"/>
  <c r="AV197" i="9" s="1"/>
  <c r="AO201" i="9"/>
  <c r="AV201" i="9" s="1"/>
  <c r="AO205" i="9"/>
  <c r="AV205" i="9" s="1"/>
  <c r="AO209" i="9"/>
  <c r="AV209" i="9" s="1"/>
  <c r="AO213" i="9"/>
  <c r="AV213" i="9" s="1"/>
  <c r="AO217" i="9"/>
  <c r="AV217" i="9" s="1"/>
  <c r="AO221" i="9"/>
  <c r="AV221" i="9" s="1"/>
  <c r="AO225" i="9"/>
  <c r="AV225" i="9" s="1"/>
  <c r="AO229" i="9"/>
  <c r="AV229" i="9" s="1"/>
  <c r="AO233" i="9"/>
  <c r="AV233" i="9" s="1"/>
  <c r="AO237" i="9"/>
  <c r="AV237" i="9" s="1"/>
  <c r="AO241" i="9"/>
  <c r="AV241" i="9" s="1"/>
  <c r="AO245" i="9"/>
  <c r="AV245" i="9" s="1"/>
  <c r="AO249" i="9"/>
  <c r="AV249" i="9" s="1"/>
  <c r="AO253" i="9"/>
  <c r="AV253" i="9" s="1"/>
  <c r="AO257" i="9"/>
  <c r="AV257" i="9" s="1"/>
  <c r="AO261" i="9"/>
  <c r="AV261" i="9" s="1"/>
  <c r="AO265" i="9"/>
  <c r="AV265" i="9" s="1"/>
  <c r="AO268" i="9"/>
  <c r="AV268" i="9" s="1"/>
  <c r="AO270" i="9"/>
  <c r="AV270" i="9" s="1"/>
  <c r="AO272" i="9"/>
  <c r="AV272" i="9" s="1"/>
  <c r="AO274" i="9"/>
  <c r="AV274" i="9" s="1"/>
  <c r="AO276" i="9"/>
  <c r="AV276" i="9" s="1"/>
  <c r="AO278" i="9"/>
  <c r="AV278" i="9" s="1"/>
  <c r="AO280" i="9"/>
  <c r="AV280" i="9" s="1"/>
  <c r="AO282" i="9"/>
  <c r="AV282" i="9" s="1"/>
  <c r="AO284" i="9"/>
  <c r="AV284" i="9" s="1"/>
  <c r="AO286" i="9"/>
  <c r="AV286" i="9" s="1"/>
  <c r="AO288" i="9"/>
  <c r="AV288" i="9" s="1"/>
  <c r="AO290" i="9"/>
  <c r="AV290" i="9" s="1"/>
  <c r="AO292" i="9"/>
  <c r="AV292" i="9" s="1"/>
  <c r="AO294" i="9"/>
  <c r="AV294" i="9" s="1"/>
  <c r="AO296" i="9"/>
  <c r="AV296" i="9" s="1"/>
  <c r="AO298" i="9"/>
  <c r="AV298" i="9" s="1"/>
  <c r="AO300" i="9"/>
  <c r="AV300" i="9" s="1"/>
  <c r="AO302" i="9"/>
  <c r="AV302" i="9" s="1"/>
  <c r="AO304" i="9"/>
  <c r="AV304" i="9" s="1"/>
  <c r="AO306" i="9"/>
  <c r="AV306" i="9" s="1"/>
  <c r="AO308" i="9"/>
  <c r="AV308" i="9" s="1"/>
  <c r="AO310" i="9"/>
  <c r="AV310" i="9" s="1"/>
  <c r="AO312" i="9"/>
  <c r="AV312" i="9" s="1"/>
  <c r="AO314" i="9"/>
  <c r="AV314" i="9" s="1"/>
  <c r="AO316" i="9"/>
  <c r="AV316" i="9" s="1"/>
  <c r="AO318" i="9"/>
  <c r="AV318" i="9" s="1"/>
  <c r="BI145" i="9"/>
  <c r="BP145" i="9" s="1"/>
  <c r="BI147" i="9"/>
  <c r="BP147" i="9" s="1"/>
  <c r="BI149" i="9"/>
  <c r="BP149" i="9" s="1"/>
  <c r="BI151" i="9"/>
  <c r="BP151" i="9" s="1"/>
  <c r="BI153" i="9"/>
  <c r="BP153" i="9" s="1"/>
  <c r="BI155" i="9"/>
  <c r="BP155" i="9" s="1"/>
  <c r="BI157" i="9"/>
  <c r="BP157" i="9" s="1"/>
  <c r="BI159" i="9"/>
  <c r="BP159" i="9" s="1"/>
  <c r="BI161" i="9"/>
  <c r="BP161" i="9" s="1"/>
  <c r="BI163" i="9"/>
  <c r="BP163" i="9" s="1"/>
  <c r="BI165" i="9"/>
  <c r="BP165" i="9" s="1"/>
  <c r="BI167" i="9"/>
  <c r="BP167" i="9" s="1"/>
  <c r="BI169" i="9"/>
  <c r="BP169" i="9" s="1"/>
  <c r="BI171" i="9"/>
  <c r="BP171" i="9" s="1"/>
  <c r="BI173" i="9"/>
  <c r="BP173" i="9" s="1"/>
  <c r="BI175" i="9"/>
  <c r="BP175" i="9" s="1"/>
  <c r="BI177" i="9"/>
  <c r="BP177" i="9" s="1"/>
  <c r="BI179" i="9"/>
  <c r="BP179" i="9" s="1"/>
  <c r="BI181" i="9"/>
  <c r="BP181" i="9" s="1"/>
  <c r="BI183" i="9"/>
  <c r="BP183" i="9" s="1"/>
  <c r="BI185" i="9"/>
  <c r="BP185" i="9" s="1"/>
  <c r="BI187" i="9"/>
  <c r="BP187" i="9" s="1"/>
  <c r="BI189" i="9"/>
  <c r="BP189" i="9" s="1"/>
  <c r="BI191" i="9"/>
  <c r="BP191" i="9" s="1"/>
  <c r="BI193" i="9"/>
  <c r="BP193" i="9" s="1"/>
  <c r="BI195" i="9"/>
  <c r="BP195" i="9" s="1"/>
  <c r="BI197" i="9"/>
  <c r="BP197" i="9" s="1"/>
  <c r="BI199" i="9"/>
  <c r="BP199" i="9" s="1"/>
  <c r="BI201" i="9"/>
  <c r="BP201" i="9" s="1"/>
  <c r="BI203" i="9"/>
  <c r="BP203" i="9" s="1"/>
  <c r="BI205" i="9"/>
  <c r="BP205" i="9" s="1"/>
  <c r="BI207" i="9"/>
  <c r="BP207" i="9" s="1"/>
  <c r="BI209" i="9"/>
  <c r="BP209" i="9" s="1"/>
  <c r="BI211" i="9"/>
  <c r="BP211" i="9" s="1"/>
  <c r="BI213" i="9"/>
  <c r="BP213" i="9" s="1"/>
  <c r="BI215" i="9"/>
  <c r="BP215" i="9" s="1"/>
  <c r="BI217" i="9"/>
  <c r="BP217" i="9" s="1"/>
  <c r="BI146" i="9"/>
  <c r="BP146" i="9" s="1"/>
  <c r="BI150" i="9"/>
  <c r="BP150" i="9" s="1"/>
  <c r="BI154" i="9"/>
  <c r="BP154" i="9" s="1"/>
  <c r="BI158" i="9"/>
  <c r="BP158" i="9" s="1"/>
  <c r="BI162" i="9"/>
  <c r="BP162" i="9" s="1"/>
  <c r="BI166" i="9"/>
  <c r="BP166" i="9" s="1"/>
  <c r="BI170" i="9"/>
  <c r="BP170" i="9" s="1"/>
  <c r="BI174" i="9"/>
  <c r="BP174" i="9" s="1"/>
  <c r="BI178" i="9"/>
  <c r="BP178" i="9" s="1"/>
  <c r="BI182" i="9"/>
  <c r="BP182" i="9" s="1"/>
  <c r="BI186" i="9"/>
  <c r="BP186" i="9" s="1"/>
  <c r="BI190" i="9"/>
  <c r="BP190" i="9" s="1"/>
  <c r="BI194" i="9"/>
  <c r="BP194" i="9" s="1"/>
  <c r="BI198" i="9"/>
  <c r="BP198" i="9" s="1"/>
  <c r="BI202" i="9"/>
  <c r="BP202" i="9" s="1"/>
  <c r="BI206" i="9"/>
  <c r="BP206" i="9" s="1"/>
  <c r="BI210" i="9"/>
  <c r="BP210" i="9" s="1"/>
  <c r="BI214" i="9"/>
  <c r="BP214" i="9" s="1"/>
  <c r="BI218" i="9"/>
  <c r="BP218" i="9" s="1"/>
  <c r="BI220" i="9"/>
  <c r="BP220" i="9" s="1"/>
  <c r="BI222" i="9"/>
  <c r="BP222" i="9" s="1"/>
  <c r="BI224" i="9"/>
  <c r="BP224" i="9" s="1"/>
  <c r="BI226" i="9"/>
  <c r="BP226" i="9" s="1"/>
  <c r="BI228" i="9"/>
  <c r="BP228" i="9" s="1"/>
  <c r="BI230" i="9"/>
  <c r="BP230" i="9" s="1"/>
  <c r="BI232" i="9"/>
  <c r="BP232" i="9" s="1"/>
  <c r="BI234" i="9"/>
  <c r="BP234" i="9" s="1"/>
  <c r="BI236" i="9"/>
  <c r="BP236" i="9" s="1"/>
  <c r="BI238" i="9"/>
  <c r="BP238" i="9" s="1"/>
  <c r="BI240" i="9"/>
  <c r="BP240" i="9" s="1"/>
  <c r="BI242" i="9"/>
  <c r="BP242" i="9" s="1"/>
  <c r="BI244" i="9"/>
  <c r="BP244" i="9" s="1"/>
  <c r="BI246" i="9"/>
  <c r="BP246" i="9" s="1"/>
  <c r="BI248" i="9"/>
  <c r="BP248" i="9" s="1"/>
  <c r="BI250" i="9"/>
  <c r="BP250" i="9" s="1"/>
  <c r="BI252" i="9"/>
  <c r="BP252" i="9" s="1"/>
  <c r="BI254" i="9"/>
  <c r="BP254" i="9" s="1"/>
  <c r="BI256" i="9"/>
  <c r="BP256" i="9" s="1"/>
  <c r="BI258" i="9"/>
  <c r="BP258" i="9" s="1"/>
  <c r="BI260" i="9"/>
  <c r="BP260" i="9" s="1"/>
  <c r="BI262" i="9"/>
  <c r="BP262" i="9" s="1"/>
  <c r="BI264" i="9"/>
  <c r="BP264" i="9" s="1"/>
  <c r="BI266" i="9"/>
  <c r="BP266" i="9" s="1"/>
  <c r="BI268" i="9"/>
  <c r="BP268" i="9" s="1"/>
  <c r="BI270" i="9"/>
  <c r="BP270" i="9" s="1"/>
  <c r="BI272" i="9"/>
  <c r="BP272" i="9" s="1"/>
  <c r="BI274" i="9"/>
  <c r="BP274" i="9" s="1"/>
  <c r="BI276" i="9"/>
  <c r="BP276" i="9" s="1"/>
  <c r="BI278" i="9"/>
  <c r="BP278" i="9" s="1"/>
  <c r="BI280" i="9"/>
  <c r="BP280" i="9" s="1"/>
  <c r="BI282" i="9"/>
  <c r="BP282" i="9" s="1"/>
  <c r="BI284" i="9"/>
  <c r="BP284" i="9" s="1"/>
  <c r="BI286" i="9"/>
  <c r="BP286" i="9" s="1"/>
  <c r="BI288" i="9"/>
  <c r="BP288" i="9" s="1"/>
  <c r="BI290" i="9"/>
  <c r="BP290" i="9" s="1"/>
  <c r="BI292" i="9"/>
  <c r="BP292" i="9" s="1"/>
  <c r="BI294" i="9"/>
  <c r="BP294" i="9" s="1"/>
  <c r="BI296" i="9"/>
  <c r="BP296" i="9" s="1"/>
  <c r="BI298" i="9"/>
  <c r="BP298" i="9" s="1"/>
  <c r="BI300" i="9"/>
  <c r="BP300" i="9" s="1"/>
  <c r="BI302" i="9"/>
  <c r="BP302" i="9" s="1"/>
  <c r="BI304" i="9"/>
  <c r="BP304" i="9" s="1"/>
  <c r="BI306" i="9"/>
  <c r="BP306" i="9" s="1"/>
  <c r="BI308" i="9"/>
  <c r="BP308" i="9" s="1"/>
  <c r="BI310" i="9"/>
  <c r="BP310" i="9" s="1"/>
  <c r="BI312" i="9"/>
  <c r="BP312" i="9" s="1"/>
  <c r="BI314" i="9"/>
  <c r="BP314" i="9" s="1"/>
  <c r="BI316" i="9"/>
  <c r="BP316" i="9" s="1"/>
  <c r="BI318" i="9"/>
  <c r="BP318" i="9" s="1"/>
  <c r="BI148" i="9"/>
  <c r="BP148" i="9" s="1"/>
  <c r="BI156" i="9"/>
  <c r="BP156" i="9" s="1"/>
  <c r="BI164" i="9"/>
  <c r="BP164" i="9" s="1"/>
  <c r="BI172" i="9"/>
  <c r="BP172" i="9" s="1"/>
  <c r="BI180" i="9"/>
  <c r="BP180" i="9" s="1"/>
  <c r="BI188" i="9"/>
  <c r="BP188" i="9" s="1"/>
  <c r="BI196" i="9"/>
  <c r="BP196" i="9" s="1"/>
  <c r="BI204" i="9"/>
  <c r="BP204" i="9" s="1"/>
  <c r="BI212" i="9"/>
  <c r="BP212" i="9" s="1"/>
  <c r="BI219" i="9"/>
  <c r="BP219" i="9" s="1"/>
  <c r="BI223" i="9"/>
  <c r="BP223" i="9" s="1"/>
  <c r="BI227" i="9"/>
  <c r="BP227" i="9" s="1"/>
  <c r="BI231" i="9"/>
  <c r="BP231" i="9" s="1"/>
  <c r="BI235" i="9"/>
  <c r="BP235" i="9" s="1"/>
  <c r="BI239" i="9"/>
  <c r="BP239" i="9" s="1"/>
  <c r="BI243" i="9"/>
  <c r="BP243" i="9" s="1"/>
  <c r="BI247" i="9"/>
  <c r="BP247" i="9" s="1"/>
  <c r="BI251" i="9"/>
  <c r="BP251" i="9" s="1"/>
  <c r="BI255" i="9"/>
  <c r="BP255" i="9" s="1"/>
  <c r="BI259" i="9"/>
  <c r="BP259" i="9" s="1"/>
  <c r="BI263" i="9"/>
  <c r="BP263" i="9" s="1"/>
  <c r="BI267" i="9"/>
  <c r="BP267" i="9" s="1"/>
  <c r="BI271" i="9"/>
  <c r="BP271" i="9" s="1"/>
  <c r="BI275" i="9"/>
  <c r="BP275" i="9" s="1"/>
  <c r="BI279" i="9"/>
  <c r="BP279" i="9" s="1"/>
  <c r="BI283" i="9"/>
  <c r="BP283" i="9" s="1"/>
  <c r="BI287" i="9"/>
  <c r="BP287" i="9" s="1"/>
  <c r="BI291" i="9"/>
  <c r="BP291" i="9" s="1"/>
  <c r="BI295" i="9"/>
  <c r="BP295" i="9" s="1"/>
  <c r="BI299" i="9"/>
  <c r="BP299" i="9" s="1"/>
  <c r="BI303" i="9"/>
  <c r="BP303" i="9" s="1"/>
  <c r="BI307" i="9"/>
  <c r="BP307" i="9" s="1"/>
  <c r="BI311" i="9"/>
  <c r="BP311" i="9" s="1"/>
  <c r="BI315" i="9"/>
  <c r="BP315" i="9" s="1"/>
  <c r="BI143" i="9"/>
  <c r="BP143" i="9" s="1"/>
  <c r="BI152" i="9"/>
  <c r="BP152" i="9" s="1"/>
  <c r="BI168" i="9"/>
  <c r="BP168" i="9" s="1"/>
  <c r="BI184" i="9"/>
  <c r="BP184" i="9" s="1"/>
  <c r="BI200" i="9"/>
  <c r="BP200" i="9" s="1"/>
  <c r="BI216" i="9"/>
  <c r="BP216" i="9" s="1"/>
  <c r="BI225" i="9"/>
  <c r="BP225" i="9" s="1"/>
  <c r="BI233" i="9"/>
  <c r="BP233" i="9" s="1"/>
  <c r="BI241" i="9"/>
  <c r="BP241" i="9" s="1"/>
  <c r="BI249" i="9"/>
  <c r="BP249" i="9" s="1"/>
  <c r="BI257" i="9"/>
  <c r="BP257" i="9" s="1"/>
  <c r="BI265" i="9"/>
  <c r="BP265" i="9" s="1"/>
  <c r="BI273" i="9"/>
  <c r="BP273" i="9" s="1"/>
  <c r="BI281" i="9"/>
  <c r="BP281" i="9" s="1"/>
  <c r="BI289" i="9"/>
  <c r="BP289" i="9" s="1"/>
  <c r="BI297" i="9"/>
  <c r="BP297" i="9" s="1"/>
  <c r="BI305" i="9"/>
  <c r="BP305" i="9" s="1"/>
  <c r="BI313" i="9"/>
  <c r="BP313" i="9" s="1"/>
  <c r="BI144" i="9"/>
  <c r="BP144" i="9" s="1"/>
  <c r="BI160" i="9"/>
  <c r="BP160" i="9" s="1"/>
  <c r="BI176" i="9"/>
  <c r="BP176" i="9" s="1"/>
  <c r="BI192" i="9"/>
  <c r="BP192" i="9" s="1"/>
  <c r="BI208" i="9"/>
  <c r="BP208" i="9" s="1"/>
  <c r="BI221" i="9"/>
  <c r="BP221" i="9" s="1"/>
  <c r="BI229" i="9"/>
  <c r="BP229" i="9" s="1"/>
  <c r="BI237" i="9"/>
  <c r="BP237" i="9" s="1"/>
  <c r="BI245" i="9"/>
  <c r="BP245" i="9" s="1"/>
  <c r="BI253" i="9"/>
  <c r="BP253" i="9" s="1"/>
  <c r="BI261" i="9"/>
  <c r="BP261" i="9" s="1"/>
  <c r="BI269" i="9"/>
  <c r="BP269" i="9" s="1"/>
  <c r="BI277" i="9"/>
  <c r="BP277" i="9" s="1"/>
  <c r="BI285" i="9"/>
  <c r="BP285" i="9" s="1"/>
  <c r="BI293" i="9"/>
  <c r="BP293" i="9" s="1"/>
  <c r="BI301" i="9"/>
  <c r="BP301" i="9" s="1"/>
  <c r="BI309" i="9"/>
  <c r="BP309" i="9" s="1"/>
  <c r="BI317" i="9"/>
  <c r="BP317" i="9" s="1"/>
  <c r="AP137" i="9"/>
  <c r="BJ137" i="9"/>
  <c r="C80" i="14"/>
  <c r="B59" i="9"/>
  <c r="F309" i="3"/>
  <c r="H310" i="3" s="1"/>
  <c r="W18" i="3"/>
  <c r="Y17" i="3"/>
  <c r="Y16" i="3"/>
  <c r="P29" i="3"/>
  <c r="P31" i="3"/>
  <c r="N46" i="41"/>
  <c r="H15" i="27"/>
  <c r="H16" i="25"/>
  <c r="K16" i="25" s="1"/>
  <c r="F77" i="1"/>
  <c r="C23" i="7" s="1"/>
  <c r="X12" i="3"/>
  <c r="H25" i="3"/>
  <c r="C25" i="3"/>
  <c r="D25" i="3" s="1"/>
  <c r="L11" i="3"/>
  <c r="G12" i="3"/>
  <c r="G5" i="3"/>
  <c r="J5" i="3"/>
  <c r="J12" i="3"/>
  <c r="I12" i="3"/>
  <c r="H12" i="3"/>
  <c r="H26" i="3"/>
  <c r="A27" i="3"/>
  <c r="C26" i="3"/>
  <c r="D26" i="3" s="1"/>
  <c r="N31" i="3"/>
  <c r="O31" i="3"/>
  <c r="M31" i="3"/>
  <c r="L27" i="3"/>
  <c r="P27" i="3"/>
  <c r="N27" i="3"/>
  <c r="M27" i="3"/>
  <c r="K27" i="3"/>
  <c r="O27" i="3"/>
  <c r="L28" i="3"/>
  <c r="N29" i="3" s="1"/>
  <c r="L32" i="3"/>
  <c r="F73" i="1"/>
  <c r="C31" i="7" s="1"/>
  <c r="D31" i="7" s="1"/>
  <c r="C79" i="14"/>
  <c r="E67" i="1"/>
  <c r="E78" i="1"/>
  <c r="E127" i="14"/>
  <c r="D23" i="7"/>
  <c r="C125" i="14"/>
  <c r="D22" i="7"/>
  <c r="E104" i="14"/>
  <c r="D82" i="14"/>
  <c r="B61" i="10"/>
  <c r="B77" i="10"/>
  <c r="B431" i="22"/>
  <c r="G75" i="17"/>
  <c r="G409" i="22"/>
  <c r="B231" i="22"/>
  <c r="G209" i="22"/>
  <c r="G31" i="19"/>
  <c r="G31" i="18"/>
  <c r="B453" i="22"/>
  <c r="B253" i="22"/>
  <c r="B331" i="22"/>
  <c r="F331" i="22" s="1"/>
  <c r="B153" i="22"/>
  <c r="G309" i="22"/>
  <c r="B131" i="22"/>
  <c r="B353" i="22"/>
  <c r="G31" i="21"/>
  <c r="G30" i="18"/>
  <c r="G30" i="21"/>
  <c r="G74" i="16"/>
  <c r="G52" i="17"/>
  <c r="G74" i="17"/>
  <c r="G30" i="19"/>
  <c r="G472" i="22"/>
  <c r="G350" i="22"/>
  <c r="G330" i="22"/>
  <c r="G374" i="22"/>
  <c r="G394" i="22"/>
  <c r="G352" i="22"/>
  <c r="E150" i="14"/>
  <c r="B109" i="10"/>
  <c r="E58" i="14"/>
  <c r="B45" i="10"/>
  <c r="C8" i="3"/>
  <c r="C9" i="3"/>
  <c r="C10" i="3"/>
  <c r="C7" i="3"/>
  <c r="B39" i="4"/>
  <c r="A39" i="4"/>
  <c r="F23" i="7" l="1"/>
  <c r="H23" i="7"/>
  <c r="I23" i="7"/>
  <c r="E23" i="7"/>
  <c r="F310" i="3"/>
  <c r="U177" i="10"/>
  <c r="AB177" i="10" s="1"/>
  <c r="U290" i="10"/>
  <c r="AB290" i="10" s="1"/>
  <c r="U226" i="10"/>
  <c r="AB226" i="10" s="1"/>
  <c r="U158" i="10"/>
  <c r="AB158" i="10" s="1"/>
  <c r="F253" i="8"/>
  <c r="F396" i="8" s="1"/>
  <c r="C18" i="7"/>
  <c r="B26" i="11" s="1"/>
  <c r="L134" i="11" s="1"/>
  <c r="C30" i="7"/>
  <c r="D30" i="7" s="1"/>
  <c r="D29" i="7"/>
  <c r="H26" i="25"/>
  <c r="K26" i="25" s="1"/>
  <c r="J15" i="27"/>
  <c r="I13" i="39"/>
  <c r="K13" i="39" s="1"/>
  <c r="K16" i="39" s="1"/>
  <c r="E16" i="1"/>
  <c r="E12" i="1"/>
  <c r="E17" i="1"/>
  <c r="E19" i="1"/>
  <c r="E18" i="1"/>
  <c r="E15" i="1"/>
  <c r="E13" i="1"/>
  <c r="E14" i="1"/>
  <c r="U305" i="10"/>
  <c r="AB305" i="10" s="1"/>
  <c r="U151" i="10"/>
  <c r="AB151" i="10" s="1"/>
  <c r="U299" i="10"/>
  <c r="AB299" i="10" s="1"/>
  <c r="U279" i="10"/>
  <c r="AB279" i="10" s="1"/>
  <c r="U263" i="10"/>
  <c r="AB263" i="10" s="1"/>
  <c r="U247" i="10"/>
  <c r="AB247" i="10" s="1"/>
  <c r="U231" i="10"/>
  <c r="AB231" i="10" s="1"/>
  <c r="U215" i="10"/>
  <c r="AB215" i="10" s="1"/>
  <c r="U199" i="10"/>
  <c r="AB199" i="10" s="1"/>
  <c r="U183" i="10"/>
  <c r="AB183" i="10" s="1"/>
  <c r="U167" i="10"/>
  <c r="AB167" i="10" s="1"/>
  <c r="U314" i="10"/>
  <c r="AB314" i="10" s="1"/>
  <c r="U157" i="10"/>
  <c r="AB157" i="10" s="1"/>
  <c r="U300" i="10"/>
  <c r="AB300" i="10" s="1"/>
  <c r="U280" i="10"/>
  <c r="AB280" i="10" s="1"/>
  <c r="U264" i="10"/>
  <c r="AB264" i="10" s="1"/>
  <c r="U248" i="10"/>
  <c r="AB248" i="10" s="1"/>
  <c r="U232" i="10"/>
  <c r="AB232" i="10" s="1"/>
  <c r="U216" i="10"/>
  <c r="AB216" i="10" s="1"/>
  <c r="U200" i="10"/>
  <c r="AB200" i="10" s="1"/>
  <c r="U184" i="10"/>
  <c r="AB184" i="10" s="1"/>
  <c r="U168" i="10"/>
  <c r="AB168" i="10" s="1"/>
  <c r="U318" i="10"/>
  <c r="AB318" i="10" s="1"/>
  <c r="U294" i="10"/>
  <c r="AB294" i="10" s="1"/>
  <c r="U304" i="10"/>
  <c r="AB304" i="10" s="1"/>
  <c r="U281" i="10"/>
  <c r="AB281" i="10" s="1"/>
  <c r="U265" i="10"/>
  <c r="AB265" i="10" s="1"/>
  <c r="U249" i="10"/>
  <c r="AB249" i="10" s="1"/>
  <c r="U233" i="10"/>
  <c r="AB233" i="10" s="1"/>
  <c r="U217" i="10"/>
  <c r="AB217" i="10" s="1"/>
  <c r="U201" i="10"/>
  <c r="AB201" i="10" s="1"/>
  <c r="U185" i="10"/>
  <c r="AB185" i="10" s="1"/>
  <c r="U169" i="10"/>
  <c r="AB169" i="10" s="1"/>
  <c r="U317" i="10"/>
  <c r="AB317" i="10" s="1"/>
  <c r="U161" i="10"/>
  <c r="AB161" i="10" s="1"/>
  <c r="U303" i="10"/>
  <c r="AB303" i="10" s="1"/>
  <c r="U282" i="10"/>
  <c r="AB282" i="10" s="1"/>
  <c r="U266" i="10"/>
  <c r="AB266" i="10" s="1"/>
  <c r="U250" i="10"/>
  <c r="AB250" i="10" s="1"/>
  <c r="U234" i="10"/>
  <c r="AB234" i="10" s="1"/>
  <c r="U218" i="10"/>
  <c r="AB218" i="10" s="1"/>
  <c r="U202" i="10"/>
  <c r="AB202" i="10" s="1"/>
  <c r="U186" i="10"/>
  <c r="AB186" i="10" s="1"/>
  <c r="U170" i="10"/>
  <c r="AB170" i="10" s="1"/>
  <c r="U310" i="10"/>
  <c r="AB310" i="10" s="1"/>
  <c r="U315" i="10"/>
  <c r="AB315" i="10" s="1"/>
  <c r="U287" i="10"/>
  <c r="AB287" i="10" s="1"/>
  <c r="U271" i="10"/>
  <c r="AB271" i="10" s="1"/>
  <c r="U255" i="10"/>
  <c r="AB255" i="10" s="1"/>
  <c r="U239" i="10"/>
  <c r="AB239" i="10" s="1"/>
  <c r="U223" i="10"/>
  <c r="AB223" i="10" s="1"/>
  <c r="U207" i="10"/>
  <c r="AB207" i="10" s="1"/>
  <c r="U191" i="10"/>
  <c r="AB191" i="10" s="1"/>
  <c r="U175" i="10"/>
  <c r="AB175" i="10" s="1"/>
  <c r="U152" i="10"/>
  <c r="AB152" i="10" s="1"/>
  <c r="U298" i="10"/>
  <c r="AB298" i="10" s="1"/>
  <c r="U316" i="10"/>
  <c r="AB316" i="10" s="1"/>
  <c r="U288" i="10"/>
  <c r="AB288" i="10" s="1"/>
  <c r="U272" i="10"/>
  <c r="AB272" i="10" s="1"/>
  <c r="U256" i="10"/>
  <c r="AB256" i="10" s="1"/>
  <c r="U240" i="10"/>
  <c r="AB240" i="10" s="1"/>
  <c r="U224" i="10"/>
  <c r="AB224" i="10" s="1"/>
  <c r="U208" i="10"/>
  <c r="AB208" i="10" s="1"/>
  <c r="U192" i="10"/>
  <c r="AB192" i="10" s="1"/>
  <c r="U176" i="10"/>
  <c r="AB176" i="10" s="1"/>
  <c r="U154" i="10"/>
  <c r="AB154" i="10" s="1"/>
  <c r="AI266" i="11"/>
  <c r="F64" i="1"/>
  <c r="F453" i="22"/>
  <c r="G453" i="22" s="1"/>
  <c r="F431" i="22"/>
  <c r="G431" i="22" s="1"/>
  <c r="F353" i="22"/>
  <c r="G353" i="22" s="1"/>
  <c r="F63" i="1"/>
  <c r="F253" i="22"/>
  <c r="G253" i="22" s="1"/>
  <c r="F231" i="22"/>
  <c r="G231" i="22" s="1"/>
  <c r="F175" i="22"/>
  <c r="G175" i="22" s="1"/>
  <c r="F153" i="22"/>
  <c r="G153" i="22" s="1"/>
  <c r="F154" i="22"/>
  <c r="G154" i="22" s="1"/>
  <c r="F131" i="22"/>
  <c r="G131" i="22" s="1"/>
  <c r="F61" i="1"/>
  <c r="F60" i="1"/>
  <c r="G12" i="22"/>
  <c r="G13" i="22"/>
  <c r="G11" i="22"/>
  <c r="BI174" i="10"/>
  <c r="BP174" i="10" s="1"/>
  <c r="BI229" i="10"/>
  <c r="BP229" i="10" s="1"/>
  <c r="BI149" i="10"/>
  <c r="BP149" i="10" s="1"/>
  <c r="BI238" i="10"/>
  <c r="BP238" i="10" s="1"/>
  <c r="BI283" i="10"/>
  <c r="BP283" i="10" s="1"/>
  <c r="BI155" i="10"/>
  <c r="BP155" i="10" s="1"/>
  <c r="BI200" i="10"/>
  <c r="BP200" i="10" s="1"/>
  <c r="U163" i="10"/>
  <c r="AB163" i="10" s="1"/>
  <c r="U159" i="10"/>
  <c r="AB159" i="10" s="1"/>
  <c r="U297" i="10"/>
  <c r="AB297" i="10" s="1"/>
  <c r="U312" i="10"/>
  <c r="AB312" i="10" s="1"/>
  <c r="U296" i="10"/>
  <c r="AB296" i="10" s="1"/>
  <c r="U285" i="10"/>
  <c r="AB285" i="10" s="1"/>
  <c r="U277" i="10"/>
  <c r="AB277" i="10" s="1"/>
  <c r="U269" i="10"/>
  <c r="AB269" i="10" s="1"/>
  <c r="U261" i="10"/>
  <c r="AB261" i="10" s="1"/>
  <c r="U253" i="10"/>
  <c r="AB253" i="10" s="1"/>
  <c r="U245" i="10"/>
  <c r="AB245" i="10" s="1"/>
  <c r="U237" i="10"/>
  <c r="AB237" i="10" s="1"/>
  <c r="U229" i="10"/>
  <c r="AB229" i="10" s="1"/>
  <c r="U221" i="10"/>
  <c r="AB221" i="10" s="1"/>
  <c r="U213" i="10"/>
  <c r="AB213" i="10" s="1"/>
  <c r="U205" i="10"/>
  <c r="AB205" i="10" s="1"/>
  <c r="U197" i="10"/>
  <c r="AB197" i="10" s="1"/>
  <c r="U189" i="10"/>
  <c r="AB189" i="10" s="1"/>
  <c r="U181" i="10"/>
  <c r="AB181" i="10" s="1"/>
  <c r="U173" i="10"/>
  <c r="AB173" i="10" s="1"/>
  <c r="U164" i="10"/>
  <c r="AB164" i="10" s="1"/>
  <c r="U148" i="10"/>
  <c r="AB148" i="10" s="1"/>
  <c r="U309" i="10"/>
  <c r="AB309" i="10" s="1"/>
  <c r="U293" i="10"/>
  <c r="AB293" i="10" s="1"/>
  <c r="U153" i="10"/>
  <c r="AB153" i="10" s="1"/>
  <c r="U311" i="10"/>
  <c r="AB311" i="10" s="1"/>
  <c r="U295" i="10"/>
  <c r="AB295" i="10" s="1"/>
  <c r="U286" i="10"/>
  <c r="AB286" i="10" s="1"/>
  <c r="U278" i="10"/>
  <c r="AB278" i="10" s="1"/>
  <c r="U270" i="10"/>
  <c r="AB270" i="10" s="1"/>
  <c r="U262" i="10"/>
  <c r="AB262" i="10" s="1"/>
  <c r="U254" i="10"/>
  <c r="AB254" i="10" s="1"/>
  <c r="U246" i="10"/>
  <c r="AB246" i="10" s="1"/>
  <c r="U238" i="10"/>
  <c r="AB238" i="10" s="1"/>
  <c r="U230" i="10"/>
  <c r="AB230" i="10" s="1"/>
  <c r="U222" i="10"/>
  <c r="AB222" i="10" s="1"/>
  <c r="U214" i="10"/>
  <c r="AB214" i="10" s="1"/>
  <c r="U206" i="10"/>
  <c r="AB206" i="10" s="1"/>
  <c r="U198" i="10"/>
  <c r="AB198" i="10" s="1"/>
  <c r="U190" i="10"/>
  <c r="AB190" i="10" s="1"/>
  <c r="U182" i="10"/>
  <c r="AB182" i="10" s="1"/>
  <c r="U174" i="10"/>
  <c r="AB174" i="10" s="1"/>
  <c r="U166" i="10"/>
  <c r="AB166" i="10" s="1"/>
  <c r="U150" i="10"/>
  <c r="AB150" i="10" s="1"/>
  <c r="BI143" i="10"/>
  <c r="BP143" i="10" s="1"/>
  <c r="BI302" i="10"/>
  <c r="BP302" i="10" s="1"/>
  <c r="BI219" i="10"/>
  <c r="BP219" i="10" s="1"/>
  <c r="BI264" i="10"/>
  <c r="BP264" i="10" s="1"/>
  <c r="BI281" i="10"/>
  <c r="BP281" i="10" s="1"/>
  <c r="BI257" i="10"/>
  <c r="BP257" i="10" s="1"/>
  <c r="BI222" i="10"/>
  <c r="BP222" i="10" s="1"/>
  <c r="BI267" i="10"/>
  <c r="BP267" i="10" s="1"/>
  <c r="BI312" i="10"/>
  <c r="BP312" i="10" s="1"/>
  <c r="BI184" i="10"/>
  <c r="BP184" i="10" s="1"/>
  <c r="U147" i="10"/>
  <c r="AB147" i="10" s="1"/>
  <c r="U313" i="10"/>
  <c r="AB313" i="10" s="1"/>
  <c r="U302" i="10"/>
  <c r="AB302" i="10" s="1"/>
  <c r="U307" i="10"/>
  <c r="AB307" i="10" s="1"/>
  <c r="U291" i="10"/>
  <c r="AB291" i="10" s="1"/>
  <c r="U283" i="10"/>
  <c r="AB283" i="10" s="1"/>
  <c r="U275" i="10"/>
  <c r="AB275" i="10" s="1"/>
  <c r="U267" i="10"/>
  <c r="AB267" i="10" s="1"/>
  <c r="U259" i="10"/>
  <c r="AB259" i="10" s="1"/>
  <c r="U251" i="10"/>
  <c r="AB251" i="10" s="1"/>
  <c r="U243" i="10"/>
  <c r="AB243" i="10" s="1"/>
  <c r="U235" i="10"/>
  <c r="AB235" i="10" s="1"/>
  <c r="U227" i="10"/>
  <c r="AB227" i="10" s="1"/>
  <c r="U219" i="10"/>
  <c r="AB219" i="10" s="1"/>
  <c r="U211" i="10"/>
  <c r="AB211" i="10" s="1"/>
  <c r="U203" i="10"/>
  <c r="AB203" i="10" s="1"/>
  <c r="U195" i="10"/>
  <c r="AB195" i="10" s="1"/>
  <c r="U187" i="10"/>
  <c r="AB187" i="10" s="1"/>
  <c r="U179" i="10"/>
  <c r="AB179" i="10" s="1"/>
  <c r="U171" i="10"/>
  <c r="AB171" i="10" s="1"/>
  <c r="U160" i="10"/>
  <c r="AB160" i="10" s="1"/>
  <c r="U144" i="10"/>
  <c r="AB144" i="10" s="1"/>
  <c r="U306" i="10"/>
  <c r="AB306" i="10" s="1"/>
  <c r="U165" i="10"/>
  <c r="AB165" i="10" s="1"/>
  <c r="U149" i="10"/>
  <c r="AB149" i="10" s="1"/>
  <c r="U308" i="10"/>
  <c r="AB308" i="10" s="1"/>
  <c r="U292" i="10"/>
  <c r="AB292" i="10" s="1"/>
  <c r="U284" i="10"/>
  <c r="AB284" i="10" s="1"/>
  <c r="U276" i="10"/>
  <c r="AB276" i="10" s="1"/>
  <c r="U268" i="10"/>
  <c r="AB268" i="10" s="1"/>
  <c r="U260" i="10"/>
  <c r="AB260" i="10" s="1"/>
  <c r="U252" i="10"/>
  <c r="AB252" i="10" s="1"/>
  <c r="U244" i="10"/>
  <c r="AB244" i="10" s="1"/>
  <c r="U236" i="10"/>
  <c r="AB236" i="10" s="1"/>
  <c r="U228" i="10"/>
  <c r="AB228" i="10" s="1"/>
  <c r="U220" i="10"/>
  <c r="AB220" i="10" s="1"/>
  <c r="U212" i="10"/>
  <c r="AB212" i="10" s="1"/>
  <c r="U204" i="10"/>
  <c r="AB204" i="10" s="1"/>
  <c r="U196" i="10"/>
  <c r="AB196" i="10" s="1"/>
  <c r="U188" i="10"/>
  <c r="AB188" i="10" s="1"/>
  <c r="U180" i="10"/>
  <c r="AB180" i="10" s="1"/>
  <c r="U172" i="10"/>
  <c r="AB172" i="10" s="1"/>
  <c r="U162" i="10"/>
  <c r="AB162" i="10" s="1"/>
  <c r="AI316" i="11"/>
  <c r="AI210" i="11"/>
  <c r="AI257" i="11"/>
  <c r="AI177" i="11"/>
  <c r="AO318" i="10"/>
  <c r="AV318" i="10" s="1"/>
  <c r="AO173" i="10"/>
  <c r="AV173" i="10" s="1"/>
  <c r="AO190" i="10"/>
  <c r="AV190" i="10" s="1"/>
  <c r="AO301" i="10"/>
  <c r="AV301" i="10" s="1"/>
  <c r="AO222" i="10"/>
  <c r="AV222" i="10" s="1"/>
  <c r="BI153" i="10"/>
  <c r="BP153" i="10" s="1"/>
  <c r="BI309" i="10"/>
  <c r="BP309" i="10" s="1"/>
  <c r="BI318" i="10"/>
  <c r="BP318" i="10" s="1"/>
  <c r="BI254" i="10"/>
  <c r="BP254" i="10" s="1"/>
  <c r="BI190" i="10"/>
  <c r="BP190" i="10" s="1"/>
  <c r="BI299" i="10"/>
  <c r="BP299" i="10" s="1"/>
  <c r="BI235" i="10"/>
  <c r="BP235" i="10" s="1"/>
  <c r="BI171" i="10"/>
  <c r="BP171" i="10" s="1"/>
  <c r="BI280" i="10"/>
  <c r="BP280" i="10" s="1"/>
  <c r="BI216" i="10"/>
  <c r="BP216" i="10" s="1"/>
  <c r="BI152" i="10"/>
  <c r="BP152" i="10" s="1"/>
  <c r="AO251" i="10"/>
  <c r="AV251" i="10" s="1"/>
  <c r="AO254" i="10"/>
  <c r="AV254" i="10" s="1"/>
  <c r="AO233" i="10"/>
  <c r="AV233" i="10" s="1"/>
  <c r="BI217" i="10"/>
  <c r="BP217" i="10" s="1"/>
  <c r="BI205" i="10"/>
  <c r="BP205" i="10" s="1"/>
  <c r="BI193" i="10"/>
  <c r="BP193" i="10" s="1"/>
  <c r="BI270" i="10"/>
  <c r="BP270" i="10" s="1"/>
  <c r="BI206" i="10"/>
  <c r="BP206" i="10" s="1"/>
  <c r="BI315" i="10"/>
  <c r="BP315" i="10" s="1"/>
  <c r="BI251" i="10"/>
  <c r="BP251" i="10" s="1"/>
  <c r="BI187" i="10"/>
  <c r="BP187" i="10" s="1"/>
  <c r="BI296" i="10"/>
  <c r="BP296" i="10" s="1"/>
  <c r="BI232" i="10"/>
  <c r="BP232" i="10" s="1"/>
  <c r="BI168" i="10"/>
  <c r="BP168" i="10" s="1"/>
  <c r="AO263" i="10"/>
  <c r="AV263" i="10" s="1"/>
  <c r="AO286" i="10"/>
  <c r="AV286" i="10" s="1"/>
  <c r="AO150" i="10"/>
  <c r="AV150" i="10" s="1"/>
  <c r="AO179" i="10"/>
  <c r="AV179" i="10" s="1"/>
  <c r="AO205" i="10"/>
  <c r="AV205" i="10" s="1"/>
  <c r="AO295" i="10"/>
  <c r="AV295" i="10" s="1"/>
  <c r="AO167" i="10"/>
  <c r="AV167" i="10" s="1"/>
  <c r="AO265" i="10"/>
  <c r="AV265" i="10" s="1"/>
  <c r="AO157" i="10"/>
  <c r="AV157" i="10" s="1"/>
  <c r="AO294" i="10"/>
  <c r="AV294" i="10" s="1"/>
  <c r="AO262" i="10"/>
  <c r="AV262" i="10" s="1"/>
  <c r="AO230" i="10"/>
  <c r="AV230" i="10" s="1"/>
  <c r="AO198" i="10"/>
  <c r="AV198" i="10" s="1"/>
  <c r="AO166" i="10"/>
  <c r="AV166" i="10" s="1"/>
  <c r="AO283" i="10"/>
  <c r="AV283" i="10" s="1"/>
  <c r="AO237" i="10"/>
  <c r="AV237" i="10" s="1"/>
  <c r="AO187" i="10"/>
  <c r="AV187" i="10" s="1"/>
  <c r="AO199" i="10"/>
  <c r="AV199" i="10" s="1"/>
  <c r="AO297" i="10"/>
  <c r="AV297" i="10" s="1"/>
  <c r="AO169" i="10"/>
  <c r="AV169" i="10" s="1"/>
  <c r="AO302" i="10"/>
  <c r="AV302" i="10" s="1"/>
  <c r="AO270" i="10"/>
  <c r="AV270" i="10" s="1"/>
  <c r="AO238" i="10"/>
  <c r="AV238" i="10" s="1"/>
  <c r="AO206" i="10"/>
  <c r="AV206" i="10" s="1"/>
  <c r="AO174" i="10"/>
  <c r="AV174" i="10" s="1"/>
  <c r="AO269" i="10"/>
  <c r="AV269" i="10" s="1"/>
  <c r="AO291" i="10"/>
  <c r="AV291" i="10" s="1"/>
  <c r="AO231" i="10"/>
  <c r="AV231" i="10" s="1"/>
  <c r="AO171" i="10"/>
  <c r="AV171" i="10" s="1"/>
  <c r="AO201" i="10"/>
  <c r="AV201" i="10" s="1"/>
  <c r="AO310" i="10"/>
  <c r="AV310" i="10" s="1"/>
  <c r="AO278" i="10"/>
  <c r="AV278" i="10" s="1"/>
  <c r="AO246" i="10"/>
  <c r="AV246" i="10" s="1"/>
  <c r="AO214" i="10"/>
  <c r="AV214" i="10" s="1"/>
  <c r="AO182" i="10"/>
  <c r="AV182" i="10" s="1"/>
  <c r="AO155" i="10"/>
  <c r="AV155" i="10" s="1"/>
  <c r="AI308" i="11"/>
  <c r="AI212" i="11"/>
  <c r="AI175" i="11"/>
  <c r="AI278" i="11"/>
  <c r="AI227" i="11"/>
  <c r="F62" i="1"/>
  <c r="AI151" i="11"/>
  <c r="AI237" i="11"/>
  <c r="AI242" i="11"/>
  <c r="AI184" i="11"/>
  <c r="AI292" i="11"/>
  <c r="AI261" i="11"/>
  <c r="AI178" i="11"/>
  <c r="AI284" i="11"/>
  <c r="AI169" i="11"/>
  <c r="AI187" i="11"/>
  <c r="AI300" i="11"/>
  <c r="AI236" i="11"/>
  <c r="F18" i="7"/>
  <c r="C39" i="14" s="1"/>
  <c r="H18" i="7"/>
  <c r="C41" i="14" s="1"/>
  <c r="D18" i="7"/>
  <c r="B27" i="11" s="1"/>
  <c r="L135" i="11" s="1"/>
  <c r="O142" i="11" s="1"/>
  <c r="K5" i="3"/>
  <c r="M12" i="35"/>
  <c r="N12" i="35"/>
  <c r="J12" i="35"/>
  <c r="L12" i="35"/>
  <c r="K12" i="35"/>
  <c r="BI165" i="10"/>
  <c r="BP165" i="10" s="1"/>
  <c r="BI265" i="10"/>
  <c r="BP265" i="10" s="1"/>
  <c r="BI201" i="10"/>
  <c r="BP201" i="10" s="1"/>
  <c r="BI293" i="10"/>
  <c r="BP293" i="10" s="1"/>
  <c r="BI317" i="10"/>
  <c r="BP317" i="10" s="1"/>
  <c r="BI253" i="10"/>
  <c r="BP253" i="10" s="1"/>
  <c r="BI189" i="10"/>
  <c r="BP189" i="10" s="1"/>
  <c r="BI261" i="10"/>
  <c r="BP261" i="10" s="1"/>
  <c r="BI305" i="10"/>
  <c r="BP305" i="10" s="1"/>
  <c r="BI241" i="10"/>
  <c r="BP241" i="10" s="1"/>
  <c r="BI177" i="10"/>
  <c r="BP177" i="10" s="1"/>
  <c r="BI314" i="10"/>
  <c r="BP314" i="10" s="1"/>
  <c r="BI298" i="10"/>
  <c r="BP298" i="10" s="1"/>
  <c r="BI282" i="10"/>
  <c r="BP282" i="10" s="1"/>
  <c r="BI266" i="10"/>
  <c r="BP266" i="10" s="1"/>
  <c r="BI250" i="10"/>
  <c r="BP250" i="10" s="1"/>
  <c r="BI234" i="10"/>
  <c r="BP234" i="10" s="1"/>
  <c r="BI218" i="10"/>
  <c r="BP218" i="10" s="1"/>
  <c r="BI202" i="10"/>
  <c r="BP202" i="10" s="1"/>
  <c r="BI186" i="10"/>
  <c r="BP186" i="10" s="1"/>
  <c r="BI170" i="10"/>
  <c r="BP170" i="10" s="1"/>
  <c r="BI154" i="10"/>
  <c r="BP154" i="10" s="1"/>
  <c r="BI311" i="10"/>
  <c r="BP311" i="10" s="1"/>
  <c r="BI295" i="10"/>
  <c r="BP295" i="10" s="1"/>
  <c r="BI279" i="10"/>
  <c r="BP279" i="10" s="1"/>
  <c r="BI263" i="10"/>
  <c r="BP263" i="10" s="1"/>
  <c r="BI247" i="10"/>
  <c r="BP247" i="10" s="1"/>
  <c r="BI231" i="10"/>
  <c r="BP231" i="10" s="1"/>
  <c r="BI215" i="10"/>
  <c r="BP215" i="10" s="1"/>
  <c r="BI199" i="10"/>
  <c r="BP199" i="10" s="1"/>
  <c r="BI183" i="10"/>
  <c r="BP183" i="10" s="1"/>
  <c r="BI167" i="10"/>
  <c r="BP167" i="10" s="1"/>
  <c r="BI151" i="10"/>
  <c r="BP151" i="10" s="1"/>
  <c r="BI308" i="10"/>
  <c r="BP308" i="10" s="1"/>
  <c r="BI292" i="10"/>
  <c r="BP292" i="10" s="1"/>
  <c r="BI276" i="10"/>
  <c r="BP276" i="10" s="1"/>
  <c r="BI260" i="10"/>
  <c r="BP260" i="10" s="1"/>
  <c r="BI244" i="10"/>
  <c r="BP244" i="10" s="1"/>
  <c r="BI228" i="10"/>
  <c r="BP228" i="10" s="1"/>
  <c r="BI212" i="10"/>
  <c r="BP212" i="10" s="1"/>
  <c r="BI196" i="10"/>
  <c r="BP196" i="10" s="1"/>
  <c r="BI180" i="10"/>
  <c r="BP180" i="10" s="1"/>
  <c r="BI164" i="10"/>
  <c r="BP164" i="10" s="1"/>
  <c r="BI148" i="10"/>
  <c r="BP148" i="10" s="1"/>
  <c r="AO259" i="10"/>
  <c r="AV259" i="10" s="1"/>
  <c r="AO144" i="10"/>
  <c r="AV144" i="10" s="1"/>
  <c r="AO293" i="10"/>
  <c r="AV293" i="10" s="1"/>
  <c r="AO261" i="10"/>
  <c r="AV261" i="10" s="1"/>
  <c r="AO229" i="10"/>
  <c r="AV229" i="10" s="1"/>
  <c r="AO197" i="10"/>
  <c r="AV197" i="10" s="1"/>
  <c r="AO164" i="10"/>
  <c r="AV164" i="10" s="1"/>
  <c r="AO267" i="10"/>
  <c r="AV267" i="10" s="1"/>
  <c r="AO160" i="10"/>
  <c r="AV160" i="10" s="1"/>
  <c r="AO287" i="10"/>
  <c r="AV287" i="10" s="1"/>
  <c r="AO255" i="10"/>
  <c r="AV255" i="10" s="1"/>
  <c r="AO223" i="10"/>
  <c r="AV223" i="10" s="1"/>
  <c r="AO191" i="10"/>
  <c r="AV191" i="10" s="1"/>
  <c r="AO152" i="10"/>
  <c r="AV152" i="10" s="1"/>
  <c r="AO235" i="10"/>
  <c r="AV235" i="10" s="1"/>
  <c r="AO143" i="10"/>
  <c r="AV143" i="10" s="1"/>
  <c r="AO289" i="10"/>
  <c r="AV289" i="10" s="1"/>
  <c r="AO257" i="10"/>
  <c r="AV257" i="10" s="1"/>
  <c r="AO225" i="10"/>
  <c r="AV225" i="10" s="1"/>
  <c r="AO193" i="10"/>
  <c r="AV193" i="10" s="1"/>
  <c r="AO156" i="10"/>
  <c r="AV156" i="10" s="1"/>
  <c r="AO153" i="10"/>
  <c r="AV153" i="10" s="1"/>
  <c r="AO316" i="10"/>
  <c r="AV316" i="10" s="1"/>
  <c r="AO308" i="10"/>
  <c r="AV308" i="10" s="1"/>
  <c r="AO300" i="10"/>
  <c r="AV300" i="10" s="1"/>
  <c r="AO292" i="10"/>
  <c r="AV292" i="10" s="1"/>
  <c r="AO284" i="10"/>
  <c r="AV284" i="10" s="1"/>
  <c r="AO276" i="10"/>
  <c r="AV276" i="10" s="1"/>
  <c r="AO268" i="10"/>
  <c r="AV268" i="10" s="1"/>
  <c r="AO260" i="10"/>
  <c r="AV260" i="10" s="1"/>
  <c r="AO252" i="10"/>
  <c r="AV252" i="10" s="1"/>
  <c r="AO244" i="10"/>
  <c r="AV244" i="10" s="1"/>
  <c r="AO236" i="10"/>
  <c r="AV236" i="10" s="1"/>
  <c r="AO228" i="10"/>
  <c r="AV228" i="10" s="1"/>
  <c r="AO220" i="10"/>
  <c r="AV220" i="10" s="1"/>
  <c r="AO212" i="10"/>
  <c r="AV212" i="10" s="1"/>
  <c r="AO204" i="10"/>
  <c r="AV204" i="10" s="1"/>
  <c r="AO196" i="10"/>
  <c r="AV196" i="10" s="1"/>
  <c r="AO188" i="10"/>
  <c r="AV188" i="10" s="1"/>
  <c r="AO180" i="10"/>
  <c r="AV180" i="10" s="1"/>
  <c r="AO172" i="10"/>
  <c r="AV172" i="10" s="1"/>
  <c r="AO162" i="10"/>
  <c r="AV162" i="10" s="1"/>
  <c r="AO146" i="10"/>
  <c r="AV146" i="10" s="1"/>
  <c r="AO151" i="10"/>
  <c r="AV151" i="10" s="1"/>
  <c r="BI277" i="10"/>
  <c r="BP277" i="10" s="1"/>
  <c r="BI297" i="10"/>
  <c r="BP297" i="10" s="1"/>
  <c r="BI233" i="10"/>
  <c r="BP233" i="10" s="1"/>
  <c r="BI169" i="10"/>
  <c r="BP169" i="10" s="1"/>
  <c r="BI181" i="10"/>
  <c r="BP181" i="10" s="1"/>
  <c r="BI285" i="10"/>
  <c r="BP285" i="10" s="1"/>
  <c r="BI221" i="10"/>
  <c r="BP221" i="10" s="1"/>
  <c r="BI157" i="10"/>
  <c r="BP157" i="10" s="1"/>
  <c r="BI197" i="10"/>
  <c r="BP197" i="10" s="1"/>
  <c r="BI273" i="10"/>
  <c r="BP273" i="10" s="1"/>
  <c r="BI209" i="10"/>
  <c r="BP209" i="10" s="1"/>
  <c r="BI145" i="10"/>
  <c r="BP145" i="10" s="1"/>
  <c r="BI306" i="10"/>
  <c r="BP306" i="10" s="1"/>
  <c r="BI290" i="10"/>
  <c r="BP290" i="10" s="1"/>
  <c r="BI274" i="10"/>
  <c r="BP274" i="10" s="1"/>
  <c r="BI258" i="10"/>
  <c r="BP258" i="10" s="1"/>
  <c r="BI242" i="10"/>
  <c r="BP242" i="10" s="1"/>
  <c r="BI226" i="10"/>
  <c r="BP226" i="10" s="1"/>
  <c r="BI210" i="10"/>
  <c r="BP210" i="10" s="1"/>
  <c r="BI194" i="10"/>
  <c r="BP194" i="10" s="1"/>
  <c r="BI178" i="10"/>
  <c r="BP178" i="10" s="1"/>
  <c r="BI162" i="10"/>
  <c r="BP162" i="10" s="1"/>
  <c r="BI146" i="10"/>
  <c r="BP146" i="10" s="1"/>
  <c r="BI303" i="10"/>
  <c r="BP303" i="10" s="1"/>
  <c r="BI287" i="10"/>
  <c r="BP287" i="10" s="1"/>
  <c r="BI271" i="10"/>
  <c r="BP271" i="10" s="1"/>
  <c r="BI255" i="10"/>
  <c r="BP255" i="10" s="1"/>
  <c r="BI239" i="10"/>
  <c r="BP239" i="10" s="1"/>
  <c r="BI223" i="10"/>
  <c r="BP223" i="10" s="1"/>
  <c r="BI207" i="10"/>
  <c r="BP207" i="10" s="1"/>
  <c r="BI191" i="10"/>
  <c r="BP191" i="10" s="1"/>
  <c r="BI175" i="10"/>
  <c r="BP175" i="10" s="1"/>
  <c r="BI159" i="10"/>
  <c r="BP159" i="10" s="1"/>
  <c r="BI316" i="10"/>
  <c r="BP316" i="10" s="1"/>
  <c r="BI300" i="10"/>
  <c r="BP300" i="10" s="1"/>
  <c r="BI284" i="10"/>
  <c r="BP284" i="10" s="1"/>
  <c r="BI268" i="10"/>
  <c r="BP268" i="10" s="1"/>
  <c r="BI252" i="10"/>
  <c r="BP252" i="10" s="1"/>
  <c r="BI236" i="10"/>
  <c r="BP236" i="10" s="1"/>
  <c r="BI220" i="10"/>
  <c r="BP220" i="10" s="1"/>
  <c r="BI204" i="10"/>
  <c r="BP204" i="10" s="1"/>
  <c r="BI188" i="10"/>
  <c r="BP188" i="10" s="1"/>
  <c r="BI172" i="10"/>
  <c r="BP172" i="10" s="1"/>
  <c r="BI156" i="10"/>
  <c r="BP156" i="10" s="1"/>
  <c r="AO307" i="10"/>
  <c r="AV307" i="10" s="1"/>
  <c r="AO203" i="10"/>
  <c r="AV203" i="10" s="1"/>
  <c r="AO309" i="10"/>
  <c r="AV309" i="10" s="1"/>
  <c r="AO277" i="10"/>
  <c r="AV277" i="10" s="1"/>
  <c r="AO245" i="10"/>
  <c r="AV245" i="10" s="1"/>
  <c r="AO213" i="10"/>
  <c r="AV213" i="10" s="1"/>
  <c r="AO181" i="10"/>
  <c r="AV181" i="10" s="1"/>
  <c r="AO315" i="10"/>
  <c r="AV315" i="10" s="1"/>
  <c r="AO211" i="10"/>
  <c r="AV211" i="10" s="1"/>
  <c r="AO303" i="10"/>
  <c r="AV303" i="10" s="1"/>
  <c r="AO271" i="10"/>
  <c r="AV271" i="10" s="1"/>
  <c r="AO239" i="10"/>
  <c r="AV239" i="10" s="1"/>
  <c r="AO207" i="10"/>
  <c r="AV207" i="10" s="1"/>
  <c r="AO175" i="10"/>
  <c r="AV175" i="10" s="1"/>
  <c r="AO275" i="10"/>
  <c r="AV275" i="10" s="1"/>
  <c r="AO195" i="10"/>
  <c r="AV195" i="10" s="1"/>
  <c r="AO305" i="10"/>
  <c r="AV305" i="10" s="1"/>
  <c r="AO273" i="10"/>
  <c r="AV273" i="10" s="1"/>
  <c r="AO241" i="10"/>
  <c r="AV241" i="10" s="1"/>
  <c r="AO209" i="10"/>
  <c r="AV209" i="10" s="1"/>
  <c r="AO177" i="10"/>
  <c r="AV177" i="10" s="1"/>
  <c r="AO161" i="10"/>
  <c r="AV161" i="10" s="1"/>
  <c r="AO145" i="10"/>
  <c r="AV145" i="10" s="1"/>
  <c r="AO312" i="10"/>
  <c r="AV312" i="10" s="1"/>
  <c r="AO304" i="10"/>
  <c r="AV304" i="10" s="1"/>
  <c r="AO296" i="10"/>
  <c r="AV296" i="10" s="1"/>
  <c r="AO288" i="10"/>
  <c r="AV288" i="10" s="1"/>
  <c r="AO280" i="10"/>
  <c r="AV280" i="10" s="1"/>
  <c r="AO272" i="10"/>
  <c r="AV272" i="10" s="1"/>
  <c r="AO264" i="10"/>
  <c r="AV264" i="10" s="1"/>
  <c r="AO256" i="10"/>
  <c r="AV256" i="10" s="1"/>
  <c r="AO248" i="10"/>
  <c r="AV248" i="10" s="1"/>
  <c r="AO240" i="10"/>
  <c r="AV240" i="10" s="1"/>
  <c r="AO232" i="10"/>
  <c r="AV232" i="10" s="1"/>
  <c r="AO224" i="10"/>
  <c r="AV224" i="10" s="1"/>
  <c r="AO216" i="10"/>
  <c r="AV216" i="10" s="1"/>
  <c r="AO208" i="10"/>
  <c r="AV208" i="10" s="1"/>
  <c r="AO200" i="10"/>
  <c r="AV200" i="10" s="1"/>
  <c r="AO192" i="10"/>
  <c r="AV192" i="10" s="1"/>
  <c r="AO184" i="10"/>
  <c r="AV184" i="10" s="1"/>
  <c r="AO176" i="10"/>
  <c r="AV176" i="10" s="1"/>
  <c r="AO168" i="10"/>
  <c r="AV168" i="10" s="1"/>
  <c r="AO154" i="10"/>
  <c r="AV154" i="10" s="1"/>
  <c r="AO159" i="10"/>
  <c r="AV159" i="10" s="1"/>
  <c r="BI313" i="10"/>
  <c r="BP313" i="10" s="1"/>
  <c r="BI249" i="10"/>
  <c r="BP249" i="10" s="1"/>
  <c r="BI185" i="10"/>
  <c r="BP185" i="10" s="1"/>
  <c r="BI213" i="10"/>
  <c r="BP213" i="10" s="1"/>
  <c r="BI301" i="10"/>
  <c r="BP301" i="10" s="1"/>
  <c r="BI237" i="10"/>
  <c r="BP237" i="10" s="1"/>
  <c r="BI173" i="10"/>
  <c r="BP173" i="10" s="1"/>
  <c r="BI245" i="10"/>
  <c r="BP245" i="10" s="1"/>
  <c r="BI289" i="10"/>
  <c r="BP289" i="10" s="1"/>
  <c r="BI225" i="10"/>
  <c r="BP225" i="10" s="1"/>
  <c r="BI161" i="10"/>
  <c r="BP161" i="10" s="1"/>
  <c r="BI310" i="10"/>
  <c r="BP310" i="10" s="1"/>
  <c r="BI294" i="10"/>
  <c r="BP294" i="10" s="1"/>
  <c r="BI278" i="10"/>
  <c r="BP278" i="10" s="1"/>
  <c r="BI262" i="10"/>
  <c r="BP262" i="10" s="1"/>
  <c r="BI246" i="10"/>
  <c r="BP246" i="10" s="1"/>
  <c r="BI230" i="10"/>
  <c r="BP230" i="10" s="1"/>
  <c r="BI214" i="10"/>
  <c r="BP214" i="10" s="1"/>
  <c r="BI198" i="10"/>
  <c r="BP198" i="10" s="1"/>
  <c r="BI182" i="10"/>
  <c r="BP182" i="10" s="1"/>
  <c r="BI166" i="10"/>
  <c r="BP166" i="10" s="1"/>
  <c r="BI150" i="10"/>
  <c r="BP150" i="10" s="1"/>
  <c r="BI307" i="10"/>
  <c r="BP307" i="10" s="1"/>
  <c r="BI291" i="10"/>
  <c r="BP291" i="10" s="1"/>
  <c r="BI275" i="10"/>
  <c r="BP275" i="10" s="1"/>
  <c r="BI259" i="10"/>
  <c r="BP259" i="10" s="1"/>
  <c r="BI243" i="10"/>
  <c r="BP243" i="10" s="1"/>
  <c r="BI227" i="10"/>
  <c r="BP227" i="10" s="1"/>
  <c r="BI211" i="10"/>
  <c r="BP211" i="10" s="1"/>
  <c r="BI195" i="10"/>
  <c r="BP195" i="10" s="1"/>
  <c r="BI179" i="10"/>
  <c r="BP179" i="10" s="1"/>
  <c r="BI163" i="10"/>
  <c r="BP163" i="10" s="1"/>
  <c r="BI147" i="10"/>
  <c r="BP147" i="10" s="1"/>
  <c r="BI304" i="10"/>
  <c r="BP304" i="10" s="1"/>
  <c r="BI288" i="10"/>
  <c r="BP288" i="10" s="1"/>
  <c r="BI272" i="10"/>
  <c r="BP272" i="10" s="1"/>
  <c r="BI256" i="10"/>
  <c r="BP256" i="10" s="1"/>
  <c r="BI240" i="10"/>
  <c r="BP240" i="10" s="1"/>
  <c r="BI224" i="10"/>
  <c r="BP224" i="10" s="1"/>
  <c r="BI208" i="10"/>
  <c r="BP208" i="10" s="1"/>
  <c r="BI192" i="10"/>
  <c r="BP192" i="10" s="1"/>
  <c r="BI176" i="10"/>
  <c r="BP176" i="10" s="1"/>
  <c r="BI160" i="10"/>
  <c r="BP160" i="10" s="1"/>
  <c r="AO227" i="10"/>
  <c r="AV227" i="10" s="1"/>
  <c r="AO317" i="10"/>
  <c r="AV317" i="10" s="1"/>
  <c r="AO285" i="10"/>
  <c r="AV285" i="10" s="1"/>
  <c r="AO253" i="10"/>
  <c r="AV253" i="10" s="1"/>
  <c r="AO221" i="10"/>
  <c r="AV221" i="10" s="1"/>
  <c r="AO189" i="10"/>
  <c r="AV189" i="10" s="1"/>
  <c r="AO148" i="10"/>
  <c r="AV148" i="10" s="1"/>
  <c r="AO243" i="10"/>
  <c r="AV243" i="10" s="1"/>
  <c r="AO311" i="10"/>
  <c r="AV311" i="10" s="1"/>
  <c r="AO279" i="10"/>
  <c r="AV279" i="10" s="1"/>
  <c r="AO247" i="10"/>
  <c r="AV247" i="10" s="1"/>
  <c r="AO215" i="10"/>
  <c r="AV215" i="10" s="1"/>
  <c r="AO183" i="10"/>
  <c r="AV183" i="10" s="1"/>
  <c r="AO299" i="10"/>
  <c r="AV299" i="10" s="1"/>
  <c r="AO219" i="10"/>
  <c r="AV219" i="10" s="1"/>
  <c r="AO313" i="10"/>
  <c r="AV313" i="10" s="1"/>
  <c r="AO281" i="10"/>
  <c r="AV281" i="10" s="1"/>
  <c r="AO249" i="10"/>
  <c r="AV249" i="10" s="1"/>
  <c r="AO217" i="10"/>
  <c r="AV217" i="10" s="1"/>
  <c r="AO185" i="10"/>
  <c r="AV185" i="10" s="1"/>
  <c r="AO165" i="10"/>
  <c r="AV165" i="10" s="1"/>
  <c r="AO149" i="10"/>
  <c r="AV149" i="10" s="1"/>
  <c r="AO314" i="10"/>
  <c r="AV314" i="10" s="1"/>
  <c r="AO306" i="10"/>
  <c r="AV306" i="10" s="1"/>
  <c r="AO298" i="10"/>
  <c r="AV298" i="10" s="1"/>
  <c r="AO290" i="10"/>
  <c r="AV290" i="10" s="1"/>
  <c r="AO282" i="10"/>
  <c r="AV282" i="10" s="1"/>
  <c r="AO274" i="10"/>
  <c r="AV274" i="10" s="1"/>
  <c r="AO266" i="10"/>
  <c r="AV266" i="10" s="1"/>
  <c r="AO258" i="10"/>
  <c r="AV258" i="10" s="1"/>
  <c r="AO250" i="10"/>
  <c r="AV250" i="10" s="1"/>
  <c r="AO242" i="10"/>
  <c r="AV242" i="10" s="1"/>
  <c r="AO234" i="10"/>
  <c r="AV234" i="10" s="1"/>
  <c r="AO226" i="10"/>
  <c r="AV226" i="10" s="1"/>
  <c r="AO218" i="10"/>
  <c r="AV218" i="10" s="1"/>
  <c r="AO210" i="10"/>
  <c r="AV210" i="10" s="1"/>
  <c r="AO202" i="10"/>
  <c r="AV202" i="10" s="1"/>
  <c r="AO194" i="10"/>
  <c r="AV194" i="10" s="1"/>
  <c r="AO186" i="10"/>
  <c r="AV186" i="10" s="1"/>
  <c r="AO178" i="10"/>
  <c r="AV178" i="10" s="1"/>
  <c r="AO170" i="10"/>
  <c r="AV170" i="10" s="1"/>
  <c r="AO158" i="10"/>
  <c r="AV158" i="10" s="1"/>
  <c r="AO163" i="10"/>
  <c r="AV163" i="10" s="1"/>
  <c r="G309" i="3"/>
  <c r="G310" i="3" s="1"/>
  <c r="AI241" i="11"/>
  <c r="AI222" i="11"/>
  <c r="AI263" i="11"/>
  <c r="AI219" i="11"/>
  <c r="AI148" i="11"/>
  <c r="AI251" i="11"/>
  <c r="AI232" i="11"/>
  <c r="AI288" i="11"/>
  <c r="AI168" i="11"/>
  <c r="AI234" i="11"/>
  <c r="AI190" i="11"/>
  <c r="AI143" i="11"/>
  <c r="AI298" i="11"/>
  <c r="AI229" i="11"/>
  <c r="AI180" i="11"/>
  <c r="AI312" i="11"/>
  <c r="AI233" i="11"/>
  <c r="AI216" i="11"/>
  <c r="AI255" i="11"/>
  <c r="AI157" i="11"/>
  <c r="AI202" i="11"/>
  <c r="AI170" i="11"/>
  <c r="AI223" i="11"/>
  <c r="AI290" i="11"/>
  <c r="AI206" i="11"/>
  <c r="AI268" i="11"/>
  <c r="AI158" i="11"/>
  <c r="AI213" i="11"/>
  <c r="AI181" i="11"/>
  <c r="AI313" i="11"/>
  <c r="AI294" i="11"/>
  <c r="AI280" i="11"/>
  <c r="AI167" i="11"/>
  <c r="AI217" i="11"/>
  <c r="AI283" i="11"/>
  <c r="AI201" i="11"/>
  <c r="AI262" i="11"/>
  <c r="AI205" i="11"/>
  <c r="AI204" i="11"/>
  <c r="AI149" i="11"/>
  <c r="AI194" i="11"/>
  <c r="AI317" i="11"/>
  <c r="AI287" i="11"/>
  <c r="AI162" i="11"/>
  <c r="AI207" i="11"/>
  <c r="AI273" i="11"/>
  <c r="AI191" i="11"/>
  <c r="AI252" i="11"/>
  <c r="AI314" i="11"/>
  <c r="AI146" i="11"/>
  <c r="AI188" i="11"/>
  <c r="AI295" i="11"/>
  <c r="AI274" i="11"/>
  <c r="AI253" i="11"/>
  <c r="AI247" i="11"/>
  <c r="AI156" i="11"/>
  <c r="AI200" i="11"/>
  <c r="AI267" i="11"/>
  <c r="AI185" i="11"/>
  <c r="AI246" i="11"/>
  <c r="AI307" i="11"/>
  <c r="AI318" i="11"/>
  <c r="AI297" i="11"/>
  <c r="AI176" i="11"/>
  <c r="AI286" i="11"/>
  <c r="AI256" i="11"/>
  <c r="AI147" i="11"/>
  <c r="AI155" i="11"/>
  <c r="AI166" i="11"/>
  <c r="AI174" i="11"/>
  <c r="AI182" i="11"/>
  <c r="AI198" i="11"/>
  <c r="AI215" i="11"/>
  <c r="AI231" i="11"/>
  <c r="AI250" i="11"/>
  <c r="AI265" i="11"/>
  <c r="AI281" i="11"/>
  <c r="AI299" i="11"/>
  <c r="AI315" i="11"/>
  <c r="AI183" i="11"/>
  <c r="AI199" i="11"/>
  <c r="AI214" i="11"/>
  <c r="AI230" i="11"/>
  <c r="AI244" i="11"/>
  <c r="AI260" i="11"/>
  <c r="AI276" i="11"/>
  <c r="AI291" i="11"/>
  <c r="AI306" i="11"/>
  <c r="AI154" i="11"/>
  <c r="AI165" i="11"/>
  <c r="AI173" i="11"/>
  <c r="AI196" i="11"/>
  <c r="AI221" i="11"/>
  <c r="AI248" i="11"/>
  <c r="AI279" i="11"/>
  <c r="AI311" i="11"/>
  <c r="AI197" i="11"/>
  <c r="AI228" i="11"/>
  <c r="AI258" i="11"/>
  <c r="AI289" i="11"/>
  <c r="AI145" i="11"/>
  <c r="AI203" i="11"/>
  <c r="AI235" i="11"/>
  <c r="AI269" i="11"/>
  <c r="AI310" i="11"/>
  <c r="AI195" i="11"/>
  <c r="AI226" i="11"/>
  <c r="AI264" i="11"/>
  <c r="AI296" i="11"/>
  <c r="AI152" i="11"/>
  <c r="AI163" i="11"/>
  <c r="AI171" i="11"/>
  <c r="AI179" i="11"/>
  <c r="AI192" i="11"/>
  <c r="AI209" i="11"/>
  <c r="AI225" i="11"/>
  <c r="AI243" i="11"/>
  <c r="AI259" i="11"/>
  <c r="AI275" i="11"/>
  <c r="AI293" i="11"/>
  <c r="AI309" i="11"/>
  <c r="AI144" i="11"/>
  <c r="AI193" i="11"/>
  <c r="AI208" i="11"/>
  <c r="AI224" i="11"/>
  <c r="AI239" i="11"/>
  <c r="AI254" i="11"/>
  <c r="AI270" i="11"/>
  <c r="AI285" i="11"/>
  <c r="AI303" i="11"/>
  <c r="AI150" i="11"/>
  <c r="AI238" i="11"/>
  <c r="AI271" i="11"/>
  <c r="AI302" i="11"/>
  <c r="AI189" i="11"/>
  <c r="AI220" i="11"/>
  <c r="AI249" i="11"/>
  <c r="AI282" i="11"/>
  <c r="AI305" i="11"/>
  <c r="AI153" i="11"/>
  <c r="AI164" i="11"/>
  <c r="AI172" i="11"/>
  <c r="AI186" i="11"/>
  <c r="AI211" i="11"/>
  <c r="AI245" i="11"/>
  <c r="AI277" i="11"/>
  <c r="AI301" i="11"/>
  <c r="AI218" i="11"/>
  <c r="AI240" i="11"/>
  <c r="AI272" i="11"/>
  <c r="AI304" i="11"/>
  <c r="AI160" i="11"/>
  <c r="AI159" i="11"/>
  <c r="BF305" i="13"/>
  <c r="BF273" i="13"/>
  <c r="BF245" i="13"/>
  <c r="BF209" i="13"/>
  <c r="BF181" i="13"/>
  <c r="BF153" i="13"/>
  <c r="BF302" i="13"/>
  <c r="BF270" i="13"/>
  <c r="BF238" i="13"/>
  <c r="BF206" i="13"/>
  <c r="BF174" i="13"/>
  <c r="BF315" i="13"/>
  <c r="BF299" i="13"/>
  <c r="BF283" i="13"/>
  <c r="BF267" i="13"/>
  <c r="BF251" i="13"/>
  <c r="BF235" i="13"/>
  <c r="BF219" i="13"/>
  <c r="BF203" i="13"/>
  <c r="BF187" i="13"/>
  <c r="BF171" i="13"/>
  <c r="BF155" i="13"/>
  <c r="BF309" i="13"/>
  <c r="BF277" i="13"/>
  <c r="BF241" i="13"/>
  <c r="BF213" i="13"/>
  <c r="BF177" i="13"/>
  <c r="BF314" i="13"/>
  <c r="BF282" i="13"/>
  <c r="BF250" i="13"/>
  <c r="BF218" i="13"/>
  <c r="BF186" i="13"/>
  <c r="BF154" i="13"/>
  <c r="BF312" i="13"/>
  <c r="BF296" i="13"/>
  <c r="BF280" i="13"/>
  <c r="BF264" i="13"/>
  <c r="BF248" i="13"/>
  <c r="BF232" i="13"/>
  <c r="BF216" i="13"/>
  <c r="BF200" i="13"/>
  <c r="BF184" i="13"/>
  <c r="BF168" i="13"/>
  <c r="BF152" i="13"/>
  <c r="B62" i="12"/>
  <c r="AF138" i="12" s="1"/>
  <c r="AF134" i="12"/>
  <c r="AM273" i="12" s="1"/>
  <c r="AZ137" i="10"/>
  <c r="B91" i="9"/>
  <c r="AZ135" i="9" s="1"/>
  <c r="BC142" i="9" s="1"/>
  <c r="B91" i="11"/>
  <c r="AZ135" i="11" s="1"/>
  <c r="BC142" i="11" s="1"/>
  <c r="BC307" i="11" s="1"/>
  <c r="B91" i="10"/>
  <c r="AZ135" i="10" s="1"/>
  <c r="BC142" i="10" s="1"/>
  <c r="B91" i="13"/>
  <c r="AZ135" i="13" s="1"/>
  <c r="BC142" i="13" s="1"/>
  <c r="B91" i="12"/>
  <c r="AZ135" i="12" s="1"/>
  <c r="BC142" i="12" s="1"/>
  <c r="AZ134" i="12"/>
  <c r="AZ139" i="12" s="1"/>
  <c r="B94" i="12"/>
  <c r="AZ138" i="12" s="1"/>
  <c r="AJ142" i="13"/>
  <c r="AH142" i="13"/>
  <c r="AI143" i="13"/>
  <c r="AE169" i="10"/>
  <c r="AL169" i="10" s="1"/>
  <c r="AE173" i="10"/>
  <c r="AL173" i="10" s="1"/>
  <c r="AE177" i="10"/>
  <c r="AL177" i="10" s="1"/>
  <c r="AE181" i="10"/>
  <c r="AL181" i="10" s="1"/>
  <c r="AE185" i="10"/>
  <c r="AL185" i="10" s="1"/>
  <c r="AE189" i="10"/>
  <c r="AL189" i="10" s="1"/>
  <c r="AE193" i="10"/>
  <c r="AL193" i="10" s="1"/>
  <c r="AE197" i="10"/>
  <c r="AL197" i="10" s="1"/>
  <c r="AE201" i="10"/>
  <c r="AL201" i="10" s="1"/>
  <c r="AE205" i="10"/>
  <c r="AL205" i="10" s="1"/>
  <c r="AE317" i="10"/>
  <c r="AL317" i="10" s="1"/>
  <c r="AE145" i="10"/>
  <c r="AL145" i="10" s="1"/>
  <c r="AE147" i="10"/>
  <c r="AL147" i="10" s="1"/>
  <c r="AE149" i="10"/>
  <c r="AL149" i="10" s="1"/>
  <c r="AE151" i="10"/>
  <c r="AL151" i="10" s="1"/>
  <c r="AE153" i="10"/>
  <c r="AL153" i="10" s="1"/>
  <c r="AE155" i="10"/>
  <c r="AL155" i="10" s="1"/>
  <c r="AE157" i="10"/>
  <c r="AL157" i="10" s="1"/>
  <c r="AE159" i="10"/>
  <c r="AL159" i="10" s="1"/>
  <c r="AE161" i="10"/>
  <c r="AL161" i="10" s="1"/>
  <c r="AE163" i="10"/>
  <c r="AL163" i="10" s="1"/>
  <c r="AE165" i="10"/>
  <c r="AL165" i="10" s="1"/>
  <c r="AE168" i="10"/>
  <c r="AL168" i="10" s="1"/>
  <c r="AE172" i="10"/>
  <c r="AL172" i="10" s="1"/>
  <c r="AE176" i="10"/>
  <c r="AL176" i="10" s="1"/>
  <c r="AE180" i="10"/>
  <c r="AL180" i="10" s="1"/>
  <c r="AE184" i="10"/>
  <c r="AL184" i="10" s="1"/>
  <c r="AE188" i="10"/>
  <c r="AL188" i="10" s="1"/>
  <c r="AE192" i="10"/>
  <c r="AL192" i="10" s="1"/>
  <c r="AE196" i="10"/>
  <c r="AL196" i="10" s="1"/>
  <c r="AE200" i="10"/>
  <c r="AL200" i="10" s="1"/>
  <c r="AE204" i="10"/>
  <c r="AL204" i="10" s="1"/>
  <c r="AE208" i="10"/>
  <c r="AL208" i="10" s="1"/>
  <c r="AE210" i="10"/>
  <c r="AL210" i="10" s="1"/>
  <c r="AE212" i="10"/>
  <c r="AL212" i="10" s="1"/>
  <c r="AE214" i="10"/>
  <c r="AL214" i="10" s="1"/>
  <c r="AE216" i="10"/>
  <c r="AL216" i="10" s="1"/>
  <c r="AE218" i="10"/>
  <c r="AL218" i="10" s="1"/>
  <c r="AE220" i="10"/>
  <c r="AL220" i="10" s="1"/>
  <c r="AE222" i="10"/>
  <c r="AL222" i="10" s="1"/>
  <c r="AE224" i="10"/>
  <c r="AL224" i="10" s="1"/>
  <c r="AE226" i="10"/>
  <c r="AL226" i="10" s="1"/>
  <c r="AE228" i="10"/>
  <c r="AL228" i="10" s="1"/>
  <c r="AE230" i="10"/>
  <c r="AL230" i="10" s="1"/>
  <c r="AE232" i="10"/>
  <c r="AL232" i="10" s="1"/>
  <c r="AE234" i="10"/>
  <c r="AL234" i="10" s="1"/>
  <c r="AE236" i="10"/>
  <c r="AL236" i="10" s="1"/>
  <c r="AE238" i="10"/>
  <c r="AL238" i="10" s="1"/>
  <c r="AE240" i="10"/>
  <c r="AL240" i="10" s="1"/>
  <c r="AE242" i="10"/>
  <c r="AL242" i="10" s="1"/>
  <c r="AE244" i="10"/>
  <c r="AL244" i="10" s="1"/>
  <c r="AE246" i="10"/>
  <c r="AL246" i="10" s="1"/>
  <c r="AE248" i="10"/>
  <c r="AL248" i="10" s="1"/>
  <c r="AE250" i="10"/>
  <c r="AL250" i="10" s="1"/>
  <c r="AE252" i="10"/>
  <c r="AL252" i="10" s="1"/>
  <c r="AE254" i="10"/>
  <c r="AL254" i="10" s="1"/>
  <c r="AE256" i="10"/>
  <c r="AL256" i="10" s="1"/>
  <c r="AE258" i="10"/>
  <c r="AL258" i="10" s="1"/>
  <c r="AE260" i="10"/>
  <c r="AL260" i="10" s="1"/>
  <c r="AE262" i="10"/>
  <c r="AL262" i="10" s="1"/>
  <c r="AE264" i="10"/>
  <c r="AL264" i="10" s="1"/>
  <c r="AE266" i="10"/>
  <c r="AL266" i="10" s="1"/>
  <c r="AE268" i="10"/>
  <c r="AL268" i="10" s="1"/>
  <c r="AE270" i="10"/>
  <c r="AL270" i="10" s="1"/>
  <c r="AE272" i="10"/>
  <c r="AL272" i="10" s="1"/>
  <c r="AE274" i="10"/>
  <c r="AL274" i="10" s="1"/>
  <c r="AE276" i="10"/>
  <c r="AL276" i="10" s="1"/>
  <c r="AE278" i="10"/>
  <c r="AL278" i="10" s="1"/>
  <c r="AE280" i="10"/>
  <c r="AL280" i="10" s="1"/>
  <c r="AE282" i="10"/>
  <c r="AL282" i="10" s="1"/>
  <c r="AE284" i="10"/>
  <c r="AL284" i="10" s="1"/>
  <c r="AE286" i="10"/>
  <c r="AL286" i="10" s="1"/>
  <c r="AE288" i="10"/>
  <c r="AL288" i="10" s="1"/>
  <c r="AE290" i="10"/>
  <c r="AL290" i="10" s="1"/>
  <c r="AE292" i="10"/>
  <c r="AL292" i="10" s="1"/>
  <c r="AE294" i="10"/>
  <c r="AL294" i="10" s="1"/>
  <c r="AE296" i="10"/>
  <c r="AL296" i="10" s="1"/>
  <c r="AE298" i="10"/>
  <c r="AL298" i="10" s="1"/>
  <c r="AE300" i="10"/>
  <c r="AL300" i="10" s="1"/>
  <c r="AE302" i="10"/>
  <c r="AL302" i="10" s="1"/>
  <c r="AE304" i="10"/>
  <c r="AL304" i="10" s="1"/>
  <c r="AE306" i="10"/>
  <c r="AL306" i="10" s="1"/>
  <c r="AE308" i="10"/>
  <c r="AL308" i="10" s="1"/>
  <c r="AE310" i="10"/>
  <c r="AL310" i="10" s="1"/>
  <c r="AE312" i="10"/>
  <c r="AL312" i="10" s="1"/>
  <c r="AE314" i="10"/>
  <c r="AL314" i="10" s="1"/>
  <c r="AE318" i="10"/>
  <c r="AL318" i="10" s="1"/>
  <c r="AE167" i="10"/>
  <c r="AL167" i="10" s="1"/>
  <c r="AE171" i="10"/>
  <c r="AL171" i="10" s="1"/>
  <c r="AE175" i="10"/>
  <c r="AL175" i="10" s="1"/>
  <c r="AE179" i="10"/>
  <c r="AL179" i="10" s="1"/>
  <c r="AE183" i="10"/>
  <c r="AL183" i="10" s="1"/>
  <c r="AE187" i="10"/>
  <c r="AL187" i="10" s="1"/>
  <c r="AE191" i="10"/>
  <c r="AL191" i="10" s="1"/>
  <c r="AE195" i="10"/>
  <c r="AL195" i="10" s="1"/>
  <c r="AE199" i="10"/>
  <c r="AL199" i="10" s="1"/>
  <c r="AE203" i="10"/>
  <c r="AL203" i="10" s="1"/>
  <c r="AE207" i="10"/>
  <c r="AL207" i="10" s="1"/>
  <c r="AE315" i="10"/>
  <c r="AL315" i="10" s="1"/>
  <c r="AE143" i="10"/>
  <c r="AL143" i="10" s="1"/>
  <c r="AE146" i="10"/>
  <c r="AL146" i="10" s="1"/>
  <c r="AE154" i="10"/>
  <c r="AL154" i="10" s="1"/>
  <c r="AE162" i="10"/>
  <c r="AL162" i="10" s="1"/>
  <c r="AE174" i="10"/>
  <c r="AL174" i="10" s="1"/>
  <c r="AE190" i="10"/>
  <c r="AL190" i="10" s="1"/>
  <c r="AE206" i="10"/>
  <c r="AL206" i="10" s="1"/>
  <c r="AE215" i="10"/>
  <c r="AL215" i="10" s="1"/>
  <c r="AE223" i="10"/>
  <c r="AL223" i="10" s="1"/>
  <c r="AE231" i="10"/>
  <c r="AL231" i="10" s="1"/>
  <c r="AE239" i="10"/>
  <c r="AL239" i="10" s="1"/>
  <c r="AE247" i="10"/>
  <c r="AL247" i="10" s="1"/>
  <c r="AE255" i="10"/>
  <c r="AL255" i="10" s="1"/>
  <c r="AE263" i="10"/>
  <c r="AL263" i="10" s="1"/>
  <c r="AE271" i="10"/>
  <c r="AL271" i="10" s="1"/>
  <c r="AE279" i="10"/>
  <c r="AL279" i="10" s="1"/>
  <c r="AE287" i="10"/>
  <c r="AL287" i="10" s="1"/>
  <c r="AE295" i="10"/>
  <c r="AL295" i="10" s="1"/>
  <c r="AE303" i="10"/>
  <c r="AL303" i="10" s="1"/>
  <c r="AE311" i="10"/>
  <c r="AL311" i="10" s="1"/>
  <c r="AE148" i="10"/>
  <c r="AL148" i="10" s="1"/>
  <c r="AE178" i="10"/>
  <c r="AL178" i="10" s="1"/>
  <c r="AE209" i="10"/>
  <c r="AL209" i="10" s="1"/>
  <c r="AE225" i="10"/>
  <c r="AL225" i="10" s="1"/>
  <c r="AE249" i="10"/>
  <c r="AL249" i="10" s="1"/>
  <c r="AE273" i="10"/>
  <c r="AL273" i="10" s="1"/>
  <c r="AE297" i="10"/>
  <c r="AL297" i="10" s="1"/>
  <c r="AE144" i="10"/>
  <c r="AL144" i="10" s="1"/>
  <c r="AE152" i="10"/>
  <c r="AL152" i="10" s="1"/>
  <c r="AE160" i="10"/>
  <c r="AL160" i="10" s="1"/>
  <c r="AE170" i="10"/>
  <c r="AL170" i="10" s="1"/>
  <c r="AE186" i="10"/>
  <c r="AL186" i="10" s="1"/>
  <c r="AE202" i="10"/>
  <c r="AL202" i="10" s="1"/>
  <c r="AE213" i="10"/>
  <c r="AL213" i="10" s="1"/>
  <c r="AE221" i="10"/>
  <c r="AL221" i="10" s="1"/>
  <c r="AE229" i="10"/>
  <c r="AL229" i="10" s="1"/>
  <c r="AE237" i="10"/>
  <c r="AL237" i="10" s="1"/>
  <c r="AE245" i="10"/>
  <c r="AL245" i="10" s="1"/>
  <c r="AE253" i="10"/>
  <c r="AL253" i="10" s="1"/>
  <c r="AE261" i="10"/>
  <c r="AL261" i="10" s="1"/>
  <c r="AE269" i="10"/>
  <c r="AL269" i="10" s="1"/>
  <c r="AE277" i="10"/>
  <c r="AL277" i="10" s="1"/>
  <c r="AE285" i="10"/>
  <c r="AL285" i="10" s="1"/>
  <c r="AE293" i="10"/>
  <c r="AL293" i="10" s="1"/>
  <c r="AE301" i="10"/>
  <c r="AL301" i="10" s="1"/>
  <c r="AE309" i="10"/>
  <c r="AL309" i="10" s="1"/>
  <c r="AE316" i="10"/>
  <c r="AL316" i="10" s="1"/>
  <c r="AE164" i="10"/>
  <c r="AL164" i="10" s="1"/>
  <c r="AE217" i="10"/>
  <c r="AL217" i="10" s="1"/>
  <c r="AE241" i="10"/>
  <c r="AL241" i="10" s="1"/>
  <c r="AE265" i="10"/>
  <c r="AL265" i="10" s="1"/>
  <c r="AE289" i="10"/>
  <c r="AL289" i="10" s="1"/>
  <c r="AE305" i="10"/>
  <c r="AL305" i="10" s="1"/>
  <c r="AE150" i="10"/>
  <c r="AL150" i="10" s="1"/>
  <c r="AE158" i="10"/>
  <c r="AL158" i="10" s="1"/>
  <c r="AE166" i="10"/>
  <c r="AL166" i="10" s="1"/>
  <c r="AE182" i="10"/>
  <c r="AL182" i="10" s="1"/>
  <c r="AE198" i="10"/>
  <c r="AL198" i="10" s="1"/>
  <c r="AE211" i="10"/>
  <c r="AL211" i="10" s="1"/>
  <c r="AE219" i="10"/>
  <c r="AL219" i="10" s="1"/>
  <c r="AE227" i="10"/>
  <c r="AL227" i="10" s="1"/>
  <c r="AE235" i="10"/>
  <c r="AL235" i="10" s="1"/>
  <c r="AE243" i="10"/>
  <c r="AL243" i="10" s="1"/>
  <c r="AE251" i="10"/>
  <c r="AL251" i="10" s="1"/>
  <c r="AE259" i="10"/>
  <c r="AL259" i="10" s="1"/>
  <c r="AE267" i="10"/>
  <c r="AL267" i="10" s="1"/>
  <c r="AE275" i="10"/>
  <c r="AL275" i="10" s="1"/>
  <c r="AE283" i="10"/>
  <c r="AL283" i="10" s="1"/>
  <c r="AE291" i="10"/>
  <c r="AL291" i="10" s="1"/>
  <c r="AE299" i="10"/>
  <c r="AL299" i="10" s="1"/>
  <c r="AE307" i="10"/>
  <c r="AL307" i="10" s="1"/>
  <c r="AE156" i="10"/>
  <c r="AL156" i="10" s="1"/>
  <c r="AE194" i="10"/>
  <c r="AL194" i="10" s="1"/>
  <c r="AE233" i="10"/>
  <c r="AL233" i="10" s="1"/>
  <c r="AE257" i="10"/>
  <c r="AL257" i="10" s="1"/>
  <c r="AE281" i="10"/>
  <c r="AL281" i="10" s="1"/>
  <c r="AE313" i="10"/>
  <c r="AL313" i="10" s="1"/>
  <c r="BF313" i="13"/>
  <c r="BF281" i="13"/>
  <c r="BF249" i="13"/>
  <c r="BF217" i="13"/>
  <c r="BF189" i="13"/>
  <c r="BF161" i="13"/>
  <c r="BF310" i="13"/>
  <c r="BF278" i="13"/>
  <c r="BF246" i="13"/>
  <c r="BF214" i="13"/>
  <c r="BF182" i="13"/>
  <c r="BF150" i="13"/>
  <c r="BF303" i="13"/>
  <c r="BF287" i="13"/>
  <c r="BF271" i="13"/>
  <c r="BF255" i="13"/>
  <c r="BF239" i="13"/>
  <c r="BF223" i="13"/>
  <c r="BF207" i="13"/>
  <c r="BF191" i="13"/>
  <c r="BF175" i="13"/>
  <c r="BF159" i="13"/>
  <c r="BF317" i="13"/>
  <c r="BF285" i="13"/>
  <c r="BF253" i="13"/>
  <c r="BF221" i="13"/>
  <c r="BF185" i="13"/>
  <c r="BF149" i="13"/>
  <c r="BF290" i="13"/>
  <c r="BF258" i="13"/>
  <c r="BF226" i="13"/>
  <c r="BF194" i="13"/>
  <c r="BF162" i="13"/>
  <c r="BF316" i="13"/>
  <c r="BF300" i="13"/>
  <c r="BF284" i="13"/>
  <c r="BF268" i="13"/>
  <c r="BF252" i="13"/>
  <c r="BF236" i="13"/>
  <c r="BF220" i="13"/>
  <c r="BF204" i="13"/>
  <c r="BF188" i="13"/>
  <c r="BF172" i="13"/>
  <c r="BF156" i="13"/>
  <c r="B62" i="11"/>
  <c r="AF134" i="11"/>
  <c r="AM173" i="11" s="1"/>
  <c r="AY145" i="10"/>
  <c r="BF145" i="10" s="1"/>
  <c r="AY149" i="10"/>
  <c r="BF149" i="10" s="1"/>
  <c r="AY153" i="10"/>
  <c r="BF153" i="10" s="1"/>
  <c r="AY157" i="10"/>
  <c r="BF157" i="10" s="1"/>
  <c r="AY161" i="10"/>
  <c r="BF161" i="10" s="1"/>
  <c r="AY165" i="10"/>
  <c r="BF165" i="10" s="1"/>
  <c r="AY169" i="10"/>
  <c r="BF169" i="10" s="1"/>
  <c r="AY173" i="10"/>
  <c r="BF173" i="10" s="1"/>
  <c r="AY177" i="10"/>
  <c r="BF177" i="10" s="1"/>
  <c r="AY181" i="10"/>
  <c r="BF181" i="10" s="1"/>
  <c r="AY185" i="10"/>
  <c r="BF185" i="10" s="1"/>
  <c r="AY187" i="10"/>
  <c r="BF187" i="10" s="1"/>
  <c r="AY189" i="10"/>
  <c r="BF189" i="10" s="1"/>
  <c r="AY193" i="10"/>
  <c r="BF193" i="10" s="1"/>
  <c r="AY197" i="10"/>
  <c r="BF197" i="10" s="1"/>
  <c r="AY201" i="10"/>
  <c r="BF201" i="10" s="1"/>
  <c r="AY205" i="10"/>
  <c r="BF205" i="10" s="1"/>
  <c r="AY209" i="10"/>
  <c r="BF209" i="10" s="1"/>
  <c r="AY213" i="10"/>
  <c r="BF213" i="10" s="1"/>
  <c r="AY217" i="10"/>
  <c r="BF217" i="10" s="1"/>
  <c r="AY221" i="10"/>
  <c r="BF221" i="10" s="1"/>
  <c r="AY225" i="10"/>
  <c r="BF225" i="10" s="1"/>
  <c r="AY229" i="10"/>
  <c r="BF229" i="10" s="1"/>
  <c r="AY233" i="10"/>
  <c r="BF233" i="10" s="1"/>
  <c r="AY237" i="10"/>
  <c r="BF237" i="10" s="1"/>
  <c r="AY240" i="10"/>
  <c r="BF240" i="10" s="1"/>
  <c r="AY243" i="10"/>
  <c r="BF243" i="10" s="1"/>
  <c r="AY248" i="10"/>
  <c r="BF248" i="10" s="1"/>
  <c r="AY251" i="10"/>
  <c r="BF251" i="10" s="1"/>
  <c r="AY256" i="10"/>
  <c r="BF256" i="10" s="1"/>
  <c r="AY259" i="10"/>
  <c r="BF259" i="10" s="1"/>
  <c r="AY264" i="10"/>
  <c r="BF264" i="10" s="1"/>
  <c r="AY267" i="10"/>
  <c r="BF267" i="10" s="1"/>
  <c r="AY272" i="10"/>
  <c r="BF272" i="10" s="1"/>
  <c r="AY275" i="10"/>
  <c r="BF275" i="10" s="1"/>
  <c r="AY280" i="10"/>
  <c r="BF280" i="10" s="1"/>
  <c r="AY283" i="10"/>
  <c r="BF283" i="10" s="1"/>
  <c r="AY288" i="10"/>
  <c r="BF288" i="10" s="1"/>
  <c r="AY291" i="10"/>
  <c r="BF291" i="10" s="1"/>
  <c r="AY296" i="10"/>
  <c r="BF296" i="10" s="1"/>
  <c r="AY299" i="10"/>
  <c r="BF299" i="10" s="1"/>
  <c r="AY304" i="10"/>
  <c r="BF304" i="10" s="1"/>
  <c r="AY307" i="10"/>
  <c r="BF307" i="10" s="1"/>
  <c r="AY310" i="10"/>
  <c r="BF310" i="10" s="1"/>
  <c r="AY314" i="10"/>
  <c r="BF314" i="10" s="1"/>
  <c r="AY318" i="10"/>
  <c r="BF318" i="10" s="1"/>
  <c r="AY143" i="10"/>
  <c r="BF143" i="10" s="1"/>
  <c r="AY144" i="10"/>
  <c r="BF144" i="10" s="1"/>
  <c r="AY148" i="10"/>
  <c r="BF148" i="10" s="1"/>
  <c r="AY152" i="10"/>
  <c r="BF152" i="10" s="1"/>
  <c r="AY156" i="10"/>
  <c r="BF156" i="10" s="1"/>
  <c r="AY160" i="10"/>
  <c r="BF160" i="10" s="1"/>
  <c r="AY164" i="10"/>
  <c r="BF164" i="10" s="1"/>
  <c r="AY168" i="10"/>
  <c r="BF168" i="10" s="1"/>
  <c r="AY172" i="10"/>
  <c r="BF172" i="10" s="1"/>
  <c r="AY176" i="10"/>
  <c r="BF176" i="10" s="1"/>
  <c r="AY180" i="10"/>
  <c r="BF180" i="10" s="1"/>
  <c r="AY184" i="10"/>
  <c r="BF184" i="10" s="1"/>
  <c r="AY192" i="10"/>
  <c r="BF192" i="10" s="1"/>
  <c r="AY196" i="10"/>
  <c r="BF196" i="10" s="1"/>
  <c r="AY200" i="10"/>
  <c r="BF200" i="10" s="1"/>
  <c r="AY204" i="10"/>
  <c r="BF204" i="10" s="1"/>
  <c r="AY208" i="10"/>
  <c r="BF208" i="10" s="1"/>
  <c r="AY212" i="10"/>
  <c r="BF212" i="10" s="1"/>
  <c r="AY216" i="10"/>
  <c r="BF216" i="10" s="1"/>
  <c r="AY220" i="10"/>
  <c r="BF220" i="10" s="1"/>
  <c r="AY224" i="10"/>
  <c r="BF224" i="10" s="1"/>
  <c r="AY228" i="10"/>
  <c r="BF228" i="10" s="1"/>
  <c r="AY232" i="10"/>
  <c r="BF232" i="10" s="1"/>
  <c r="AY236" i="10"/>
  <c r="BF236" i="10" s="1"/>
  <c r="AY242" i="10"/>
  <c r="BF242" i="10" s="1"/>
  <c r="AY245" i="10"/>
  <c r="BF245" i="10" s="1"/>
  <c r="AY250" i="10"/>
  <c r="BF250" i="10" s="1"/>
  <c r="AY253" i="10"/>
  <c r="BF253" i="10" s="1"/>
  <c r="AY258" i="10"/>
  <c r="BF258" i="10" s="1"/>
  <c r="AY261" i="10"/>
  <c r="BF261" i="10" s="1"/>
  <c r="AY266" i="10"/>
  <c r="BF266" i="10" s="1"/>
  <c r="AY269" i="10"/>
  <c r="BF269" i="10" s="1"/>
  <c r="AY274" i="10"/>
  <c r="BF274" i="10" s="1"/>
  <c r="AY277" i="10"/>
  <c r="BF277" i="10" s="1"/>
  <c r="AY282" i="10"/>
  <c r="BF282" i="10" s="1"/>
  <c r="AY285" i="10"/>
  <c r="BF285" i="10" s="1"/>
  <c r="AY290" i="10"/>
  <c r="BF290" i="10" s="1"/>
  <c r="AY293" i="10"/>
  <c r="BF293" i="10" s="1"/>
  <c r="AY298" i="10"/>
  <c r="BF298" i="10" s="1"/>
  <c r="AY301" i="10"/>
  <c r="BF301" i="10" s="1"/>
  <c r="AY306" i="10"/>
  <c r="BF306" i="10" s="1"/>
  <c r="AY309" i="10"/>
  <c r="BF309" i="10" s="1"/>
  <c r="AY313" i="10"/>
  <c r="BF313" i="10" s="1"/>
  <c r="AY317" i="10"/>
  <c r="BF317" i="10" s="1"/>
  <c r="AY147" i="10"/>
  <c r="BF147" i="10" s="1"/>
  <c r="AY151" i="10"/>
  <c r="BF151" i="10" s="1"/>
  <c r="AY155" i="10"/>
  <c r="BF155" i="10" s="1"/>
  <c r="AY159" i="10"/>
  <c r="BF159" i="10" s="1"/>
  <c r="AY163" i="10"/>
  <c r="BF163" i="10" s="1"/>
  <c r="AY167" i="10"/>
  <c r="BF167" i="10" s="1"/>
  <c r="AY171" i="10"/>
  <c r="BF171" i="10" s="1"/>
  <c r="AY175" i="10"/>
  <c r="BF175" i="10" s="1"/>
  <c r="AY179" i="10"/>
  <c r="BF179" i="10" s="1"/>
  <c r="AY183" i="10"/>
  <c r="BF183" i="10" s="1"/>
  <c r="AY186" i="10"/>
  <c r="BF186" i="10" s="1"/>
  <c r="AY188" i="10"/>
  <c r="BF188" i="10" s="1"/>
  <c r="AY191" i="10"/>
  <c r="BF191" i="10" s="1"/>
  <c r="AY195" i="10"/>
  <c r="BF195" i="10" s="1"/>
  <c r="AY199" i="10"/>
  <c r="BF199" i="10" s="1"/>
  <c r="AY203" i="10"/>
  <c r="BF203" i="10" s="1"/>
  <c r="AY207" i="10"/>
  <c r="BF207" i="10" s="1"/>
  <c r="AY211" i="10"/>
  <c r="BF211" i="10" s="1"/>
  <c r="AY215" i="10"/>
  <c r="BF215" i="10" s="1"/>
  <c r="AY219" i="10"/>
  <c r="BF219" i="10" s="1"/>
  <c r="AY223" i="10"/>
  <c r="BF223" i="10" s="1"/>
  <c r="AY227" i="10"/>
  <c r="BF227" i="10" s="1"/>
  <c r="AY231" i="10"/>
  <c r="BF231" i="10" s="1"/>
  <c r="AY235" i="10"/>
  <c r="BF235" i="10" s="1"/>
  <c r="AY239" i="10"/>
  <c r="BF239" i="10" s="1"/>
  <c r="AY244" i="10"/>
  <c r="BF244" i="10" s="1"/>
  <c r="AY247" i="10"/>
  <c r="BF247" i="10" s="1"/>
  <c r="AY252" i="10"/>
  <c r="BF252" i="10" s="1"/>
  <c r="AY255" i="10"/>
  <c r="BF255" i="10" s="1"/>
  <c r="AY260" i="10"/>
  <c r="BF260" i="10" s="1"/>
  <c r="AY263" i="10"/>
  <c r="BF263" i="10" s="1"/>
  <c r="AY268" i="10"/>
  <c r="BF268" i="10" s="1"/>
  <c r="AY271" i="10"/>
  <c r="BF271" i="10" s="1"/>
  <c r="AY276" i="10"/>
  <c r="BF276" i="10" s="1"/>
  <c r="AY279" i="10"/>
  <c r="BF279" i="10" s="1"/>
  <c r="AY284" i="10"/>
  <c r="BF284" i="10" s="1"/>
  <c r="AY287" i="10"/>
  <c r="BF287" i="10" s="1"/>
  <c r="AY292" i="10"/>
  <c r="BF292" i="10" s="1"/>
  <c r="AY295" i="10"/>
  <c r="BF295" i="10" s="1"/>
  <c r="AY300" i="10"/>
  <c r="BF300" i="10" s="1"/>
  <c r="AY303" i="10"/>
  <c r="BF303" i="10" s="1"/>
  <c r="AY308" i="10"/>
  <c r="BF308" i="10" s="1"/>
  <c r="AY312" i="10"/>
  <c r="BF312" i="10" s="1"/>
  <c r="AY316" i="10"/>
  <c r="BF316" i="10" s="1"/>
  <c r="AY146" i="10"/>
  <c r="BF146" i="10" s="1"/>
  <c r="AY162" i="10"/>
  <c r="BF162" i="10" s="1"/>
  <c r="AY178" i="10"/>
  <c r="BF178" i="10" s="1"/>
  <c r="AY190" i="10"/>
  <c r="BF190" i="10" s="1"/>
  <c r="AY206" i="10"/>
  <c r="BF206" i="10" s="1"/>
  <c r="AY222" i="10"/>
  <c r="BF222" i="10" s="1"/>
  <c r="AY238" i="10"/>
  <c r="BF238" i="10" s="1"/>
  <c r="AY249" i="10"/>
  <c r="BF249" i="10" s="1"/>
  <c r="AY270" i="10"/>
  <c r="BF270" i="10" s="1"/>
  <c r="AY281" i="10"/>
  <c r="BF281" i="10" s="1"/>
  <c r="AY302" i="10"/>
  <c r="BF302" i="10" s="1"/>
  <c r="AY315" i="10"/>
  <c r="BF315" i="10" s="1"/>
  <c r="AY150" i="10"/>
  <c r="BF150" i="10" s="1"/>
  <c r="AY194" i="10"/>
  <c r="BF194" i="10" s="1"/>
  <c r="AY241" i="10"/>
  <c r="BF241" i="10" s="1"/>
  <c r="AY262" i="10"/>
  <c r="BF262" i="10" s="1"/>
  <c r="AY305" i="10"/>
  <c r="BF305" i="10" s="1"/>
  <c r="AY158" i="10"/>
  <c r="BF158" i="10" s="1"/>
  <c r="AY174" i="10"/>
  <c r="BF174" i="10" s="1"/>
  <c r="AY202" i="10"/>
  <c r="BF202" i="10" s="1"/>
  <c r="AY218" i="10"/>
  <c r="BF218" i="10" s="1"/>
  <c r="AY234" i="10"/>
  <c r="BF234" i="10" s="1"/>
  <c r="AY246" i="10"/>
  <c r="BF246" i="10" s="1"/>
  <c r="AY257" i="10"/>
  <c r="BF257" i="10" s="1"/>
  <c r="AY278" i="10"/>
  <c r="BF278" i="10" s="1"/>
  <c r="AY289" i="10"/>
  <c r="BF289" i="10" s="1"/>
  <c r="AY311" i="10"/>
  <c r="BF311" i="10" s="1"/>
  <c r="AY182" i="10"/>
  <c r="BF182" i="10" s="1"/>
  <c r="AY210" i="10"/>
  <c r="BF210" i="10" s="1"/>
  <c r="AY294" i="10"/>
  <c r="BF294" i="10" s="1"/>
  <c r="AY154" i="10"/>
  <c r="BF154" i="10" s="1"/>
  <c r="AY170" i="10"/>
  <c r="BF170" i="10" s="1"/>
  <c r="AY198" i="10"/>
  <c r="BF198" i="10" s="1"/>
  <c r="AY214" i="10"/>
  <c r="BF214" i="10" s="1"/>
  <c r="AY230" i="10"/>
  <c r="BF230" i="10" s="1"/>
  <c r="AY254" i="10"/>
  <c r="BF254" i="10" s="1"/>
  <c r="AY265" i="10"/>
  <c r="BF265" i="10" s="1"/>
  <c r="AY286" i="10"/>
  <c r="BF286" i="10" s="1"/>
  <c r="AY297" i="10"/>
  <c r="BF297" i="10" s="1"/>
  <c r="AY166" i="10"/>
  <c r="BF166" i="10" s="1"/>
  <c r="AY226" i="10"/>
  <c r="BF226" i="10" s="1"/>
  <c r="AY273" i="10"/>
  <c r="BF273" i="10" s="1"/>
  <c r="AZ134" i="11"/>
  <c r="BG182" i="11" s="1"/>
  <c r="B94" i="11"/>
  <c r="AZ138" i="11" s="1"/>
  <c r="AJ142" i="12"/>
  <c r="AK142" i="12" s="1"/>
  <c r="AK143" i="12" s="1"/>
  <c r="AH142" i="12"/>
  <c r="AG142" i="12" s="1"/>
  <c r="AG143" i="12" s="1"/>
  <c r="BF289" i="13"/>
  <c r="BF257" i="13"/>
  <c r="BF225" i="13"/>
  <c r="BF193" i="13"/>
  <c r="BF165" i="13"/>
  <c r="BF318" i="13"/>
  <c r="BF286" i="13"/>
  <c r="BF254" i="13"/>
  <c r="BF222" i="13"/>
  <c r="BF190" i="13"/>
  <c r="BF158" i="13"/>
  <c r="BF307" i="13"/>
  <c r="BF291" i="13"/>
  <c r="BF275" i="13"/>
  <c r="BF259" i="13"/>
  <c r="BF243" i="13"/>
  <c r="BF227" i="13"/>
  <c r="BF211" i="13"/>
  <c r="BF195" i="13"/>
  <c r="BF179" i="13"/>
  <c r="BF163" i="13"/>
  <c r="BF147" i="13"/>
  <c r="BF293" i="13"/>
  <c r="BF261" i="13"/>
  <c r="BF229" i="13"/>
  <c r="BF197" i="13"/>
  <c r="BF157" i="13"/>
  <c r="BF298" i="13"/>
  <c r="BF266" i="13"/>
  <c r="BF234" i="13"/>
  <c r="BF202" i="13"/>
  <c r="BF170" i="13"/>
  <c r="BF304" i="13"/>
  <c r="BF288" i="13"/>
  <c r="BF272" i="13"/>
  <c r="BF256" i="13"/>
  <c r="BF240" i="13"/>
  <c r="BF224" i="13"/>
  <c r="BF208" i="13"/>
  <c r="BF192" i="13"/>
  <c r="BF176" i="13"/>
  <c r="BF160" i="13"/>
  <c r="BF144" i="13"/>
  <c r="B62" i="9"/>
  <c r="AF138" i="9" s="1"/>
  <c r="AF134" i="9"/>
  <c r="AF139" i="9" s="1"/>
  <c r="B64" i="9"/>
  <c r="AF134" i="10"/>
  <c r="B62" i="10"/>
  <c r="AF138" i="10" s="1"/>
  <c r="AZ134" i="10"/>
  <c r="B94" i="10"/>
  <c r="AZ138" i="10" s="1"/>
  <c r="AJ142" i="11"/>
  <c r="AH142" i="11"/>
  <c r="E21" i="7"/>
  <c r="B74" i="10"/>
  <c r="B74" i="13"/>
  <c r="B74" i="12"/>
  <c r="B74" i="11"/>
  <c r="G21" i="7"/>
  <c r="F148" i="8" s="1"/>
  <c r="I66" i="37" s="1"/>
  <c r="N66" i="37" s="1"/>
  <c r="F21" i="7"/>
  <c r="C109" i="14" s="1"/>
  <c r="H21" i="7"/>
  <c r="C111" i="14" s="1"/>
  <c r="I21" i="7"/>
  <c r="F374" i="8" s="1"/>
  <c r="I22" i="49" s="1"/>
  <c r="M22" i="49" s="1"/>
  <c r="B74" i="9"/>
  <c r="D102" i="14" s="1"/>
  <c r="D21" i="7"/>
  <c r="BF297" i="13"/>
  <c r="BF265" i="13"/>
  <c r="BF233" i="13"/>
  <c r="BF201" i="13"/>
  <c r="BF173" i="13"/>
  <c r="BF145" i="13"/>
  <c r="BF294" i="13"/>
  <c r="BF262" i="13"/>
  <c r="BF230" i="13"/>
  <c r="BF198" i="13"/>
  <c r="BF166" i="13"/>
  <c r="BF311" i="13"/>
  <c r="BF295" i="13"/>
  <c r="BF279" i="13"/>
  <c r="BF263" i="13"/>
  <c r="BF247" i="13"/>
  <c r="BF231" i="13"/>
  <c r="BF215" i="13"/>
  <c r="BF199" i="13"/>
  <c r="BF183" i="13"/>
  <c r="BF167" i="13"/>
  <c r="BF151" i="13"/>
  <c r="BF301" i="13"/>
  <c r="BF269" i="13"/>
  <c r="BF237" i="13"/>
  <c r="BF205" i="13"/>
  <c r="BF169" i="13"/>
  <c r="BF306" i="13"/>
  <c r="BF274" i="13"/>
  <c r="BF242" i="13"/>
  <c r="BF210" i="13"/>
  <c r="BF178" i="13"/>
  <c r="BF146" i="13"/>
  <c r="BF308" i="13"/>
  <c r="BF292" i="13"/>
  <c r="BF276" i="13"/>
  <c r="BF260" i="13"/>
  <c r="BF244" i="13"/>
  <c r="BF228" i="13"/>
  <c r="BF212" i="13"/>
  <c r="BF196" i="13"/>
  <c r="BF180" i="13"/>
  <c r="BF164" i="13"/>
  <c r="BF148" i="13"/>
  <c r="AF134" i="13"/>
  <c r="AF139" i="13" s="1"/>
  <c r="B62" i="13"/>
  <c r="AF138" i="13" s="1"/>
  <c r="B94" i="9"/>
  <c r="AZ138" i="9" s="1"/>
  <c r="AZ134" i="9"/>
  <c r="B94" i="13"/>
  <c r="AZ134" i="13"/>
  <c r="AH142" i="10"/>
  <c r="AJ142" i="10"/>
  <c r="G23" i="7"/>
  <c r="C156" i="14" s="1"/>
  <c r="B106" i="11"/>
  <c r="F148" i="14" s="1"/>
  <c r="B106" i="13"/>
  <c r="H148" i="14" s="1"/>
  <c r="B106" i="12"/>
  <c r="B106" i="10"/>
  <c r="B110" i="10" s="1"/>
  <c r="BJ138" i="10" s="1"/>
  <c r="B106" i="9"/>
  <c r="B111" i="9" s="1"/>
  <c r="B107" i="9"/>
  <c r="BJ135" i="9" s="1"/>
  <c r="BM142" i="9" s="1"/>
  <c r="B107" i="12"/>
  <c r="BJ135" i="12" s="1"/>
  <c r="BM142" i="12" s="1"/>
  <c r="BM143" i="12" s="1"/>
  <c r="B107" i="10"/>
  <c r="BJ135" i="10" s="1"/>
  <c r="BM142" i="10" s="1"/>
  <c r="B107" i="13"/>
  <c r="BJ135" i="13" s="1"/>
  <c r="BM142" i="13" s="1"/>
  <c r="BM143" i="13" s="1"/>
  <c r="B107" i="11"/>
  <c r="BJ135" i="11" s="1"/>
  <c r="BM142" i="11" s="1"/>
  <c r="C148" i="14"/>
  <c r="AV143" i="13"/>
  <c r="E105" i="14"/>
  <c r="AP137" i="10"/>
  <c r="AL143" i="12"/>
  <c r="AI143" i="12"/>
  <c r="AF137" i="10"/>
  <c r="AB143" i="12"/>
  <c r="AB149" i="11"/>
  <c r="AB318" i="11"/>
  <c r="AB306" i="11"/>
  <c r="AB298" i="11"/>
  <c r="AB160" i="11"/>
  <c r="AB290" i="11"/>
  <c r="AB286" i="11"/>
  <c r="AB278" i="11"/>
  <c r="AB270" i="11"/>
  <c r="AB262" i="11"/>
  <c r="AB254" i="11"/>
  <c r="AB246" i="11"/>
  <c r="AB238" i="11"/>
  <c r="AB230" i="11"/>
  <c r="AB226" i="11"/>
  <c r="AB218" i="11"/>
  <c r="AB210" i="11"/>
  <c r="AB198" i="11"/>
  <c r="AB190" i="11"/>
  <c r="AB178" i="11"/>
  <c r="AB148" i="11"/>
  <c r="AB311" i="11"/>
  <c r="AB303" i="11"/>
  <c r="AB295" i="11"/>
  <c r="AB162" i="11"/>
  <c r="AB287" i="11"/>
  <c r="AB279" i="11"/>
  <c r="AB271" i="11"/>
  <c r="AB263" i="11"/>
  <c r="AB255" i="11"/>
  <c r="AB247" i="11"/>
  <c r="AB243" i="11"/>
  <c r="AB239" i="11"/>
  <c r="AB235" i="11"/>
  <c r="AB227" i="11"/>
  <c r="AB223" i="11"/>
  <c r="AB219" i="11"/>
  <c r="AB215" i="11"/>
  <c r="AB211" i="11"/>
  <c r="AB207" i="11"/>
  <c r="AB203" i="11"/>
  <c r="AB199" i="11"/>
  <c r="AB195" i="11"/>
  <c r="AB191" i="11"/>
  <c r="AB187" i="11"/>
  <c r="AB183" i="11"/>
  <c r="AB179" i="11"/>
  <c r="AB175" i="11"/>
  <c r="AB171" i="11"/>
  <c r="AB167" i="11"/>
  <c r="AB155" i="11"/>
  <c r="AB165" i="11"/>
  <c r="AB153" i="11"/>
  <c r="AB156" i="11"/>
  <c r="AB316" i="11"/>
  <c r="AB312" i="11"/>
  <c r="AB308" i="11"/>
  <c r="AB304" i="11"/>
  <c r="AB300" i="11"/>
  <c r="AB296" i="11"/>
  <c r="AB292" i="11"/>
  <c r="AB144" i="11"/>
  <c r="AB150" i="11"/>
  <c r="AB288" i="11"/>
  <c r="AB284" i="11"/>
  <c r="AB280" i="11"/>
  <c r="AB276" i="11"/>
  <c r="AB272" i="11"/>
  <c r="AB268" i="11"/>
  <c r="AB264" i="11"/>
  <c r="AB260" i="11"/>
  <c r="AB256" i="11"/>
  <c r="AB252" i="11"/>
  <c r="AB248" i="11"/>
  <c r="AB244" i="11"/>
  <c r="AB240" i="11"/>
  <c r="AB236" i="11"/>
  <c r="AB232" i="11"/>
  <c r="AB228" i="11"/>
  <c r="AB224" i="11"/>
  <c r="AB220" i="11"/>
  <c r="AB216" i="11"/>
  <c r="AB212" i="11"/>
  <c r="AB208" i="11"/>
  <c r="AB204" i="11"/>
  <c r="AB200" i="11"/>
  <c r="AB196" i="11"/>
  <c r="AB192" i="11"/>
  <c r="AB188" i="11"/>
  <c r="AB184" i="11"/>
  <c r="AB180" i="11"/>
  <c r="AB176" i="11"/>
  <c r="AB172" i="11"/>
  <c r="AB168" i="11"/>
  <c r="AB159" i="11"/>
  <c r="AB143" i="11"/>
  <c r="AB314" i="11"/>
  <c r="AB310" i="11"/>
  <c r="AB302" i="11"/>
  <c r="AB294" i="11"/>
  <c r="AB158" i="11"/>
  <c r="AB282" i="11"/>
  <c r="AB274" i="11"/>
  <c r="AB266" i="11"/>
  <c r="AB258" i="11"/>
  <c r="AB250" i="11"/>
  <c r="AB242" i="11"/>
  <c r="AB234" i="11"/>
  <c r="AB222" i="11"/>
  <c r="AB214" i="11"/>
  <c r="AB206" i="11"/>
  <c r="AB202" i="11"/>
  <c r="AB194" i="11"/>
  <c r="AB186" i="11"/>
  <c r="AB182" i="11"/>
  <c r="AB174" i="11"/>
  <c r="AB170" i="11"/>
  <c r="AB166" i="11"/>
  <c r="AB151" i="11"/>
  <c r="AB157" i="11"/>
  <c r="AB145" i="11"/>
  <c r="AB315" i="11"/>
  <c r="AB307" i="11"/>
  <c r="AB299" i="11"/>
  <c r="AB291" i="11"/>
  <c r="AB146" i="11"/>
  <c r="AB283" i="11"/>
  <c r="AB275" i="11"/>
  <c r="AB267" i="11"/>
  <c r="AB259" i="11"/>
  <c r="AB251" i="11"/>
  <c r="AB231" i="11"/>
  <c r="AB161" i="11"/>
  <c r="AB164" i="11"/>
  <c r="AB317" i="11"/>
  <c r="AB313" i="11"/>
  <c r="AB309" i="11"/>
  <c r="AB305" i="11"/>
  <c r="AB301" i="11"/>
  <c r="AB297" i="11"/>
  <c r="AB293" i="11"/>
  <c r="AB152" i="11"/>
  <c r="AB154" i="11"/>
  <c r="AB289" i="11"/>
  <c r="AB285" i="11"/>
  <c r="AB281" i="11"/>
  <c r="AB277" i="11"/>
  <c r="AB273" i="11"/>
  <c r="AB269" i="11"/>
  <c r="AB265" i="11"/>
  <c r="AB261" i="11"/>
  <c r="AB257" i="11"/>
  <c r="AB253" i="11"/>
  <c r="AB249" i="11"/>
  <c r="AB245" i="11"/>
  <c r="AB241" i="11"/>
  <c r="AB237" i="11"/>
  <c r="AB233" i="11"/>
  <c r="AB229" i="11"/>
  <c r="AB225" i="11"/>
  <c r="AB221" i="11"/>
  <c r="AB217" i="11"/>
  <c r="AB213" i="11"/>
  <c r="AB209" i="11"/>
  <c r="AB205" i="11"/>
  <c r="AB201" i="11"/>
  <c r="AB197" i="11"/>
  <c r="AB193" i="11"/>
  <c r="AB189" i="11"/>
  <c r="AB185" i="11"/>
  <c r="AB181" i="11"/>
  <c r="AB177" i="11"/>
  <c r="AB173" i="11"/>
  <c r="AB169" i="11"/>
  <c r="AB163" i="11"/>
  <c r="AB147" i="11"/>
  <c r="E59" i="14"/>
  <c r="V137" i="10"/>
  <c r="H143" i="13"/>
  <c r="E151" i="14"/>
  <c r="BJ137" i="10"/>
  <c r="AF135" i="9"/>
  <c r="AI142" i="9" s="1"/>
  <c r="Y19" i="3"/>
  <c r="Y18" i="3"/>
  <c r="W20" i="3"/>
  <c r="C19" i="7"/>
  <c r="D19" i="7" s="1"/>
  <c r="C17" i="7"/>
  <c r="F311" i="3"/>
  <c r="H311" i="3"/>
  <c r="X13" i="3"/>
  <c r="K12" i="3"/>
  <c r="H27" i="3"/>
  <c r="A28" i="3"/>
  <c r="C27" i="3"/>
  <c r="D27" i="3" s="1"/>
  <c r="F243" i="8"/>
  <c r="F395" i="8" s="1"/>
  <c r="I9" i="38"/>
  <c r="M19" i="40"/>
  <c r="J19" i="40"/>
  <c r="K19" i="40"/>
  <c r="L19" i="40"/>
  <c r="N19" i="40"/>
  <c r="L29" i="3"/>
  <c r="K29" i="3"/>
  <c r="L31" i="3"/>
  <c r="F78" i="1"/>
  <c r="C88" i="14"/>
  <c r="F145" i="8"/>
  <c r="I63" i="37" s="1"/>
  <c r="F123" i="8"/>
  <c r="I41" i="37" s="1"/>
  <c r="F371" i="8"/>
  <c r="I19" i="49" s="1"/>
  <c r="C89" i="14"/>
  <c r="K20" i="7"/>
  <c r="F101" i="8"/>
  <c r="I19" i="37" s="1"/>
  <c r="H79" i="14"/>
  <c r="J9" i="35"/>
  <c r="M9" i="35"/>
  <c r="N9" i="35"/>
  <c r="K9" i="35"/>
  <c r="L9" i="35"/>
  <c r="M15" i="35"/>
  <c r="L15" i="35"/>
  <c r="N15" i="35"/>
  <c r="K15" i="35"/>
  <c r="J15" i="35"/>
  <c r="F21" i="8"/>
  <c r="F392" i="8" s="1"/>
  <c r="AI317" i="13"/>
  <c r="E80" i="14"/>
  <c r="G80" i="14"/>
  <c r="D80" i="14"/>
  <c r="AI317" i="12"/>
  <c r="F80" i="14"/>
  <c r="H80" i="14"/>
  <c r="F380" i="8"/>
  <c r="I28" i="49" s="1"/>
  <c r="C158" i="14"/>
  <c r="F110" i="8"/>
  <c r="I28" i="37" s="1"/>
  <c r="C154" i="14"/>
  <c r="C157" i="14"/>
  <c r="F275" i="8"/>
  <c r="I28" i="40" s="1"/>
  <c r="C155" i="14"/>
  <c r="F132" i="8"/>
  <c r="I50" i="37" s="1"/>
  <c r="C149" i="14"/>
  <c r="G125" i="14"/>
  <c r="C126" i="14"/>
  <c r="F272" i="8"/>
  <c r="I25" i="40" s="1"/>
  <c r="C134" i="14"/>
  <c r="H125" i="14"/>
  <c r="F125" i="14"/>
  <c r="F377" i="8"/>
  <c r="I25" i="49" s="1"/>
  <c r="C135" i="14"/>
  <c r="D125" i="14"/>
  <c r="E125" i="14"/>
  <c r="F129" i="8"/>
  <c r="I47" i="37" s="1"/>
  <c r="C132" i="14"/>
  <c r="C133" i="14"/>
  <c r="F151" i="8"/>
  <c r="I69" i="37" s="1"/>
  <c r="C131" i="14"/>
  <c r="F107" i="8"/>
  <c r="I25" i="37" s="1"/>
  <c r="K22" i="7"/>
  <c r="E82" i="14"/>
  <c r="G331" i="22"/>
  <c r="E30" i="1"/>
  <c r="C39" i="4" s="1"/>
  <c r="F150" i="1"/>
  <c r="F128" i="1"/>
  <c r="F106" i="1"/>
  <c r="F84" i="1"/>
  <c r="N13" i="39" l="1"/>
  <c r="N16" i="39" s="1"/>
  <c r="AI254" i="10"/>
  <c r="C32" i="14"/>
  <c r="E18" i="7"/>
  <c r="F95" i="8" s="1"/>
  <c r="I13" i="37" s="1"/>
  <c r="L13" i="37" s="1"/>
  <c r="B26" i="9"/>
  <c r="B30" i="9" s="1"/>
  <c r="L138" i="9" s="1"/>
  <c r="B26" i="10"/>
  <c r="B26" i="13"/>
  <c r="B30" i="13" s="1"/>
  <c r="B26" i="12"/>
  <c r="B30" i="12" s="1"/>
  <c r="L138" i="12" s="1"/>
  <c r="I18" i="7"/>
  <c r="F365" i="8" s="1"/>
  <c r="I13" i="49" s="1"/>
  <c r="J13" i="49" s="1"/>
  <c r="G18" i="7"/>
  <c r="C40" i="14" s="1"/>
  <c r="M13" i="39"/>
  <c r="M16" i="39" s="1"/>
  <c r="J13" i="39"/>
  <c r="L13" i="39"/>
  <c r="C37" i="7"/>
  <c r="D37" i="7" s="1"/>
  <c r="C23" i="4"/>
  <c r="E40" i="1"/>
  <c r="C27" i="4"/>
  <c r="E44" i="1"/>
  <c r="C26" i="4"/>
  <c r="E43" i="1"/>
  <c r="E39" i="1"/>
  <c r="C22" i="4"/>
  <c r="E45" i="1"/>
  <c r="C28" i="4"/>
  <c r="E42" i="1"/>
  <c r="C25" i="4"/>
  <c r="E38" i="1"/>
  <c r="C21" i="4"/>
  <c r="C24" i="4"/>
  <c r="E41" i="1"/>
  <c r="AI300" i="10"/>
  <c r="AI293" i="10"/>
  <c r="F159" i="1"/>
  <c r="G159" i="1" s="1"/>
  <c r="F160" i="1"/>
  <c r="G160" i="1" s="1"/>
  <c r="F157" i="1"/>
  <c r="G157" i="1" s="1"/>
  <c r="F158" i="1"/>
  <c r="G158" i="1" s="1"/>
  <c r="F156" i="1"/>
  <c r="G156" i="1" s="1"/>
  <c r="F154" i="1"/>
  <c r="G154" i="1" s="1"/>
  <c r="F153" i="1"/>
  <c r="G153" i="1" s="1"/>
  <c r="F155" i="1"/>
  <c r="G155" i="1" s="1"/>
  <c r="F151" i="1"/>
  <c r="G151" i="1" s="1"/>
  <c r="F152" i="1"/>
  <c r="G152" i="1" s="1"/>
  <c r="F171" i="1"/>
  <c r="F129" i="1"/>
  <c r="F133" i="1"/>
  <c r="G133" i="1" s="1"/>
  <c r="F134" i="1"/>
  <c r="G134" i="1" s="1"/>
  <c r="F135" i="1"/>
  <c r="G135" i="1" s="1"/>
  <c r="F130" i="1"/>
  <c r="F136" i="1"/>
  <c r="G136" i="1" s="1"/>
  <c r="F137" i="1"/>
  <c r="G137" i="1" s="1"/>
  <c r="F132" i="1"/>
  <c r="G132" i="1" s="1"/>
  <c r="F131" i="1"/>
  <c r="G131" i="1" s="1"/>
  <c r="F138" i="1"/>
  <c r="G138" i="1" s="1"/>
  <c r="F149" i="1"/>
  <c r="G149" i="1" s="1"/>
  <c r="F127" i="1"/>
  <c r="F110" i="1"/>
  <c r="G110" i="1" s="1"/>
  <c r="F113" i="1"/>
  <c r="G113" i="1" s="1"/>
  <c r="F111" i="1"/>
  <c r="G111" i="1" s="1"/>
  <c r="F107" i="1"/>
  <c r="G107" i="1" s="1"/>
  <c r="F108" i="1"/>
  <c r="G108" i="1" s="1"/>
  <c r="F109" i="1"/>
  <c r="G109" i="1" s="1"/>
  <c r="F116" i="1"/>
  <c r="G116" i="1" s="1"/>
  <c r="F114" i="1"/>
  <c r="G114" i="1" s="1"/>
  <c r="F115" i="1"/>
  <c r="G115" i="1" s="1"/>
  <c r="F112" i="1"/>
  <c r="G112" i="1" s="1"/>
  <c r="F93" i="1"/>
  <c r="F86" i="1"/>
  <c r="G86" i="1" s="1"/>
  <c r="F89" i="1"/>
  <c r="F87" i="1"/>
  <c r="F91" i="1"/>
  <c r="F85" i="1"/>
  <c r="G85" i="1" s="1"/>
  <c r="F88" i="1"/>
  <c r="F94" i="1"/>
  <c r="F92" i="1"/>
  <c r="F90" i="1"/>
  <c r="F105" i="1"/>
  <c r="G105" i="1" s="1"/>
  <c r="BC231" i="11"/>
  <c r="BC168" i="11"/>
  <c r="B30" i="11"/>
  <c r="L138" i="11" s="1"/>
  <c r="S294" i="11" s="1"/>
  <c r="F67" i="1"/>
  <c r="G14" i="22"/>
  <c r="G16" i="22"/>
  <c r="G15" i="22"/>
  <c r="AI195" i="10"/>
  <c r="BG181" i="11"/>
  <c r="BC290" i="11"/>
  <c r="BC282" i="11"/>
  <c r="AI182" i="10"/>
  <c r="BC157" i="11"/>
  <c r="BC281" i="11"/>
  <c r="BC178" i="11"/>
  <c r="AI230" i="10"/>
  <c r="BC155" i="11"/>
  <c r="BC232" i="11"/>
  <c r="BC217" i="11"/>
  <c r="BC184" i="11"/>
  <c r="AI167" i="10"/>
  <c r="AI287" i="10"/>
  <c r="AM241" i="12"/>
  <c r="AM185" i="12"/>
  <c r="AJ143" i="12"/>
  <c r="K23" i="7"/>
  <c r="B27" i="10"/>
  <c r="L135" i="10" s="1"/>
  <c r="O142" i="10" s="1"/>
  <c r="N142" i="10" s="1"/>
  <c r="BC216" i="11"/>
  <c r="BC280" i="11"/>
  <c r="BC173" i="11"/>
  <c r="BC265" i="11"/>
  <c r="BC215" i="11"/>
  <c r="BC151" i="11"/>
  <c r="F32" i="14"/>
  <c r="F269" i="8"/>
  <c r="I22" i="40" s="1"/>
  <c r="K22" i="40" s="1"/>
  <c r="BC299" i="11"/>
  <c r="BC264" i="11"/>
  <c r="BC222" i="11"/>
  <c r="BC206" i="11"/>
  <c r="BG188" i="11"/>
  <c r="BC249" i="11"/>
  <c r="BC305" i="11"/>
  <c r="BC297" i="11"/>
  <c r="BC263" i="11"/>
  <c r="BC195" i="11"/>
  <c r="BC218" i="11"/>
  <c r="AM204" i="12"/>
  <c r="AI301" i="10"/>
  <c r="AI153" i="10"/>
  <c r="AI305" i="10"/>
  <c r="AI313" i="10"/>
  <c r="AI194" i="10"/>
  <c r="AI270" i="10"/>
  <c r="F260" i="8"/>
  <c r="I13" i="40" s="1"/>
  <c r="M13" i="40" s="1"/>
  <c r="BC201" i="11"/>
  <c r="BC250" i="11"/>
  <c r="BC301" i="11"/>
  <c r="BC196" i="11"/>
  <c r="BC279" i="11"/>
  <c r="BC254" i="11"/>
  <c r="AI177" i="10"/>
  <c r="AI251" i="10"/>
  <c r="AI229" i="10"/>
  <c r="C112" i="14"/>
  <c r="BC180" i="11"/>
  <c r="BC248" i="11"/>
  <c r="BC303" i="11"/>
  <c r="BG148" i="11"/>
  <c r="BC189" i="11"/>
  <c r="BC233" i="11"/>
  <c r="BC294" i="11"/>
  <c r="BC179" i="11"/>
  <c r="BC247" i="11"/>
  <c r="BC298" i="11"/>
  <c r="BC295" i="11"/>
  <c r="BC318" i="11"/>
  <c r="AI193" i="10"/>
  <c r="AI181" i="10"/>
  <c r="AI228" i="10"/>
  <c r="AI236" i="10"/>
  <c r="AI268" i="10"/>
  <c r="AI302" i="10"/>
  <c r="B27" i="9"/>
  <c r="L135" i="9" s="1"/>
  <c r="O142" i="9" s="1"/>
  <c r="O315" i="9" s="1"/>
  <c r="AM294" i="11"/>
  <c r="B27" i="13"/>
  <c r="L135" i="13" s="1"/>
  <c r="O142" i="13" s="1"/>
  <c r="N142" i="13" s="1"/>
  <c r="AI282" i="10"/>
  <c r="B27" i="12"/>
  <c r="L135" i="12" s="1"/>
  <c r="O142" i="12" s="1"/>
  <c r="N142" i="12" s="1"/>
  <c r="C33" i="14"/>
  <c r="F117" i="8"/>
  <c r="I35" i="37" s="1"/>
  <c r="M35" i="37" s="1"/>
  <c r="AI191" i="10"/>
  <c r="J13" i="37"/>
  <c r="L134" i="12"/>
  <c r="L139" i="12" s="1"/>
  <c r="L134" i="13"/>
  <c r="S262" i="13" s="1"/>
  <c r="F139" i="8"/>
  <c r="I57" i="37" s="1"/>
  <c r="J57" i="37" s="1"/>
  <c r="H32" i="14"/>
  <c r="F126" i="8"/>
  <c r="I44" i="37" s="1"/>
  <c r="M44" i="37" s="1"/>
  <c r="BG156" i="11"/>
  <c r="AI234" i="10"/>
  <c r="AI306" i="10"/>
  <c r="L134" i="10"/>
  <c r="S202" i="10" s="1"/>
  <c r="AI158" i="10"/>
  <c r="AI314" i="10"/>
  <c r="AI170" i="10"/>
  <c r="AI265" i="10"/>
  <c r="BC159" i="11"/>
  <c r="BC161" i="11"/>
  <c r="BC228" i="11"/>
  <c r="BC276" i="11"/>
  <c r="BC300" i="11"/>
  <c r="BC242" i="11"/>
  <c r="BC148" i="11"/>
  <c r="BC169" i="11"/>
  <c r="BC229" i="11"/>
  <c r="BC261" i="11"/>
  <c r="BC175" i="11"/>
  <c r="BC211" i="11"/>
  <c r="BC243" i="11"/>
  <c r="BC275" i="11"/>
  <c r="BC143" i="11"/>
  <c r="BC207" i="11"/>
  <c r="BC174" i="11"/>
  <c r="BC214" i="11"/>
  <c r="BC246" i="11"/>
  <c r="BC274" i="11"/>
  <c r="BC310" i="11"/>
  <c r="AM295" i="12"/>
  <c r="AI152" i="10"/>
  <c r="AI204" i="10"/>
  <c r="AI249" i="10"/>
  <c r="AI174" i="10"/>
  <c r="AI222" i="10"/>
  <c r="AM180" i="12"/>
  <c r="AM209" i="11"/>
  <c r="BJ134" i="13"/>
  <c r="BQ150" i="13" s="1"/>
  <c r="BC160" i="11"/>
  <c r="BC209" i="11"/>
  <c r="BG172" i="11"/>
  <c r="BC193" i="11"/>
  <c r="BC154" i="11"/>
  <c r="BC224" i="11"/>
  <c r="BC240" i="11"/>
  <c r="BC256" i="11"/>
  <c r="BC272" i="11"/>
  <c r="BC288" i="11"/>
  <c r="BC314" i="11"/>
  <c r="BC191" i="11"/>
  <c r="BC238" i="11"/>
  <c r="BC270" i="11"/>
  <c r="BC186" i="11"/>
  <c r="BC198" i="11"/>
  <c r="BC163" i="11"/>
  <c r="BC181" i="11"/>
  <c r="BC188" i="11"/>
  <c r="BC162" i="11"/>
  <c r="BC225" i="11"/>
  <c r="BC241" i="11"/>
  <c r="BC257" i="11"/>
  <c r="BC273" i="11"/>
  <c r="BC289" i="11"/>
  <c r="BC316" i="11"/>
  <c r="BC156" i="11"/>
  <c r="BC204" i="11"/>
  <c r="BC171" i="11"/>
  <c r="BC192" i="11"/>
  <c r="BC146" i="11"/>
  <c r="BC223" i="11"/>
  <c r="BC239" i="11"/>
  <c r="BC255" i="11"/>
  <c r="BC271" i="11"/>
  <c r="BC287" i="11"/>
  <c r="BC312" i="11"/>
  <c r="BC317" i="11"/>
  <c r="BC203" i="11"/>
  <c r="BC170" i="11"/>
  <c r="BC182" i="11"/>
  <c r="BC165" i="11"/>
  <c r="BC234" i="11"/>
  <c r="BC266" i="11"/>
  <c r="BC150" i="11"/>
  <c r="BC315" i="11"/>
  <c r="AM236" i="11"/>
  <c r="AI172" i="10"/>
  <c r="AI217" i="10"/>
  <c r="AI227" i="10"/>
  <c r="AI238" i="10"/>
  <c r="AI237" i="10"/>
  <c r="AI262" i="10"/>
  <c r="AI223" i="10"/>
  <c r="AI286" i="10"/>
  <c r="AM150" i="11"/>
  <c r="AM271" i="12"/>
  <c r="AM271" i="11"/>
  <c r="AM165" i="12"/>
  <c r="BC197" i="11"/>
  <c r="BC176" i="11"/>
  <c r="BC212" i="11"/>
  <c r="BC244" i="11"/>
  <c r="BC260" i="11"/>
  <c r="BC292" i="11"/>
  <c r="BC210" i="11"/>
  <c r="BC278" i="11"/>
  <c r="BC202" i="11"/>
  <c r="BC213" i="11"/>
  <c r="BC245" i="11"/>
  <c r="BC277" i="11"/>
  <c r="BC293" i="11"/>
  <c r="BC296" i="11"/>
  <c r="BC208" i="11"/>
  <c r="BC153" i="11"/>
  <c r="BC227" i="11"/>
  <c r="BC259" i="11"/>
  <c r="BC291" i="11"/>
  <c r="BC152" i="11"/>
  <c r="BC145" i="11"/>
  <c r="AM300" i="11"/>
  <c r="AI197" i="10"/>
  <c r="AI143" i="10"/>
  <c r="AI145" i="10"/>
  <c r="AI214" i="10"/>
  <c r="AI246" i="10"/>
  <c r="AI310" i="10"/>
  <c r="AI278" i="10"/>
  <c r="AM195" i="12"/>
  <c r="AM299" i="11"/>
  <c r="AF139" i="10"/>
  <c r="BC144" i="11"/>
  <c r="BC205" i="11"/>
  <c r="BC172" i="11"/>
  <c r="BC187" i="11"/>
  <c r="BC190" i="11"/>
  <c r="BC220" i="11"/>
  <c r="BC236" i="11"/>
  <c r="BC252" i="11"/>
  <c r="BC268" i="11"/>
  <c r="BC284" i="11"/>
  <c r="BC306" i="11"/>
  <c r="BC311" i="11"/>
  <c r="BC230" i="11"/>
  <c r="BC262" i="11"/>
  <c r="BC302" i="11"/>
  <c r="BC164" i="11"/>
  <c r="BC147" i="11"/>
  <c r="BC177" i="11"/>
  <c r="BC194" i="11"/>
  <c r="BC149" i="11"/>
  <c r="BC221" i="11"/>
  <c r="BC237" i="11"/>
  <c r="BC253" i="11"/>
  <c r="BC269" i="11"/>
  <c r="BC285" i="11"/>
  <c r="BC308" i="11"/>
  <c r="BC313" i="11"/>
  <c r="BC200" i="11"/>
  <c r="BC167" i="11"/>
  <c r="BC183" i="11"/>
  <c r="BC185" i="11"/>
  <c r="BC219" i="11"/>
  <c r="BC235" i="11"/>
  <c r="BC251" i="11"/>
  <c r="BC267" i="11"/>
  <c r="BC283" i="11"/>
  <c r="BC304" i="11"/>
  <c r="BC309" i="11"/>
  <c r="BC199" i="11"/>
  <c r="BC166" i="11"/>
  <c r="BG178" i="11"/>
  <c r="BC158" i="11"/>
  <c r="BC226" i="11"/>
  <c r="BC258" i="11"/>
  <c r="BC286" i="11"/>
  <c r="AM237" i="12"/>
  <c r="AF139" i="11"/>
  <c r="AI188" i="10"/>
  <c r="AI148" i="10"/>
  <c r="AI259" i="10"/>
  <c r="AI183" i="10"/>
  <c r="AI269" i="10"/>
  <c r="AI199" i="10"/>
  <c r="AI161" i="10"/>
  <c r="AI291" i="10"/>
  <c r="AI202" i="10"/>
  <c r="AI255" i="10"/>
  <c r="AI294" i="10"/>
  <c r="AM218" i="12"/>
  <c r="AM272" i="11"/>
  <c r="AM155" i="12"/>
  <c r="G311" i="3"/>
  <c r="AM146" i="12"/>
  <c r="AM143" i="12"/>
  <c r="BG180" i="11"/>
  <c r="AM317" i="12"/>
  <c r="AM302" i="12"/>
  <c r="AM269" i="12"/>
  <c r="BG175" i="11"/>
  <c r="BG199" i="11"/>
  <c r="AM167" i="12"/>
  <c r="AM189" i="12"/>
  <c r="AM170" i="12"/>
  <c r="AM158" i="12"/>
  <c r="AM232" i="12"/>
  <c r="AM289" i="12"/>
  <c r="AM145" i="12"/>
  <c r="AM308" i="12"/>
  <c r="AM283" i="12"/>
  <c r="AM192" i="12"/>
  <c r="AM245" i="12"/>
  <c r="BG200" i="11"/>
  <c r="AM231" i="12"/>
  <c r="AM282" i="12"/>
  <c r="AZ139" i="11"/>
  <c r="AM296" i="12"/>
  <c r="AM207" i="12"/>
  <c r="AM238" i="12"/>
  <c r="AM214" i="12"/>
  <c r="AM256" i="12"/>
  <c r="K22" i="49"/>
  <c r="BG190" i="11"/>
  <c r="BG173" i="11"/>
  <c r="BG183" i="11"/>
  <c r="BG207" i="11"/>
  <c r="BG170" i="11"/>
  <c r="AM242" i="12"/>
  <c r="AM268" i="12"/>
  <c r="AM259" i="12"/>
  <c r="AM168" i="12"/>
  <c r="AM157" i="12"/>
  <c r="AM186" i="12"/>
  <c r="AM244" i="12"/>
  <c r="AM313" i="12"/>
  <c r="AF139" i="12"/>
  <c r="AM219" i="12"/>
  <c r="AM293" i="12"/>
  <c r="AM262" i="12"/>
  <c r="AM176" i="11"/>
  <c r="AM216" i="11"/>
  <c r="AM280" i="11"/>
  <c r="AM213" i="11"/>
  <c r="AM214" i="11"/>
  <c r="AM249" i="11"/>
  <c r="AM275" i="11"/>
  <c r="AM203" i="11"/>
  <c r="BG160" i="11"/>
  <c r="BG168" i="11"/>
  <c r="BG176" i="11"/>
  <c r="BG187" i="11"/>
  <c r="BG198" i="11"/>
  <c r="BG194" i="11"/>
  <c r="BG208" i="11"/>
  <c r="BG171" i="11"/>
  <c r="BG179" i="11"/>
  <c r="AM286" i="11"/>
  <c r="AM278" i="11"/>
  <c r="AM175" i="11"/>
  <c r="AM181" i="11"/>
  <c r="AM276" i="11"/>
  <c r="AM174" i="11"/>
  <c r="AM172" i="11"/>
  <c r="AM208" i="11"/>
  <c r="AM195" i="11"/>
  <c r="BG315" i="11"/>
  <c r="J66" i="37"/>
  <c r="BG201" i="11"/>
  <c r="BG186" i="11"/>
  <c r="BG206" i="11"/>
  <c r="BG169" i="11"/>
  <c r="BG177" i="11"/>
  <c r="BG185" i="11"/>
  <c r="BG184" i="11"/>
  <c r="BG152" i="11"/>
  <c r="BG174" i="11"/>
  <c r="AM256" i="11"/>
  <c r="AM255" i="11"/>
  <c r="AM233" i="11"/>
  <c r="AM313" i="11"/>
  <c r="AM160" i="11"/>
  <c r="AM231" i="11"/>
  <c r="AM277" i="11"/>
  <c r="AM270" i="11"/>
  <c r="AM163" i="11"/>
  <c r="G129" i="14"/>
  <c r="G133" i="14" s="1"/>
  <c r="G36" i="14"/>
  <c r="G38" i="14" s="1"/>
  <c r="L138" i="13"/>
  <c r="AZ138" i="13"/>
  <c r="AF138" i="11"/>
  <c r="AI273" i="10"/>
  <c r="AI165" i="10"/>
  <c r="AI271" i="10"/>
  <c r="AI189" i="10"/>
  <c r="AI221" i="10"/>
  <c r="AI146" i="10"/>
  <c r="AI176" i="10"/>
  <c r="AI149" i="10"/>
  <c r="AI277" i="10"/>
  <c r="AI274" i="10"/>
  <c r="AI206" i="10"/>
  <c r="AI256" i="10"/>
  <c r="AI147" i="10"/>
  <c r="AI216" i="10"/>
  <c r="AI235" i="10"/>
  <c r="AI307" i="10"/>
  <c r="AI257" i="10"/>
  <c r="AI226" i="10"/>
  <c r="AI250" i="10"/>
  <c r="AI213" i="10"/>
  <c r="AI272" i="10"/>
  <c r="AI192" i="10"/>
  <c r="AI288" i="10"/>
  <c r="AI264" i="10"/>
  <c r="AI295" i="10"/>
  <c r="AI309" i="10"/>
  <c r="AI190" i="10"/>
  <c r="AI208" i="10"/>
  <c r="AI155" i="10"/>
  <c r="AI180" i="10"/>
  <c r="AI203" i="10"/>
  <c r="AI312" i="10"/>
  <c r="AI160" i="10"/>
  <c r="AI150" i="10"/>
  <c r="AI171" i="10"/>
  <c r="AI196" i="10"/>
  <c r="AI169" i="10"/>
  <c r="AI304" i="10"/>
  <c r="AI157" i="10"/>
  <c r="AI178" i="10"/>
  <c r="AI205" i="10"/>
  <c r="AI243" i="10"/>
  <c r="AI242" i="10"/>
  <c r="AI275" i="10"/>
  <c r="AI258" i="10"/>
  <c r="AI263" i="10"/>
  <c r="AI298" i="10"/>
  <c r="AI266" i="10"/>
  <c r="AI207" i="10"/>
  <c r="AI297" i="10"/>
  <c r="AI211" i="10"/>
  <c r="AI241" i="10"/>
  <c r="AI198" i="10"/>
  <c r="AI240" i="10"/>
  <c r="AI218" i="10"/>
  <c r="AI185" i="10"/>
  <c r="AI233" i="10"/>
  <c r="AI232" i="10"/>
  <c r="AI163" i="10"/>
  <c r="AI187" i="10"/>
  <c r="AI210" i="10"/>
  <c r="AI280" i="10"/>
  <c r="AI173" i="10"/>
  <c r="AI154" i="10"/>
  <c r="AI175" i="10"/>
  <c r="AI201" i="10"/>
  <c r="AI285" i="10"/>
  <c r="AI296" i="10"/>
  <c r="AI248" i="10"/>
  <c r="AI231" i="10"/>
  <c r="AI290" i="10"/>
  <c r="AI253" i="10"/>
  <c r="AI267" i="10"/>
  <c r="AI209" i="10"/>
  <c r="AI299" i="10"/>
  <c r="AI224" i="10"/>
  <c r="AI303" i="10"/>
  <c r="AI239" i="10"/>
  <c r="AI245" i="10"/>
  <c r="AI316" i="10"/>
  <c r="E148" i="14"/>
  <c r="N22" i="49"/>
  <c r="J22" i="49"/>
  <c r="L22" i="49"/>
  <c r="AM287" i="11"/>
  <c r="AM194" i="11"/>
  <c r="AM288" i="11"/>
  <c r="AM232" i="11"/>
  <c r="AM251" i="11"/>
  <c r="AM312" i="11"/>
  <c r="AM180" i="11"/>
  <c r="AM212" i="11"/>
  <c r="AM169" i="11"/>
  <c r="AM153" i="11"/>
  <c r="AM145" i="11"/>
  <c r="AM291" i="11"/>
  <c r="AM230" i="11"/>
  <c r="AM315" i="11"/>
  <c r="AM250" i="11"/>
  <c r="AM182" i="11"/>
  <c r="AM304" i="11"/>
  <c r="AM186" i="11"/>
  <c r="AM302" i="11"/>
  <c r="AM224" i="11"/>
  <c r="AM225" i="11"/>
  <c r="AM226" i="11"/>
  <c r="AM228" i="11"/>
  <c r="AM234" i="11"/>
  <c r="AM261" i="11"/>
  <c r="AM168" i="11"/>
  <c r="AM204" i="11"/>
  <c r="AM205" i="11"/>
  <c r="AM262" i="11"/>
  <c r="AM201" i="11"/>
  <c r="AM283" i="11"/>
  <c r="AM217" i="11"/>
  <c r="AM167" i="11"/>
  <c r="AM247" i="11"/>
  <c r="AM253" i="11"/>
  <c r="AM274" i="11"/>
  <c r="AM295" i="11"/>
  <c r="AM188" i="11"/>
  <c r="AM155" i="11"/>
  <c r="AM144" i="11"/>
  <c r="AM154" i="11"/>
  <c r="AM260" i="11"/>
  <c r="AM199" i="11"/>
  <c r="AM281" i="11"/>
  <c r="AM215" i="11"/>
  <c r="AM166" i="11"/>
  <c r="AM240" i="11"/>
  <c r="AM245" i="11"/>
  <c r="AM164" i="11"/>
  <c r="AM220" i="11"/>
  <c r="AM238" i="11"/>
  <c r="AM254" i="11"/>
  <c r="AM193" i="11"/>
  <c r="AM259" i="11"/>
  <c r="AM192" i="11"/>
  <c r="AM296" i="11"/>
  <c r="AM310" i="11"/>
  <c r="AM289" i="11"/>
  <c r="AM317" i="11"/>
  <c r="AM266" i="11"/>
  <c r="AM292" i="11"/>
  <c r="AM316" i="11"/>
  <c r="AM184" i="11"/>
  <c r="AM187" i="11"/>
  <c r="AM229" i="11"/>
  <c r="AM301" i="11"/>
  <c r="AM282" i="11"/>
  <c r="AM285" i="11"/>
  <c r="AM293" i="11"/>
  <c r="AM171" i="11"/>
  <c r="AM235" i="11"/>
  <c r="AH143" i="12"/>
  <c r="AM202" i="11"/>
  <c r="AM227" i="11"/>
  <c r="AM297" i="11"/>
  <c r="AM318" i="11"/>
  <c r="AM307" i="11"/>
  <c r="AM246" i="11"/>
  <c r="AM185" i="11"/>
  <c r="AM267" i="11"/>
  <c r="AM200" i="11"/>
  <c r="AM159" i="11"/>
  <c r="AM210" i="11"/>
  <c r="AM219" i="11"/>
  <c r="AM242" i="11"/>
  <c r="AM263" i="11"/>
  <c r="AM177" i="11"/>
  <c r="AM147" i="11"/>
  <c r="AM143" i="13"/>
  <c r="AM161" i="11"/>
  <c r="AM152" i="11"/>
  <c r="AM306" i="11"/>
  <c r="AM244" i="11"/>
  <c r="AM183" i="11"/>
  <c r="AM265" i="11"/>
  <c r="AM198" i="11"/>
  <c r="AM218" i="11"/>
  <c r="AM211" i="11"/>
  <c r="AM305" i="11"/>
  <c r="AM189" i="11"/>
  <c r="AM303" i="11"/>
  <c r="AM239" i="11"/>
  <c r="AM309" i="11"/>
  <c r="AM243" i="11"/>
  <c r="AM179" i="11"/>
  <c r="AM264" i="11"/>
  <c r="AM269" i="11"/>
  <c r="AM258" i="11"/>
  <c r="S318" i="11"/>
  <c r="S204" i="11"/>
  <c r="S158" i="11"/>
  <c r="S295" i="11"/>
  <c r="S301" i="11"/>
  <c r="S236" i="11"/>
  <c r="S172" i="11"/>
  <c r="S302" i="11"/>
  <c r="S288" i="11"/>
  <c r="S220" i="11"/>
  <c r="S317" i="11"/>
  <c r="S252" i="11"/>
  <c r="S188" i="11"/>
  <c r="S310" i="11"/>
  <c r="AM308" i="11"/>
  <c r="S289" i="11"/>
  <c r="S163" i="11"/>
  <c r="S292" i="11"/>
  <c r="S234" i="11"/>
  <c r="S296" i="11"/>
  <c r="S150" i="11"/>
  <c r="S286" i="11"/>
  <c r="S287" i="11"/>
  <c r="AM146" i="11"/>
  <c r="S189" i="11"/>
  <c r="S311" i="11"/>
  <c r="AM222" i="11"/>
  <c r="S193" i="11"/>
  <c r="S280" i="11"/>
  <c r="S303" i="11"/>
  <c r="AM166" i="10"/>
  <c r="AM186" i="10"/>
  <c r="AM195" i="10"/>
  <c r="AM179" i="10"/>
  <c r="AM200" i="10"/>
  <c r="AM184" i="10"/>
  <c r="AM168" i="10"/>
  <c r="AM193" i="10"/>
  <c r="AM177" i="10"/>
  <c r="S168" i="11"/>
  <c r="S195" i="11"/>
  <c r="S315" i="11"/>
  <c r="S190" i="11"/>
  <c r="S218" i="11"/>
  <c r="AM196" i="11"/>
  <c r="S221" i="11"/>
  <c r="S215" i="11"/>
  <c r="AM284" i="11"/>
  <c r="AM178" i="11"/>
  <c r="S225" i="11"/>
  <c r="S276" i="11"/>
  <c r="S293" i="11"/>
  <c r="S227" i="11"/>
  <c r="S208" i="11"/>
  <c r="S222" i="11"/>
  <c r="S143" i="11"/>
  <c r="AM311" i="11"/>
  <c r="S253" i="11"/>
  <c r="S157" i="11"/>
  <c r="AM241" i="11"/>
  <c r="S257" i="11"/>
  <c r="S144" i="11"/>
  <c r="S223" i="11"/>
  <c r="S170" i="11"/>
  <c r="S259" i="11"/>
  <c r="S272" i="11"/>
  <c r="S254" i="11"/>
  <c r="S175" i="11"/>
  <c r="S285" i="11"/>
  <c r="S153" i="11"/>
  <c r="S178" i="11"/>
  <c r="BG313" i="13"/>
  <c r="BG249" i="13"/>
  <c r="BG189" i="13"/>
  <c r="BG310" i="13"/>
  <c r="BG246" i="13"/>
  <c r="BG182" i="13"/>
  <c r="BG303" i="13"/>
  <c r="BG271" i="13"/>
  <c r="BG239" i="13"/>
  <c r="BG207" i="13"/>
  <c r="BG175" i="13"/>
  <c r="BG317" i="13"/>
  <c r="BG253" i="13"/>
  <c r="BG185" i="13"/>
  <c r="BG290" i="13"/>
  <c r="BG226" i="13"/>
  <c r="BG162" i="13"/>
  <c r="BG300" i="13"/>
  <c r="BG268" i="13"/>
  <c r="BG236" i="13"/>
  <c r="BG204" i="13"/>
  <c r="BG172" i="13"/>
  <c r="BG265" i="13"/>
  <c r="BG201" i="13"/>
  <c r="BG145" i="13"/>
  <c r="BG262" i="13"/>
  <c r="BG198" i="13"/>
  <c r="BG311" i="13"/>
  <c r="BG279" i="13"/>
  <c r="BG247" i="13"/>
  <c r="BG215" i="13"/>
  <c r="BG183" i="13"/>
  <c r="BG151" i="13"/>
  <c r="BG269" i="13"/>
  <c r="BG205" i="13"/>
  <c r="BG306" i="13"/>
  <c r="BG242" i="13"/>
  <c r="BG178" i="13"/>
  <c r="BG308" i="13"/>
  <c r="BG276" i="13"/>
  <c r="BG244" i="13"/>
  <c r="BG212" i="13"/>
  <c r="BG180" i="13"/>
  <c r="BG148" i="13"/>
  <c r="BG181" i="13"/>
  <c r="BG302" i="13"/>
  <c r="BG238" i="13"/>
  <c r="BG174" i="13"/>
  <c r="BG235" i="13"/>
  <c r="BG309" i="13"/>
  <c r="BG282" i="13"/>
  <c r="BG218" i="13"/>
  <c r="BG264" i="13"/>
  <c r="BG232" i="13"/>
  <c r="BG193" i="13"/>
  <c r="BG254" i="13"/>
  <c r="BG190" i="13"/>
  <c r="BG243" i="13"/>
  <c r="BG147" i="13"/>
  <c r="BG298" i="13"/>
  <c r="BG288" i="13"/>
  <c r="BG224" i="13"/>
  <c r="BG160" i="13"/>
  <c r="BG273" i="13"/>
  <c r="BG209" i="13"/>
  <c r="BG153" i="13"/>
  <c r="BG270" i="13"/>
  <c r="BG206" i="13"/>
  <c r="BG315" i="13"/>
  <c r="BG283" i="13"/>
  <c r="BG251" i="13"/>
  <c r="BG219" i="13"/>
  <c r="BG187" i="13"/>
  <c r="BG155" i="13"/>
  <c r="BG277" i="13"/>
  <c r="BG213" i="13"/>
  <c r="BG314" i="13"/>
  <c r="BG250" i="13"/>
  <c r="BG186" i="13"/>
  <c r="BG312" i="13"/>
  <c r="BG280" i="13"/>
  <c r="BG248" i="13"/>
  <c r="BG216" i="13"/>
  <c r="BG184" i="13"/>
  <c r="BG152" i="13"/>
  <c r="BG289" i="13"/>
  <c r="BG225" i="13"/>
  <c r="BG165" i="13"/>
  <c r="BG286" i="13"/>
  <c r="BG222" i="13"/>
  <c r="BG158" i="13"/>
  <c r="BG291" i="13"/>
  <c r="BG259" i="13"/>
  <c r="BG227" i="13"/>
  <c r="BG195" i="13"/>
  <c r="BG163" i="13"/>
  <c r="BG293" i="13"/>
  <c r="BG229" i="13"/>
  <c r="BG157" i="13"/>
  <c r="BG266" i="13"/>
  <c r="BG202" i="13"/>
  <c r="BG304" i="13"/>
  <c r="BG272" i="13"/>
  <c r="BG240" i="13"/>
  <c r="BG208" i="13"/>
  <c r="BG176" i="13"/>
  <c r="BG144" i="13"/>
  <c r="BG245" i="13"/>
  <c r="BG299" i="13"/>
  <c r="BG203" i="13"/>
  <c r="BG177" i="13"/>
  <c r="BG154" i="13"/>
  <c r="BG168" i="13"/>
  <c r="BG307" i="13"/>
  <c r="BG211" i="13"/>
  <c r="BG261" i="13"/>
  <c r="BG234" i="13"/>
  <c r="BG256" i="13"/>
  <c r="BG281" i="13"/>
  <c r="BG217" i="13"/>
  <c r="BG161" i="13"/>
  <c r="BG278" i="13"/>
  <c r="BG214" i="13"/>
  <c r="BG150" i="13"/>
  <c r="BG287" i="13"/>
  <c r="BG255" i="13"/>
  <c r="BG223" i="13"/>
  <c r="BG191" i="13"/>
  <c r="BG159" i="13"/>
  <c r="BG285" i="13"/>
  <c r="BG221" i="13"/>
  <c r="BG149" i="13"/>
  <c r="BG258" i="13"/>
  <c r="BG194" i="13"/>
  <c r="BG316" i="13"/>
  <c r="BG284" i="13"/>
  <c r="BG252" i="13"/>
  <c r="BG220" i="13"/>
  <c r="BG188" i="13"/>
  <c r="BG156" i="13"/>
  <c r="BG297" i="13"/>
  <c r="BG233" i="13"/>
  <c r="BG173" i="13"/>
  <c r="BG294" i="13"/>
  <c r="BG230" i="13"/>
  <c r="BG166" i="13"/>
  <c r="BG295" i="13"/>
  <c r="BG263" i="13"/>
  <c r="BG231" i="13"/>
  <c r="BG199" i="13"/>
  <c r="BG167" i="13"/>
  <c r="BG301" i="13"/>
  <c r="BG237" i="13"/>
  <c r="BG169" i="13"/>
  <c r="BG274" i="13"/>
  <c r="BG210" i="13"/>
  <c r="BG146" i="13"/>
  <c r="BG292" i="13"/>
  <c r="BG260" i="13"/>
  <c r="BG228" i="13"/>
  <c r="BG196" i="13"/>
  <c r="BG164" i="13"/>
  <c r="AZ139" i="13"/>
  <c r="BG143" i="13"/>
  <c r="BG305" i="13"/>
  <c r="BG267" i="13"/>
  <c r="BG171" i="13"/>
  <c r="BG241" i="13"/>
  <c r="BG296" i="13"/>
  <c r="BG200" i="13"/>
  <c r="BG257" i="13"/>
  <c r="BG318" i="13"/>
  <c r="BG275" i="13"/>
  <c r="BG179" i="13"/>
  <c r="BG197" i="13"/>
  <c r="BG170" i="13"/>
  <c r="BG192" i="13"/>
  <c r="B43" i="9"/>
  <c r="V135" i="9" s="1"/>
  <c r="Y142" i="9" s="1"/>
  <c r="B43" i="11"/>
  <c r="V135" i="11" s="1"/>
  <c r="Y142" i="11" s="1"/>
  <c r="B43" i="10"/>
  <c r="V135" i="10" s="1"/>
  <c r="Y142" i="10" s="1"/>
  <c r="B43" i="13"/>
  <c r="V135" i="13" s="1"/>
  <c r="Y142" i="13" s="1"/>
  <c r="B43" i="12"/>
  <c r="V135" i="12" s="1"/>
  <c r="Y142" i="12" s="1"/>
  <c r="B10" i="10"/>
  <c r="E9" i="14" s="1"/>
  <c r="B10" i="13"/>
  <c r="H9" i="14" s="1"/>
  <c r="B10" i="12"/>
  <c r="G9" i="14" s="1"/>
  <c r="B10" i="11"/>
  <c r="F9" i="14" s="1"/>
  <c r="C9" i="14"/>
  <c r="BJ134" i="12"/>
  <c r="BQ150" i="12" s="1"/>
  <c r="G148" i="14"/>
  <c r="AH173" i="10"/>
  <c r="AH206" i="10"/>
  <c r="AH177" i="10"/>
  <c r="AH181" i="10"/>
  <c r="AH194" i="10"/>
  <c r="AH167" i="10"/>
  <c r="AH178" i="10"/>
  <c r="AH170" i="10"/>
  <c r="AH203" i="10"/>
  <c r="AH195" i="10"/>
  <c r="AH187" i="10"/>
  <c r="AH192" i="10"/>
  <c r="AH188" i="10"/>
  <c r="AH179" i="10"/>
  <c r="AH202" i="10"/>
  <c r="AH175" i="10"/>
  <c r="AH180" i="10"/>
  <c r="AH172" i="10"/>
  <c r="AH205" i="10"/>
  <c r="AH197" i="10"/>
  <c r="AH189" i="10"/>
  <c r="AH200" i="10"/>
  <c r="AH171" i="10"/>
  <c r="AH196" i="10"/>
  <c r="AH198" i="10"/>
  <c r="AH183" i="10"/>
  <c r="AH182" i="10"/>
  <c r="AH174" i="10"/>
  <c r="AH166" i="10"/>
  <c r="AH199" i="10"/>
  <c r="AH191" i="10"/>
  <c r="AH204" i="10"/>
  <c r="AH186" i="10"/>
  <c r="AH201" i="10"/>
  <c r="AH143" i="10"/>
  <c r="AH193" i="10"/>
  <c r="AH168" i="10"/>
  <c r="AH207" i="10"/>
  <c r="AH169" i="10"/>
  <c r="AH184" i="10"/>
  <c r="AH190" i="10"/>
  <c r="AH176" i="10"/>
  <c r="AH185" i="10"/>
  <c r="AH145" i="10"/>
  <c r="AH149" i="10"/>
  <c r="AH153" i="10"/>
  <c r="AH157" i="10"/>
  <c r="AH161" i="10"/>
  <c r="AH165" i="10"/>
  <c r="AH211" i="10"/>
  <c r="AH215" i="10"/>
  <c r="AH219" i="10"/>
  <c r="AH223" i="10"/>
  <c r="AH227" i="10"/>
  <c r="AH231" i="10"/>
  <c r="AH235" i="10"/>
  <c r="AH239" i="10"/>
  <c r="AH243" i="10"/>
  <c r="AH247" i="10"/>
  <c r="AH251" i="10"/>
  <c r="AH255" i="10"/>
  <c r="AH259" i="10"/>
  <c r="AH263" i="10"/>
  <c r="AH317" i="10"/>
  <c r="AH273" i="10"/>
  <c r="AH285" i="10"/>
  <c r="AH299" i="10"/>
  <c r="AH266" i="10"/>
  <c r="AH274" i="10"/>
  <c r="AH282" i="10"/>
  <c r="AH290" i="10"/>
  <c r="AH298" i="10"/>
  <c r="AH306" i="10"/>
  <c r="AH267" i="10"/>
  <c r="AH287" i="10"/>
  <c r="AH307" i="10"/>
  <c r="AH144" i="10"/>
  <c r="AH148" i="10"/>
  <c r="AH152" i="10"/>
  <c r="AH156" i="10"/>
  <c r="AH160" i="10"/>
  <c r="AH164" i="10"/>
  <c r="AH210" i="10"/>
  <c r="AH214" i="10"/>
  <c r="AH218" i="10"/>
  <c r="AH222" i="10"/>
  <c r="AH226" i="10"/>
  <c r="AH230" i="10"/>
  <c r="AH234" i="10"/>
  <c r="AH238" i="10"/>
  <c r="AH242" i="10"/>
  <c r="AH246" i="10"/>
  <c r="AH250" i="10"/>
  <c r="AH254" i="10"/>
  <c r="AH258" i="10"/>
  <c r="AH262" i="10"/>
  <c r="AH316" i="10"/>
  <c r="AH271" i="10"/>
  <c r="AH283" i="10"/>
  <c r="AH297" i="10"/>
  <c r="AH264" i="10"/>
  <c r="AH272" i="10"/>
  <c r="AH280" i="10"/>
  <c r="AH288" i="10"/>
  <c r="AH296" i="10"/>
  <c r="AH304" i="10"/>
  <c r="AH312" i="10"/>
  <c r="AH277" i="10"/>
  <c r="AH305" i="10"/>
  <c r="AH311" i="10"/>
  <c r="AG142" i="10"/>
  <c r="AH147" i="10"/>
  <c r="AH151" i="10"/>
  <c r="AH155" i="10"/>
  <c r="AH159" i="10"/>
  <c r="AH163" i="10"/>
  <c r="AH209" i="10"/>
  <c r="AH213" i="10"/>
  <c r="AH217" i="10"/>
  <c r="AH221" i="10"/>
  <c r="AH225" i="10"/>
  <c r="AH229" i="10"/>
  <c r="AH233" i="10"/>
  <c r="AH237" i="10"/>
  <c r="AH241" i="10"/>
  <c r="AH245" i="10"/>
  <c r="AH249" i="10"/>
  <c r="AH253" i="10"/>
  <c r="AH257" i="10"/>
  <c r="AH261" i="10"/>
  <c r="AH315" i="10"/>
  <c r="AH265" i="10"/>
  <c r="AH281" i="10"/>
  <c r="AH291" i="10"/>
  <c r="AH303" i="10"/>
  <c r="AH270" i="10"/>
  <c r="AH278" i="10"/>
  <c r="AH286" i="10"/>
  <c r="AH294" i="10"/>
  <c r="AH302" i="10"/>
  <c r="AH310" i="10"/>
  <c r="AH275" i="10"/>
  <c r="AH295" i="10"/>
  <c r="AH313" i="10"/>
  <c r="AH158" i="10"/>
  <c r="AH216" i="10"/>
  <c r="AH232" i="10"/>
  <c r="AH248" i="10"/>
  <c r="AH314" i="10"/>
  <c r="AH301" i="10"/>
  <c r="AH292" i="10"/>
  <c r="AH293" i="10"/>
  <c r="AH162" i="10"/>
  <c r="AH252" i="10"/>
  <c r="AH268" i="10"/>
  <c r="AH154" i="10"/>
  <c r="AH212" i="10"/>
  <c r="AH228" i="10"/>
  <c r="AH244" i="10"/>
  <c r="AH260" i="10"/>
  <c r="AH289" i="10"/>
  <c r="AH284" i="10"/>
  <c r="AH269" i="10"/>
  <c r="AH146" i="10"/>
  <c r="AH236" i="10"/>
  <c r="AH300" i="10"/>
  <c r="AH150" i="10"/>
  <c r="AH208" i="10"/>
  <c r="AH224" i="10"/>
  <c r="AH240" i="10"/>
  <c r="AH256" i="10"/>
  <c r="AH279" i="10"/>
  <c r="AH276" i="10"/>
  <c r="AH308" i="10"/>
  <c r="AH220" i="10"/>
  <c r="AH318" i="10"/>
  <c r="AH309" i="10"/>
  <c r="BD142" i="13"/>
  <c r="BB142" i="13"/>
  <c r="AJ207" i="10"/>
  <c r="AJ185" i="10"/>
  <c r="AJ143" i="10"/>
  <c r="AK142" i="10"/>
  <c r="AJ173" i="10"/>
  <c r="AJ181" i="10"/>
  <c r="AJ146" i="10"/>
  <c r="AJ150" i="10"/>
  <c r="AJ154" i="10"/>
  <c r="AJ158" i="10"/>
  <c r="AJ162" i="10"/>
  <c r="AJ189" i="10"/>
  <c r="AJ197" i="10"/>
  <c r="AJ205" i="10"/>
  <c r="AJ196" i="10"/>
  <c r="AJ216" i="10"/>
  <c r="AJ232" i="10"/>
  <c r="AJ248" i="10"/>
  <c r="AJ168" i="10"/>
  <c r="AJ218" i="10"/>
  <c r="AJ317" i="10"/>
  <c r="AJ225" i="10"/>
  <c r="AJ245" i="10"/>
  <c r="AJ270" i="10"/>
  <c r="AJ284" i="10"/>
  <c r="AJ298" i="10"/>
  <c r="AJ166" i="10"/>
  <c r="AJ198" i="10"/>
  <c r="AJ219" i="10"/>
  <c r="AJ235" i="10"/>
  <c r="AJ251" i="10"/>
  <c r="AJ265" i="10"/>
  <c r="AJ273" i="10"/>
  <c r="AJ281" i="10"/>
  <c r="AJ289" i="10"/>
  <c r="AJ297" i="10"/>
  <c r="AJ305" i="10"/>
  <c r="AJ313" i="10"/>
  <c r="AJ222" i="10"/>
  <c r="AJ238" i="10"/>
  <c r="AJ254" i="10"/>
  <c r="AJ178" i="10"/>
  <c r="AJ213" i="10"/>
  <c r="AJ261" i="10"/>
  <c r="AJ276" i="10"/>
  <c r="AJ294" i="10"/>
  <c r="AJ310" i="10"/>
  <c r="AJ171" i="10"/>
  <c r="AJ179" i="10"/>
  <c r="AJ145" i="10"/>
  <c r="AJ149" i="10"/>
  <c r="AJ153" i="10"/>
  <c r="AJ157" i="10"/>
  <c r="AJ161" i="10"/>
  <c r="AJ187" i="10"/>
  <c r="AJ195" i="10"/>
  <c r="AJ203" i="10"/>
  <c r="AJ188" i="10"/>
  <c r="AJ212" i="10"/>
  <c r="AJ228" i="10"/>
  <c r="AJ244" i="10"/>
  <c r="AJ260" i="10"/>
  <c r="AJ214" i="10"/>
  <c r="AJ316" i="10"/>
  <c r="AJ217" i="10"/>
  <c r="AJ241" i="10"/>
  <c r="AJ264" i="10"/>
  <c r="AJ280" i="10"/>
  <c r="AJ296" i="10"/>
  <c r="AJ165" i="10"/>
  <c r="AJ190" i="10"/>
  <c r="AJ215" i="10"/>
  <c r="AJ231" i="10"/>
  <c r="AJ247" i="10"/>
  <c r="AJ263" i="10"/>
  <c r="AJ271" i="10"/>
  <c r="AJ279" i="10"/>
  <c r="AJ287" i="10"/>
  <c r="AJ295" i="10"/>
  <c r="AJ303" i="10"/>
  <c r="AJ311" i="10"/>
  <c r="AJ210" i="10"/>
  <c r="AJ234" i="10"/>
  <c r="AJ250" i="10"/>
  <c r="AJ170" i="10"/>
  <c r="AJ202" i="10"/>
  <c r="AJ249" i="10"/>
  <c r="AJ274" i="10"/>
  <c r="AJ292" i="10"/>
  <c r="AJ306" i="10"/>
  <c r="AJ169" i="10"/>
  <c r="AJ177" i="10"/>
  <c r="AJ144" i="10"/>
  <c r="AJ148" i="10"/>
  <c r="AJ152" i="10"/>
  <c r="AJ156" i="10"/>
  <c r="AJ160" i="10"/>
  <c r="AJ164" i="10"/>
  <c r="AJ193" i="10"/>
  <c r="AJ201" i="10"/>
  <c r="AJ180" i="10"/>
  <c r="AJ208" i="10"/>
  <c r="AJ224" i="10"/>
  <c r="AJ240" i="10"/>
  <c r="AJ256" i="10"/>
  <c r="AJ192" i="10"/>
  <c r="AJ315" i="10"/>
  <c r="AJ209" i="10"/>
  <c r="AJ237" i="10"/>
  <c r="AJ257" i="10"/>
  <c r="AJ278" i="10"/>
  <c r="AJ290" i="10"/>
  <c r="AJ308" i="10"/>
  <c r="AJ182" i="10"/>
  <c r="AJ211" i="10"/>
  <c r="AJ227" i="10"/>
  <c r="AJ243" i="10"/>
  <c r="AJ259" i="10"/>
  <c r="AJ269" i="10"/>
  <c r="AJ277" i="10"/>
  <c r="AJ285" i="10"/>
  <c r="AJ293" i="10"/>
  <c r="AJ301" i="10"/>
  <c r="AJ309" i="10"/>
  <c r="AJ200" i="10"/>
  <c r="AJ230" i="10"/>
  <c r="AJ246" i="10"/>
  <c r="AJ262" i="10"/>
  <c r="AJ194" i="10"/>
  <c r="AJ229" i="10"/>
  <c r="AJ268" i="10"/>
  <c r="AJ286" i="10"/>
  <c r="AJ304" i="10"/>
  <c r="AJ183" i="10"/>
  <c r="AJ159" i="10"/>
  <c r="AJ172" i="10"/>
  <c r="AJ252" i="10"/>
  <c r="AJ233" i="10"/>
  <c r="AJ302" i="10"/>
  <c r="AJ239" i="10"/>
  <c r="AJ283" i="10"/>
  <c r="AJ184" i="10"/>
  <c r="AJ186" i="10"/>
  <c r="AJ300" i="10"/>
  <c r="AJ147" i="10"/>
  <c r="AJ176" i="10"/>
  <c r="AJ255" i="10"/>
  <c r="AJ221" i="10"/>
  <c r="AJ175" i="10"/>
  <c r="AJ155" i="10"/>
  <c r="AJ199" i="10"/>
  <c r="AJ236" i="10"/>
  <c r="AJ318" i="10"/>
  <c r="AJ288" i="10"/>
  <c r="AJ223" i="10"/>
  <c r="AJ275" i="10"/>
  <c r="AJ307" i="10"/>
  <c r="AJ258" i="10"/>
  <c r="AJ282" i="10"/>
  <c r="AJ163" i="10"/>
  <c r="AJ253" i="10"/>
  <c r="AJ291" i="10"/>
  <c r="AJ167" i="10"/>
  <c r="AJ151" i="10"/>
  <c r="AJ191" i="10"/>
  <c r="AJ220" i="10"/>
  <c r="AJ314" i="10"/>
  <c r="AJ272" i="10"/>
  <c r="AJ206" i="10"/>
  <c r="AJ267" i="10"/>
  <c r="AJ299" i="10"/>
  <c r="AJ242" i="10"/>
  <c r="AJ266" i="10"/>
  <c r="AJ204" i="10"/>
  <c r="AJ174" i="10"/>
  <c r="AJ226" i="10"/>
  <c r="AJ312" i="10"/>
  <c r="B75" i="9"/>
  <c r="B75" i="11"/>
  <c r="B75" i="10"/>
  <c r="B75" i="13"/>
  <c r="B75" i="12"/>
  <c r="C103" i="14"/>
  <c r="B78" i="13"/>
  <c r="AP138" i="13" s="1"/>
  <c r="AP134" i="13"/>
  <c r="AW143" i="13" s="1"/>
  <c r="H106" i="14"/>
  <c r="H110" i="14" s="1"/>
  <c r="H102" i="14"/>
  <c r="AK142" i="11"/>
  <c r="AJ218" i="11"/>
  <c r="AJ161" i="11"/>
  <c r="AJ301" i="11"/>
  <c r="AJ245" i="11"/>
  <c r="AJ186" i="11"/>
  <c r="AJ305" i="11"/>
  <c r="AJ282" i="11"/>
  <c r="AJ189" i="11"/>
  <c r="AJ271" i="11"/>
  <c r="AJ238" i="11"/>
  <c r="AJ270" i="11"/>
  <c r="AJ254" i="11"/>
  <c r="AJ239" i="11"/>
  <c r="AJ179" i="11"/>
  <c r="AJ171" i="11"/>
  <c r="AJ163" i="11"/>
  <c r="AJ148" i="11"/>
  <c r="AJ226" i="11"/>
  <c r="AJ310" i="11"/>
  <c r="AJ289" i="11"/>
  <c r="AJ258" i="11"/>
  <c r="AJ197" i="11"/>
  <c r="AJ279" i="11"/>
  <c r="AJ221" i="11"/>
  <c r="AJ160" i="11"/>
  <c r="AJ173" i="11"/>
  <c r="AJ165" i="11"/>
  <c r="AJ314" i="11"/>
  <c r="AJ298" i="11"/>
  <c r="AJ284" i="11"/>
  <c r="AJ268" i="11"/>
  <c r="AJ252" i="11"/>
  <c r="AJ143" i="11"/>
  <c r="AJ308" i="11"/>
  <c r="AJ241" i="11"/>
  <c r="AJ178" i="11"/>
  <c r="AJ162" i="11"/>
  <c r="AJ256" i="11"/>
  <c r="AJ261" i="11"/>
  <c r="AJ227" i="11"/>
  <c r="AJ157" i="11"/>
  <c r="AJ149" i="11"/>
  <c r="AJ236" i="11"/>
  <c r="AJ204" i="11"/>
  <c r="AJ318" i="11"/>
  <c r="AJ288" i="11"/>
  <c r="AJ292" i="11"/>
  <c r="AJ232" i="11"/>
  <c r="AJ216" i="11"/>
  <c r="AJ201" i="11"/>
  <c r="AJ185" i="11"/>
  <c r="AJ316" i="11"/>
  <c r="AJ300" i="11"/>
  <c r="AJ283" i="11"/>
  <c r="AJ267" i="11"/>
  <c r="AJ251" i="11"/>
  <c r="AJ233" i="11"/>
  <c r="AJ217" i="11"/>
  <c r="AJ200" i="11"/>
  <c r="AJ184" i="11"/>
  <c r="AJ156" i="11"/>
  <c r="AJ159" i="11"/>
  <c r="AJ312" i="11"/>
  <c r="AJ280" i="11"/>
  <c r="AJ187" i="11"/>
  <c r="AJ219" i="11"/>
  <c r="AJ180" i="11"/>
  <c r="AJ212" i="11"/>
  <c r="AJ295" i="11"/>
  <c r="AJ188" i="11"/>
  <c r="AJ169" i="11"/>
  <c r="AJ158" i="11"/>
  <c r="AJ146" i="11"/>
  <c r="AJ237" i="11"/>
  <c r="AJ222" i="11"/>
  <c r="AJ206" i="11"/>
  <c r="AJ191" i="11"/>
  <c r="AJ290" i="11"/>
  <c r="AJ273" i="11"/>
  <c r="AJ257" i="11"/>
  <c r="AJ223" i="11"/>
  <c r="AJ207" i="11"/>
  <c r="AJ190" i="11"/>
  <c r="AJ170" i="11"/>
  <c r="AJ287" i="11"/>
  <c r="AJ234" i="11"/>
  <c r="AJ202" i="11"/>
  <c r="AJ317" i="11"/>
  <c r="AJ286" i="11"/>
  <c r="AJ194" i="11"/>
  <c r="AJ176" i="11"/>
  <c r="AJ168" i="11"/>
  <c r="AJ153" i="11"/>
  <c r="AJ297" i="11"/>
  <c r="AJ266" i="11"/>
  <c r="AJ255" i="11"/>
  <c r="AJ205" i="11"/>
  <c r="AJ307" i="11"/>
  <c r="AJ278" i="11"/>
  <c r="AJ262" i="11"/>
  <c r="AJ246" i="11"/>
  <c r="AJ144" i="11"/>
  <c r="AJ175" i="11"/>
  <c r="AJ167" i="11"/>
  <c r="AJ152" i="11"/>
  <c r="AJ247" i="11"/>
  <c r="AJ210" i="11"/>
  <c r="AJ294" i="11"/>
  <c r="AJ253" i="11"/>
  <c r="AJ145" i="11"/>
  <c r="AJ313" i="11"/>
  <c r="AJ274" i="11"/>
  <c r="AJ242" i="11"/>
  <c r="AJ304" i="11"/>
  <c r="AJ240" i="11"/>
  <c r="AJ277" i="11"/>
  <c r="AJ211" i="11"/>
  <c r="AJ172" i="11"/>
  <c r="AJ220" i="11"/>
  <c r="AJ302" i="11"/>
  <c r="AJ303" i="11"/>
  <c r="AJ208" i="11"/>
  <c r="AJ293" i="11"/>
  <c r="AJ259" i="11"/>
  <c r="AJ225" i="11"/>
  <c r="AJ192" i="11"/>
  <c r="AJ296" i="11"/>
  <c r="AJ235" i="11"/>
  <c r="AJ181" i="11"/>
  <c r="AJ311" i="11"/>
  <c r="AJ263" i="11"/>
  <c r="AJ248" i="11"/>
  <c r="AJ229" i="11"/>
  <c r="AJ213" i="11"/>
  <c r="AJ196" i="11"/>
  <c r="AJ177" i="11"/>
  <c r="AJ154" i="11"/>
  <c r="AJ291" i="11"/>
  <c r="AJ276" i="11"/>
  <c r="AJ260" i="11"/>
  <c r="AJ244" i="11"/>
  <c r="AJ315" i="11"/>
  <c r="AJ299" i="11"/>
  <c r="AJ174" i="11"/>
  <c r="AJ166" i="11"/>
  <c r="AJ272" i="11"/>
  <c r="AJ164" i="11"/>
  <c r="AJ249" i="11"/>
  <c r="AJ150" i="11"/>
  <c r="AJ285" i="11"/>
  <c r="AJ224" i="11"/>
  <c r="AJ193" i="11"/>
  <c r="AJ309" i="11"/>
  <c r="AJ275" i="11"/>
  <c r="AJ243" i="11"/>
  <c r="AJ209" i="11"/>
  <c r="AJ264" i="11"/>
  <c r="AJ195" i="11"/>
  <c r="AJ269" i="11"/>
  <c r="AJ203" i="11"/>
  <c r="AJ228" i="11"/>
  <c r="AJ306" i="11"/>
  <c r="AJ230" i="11"/>
  <c r="AJ214" i="11"/>
  <c r="AJ199" i="11"/>
  <c r="AJ183" i="11"/>
  <c r="AJ281" i="11"/>
  <c r="AJ265" i="11"/>
  <c r="AJ250" i="11"/>
  <c r="AJ231" i="11"/>
  <c r="AJ215" i="11"/>
  <c r="AJ198" i="11"/>
  <c r="AJ182" i="11"/>
  <c r="AJ155" i="11"/>
  <c r="AJ151" i="11"/>
  <c r="AJ147" i="11"/>
  <c r="AM209" i="10"/>
  <c r="AM219" i="10"/>
  <c r="AM259" i="10"/>
  <c r="AM275" i="10"/>
  <c r="AM293" i="10"/>
  <c r="AM309" i="10"/>
  <c r="AM235" i="10"/>
  <c r="AM263" i="10"/>
  <c r="AM279" i="10"/>
  <c r="AM295" i="10"/>
  <c r="AM318" i="10"/>
  <c r="AM314" i="10"/>
  <c r="AM148" i="10"/>
  <c r="AM244" i="10"/>
  <c r="AM310" i="10"/>
  <c r="AM302" i="10"/>
  <c r="AM294" i="10"/>
  <c r="AM286" i="10"/>
  <c r="AM278" i="10"/>
  <c r="AM270" i="10"/>
  <c r="AM261" i="10"/>
  <c r="AM245" i="10"/>
  <c r="AM229" i="10"/>
  <c r="AM213" i="10"/>
  <c r="AM159" i="10"/>
  <c r="AM151" i="10"/>
  <c r="AM154" i="10"/>
  <c r="AM248" i="10"/>
  <c r="AM220" i="10"/>
  <c r="AM143" i="10"/>
  <c r="AM250" i="10"/>
  <c r="AM234" i="10"/>
  <c r="AM218" i="10"/>
  <c r="AM211" i="10"/>
  <c r="AM247" i="10"/>
  <c r="AM273" i="10"/>
  <c r="AM291" i="10"/>
  <c r="AM305" i="10"/>
  <c r="AM231" i="10"/>
  <c r="AM255" i="10"/>
  <c r="AM277" i="10"/>
  <c r="AM289" i="10"/>
  <c r="AM307" i="10"/>
  <c r="AM315" i="10"/>
  <c r="AM152" i="10"/>
  <c r="AM252" i="10"/>
  <c r="AM212" i="10"/>
  <c r="AM312" i="10"/>
  <c r="AM304" i="10"/>
  <c r="AM296" i="10"/>
  <c r="AM288" i="10"/>
  <c r="AM280" i="10"/>
  <c r="AM272" i="10"/>
  <c r="AM264" i="10"/>
  <c r="AM249" i="10"/>
  <c r="AM233" i="10"/>
  <c r="AM217" i="10"/>
  <c r="AM161" i="10"/>
  <c r="AM153" i="10"/>
  <c r="AM145" i="10"/>
  <c r="AM158" i="10"/>
  <c r="AM256" i="10"/>
  <c r="AM228" i="10"/>
  <c r="AM254" i="10"/>
  <c r="AM238" i="10"/>
  <c r="AM222" i="10"/>
  <c r="AM208" i="10"/>
  <c r="AM239" i="10"/>
  <c r="AM267" i="10"/>
  <c r="AM285" i="10"/>
  <c r="AM303" i="10"/>
  <c r="AM223" i="10"/>
  <c r="AM251" i="10"/>
  <c r="AM271" i="10"/>
  <c r="AM287" i="10"/>
  <c r="AM301" i="10"/>
  <c r="AM316" i="10"/>
  <c r="AM156" i="10"/>
  <c r="AM260" i="10"/>
  <c r="AM224" i="10"/>
  <c r="AM306" i="10"/>
  <c r="AM298" i="10"/>
  <c r="AM290" i="10"/>
  <c r="AM282" i="10"/>
  <c r="AM274" i="10"/>
  <c r="AM266" i="10"/>
  <c r="AM253" i="10"/>
  <c r="AM237" i="10"/>
  <c r="AM221" i="10"/>
  <c r="AM163" i="10"/>
  <c r="AM155" i="10"/>
  <c r="AM147" i="10"/>
  <c r="AM160" i="10"/>
  <c r="AM146" i="10"/>
  <c r="AM232" i="10"/>
  <c r="AM258" i="10"/>
  <c r="AM242" i="10"/>
  <c r="AM226" i="10"/>
  <c r="AM210" i="10"/>
  <c r="AM227" i="10"/>
  <c r="AM215" i="10"/>
  <c r="AM297" i="10"/>
  <c r="AM144" i="10"/>
  <c r="AM300" i="10"/>
  <c r="AM268" i="10"/>
  <c r="AM164" i="10"/>
  <c r="AM262" i="10"/>
  <c r="AM265" i="10"/>
  <c r="AM236" i="10"/>
  <c r="AM257" i="10"/>
  <c r="AM150" i="10"/>
  <c r="AM299" i="10"/>
  <c r="AM283" i="10"/>
  <c r="AM162" i="10"/>
  <c r="AM308" i="10"/>
  <c r="AM276" i="10"/>
  <c r="AM225" i="10"/>
  <c r="AM149" i="10"/>
  <c r="AM216" i="10"/>
  <c r="AM214" i="10"/>
  <c r="AM317" i="10"/>
  <c r="AM281" i="10"/>
  <c r="AM269" i="10"/>
  <c r="AM313" i="10"/>
  <c r="AM284" i="10"/>
  <c r="AM241" i="10"/>
  <c r="AM157" i="10"/>
  <c r="AM240" i="10"/>
  <c r="AM230" i="10"/>
  <c r="AM165" i="10"/>
  <c r="AM243" i="10"/>
  <c r="AM292" i="10"/>
  <c r="AM246" i="10"/>
  <c r="AK142" i="13"/>
  <c r="AK143" i="13" s="1"/>
  <c r="AJ143" i="13"/>
  <c r="BD142" i="12"/>
  <c r="BB142" i="12"/>
  <c r="BC143" i="12"/>
  <c r="L66" i="37"/>
  <c r="BG161" i="11"/>
  <c r="BG299" i="11"/>
  <c r="BG216" i="11"/>
  <c r="BG224" i="11"/>
  <c r="BG232" i="11"/>
  <c r="BG240" i="11"/>
  <c r="BG248" i="11"/>
  <c r="BG256" i="11"/>
  <c r="BG264" i="11"/>
  <c r="BG272" i="11"/>
  <c r="BG280" i="11"/>
  <c r="BG288" i="11"/>
  <c r="BG314" i="11"/>
  <c r="BG303" i="11"/>
  <c r="BG222" i="11"/>
  <c r="BG238" i="11"/>
  <c r="BG250" i="11"/>
  <c r="BG270" i="11"/>
  <c r="BG290" i="11"/>
  <c r="BG163" i="11"/>
  <c r="BG189" i="11"/>
  <c r="BG213" i="11"/>
  <c r="BG221" i="11"/>
  <c r="BG229" i="11"/>
  <c r="BG237" i="11"/>
  <c r="BG245" i="11"/>
  <c r="BG253" i="11"/>
  <c r="BG261" i="11"/>
  <c r="BG269" i="11"/>
  <c r="BG277" i="11"/>
  <c r="BG285" i="11"/>
  <c r="BG293" i="11"/>
  <c r="BG308" i="11"/>
  <c r="BG296" i="11"/>
  <c r="BG313" i="11"/>
  <c r="BG153" i="11"/>
  <c r="BG297" i="11"/>
  <c r="BG215" i="11"/>
  <c r="BG223" i="11"/>
  <c r="BG231" i="11"/>
  <c r="BG239" i="11"/>
  <c r="BG247" i="11"/>
  <c r="BG255" i="11"/>
  <c r="BG263" i="11"/>
  <c r="BG271" i="11"/>
  <c r="BG279" i="11"/>
  <c r="BG287" i="11"/>
  <c r="BG312" i="11"/>
  <c r="BG298" i="11"/>
  <c r="BG317" i="11"/>
  <c r="BG214" i="11"/>
  <c r="BG226" i="11"/>
  <c r="BG246" i="11"/>
  <c r="BG258" i="11"/>
  <c r="BG274" i="11"/>
  <c r="BG286" i="11"/>
  <c r="BG150" i="11"/>
  <c r="BG310" i="11"/>
  <c r="BG307" i="11"/>
  <c r="AM151" i="12"/>
  <c r="AM215" i="12"/>
  <c r="AM279" i="12"/>
  <c r="AM206" i="12"/>
  <c r="AM161" i="12"/>
  <c r="AM285" i="12"/>
  <c r="AM188" i="12"/>
  <c r="AM252" i="12"/>
  <c r="AM316" i="12"/>
  <c r="AM254" i="12"/>
  <c r="AM201" i="12"/>
  <c r="AI164" i="10"/>
  <c r="AI159" i="10"/>
  <c r="AI260" i="10"/>
  <c r="AI156" i="10"/>
  <c r="AI215" i="10"/>
  <c r="AI252" i="10"/>
  <c r="AI308" i="10"/>
  <c r="AI276" i="10"/>
  <c r="AI225" i="10"/>
  <c r="AI317" i="10"/>
  <c r="AM179" i="12"/>
  <c r="AM243" i="12"/>
  <c r="AM307" i="12"/>
  <c r="AM266" i="12"/>
  <c r="AM213" i="12"/>
  <c r="AM152" i="12"/>
  <c r="AM216" i="12"/>
  <c r="AM280" i="12"/>
  <c r="AM190" i="12"/>
  <c r="AM306" i="12"/>
  <c r="AM257" i="12"/>
  <c r="AM191" i="12"/>
  <c r="AM255" i="12"/>
  <c r="AM150" i="12"/>
  <c r="AM294" i="12"/>
  <c r="AM233" i="12"/>
  <c r="AM164" i="12"/>
  <c r="AM228" i="12"/>
  <c r="AM292" i="12"/>
  <c r="AM210" i="12"/>
  <c r="AM149" i="12"/>
  <c r="AM281" i="12"/>
  <c r="AM298" i="11"/>
  <c r="AM237" i="11"/>
  <c r="AM143" i="11"/>
  <c r="AM257" i="11"/>
  <c r="AM190" i="11"/>
  <c r="AM151" i="11"/>
  <c r="S298" i="11"/>
  <c r="S265" i="11"/>
  <c r="S233" i="11"/>
  <c r="S201" i="11"/>
  <c r="S169" i="11"/>
  <c r="S155" i="11"/>
  <c r="S308" i="11"/>
  <c r="S239" i="11"/>
  <c r="S167" i="11"/>
  <c r="S149" i="11"/>
  <c r="S258" i="11"/>
  <c r="S186" i="11"/>
  <c r="AM194" i="10"/>
  <c r="AM182" i="10"/>
  <c r="AM202" i="10"/>
  <c r="AM174" i="10"/>
  <c r="AM199" i="10"/>
  <c r="AM183" i="10"/>
  <c r="AM167" i="10"/>
  <c r="AM204" i="10"/>
  <c r="AM188" i="10"/>
  <c r="AM172" i="10"/>
  <c r="AM197" i="10"/>
  <c r="AM181" i="10"/>
  <c r="S196" i="11"/>
  <c r="S304" i="11"/>
  <c r="S267" i="11"/>
  <c r="S235" i="11"/>
  <c r="S203" i="11"/>
  <c r="S171" i="11"/>
  <c r="S284" i="11"/>
  <c r="S224" i="11"/>
  <c r="S146" i="11"/>
  <c r="S291" i="11"/>
  <c r="S262" i="11"/>
  <c r="S230" i="11"/>
  <c r="S198" i="11"/>
  <c r="S166" i="11"/>
  <c r="AM148" i="11"/>
  <c r="S316" i="11"/>
  <c r="S207" i="11"/>
  <c r="S200" i="11"/>
  <c r="S242" i="11"/>
  <c r="AM203" i="12"/>
  <c r="AM267" i="12"/>
  <c r="AM174" i="12"/>
  <c r="AM318" i="12"/>
  <c r="AM261" i="12"/>
  <c r="AM176" i="12"/>
  <c r="AM240" i="12"/>
  <c r="AM304" i="12"/>
  <c r="AM230" i="12"/>
  <c r="AM209" i="12"/>
  <c r="AM197" i="11"/>
  <c r="AM221" i="11"/>
  <c r="AM158" i="11"/>
  <c r="S306" i="11"/>
  <c r="S261" i="11"/>
  <c r="S229" i="11"/>
  <c r="S197" i="11"/>
  <c r="S160" i="11"/>
  <c r="S164" i="11"/>
  <c r="S247" i="11"/>
  <c r="S216" i="11"/>
  <c r="S202" i="11"/>
  <c r="B78" i="10"/>
  <c r="AP138" i="10" s="1"/>
  <c r="AP134" i="10"/>
  <c r="AP139" i="10" s="1"/>
  <c r="E102" i="14"/>
  <c r="BG233" i="9"/>
  <c r="BG293" i="9"/>
  <c r="BG269" i="9"/>
  <c r="BG245" i="9"/>
  <c r="BG191" i="9"/>
  <c r="BG217" i="9"/>
  <c r="BG153" i="9"/>
  <c r="BG179" i="9"/>
  <c r="BG235" i="9"/>
  <c r="BG195" i="9"/>
  <c r="BG197" i="9"/>
  <c r="BG311" i="9"/>
  <c r="BG279" i="9"/>
  <c r="BG263" i="9"/>
  <c r="BG239" i="9"/>
  <c r="BG183" i="9"/>
  <c r="BG193" i="9"/>
  <c r="BG157" i="9"/>
  <c r="BG205" i="9"/>
  <c r="BG309" i="9"/>
  <c r="BG273" i="9"/>
  <c r="BG249" i="9"/>
  <c r="BG207" i="9"/>
  <c r="BG143" i="9"/>
  <c r="BG169" i="9"/>
  <c r="BG147" i="9"/>
  <c r="BG165" i="9"/>
  <c r="BG173" i="9"/>
  <c r="BG203" i="9"/>
  <c r="BG315" i="9"/>
  <c r="BG283" i="9"/>
  <c r="BG267" i="9"/>
  <c r="BG247" i="9"/>
  <c r="BG199" i="9"/>
  <c r="BG209" i="9"/>
  <c r="BG145" i="9"/>
  <c r="BG213" i="9"/>
  <c r="BG317" i="9"/>
  <c r="BG265" i="9"/>
  <c r="BG175" i="9"/>
  <c r="BG163" i="9"/>
  <c r="BG291" i="9"/>
  <c r="BG259" i="9"/>
  <c r="BG167" i="9"/>
  <c r="BG189" i="9"/>
  <c r="BG313" i="9"/>
  <c r="BG281" i="9"/>
  <c r="BG257" i="9"/>
  <c r="BG223" i="9"/>
  <c r="BG159" i="9"/>
  <c r="BG185" i="9"/>
  <c r="BG149" i="9"/>
  <c r="BG227" i="9"/>
  <c r="BG187" i="9"/>
  <c r="BG171" i="9"/>
  <c r="BG181" i="9"/>
  <c r="BG287" i="9"/>
  <c r="BG271" i="9"/>
  <c r="BG255" i="9"/>
  <c r="BG215" i="9"/>
  <c r="BG151" i="9"/>
  <c r="BG161" i="9"/>
  <c r="BG221" i="9"/>
  <c r="BG289" i="9"/>
  <c r="BG237" i="9"/>
  <c r="BG201" i="9"/>
  <c r="BG211" i="9"/>
  <c r="BG219" i="9"/>
  <c r="BG229" i="9"/>
  <c r="BG275" i="9"/>
  <c r="BG231" i="9"/>
  <c r="BG177" i="9"/>
  <c r="BG155" i="9"/>
  <c r="BG298" i="9"/>
  <c r="BG258" i="9"/>
  <c r="BG210" i="9"/>
  <c r="BG170" i="9"/>
  <c r="BG297" i="9"/>
  <c r="BG251" i="9"/>
  <c r="BG308" i="9"/>
  <c r="BG292" i="9"/>
  <c r="BG276" i="9"/>
  <c r="BG260" i="9"/>
  <c r="BG244" i="9"/>
  <c r="BG228" i="9"/>
  <c r="BG212" i="9"/>
  <c r="BG196" i="9"/>
  <c r="BG180" i="9"/>
  <c r="BG164" i="9"/>
  <c r="BG148" i="9"/>
  <c r="BG301" i="9"/>
  <c r="BG253" i="9"/>
  <c r="BG318" i="9"/>
  <c r="BG302" i="9"/>
  <c r="BG286" i="9"/>
  <c r="BG270" i="9"/>
  <c r="BG254" i="9"/>
  <c r="BG238" i="9"/>
  <c r="BG222" i="9"/>
  <c r="BG206" i="9"/>
  <c r="BG190" i="9"/>
  <c r="BG174" i="9"/>
  <c r="BG158" i="9"/>
  <c r="BG295" i="9"/>
  <c r="BG306" i="9"/>
  <c r="BG282" i="9"/>
  <c r="BG250" i="9"/>
  <c r="BG226" i="9"/>
  <c r="BG202" i="9"/>
  <c r="BG178" i="9"/>
  <c r="BG154" i="9"/>
  <c r="BG241" i="9"/>
  <c r="BG307" i="9"/>
  <c r="BG312" i="9"/>
  <c r="BG296" i="9"/>
  <c r="BG280" i="9"/>
  <c r="BG264" i="9"/>
  <c r="BG248" i="9"/>
  <c r="BG232" i="9"/>
  <c r="BG216" i="9"/>
  <c r="BG200" i="9"/>
  <c r="BG184" i="9"/>
  <c r="BG168" i="9"/>
  <c r="BG152" i="9"/>
  <c r="BG261" i="9"/>
  <c r="BG274" i="9"/>
  <c r="BG234" i="9"/>
  <c r="BG186" i="9"/>
  <c r="BG146" i="9"/>
  <c r="BG299" i="9"/>
  <c r="BG316" i="9"/>
  <c r="BG300" i="9"/>
  <c r="BG284" i="9"/>
  <c r="BG268" i="9"/>
  <c r="BG252" i="9"/>
  <c r="BG236" i="9"/>
  <c r="BG220" i="9"/>
  <c r="BG204" i="9"/>
  <c r="BG188" i="9"/>
  <c r="BG172" i="9"/>
  <c r="BG156" i="9"/>
  <c r="AZ139" i="9"/>
  <c r="BG285" i="9"/>
  <c r="BG303" i="9"/>
  <c r="BG310" i="9"/>
  <c r="BG294" i="9"/>
  <c r="BG278" i="9"/>
  <c r="BG262" i="9"/>
  <c r="BG246" i="9"/>
  <c r="BG230" i="9"/>
  <c r="BG214" i="9"/>
  <c r="BG198" i="9"/>
  <c r="BG182" i="9"/>
  <c r="BG166" i="9"/>
  <c r="BG150" i="9"/>
  <c r="BG266" i="9"/>
  <c r="BG162" i="9"/>
  <c r="BG243" i="9"/>
  <c r="BG256" i="9"/>
  <c r="BG192" i="9"/>
  <c r="BG290" i="9"/>
  <c r="BG272" i="9"/>
  <c r="BG144" i="9"/>
  <c r="BG277" i="9"/>
  <c r="BG242" i="9"/>
  <c r="BG304" i="9"/>
  <c r="BG240" i="9"/>
  <c r="BG176" i="9"/>
  <c r="BG225" i="9"/>
  <c r="BG208" i="9"/>
  <c r="BG314" i="9"/>
  <c r="BG218" i="9"/>
  <c r="BG305" i="9"/>
  <c r="BG288" i="9"/>
  <c r="BG224" i="9"/>
  <c r="BG160" i="9"/>
  <c r="BG194" i="9"/>
  <c r="B78" i="12"/>
  <c r="AP138" i="12" s="1"/>
  <c r="AP134" i="12"/>
  <c r="G102" i="14"/>
  <c r="AG142" i="11"/>
  <c r="AH304" i="11"/>
  <c r="AH272" i="11"/>
  <c r="AH240" i="11"/>
  <c r="AH277" i="11"/>
  <c r="AH211" i="11"/>
  <c r="AH172" i="11"/>
  <c r="AH164" i="11"/>
  <c r="AH157" i="11"/>
  <c r="AH149" i="11"/>
  <c r="AH249" i="11"/>
  <c r="AH220" i="11"/>
  <c r="AH302" i="11"/>
  <c r="AH303" i="11"/>
  <c r="AH285" i="11"/>
  <c r="AH224" i="11"/>
  <c r="AH208" i="11"/>
  <c r="AH193" i="11"/>
  <c r="AH309" i="11"/>
  <c r="AH293" i="11"/>
  <c r="AH275" i="11"/>
  <c r="AH259" i="11"/>
  <c r="AH243" i="11"/>
  <c r="AH225" i="11"/>
  <c r="AH209" i="11"/>
  <c r="AH192" i="11"/>
  <c r="AH156" i="11"/>
  <c r="AH296" i="11"/>
  <c r="AH264" i="11"/>
  <c r="AH195" i="11"/>
  <c r="AH269" i="11"/>
  <c r="AH235" i="11"/>
  <c r="AH203" i="11"/>
  <c r="AH228" i="11"/>
  <c r="AH311" i="11"/>
  <c r="AH248" i="11"/>
  <c r="AH196" i="11"/>
  <c r="AH158" i="11"/>
  <c r="AH146" i="11"/>
  <c r="AH237" i="11"/>
  <c r="AH222" i="11"/>
  <c r="AH206" i="11"/>
  <c r="AH191" i="11"/>
  <c r="AH290" i="11"/>
  <c r="AH273" i="11"/>
  <c r="AH257" i="11"/>
  <c r="AH223" i="11"/>
  <c r="AH207" i="11"/>
  <c r="AH190" i="11"/>
  <c r="AH170" i="11"/>
  <c r="AH151" i="11"/>
  <c r="AH287" i="11"/>
  <c r="AH234" i="11"/>
  <c r="AH202" i="11"/>
  <c r="AH317" i="11"/>
  <c r="AH286" i="11"/>
  <c r="AH194" i="11"/>
  <c r="AH176" i="11"/>
  <c r="AH168" i="11"/>
  <c r="AH297" i="11"/>
  <c r="AH266" i="11"/>
  <c r="AH255" i="11"/>
  <c r="AH205" i="11"/>
  <c r="AH307" i="11"/>
  <c r="AH278" i="11"/>
  <c r="AH262" i="11"/>
  <c r="AH246" i="11"/>
  <c r="AH175" i="11"/>
  <c r="AH167" i="11"/>
  <c r="AH148" i="11"/>
  <c r="AH247" i="11"/>
  <c r="AH210" i="11"/>
  <c r="AH294" i="11"/>
  <c r="AH253" i="11"/>
  <c r="AH313" i="11"/>
  <c r="AH274" i="11"/>
  <c r="AH242" i="11"/>
  <c r="AH181" i="11"/>
  <c r="AH263" i="11"/>
  <c r="AH229" i="11"/>
  <c r="AH213" i="11"/>
  <c r="AH177" i="11"/>
  <c r="AH314" i="11"/>
  <c r="AH298" i="11"/>
  <c r="AH284" i="11"/>
  <c r="AH268" i="11"/>
  <c r="AH252" i="11"/>
  <c r="AH143" i="11"/>
  <c r="AH308" i="11"/>
  <c r="AH241" i="11"/>
  <c r="AH178" i="11"/>
  <c r="AH162" i="11"/>
  <c r="AH155" i="11"/>
  <c r="AH147" i="11"/>
  <c r="AH256" i="11"/>
  <c r="AH261" i="11"/>
  <c r="AH227" i="11"/>
  <c r="AH236" i="11"/>
  <c r="AH204" i="11"/>
  <c r="AH318" i="11"/>
  <c r="AH288" i="11"/>
  <c r="AH150" i="11"/>
  <c r="AH292" i="11"/>
  <c r="AH232" i="11"/>
  <c r="AH216" i="11"/>
  <c r="AH201" i="11"/>
  <c r="AH185" i="11"/>
  <c r="AH316" i="11"/>
  <c r="AH300" i="11"/>
  <c r="AH283" i="11"/>
  <c r="AH267" i="11"/>
  <c r="AH251" i="11"/>
  <c r="AH233" i="11"/>
  <c r="AH217" i="11"/>
  <c r="AH200" i="11"/>
  <c r="AH184" i="11"/>
  <c r="AH312" i="11"/>
  <c r="AH280" i="11"/>
  <c r="AH187" i="11"/>
  <c r="AH219" i="11"/>
  <c r="AH180" i="11"/>
  <c r="AH212" i="11"/>
  <c r="AH161" i="11"/>
  <c r="AH153" i="11"/>
  <c r="AH282" i="11"/>
  <c r="AH238" i="11"/>
  <c r="AH270" i="11"/>
  <c r="AH239" i="11"/>
  <c r="AH144" i="11"/>
  <c r="AH171" i="11"/>
  <c r="AH152" i="11"/>
  <c r="AH226" i="11"/>
  <c r="AH310" i="11"/>
  <c r="AH145" i="11"/>
  <c r="AH258" i="11"/>
  <c r="AH197" i="11"/>
  <c r="AH295" i="11"/>
  <c r="AH279" i="11"/>
  <c r="AH221" i="11"/>
  <c r="AH188" i="11"/>
  <c r="AH160" i="11"/>
  <c r="AH173" i="11"/>
  <c r="AH169" i="11"/>
  <c r="AH165" i="11"/>
  <c r="AH306" i="11"/>
  <c r="AH230" i="11"/>
  <c r="AH214" i="11"/>
  <c r="AH199" i="11"/>
  <c r="AH183" i="11"/>
  <c r="AH281" i="11"/>
  <c r="AH265" i="11"/>
  <c r="AH250" i="11"/>
  <c r="AH231" i="11"/>
  <c r="AH215" i="11"/>
  <c r="AH198" i="11"/>
  <c r="AH182" i="11"/>
  <c r="AH154" i="11"/>
  <c r="AH218" i="11"/>
  <c r="AH301" i="11"/>
  <c r="AH245" i="11"/>
  <c r="AH186" i="11"/>
  <c r="AH305" i="11"/>
  <c r="AH189" i="11"/>
  <c r="AH271" i="11"/>
  <c r="AH254" i="11"/>
  <c r="AH179" i="11"/>
  <c r="AH163" i="11"/>
  <c r="AH159" i="11"/>
  <c r="AH289" i="11"/>
  <c r="AH291" i="11"/>
  <c r="AH276" i="11"/>
  <c r="AH260" i="11"/>
  <c r="AH244" i="11"/>
  <c r="AH315" i="11"/>
  <c r="AH299" i="11"/>
  <c r="AH174" i="11"/>
  <c r="AH166" i="11"/>
  <c r="N142" i="11"/>
  <c r="P142" i="11"/>
  <c r="O164" i="11"/>
  <c r="O293" i="11"/>
  <c r="O260" i="11"/>
  <c r="O228" i="11"/>
  <c r="O196" i="11"/>
  <c r="O168" i="11"/>
  <c r="O318" i="11"/>
  <c r="O302" i="11"/>
  <c r="O165" i="11"/>
  <c r="O312" i="11"/>
  <c r="O304" i="11"/>
  <c r="O296" i="11"/>
  <c r="O283" i="11"/>
  <c r="O275" i="11"/>
  <c r="O267" i="11"/>
  <c r="O259" i="11"/>
  <c r="O251" i="11"/>
  <c r="O243" i="11"/>
  <c r="O235" i="11"/>
  <c r="O227" i="11"/>
  <c r="O219" i="11"/>
  <c r="O211" i="11"/>
  <c r="O203" i="11"/>
  <c r="O195" i="11"/>
  <c r="O187" i="11"/>
  <c r="O179" i="11"/>
  <c r="O171" i="11"/>
  <c r="O313" i="11"/>
  <c r="O297" i="11"/>
  <c r="O284" i="11"/>
  <c r="O272" i="11"/>
  <c r="O256" i="11"/>
  <c r="O240" i="11"/>
  <c r="O224" i="11"/>
  <c r="O208" i="11"/>
  <c r="O192" i="11"/>
  <c r="O176" i="11"/>
  <c r="O143" i="11"/>
  <c r="O315" i="11"/>
  <c r="O307" i="11"/>
  <c r="O299" i="11"/>
  <c r="O291" i="11"/>
  <c r="O286" i="11"/>
  <c r="O278" i="11"/>
  <c r="O270" i="11"/>
  <c r="O262" i="11"/>
  <c r="O254" i="11"/>
  <c r="O246" i="11"/>
  <c r="O238" i="11"/>
  <c r="O230" i="11"/>
  <c r="O222" i="11"/>
  <c r="O214" i="11"/>
  <c r="O206" i="11"/>
  <c r="O198" i="11"/>
  <c r="O190" i="11"/>
  <c r="O182" i="11"/>
  <c r="O174" i="11"/>
  <c r="O166" i="11"/>
  <c r="O220" i="11"/>
  <c r="O188" i="11"/>
  <c r="O162" i="11"/>
  <c r="O314" i="11"/>
  <c r="O161" i="11"/>
  <c r="O249" i="11"/>
  <c r="O241" i="11"/>
  <c r="O233" i="11"/>
  <c r="O225" i="11"/>
  <c r="O217" i="11"/>
  <c r="O209" i="11"/>
  <c r="O201" i="11"/>
  <c r="O193" i="11"/>
  <c r="O185" i="11"/>
  <c r="O177" i="11"/>
  <c r="O169" i="11"/>
  <c r="O152" i="11"/>
  <c r="O156" i="11"/>
  <c r="O154" i="11"/>
  <c r="O301" i="11"/>
  <c r="O268" i="11"/>
  <c r="O236" i="11"/>
  <c r="O204" i="11"/>
  <c r="O172" i="11"/>
  <c r="O306" i="11"/>
  <c r="O285" i="11"/>
  <c r="O277" i="11"/>
  <c r="O269" i="11"/>
  <c r="O261" i="11"/>
  <c r="O253" i="11"/>
  <c r="O245" i="11"/>
  <c r="O237" i="11"/>
  <c r="O229" i="11"/>
  <c r="O221" i="11"/>
  <c r="O213" i="11"/>
  <c r="O205" i="11"/>
  <c r="O197" i="11"/>
  <c r="O189" i="11"/>
  <c r="O181" i="11"/>
  <c r="O173" i="11"/>
  <c r="O163" i="11"/>
  <c r="O160" i="11"/>
  <c r="O153" i="11"/>
  <c r="O148" i="11"/>
  <c r="O151" i="11"/>
  <c r="O159" i="11"/>
  <c r="O265" i="11"/>
  <c r="O257" i="11"/>
  <c r="O145" i="11"/>
  <c r="O309" i="11"/>
  <c r="O280" i="11"/>
  <c r="O244" i="11"/>
  <c r="O212" i="11"/>
  <c r="O180" i="11"/>
  <c r="O158" i="11"/>
  <c r="O310" i="11"/>
  <c r="O294" i="11"/>
  <c r="O147" i="11"/>
  <c r="O157" i="11"/>
  <c r="O316" i="11"/>
  <c r="O308" i="11"/>
  <c r="O300" i="11"/>
  <c r="O292" i="11"/>
  <c r="O287" i="11"/>
  <c r="O279" i="11"/>
  <c r="O271" i="11"/>
  <c r="O263" i="11"/>
  <c r="O255" i="11"/>
  <c r="O247" i="11"/>
  <c r="O239" i="11"/>
  <c r="O231" i="11"/>
  <c r="O223" i="11"/>
  <c r="O215" i="11"/>
  <c r="O207" i="11"/>
  <c r="O199" i="11"/>
  <c r="O191" i="11"/>
  <c r="O183" i="11"/>
  <c r="O175" i="11"/>
  <c r="O167" i="11"/>
  <c r="O150" i="11"/>
  <c r="O305" i="11"/>
  <c r="O276" i="11"/>
  <c r="O264" i="11"/>
  <c r="O248" i="11"/>
  <c r="O232" i="11"/>
  <c r="O216" i="11"/>
  <c r="O200" i="11"/>
  <c r="O184" i="11"/>
  <c r="O146" i="11"/>
  <c r="O149" i="11"/>
  <c r="O311" i="11"/>
  <c r="O303" i="11"/>
  <c r="O295" i="11"/>
  <c r="O290" i="11"/>
  <c r="O282" i="11"/>
  <c r="O274" i="11"/>
  <c r="O266" i="11"/>
  <c r="O258" i="11"/>
  <c r="O250" i="11"/>
  <c r="O242" i="11"/>
  <c r="O234" i="11"/>
  <c r="O226" i="11"/>
  <c r="O218" i="11"/>
  <c r="O210" i="11"/>
  <c r="O202" i="11"/>
  <c r="O194" i="11"/>
  <c r="O186" i="11"/>
  <c r="O178" i="11"/>
  <c r="O170" i="11"/>
  <c r="O317" i="11"/>
  <c r="O288" i="11"/>
  <c r="O252" i="11"/>
  <c r="O298" i="11"/>
  <c r="O289" i="11"/>
  <c r="O281" i="11"/>
  <c r="O273" i="11"/>
  <c r="O155" i="11"/>
  <c r="O144" i="11"/>
  <c r="AG142" i="13"/>
  <c r="AG143" i="13" s="1"/>
  <c r="AH143" i="13"/>
  <c r="BG184" i="12"/>
  <c r="BG216" i="12"/>
  <c r="BG252" i="12"/>
  <c r="BG286" i="12"/>
  <c r="BG191" i="12"/>
  <c r="BG231" i="12"/>
  <c r="BG271" i="12"/>
  <c r="BG212" i="12"/>
  <c r="BG256" i="12"/>
  <c r="BG303" i="12"/>
  <c r="BG211" i="12"/>
  <c r="BG251" i="12"/>
  <c r="BG309" i="12"/>
  <c r="BG174" i="12"/>
  <c r="BG194" i="12"/>
  <c r="BG210" i="12"/>
  <c r="BG226" i="12"/>
  <c r="BG242" i="12"/>
  <c r="BG258" i="12"/>
  <c r="BG275" i="12"/>
  <c r="BG313" i="12"/>
  <c r="BG185" i="12"/>
  <c r="BG213" i="12"/>
  <c r="BG241" i="12"/>
  <c r="BG261" i="12"/>
  <c r="BG289" i="12"/>
  <c r="BG164" i="12"/>
  <c r="BG159" i="12"/>
  <c r="BG152" i="12"/>
  <c r="BG146" i="12"/>
  <c r="BG208" i="12"/>
  <c r="BG240" i="12"/>
  <c r="BG302" i="12"/>
  <c r="BG223" i="12"/>
  <c r="BG263" i="12"/>
  <c r="BG188" i="12"/>
  <c r="BG248" i="12"/>
  <c r="BG287" i="12"/>
  <c r="BG290" i="12"/>
  <c r="BG195" i="12"/>
  <c r="BG243" i="12"/>
  <c r="BG293" i="12"/>
  <c r="BG176" i="12"/>
  <c r="BG190" i="12"/>
  <c r="BG206" i="12"/>
  <c r="BG222" i="12"/>
  <c r="BG238" i="12"/>
  <c r="BG254" i="12"/>
  <c r="BG270" i="12"/>
  <c r="BG307" i="12"/>
  <c r="BG316" i="12"/>
  <c r="BG209" i="12"/>
  <c r="BG237" i="12"/>
  <c r="BG253" i="12"/>
  <c r="BG273" i="12"/>
  <c r="BG312" i="12"/>
  <c r="BG168" i="12"/>
  <c r="BG160" i="12"/>
  <c r="BG155" i="12"/>
  <c r="BG147" i="12"/>
  <c r="BG192" i="12"/>
  <c r="BG279" i="12"/>
  <c r="BG274" i="12"/>
  <c r="BG239" i="12"/>
  <c r="BG220" i="12"/>
  <c r="BG264" i="12"/>
  <c r="BG306" i="12"/>
  <c r="BG259" i="12"/>
  <c r="BG182" i="12"/>
  <c r="BG214" i="12"/>
  <c r="BG230" i="12"/>
  <c r="BG262" i="12"/>
  <c r="BG201" i="12"/>
  <c r="BG245" i="12"/>
  <c r="BG265" i="12"/>
  <c r="BG145" i="12"/>
  <c r="BG200" i="12"/>
  <c r="BG232" i="12"/>
  <c r="BG207" i="12"/>
  <c r="BG255" i="12"/>
  <c r="BG317" i="12"/>
  <c r="BG244" i="12"/>
  <c r="BG272" i="12"/>
  <c r="BG298" i="12"/>
  <c r="BG227" i="12"/>
  <c r="BG277" i="12"/>
  <c r="BG178" i="12"/>
  <c r="BG186" i="12"/>
  <c r="BG202" i="12"/>
  <c r="BG218" i="12"/>
  <c r="BG234" i="12"/>
  <c r="BG250" i="12"/>
  <c r="BG266" i="12"/>
  <c r="BG291" i="12"/>
  <c r="BG318" i="12"/>
  <c r="BG205" i="12"/>
  <c r="BG233" i="12"/>
  <c r="BG249" i="12"/>
  <c r="BG269" i="12"/>
  <c r="BG305" i="12"/>
  <c r="BG169" i="12"/>
  <c r="BG162" i="12"/>
  <c r="BG156" i="12"/>
  <c r="BG148" i="12"/>
  <c r="BG144" i="12"/>
  <c r="BG224" i="12"/>
  <c r="BG199" i="12"/>
  <c r="BG301" i="12"/>
  <c r="BG219" i="12"/>
  <c r="BG180" i="12"/>
  <c r="BG198" i="12"/>
  <c r="BG246" i="12"/>
  <c r="BG283" i="12"/>
  <c r="BG217" i="12"/>
  <c r="BG297" i="12"/>
  <c r="BG163" i="12"/>
  <c r="BG158" i="12"/>
  <c r="BG149" i="12"/>
  <c r="BG296" i="12"/>
  <c r="BG196" i="12"/>
  <c r="BG157" i="12"/>
  <c r="BG294" i="12"/>
  <c r="BG166" i="12"/>
  <c r="BG300" i="12"/>
  <c r="BG285" i="12"/>
  <c r="BG221" i="12"/>
  <c r="BG311" i="12"/>
  <c r="BG247" i="12"/>
  <c r="BG183" i="12"/>
  <c r="BG151" i="12"/>
  <c r="BG268" i="12"/>
  <c r="BG204" i="12"/>
  <c r="BG193" i="12"/>
  <c r="BG314" i="12"/>
  <c r="BG170" i="12"/>
  <c r="BG308" i="12"/>
  <c r="BG229" i="12"/>
  <c r="BG161" i="12"/>
  <c r="BG299" i="12"/>
  <c r="BG235" i="12"/>
  <c r="BG187" i="12"/>
  <c r="BG276" i="12"/>
  <c r="BG288" i="12"/>
  <c r="BG143" i="12"/>
  <c r="BG281" i="12"/>
  <c r="BG284" i="12"/>
  <c r="BG292" i="12"/>
  <c r="BG179" i="12"/>
  <c r="BG228" i="12"/>
  <c r="BG189" i="12"/>
  <c r="BG310" i="12"/>
  <c r="BG278" i="12"/>
  <c r="BG150" i="12"/>
  <c r="BG172" i="12"/>
  <c r="BG257" i="12"/>
  <c r="BG153" i="12"/>
  <c r="BG295" i="12"/>
  <c r="BG215" i="12"/>
  <c r="BG167" i="12"/>
  <c r="BG304" i="12"/>
  <c r="BG236" i="12"/>
  <c r="BG225" i="12"/>
  <c r="BG165" i="12"/>
  <c r="BG282" i="12"/>
  <c r="BG154" i="12"/>
  <c r="BG280" i="12"/>
  <c r="BG197" i="12"/>
  <c r="BG315" i="12"/>
  <c r="BG267" i="12"/>
  <c r="BG203" i="12"/>
  <c r="BG171" i="12"/>
  <c r="BG173" i="12"/>
  <c r="BG175" i="12"/>
  <c r="BG181" i="12"/>
  <c r="BG260" i="12"/>
  <c r="BG177" i="12"/>
  <c r="BD142" i="11"/>
  <c r="BB142" i="11"/>
  <c r="M66" i="37"/>
  <c r="K66" i="37"/>
  <c r="BG144" i="11"/>
  <c r="BG197" i="11"/>
  <c r="BG205" i="11"/>
  <c r="BG193" i="11"/>
  <c r="BG157" i="11"/>
  <c r="BG191" i="11"/>
  <c r="BG164" i="11"/>
  <c r="BG202" i="11"/>
  <c r="BG149" i="11"/>
  <c r="BG162" i="11"/>
  <c r="BG196" i="11"/>
  <c r="BG204" i="11"/>
  <c r="BG192" i="11"/>
  <c r="BG195" i="11"/>
  <c r="BG203" i="11"/>
  <c r="BG165" i="11"/>
  <c r="BC143" i="13"/>
  <c r="AM199" i="12"/>
  <c r="AM263" i="12"/>
  <c r="AM166" i="12"/>
  <c r="AM310" i="12"/>
  <c r="AM249" i="12"/>
  <c r="AM172" i="12"/>
  <c r="AM236" i="12"/>
  <c r="AM300" i="12"/>
  <c r="AM222" i="12"/>
  <c r="AM169" i="12"/>
  <c r="AM297" i="12"/>
  <c r="AI244" i="10"/>
  <c r="AI289" i="10"/>
  <c r="AI144" i="10"/>
  <c r="AI166" i="10"/>
  <c r="AI219" i="10"/>
  <c r="AI281" i="10"/>
  <c r="AI284" i="10"/>
  <c r="AI283" i="10"/>
  <c r="AI261" i="10"/>
  <c r="AI318" i="10"/>
  <c r="AM163" i="12"/>
  <c r="AM227" i="12"/>
  <c r="AM291" i="12"/>
  <c r="AM234" i="12"/>
  <c r="AM181" i="12"/>
  <c r="AM309" i="12"/>
  <c r="AM200" i="12"/>
  <c r="AM264" i="12"/>
  <c r="AM162" i="12"/>
  <c r="AM278" i="12"/>
  <c r="AM229" i="12"/>
  <c r="AM311" i="10"/>
  <c r="AM175" i="12"/>
  <c r="AM239" i="12"/>
  <c r="AM303" i="12"/>
  <c r="AM258" i="12"/>
  <c r="AM205" i="12"/>
  <c r="AM148" i="12"/>
  <c r="AM212" i="12"/>
  <c r="AM276" i="12"/>
  <c r="AM182" i="12"/>
  <c r="AM298" i="12"/>
  <c r="AM253" i="12"/>
  <c r="AM314" i="11"/>
  <c r="AM252" i="11"/>
  <c r="AM191" i="11"/>
  <c r="AM273" i="11"/>
  <c r="AM207" i="11"/>
  <c r="AM162" i="11"/>
  <c r="S314" i="11"/>
  <c r="S273" i="11"/>
  <c r="S241" i="11"/>
  <c r="S209" i="11"/>
  <c r="S177" i="11"/>
  <c r="S145" i="11"/>
  <c r="S156" i="11"/>
  <c r="S147" i="11"/>
  <c r="S255" i="11"/>
  <c r="S183" i="11"/>
  <c r="S184" i="11"/>
  <c r="S274" i="11"/>
  <c r="S210" i="11"/>
  <c r="AM198" i="10"/>
  <c r="AM178" i="10"/>
  <c r="AM190" i="10"/>
  <c r="AM203" i="10"/>
  <c r="AM187" i="10"/>
  <c r="AM171" i="10"/>
  <c r="AM192" i="10"/>
  <c r="AM176" i="10"/>
  <c r="AM201" i="10"/>
  <c r="AM185" i="10"/>
  <c r="AM169" i="10"/>
  <c r="AM156" i="11"/>
  <c r="S228" i="11"/>
  <c r="S312" i="11"/>
  <c r="S275" i="11"/>
  <c r="S243" i="11"/>
  <c r="S211" i="11"/>
  <c r="S179" i="11"/>
  <c r="S297" i="11"/>
  <c r="S240" i="11"/>
  <c r="S176" i="11"/>
  <c r="S299" i="11"/>
  <c r="S270" i="11"/>
  <c r="S238" i="11"/>
  <c r="S206" i="11"/>
  <c r="S174" i="11"/>
  <c r="S244" i="11"/>
  <c r="S231" i="11"/>
  <c r="S264" i="11"/>
  <c r="S266" i="11"/>
  <c r="AM187" i="12"/>
  <c r="AM251" i="12"/>
  <c r="AM315" i="12"/>
  <c r="AM286" i="12"/>
  <c r="AM225" i="12"/>
  <c r="AM160" i="12"/>
  <c r="AM224" i="12"/>
  <c r="AM288" i="12"/>
  <c r="AM202" i="12"/>
  <c r="AM177" i="12"/>
  <c r="AM305" i="12"/>
  <c r="AM248" i="11"/>
  <c r="AM165" i="11"/>
  <c r="S162" i="11"/>
  <c r="S269" i="11"/>
  <c r="S237" i="11"/>
  <c r="S205" i="11"/>
  <c r="S173" i="11"/>
  <c r="S151" i="11"/>
  <c r="S212" i="11"/>
  <c r="S271" i="11"/>
  <c r="S248" i="11"/>
  <c r="S250" i="11"/>
  <c r="AZ139" i="10"/>
  <c r="E36" i="14"/>
  <c r="B78" i="9"/>
  <c r="AP138" i="9" s="1"/>
  <c r="AP134" i="9"/>
  <c r="B80" i="9"/>
  <c r="B42" i="10"/>
  <c r="E56" i="14" s="1"/>
  <c r="B42" i="13"/>
  <c r="H56" i="14" s="1"/>
  <c r="B42" i="12"/>
  <c r="G56" i="14" s="1"/>
  <c r="B42" i="11"/>
  <c r="F56" i="14" s="1"/>
  <c r="AM302" i="13"/>
  <c r="AM214" i="13"/>
  <c r="AM264" i="13"/>
  <c r="AM170" i="13"/>
  <c r="AM285" i="13"/>
  <c r="AM308" i="13"/>
  <c r="AM240" i="13"/>
  <c r="AM169" i="13"/>
  <c r="AM236" i="13"/>
  <c r="AM201" i="13"/>
  <c r="AM178" i="13"/>
  <c r="AM243" i="13"/>
  <c r="AM147" i="13"/>
  <c r="AM290" i="13"/>
  <c r="AM296" i="13"/>
  <c r="AM200" i="13"/>
  <c r="AM209" i="13"/>
  <c r="AM186" i="13"/>
  <c r="AM149" i="13"/>
  <c r="AM188" i="13"/>
  <c r="AM249" i="13"/>
  <c r="AM300" i="13"/>
  <c r="AM193" i="13"/>
  <c r="AM287" i="13"/>
  <c r="AM159" i="13"/>
  <c r="AM282" i="13"/>
  <c r="AM276" i="13"/>
  <c r="AM148" i="13"/>
  <c r="AM183" i="13"/>
  <c r="AM224" i="13"/>
  <c r="AM171" i="13"/>
  <c r="AM304" i="13"/>
  <c r="AM298" i="13"/>
  <c r="AM216" i="13"/>
  <c r="AM185" i="13"/>
  <c r="AM281" i="13"/>
  <c r="AM155" i="13"/>
  <c r="AM257" i="13"/>
  <c r="AM203" i="13"/>
  <c r="AM192" i="13"/>
  <c r="AM229" i="13"/>
  <c r="AM260" i="13"/>
  <c r="AM317" i="13"/>
  <c r="AM268" i="13"/>
  <c r="AM266" i="13"/>
  <c r="AM175" i="13"/>
  <c r="AM190" i="13"/>
  <c r="AM164" i="13"/>
  <c r="AM277" i="13"/>
  <c r="AM305" i="13"/>
  <c r="AM187" i="13"/>
  <c r="AM195" i="13"/>
  <c r="AM309" i="13"/>
  <c r="AM273" i="13"/>
  <c r="AM210" i="13"/>
  <c r="AM259" i="13"/>
  <c r="AM163" i="13"/>
  <c r="AM318" i="13"/>
  <c r="AM162" i="13"/>
  <c r="AM232" i="13"/>
  <c r="AM152" i="13"/>
  <c r="AM218" i="13"/>
  <c r="AM151" i="13"/>
  <c r="AM204" i="13"/>
  <c r="AM241" i="13"/>
  <c r="AM289" i="13"/>
  <c r="AM265" i="13"/>
  <c r="AM303" i="13"/>
  <c r="AM191" i="13"/>
  <c r="AM314" i="13"/>
  <c r="AM292" i="13"/>
  <c r="AM180" i="13"/>
  <c r="AM291" i="13"/>
  <c r="AM278" i="13"/>
  <c r="AM233" i="13"/>
  <c r="AM306" i="13"/>
  <c r="AM311" i="13"/>
  <c r="AM235" i="13"/>
  <c r="AM242" i="13"/>
  <c r="AM227" i="13"/>
  <c r="AM269" i="13"/>
  <c r="AM166" i="13"/>
  <c r="AM256" i="13"/>
  <c r="AM144" i="13"/>
  <c r="AM165" i="13"/>
  <c r="AM250" i="13"/>
  <c r="AM221" i="13"/>
  <c r="AM220" i="13"/>
  <c r="AM161" i="13"/>
  <c r="AM207" i="13"/>
  <c r="AM254" i="13"/>
  <c r="AM212" i="13"/>
  <c r="AM313" i="13"/>
  <c r="AM246" i="13"/>
  <c r="AM226" i="13"/>
  <c r="AM173" i="13"/>
  <c r="AM283" i="13"/>
  <c r="AM301" i="13"/>
  <c r="AM274" i="13"/>
  <c r="AM307" i="13"/>
  <c r="AM179" i="13"/>
  <c r="AM205" i="13"/>
  <c r="AM230" i="13"/>
  <c r="AM248" i="13"/>
  <c r="AM168" i="13"/>
  <c r="AM286" i="13"/>
  <c r="AM231" i="13"/>
  <c r="AM284" i="13"/>
  <c r="AM156" i="13"/>
  <c r="AM263" i="13"/>
  <c r="AM189" i="13"/>
  <c r="AM247" i="13"/>
  <c r="AM297" i="13"/>
  <c r="AM202" i="13"/>
  <c r="AM223" i="13"/>
  <c r="AM225" i="13"/>
  <c r="AM154" i="13"/>
  <c r="AM196" i="13"/>
  <c r="AM294" i="13"/>
  <c r="AM312" i="13"/>
  <c r="AM272" i="13"/>
  <c r="AM251" i="13"/>
  <c r="AM157" i="13"/>
  <c r="AM295" i="13"/>
  <c r="AM181" i="13"/>
  <c r="AM167" i="13"/>
  <c r="AM245" i="13"/>
  <c r="AM208" i="13"/>
  <c r="AM237" i="13"/>
  <c r="AM194" i="13"/>
  <c r="AM146" i="13"/>
  <c r="AM160" i="13"/>
  <c r="AM293" i="13"/>
  <c r="AM150" i="13"/>
  <c r="AM280" i="13"/>
  <c r="AM172" i="13"/>
  <c r="AM206" i="13"/>
  <c r="AM234" i="13"/>
  <c r="AM228" i="13"/>
  <c r="AM258" i="13"/>
  <c r="AM213" i="13"/>
  <c r="AM270" i="13"/>
  <c r="AM215" i="13"/>
  <c r="AM182" i="13"/>
  <c r="AM299" i="13"/>
  <c r="AM252" i="13"/>
  <c r="AM145" i="13"/>
  <c r="AM239" i="13"/>
  <c r="AM255" i="13"/>
  <c r="AM244" i="13"/>
  <c r="AM315" i="13"/>
  <c r="AM310" i="13"/>
  <c r="AM262" i="13"/>
  <c r="AM174" i="13"/>
  <c r="AM222" i="13"/>
  <c r="AM238" i="13"/>
  <c r="AM267" i="13"/>
  <c r="AM316" i="13"/>
  <c r="AM153" i="13"/>
  <c r="AM199" i="13"/>
  <c r="AM184" i="13"/>
  <c r="AM176" i="13"/>
  <c r="AM197" i="13"/>
  <c r="AM198" i="13"/>
  <c r="AM219" i="13"/>
  <c r="AM288" i="13"/>
  <c r="AM261" i="13"/>
  <c r="AM158" i="13"/>
  <c r="AM177" i="13"/>
  <c r="AM253" i="13"/>
  <c r="AM279" i="13"/>
  <c r="AM217" i="13"/>
  <c r="AM271" i="13"/>
  <c r="AM211" i="13"/>
  <c r="AM275" i="13"/>
  <c r="B78" i="11"/>
  <c r="AP138" i="11" s="1"/>
  <c r="AP134" i="11"/>
  <c r="F102" i="14"/>
  <c r="F104" i="8"/>
  <c r="I22" i="37" s="1"/>
  <c r="C108" i="14"/>
  <c r="BG245" i="10"/>
  <c r="BG253" i="10"/>
  <c r="BG261" i="10"/>
  <c r="BG269" i="10"/>
  <c r="BG277" i="10"/>
  <c r="BG285" i="10"/>
  <c r="BG293" i="10"/>
  <c r="BG301" i="10"/>
  <c r="BG186" i="10"/>
  <c r="BG188" i="10"/>
  <c r="BG239" i="10"/>
  <c r="BG247" i="10"/>
  <c r="BG255" i="10"/>
  <c r="BG263" i="10"/>
  <c r="BG271" i="10"/>
  <c r="BG279" i="10"/>
  <c r="BG287" i="10"/>
  <c r="BG295" i="10"/>
  <c r="BG303" i="10"/>
  <c r="BG241" i="10"/>
  <c r="BG249" i="10"/>
  <c r="BG257" i="10"/>
  <c r="BG265" i="10"/>
  <c r="BG273" i="10"/>
  <c r="BG281" i="10"/>
  <c r="BG289" i="10"/>
  <c r="BG297" i="10"/>
  <c r="BG305" i="10"/>
  <c r="BG259" i="10"/>
  <c r="BG291" i="10"/>
  <c r="BG283" i="10"/>
  <c r="BG187" i="10"/>
  <c r="BG267" i="10"/>
  <c r="BG299" i="10"/>
  <c r="BG251" i="10"/>
  <c r="BG185" i="10"/>
  <c r="BG243" i="10"/>
  <c r="BG275" i="10"/>
  <c r="BG307" i="10"/>
  <c r="BG302" i="10"/>
  <c r="BG294" i="10"/>
  <c r="BG286" i="10"/>
  <c r="BG278" i="10"/>
  <c r="BG270" i="10"/>
  <c r="BG262" i="10"/>
  <c r="BG254" i="10"/>
  <c r="BG246" i="10"/>
  <c r="BG237" i="10"/>
  <c r="BG230" i="10"/>
  <c r="BG222" i="10"/>
  <c r="BG213" i="10"/>
  <c r="BG205" i="10"/>
  <c r="BG198" i="10"/>
  <c r="BG189" i="10"/>
  <c r="BG158" i="10"/>
  <c r="BG151" i="10"/>
  <c r="BG238" i="10"/>
  <c r="BG229" i="10"/>
  <c r="BG221" i="10"/>
  <c r="BG214" i="10"/>
  <c r="BG206" i="10"/>
  <c r="BG197" i="10"/>
  <c r="BG190" i="10"/>
  <c r="BG157" i="10"/>
  <c r="BG148" i="10"/>
  <c r="BG317" i="10"/>
  <c r="BG313" i="10"/>
  <c r="BG309" i="10"/>
  <c r="BG182" i="10"/>
  <c r="BG178" i="10"/>
  <c r="BG174" i="10"/>
  <c r="BG170" i="10"/>
  <c r="BG166" i="10"/>
  <c r="BG143" i="10"/>
  <c r="BG304" i="10"/>
  <c r="BG296" i="10"/>
  <c r="BG288" i="10"/>
  <c r="BG280" i="10"/>
  <c r="BG272" i="10"/>
  <c r="BG264" i="10"/>
  <c r="BG256" i="10"/>
  <c r="BG248" i="10"/>
  <c r="BG240" i="10"/>
  <c r="BG231" i="10"/>
  <c r="BG224" i="10"/>
  <c r="BG215" i="10"/>
  <c r="BG207" i="10"/>
  <c r="BG200" i="10"/>
  <c r="BG191" i="10"/>
  <c r="BG160" i="10"/>
  <c r="BG153" i="10"/>
  <c r="BG145" i="10"/>
  <c r="BG232" i="10"/>
  <c r="BG223" i="10"/>
  <c r="BG216" i="10"/>
  <c r="BG208" i="10"/>
  <c r="BG199" i="10"/>
  <c r="BG192" i="10"/>
  <c r="BG159" i="10"/>
  <c r="BG150" i="10"/>
  <c r="BG318" i="10"/>
  <c r="BG314" i="10"/>
  <c r="BG310" i="10"/>
  <c r="BG183" i="10"/>
  <c r="BG179" i="10"/>
  <c r="BG175" i="10"/>
  <c r="BG171" i="10"/>
  <c r="BG167" i="10"/>
  <c r="BG306" i="10"/>
  <c r="BG298" i="10"/>
  <c r="BG290" i="10"/>
  <c r="BG282" i="10"/>
  <c r="BG274" i="10"/>
  <c r="BG266" i="10"/>
  <c r="BG258" i="10"/>
  <c r="BG250" i="10"/>
  <c r="BG242" i="10"/>
  <c r="BG233" i="10"/>
  <c r="BG226" i="10"/>
  <c r="BG218" i="10"/>
  <c r="BG209" i="10"/>
  <c r="BG202" i="10"/>
  <c r="BG193" i="10"/>
  <c r="BG162" i="10"/>
  <c r="BG154" i="10"/>
  <c r="BG147" i="10"/>
  <c r="BG234" i="10"/>
  <c r="BG225" i="10"/>
  <c r="BG217" i="10"/>
  <c r="BG210" i="10"/>
  <c r="BG201" i="10"/>
  <c r="BG194" i="10"/>
  <c r="BG161" i="10"/>
  <c r="BG152" i="10"/>
  <c r="BG144" i="10"/>
  <c r="BG315" i="10"/>
  <c r="BG311" i="10"/>
  <c r="BG184" i="10"/>
  <c r="BG180" i="10"/>
  <c r="BG176" i="10"/>
  <c r="BG172" i="10"/>
  <c r="BG168" i="10"/>
  <c r="BG300" i="10"/>
  <c r="BG268" i="10"/>
  <c r="BG235" i="10"/>
  <c r="BG203" i="10"/>
  <c r="BG149" i="10"/>
  <c r="BG212" i="10"/>
  <c r="BG155" i="10"/>
  <c r="BG308" i="10"/>
  <c r="BG169" i="10"/>
  <c r="BG260" i="10"/>
  <c r="BG228" i="10"/>
  <c r="BG204" i="10"/>
  <c r="BG146" i="10"/>
  <c r="BG276" i="10"/>
  <c r="BG244" i="10"/>
  <c r="BG211" i="10"/>
  <c r="BG156" i="10"/>
  <c r="BG219" i="10"/>
  <c r="BG163" i="10"/>
  <c r="BG312" i="10"/>
  <c r="BG173" i="10"/>
  <c r="BG236" i="10"/>
  <c r="BG165" i="10"/>
  <c r="BG284" i="10"/>
  <c r="BG252" i="10"/>
  <c r="BG220" i="10"/>
  <c r="BG164" i="10"/>
  <c r="BG227" i="10"/>
  <c r="BG196" i="10"/>
  <c r="BG316" i="10"/>
  <c r="BG177" i="10"/>
  <c r="BG292" i="10"/>
  <c r="BG195" i="10"/>
  <c r="BG181" i="10"/>
  <c r="BC309" i="10"/>
  <c r="BC313" i="10"/>
  <c r="BC317" i="10"/>
  <c r="BD142" i="10"/>
  <c r="BC307" i="10"/>
  <c r="BC303" i="10"/>
  <c r="BC299" i="10"/>
  <c r="BC295" i="10"/>
  <c r="BC312" i="10"/>
  <c r="BC316" i="10"/>
  <c r="BC165" i="10"/>
  <c r="BC311" i="10"/>
  <c r="BC315" i="10"/>
  <c r="BC185" i="10"/>
  <c r="BC310" i="10"/>
  <c r="BC305" i="10"/>
  <c r="BC300" i="10"/>
  <c r="BC294" i="10"/>
  <c r="BC290" i="10"/>
  <c r="BC286" i="10"/>
  <c r="BC282" i="10"/>
  <c r="BC278" i="10"/>
  <c r="BC274" i="10"/>
  <c r="BC270" i="10"/>
  <c r="BC266" i="10"/>
  <c r="BC262" i="10"/>
  <c r="BC258" i="10"/>
  <c r="BC254" i="10"/>
  <c r="BC250" i="10"/>
  <c r="BC246" i="10"/>
  <c r="BC242" i="10"/>
  <c r="BC238" i="10"/>
  <c r="BC234" i="10"/>
  <c r="BC230" i="10"/>
  <c r="BC226" i="10"/>
  <c r="BC222" i="10"/>
  <c r="BC218" i="10"/>
  <c r="BC214" i="10"/>
  <c r="BC210" i="10"/>
  <c r="BC206" i="10"/>
  <c r="BC202" i="10"/>
  <c r="BC198" i="10"/>
  <c r="BC194" i="10"/>
  <c r="BC190" i="10"/>
  <c r="BC186" i="10"/>
  <c r="BC181" i="10"/>
  <c r="BC177" i="10"/>
  <c r="BC173" i="10"/>
  <c r="BC169" i="10"/>
  <c r="BC164" i="10"/>
  <c r="BC160" i="10"/>
  <c r="BC156" i="10"/>
  <c r="BC152" i="10"/>
  <c r="BC148" i="10"/>
  <c r="BC144" i="10"/>
  <c r="BC314" i="10"/>
  <c r="BC298" i="10"/>
  <c r="BC285" i="10"/>
  <c r="BC273" i="10"/>
  <c r="BC261" i="10"/>
  <c r="BC249" i="10"/>
  <c r="BC237" i="10"/>
  <c r="BC225" i="10"/>
  <c r="BC213" i="10"/>
  <c r="BC201" i="10"/>
  <c r="BC189" i="10"/>
  <c r="BC176" i="10"/>
  <c r="BC163" i="10"/>
  <c r="BC151" i="10"/>
  <c r="BB142" i="10"/>
  <c r="BC306" i="10"/>
  <c r="BC301" i="10"/>
  <c r="BC296" i="10"/>
  <c r="BC291" i="10"/>
  <c r="BC287" i="10"/>
  <c r="BC283" i="10"/>
  <c r="BC279" i="10"/>
  <c r="BC275" i="10"/>
  <c r="BC271" i="10"/>
  <c r="BC267" i="10"/>
  <c r="BC263" i="10"/>
  <c r="BC259" i="10"/>
  <c r="BC255" i="10"/>
  <c r="BC251" i="10"/>
  <c r="BC247" i="10"/>
  <c r="BC243" i="10"/>
  <c r="BC239" i="10"/>
  <c r="BC235" i="10"/>
  <c r="BC231" i="10"/>
  <c r="BC227" i="10"/>
  <c r="BC223" i="10"/>
  <c r="BC219" i="10"/>
  <c r="BC215" i="10"/>
  <c r="BC211" i="10"/>
  <c r="BC207" i="10"/>
  <c r="BC203" i="10"/>
  <c r="BC199" i="10"/>
  <c r="BC195" i="10"/>
  <c r="BC191" i="10"/>
  <c r="BC187" i="10"/>
  <c r="BC182" i="10"/>
  <c r="BC178" i="10"/>
  <c r="BC174" i="10"/>
  <c r="BC170" i="10"/>
  <c r="BC166" i="10"/>
  <c r="BC161" i="10"/>
  <c r="BC157" i="10"/>
  <c r="BC153" i="10"/>
  <c r="BC149" i="10"/>
  <c r="BC145" i="10"/>
  <c r="BC293" i="10"/>
  <c r="BC281" i="10"/>
  <c r="BC269" i="10"/>
  <c r="BC257" i="10"/>
  <c r="BC245" i="10"/>
  <c r="BC233" i="10"/>
  <c r="BC221" i="10"/>
  <c r="BC209" i="10"/>
  <c r="BC197" i="10"/>
  <c r="BC184" i="10"/>
  <c r="BC172" i="10"/>
  <c r="BC159" i="10"/>
  <c r="BC147" i="10"/>
  <c r="BC318" i="10"/>
  <c r="BC143" i="10"/>
  <c r="BC308" i="10"/>
  <c r="BC302" i="10"/>
  <c r="BC297" i="10"/>
  <c r="BC292" i="10"/>
  <c r="BC288" i="10"/>
  <c r="BC284" i="10"/>
  <c r="BC280" i="10"/>
  <c r="BC276" i="10"/>
  <c r="BC272" i="10"/>
  <c r="BC268" i="10"/>
  <c r="BC264" i="10"/>
  <c r="BC260" i="10"/>
  <c r="BC256" i="10"/>
  <c r="BC252" i="10"/>
  <c r="BC248" i="10"/>
  <c r="BC244" i="10"/>
  <c r="BC240" i="10"/>
  <c r="BC236" i="10"/>
  <c r="BC232" i="10"/>
  <c r="BC228" i="10"/>
  <c r="BC224" i="10"/>
  <c r="BC220" i="10"/>
  <c r="BC216" i="10"/>
  <c r="BC212" i="10"/>
  <c r="BC208" i="10"/>
  <c r="BC204" i="10"/>
  <c r="BC200" i="10"/>
  <c r="BC196" i="10"/>
  <c r="BC192" i="10"/>
  <c r="BC188" i="10"/>
  <c r="BC183" i="10"/>
  <c r="BC179" i="10"/>
  <c r="BC175" i="10"/>
  <c r="BC171" i="10"/>
  <c r="BC167" i="10"/>
  <c r="BC162" i="10"/>
  <c r="BC158" i="10"/>
  <c r="BC154" i="10"/>
  <c r="BC150" i="10"/>
  <c r="BC146" i="10"/>
  <c r="BC304" i="10"/>
  <c r="BC289" i="10"/>
  <c r="BC277" i="10"/>
  <c r="BC265" i="10"/>
  <c r="BC253" i="10"/>
  <c r="BC241" i="10"/>
  <c r="BC229" i="10"/>
  <c r="BC217" i="10"/>
  <c r="BC205" i="10"/>
  <c r="BC193" i="10"/>
  <c r="BC180" i="10"/>
  <c r="BC168" i="10"/>
  <c r="BC155" i="10"/>
  <c r="K21" i="7"/>
  <c r="C110" i="14"/>
  <c r="B32" i="9"/>
  <c r="BG209" i="11"/>
  <c r="BG159" i="11"/>
  <c r="BG154" i="11"/>
  <c r="BG212" i="11"/>
  <c r="BG220" i="11"/>
  <c r="BG228" i="11"/>
  <c r="BG236" i="11"/>
  <c r="BG244" i="11"/>
  <c r="BG252" i="11"/>
  <c r="BG260" i="11"/>
  <c r="BG268" i="11"/>
  <c r="BG276" i="11"/>
  <c r="BG284" i="11"/>
  <c r="BG292" i="11"/>
  <c r="BG306" i="11"/>
  <c r="BG300" i="11"/>
  <c r="BG311" i="11"/>
  <c r="BG210" i="11"/>
  <c r="BG230" i="11"/>
  <c r="BG242" i="11"/>
  <c r="BG262" i="11"/>
  <c r="BG278" i="11"/>
  <c r="BG302" i="11"/>
  <c r="BG147" i="11"/>
  <c r="BG301" i="11"/>
  <c r="BG217" i="11"/>
  <c r="BG225" i="11"/>
  <c r="BG233" i="11"/>
  <c r="BG241" i="11"/>
  <c r="BG249" i="11"/>
  <c r="BG257" i="11"/>
  <c r="BG265" i="11"/>
  <c r="BG273" i="11"/>
  <c r="BG281" i="11"/>
  <c r="BG289" i="11"/>
  <c r="BG294" i="11"/>
  <c r="BG316" i="11"/>
  <c r="BG305" i="11"/>
  <c r="BG155" i="11"/>
  <c r="BG167" i="11"/>
  <c r="BG146" i="11"/>
  <c r="BG211" i="11"/>
  <c r="BG219" i="11"/>
  <c r="BG227" i="11"/>
  <c r="BG235" i="11"/>
  <c r="BG243" i="11"/>
  <c r="BG251" i="11"/>
  <c r="BG259" i="11"/>
  <c r="BG267" i="11"/>
  <c r="BG275" i="11"/>
  <c r="BG283" i="11"/>
  <c r="BG291" i="11"/>
  <c r="BG304" i="11"/>
  <c r="BG143" i="11"/>
  <c r="BG309" i="11"/>
  <c r="BG151" i="11"/>
  <c r="BG166" i="11"/>
  <c r="BG145" i="11"/>
  <c r="BG295" i="11"/>
  <c r="BG158" i="11"/>
  <c r="BG218" i="11"/>
  <c r="BG234" i="11"/>
  <c r="BG254" i="11"/>
  <c r="BG266" i="11"/>
  <c r="BG282" i="11"/>
  <c r="BG318" i="11"/>
  <c r="AM183" i="12"/>
  <c r="AM247" i="12"/>
  <c r="AM311" i="12"/>
  <c r="AM274" i="12"/>
  <c r="AM217" i="12"/>
  <c r="AM156" i="12"/>
  <c r="AM220" i="12"/>
  <c r="AM284" i="12"/>
  <c r="AM198" i="12"/>
  <c r="AM314" i="12"/>
  <c r="AM265" i="12"/>
  <c r="AI151" i="10"/>
  <c r="AI168" i="10"/>
  <c r="AI184" i="10"/>
  <c r="AI162" i="10"/>
  <c r="AI179" i="10"/>
  <c r="AI212" i="10"/>
  <c r="AI200" i="10"/>
  <c r="AI311" i="10"/>
  <c r="AI247" i="10"/>
  <c r="AI279" i="10"/>
  <c r="AI220" i="10"/>
  <c r="AI292" i="10"/>
  <c r="AI186" i="10"/>
  <c r="AI315" i="10"/>
  <c r="AM147" i="12"/>
  <c r="AM211" i="12"/>
  <c r="AM275" i="12"/>
  <c r="AM194" i="12"/>
  <c r="AM153" i="12"/>
  <c r="AM277" i="12"/>
  <c r="AM184" i="12"/>
  <c r="AM248" i="12"/>
  <c r="AM312" i="12"/>
  <c r="AM246" i="12"/>
  <c r="AM193" i="12"/>
  <c r="AM159" i="12"/>
  <c r="AM223" i="12"/>
  <c r="AM287" i="12"/>
  <c r="AM226" i="12"/>
  <c r="AM173" i="12"/>
  <c r="AM301" i="12"/>
  <c r="AM196" i="12"/>
  <c r="AM260" i="12"/>
  <c r="AM154" i="12"/>
  <c r="AM270" i="12"/>
  <c r="AM221" i="12"/>
  <c r="AM268" i="11"/>
  <c r="AM206" i="11"/>
  <c r="AM290" i="11"/>
  <c r="AM223" i="11"/>
  <c r="AM170" i="11"/>
  <c r="S159" i="11"/>
  <c r="S281" i="11"/>
  <c r="S249" i="11"/>
  <c r="S217" i="11"/>
  <c r="S185" i="11"/>
  <c r="L139" i="11"/>
  <c r="S152" i="11"/>
  <c r="AM149" i="11"/>
  <c r="S180" i="11"/>
  <c r="S279" i="11"/>
  <c r="S199" i="11"/>
  <c r="S232" i="11"/>
  <c r="S282" i="11"/>
  <c r="S226" i="11"/>
  <c r="AM170" i="10"/>
  <c r="AM206" i="10"/>
  <c r="AM207" i="10"/>
  <c r="AM191" i="10"/>
  <c r="AM175" i="10"/>
  <c r="AM196" i="10"/>
  <c r="AM180" i="10"/>
  <c r="AM205" i="10"/>
  <c r="AM189" i="10"/>
  <c r="AM173" i="10"/>
  <c r="AM157" i="11"/>
  <c r="S260" i="11"/>
  <c r="S165" i="11"/>
  <c r="S283" i="11"/>
  <c r="S251" i="11"/>
  <c r="S219" i="11"/>
  <c r="S187" i="11"/>
  <c r="S313" i="11"/>
  <c r="S256" i="11"/>
  <c r="S192" i="11"/>
  <c r="S307" i="11"/>
  <c r="S278" i="11"/>
  <c r="S246" i="11"/>
  <c r="S214" i="11"/>
  <c r="S182" i="11"/>
  <c r="S309" i="11"/>
  <c r="S263" i="11"/>
  <c r="S305" i="11"/>
  <c r="S290" i="11"/>
  <c r="S194" i="11"/>
  <c r="AM171" i="12"/>
  <c r="AM235" i="12"/>
  <c r="AM299" i="12"/>
  <c r="AM250" i="12"/>
  <c r="AM197" i="12"/>
  <c r="AM144" i="12"/>
  <c r="AM208" i="12"/>
  <c r="AM272" i="12"/>
  <c r="AM178" i="12"/>
  <c r="AM290" i="12"/>
  <c r="AM279" i="11"/>
  <c r="S277" i="11"/>
  <c r="S245" i="11"/>
  <c r="S213" i="11"/>
  <c r="S181" i="11"/>
  <c r="S148" i="11"/>
  <c r="S300" i="11"/>
  <c r="S191" i="11"/>
  <c r="B110" i="11"/>
  <c r="BJ138" i="11" s="1"/>
  <c r="B110" i="13"/>
  <c r="BJ138" i="13" s="1"/>
  <c r="F154" i="8"/>
  <c r="I72" i="37" s="1"/>
  <c r="N72" i="37" s="1"/>
  <c r="BJ134" i="10"/>
  <c r="BQ155" i="10" s="1"/>
  <c r="B110" i="9"/>
  <c r="BJ138" i="9" s="1"/>
  <c r="BJ134" i="9"/>
  <c r="B110" i="12"/>
  <c r="BJ138" i="12" s="1"/>
  <c r="D148" i="14"/>
  <c r="BJ134" i="11"/>
  <c r="BQ156" i="11" s="1"/>
  <c r="E152" i="14"/>
  <c r="BM216" i="11"/>
  <c r="BM217" i="11"/>
  <c r="BM218" i="11"/>
  <c r="BM219" i="11"/>
  <c r="BM220" i="11"/>
  <c r="BM221" i="11"/>
  <c r="BM222" i="11"/>
  <c r="BM223" i="11"/>
  <c r="BM224" i="11"/>
  <c r="BM225" i="11"/>
  <c r="BM226" i="11"/>
  <c r="BM227" i="11"/>
  <c r="BM228" i="11"/>
  <c r="BM229" i="11"/>
  <c r="BM230" i="11"/>
  <c r="BM231" i="11"/>
  <c r="BM232" i="11"/>
  <c r="BM233" i="11"/>
  <c r="BM234" i="11"/>
  <c r="BM235" i="11"/>
  <c r="BM236" i="11"/>
  <c r="BM237" i="11"/>
  <c r="BM238" i="11"/>
  <c r="BM239" i="11"/>
  <c r="BM240" i="11"/>
  <c r="BM241" i="11"/>
  <c r="BM242" i="11"/>
  <c r="BM243" i="11"/>
  <c r="BM244" i="11"/>
  <c r="BM245" i="11"/>
  <c r="BM246" i="11"/>
  <c r="BM247" i="11"/>
  <c r="BM248" i="11"/>
  <c r="BM249" i="11"/>
  <c r="BM250" i="11"/>
  <c r="BM251" i="11"/>
  <c r="BM252" i="11"/>
  <c r="BM253" i="11"/>
  <c r="BM254" i="11"/>
  <c r="BM255" i="11"/>
  <c r="BM256" i="11"/>
  <c r="BM257" i="11"/>
  <c r="BM258" i="11"/>
  <c r="BM259" i="11"/>
  <c r="BM260" i="11"/>
  <c r="BM261" i="11"/>
  <c r="BM262" i="11"/>
  <c r="BM263" i="11"/>
  <c r="BM264" i="11"/>
  <c r="BM265" i="11"/>
  <c r="BM266" i="11"/>
  <c r="BM267" i="11"/>
  <c r="BM268" i="11"/>
  <c r="BM269" i="11"/>
  <c r="BM270" i="11"/>
  <c r="BM271" i="11"/>
  <c r="BM272" i="11"/>
  <c r="BM273" i="11"/>
  <c r="BM274" i="11"/>
  <c r="BM275" i="11"/>
  <c r="BM276" i="11"/>
  <c r="BM277" i="11"/>
  <c r="BM278" i="11"/>
  <c r="BM279" i="11"/>
  <c r="BM280" i="11"/>
  <c r="BM281" i="11"/>
  <c r="BM282" i="11"/>
  <c r="BM283" i="11"/>
  <c r="BM284" i="11"/>
  <c r="BM285" i="11"/>
  <c r="BM286" i="11"/>
  <c r="BM287" i="11"/>
  <c r="BM288" i="11"/>
  <c r="BM289" i="11"/>
  <c r="BM290" i="11"/>
  <c r="BM291" i="11"/>
  <c r="BM292" i="11"/>
  <c r="BM293" i="11"/>
  <c r="BM294" i="11"/>
  <c r="BM295" i="11"/>
  <c r="BM296" i="11"/>
  <c r="BM297" i="11"/>
  <c r="BM298" i="11"/>
  <c r="BM299" i="11"/>
  <c r="BM300" i="11"/>
  <c r="BM301" i="11"/>
  <c r="BM302" i="11"/>
  <c r="BM303" i="11"/>
  <c r="BM304" i="11"/>
  <c r="BM305" i="11"/>
  <c r="BM306" i="11"/>
  <c r="BM307" i="11"/>
  <c r="BM308" i="11"/>
  <c r="BM309" i="11"/>
  <c r="BM310" i="11"/>
  <c r="BM311" i="11"/>
  <c r="BM312" i="11"/>
  <c r="BM313" i="11"/>
  <c r="BM314" i="11"/>
  <c r="BM315" i="11"/>
  <c r="BM316" i="11"/>
  <c r="BM317" i="11"/>
  <c r="BM318" i="11"/>
  <c r="BM214" i="11"/>
  <c r="BM206" i="11"/>
  <c r="BM198" i="11"/>
  <c r="BM207" i="11"/>
  <c r="BM199" i="11"/>
  <c r="BM196" i="11"/>
  <c r="BM194" i="11"/>
  <c r="BM186" i="11"/>
  <c r="BM178" i="11"/>
  <c r="BM189" i="11"/>
  <c r="BM181" i="11"/>
  <c r="BM173" i="11"/>
  <c r="BM170" i="11"/>
  <c r="BM162" i="11"/>
  <c r="BM154" i="11"/>
  <c r="BM146" i="11"/>
  <c r="BM210" i="11"/>
  <c r="BM203" i="11"/>
  <c r="BM174" i="11"/>
  <c r="BM193" i="11"/>
  <c r="BM177" i="11"/>
  <c r="BM166" i="11"/>
  <c r="BM150" i="11"/>
  <c r="BM208" i="11"/>
  <c r="BM215" i="11"/>
  <c r="BM205" i="11"/>
  <c r="BM192" i="11"/>
  <c r="BM176" i="11"/>
  <c r="BM191" i="11"/>
  <c r="BM183" i="11"/>
  <c r="BM144" i="11"/>
  <c r="BM164" i="11"/>
  <c r="BM148" i="11"/>
  <c r="BM212" i="11"/>
  <c r="BM204" i="11"/>
  <c r="BM172" i="11"/>
  <c r="BM143" i="11"/>
  <c r="BM209" i="11"/>
  <c r="BM201" i="11"/>
  <c r="BM188" i="11"/>
  <c r="BM180" i="11"/>
  <c r="BM195" i="11"/>
  <c r="BM187" i="11"/>
  <c r="BM179" i="11"/>
  <c r="BM171" i="11"/>
  <c r="BM169" i="11"/>
  <c r="BM167" i="11"/>
  <c r="BM165" i="11"/>
  <c r="BM163" i="11"/>
  <c r="BM161" i="11"/>
  <c r="BM159" i="11"/>
  <c r="BM157" i="11"/>
  <c r="BM155" i="11"/>
  <c r="BM153" i="11"/>
  <c r="BM151" i="11"/>
  <c r="BM149" i="11"/>
  <c r="BM147" i="11"/>
  <c r="BM145" i="11"/>
  <c r="BM168" i="11"/>
  <c r="BM160" i="11"/>
  <c r="BM152" i="11"/>
  <c r="BM202" i="11"/>
  <c r="BM211" i="11"/>
  <c r="BM190" i="11"/>
  <c r="BM182" i="11"/>
  <c r="BM185" i="11"/>
  <c r="BM158" i="11"/>
  <c r="BM200" i="11"/>
  <c r="BM213" i="11"/>
  <c r="BM197" i="11"/>
  <c r="BM184" i="11"/>
  <c r="BM175" i="11"/>
  <c r="BM156" i="11"/>
  <c r="BM173" i="10"/>
  <c r="BM174" i="10"/>
  <c r="BM175" i="10"/>
  <c r="BM206" i="10"/>
  <c r="BM232" i="10"/>
  <c r="BM233" i="10"/>
  <c r="BM234" i="10"/>
  <c r="BM235" i="10"/>
  <c r="BM236" i="10"/>
  <c r="BM237" i="10"/>
  <c r="BM238" i="10"/>
  <c r="BM239" i="10"/>
  <c r="BM240" i="10"/>
  <c r="BM241" i="10"/>
  <c r="BM242" i="10"/>
  <c r="BM243" i="10"/>
  <c r="BM244" i="10"/>
  <c r="BM245" i="10"/>
  <c r="BM246" i="10"/>
  <c r="BM247" i="10"/>
  <c r="BM248" i="10"/>
  <c r="BM249" i="10"/>
  <c r="BM250" i="10"/>
  <c r="BM251" i="10"/>
  <c r="BM252" i="10"/>
  <c r="BM253" i="10"/>
  <c r="BM254" i="10"/>
  <c r="BM255" i="10"/>
  <c r="BM256" i="10"/>
  <c r="BM257" i="10"/>
  <c r="BM258" i="10"/>
  <c r="BM259" i="10"/>
  <c r="BM260" i="10"/>
  <c r="BM261" i="10"/>
  <c r="BM262" i="10"/>
  <c r="BM263" i="10"/>
  <c r="BM264" i="10"/>
  <c r="BM265" i="10"/>
  <c r="BM266" i="10"/>
  <c r="BM267" i="10"/>
  <c r="BM268" i="10"/>
  <c r="BM269" i="10"/>
  <c r="BM270" i="10"/>
  <c r="BM271" i="10"/>
  <c r="BM272" i="10"/>
  <c r="BM273" i="10"/>
  <c r="BM274" i="10"/>
  <c r="BM275" i="10"/>
  <c r="BM276" i="10"/>
  <c r="BM277" i="10"/>
  <c r="BM278" i="10"/>
  <c r="BM279" i="10"/>
  <c r="BM280" i="10"/>
  <c r="BM281" i="10"/>
  <c r="BM282" i="10"/>
  <c r="BM283" i="10"/>
  <c r="BM284" i="10"/>
  <c r="BM285" i="10"/>
  <c r="BM286" i="10"/>
  <c r="BM287" i="10"/>
  <c r="BM288" i="10"/>
  <c r="BM289" i="10"/>
  <c r="BM290" i="10"/>
  <c r="BM291" i="10"/>
  <c r="BM292" i="10"/>
  <c r="BM293" i="10"/>
  <c r="BM294" i="10"/>
  <c r="BM295" i="10"/>
  <c r="BM296" i="10"/>
  <c r="BM297" i="10"/>
  <c r="BM298" i="10"/>
  <c r="BM299" i="10"/>
  <c r="BM300" i="10"/>
  <c r="BM301" i="10"/>
  <c r="BM302" i="10"/>
  <c r="BM303" i="10"/>
  <c r="BM304" i="10"/>
  <c r="BM305" i="10"/>
  <c r="BM306" i="10"/>
  <c r="BM307" i="10"/>
  <c r="BM308" i="10"/>
  <c r="BM309" i="10"/>
  <c r="BM310" i="10"/>
  <c r="BM311" i="10"/>
  <c r="BM312" i="10"/>
  <c r="BM313" i="10"/>
  <c r="BM314" i="10"/>
  <c r="BM315" i="10"/>
  <c r="BM316" i="10"/>
  <c r="BM317" i="10"/>
  <c r="BM318" i="10"/>
  <c r="BM176" i="10"/>
  <c r="BM172" i="10"/>
  <c r="BM177" i="10"/>
  <c r="BM229" i="10"/>
  <c r="BM227" i="10"/>
  <c r="BM225" i="10"/>
  <c r="BM223" i="10"/>
  <c r="BM221" i="10"/>
  <c r="BM219" i="10"/>
  <c r="BM217" i="10"/>
  <c r="BM215" i="10"/>
  <c r="BM213" i="10"/>
  <c r="BM230" i="10"/>
  <c r="BM222" i="10"/>
  <c r="BM214" i="10"/>
  <c r="BM199" i="10"/>
  <c r="BM211" i="10"/>
  <c r="BM209" i="10"/>
  <c r="BM207" i="10"/>
  <c r="BM204" i="10"/>
  <c r="BM196" i="10"/>
  <c r="BM194" i="10"/>
  <c r="BM192" i="10"/>
  <c r="BM190" i="10"/>
  <c r="BM188" i="10"/>
  <c r="BM186" i="10"/>
  <c r="BM184" i="10"/>
  <c r="BM182" i="10"/>
  <c r="BM180" i="10"/>
  <c r="BM144" i="10"/>
  <c r="BM163" i="10"/>
  <c r="BM161" i="10"/>
  <c r="BM159" i="10"/>
  <c r="BM157" i="10"/>
  <c r="BM155" i="10"/>
  <c r="BM153" i="10"/>
  <c r="BM151" i="10"/>
  <c r="BM160" i="10"/>
  <c r="BM152" i="10"/>
  <c r="BM228" i="10"/>
  <c r="BM205" i="10"/>
  <c r="BM198" i="10"/>
  <c r="BM146" i="10"/>
  <c r="BM212" i="10"/>
  <c r="BM208" i="10"/>
  <c r="BM191" i="10"/>
  <c r="BM185" i="10"/>
  <c r="BM181" i="10"/>
  <c r="BM150" i="10"/>
  <c r="BM147" i="10"/>
  <c r="BM156" i="10"/>
  <c r="BM231" i="10"/>
  <c r="BM224" i="10"/>
  <c r="BM216" i="10"/>
  <c r="BM201" i="10"/>
  <c r="BM202" i="10"/>
  <c r="BM148" i="10"/>
  <c r="BM149" i="10"/>
  <c r="BM162" i="10"/>
  <c r="BM154" i="10"/>
  <c r="BM220" i="10"/>
  <c r="BM197" i="10"/>
  <c r="BM178" i="10"/>
  <c r="BM166" i="10"/>
  <c r="BM165" i="10"/>
  <c r="BM170" i="10"/>
  <c r="BM158" i="10"/>
  <c r="BM143" i="10"/>
  <c r="BM226" i="10"/>
  <c r="BM218" i="10"/>
  <c r="BM203" i="10"/>
  <c r="BM210" i="10"/>
  <c r="BM200" i="10"/>
  <c r="BM195" i="10"/>
  <c r="BM193" i="10"/>
  <c r="BM189" i="10"/>
  <c r="BM187" i="10"/>
  <c r="BM183" i="10"/>
  <c r="BM179" i="10"/>
  <c r="BM164" i="10"/>
  <c r="BM171" i="10"/>
  <c r="BM169" i="10"/>
  <c r="BM167" i="10"/>
  <c r="BM145" i="10"/>
  <c r="BM168" i="10"/>
  <c r="BN142" i="11"/>
  <c r="BL142" i="11"/>
  <c r="BN142" i="13"/>
  <c r="BL142" i="13"/>
  <c r="BN142" i="12"/>
  <c r="BL142" i="12"/>
  <c r="BN142" i="10"/>
  <c r="BL142" i="10"/>
  <c r="C25" i="7"/>
  <c r="D25" i="7" s="1"/>
  <c r="AL145" i="9"/>
  <c r="AM145" i="9" s="1"/>
  <c r="AL147" i="9"/>
  <c r="AM147" i="9" s="1"/>
  <c r="AL149" i="9"/>
  <c r="AM149" i="9" s="1"/>
  <c r="AL151" i="9"/>
  <c r="AM151" i="9" s="1"/>
  <c r="AL153" i="9"/>
  <c r="AM153" i="9" s="1"/>
  <c r="AL155" i="9"/>
  <c r="AM155" i="9" s="1"/>
  <c r="AL157" i="9"/>
  <c r="AM157" i="9" s="1"/>
  <c r="AL159" i="9"/>
  <c r="AM159" i="9" s="1"/>
  <c r="AL161" i="9"/>
  <c r="AM161" i="9" s="1"/>
  <c r="AL163" i="9"/>
  <c r="AM163" i="9" s="1"/>
  <c r="AL165" i="9"/>
  <c r="AM165" i="9" s="1"/>
  <c r="AL167" i="9"/>
  <c r="AM167" i="9" s="1"/>
  <c r="AL169" i="9"/>
  <c r="AM169" i="9" s="1"/>
  <c r="AL171" i="9"/>
  <c r="AM171" i="9" s="1"/>
  <c r="AL173" i="9"/>
  <c r="AM173" i="9" s="1"/>
  <c r="AL175" i="9"/>
  <c r="AM175" i="9" s="1"/>
  <c r="AL177" i="9"/>
  <c r="AM177" i="9" s="1"/>
  <c r="AL179" i="9"/>
  <c r="AM179" i="9" s="1"/>
  <c r="AL181" i="9"/>
  <c r="AM181" i="9" s="1"/>
  <c r="AL183" i="9"/>
  <c r="AM183" i="9" s="1"/>
  <c r="AL185" i="9"/>
  <c r="AM185" i="9" s="1"/>
  <c r="AL187" i="9"/>
  <c r="AM187" i="9" s="1"/>
  <c r="AL189" i="9"/>
  <c r="AM189" i="9" s="1"/>
  <c r="AL191" i="9"/>
  <c r="AM191" i="9" s="1"/>
  <c r="AL193" i="9"/>
  <c r="AM193" i="9" s="1"/>
  <c r="AL195" i="9"/>
  <c r="AM195" i="9" s="1"/>
  <c r="AL197" i="9"/>
  <c r="AM197" i="9" s="1"/>
  <c r="AL199" i="9"/>
  <c r="AM199" i="9" s="1"/>
  <c r="AL201" i="9"/>
  <c r="AM201" i="9" s="1"/>
  <c r="AL203" i="9"/>
  <c r="AM203" i="9" s="1"/>
  <c r="AL205" i="9"/>
  <c r="AM205" i="9" s="1"/>
  <c r="AL207" i="9"/>
  <c r="AM207" i="9" s="1"/>
  <c r="AL209" i="9"/>
  <c r="AM209" i="9" s="1"/>
  <c r="AL211" i="9"/>
  <c r="AM211" i="9" s="1"/>
  <c r="AL213" i="9"/>
  <c r="AM213" i="9" s="1"/>
  <c r="AL215" i="9"/>
  <c r="AM215" i="9" s="1"/>
  <c r="AL217" i="9"/>
  <c r="AM217" i="9" s="1"/>
  <c r="AL219" i="9"/>
  <c r="AM219" i="9" s="1"/>
  <c r="AL221" i="9"/>
  <c r="AM221" i="9" s="1"/>
  <c r="AL223" i="9"/>
  <c r="AM223" i="9" s="1"/>
  <c r="AL225" i="9"/>
  <c r="AM225" i="9" s="1"/>
  <c r="AL227" i="9"/>
  <c r="AM227" i="9" s="1"/>
  <c r="AL229" i="9"/>
  <c r="AM229" i="9" s="1"/>
  <c r="AL231" i="9"/>
  <c r="AM231" i="9" s="1"/>
  <c r="AL233" i="9"/>
  <c r="AM233" i="9" s="1"/>
  <c r="AL235" i="9"/>
  <c r="AM235" i="9" s="1"/>
  <c r="AL237" i="9"/>
  <c r="AM237" i="9" s="1"/>
  <c r="AL239" i="9"/>
  <c r="AM239" i="9" s="1"/>
  <c r="AL241" i="9"/>
  <c r="AM241" i="9" s="1"/>
  <c r="AL243" i="9"/>
  <c r="AM243" i="9" s="1"/>
  <c r="AL245" i="9"/>
  <c r="AM245" i="9" s="1"/>
  <c r="AL247" i="9"/>
  <c r="AM247" i="9" s="1"/>
  <c r="AL249" i="9"/>
  <c r="AM249" i="9" s="1"/>
  <c r="AL251" i="9"/>
  <c r="AM251" i="9" s="1"/>
  <c r="AL253" i="9"/>
  <c r="AM253" i="9" s="1"/>
  <c r="AL255" i="9"/>
  <c r="AM255" i="9" s="1"/>
  <c r="AL257" i="9"/>
  <c r="AM257" i="9" s="1"/>
  <c r="AL259" i="9"/>
  <c r="AM259" i="9" s="1"/>
  <c r="AL261" i="9"/>
  <c r="AM261" i="9" s="1"/>
  <c r="AL263" i="9"/>
  <c r="AM263" i="9" s="1"/>
  <c r="AL265" i="9"/>
  <c r="AM265" i="9" s="1"/>
  <c r="AL267" i="9"/>
  <c r="AM267" i="9" s="1"/>
  <c r="AL269" i="9"/>
  <c r="AM269" i="9" s="1"/>
  <c r="AL271" i="9"/>
  <c r="AM271" i="9" s="1"/>
  <c r="AL273" i="9"/>
  <c r="AM273" i="9" s="1"/>
  <c r="AL275" i="9"/>
  <c r="AM275" i="9" s="1"/>
  <c r="AL277" i="9"/>
  <c r="AM277" i="9" s="1"/>
  <c r="AL279" i="9"/>
  <c r="AM279" i="9" s="1"/>
  <c r="AL281" i="9"/>
  <c r="AM281" i="9" s="1"/>
  <c r="AL283" i="9"/>
  <c r="AM283" i="9" s="1"/>
  <c r="AL285" i="9"/>
  <c r="AM285" i="9" s="1"/>
  <c r="AL287" i="9"/>
  <c r="AM287" i="9" s="1"/>
  <c r="AL289" i="9"/>
  <c r="AM289" i="9" s="1"/>
  <c r="AL291" i="9"/>
  <c r="AM291" i="9" s="1"/>
  <c r="AL293" i="9"/>
  <c r="AM293" i="9" s="1"/>
  <c r="AL295" i="9"/>
  <c r="AM295" i="9" s="1"/>
  <c r="AL297" i="9"/>
  <c r="AM297" i="9" s="1"/>
  <c r="AL299" i="9"/>
  <c r="AM299" i="9" s="1"/>
  <c r="AL301" i="9"/>
  <c r="AM301" i="9" s="1"/>
  <c r="AL303" i="9"/>
  <c r="AM303" i="9" s="1"/>
  <c r="AL305" i="9"/>
  <c r="AM305" i="9" s="1"/>
  <c r="AL307" i="9"/>
  <c r="AM307" i="9" s="1"/>
  <c r="AL309" i="9"/>
  <c r="AM309" i="9" s="1"/>
  <c r="AL311" i="9"/>
  <c r="AM311" i="9" s="1"/>
  <c r="AL313" i="9"/>
  <c r="AM313" i="9" s="1"/>
  <c r="AL315" i="9"/>
  <c r="AM315" i="9" s="1"/>
  <c r="AL317" i="9"/>
  <c r="AM317" i="9" s="1"/>
  <c r="AL143" i="9"/>
  <c r="AM143" i="9" s="1"/>
  <c r="AL146" i="9"/>
  <c r="AM146" i="9" s="1"/>
  <c r="AL150" i="9"/>
  <c r="AM150" i="9" s="1"/>
  <c r="AL154" i="9"/>
  <c r="AM154" i="9" s="1"/>
  <c r="AL158" i="9"/>
  <c r="AM158" i="9" s="1"/>
  <c r="AL162" i="9"/>
  <c r="AM162" i="9" s="1"/>
  <c r="AL166" i="9"/>
  <c r="AM166" i="9" s="1"/>
  <c r="AL170" i="9"/>
  <c r="AM170" i="9" s="1"/>
  <c r="AL174" i="9"/>
  <c r="AM174" i="9" s="1"/>
  <c r="AL178" i="9"/>
  <c r="AM178" i="9" s="1"/>
  <c r="AL182" i="9"/>
  <c r="AM182" i="9" s="1"/>
  <c r="AL186" i="9"/>
  <c r="AM186" i="9" s="1"/>
  <c r="AL190" i="9"/>
  <c r="AM190" i="9" s="1"/>
  <c r="AL194" i="9"/>
  <c r="AM194" i="9" s="1"/>
  <c r="AL198" i="9"/>
  <c r="AM198" i="9" s="1"/>
  <c r="AL202" i="9"/>
  <c r="AM202" i="9" s="1"/>
  <c r="AL206" i="9"/>
  <c r="AM206" i="9" s="1"/>
  <c r="AL210" i="9"/>
  <c r="AM210" i="9" s="1"/>
  <c r="AL214" i="9"/>
  <c r="AM214" i="9" s="1"/>
  <c r="AL218" i="9"/>
  <c r="AM218" i="9" s="1"/>
  <c r="AL222" i="9"/>
  <c r="AM222" i="9" s="1"/>
  <c r="AL226" i="9"/>
  <c r="AM226" i="9" s="1"/>
  <c r="AL230" i="9"/>
  <c r="AM230" i="9" s="1"/>
  <c r="AL234" i="9"/>
  <c r="AM234" i="9" s="1"/>
  <c r="AL238" i="9"/>
  <c r="AM238" i="9" s="1"/>
  <c r="AL242" i="9"/>
  <c r="AM242" i="9" s="1"/>
  <c r="AL246" i="9"/>
  <c r="AM246" i="9" s="1"/>
  <c r="AL250" i="9"/>
  <c r="AM250" i="9" s="1"/>
  <c r="AL254" i="9"/>
  <c r="AM254" i="9" s="1"/>
  <c r="AL258" i="9"/>
  <c r="AM258" i="9" s="1"/>
  <c r="AL262" i="9"/>
  <c r="AM262" i="9" s="1"/>
  <c r="AL266" i="9"/>
  <c r="AM266" i="9" s="1"/>
  <c r="AL270" i="9"/>
  <c r="AM270" i="9" s="1"/>
  <c r="AL274" i="9"/>
  <c r="AM274" i="9" s="1"/>
  <c r="AL278" i="9"/>
  <c r="AM278" i="9" s="1"/>
  <c r="AL282" i="9"/>
  <c r="AM282" i="9" s="1"/>
  <c r="AL286" i="9"/>
  <c r="AM286" i="9" s="1"/>
  <c r="AL290" i="9"/>
  <c r="AM290" i="9" s="1"/>
  <c r="AL294" i="9"/>
  <c r="AM294" i="9" s="1"/>
  <c r="AL298" i="9"/>
  <c r="AM298" i="9" s="1"/>
  <c r="AL302" i="9"/>
  <c r="AM302" i="9" s="1"/>
  <c r="AL306" i="9"/>
  <c r="AM306" i="9" s="1"/>
  <c r="AL310" i="9"/>
  <c r="AM310" i="9" s="1"/>
  <c r="AL314" i="9"/>
  <c r="AM314" i="9" s="1"/>
  <c r="AL144" i="9"/>
  <c r="AM144" i="9" s="1"/>
  <c r="AL148" i="9"/>
  <c r="AM148" i="9" s="1"/>
  <c r="AL152" i="9"/>
  <c r="AM152" i="9" s="1"/>
  <c r="AL156" i="9"/>
  <c r="AM156" i="9" s="1"/>
  <c r="AL160" i="9"/>
  <c r="AM160" i="9" s="1"/>
  <c r="AL164" i="9"/>
  <c r="AM164" i="9" s="1"/>
  <c r="AL168" i="9"/>
  <c r="AM168" i="9" s="1"/>
  <c r="AL172" i="9"/>
  <c r="AM172" i="9" s="1"/>
  <c r="AL176" i="9"/>
  <c r="AM176" i="9" s="1"/>
  <c r="AL180" i="9"/>
  <c r="AM180" i="9" s="1"/>
  <c r="AL184" i="9"/>
  <c r="AM184" i="9" s="1"/>
  <c r="AL188" i="9"/>
  <c r="AM188" i="9" s="1"/>
  <c r="AL192" i="9"/>
  <c r="AM192" i="9" s="1"/>
  <c r="AL196" i="9"/>
  <c r="AM196" i="9" s="1"/>
  <c r="AL200" i="9"/>
  <c r="AM200" i="9" s="1"/>
  <c r="AL204" i="9"/>
  <c r="AM204" i="9" s="1"/>
  <c r="AL208" i="9"/>
  <c r="AM208" i="9" s="1"/>
  <c r="AL212" i="9"/>
  <c r="AM212" i="9" s="1"/>
  <c r="AL216" i="9"/>
  <c r="AM216" i="9" s="1"/>
  <c r="AL220" i="9"/>
  <c r="AM220" i="9" s="1"/>
  <c r="AL224" i="9"/>
  <c r="AM224" i="9" s="1"/>
  <c r="AL228" i="9"/>
  <c r="AM228" i="9" s="1"/>
  <c r="AL232" i="9"/>
  <c r="AM232" i="9" s="1"/>
  <c r="AL236" i="9"/>
  <c r="AM236" i="9" s="1"/>
  <c r="AL240" i="9"/>
  <c r="AM240" i="9" s="1"/>
  <c r="AL244" i="9"/>
  <c r="AM244" i="9" s="1"/>
  <c r="AL248" i="9"/>
  <c r="AM248" i="9" s="1"/>
  <c r="AL252" i="9"/>
  <c r="AM252" i="9" s="1"/>
  <c r="AL256" i="9"/>
  <c r="AM256" i="9" s="1"/>
  <c r="AL260" i="9"/>
  <c r="AM260" i="9" s="1"/>
  <c r="AL264" i="9"/>
  <c r="AM264" i="9" s="1"/>
  <c r="AL268" i="9"/>
  <c r="AM268" i="9" s="1"/>
  <c r="AL272" i="9"/>
  <c r="AM272" i="9" s="1"/>
  <c r="AL276" i="9"/>
  <c r="AM276" i="9" s="1"/>
  <c r="AL280" i="9"/>
  <c r="AM280" i="9" s="1"/>
  <c r="AL284" i="9"/>
  <c r="AM284" i="9" s="1"/>
  <c r="AL288" i="9"/>
  <c r="AM288" i="9" s="1"/>
  <c r="AL292" i="9"/>
  <c r="AM292" i="9" s="1"/>
  <c r="AL296" i="9"/>
  <c r="AM296" i="9" s="1"/>
  <c r="AL300" i="9"/>
  <c r="AM300" i="9" s="1"/>
  <c r="AL304" i="9"/>
  <c r="AM304" i="9" s="1"/>
  <c r="AL308" i="9"/>
  <c r="AM308" i="9" s="1"/>
  <c r="AL312" i="9"/>
  <c r="AM312" i="9" s="1"/>
  <c r="AL316" i="9"/>
  <c r="AM316" i="9" s="1"/>
  <c r="B10" i="9"/>
  <c r="B14" i="9" s="1"/>
  <c r="D17" i="7"/>
  <c r="C10" i="14" s="1"/>
  <c r="B42" i="9"/>
  <c r="B46" i="9" s="1"/>
  <c r="Y21" i="3"/>
  <c r="W22" i="3"/>
  <c r="Y20" i="3"/>
  <c r="G19" i="7"/>
  <c r="F142" i="8" s="1"/>
  <c r="I60" i="37" s="1"/>
  <c r="L60" i="37" s="1"/>
  <c r="F19" i="7"/>
  <c r="F120" i="8" s="1"/>
  <c r="I38" i="37" s="1"/>
  <c r="L38" i="37" s="1"/>
  <c r="E19" i="7"/>
  <c r="F98" i="8" s="1"/>
  <c r="I16" i="37" s="1"/>
  <c r="I19" i="7"/>
  <c r="F368" i="8" s="1"/>
  <c r="I16" i="49" s="1"/>
  <c r="M16" i="49" s="1"/>
  <c r="H19" i="7"/>
  <c r="F263" i="8" s="1"/>
  <c r="I16" i="40" s="1"/>
  <c r="J16" i="40" s="1"/>
  <c r="G17" i="7"/>
  <c r="C17" i="14" s="1"/>
  <c r="F17" i="7"/>
  <c r="F114" i="8" s="1"/>
  <c r="I32" i="37" s="1"/>
  <c r="E17" i="7"/>
  <c r="F92" i="8" s="1"/>
  <c r="I17" i="7"/>
  <c r="C19" i="14" s="1"/>
  <c r="H17" i="7"/>
  <c r="F257" i="8" s="1"/>
  <c r="C56" i="14"/>
  <c r="H312" i="3"/>
  <c r="F312" i="3"/>
  <c r="X14" i="3"/>
  <c r="K39" i="3"/>
  <c r="K20" i="35"/>
  <c r="K22" i="35" s="1"/>
  <c r="H28" i="3"/>
  <c r="A29" i="3"/>
  <c r="C28" i="3"/>
  <c r="D28" i="3" s="1"/>
  <c r="D83" i="14"/>
  <c r="D87" i="14" s="1"/>
  <c r="D94" i="14" s="1"/>
  <c r="F13" i="27"/>
  <c r="K19" i="39"/>
  <c r="K21" i="39" s="1"/>
  <c r="L20" i="35"/>
  <c r="L22" i="35" s="1"/>
  <c r="J20" i="35"/>
  <c r="J22" i="35" s="1"/>
  <c r="H13" i="27"/>
  <c r="M19" i="39"/>
  <c r="M21" i="39" s="1"/>
  <c r="M20" i="35"/>
  <c r="M22" i="35" s="1"/>
  <c r="I13" i="27"/>
  <c r="H22" i="25" s="1"/>
  <c r="N19" i="39"/>
  <c r="N21" i="39" s="1"/>
  <c r="N20" i="35"/>
  <c r="N22" i="35" s="1"/>
  <c r="L41" i="3"/>
  <c r="K36" i="3"/>
  <c r="L40" i="3"/>
  <c r="H83" i="14"/>
  <c r="H85" i="14" s="1"/>
  <c r="M25" i="49"/>
  <c r="K25" i="49"/>
  <c r="N25" i="49"/>
  <c r="J25" i="49"/>
  <c r="L25" i="49"/>
  <c r="M25" i="40"/>
  <c r="J25" i="40"/>
  <c r="K25" i="40"/>
  <c r="N25" i="40"/>
  <c r="L25" i="40"/>
  <c r="M28" i="40"/>
  <c r="N28" i="40"/>
  <c r="J28" i="40"/>
  <c r="K28" i="40"/>
  <c r="L28" i="40"/>
  <c r="M28" i="49"/>
  <c r="K28" i="49"/>
  <c r="L28" i="49"/>
  <c r="N28" i="49"/>
  <c r="J28" i="49"/>
  <c r="M19" i="49"/>
  <c r="J19" i="49"/>
  <c r="K19" i="49"/>
  <c r="N19" i="49"/>
  <c r="L19" i="49"/>
  <c r="K9" i="38"/>
  <c r="N9" i="38"/>
  <c r="L9" i="38"/>
  <c r="J9" i="38"/>
  <c r="M9" i="38"/>
  <c r="K40" i="3"/>
  <c r="L39" i="3"/>
  <c r="L37" i="3"/>
  <c r="K41" i="3"/>
  <c r="L38" i="3"/>
  <c r="K38" i="3"/>
  <c r="K37" i="3"/>
  <c r="L36" i="3"/>
  <c r="K69" i="37"/>
  <c r="J69" i="37"/>
  <c r="N69" i="37"/>
  <c r="M69" i="37"/>
  <c r="L69" i="37"/>
  <c r="K47" i="37"/>
  <c r="N47" i="37"/>
  <c r="J47" i="37"/>
  <c r="M47" i="37"/>
  <c r="L47" i="37"/>
  <c r="K50" i="37"/>
  <c r="N50" i="37"/>
  <c r="J50" i="37"/>
  <c r="L50" i="37"/>
  <c r="M50" i="37"/>
  <c r="K25" i="37"/>
  <c r="J25" i="37"/>
  <c r="L25" i="37"/>
  <c r="N25" i="37"/>
  <c r="M25" i="37"/>
  <c r="K41" i="37"/>
  <c r="N41" i="37"/>
  <c r="J41" i="37"/>
  <c r="L41" i="37"/>
  <c r="M41" i="37"/>
  <c r="K63" i="37"/>
  <c r="M63" i="37"/>
  <c r="L63" i="37"/>
  <c r="J63" i="37"/>
  <c r="N63" i="37"/>
  <c r="K28" i="37"/>
  <c r="N28" i="37"/>
  <c r="J28" i="37"/>
  <c r="M28" i="37"/>
  <c r="L28" i="37"/>
  <c r="K19" i="37"/>
  <c r="M19" i="37"/>
  <c r="L19" i="37"/>
  <c r="N19" i="37"/>
  <c r="J19" i="37"/>
  <c r="C57" i="14"/>
  <c r="AI147" i="13"/>
  <c r="AI275" i="13"/>
  <c r="AI211" i="13"/>
  <c r="G83" i="14"/>
  <c r="G88" i="14" s="1"/>
  <c r="G95" i="14" s="1"/>
  <c r="C90" i="14"/>
  <c r="AI202" i="9"/>
  <c r="AI231" i="12"/>
  <c r="AI170" i="9"/>
  <c r="AI268" i="9"/>
  <c r="F83" i="14"/>
  <c r="F86" i="14" s="1"/>
  <c r="F93" i="14" s="1"/>
  <c r="AI300" i="9"/>
  <c r="AI234" i="9"/>
  <c r="AI195" i="13"/>
  <c r="AI259" i="13"/>
  <c r="AI179" i="13"/>
  <c r="AI243" i="13"/>
  <c r="AI307" i="13"/>
  <c r="AI163" i="13"/>
  <c r="AI227" i="13"/>
  <c r="AI291" i="13"/>
  <c r="AI154" i="9"/>
  <c r="AI186" i="9"/>
  <c r="AI218" i="9"/>
  <c r="AI252" i="9"/>
  <c r="AI284" i="9"/>
  <c r="AI316" i="9"/>
  <c r="AI299" i="12"/>
  <c r="AI315" i="12"/>
  <c r="AI157" i="9"/>
  <c r="AI189" i="9"/>
  <c r="AI221" i="9"/>
  <c r="AI255" i="9"/>
  <c r="AI287" i="9"/>
  <c r="AI199" i="12"/>
  <c r="AI237" i="9"/>
  <c r="AI173" i="9"/>
  <c r="AI205" i="9"/>
  <c r="AI239" i="9"/>
  <c r="AI271" i="9"/>
  <c r="AI303" i="9"/>
  <c r="AI146" i="12"/>
  <c r="AI263" i="12"/>
  <c r="AI149" i="9"/>
  <c r="AI165" i="9"/>
  <c r="AI181" i="9"/>
  <c r="AI197" i="9"/>
  <c r="AI213" i="9"/>
  <c r="AI229" i="9"/>
  <c r="AI247" i="9"/>
  <c r="AI263" i="9"/>
  <c r="AI279" i="9"/>
  <c r="AI295" i="9"/>
  <c r="AI311" i="9"/>
  <c r="AI146" i="9"/>
  <c r="AI162" i="9"/>
  <c r="AI178" i="9"/>
  <c r="AI194" i="9"/>
  <c r="AI210" i="9"/>
  <c r="AI226" i="9"/>
  <c r="AI244" i="9"/>
  <c r="AI260" i="9"/>
  <c r="AI276" i="9"/>
  <c r="AI292" i="9"/>
  <c r="AI308" i="9"/>
  <c r="AI163" i="12"/>
  <c r="AI216" i="12"/>
  <c r="AI288" i="12"/>
  <c r="AI156" i="13"/>
  <c r="AI188" i="13"/>
  <c r="AI204" i="13"/>
  <c r="AI220" i="13"/>
  <c r="AI252" i="13"/>
  <c r="AI268" i="13"/>
  <c r="AI284" i="13"/>
  <c r="AI300" i="13"/>
  <c r="AI316" i="13"/>
  <c r="AI162" i="12"/>
  <c r="AI183" i="12"/>
  <c r="AI215" i="12"/>
  <c r="AI247" i="12"/>
  <c r="AI286" i="12"/>
  <c r="AI155" i="13"/>
  <c r="AI171" i="13"/>
  <c r="AI187" i="13"/>
  <c r="AI203" i="13"/>
  <c r="AI219" i="13"/>
  <c r="AI235" i="13"/>
  <c r="AI251" i="13"/>
  <c r="AI267" i="13"/>
  <c r="AI283" i="13"/>
  <c r="AI299" i="13"/>
  <c r="AI315" i="13"/>
  <c r="AI184" i="12"/>
  <c r="AI248" i="12"/>
  <c r="AI172" i="13"/>
  <c r="AI236" i="13"/>
  <c r="AI147" i="12"/>
  <c r="AI303" i="12"/>
  <c r="AI200" i="12"/>
  <c r="AI232" i="12"/>
  <c r="AI264" i="12"/>
  <c r="AI316" i="12"/>
  <c r="AI148" i="13"/>
  <c r="AI164" i="13"/>
  <c r="AI180" i="13"/>
  <c r="AI196" i="13"/>
  <c r="AI212" i="13"/>
  <c r="AI228" i="13"/>
  <c r="AI244" i="13"/>
  <c r="AI260" i="13"/>
  <c r="AI276" i="13"/>
  <c r="AI292" i="13"/>
  <c r="AI308" i="13"/>
  <c r="AI281" i="12"/>
  <c r="AI155" i="12"/>
  <c r="AI171" i="12"/>
  <c r="AI176" i="12"/>
  <c r="AI192" i="12"/>
  <c r="AI208" i="12"/>
  <c r="AI224" i="12"/>
  <c r="AI240" i="12"/>
  <c r="AI256" i="12"/>
  <c r="AI272" i="12"/>
  <c r="AI304" i="12"/>
  <c r="AI144" i="13"/>
  <c r="AI152" i="13"/>
  <c r="AI160" i="13"/>
  <c r="AI168" i="13"/>
  <c r="AI176" i="13"/>
  <c r="AI184" i="13"/>
  <c r="AI192" i="13"/>
  <c r="AI200" i="13"/>
  <c r="AI208" i="13"/>
  <c r="AI216" i="13"/>
  <c r="AI224" i="13"/>
  <c r="AI232" i="13"/>
  <c r="AI240" i="13"/>
  <c r="AI248" i="13"/>
  <c r="AI256" i="13"/>
  <c r="AI264" i="13"/>
  <c r="AI272" i="13"/>
  <c r="AI280" i="13"/>
  <c r="AI288" i="13"/>
  <c r="AI296" i="13"/>
  <c r="AI304" i="13"/>
  <c r="AI312" i="13"/>
  <c r="AI273" i="12"/>
  <c r="AI154" i="12"/>
  <c r="AI170" i="12"/>
  <c r="AI175" i="12"/>
  <c r="AI191" i="12"/>
  <c r="AI207" i="12"/>
  <c r="AI223" i="12"/>
  <c r="AI239" i="12"/>
  <c r="AI255" i="12"/>
  <c r="AI271" i="12"/>
  <c r="AI302" i="12"/>
  <c r="AI151" i="13"/>
  <c r="AI159" i="13"/>
  <c r="AI167" i="13"/>
  <c r="AI175" i="13"/>
  <c r="AI183" i="13"/>
  <c r="AI191" i="13"/>
  <c r="AI199" i="13"/>
  <c r="AI207" i="13"/>
  <c r="AI215" i="13"/>
  <c r="AI223" i="13"/>
  <c r="AI231" i="13"/>
  <c r="AI239" i="13"/>
  <c r="AI247" i="13"/>
  <c r="AI255" i="13"/>
  <c r="AI263" i="13"/>
  <c r="AI271" i="13"/>
  <c r="AI279" i="13"/>
  <c r="AI287" i="13"/>
  <c r="AI295" i="13"/>
  <c r="AI303" i="13"/>
  <c r="AI311" i="13"/>
  <c r="L17" i="35"/>
  <c r="G9" i="27" s="1"/>
  <c r="J17" i="35"/>
  <c r="E9" i="27" s="1"/>
  <c r="M17" i="35"/>
  <c r="H9" i="27" s="1"/>
  <c r="N17" i="35"/>
  <c r="I9" i="27" s="1"/>
  <c r="K17" i="35"/>
  <c r="F9" i="27" s="1"/>
  <c r="AI145" i="9"/>
  <c r="AI153" i="9"/>
  <c r="AI161" i="9"/>
  <c r="AI169" i="9"/>
  <c r="AI177" i="9"/>
  <c r="AI185" i="9"/>
  <c r="AI193" i="9"/>
  <c r="AI201" i="9"/>
  <c r="AI209" i="9"/>
  <c r="AI217" i="9"/>
  <c r="AI225" i="9"/>
  <c r="AI233" i="9"/>
  <c r="AI243" i="9"/>
  <c r="AI251" i="9"/>
  <c r="AI259" i="9"/>
  <c r="AI267" i="9"/>
  <c r="AI275" i="9"/>
  <c r="AI283" i="9"/>
  <c r="AI291" i="9"/>
  <c r="AI299" i="9"/>
  <c r="AI307" i="9"/>
  <c r="AI315" i="9"/>
  <c r="AJ142" i="9"/>
  <c r="AJ315" i="9" s="1"/>
  <c r="AI150" i="9"/>
  <c r="AI158" i="9"/>
  <c r="AI166" i="9"/>
  <c r="AI174" i="9"/>
  <c r="AI182" i="9"/>
  <c r="AI190" i="9"/>
  <c r="AI198" i="9"/>
  <c r="AI206" i="9"/>
  <c r="AI214" i="9"/>
  <c r="AI222" i="9"/>
  <c r="AI230" i="9"/>
  <c r="AI240" i="9"/>
  <c r="AI248" i="9"/>
  <c r="AI256" i="9"/>
  <c r="AI264" i="9"/>
  <c r="AI272" i="9"/>
  <c r="AI280" i="9"/>
  <c r="AI288" i="9"/>
  <c r="AI296" i="9"/>
  <c r="AI304" i="9"/>
  <c r="AI312" i="9"/>
  <c r="AI293" i="12"/>
  <c r="AI151" i="12"/>
  <c r="AI159" i="12"/>
  <c r="AI167" i="12"/>
  <c r="AI287" i="12"/>
  <c r="AI172" i="12"/>
  <c r="AI180" i="12"/>
  <c r="AI188" i="12"/>
  <c r="AI196" i="12"/>
  <c r="AI204" i="12"/>
  <c r="AI212" i="12"/>
  <c r="AI220" i="12"/>
  <c r="AI228" i="12"/>
  <c r="AI236" i="12"/>
  <c r="AI244" i="12"/>
  <c r="AI252" i="12"/>
  <c r="AI260" i="12"/>
  <c r="AI268" i="12"/>
  <c r="AI280" i="12"/>
  <c r="AI296" i="12"/>
  <c r="AI312" i="12"/>
  <c r="AJ317" i="13"/>
  <c r="AI146" i="13"/>
  <c r="AI150" i="13"/>
  <c r="AI154" i="13"/>
  <c r="AI158" i="13"/>
  <c r="AI162" i="13"/>
  <c r="AI166" i="13"/>
  <c r="AI170" i="13"/>
  <c r="AI174" i="13"/>
  <c r="AI178" i="13"/>
  <c r="AI182" i="13"/>
  <c r="AI186" i="13"/>
  <c r="AI190" i="13"/>
  <c r="AI194" i="13"/>
  <c r="AI198" i="13"/>
  <c r="AI202" i="13"/>
  <c r="AI206" i="13"/>
  <c r="AI210" i="13"/>
  <c r="AI214" i="13"/>
  <c r="AI218" i="13"/>
  <c r="AI222" i="13"/>
  <c r="AI226" i="13"/>
  <c r="AI230" i="13"/>
  <c r="AI234" i="13"/>
  <c r="AI238" i="13"/>
  <c r="AI242" i="13"/>
  <c r="AI246" i="13"/>
  <c r="AI250" i="13"/>
  <c r="AI254" i="13"/>
  <c r="AI258" i="13"/>
  <c r="AI262" i="13"/>
  <c r="AI266" i="13"/>
  <c r="AI270" i="13"/>
  <c r="AI274" i="13"/>
  <c r="AI278" i="13"/>
  <c r="AI282" i="13"/>
  <c r="AI286" i="13"/>
  <c r="AI290" i="13"/>
  <c r="AI294" i="13"/>
  <c r="AI298" i="13"/>
  <c r="AI302" i="13"/>
  <c r="AI306" i="13"/>
  <c r="AI310" i="13"/>
  <c r="AI314" i="13"/>
  <c r="AI318" i="13"/>
  <c r="AI309" i="12"/>
  <c r="AI305" i="12"/>
  <c r="AI150" i="12"/>
  <c r="AI158" i="12"/>
  <c r="AI166" i="12"/>
  <c r="AI283" i="12"/>
  <c r="AH318" i="12"/>
  <c r="AI179" i="12"/>
  <c r="AI187" i="12"/>
  <c r="AI195" i="12"/>
  <c r="AI203" i="12"/>
  <c r="AI211" i="12"/>
  <c r="AI219" i="12"/>
  <c r="AI227" i="12"/>
  <c r="AI235" i="12"/>
  <c r="AI243" i="12"/>
  <c r="AI251" i="12"/>
  <c r="AI259" i="12"/>
  <c r="AI267" i="12"/>
  <c r="AI278" i="12"/>
  <c r="AI294" i="12"/>
  <c r="AI310" i="12"/>
  <c r="AH307" i="13"/>
  <c r="AI145" i="13"/>
  <c r="AI149" i="13"/>
  <c r="AI153" i="13"/>
  <c r="AI157" i="13"/>
  <c r="AI161" i="13"/>
  <c r="AI165" i="13"/>
  <c r="AI169" i="13"/>
  <c r="AI173" i="13"/>
  <c r="AI177" i="13"/>
  <c r="AI181" i="13"/>
  <c r="AI185" i="13"/>
  <c r="AI189" i="13"/>
  <c r="AI193" i="13"/>
  <c r="AI197" i="13"/>
  <c r="AI201" i="13"/>
  <c r="AI205" i="13"/>
  <c r="AI209" i="13"/>
  <c r="AI213" i="13"/>
  <c r="AI217" i="13"/>
  <c r="AI221" i="13"/>
  <c r="AI225" i="13"/>
  <c r="AI229" i="13"/>
  <c r="AI233" i="13"/>
  <c r="AI237" i="13"/>
  <c r="AI241" i="13"/>
  <c r="AI245" i="13"/>
  <c r="AI249" i="13"/>
  <c r="AI253" i="13"/>
  <c r="AI257" i="13"/>
  <c r="AI261" i="13"/>
  <c r="AI265" i="13"/>
  <c r="AI269" i="13"/>
  <c r="AI273" i="13"/>
  <c r="AI277" i="13"/>
  <c r="AI281" i="13"/>
  <c r="AI285" i="13"/>
  <c r="AI289" i="13"/>
  <c r="AI293" i="13"/>
  <c r="AI297" i="13"/>
  <c r="AI301" i="13"/>
  <c r="AI305" i="13"/>
  <c r="AI309" i="13"/>
  <c r="AI313" i="13"/>
  <c r="AI235" i="9"/>
  <c r="AI143" i="9"/>
  <c r="AI147" i="9"/>
  <c r="AI151" i="9"/>
  <c r="AI155" i="9"/>
  <c r="AI159" i="9"/>
  <c r="AI163" i="9"/>
  <c r="AI167" i="9"/>
  <c r="AI171" i="9"/>
  <c r="AI175" i="9"/>
  <c r="AI179" i="9"/>
  <c r="AI183" i="9"/>
  <c r="AI187" i="9"/>
  <c r="AI191" i="9"/>
  <c r="AI195" i="9"/>
  <c r="AI199" i="9"/>
  <c r="AI203" i="9"/>
  <c r="AI207" i="9"/>
  <c r="AI211" i="9"/>
  <c r="AI215" i="9"/>
  <c r="AI219" i="9"/>
  <c r="AI223" i="9"/>
  <c r="AI227" i="9"/>
  <c r="AI231" i="9"/>
  <c r="AI236" i="9"/>
  <c r="AI241" i="9"/>
  <c r="AI245" i="9"/>
  <c r="AI249" i="9"/>
  <c r="AI253" i="9"/>
  <c r="AI257" i="9"/>
  <c r="AI261" i="9"/>
  <c r="AI265" i="9"/>
  <c r="AI269" i="9"/>
  <c r="AI273" i="9"/>
  <c r="AI277" i="9"/>
  <c r="AI281" i="9"/>
  <c r="AI285" i="9"/>
  <c r="AI289" i="9"/>
  <c r="AI293" i="9"/>
  <c r="AI297" i="9"/>
  <c r="AI301" i="9"/>
  <c r="AI305" i="9"/>
  <c r="AI309" i="9"/>
  <c r="AI313" i="9"/>
  <c r="AI317" i="9"/>
  <c r="AH142" i="9"/>
  <c r="AH316" i="9" s="1"/>
  <c r="AI144" i="9"/>
  <c r="AI148" i="9"/>
  <c r="AI152" i="9"/>
  <c r="AI156" i="9"/>
  <c r="AI160" i="9"/>
  <c r="AI164" i="9"/>
  <c r="AI168" i="9"/>
  <c r="AI172" i="9"/>
  <c r="AI176" i="9"/>
  <c r="AI180" i="9"/>
  <c r="AI184" i="9"/>
  <c r="AI188" i="9"/>
  <c r="AI192" i="9"/>
  <c r="AI196" i="9"/>
  <c r="AI200" i="9"/>
  <c r="AI204" i="9"/>
  <c r="AI208" i="9"/>
  <c r="AI212" i="9"/>
  <c r="AI216" i="9"/>
  <c r="AI220" i="9"/>
  <c r="AI224" i="9"/>
  <c r="AI228" i="9"/>
  <c r="AI232" i="9"/>
  <c r="AI238" i="9"/>
  <c r="AI242" i="9"/>
  <c r="AI246" i="9"/>
  <c r="AI250" i="9"/>
  <c r="AI254" i="9"/>
  <c r="AI258" i="9"/>
  <c r="AI262" i="9"/>
  <c r="AI266" i="9"/>
  <c r="AI270" i="9"/>
  <c r="AI274" i="9"/>
  <c r="AI278" i="9"/>
  <c r="AI282" i="9"/>
  <c r="AI286" i="9"/>
  <c r="AI290" i="9"/>
  <c r="AI294" i="9"/>
  <c r="AI298" i="9"/>
  <c r="AI302" i="9"/>
  <c r="AI306" i="9"/>
  <c r="AI310" i="9"/>
  <c r="AI314" i="9"/>
  <c r="AI277" i="12"/>
  <c r="AI301" i="12"/>
  <c r="AI297" i="12"/>
  <c r="AI145" i="12"/>
  <c r="AI149" i="12"/>
  <c r="AI153" i="12"/>
  <c r="AI157" i="12"/>
  <c r="AI161" i="12"/>
  <c r="AI165" i="12"/>
  <c r="AI169" i="12"/>
  <c r="AI279" i="12"/>
  <c r="AI295" i="12"/>
  <c r="AI311" i="12"/>
  <c r="AI174" i="12"/>
  <c r="AI178" i="12"/>
  <c r="AI182" i="12"/>
  <c r="AI186" i="12"/>
  <c r="AI190" i="12"/>
  <c r="AI194" i="12"/>
  <c r="AI198" i="12"/>
  <c r="AI202" i="12"/>
  <c r="AI206" i="12"/>
  <c r="AI210" i="12"/>
  <c r="AI214" i="12"/>
  <c r="AI218" i="12"/>
  <c r="AI222" i="12"/>
  <c r="AI226" i="12"/>
  <c r="AI230" i="12"/>
  <c r="AI234" i="12"/>
  <c r="AI238" i="12"/>
  <c r="AI242" i="12"/>
  <c r="AI246" i="12"/>
  <c r="AI250" i="12"/>
  <c r="AI254" i="12"/>
  <c r="AI258" i="12"/>
  <c r="AI262" i="12"/>
  <c r="AI266" i="12"/>
  <c r="AI270" i="12"/>
  <c r="AI276" i="12"/>
  <c r="AI284" i="12"/>
  <c r="AI292" i="12"/>
  <c r="AI300" i="12"/>
  <c r="AI308" i="12"/>
  <c r="AI314" i="12"/>
  <c r="AI318" i="12"/>
  <c r="AJ271" i="12"/>
  <c r="AI285" i="12"/>
  <c r="AI289" i="12"/>
  <c r="AI144" i="12"/>
  <c r="AI148" i="12"/>
  <c r="AI152" i="12"/>
  <c r="AI156" i="12"/>
  <c r="AI160" i="12"/>
  <c r="AI164" i="12"/>
  <c r="AI168" i="12"/>
  <c r="AI275" i="12"/>
  <c r="AI291" i="12"/>
  <c r="AI307" i="12"/>
  <c r="AI173" i="12"/>
  <c r="AI177" i="12"/>
  <c r="AI181" i="12"/>
  <c r="AI185" i="12"/>
  <c r="AI189" i="12"/>
  <c r="AI193" i="12"/>
  <c r="AI197" i="12"/>
  <c r="AI201" i="12"/>
  <c r="AI205" i="12"/>
  <c r="AI209" i="12"/>
  <c r="AI213" i="12"/>
  <c r="AI217" i="12"/>
  <c r="AI221" i="12"/>
  <c r="AI225" i="12"/>
  <c r="AI229" i="12"/>
  <c r="AI233" i="12"/>
  <c r="AI237" i="12"/>
  <c r="AI241" i="12"/>
  <c r="AI245" i="12"/>
  <c r="AI249" i="12"/>
  <c r="AI253" i="12"/>
  <c r="AI257" i="12"/>
  <c r="AI261" i="12"/>
  <c r="AI265" i="12"/>
  <c r="AI269" i="12"/>
  <c r="AI274" i="12"/>
  <c r="AI282" i="12"/>
  <c r="AI290" i="12"/>
  <c r="AI298" i="12"/>
  <c r="AI306" i="12"/>
  <c r="AI313" i="12"/>
  <c r="F36" i="14"/>
  <c r="F42" i="14" s="1"/>
  <c r="C159" i="14"/>
  <c r="D149" i="14"/>
  <c r="E149" i="14"/>
  <c r="G149" i="14"/>
  <c r="H149" i="14"/>
  <c r="F149" i="14"/>
  <c r="G152" i="14"/>
  <c r="G126" i="14"/>
  <c r="H126" i="14"/>
  <c r="D129" i="14"/>
  <c r="D126" i="14"/>
  <c r="E126" i="14"/>
  <c r="C136" i="14"/>
  <c r="F129" i="14"/>
  <c r="H129" i="14"/>
  <c r="F126" i="14"/>
  <c r="E83" i="14"/>
  <c r="F33" i="14"/>
  <c r="E56" i="1"/>
  <c r="E11" i="1"/>
  <c r="E37" i="1" s="1"/>
  <c r="E10" i="1"/>
  <c r="C19" i="4" s="1"/>
  <c r="A20" i="4"/>
  <c r="A19" i="4"/>
  <c r="H150" i="1"/>
  <c r="G171" i="1"/>
  <c r="E84" i="1"/>
  <c r="G127" i="1"/>
  <c r="H106" i="1"/>
  <c r="G129" i="1"/>
  <c r="G130" i="1"/>
  <c r="K13" i="37" l="1"/>
  <c r="L134" i="9"/>
  <c r="S270" i="9" s="1"/>
  <c r="N13" i="37"/>
  <c r="D32" i="14"/>
  <c r="C38" i="14"/>
  <c r="M13" i="37"/>
  <c r="K18" i="7"/>
  <c r="L13" i="49"/>
  <c r="M13" i="49"/>
  <c r="G32" i="14"/>
  <c r="K13" i="49"/>
  <c r="N13" i="49"/>
  <c r="C42" i="14"/>
  <c r="C43" i="14" s="1"/>
  <c r="E32" i="14"/>
  <c r="B30" i="10"/>
  <c r="L138" i="10" s="1"/>
  <c r="J19" i="39"/>
  <c r="J21" i="39" s="1"/>
  <c r="J16" i="39"/>
  <c r="E13" i="27" s="1"/>
  <c r="G22" i="25" s="1"/>
  <c r="L19" i="39"/>
  <c r="L21" i="39" s="1"/>
  <c r="L16" i="39"/>
  <c r="G13" i="27" s="1"/>
  <c r="I22" i="25" s="1"/>
  <c r="K22" i="25" s="1"/>
  <c r="F316" i="8"/>
  <c r="I10" i="37"/>
  <c r="K10" i="37" s="1"/>
  <c r="I10" i="40"/>
  <c r="J10" i="40" s="1"/>
  <c r="G92" i="1"/>
  <c r="G17" i="1"/>
  <c r="H43" i="1" s="1"/>
  <c r="G88" i="1"/>
  <c r="G13" i="1"/>
  <c r="H39" i="1" s="1"/>
  <c r="G89" i="1"/>
  <c r="G14" i="1"/>
  <c r="H40" i="1" s="1"/>
  <c r="G91" i="1"/>
  <c r="G16" i="1"/>
  <c r="H42" i="1" s="1"/>
  <c r="G93" i="1"/>
  <c r="G18" i="1"/>
  <c r="H44" i="1" s="1"/>
  <c r="G90" i="1"/>
  <c r="G15" i="1"/>
  <c r="H41" i="1" s="1"/>
  <c r="G94" i="1"/>
  <c r="G19" i="1"/>
  <c r="H45" i="1" s="1"/>
  <c r="G87" i="1"/>
  <c r="G12" i="1"/>
  <c r="S248" i="9"/>
  <c r="S275" i="9"/>
  <c r="S152" i="10"/>
  <c r="O303" i="10"/>
  <c r="S181" i="12"/>
  <c r="O317" i="10"/>
  <c r="O250" i="10"/>
  <c r="O314" i="10"/>
  <c r="O200" i="10"/>
  <c r="O270" i="10"/>
  <c r="O312" i="10"/>
  <c r="O189" i="10"/>
  <c r="S268" i="12"/>
  <c r="S190" i="12"/>
  <c r="P142" i="10"/>
  <c r="P187" i="10" s="1"/>
  <c r="S290" i="12"/>
  <c r="O185" i="10"/>
  <c r="O191" i="10"/>
  <c r="O205" i="10"/>
  <c r="S185" i="12"/>
  <c r="S225" i="12"/>
  <c r="S307" i="9"/>
  <c r="J35" i="37"/>
  <c r="S263" i="9"/>
  <c r="O145" i="10"/>
  <c r="O152" i="10"/>
  <c r="O171" i="10"/>
  <c r="O239" i="10"/>
  <c r="O248" i="10"/>
  <c r="O253" i="10"/>
  <c r="S188" i="12"/>
  <c r="S252" i="12"/>
  <c r="S152" i="9"/>
  <c r="N22" i="40"/>
  <c r="S309" i="9"/>
  <c r="O144" i="10"/>
  <c r="O278" i="10"/>
  <c r="O255" i="10"/>
  <c r="O264" i="10"/>
  <c r="O269" i="10"/>
  <c r="S270" i="12"/>
  <c r="S153" i="12"/>
  <c r="S150" i="12"/>
  <c r="K13" i="40"/>
  <c r="S280" i="9"/>
  <c r="S187" i="9"/>
  <c r="S297" i="9"/>
  <c r="S149" i="9"/>
  <c r="S212" i="9"/>
  <c r="L139" i="9"/>
  <c r="O172" i="10"/>
  <c r="O178" i="10"/>
  <c r="O169" i="10"/>
  <c r="O159" i="10"/>
  <c r="O242" i="10"/>
  <c r="O271" i="10"/>
  <c r="O207" i="10"/>
  <c r="O280" i="10"/>
  <c r="O216" i="10"/>
  <c r="O285" i="10"/>
  <c r="O221" i="10"/>
  <c r="S211" i="12"/>
  <c r="S168" i="12"/>
  <c r="S255" i="12"/>
  <c r="S222" i="12"/>
  <c r="S307" i="12"/>
  <c r="S261" i="9"/>
  <c r="S177" i="9"/>
  <c r="S301" i="9"/>
  <c r="S146" i="9"/>
  <c r="S190" i="9"/>
  <c r="K35" i="37"/>
  <c r="J13" i="40"/>
  <c r="S299" i="9"/>
  <c r="S171" i="9"/>
  <c r="S295" i="9"/>
  <c r="S163" i="9"/>
  <c r="S240" i="9"/>
  <c r="S164" i="9"/>
  <c r="O294" i="10"/>
  <c r="O149" i="10"/>
  <c r="O160" i="10"/>
  <c r="O206" i="10"/>
  <c r="O306" i="10"/>
  <c r="O287" i="10"/>
  <c r="O223" i="10"/>
  <c r="O296" i="10"/>
  <c r="O232" i="10"/>
  <c r="O301" i="10"/>
  <c r="O237" i="10"/>
  <c r="P142" i="13"/>
  <c r="P143" i="13" s="1"/>
  <c r="S287" i="12"/>
  <c r="S156" i="12"/>
  <c r="S186" i="12"/>
  <c r="S281" i="12"/>
  <c r="S229" i="12"/>
  <c r="S316" i="12"/>
  <c r="BQ273" i="13"/>
  <c r="BQ238" i="13"/>
  <c r="BQ228" i="13"/>
  <c r="BQ304" i="13"/>
  <c r="BQ145" i="13"/>
  <c r="BQ143" i="12"/>
  <c r="BQ312" i="12"/>
  <c r="BQ175" i="13"/>
  <c r="BQ305" i="13"/>
  <c r="BQ292" i="13"/>
  <c r="BQ270" i="13"/>
  <c r="BJ139" i="13"/>
  <c r="BQ213" i="10"/>
  <c r="BQ247" i="13"/>
  <c r="BQ176" i="13"/>
  <c r="BQ209" i="13"/>
  <c r="BQ199" i="13"/>
  <c r="BQ302" i="13"/>
  <c r="BQ174" i="13"/>
  <c r="BQ177" i="13"/>
  <c r="BQ311" i="13"/>
  <c r="BQ240" i="13"/>
  <c r="BQ241" i="13"/>
  <c r="BQ259" i="13"/>
  <c r="BQ164" i="13"/>
  <c r="BQ206" i="13"/>
  <c r="D106" i="14"/>
  <c r="D112" i="14" s="1"/>
  <c r="D119" i="14" s="1"/>
  <c r="K44" i="37"/>
  <c r="S259" i="9"/>
  <c r="S153" i="9"/>
  <c r="S293" i="9"/>
  <c r="S213" i="9"/>
  <c r="S211" i="9"/>
  <c r="S155" i="9"/>
  <c r="S236" i="9"/>
  <c r="S252" i="9"/>
  <c r="S178" i="9"/>
  <c r="S274" i="9"/>
  <c r="S230" i="9"/>
  <c r="S221" i="9"/>
  <c r="S251" i="9"/>
  <c r="S308" i="9"/>
  <c r="S273" i="9"/>
  <c r="S231" i="9"/>
  <c r="S201" i="9"/>
  <c r="S180" i="9"/>
  <c r="S216" i="9"/>
  <c r="S168" i="9"/>
  <c r="S196" i="9"/>
  <c r="S226" i="9"/>
  <c r="O311" i="12"/>
  <c r="S207" i="13"/>
  <c r="S189" i="10"/>
  <c r="S254" i="10"/>
  <c r="O177" i="12"/>
  <c r="S185" i="10"/>
  <c r="G17" i="22"/>
  <c r="L35" i="37"/>
  <c r="M22" i="40"/>
  <c r="N13" i="40"/>
  <c r="O163" i="10"/>
  <c r="O167" i="10"/>
  <c r="O266" i="10"/>
  <c r="O202" i="10"/>
  <c r="O170" i="10"/>
  <c r="O150" i="10"/>
  <c r="O158" i="10"/>
  <c r="O182" i="10"/>
  <c r="O286" i="10"/>
  <c r="O153" i="10"/>
  <c r="O168" i="10"/>
  <c r="O258" i="10"/>
  <c r="O307" i="10"/>
  <c r="O275" i="10"/>
  <c r="O259" i="10"/>
  <c r="O227" i="10"/>
  <c r="O211" i="10"/>
  <c r="O316" i="10"/>
  <c r="O300" i="10"/>
  <c r="O268" i="10"/>
  <c r="O236" i="10"/>
  <c r="O204" i="10"/>
  <c r="O305" i="10"/>
  <c r="O289" i="10"/>
  <c r="O257" i="10"/>
  <c r="O241" i="10"/>
  <c r="O225" i="10"/>
  <c r="O193" i="10"/>
  <c r="S158" i="12"/>
  <c r="S280" i="12"/>
  <c r="S245" i="12"/>
  <c r="S234" i="12"/>
  <c r="S283" i="12"/>
  <c r="S209" i="12"/>
  <c r="S261" i="12"/>
  <c r="S215" i="12"/>
  <c r="S164" i="12"/>
  <c r="S221" i="12"/>
  <c r="S296" i="12"/>
  <c r="S148" i="12"/>
  <c r="S303" i="12"/>
  <c r="O318" i="13"/>
  <c r="J44" i="37"/>
  <c r="N35" i="37"/>
  <c r="L22" i="40"/>
  <c r="L13" i="40"/>
  <c r="BQ313" i="12"/>
  <c r="O157" i="10"/>
  <c r="O198" i="10"/>
  <c r="O180" i="10"/>
  <c r="O282" i="10"/>
  <c r="O218" i="10"/>
  <c r="O161" i="10"/>
  <c r="O262" i="10"/>
  <c r="O148" i="10"/>
  <c r="O156" i="10"/>
  <c r="O164" i="10"/>
  <c r="O177" i="10"/>
  <c r="O302" i="10"/>
  <c r="O238" i="10"/>
  <c r="O147" i="10"/>
  <c r="O181" i="10"/>
  <c r="O143" i="10"/>
  <c r="O179" i="10"/>
  <c r="O274" i="10"/>
  <c r="O210" i="10"/>
  <c r="O311" i="10"/>
  <c r="O295" i="10"/>
  <c r="O279" i="10"/>
  <c r="O263" i="10"/>
  <c r="O247" i="10"/>
  <c r="O231" i="10"/>
  <c r="O215" i="10"/>
  <c r="O199" i="10"/>
  <c r="O165" i="10"/>
  <c r="O304" i="10"/>
  <c r="O288" i="10"/>
  <c r="O272" i="10"/>
  <c r="O256" i="10"/>
  <c r="O240" i="10"/>
  <c r="O224" i="10"/>
  <c r="O208" i="10"/>
  <c r="O192" i="10"/>
  <c r="O309" i="10"/>
  <c r="O293" i="10"/>
  <c r="O277" i="10"/>
  <c r="O261" i="10"/>
  <c r="O245" i="10"/>
  <c r="O229" i="10"/>
  <c r="O213" i="10"/>
  <c r="O197" i="10"/>
  <c r="O143" i="13"/>
  <c r="S244" i="10"/>
  <c r="S282" i="12"/>
  <c r="S284" i="12"/>
  <c r="S293" i="12"/>
  <c r="S241" i="12"/>
  <c r="S242" i="12"/>
  <c r="S167" i="12"/>
  <c r="S264" i="12"/>
  <c r="S192" i="12"/>
  <c r="S302" i="12"/>
  <c r="S254" i="12"/>
  <c r="S300" i="12"/>
  <c r="S238" i="12"/>
  <c r="S203" i="12"/>
  <c r="S297" i="12"/>
  <c r="S258" i="12"/>
  <c r="S285" i="12"/>
  <c r="S178" i="12"/>
  <c r="S200" i="12"/>
  <c r="S214" i="12"/>
  <c r="S226" i="12"/>
  <c r="S224" i="12"/>
  <c r="S207" i="12"/>
  <c r="H33" i="14"/>
  <c r="J22" i="40"/>
  <c r="O183" i="10"/>
  <c r="O214" i="10"/>
  <c r="O166" i="10"/>
  <c r="O222" i="10"/>
  <c r="O310" i="10"/>
  <c r="O184" i="10"/>
  <c r="O194" i="10"/>
  <c r="O291" i="10"/>
  <c r="O243" i="10"/>
  <c r="O195" i="10"/>
  <c r="O284" i="10"/>
  <c r="O252" i="10"/>
  <c r="O220" i="10"/>
  <c r="O188" i="10"/>
  <c r="O273" i="10"/>
  <c r="O209" i="10"/>
  <c r="S279" i="12"/>
  <c r="S304" i="12"/>
  <c r="S166" i="12"/>
  <c r="S152" i="12"/>
  <c r="S257" i="12"/>
  <c r="S154" i="12"/>
  <c r="S275" i="12"/>
  <c r="S269" i="12"/>
  <c r="S272" i="12"/>
  <c r="E33" i="14"/>
  <c r="BQ296" i="12"/>
  <c r="O151" i="10"/>
  <c r="O246" i="10"/>
  <c r="O175" i="10"/>
  <c r="O298" i="10"/>
  <c r="O234" i="10"/>
  <c r="O155" i="10"/>
  <c r="O186" i="10"/>
  <c r="O146" i="10"/>
  <c r="O154" i="10"/>
  <c r="O162" i="10"/>
  <c r="O174" i="10"/>
  <c r="O318" i="10"/>
  <c r="O254" i="10"/>
  <c r="O190" i="10"/>
  <c r="O173" i="10"/>
  <c r="O230" i="10"/>
  <c r="O176" i="10"/>
  <c r="O290" i="10"/>
  <c r="O226" i="10"/>
  <c r="O315" i="10"/>
  <c r="O299" i="10"/>
  <c r="O283" i="10"/>
  <c r="O267" i="10"/>
  <c r="O251" i="10"/>
  <c r="O235" i="10"/>
  <c r="O219" i="10"/>
  <c r="O203" i="10"/>
  <c r="O187" i="10"/>
  <c r="O308" i="10"/>
  <c r="O292" i="10"/>
  <c r="O276" i="10"/>
  <c r="O260" i="10"/>
  <c r="O244" i="10"/>
  <c r="O228" i="10"/>
  <c r="O212" i="10"/>
  <c r="O196" i="10"/>
  <c r="O313" i="10"/>
  <c r="O297" i="10"/>
  <c r="O281" i="10"/>
  <c r="O265" i="10"/>
  <c r="O249" i="10"/>
  <c r="O233" i="10"/>
  <c r="O217" i="10"/>
  <c r="O201" i="10"/>
  <c r="S261" i="13"/>
  <c r="S308" i="10"/>
  <c r="S309" i="12"/>
  <c r="S161" i="12"/>
  <c r="S271" i="12"/>
  <c r="S247" i="12"/>
  <c r="S274" i="12"/>
  <c r="S187" i="12"/>
  <c r="S266" i="12"/>
  <c r="S223" i="12"/>
  <c r="S180" i="12"/>
  <c r="S317" i="12"/>
  <c r="S210" i="12"/>
  <c r="S232" i="12"/>
  <c r="S235" i="12"/>
  <c r="S163" i="12"/>
  <c r="S177" i="12"/>
  <c r="S205" i="12"/>
  <c r="S155" i="12"/>
  <c r="S165" i="12"/>
  <c r="S233" i="12"/>
  <c r="S314" i="12"/>
  <c r="S256" i="12"/>
  <c r="S193" i="12"/>
  <c r="BQ291" i="12"/>
  <c r="BQ311" i="12"/>
  <c r="BQ154" i="12"/>
  <c r="L139" i="10"/>
  <c r="S227" i="10"/>
  <c r="S253" i="10"/>
  <c r="O225" i="12"/>
  <c r="BQ225" i="12"/>
  <c r="BQ238" i="12"/>
  <c r="S312" i="10"/>
  <c r="S314" i="10"/>
  <c r="S190" i="10"/>
  <c r="O171" i="12"/>
  <c r="O197" i="12"/>
  <c r="O306" i="12"/>
  <c r="S314" i="9"/>
  <c r="S281" i="9"/>
  <c r="S302" i="9"/>
  <c r="S257" i="9"/>
  <c r="S197" i="9"/>
  <c r="S279" i="9"/>
  <c r="S209" i="9"/>
  <c r="S179" i="9"/>
  <c r="S159" i="9"/>
  <c r="S284" i="9"/>
  <c r="S287" i="9"/>
  <c r="S233" i="9"/>
  <c r="S315" i="9"/>
  <c r="S250" i="9"/>
  <c r="S258" i="9"/>
  <c r="S264" i="9"/>
  <c r="S214" i="9"/>
  <c r="S232" i="9"/>
  <c r="S158" i="9"/>
  <c r="S268" i="9"/>
  <c r="S260" i="9"/>
  <c r="S194" i="9"/>
  <c r="O279" i="12"/>
  <c r="O285" i="12"/>
  <c r="O209" i="12"/>
  <c r="O155" i="12"/>
  <c r="O193" i="12"/>
  <c r="O257" i="12"/>
  <c r="S225" i="9"/>
  <c r="S215" i="9"/>
  <c r="S282" i="9"/>
  <c r="S288" i="9"/>
  <c r="S193" i="9"/>
  <c r="S207" i="9"/>
  <c r="S235" i="9"/>
  <c r="S181" i="9"/>
  <c r="S277" i="9"/>
  <c r="S305" i="9"/>
  <c r="S249" i="9"/>
  <c r="S317" i="9"/>
  <c r="S303" i="9"/>
  <c r="S200" i="9"/>
  <c r="S174" i="9"/>
  <c r="S176" i="9"/>
  <c r="S144" i="9"/>
  <c r="S210" i="9"/>
  <c r="S148" i="9"/>
  <c r="S154" i="9"/>
  <c r="S266" i="9"/>
  <c r="S256" i="9"/>
  <c r="O159" i="12"/>
  <c r="O181" i="12"/>
  <c r="O213" i="12"/>
  <c r="O245" i="12"/>
  <c r="O282" i="12"/>
  <c r="D33" i="14"/>
  <c r="O241" i="12"/>
  <c r="O274" i="12"/>
  <c r="O229" i="12"/>
  <c r="O261" i="12"/>
  <c r="O313" i="12"/>
  <c r="S316" i="13"/>
  <c r="BQ167" i="12"/>
  <c r="BQ249" i="12"/>
  <c r="BQ175" i="12"/>
  <c r="BQ188" i="12"/>
  <c r="BQ174" i="12"/>
  <c r="S291" i="13"/>
  <c r="S151" i="10"/>
  <c r="S158" i="10"/>
  <c r="S260" i="10"/>
  <c r="S270" i="10"/>
  <c r="O283" i="12"/>
  <c r="O151" i="12"/>
  <c r="O167" i="12"/>
  <c r="O173" i="12"/>
  <c r="O189" i="12"/>
  <c r="O205" i="12"/>
  <c r="O221" i="12"/>
  <c r="O237" i="12"/>
  <c r="O253" i="12"/>
  <c r="O269" i="12"/>
  <c r="O298" i="12"/>
  <c r="L44" i="37"/>
  <c r="BQ144" i="10"/>
  <c r="BQ215" i="12"/>
  <c r="BQ208" i="12"/>
  <c r="BQ269" i="12"/>
  <c r="BQ185" i="12"/>
  <c r="BQ219" i="12"/>
  <c r="BQ224" i="12"/>
  <c r="BQ282" i="12"/>
  <c r="BQ194" i="12"/>
  <c r="S149" i="13"/>
  <c r="S290" i="13"/>
  <c r="S196" i="13"/>
  <c r="S164" i="10"/>
  <c r="S154" i="10"/>
  <c r="S187" i="10"/>
  <c r="S191" i="10"/>
  <c r="S263" i="10"/>
  <c r="S276" i="10"/>
  <c r="S212" i="10"/>
  <c r="S285" i="10"/>
  <c r="S221" i="10"/>
  <c r="S286" i="10"/>
  <c r="S222" i="10"/>
  <c r="O143" i="12"/>
  <c r="N44" i="37"/>
  <c r="BQ168" i="12"/>
  <c r="BQ161" i="12"/>
  <c r="BQ258" i="12"/>
  <c r="S214" i="13"/>
  <c r="S166" i="10"/>
  <c r="S291" i="10"/>
  <c r="S199" i="10"/>
  <c r="S196" i="10"/>
  <c r="S269" i="10"/>
  <c r="S205" i="10"/>
  <c r="S206" i="10"/>
  <c r="O147" i="12"/>
  <c r="O163" i="12"/>
  <c r="O301" i="12"/>
  <c r="O185" i="12"/>
  <c r="O201" i="12"/>
  <c r="O217" i="12"/>
  <c r="O233" i="12"/>
  <c r="O249" i="12"/>
  <c r="O265" i="12"/>
  <c r="O290" i="12"/>
  <c r="O317" i="12"/>
  <c r="M57" i="37"/>
  <c r="BQ255" i="12"/>
  <c r="BQ260" i="12"/>
  <c r="BQ289" i="12"/>
  <c r="BQ205" i="12"/>
  <c r="BQ271" i="12"/>
  <c r="BQ268" i="12"/>
  <c r="BQ302" i="12"/>
  <c r="BQ218" i="12"/>
  <c r="S166" i="13"/>
  <c r="S279" i="13"/>
  <c r="S168" i="10"/>
  <c r="S175" i="10"/>
  <c r="S169" i="10"/>
  <c r="S255" i="10"/>
  <c r="S267" i="10"/>
  <c r="S292" i="10"/>
  <c r="S228" i="10"/>
  <c r="S301" i="10"/>
  <c r="S237" i="10"/>
  <c r="S302" i="10"/>
  <c r="S238" i="10"/>
  <c r="O299" i="12"/>
  <c r="O146" i="12"/>
  <c r="O162" i="12"/>
  <c r="O297" i="12"/>
  <c r="O184" i="12"/>
  <c r="O200" i="12"/>
  <c r="O220" i="12"/>
  <c r="O232" i="12"/>
  <c r="O248" i="12"/>
  <c r="O260" i="12"/>
  <c r="O268" i="12"/>
  <c r="O280" i="12"/>
  <c r="O288" i="12"/>
  <c r="O296" i="12"/>
  <c r="O304" i="12"/>
  <c r="BQ307" i="12"/>
  <c r="BQ263" i="12"/>
  <c r="BQ223" i="12"/>
  <c r="BQ187" i="12"/>
  <c r="BQ308" i="12"/>
  <c r="BQ264" i="12"/>
  <c r="BQ228" i="12"/>
  <c r="BQ176" i="12"/>
  <c r="BQ317" i="12"/>
  <c r="BQ297" i="12"/>
  <c r="BQ273" i="12"/>
  <c r="BQ253" i="12"/>
  <c r="BQ233" i="12"/>
  <c r="BQ209" i="12"/>
  <c r="BQ189" i="12"/>
  <c r="BQ169" i="12"/>
  <c r="BQ145" i="12"/>
  <c r="BQ279" i="12"/>
  <c r="BQ235" i="12"/>
  <c r="BQ183" i="12"/>
  <c r="BQ151" i="12"/>
  <c r="BQ284" i="12"/>
  <c r="BQ232" i="12"/>
  <c r="BQ196" i="12"/>
  <c r="BQ156" i="12"/>
  <c r="BQ306" i="12"/>
  <c r="BQ286" i="12"/>
  <c r="BQ266" i="12"/>
  <c r="BQ242" i="12"/>
  <c r="BQ222" i="12"/>
  <c r="BQ202" i="12"/>
  <c r="BQ178" i="12"/>
  <c r="BQ158" i="12"/>
  <c r="G33" i="14"/>
  <c r="O307" i="12"/>
  <c r="O154" i="12"/>
  <c r="O170" i="12"/>
  <c r="O172" i="12"/>
  <c r="O188" i="12"/>
  <c r="O204" i="12"/>
  <c r="O216" i="12"/>
  <c r="O236" i="12"/>
  <c r="O252" i="12"/>
  <c r="O312" i="12"/>
  <c r="O161" i="12"/>
  <c r="O195" i="12"/>
  <c r="O243" i="12"/>
  <c r="O302" i="12"/>
  <c r="BQ315" i="12"/>
  <c r="BQ275" i="12"/>
  <c r="BQ231" i="12"/>
  <c r="BQ195" i="12"/>
  <c r="BQ147" i="12"/>
  <c r="BQ272" i="12"/>
  <c r="BQ236" i="12"/>
  <c r="BQ192" i="12"/>
  <c r="BQ144" i="12"/>
  <c r="BQ301" i="12"/>
  <c r="BQ281" i="12"/>
  <c r="BQ257" i="12"/>
  <c r="BQ237" i="12"/>
  <c r="BQ217" i="12"/>
  <c r="BQ193" i="12"/>
  <c r="BQ173" i="12"/>
  <c r="BQ153" i="12"/>
  <c r="BQ287" i="12"/>
  <c r="BQ243" i="12"/>
  <c r="BQ199" i="12"/>
  <c r="BQ155" i="12"/>
  <c r="BQ292" i="12"/>
  <c r="BQ248" i="12"/>
  <c r="BQ204" i="12"/>
  <c r="BQ164" i="12"/>
  <c r="BQ314" i="12"/>
  <c r="BQ290" i="12"/>
  <c r="BQ270" i="12"/>
  <c r="BQ250" i="12"/>
  <c r="BQ226" i="12"/>
  <c r="BQ206" i="12"/>
  <c r="BQ186" i="12"/>
  <c r="BQ162" i="12"/>
  <c r="BJ139" i="12"/>
  <c r="P142" i="12"/>
  <c r="P271" i="12" s="1"/>
  <c r="O303" i="12"/>
  <c r="O150" i="12"/>
  <c r="O158" i="12"/>
  <c r="O166" i="12"/>
  <c r="O281" i="12"/>
  <c r="O176" i="12"/>
  <c r="O180" i="12"/>
  <c r="O192" i="12"/>
  <c r="O196" i="12"/>
  <c r="O208" i="12"/>
  <c r="O212" i="12"/>
  <c r="O224" i="12"/>
  <c r="O228" i="12"/>
  <c r="O240" i="12"/>
  <c r="O244" i="12"/>
  <c r="O256" i="12"/>
  <c r="O264" i="12"/>
  <c r="O272" i="12"/>
  <c r="O316" i="12"/>
  <c r="O291" i="12"/>
  <c r="O295" i="12"/>
  <c r="O145" i="12"/>
  <c r="O149" i="12"/>
  <c r="O153" i="12"/>
  <c r="O157" i="12"/>
  <c r="O165" i="12"/>
  <c r="O169" i="12"/>
  <c r="O277" i="12"/>
  <c r="O293" i="12"/>
  <c r="O309" i="12"/>
  <c r="O175" i="12"/>
  <c r="O179" i="12"/>
  <c r="O183" i="12"/>
  <c r="O187" i="12"/>
  <c r="O191" i="12"/>
  <c r="O199" i="12"/>
  <c r="O203" i="12"/>
  <c r="O207" i="12"/>
  <c r="O211" i="12"/>
  <c r="O215" i="12"/>
  <c r="O219" i="12"/>
  <c r="O223" i="12"/>
  <c r="O227" i="12"/>
  <c r="O231" i="12"/>
  <c r="O235" i="12"/>
  <c r="O239" i="12"/>
  <c r="O247" i="12"/>
  <c r="O251" i="12"/>
  <c r="O255" i="12"/>
  <c r="O259" i="12"/>
  <c r="O263" i="12"/>
  <c r="O267" i="12"/>
  <c r="O271" i="12"/>
  <c r="O278" i="12"/>
  <c r="O286" i="12"/>
  <c r="O294" i="12"/>
  <c r="O310" i="12"/>
  <c r="O315" i="12"/>
  <c r="O275" i="12"/>
  <c r="O287" i="12"/>
  <c r="O144" i="12"/>
  <c r="O148" i="12"/>
  <c r="O152" i="12"/>
  <c r="O156" i="12"/>
  <c r="O160" i="12"/>
  <c r="O164" i="12"/>
  <c r="O168" i="12"/>
  <c r="O273" i="12"/>
  <c r="O289" i="12"/>
  <c r="O305" i="12"/>
  <c r="O174" i="12"/>
  <c r="O178" i="12"/>
  <c r="O182" i="12"/>
  <c r="O186" i="12"/>
  <c r="O190" i="12"/>
  <c r="O194" i="12"/>
  <c r="O198" i="12"/>
  <c r="O202" i="12"/>
  <c r="O206" i="12"/>
  <c r="O210" i="12"/>
  <c r="O214" i="12"/>
  <c r="O218" i="12"/>
  <c r="O222" i="12"/>
  <c r="O226" i="12"/>
  <c r="O230" i="12"/>
  <c r="O234" i="12"/>
  <c r="O238" i="12"/>
  <c r="O242" i="12"/>
  <c r="O246" i="12"/>
  <c r="O250" i="12"/>
  <c r="O254" i="12"/>
  <c r="O258" i="12"/>
  <c r="O262" i="12"/>
  <c r="O266" i="12"/>
  <c r="O270" i="12"/>
  <c r="O276" i="12"/>
  <c r="O284" i="12"/>
  <c r="O292" i="12"/>
  <c r="O300" i="12"/>
  <c r="O308" i="12"/>
  <c r="O314" i="12"/>
  <c r="O318" i="12"/>
  <c r="BJ139" i="11"/>
  <c r="BQ283" i="12"/>
  <c r="BQ247" i="12"/>
  <c r="BQ203" i="12"/>
  <c r="BQ159" i="12"/>
  <c r="BQ288" i="12"/>
  <c r="BQ244" i="12"/>
  <c r="BQ200" i="12"/>
  <c r="BQ160" i="12"/>
  <c r="BQ305" i="12"/>
  <c r="BQ285" i="12"/>
  <c r="BQ265" i="12"/>
  <c r="BQ241" i="12"/>
  <c r="BQ221" i="12"/>
  <c r="BQ201" i="12"/>
  <c r="BQ177" i="12"/>
  <c r="BQ157" i="12"/>
  <c r="BQ303" i="12"/>
  <c r="BQ251" i="12"/>
  <c r="BQ207" i="12"/>
  <c r="BQ171" i="12"/>
  <c r="BQ300" i="12"/>
  <c r="BQ256" i="12"/>
  <c r="BQ216" i="12"/>
  <c r="BQ172" i="12"/>
  <c r="BQ318" i="12"/>
  <c r="BQ298" i="12"/>
  <c r="BQ274" i="12"/>
  <c r="BQ254" i="12"/>
  <c r="BQ234" i="12"/>
  <c r="BQ210" i="12"/>
  <c r="BQ190" i="12"/>
  <c r="BQ170" i="12"/>
  <c r="BQ146" i="12"/>
  <c r="S312" i="13"/>
  <c r="S311" i="13"/>
  <c r="S185" i="13"/>
  <c r="S179" i="13"/>
  <c r="S244" i="13"/>
  <c r="S188" i="13"/>
  <c r="S146" i="13"/>
  <c r="S313" i="13"/>
  <c r="S201" i="13"/>
  <c r="S209" i="13"/>
  <c r="S144" i="10"/>
  <c r="S171" i="10"/>
  <c r="S172" i="10"/>
  <c r="S178" i="10"/>
  <c r="S161" i="10"/>
  <c r="S219" i="10"/>
  <c r="S207" i="10"/>
  <c r="S243" i="10"/>
  <c r="S279" i="10"/>
  <c r="S315" i="10"/>
  <c r="S280" i="10"/>
  <c r="S248" i="10"/>
  <c r="S216" i="10"/>
  <c r="S310" i="10"/>
  <c r="S289" i="10"/>
  <c r="S257" i="10"/>
  <c r="S225" i="10"/>
  <c r="S209" i="10"/>
  <c r="S306" i="10"/>
  <c r="S274" i="10"/>
  <c r="S242" i="10"/>
  <c r="S226" i="10"/>
  <c r="S194" i="10"/>
  <c r="S233" i="13"/>
  <c r="S215" i="13"/>
  <c r="S249" i="13"/>
  <c r="S158" i="13"/>
  <c r="S306" i="13"/>
  <c r="S213" i="13"/>
  <c r="S282" i="13"/>
  <c r="S183" i="13"/>
  <c r="S243" i="13"/>
  <c r="S303" i="13"/>
  <c r="S247" i="13"/>
  <c r="S186" i="10"/>
  <c r="S165" i="10"/>
  <c r="S145" i="10"/>
  <c r="S153" i="10"/>
  <c r="S182" i="10"/>
  <c r="S176" i="10"/>
  <c r="S160" i="10"/>
  <c r="S159" i="10"/>
  <c r="S183" i="10"/>
  <c r="S150" i="10"/>
  <c r="S162" i="10"/>
  <c r="S251" i="10"/>
  <c r="S287" i="10"/>
  <c r="S223" i="10"/>
  <c r="S235" i="10"/>
  <c r="S259" i="10"/>
  <c r="S195" i="10"/>
  <c r="S295" i="10"/>
  <c r="S231" i="10"/>
  <c r="S311" i="10"/>
  <c r="S300" i="10"/>
  <c r="S284" i="10"/>
  <c r="S268" i="10"/>
  <c r="S252" i="10"/>
  <c r="S236" i="10"/>
  <c r="S220" i="10"/>
  <c r="S204" i="10"/>
  <c r="S188" i="10"/>
  <c r="S309" i="10"/>
  <c r="S293" i="10"/>
  <c r="S277" i="10"/>
  <c r="S261" i="10"/>
  <c r="S245" i="10"/>
  <c r="S229" i="10"/>
  <c r="S213" i="10"/>
  <c r="S197" i="10"/>
  <c r="S317" i="10"/>
  <c r="S294" i="10"/>
  <c r="S278" i="10"/>
  <c r="S262" i="10"/>
  <c r="S246" i="10"/>
  <c r="S230" i="10"/>
  <c r="S214" i="10"/>
  <c r="S198" i="10"/>
  <c r="S161" i="11"/>
  <c r="S268" i="11"/>
  <c r="S174" i="13"/>
  <c r="S304" i="13"/>
  <c r="S174" i="10"/>
  <c r="S155" i="10"/>
  <c r="S148" i="10"/>
  <c r="S147" i="10"/>
  <c r="S181" i="10"/>
  <c r="S157" i="10"/>
  <c r="S271" i="10"/>
  <c r="S307" i="10"/>
  <c r="S316" i="10"/>
  <c r="S215" i="10"/>
  <c r="S296" i="10"/>
  <c r="S264" i="10"/>
  <c r="S232" i="10"/>
  <c r="S200" i="10"/>
  <c r="S305" i="10"/>
  <c r="S273" i="10"/>
  <c r="S241" i="10"/>
  <c r="S193" i="10"/>
  <c r="S290" i="10"/>
  <c r="S258" i="10"/>
  <c r="S210" i="10"/>
  <c r="S175" i="13"/>
  <c r="S160" i="13"/>
  <c r="S173" i="13"/>
  <c r="S302" i="13"/>
  <c r="S297" i="13"/>
  <c r="S280" i="13"/>
  <c r="S167" i="13"/>
  <c r="S180" i="13"/>
  <c r="S305" i="13"/>
  <c r="S242" i="13"/>
  <c r="S167" i="10"/>
  <c r="S179" i="10"/>
  <c r="S146" i="10"/>
  <c r="S170" i="10"/>
  <c r="S163" i="10"/>
  <c r="S149" i="10"/>
  <c r="S177" i="10"/>
  <c r="S173" i="10"/>
  <c r="S156" i="10"/>
  <c r="S184" i="10"/>
  <c r="S180" i="10"/>
  <c r="S299" i="10"/>
  <c r="S303" i="10"/>
  <c r="S239" i="10"/>
  <c r="S283" i="10"/>
  <c r="S275" i="10"/>
  <c r="S211" i="10"/>
  <c r="S203" i="10"/>
  <c r="S247" i="10"/>
  <c r="S143" i="10"/>
  <c r="S304" i="10"/>
  <c r="S288" i="10"/>
  <c r="S272" i="10"/>
  <c r="S256" i="10"/>
  <c r="S240" i="10"/>
  <c r="S224" i="10"/>
  <c r="S208" i="10"/>
  <c r="S192" i="10"/>
  <c r="S318" i="10"/>
  <c r="S297" i="10"/>
  <c r="S281" i="10"/>
  <c r="S265" i="10"/>
  <c r="S249" i="10"/>
  <c r="S233" i="10"/>
  <c r="S217" i="10"/>
  <c r="S201" i="10"/>
  <c r="S313" i="10"/>
  <c r="S298" i="10"/>
  <c r="S282" i="10"/>
  <c r="S266" i="10"/>
  <c r="S250" i="10"/>
  <c r="S234" i="10"/>
  <c r="S218" i="10"/>
  <c r="S267" i="13"/>
  <c r="S287" i="13"/>
  <c r="S226" i="13"/>
  <c r="S241" i="13"/>
  <c r="S248" i="13"/>
  <c r="S269" i="13"/>
  <c r="S286" i="13"/>
  <c r="S148" i="13"/>
  <c r="S314" i="13"/>
  <c r="S187" i="13"/>
  <c r="S200" i="13"/>
  <c r="S277" i="13"/>
  <c r="S284" i="13"/>
  <c r="S255" i="13"/>
  <c r="S299" i="13"/>
  <c r="S157" i="13"/>
  <c r="S257" i="13"/>
  <c r="S163" i="13"/>
  <c r="S292" i="13"/>
  <c r="S178" i="13"/>
  <c r="S301" i="13"/>
  <c r="S165" i="9"/>
  <c r="S300" i="9"/>
  <c r="S313" i="9"/>
  <c r="S157" i="9"/>
  <c r="S267" i="9"/>
  <c r="S185" i="9"/>
  <c r="S289" i="9"/>
  <c r="S292" i="9"/>
  <c r="S229" i="9"/>
  <c r="S310" i="9"/>
  <c r="S311" i="9"/>
  <c r="S203" i="9"/>
  <c r="S243" i="9"/>
  <c r="S265" i="9"/>
  <c r="S271" i="9"/>
  <c r="S237" i="9"/>
  <c r="S191" i="9"/>
  <c r="S195" i="9"/>
  <c r="S316" i="9"/>
  <c r="S167" i="9"/>
  <c r="S173" i="9"/>
  <c r="S241" i="9"/>
  <c r="S286" i="9"/>
  <c r="S304" i="9"/>
  <c r="S312" i="9"/>
  <c r="S208" i="9"/>
  <c r="S246" i="9"/>
  <c r="S244" i="9"/>
  <c r="S238" i="9"/>
  <c r="S202" i="9"/>
  <c r="S188" i="9"/>
  <c r="S160" i="9"/>
  <c r="S182" i="9"/>
  <c r="S151" i="9"/>
  <c r="S228" i="9"/>
  <c r="S204" i="9"/>
  <c r="S276" i="9"/>
  <c r="S242" i="9"/>
  <c r="S218" i="9"/>
  <c r="S156" i="9"/>
  <c r="S147" i="9"/>
  <c r="S198" i="9"/>
  <c r="S162" i="9"/>
  <c r="S143" i="9"/>
  <c r="S143" i="13"/>
  <c r="S230" i="13"/>
  <c r="S154" i="13"/>
  <c r="S210" i="13"/>
  <c r="S236" i="13"/>
  <c r="S155" i="13"/>
  <c r="S256" i="13"/>
  <c r="S223" i="13"/>
  <c r="S211" i="13"/>
  <c r="S274" i="13"/>
  <c r="S164" i="13"/>
  <c r="S150" i="13"/>
  <c r="S296" i="13"/>
  <c r="S245" i="13"/>
  <c r="S315" i="13"/>
  <c r="S162" i="13"/>
  <c r="S170" i="13"/>
  <c r="S153" i="13"/>
  <c r="S186" i="13"/>
  <c r="S218" i="13"/>
  <c r="S235" i="13"/>
  <c r="S169" i="13"/>
  <c r="S221" i="13"/>
  <c r="S147" i="13"/>
  <c r="S272" i="13"/>
  <c r="S283" i="13"/>
  <c r="S251" i="13"/>
  <c r="S228" i="13"/>
  <c r="S191" i="13"/>
  <c r="S265" i="13"/>
  <c r="S219" i="13"/>
  <c r="S268" i="13"/>
  <c r="S206" i="13"/>
  <c r="S264" i="13"/>
  <c r="S181" i="13"/>
  <c r="S165" i="13"/>
  <c r="S270" i="13"/>
  <c r="S203" i="13"/>
  <c r="S212" i="13"/>
  <c r="S159" i="13"/>
  <c r="S237" i="13"/>
  <c r="S205" i="13"/>
  <c r="S194" i="13"/>
  <c r="S266" i="13"/>
  <c r="S298" i="13"/>
  <c r="S201" i="12"/>
  <c r="S219" i="12"/>
  <c r="S197" i="12"/>
  <c r="S183" i="12"/>
  <c r="S291" i="12"/>
  <c r="S144" i="12"/>
  <c r="S196" i="12"/>
  <c r="S191" i="12"/>
  <c r="S194" i="12"/>
  <c r="S278" i="12"/>
  <c r="S286" i="12"/>
  <c r="S206" i="12"/>
  <c r="S213" i="12"/>
  <c r="S243" i="12"/>
  <c r="S147" i="12"/>
  <c r="S149" i="12"/>
  <c r="S230" i="12"/>
  <c r="S162" i="12"/>
  <c r="S308" i="12"/>
  <c r="S267" i="12"/>
  <c r="S294" i="12"/>
  <c r="S159" i="12"/>
  <c r="S236" i="12"/>
  <c r="S299" i="12"/>
  <c r="S249" i="12"/>
  <c r="S273" i="12"/>
  <c r="S262" i="12"/>
  <c r="S182" i="12"/>
  <c r="S311" i="12"/>
  <c r="S292" i="12"/>
  <c r="S227" i="12"/>
  <c r="S175" i="12"/>
  <c r="S239" i="12"/>
  <c r="S174" i="12"/>
  <c r="S298" i="12"/>
  <c r="S202" i="12"/>
  <c r="S301" i="12"/>
  <c r="S169" i="12"/>
  <c r="S295" i="12"/>
  <c r="S276" i="12"/>
  <c r="S179" i="12"/>
  <c r="S289" i="12"/>
  <c r="S246" i="12"/>
  <c r="S204" i="12"/>
  <c r="S154" i="11"/>
  <c r="S171" i="13"/>
  <c r="S295" i="13"/>
  <c r="S197" i="13"/>
  <c r="S172" i="13"/>
  <c r="S317" i="13"/>
  <c r="S193" i="13"/>
  <c r="S288" i="13"/>
  <c r="S309" i="13"/>
  <c r="S285" i="13"/>
  <c r="S224" i="13"/>
  <c r="S199" i="13"/>
  <c r="S307" i="13"/>
  <c r="S260" i="13"/>
  <c r="S308" i="13"/>
  <c r="S145" i="13"/>
  <c r="S294" i="13"/>
  <c r="S190" i="13"/>
  <c r="S258" i="13"/>
  <c r="S204" i="13"/>
  <c r="S239" i="13"/>
  <c r="S232" i="13"/>
  <c r="S310" i="13"/>
  <c r="S281" i="13"/>
  <c r="S290" i="9"/>
  <c r="S245" i="9"/>
  <c r="S183" i="9"/>
  <c r="S189" i="9"/>
  <c r="S296" i="9"/>
  <c r="S217" i="9"/>
  <c r="S239" i="9"/>
  <c r="S255" i="9"/>
  <c r="S161" i="9"/>
  <c r="S227" i="9"/>
  <c r="S175" i="9"/>
  <c r="S253" i="9"/>
  <c r="S291" i="9"/>
  <c r="S306" i="9"/>
  <c r="S269" i="9"/>
  <c r="S219" i="9"/>
  <c r="S223" i="9"/>
  <c r="S247" i="9"/>
  <c r="S283" i="9"/>
  <c r="S199" i="9"/>
  <c r="S205" i="9"/>
  <c r="S294" i="9"/>
  <c r="S318" i="9"/>
  <c r="S169" i="9"/>
  <c r="S298" i="9"/>
  <c r="S285" i="9"/>
  <c r="S278" i="9"/>
  <c r="S172" i="9"/>
  <c r="S206" i="9"/>
  <c r="S170" i="9"/>
  <c r="S234" i="9"/>
  <c r="S224" i="9"/>
  <c r="S150" i="9"/>
  <c r="S272" i="9"/>
  <c r="S254" i="9"/>
  <c r="S262" i="9"/>
  <c r="S184" i="9"/>
  <c r="S222" i="9"/>
  <c r="S186" i="9"/>
  <c r="S220" i="9"/>
  <c r="S192" i="9"/>
  <c r="S166" i="9"/>
  <c r="S145" i="9"/>
  <c r="S144" i="13"/>
  <c r="S225" i="13"/>
  <c r="S192" i="13"/>
  <c r="S220" i="13"/>
  <c r="S222" i="13"/>
  <c r="S273" i="13"/>
  <c r="S276" i="13"/>
  <c r="S152" i="13"/>
  <c r="S208" i="13"/>
  <c r="S168" i="13"/>
  <c r="S289" i="13"/>
  <c r="S216" i="13"/>
  <c r="S198" i="13"/>
  <c r="S176" i="13"/>
  <c r="S246" i="13"/>
  <c r="S189" i="13"/>
  <c r="S182" i="13"/>
  <c r="S271" i="13"/>
  <c r="S229" i="13"/>
  <c r="S254" i="13"/>
  <c r="S300" i="13"/>
  <c r="S238" i="13"/>
  <c r="S318" i="13"/>
  <c r="S177" i="13"/>
  <c r="S240" i="13"/>
  <c r="S151" i="13"/>
  <c r="S259" i="13"/>
  <c r="S253" i="13"/>
  <c r="S278" i="13"/>
  <c r="S293" i="13"/>
  <c r="S156" i="13"/>
  <c r="S263" i="13"/>
  <c r="S184" i="13"/>
  <c r="S275" i="13"/>
  <c r="S161" i="13"/>
  <c r="S227" i="13"/>
  <c r="S234" i="13"/>
  <c r="S231" i="13"/>
  <c r="S217" i="13"/>
  <c r="S250" i="13"/>
  <c r="S202" i="13"/>
  <c r="S195" i="13"/>
  <c r="S252" i="13"/>
  <c r="S313" i="12"/>
  <c r="S198" i="12"/>
  <c r="S260" i="12"/>
  <c r="S170" i="12"/>
  <c r="S240" i="12"/>
  <c r="S151" i="12"/>
  <c r="S184" i="12"/>
  <c r="S189" i="12"/>
  <c r="S248" i="12"/>
  <c r="S173" i="12"/>
  <c r="S265" i="12"/>
  <c r="S315" i="12"/>
  <c r="S208" i="12"/>
  <c r="S305" i="12"/>
  <c r="S310" i="12"/>
  <c r="S172" i="12"/>
  <c r="S263" i="12"/>
  <c r="S244" i="12"/>
  <c r="S288" i="12"/>
  <c r="S237" i="12"/>
  <c r="S146" i="12"/>
  <c r="S253" i="12"/>
  <c r="S171" i="12"/>
  <c r="S312" i="12"/>
  <c r="S218" i="12"/>
  <c r="S176" i="12"/>
  <c r="S216" i="12"/>
  <c r="S231" i="12"/>
  <c r="S228" i="12"/>
  <c r="S318" i="12"/>
  <c r="S145" i="12"/>
  <c r="S157" i="12"/>
  <c r="S220" i="12"/>
  <c r="S251" i="12"/>
  <c r="S217" i="12"/>
  <c r="S195" i="12"/>
  <c r="S160" i="12"/>
  <c r="S199" i="12"/>
  <c r="S212" i="12"/>
  <c r="S277" i="12"/>
  <c r="S250" i="12"/>
  <c r="S259" i="12"/>
  <c r="S306" i="12"/>
  <c r="S143" i="12"/>
  <c r="L139" i="13"/>
  <c r="L57" i="37"/>
  <c r="N57" i="37"/>
  <c r="K57" i="37"/>
  <c r="BQ248" i="10"/>
  <c r="BQ271" i="13"/>
  <c r="BQ203" i="13"/>
  <c r="BQ151" i="13"/>
  <c r="BQ264" i="13"/>
  <c r="BQ196" i="13"/>
  <c r="BQ317" i="13"/>
  <c r="BQ285" i="13"/>
  <c r="BQ253" i="13"/>
  <c r="BQ221" i="13"/>
  <c r="BQ189" i="13"/>
  <c r="BQ157" i="13"/>
  <c r="BQ283" i="13"/>
  <c r="BQ223" i="13"/>
  <c r="BQ312" i="13"/>
  <c r="BQ252" i="13"/>
  <c r="BQ188" i="13"/>
  <c r="BQ314" i="13"/>
  <c r="BQ282" i="13"/>
  <c r="BQ250" i="13"/>
  <c r="BQ218" i="13"/>
  <c r="BQ186" i="13"/>
  <c r="BQ154" i="13"/>
  <c r="D56" i="14"/>
  <c r="BQ272" i="10"/>
  <c r="BQ279" i="13"/>
  <c r="BQ211" i="13"/>
  <c r="BQ155" i="13"/>
  <c r="BQ272" i="13"/>
  <c r="BQ204" i="13"/>
  <c r="BQ143" i="13"/>
  <c r="BQ289" i="13"/>
  <c r="BQ257" i="13"/>
  <c r="BQ225" i="13"/>
  <c r="BQ193" i="13"/>
  <c r="BQ161" i="13"/>
  <c r="BQ291" i="13"/>
  <c r="BQ231" i="13"/>
  <c r="BQ167" i="13"/>
  <c r="BQ260" i="13"/>
  <c r="BQ200" i="13"/>
  <c r="BQ318" i="13"/>
  <c r="BQ286" i="13"/>
  <c r="BQ254" i="13"/>
  <c r="BQ222" i="13"/>
  <c r="BQ190" i="13"/>
  <c r="BQ158" i="13"/>
  <c r="BQ312" i="10"/>
  <c r="BQ183" i="11"/>
  <c r="BQ303" i="13"/>
  <c r="BQ239" i="13"/>
  <c r="BQ171" i="13"/>
  <c r="BQ296" i="13"/>
  <c r="BQ232" i="13"/>
  <c r="BQ168" i="13"/>
  <c r="BQ301" i="13"/>
  <c r="BQ269" i="13"/>
  <c r="BQ237" i="13"/>
  <c r="BQ205" i="13"/>
  <c r="BQ173" i="13"/>
  <c r="BQ315" i="13"/>
  <c r="BQ251" i="13"/>
  <c r="BQ191" i="13"/>
  <c r="BQ284" i="13"/>
  <c r="BQ220" i="13"/>
  <c r="BQ156" i="13"/>
  <c r="BQ298" i="13"/>
  <c r="BQ266" i="13"/>
  <c r="BQ234" i="13"/>
  <c r="BQ202" i="13"/>
  <c r="BQ170" i="13"/>
  <c r="C15" i="14"/>
  <c r="G312" i="3"/>
  <c r="G135" i="14"/>
  <c r="G142" i="14" s="1"/>
  <c r="BQ216" i="10"/>
  <c r="BQ280" i="10"/>
  <c r="BQ229" i="10"/>
  <c r="BQ287" i="13"/>
  <c r="BQ255" i="13"/>
  <c r="BQ219" i="13"/>
  <c r="BQ187" i="13"/>
  <c r="BQ159" i="13"/>
  <c r="BQ316" i="13"/>
  <c r="BQ280" i="13"/>
  <c r="BQ248" i="13"/>
  <c r="BQ212" i="13"/>
  <c r="BQ184" i="13"/>
  <c r="BQ144" i="13"/>
  <c r="BQ309" i="13"/>
  <c r="BQ293" i="13"/>
  <c r="BQ277" i="13"/>
  <c r="BQ261" i="13"/>
  <c r="BQ245" i="13"/>
  <c r="BQ229" i="13"/>
  <c r="BQ213" i="13"/>
  <c r="BQ197" i="13"/>
  <c r="BQ181" i="13"/>
  <c r="BQ165" i="13"/>
  <c r="BQ149" i="13"/>
  <c r="BQ299" i="13"/>
  <c r="BQ267" i="13"/>
  <c r="BQ235" i="13"/>
  <c r="BQ207" i="13"/>
  <c r="BQ179" i="13"/>
  <c r="BQ300" i="13"/>
  <c r="BQ268" i="13"/>
  <c r="BQ236" i="13"/>
  <c r="BQ208" i="13"/>
  <c r="BQ172" i="13"/>
  <c r="BQ148" i="13"/>
  <c r="BQ306" i="13"/>
  <c r="BQ290" i="13"/>
  <c r="BQ274" i="13"/>
  <c r="BQ258" i="13"/>
  <c r="BQ242" i="13"/>
  <c r="BQ226" i="13"/>
  <c r="BQ210" i="13"/>
  <c r="BQ194" i="13"/>
  <c r="BQ178" i="13"/>
  <c r="BQ162" i="13"/>
  <c r="BQ146" i="13"/>
  <c r="G131" i="14"/>
  <c r="J16" i="49"/>
  <c r="BQ304" i="10"/>
  <c r="BQ240" i="10"/>
  <c r="BQ295" i="13"/>
  <c r="BQ263" i="13"/>
  <c r="BQ227" i="13"/>
  <c r="BQ195" i="13"/>
  <c r="BQ163" i="13"/>
  <c r="BQ147" i="13"/>
  <c r="BQ288" i="13"/>
  <c r="BQ256" i="13"/>
  <c r="BQ224" i="13"/>
  <c r="BQ192" i="13"/>
  <c r="BQ160" i="13"/>
  <c r="BQ313" i="13"/>
  <c r="BQ297" i="13"/>
  <c r="BQ281" i="13"/>
  <c r="BQ265" i="13"/>
  <c r="BQ249" i="13"/>
  <c r="BQ233" i="13"/>
  <c r="BQ217" i="13"/>
  <c r="BQ201" i="13"/>
  <c r="BQ185" i="13"/>
  <c r="BQ169" i="13"/>
  <c r="BQ153" i="13"/>
  <c r="BQ307" i="13"/>
  <c r="BQ275" i="13"/>
  <c r="BQ243" i="13"/>
  <c r="BQ215" i="13"/>
  <c r="BQ183" i="13"/>
  <c r="BQ308" i="13"/>
  <c r="BQ276" i="13"/>
  <c r="BQ244" i="13"/>
  <c r="BQ216" i="13"/>
  <c r="BQ180" i="13"/>
  <c r="BQ152" i="13"/>
  <c r="BQ310" i="13"/>
  <c r="BQ294" i="13"/>
  <c r="BQ278" i="13"/>
  <c r="BQ262" i="13"/>
  <c r="BQ246" i="13"/>
  <c r="BQ230" i="13"/>
  <c r="BQ214" i="13"/>
  <c r="BQ198" i="13"/>
  <c r="BQ182" i="13"/>
  <c r="BQ166" i="13"/>
  <c r="G132" i="14"/>
  <c r="G134" i="14"/>
  <c r="G141" i="14" s="1"/>
  <c r="BQ237" i="11"/>
  <c r="F106" i="14"/>
  <c r="F109" i="14" s="1"/>
  <c r="F116" i="14" s="1"/>
  <c r="G116" i="14" s="1"/>
  <c r="H116" i="14" s="1"/>
  <c r="BQ208" i="10"/>
  <c r="BQ157" i="10"/>
  <c r="BQ288" i="10"/>
  <c r="BQ256" i="10"/>
  <c r="BQ178" i="10"/>
  <c r="BQ145" i="10"/>
  <c r="BQ253" i="11"/>
  <c r="BQ213" i="11"/>
  <c r="D57" i="14"/>
  <c r="BQ164" i="10"/>
  <c r="BQ205" i="10"/>
  <c r="BQ296" i="10"/>
  <c r="BQ264" i="10"/>
  <c r="BQ232" i="10"/>
  <c r="BQ173" i="10"/>
  <c r="BQ301" i="11"/>
  <c r="H152" i="14"/>
  <c r="H154" i="14" s="1"/>
  <c r="H36" i="14"/>
  <c r="H38" i="14" s="1"/>
  <c r="BQ317" i="11"/>
  <c r="BQ285" i="11"/>
  <c r="BQ221" i="11"/>
  <c r="C66" i="14"/>
  <c r="BQ203" i="11"/>
  <c r="BQ269" i="11"/>
  <c r="BQ190" i="11"/>
  <c r="BQ299" i="12"/>
  <c r="BQ267" i="12"/>
  <c r="BQ239" i="12"/>
  <c r="BQ211" i="12"/>
  <c r="BQ179" i="12"/>
  <c r="BQ316" i="12"/>
  <c r="BQ280" i="12"/>
  <c r="BQ252" i="12"/>
  <c r="BQ220" i="12"/>
  <c r="BQ184" i="12"/>
  <c r="BQ152" i="12"/>
  <c r="BQ309" i="12"/>
  <c r="BQ293" i="12"/>
  <c r="BQ277" i="12"/>
  <c r="BQ261" i="12"/>
  <c r="BQ245" i="12"/>
  <c r="BQ229" i="12"/>
  <c r="BQ213" i="12"/>
  <c r="BQ197" i="12"/>
  <c r="BQ181" i="12"/>
  <c r="BQ165" i="12"/>
  <c r="BQ149" i="12"/>
  <c r="BQ295" i="12"/>
  <c r="BQ259" i="12"/>
  <c r="BQ227" i="12"/>
  <c r="BQ191" i="12"/>
  <c r="BQ163" i="12"/>
  <c r="BQ304" i="12"/>
  <c r="BQ276" i="12"/>
  <c r="BQ240" i="12"/>
  <c r="BQ212" i="12"/>
  <c r="BQ180" i="12"/>
  <c r="BQ148" i="12"/>
  <c r="BQ310" i="12"/>
  <c r="BQ294" i="12"/>
  <c r="BQ278" i="12"/>
  <c r="BQ262" i="12"/>
  <c r="BQ246" i="12"/>
  <c r="BQ230" i="12"/>
  <c r="BQ214" i="12"/>
  <c r="BQ198" i="12"/>
  <c r="BQ182" i="12"/>
  <c r="BQ166" i="12"/>
  <c r="C113" i="14"/>
  <c r="I25" i="7"/>
  <c r="I38" i="7" s="1"/>
  <c r="C16" i="14"/>
  <c r="BQ197" i="11"/>
  <c r="BQ313" i="11"/>
  <c r="BQ210" i="11"/>
  <c r="BQ175" i="11"/>
  <c r="BQ297" i="11"/>
  <c r="BQ281" i="11"/>
  <c r="BQ265" i="11"/>
  <c r="BQ249" i="11"/>
  <c r="BQ233" i="11"/>
  <c r="BQ217" i="11"/>
  <c r="BQ182" i="11"/>
  <c r="BQ196" i="11"/>
  <c r="BQ147" i="11"/>
  <c r="BQ191" i="11"/>
  <c r="BQ305" i="11"/>
  <c r="BQ289" i="11"/>
  <c r="BQ273" i="11"/>
  <c r="BQ257" i="11"/>
  <c r="BQ241" i="11"/>
  <c r="BQ225" i="11"/>
  <c r="BQ150" i="11"/>
  <c r="BQ159" i="11"/>
  <c r="D9" i="14"/>
  <c r="BQ212" i="11"/>
  <c r="BQ309" i="11"/>
  <c r="BQ170" i="11"/>
  <c r="BQ146" i="11"/>
  <c r="BQ293" i="11"/>
  <c r="BQ277" i="11"/>
  <c r="BQ261" i="11"/>
  <c r="BQ245" i="11"/>
  <c r="BQ229" i="11"/>
  <c r="BQ166" i="11"/>
  <c r="BQ174" i="11"/>
  <c r="Q142" i="11"/>
  <c r="P244" i="11"/>
  <c r="P228" i="11"/>
  <c r="P196" i="11"/>
  <c r="P180" i="11"/>
  <c r="P236" i="11"/>
  <c r="P204" i="11"/>
  <c r="P158" i="11"/>
  <c r="P310" i="11"/>
  <c r="P306" i="11"/>
  <c r="P157" i="11"/>
  <c r="P316" i="11"/>
  <c r="P308" i="11"/>
  <c r="P300" i="11"/>
  <c r="P287" i="11"/>
  <c r="P279" i="11"/>
  <c r="P271" i="11"/>
  <c r="P263" i="11"/>
  <c r="P255" i="11"/>
  <c r="P247" i="11"/>
  <c r="P239" i="11"/>
  <c r="P231" i="11"/>
  <c r="P223" i="11"/>
  <c r="P215" i="11"/>
  <c r="P207" i="11"/>
  <c r="P199" i="11"/>
  <c r="P191" i="11"/>
  <c r="P183" i="11"/>
  <c r="P175" i="11"/>
  <c r="P167" i="11"/>
  <c r="P160" i="11"/>
  <c r="P150" i="11"/>
  <c r="P305" i="11"/>
  <c r="P153" i="11"/>
  <c r="P276" i="11"/>
  <c r="P264" i="11"/>
  <c r="P248" i="11"/>
  <c r="P232" i="11"/>
  <c r="P216" i="11"/>
  <c r="P200" i="11"/>
  <c r="P184" i="11"/>
  <c r="P148" i="11"/>
  <c r="P146" i="11"/>
  <c r="P149" i="11"/>
  <c r="P311" i="11"/>
  <c r="P303" i="11"/>
  <c r="P295" i="11"/>
  <c r="P290" i="11"/>
  <c r="P282" i="11"/>
  <c r="P274" i="11"/>
  <c r="P266" i="11"/>
  <c r="P258" i="11"/>
  <c r="P250" i="11"/>
  <c r="P242" i="11"/>
  <c r="P234" i="11"/>
  <c r="P226" i="11"/>
  <c r="P218" i="11"/>
  <c r="P210" i="11"/>
  <c r="P202" i="11"/>
  <c r="P194" i="11"/>
  <c r="P186" i="11"/>
  <c r="P178" i="11"/>
  <c r="P170" i="11"/>
  <c r="P151" i="11"/>
  <c r="P154" i="11"/>
  <c r="P293" i="11"/>
  <c r="P168" i="11"/>
  <c r="P285" i="11"/>
  <c r="P277" i="11"/>
  <c r="P269" i="11"/>
  <c r="P261" i="11"/>
  <c r="P253" i="11"/>
  <c r="P317" i="11"/>
  <c r="P309" i="11"/>
  <c r="P288" i="11"/>
  <c r="P280" i="11"/>
  <c r="P252" i="11"/>
  <c r="P212" i="11"/>
  <c r="P162" i="11"/>
  <c r="P294" i="11"/>
  <c r="P161" i="11"/>
  <c r="P289" i="11"/>
  <c r="P281" i="11"/>
  <c r="P273" i="11"/>
  <c r="P265" i="11"/>
  <c r="P257" i="11"/>
  <c r="P249" i="11"/>
  <c r="P241" i="11"/>
  <c r="P233" i="11"/>
  <c r="P225" i="11"/>
  <c r="P217" i="11"/>
  <c r="P209" i="11"/>
  <c r="P177" i="11"/>
  <c r="P169" i="11"/>
  <c r="P147" i="11"/>
  <c r="P292" i="11"/>
  <c r="P220" i="11"/>
  <c r="P188" i="11"/>
  <c r="P159" i="11"/>
  <c r="P164" i="11"/>
  <c r="P318" i="11"/>
  <c r="P314" i="11"/>
  <c r="P302" i="11"/>
  <c r="P298" i="11"/>
  <c r="P201" i="11"/>
  <c r="P193" i="11"/>
  <c r="P185" i="11"/>
  <c r="P165" i="11"/>
  <c r="P312" i="11"/>
  <c r="P304" i="11"/>
  <c r="P296" i="11"/>
  <c r="P145" i="11"/>
  <c r="P283" i="11"/>
  <c r="P275" i="11"/>
  <c r="P267" i="11"/>
  <c r="P259" i="11"/>
  <c r="P251" i="11"/>
  <c r="P243" i="11"/>
  <c r="P235" i="11"/>
  <c r="P227" i="11"/>
  <c r="P219" i="11"/>
  <c r="P211" i="11"/>
  <c r="P203" i="11"/>
  <c r="P195" i="11"/>
  <c r="P187" i="11"/>
  <c r="P179" i="11"/>
  <c r="P171" i="11"/>
  <c r="P155" i="11"/>
  <c r="P144" i="11"/>
  <c r="P313" i="11"/>
  <c r="P297" i="11"/>
  <c r="P284" i="11"/>
  <c r="P272" i="11"/>
  <c r="P256" i="11"/>
  <c r="P240" i="11"/>
  <c r="P224" i="11"/>
  <c r="P208" i="11"/>
  <c r="P192" i="11"/>
  <c r="P176" i="11"/>
  <c r="P152" i="11"/>
  <c r="P143" i="11"/>
  <c r="P315" i="11"/>
  <c r="P307" i="11"/>
  <c r="P299" i="11"/>
  <c r="P291" i="11"/>
  <c r="P286" i="11"/>
  <c r="P278" i="11"/>
  <c r="P270" i="11"/>
  <c r="P262" i="11"/>
  <c r="P254" i="11"/>
  <c r="P246" i="11"/>
  <c r="P238" i="11"/>
  <c r="P230" i="11"/>
  <c r="P222" i="11"/>
  <c r="P214" i="11"/>
  <c r="P206" i="11"/>
  <c r="P198" i="11"/>
  <c r="P190" i="11"/>
  <c r="P182" i="11"/>
  <c r="P174" i="11"/>
  <c r="P166" i="11"/>
  <c r="P156" i="11"/>
  <c r="P301" i="11"/>
  <c r="P268" i="11"/>
  <c r="P260" i="11"/>
  <c r="P172" i="11"/>
  <c r="P245" i="11"/>
  <c r="P237" i="11"/>
  <c r="P229" i="11"/>
  <c r="P221" i="11"/>
  <c r="P213" i="11"/>
  <c r="P205" i="11"/>
  <c r="P197" i="11"/>
  <c r="P189" i="11"/>
  <c r="P181" i="11"/>
  <c r="P173" i="11"/>
  <c r="P163" i="11"/>
  <c r="AW312" i="10"/>
  <c r="AW303" i="10"/>
  <c r="AW281" i="10"/>
  <c r="AW170" i="10"/>
  <c r="AW202" i="10"/>
  <c r="AW230" i="10"/>
  <c r="AW254" i="10"/>
  <c r="AW181" i="10"/>
  <c r="AW213" i="10"/>
  <c r="AW237" i="10"/>
  <c r="AW178" i="10"/>
  <c r="AW214" i="10"/>
  <c r="AW262" i="10"/>
  <c r="AW278" i="10"/>
  <c r="AW177" i="10"/>
  <c r="AW209" i="10"/>
  <c r="AW253" i="10"/>
  <c r="AW317" i="10"/>
  <c r="AW309" i="10"/>
  <c r="AW302" i="10"/>
  <c r="AW296" i="10"/>
  <c r="AW291" i="10"/>
  <c r="AW143" i="10"/>
  <c r="AW275" i="10"/>
  <c r="AW259" i="10"/>
  <c r="AW243" i="10"/>
  <c r="AW227" i="10"/>
  <c r="AW211" i="10"/>
  <c r="AW195" i="10"/>
  <c r="AW179" i="10"/>
  <c r="AW288" i="10"/>
  <c r="AW272" i="10"/>
  <c r="AW256" i="10"/>
  <c r="AW240" i="10"/>
  <c r="AW224" i="10"/>
  <c r="AW208" i="10"/>
  <c r="AW192" i="10"/>
  <c r="AW176" i="10"/>
  <c r="AW314" i="10"/>
  <c r="AW306" i="10"/>
  <c r="AW295" i="10"/>
  <c r="AW166" i="10"/>
  <c r="AW198" i="10"/>
  <c r="AW226" i="10"/>
  <c r="AW250" i="10"/>
  <c r="AW169" i="10"/>
  <c r="AW201" i="10"/>
  <c r="AW233" i="10"/>
  <c r="AW174" i="10"/>
  <c r="AW210" i="10"/>
  <c r="AW246" i="10"/>
  <c r="AW274" i="10"/>
  <c r="AW173" i="10"/>
  <c r="AW205" i="10"/>
  <c r="AW249" i="10"/>
  <c r="AW265" i="10"/>
  <c r="AW311" i="10"/>
  <c r="AW304" i="10"/>
  <c r="AW297" i="10"/>
  <c r="AW292" i="10"/>
  <c r="AW273" i="10"/>
  <c r="AW279" i="10"/>
  <c r="AW263" i="10"/>
  <c r="AW247" i="10"/>
  <c r="AW231" i="10"/>
  <c r="AW215" i="10"/>
  <c r="AW199" i="10"/>
  <c r="AW183" i="10"/>
  <c r="AW167" i="10"/>
  <c r="AW276" i="10"/>
  <c r="AW260" i="10"/>
  <c r="AW244" i="10"/>
  <c r="AW228" i="10"/>
  <c r="AW212" i="10"/>
  <c r="AW196" i="10"/>
  <c r="AW180" i="10"/>
  <c r="AW316" i="10"/>
  <c r="AW308" i="10"/>
  <c r="AW299" i="10"/>
  <c r="AW285" i="10"/>
  <c r="AW186" i="10"/>
  <c r="AW222" i="10"/>
  <c r="AW238" i="10"/>
  <c r="AW290" i="10"/>
  <c r="AW197" i="10"/>
  <c r="AW229" i="10"/>
  <c r="AW245" i="10"/>
  <c r="AW194" i="10"/>
  <c r="AW242" i="10"/>
  <c r="AW270" i="10"/>
  <c r="AW286" i="10"/>
  <c r="AW193" i="10"/>
  <c r="AW225" i="10"/>
  <c r="AW261" i="10"/>
  <c r="AW313" i="10"/>
  <c r="AW305" i="10"/>
  <c r="AW298" i="10"/>
  <c r="AW293" i="10"/>
  <c r="AW289" i="10"/>
  <c r="AW283" i="10"/>
  <c r="AW267" i="10"/>
  <c r="AW251" i="10"/>
  <c r="AW235" i="10"/>
  <c r="AW219" i="10"/>
  <c r="AW203" i="10"/>
  <c r="AW187" i="10"/>
  <c r="AW171" i="10"/>
  <c r="AW280" i="10"/>
  <c r="AW264" i="10"/>
  <c r="AW248" i="10"/>
  <c r="AW232" i="10"/>
  <c r="AW216" i="10"/>
  <c r="AW200" i="10"/>
  <c r="AW184" i="10"/>
  <c r="AW277" i="10"/>
  <c r="AW258" i="10"/>
  <c r="AW190" i="10"/>
  <c r="AW189" i="10"/>
  <c r="AW307" i="10"/>
  <c r="AW287" i="10"/>
  <c r="AW223" i="10"/>
  <c r="AW284" i="10"/>
  <c r="AW220" i="10"/>
  <c r="AW185" i="10"/>
  <c r="AW221" i="10"/>
  <c r="AW207" i="10"/>
  <c r="AW204" i="10"/>
  <c r="AW301" i="10"/>
  <c r="AW234" i="10"/>
  <c r="AW241" i="10"/>
  <c r="AW282" i="10"/>
  <c r="AW315" i="10"/>
  <c r="AW168" i="10"/>
  <c r="AW239" i="10"/>
  <c r="AW175" i="10"/>
  <c r="AW236" i="10"/>
  <c r="AW172" i="10"/>
  <c r="AW269" i="10"/>
  <c r="AW318" i="10"/>
  <c r="AW218" i="10"/>
  <c r="AW271" i="10"/>
  <c r="AW310" i="10"/>
  <c r="AW206" i="10"/>
  <c r="AW217" i="10"/>
  <c r="AW266" i="10"/>
  <c r="AW257" i="10"/>
  <c r="AW294" i="10"/>
  <c r="AW255" i="10"/>
  <c r="AW191" i="10"/>
  <c r="AW252" i="10"/>
  <c r="AW188" i="10"/>
  <c r="AW182" i="10"/>
  <c r="AW300" i="10"/>
  <c r="AW268" i="10"/>
  <c r="AW145" i="10"/>
  <c r="AW149" i="10"/>
  <c r="AW164" i="10"/>
  <c r="AW153" i="10"/>
  <c r="AW150" i="10"/>
  <c r="AW158" i="10"/>
  <c r="AW162" i="10"/>
  <c r="AW161" i="10"/>
  <c r="AW165" i="10"/>
  <c r="AW147" i="10"/>
  <c r="AW144" i="10"/>
  <c r="AW156" i="10"/>
  <c r="AW151" i="10"/>
  <c r="AW157" i="10"/>
  <c r="AW154" i="10"/>
  <c r="AW160" i="10"/>
  <c r="AW159" i="10"/>
  <c r="AW148" i="10"/>
  <c r="AW163" i="10"/>
  <c r="AW152" i="10"/>
  <c r="AW146" i="10"/>
  <c r="AW155" i="10"/>
  <c r="BB144" i="10"/>
  <c r="BB143" i="10"/>
  <c r="BB147" i="10"/>
  <c r="BB151" i="10"/>
  <c r="BB155" i="10"/>
  <c r="BB159" i="10"/>
  <c r="BB163" i="10"/>
  <c r="BB187" i="10"/>
  <c r="BB191" i="10"/>
  <c r="BB195" i="10"/>
  <c r="BB199" i="10"/>
  <c r="BB203" i="10"/>
  <c r="BB207" i="10"/>
  <c r="BB211" i="10"/>
  <c r="BB215" i="10"/>
  <c r="BB219" i="10"/>
  <c r="BB223" i="10"/>
  <c r="BB227" i="10"/>
  <c r="BB231" i="10"/>
  <c r="BB235" i="10"/>
  <c r="BB239" i="10"/>
  <c r="BB243" i="10"/>
  <c r="BB247" i="10"/>
  <c r="BB251" i="10"/>
  <c r="BB255" i="10"/>
  <c r="BB259" i="10"/>
  <c r="BB263" i="10"/>
  <c r="BB267" i="10"/>
  <c r="BB271" i="10"/>
  <c r="BB275" i="10"/>
  <c r="BB279" i="10"/>
  <c r="BB283" i="10"/>
  <c r="BB287" i="10"/>
  <c r="BB291" i="10"/>
  <c r="BB295" i="10"/>
  <c r="BB299" i="10"/>
  <c r="BB303" i="10"/>
  <c r="BB307" i="10"/>
  <c r="BB311" i="10"/>
  <c r="BB166" i="10"/>
  <c r="BB171" i="10"/>
  <c r="BB177" i="10"/>
  <c r="BB184" i="10"/>
  <c r="BB316" i="10"/>
  <c r="BB179" i="10"/>
  <c r="BB146" i="10"/>
  <c r="BB150" i="10"/>
  <c r="BB154" i="10"/>
  <c r="BB158" i="10"/>
  <c r="BB162" i="10"/>
  <c r="BB186" i="10"/>
  <c r="BB190" i="10"/>
  <c r="BB194" i="10"/>
  <c r="BB198" i="10"/>
  <c r="BB202" i="10"/>
  <c r="BB206" i="10"/>
  <c r="BB210" i="10"/>
  <c r="BB214" i="10"/>
  <c r="BB218" i="10"/>
  <c r="BB222" i="10"/>
  <c r="BB226" i="10"/>
  <c r="BB230" i="10"/>
  <c r="BB234" i="10"/>
  <c r="BB238" i="10"/>
  <c r="BB242" i="10"/>
  <c r="BB246" i="10"/>
  <c r="BB250" i="10"/>
  <c r="BB254" i="10"/>
  <c r="BB258" i="10"/>
  <c r="BB262" i="10"/>
  <c r="BB266" i="10"/>
  <c r="BB270" i="10"/>
  <c r="BB274" i="10"/>
  <c r="BB278" i="10"/>
  <c r="BB282" i="10"/>
  <c r="BB286" i="10"/>
  <c r="BB290" i="10"/>
  <c r="BB294" i="10"/>
  <c r="BB298" i="10"/>
  <c r="BB302" i="10"/>
  <c r="BB306" i="10"/>
  <c r="BB310" i="10"/>
  <c r="BB318" i="10"/>
  <c r="BB170" i="10"/>
  <c r="BB175" i="10"/>
  <c r="BB182" i="10"/>
  <c r="BB315" i="10"/>
  <c r="BB176" i="10"/>
  <c r="BB185" i="10"/>
  <c r="BB145" i="10"/>
  <c r="BB149" i="10"/>
  <c r="BB153" i="10"/>
  <c r="BB157" i="10"/>
  <c r="BB161" i="10"/>
  <c r="BB165" i="10"/>
  <c r="BB189" i="10"/>
  <c r="BB193" i="10"/>
  <c r="BB197" i="10"/>
  <c r="BB201" i="10"/>
  <c r="BB205" i="10"/>
  <c r="BB209" i="10"/>
  <c r="BB213" i="10"/>
  <c r="BB217" i="10"/>
  <c r="BB221" i="10"/>
  <c r="BB225" i="10"/>
  <c r="BB229" i="10"/>
  <c r="BB233" i="10"/>
  <c r="BB237" i="10"/>
  <c r="BB241" i="10"/>
  <c r="BB245" i="10"/>
  <c r="BB249" i="10"/>
  <c r="BB253" i="10"/>
  <c r="BB257" i="10"/>
  <c r="BB261" i="10"/>
  <c r="BB265" i="10"/>
  <c r="BB269" i="10"/>
  <c r="BB273" i="10"/>
  <c r="BB277" i="10"/>
  <c r="BB281" i="10"/>
  <c r="BB285" i="10"/>
  <c r="BB289" i="10"/>
  <c r="BB293" i="10"/>
  <c r="BB297" i="10"/>
  <c r="BB301" i="10"/>
  <c r="BB305" i="10"/>
  <c r="BB309" i="10"/>
  <c r="BB317" i="10"/>
  <c r="BB168" i="10"/>
  <c r="BB174" i="10"/>
  <c r="BB180" i="10"/>
  <c r="BB313" i="10"/>
  <c r="BB173" i="10"/>
  <c r="BB183" i="10"/>
  <c r="BB156" i="10"/>
  <c r="BB192" i="10"/>
  <c r="BB208" i="10"/>
  <c r="BB224" i="10"/>
  <c r="BB240" i="10"/>
  <c r="BB256" i="10"/>
  <c r="BB272" i="10"/>
  <c r="BB288" i="10"/>
  <c r="BB304" i="10"/>
  <c r="BB172" i="10"/>
  <c r="BB181" i="10"/>
  <c r="BB212" i="10"/>
  <c r="BB260" i="10"/>
  <c r="BB308" i="10"/>
  <c r="BB152" i="10"/>
  <c r="BB188" i="10"/>
  <c r="BB204" i="10"/>
  <c r="BB220" i="10"/>
  <c r="BB236" i="10"/>
  <c r="BB252" i="10"/>
  <c r="BB268" i="10"/>
  <c r="BB284" i="10"/>
  <c r="BB300" i="10"/>
  <c r="BB167" i="10"/>
  <c r="BB169" i="10"/>
  <c r="BB160" i="10"/>
  <c r="BB228" i="10"/>
  <c r="BB276" i="10"/>
  <c r="BB178" i="10"/>
  <c r="BB148" i="10"/>
  <c r="BB164" i="10"/>
  <c r="BB200" i="10"/>
  <c r="BB216" i="10"/>
  <c r="BB232" i="10"/>
  <c r="BB248" i="10"/>
  <c r="BB264" i="10"/>
  <c r="BB280" i="10"/>
  <c r="BB296" i="10"/>
  <c r="BB314" i="10"/>
  <c r="BB312" i="10"/>
  <c r="BA142" i="10"/>
  <c r="BB196" i="10"/>
  <c r="BB244" i="10"/>
  <c r="BB292" i="10"/>
  <c r="AW174" i="11"/>
  <c r="AW206" i="11"/>
  <c r="AW238" i="11"/>
  <c r="AW270" i="11"/>
  <c r="AW293" i="11"/>
  <c r="AW168" i="11"/>
  <c r="AW224" i="11"/>
  <c r="AW288" i="11"/>
  <c r="AW309" i="11"/>
  <c r="AW204" i="11"/>
  <c r="AW276" i="11"/>
  <c r="AW173" i="11"/>
  <c r="AW205" i="11"/>
  <c r="AW237" i="11"/>
  <c r="AW269" i="11"/>
  <c r="AW175" i="11"/>
  <c r="AW207" i="11"/>
  <c r="AW239" i="11"/>
  <c r="AW271" i="11"/>
  <c r="AW294" i="11"/>
  <c r="AW163" i="11"/>
  <c r="AW146" i="11"/>
  <c r="AW193" i="11"/>
  <c r="AW225" i="11"/>
  <c r="AW257" i="11"/>
  <c r="AW289" i="11"/>
  <c r="AW196" i="11"/>
  <c r="AW268" i="11"/>
  <c r="AW170" i="11"/>
  <c r="AW202" i="11"/>
  <c r="AW234" i="11"/>
  <c r="AW266" i="11"/>
  <c r="AW298" i="11"/>
  <c r="AW172" i="11"/>
  <c r="AW232" i="11"/>
  <c r="AW300" i="11"/>
  <c r="AW179" i="11"/>
  <c r="AW211" i="11"/>
  <c r="AW243" i="11"/>
  <c r="AW275" i="11"/>
  <c r="AW307" i="11"/>
  <c r="AW144" i="11"/>
  <c r="AW151" i="11"/>
  <c r="AW246" i="11"/>
  <c r="AW302" i="11"/>
  <c r="AW244" i="11"/>
  <c r="AW317" i="11"/>
  <c r="AW297" i="11"/>
  <c r="AW213" i="11"/>
  <c r="AW277" i="11"/>
  <c r="AW183" i="11"/>
  <c r="AW215" i="11"/>
  <c r="AW247" i="11"/>
  <c r="AW279" i="11"/>
  <c r="AW152" i="11"/>
  <c r="AW169" i="11"/>
  <c r="AW233" i="11"/>
  <c r="AW305" i="11"/>
  <c r="AW216" i="11"/>
  <c r="AW210" i="11"/>
  <c r="AW274" i="11"/>
  <c r="AW188" i="11"/>
  <c r="AW316" i="11"/>
  <c r="AW166" i="11"/>
  <c r="AW198" i="11"/>
  <c r="AW230" i="11"/>
  <c r="AW262" i="11"/>
  <c r="AW292" i="11"/>
  <c r="AW318" i="11"/>
  <c r="AW212" i="11"/>
  <c r="AW272" i="11"/>
  <c r="AW150" i="11"/>
  <c r="AW301" i="11"/>
  <c r="AW192" i="11"/>
  <c r="AW260" i="11"/>
  <c r="AW197" i="11"/>
  <c r="AW229" i="11"/>
  <c r="AW261" i="11"/>
  <c r="AW167" i="11"/>
  <c r="AW199" i="11"/>
  <c r="AW231" i="11"/>
  <c r="AW263" i="11"/>
  <c r="AW296" i="11"/>
  <c r="AW159" i="11"/>
  <c r="AW155" i="11"/>
  <c r="AW160" i="11"/>
  <c r="AW185" i="11"/>
  <c r="AW217" i="11"/>
  <c r="AW249" i="11"/>
  <c r="AW281" i="11"/>
  <c r="AW184" i="11"/>
  <c r="AW252" i="11"/>
  <c r="AW312" i="11"/>
  <c r="AW194" i="11"/>
  <c r="AW226" i="11"/>
  <c r="AW258" i="11"/>
  <c r="AW290" i="11"/>
  <c r="AW158" i="11"/>
  <c r="AW220" i="11"/>
  <c r="AW280" i="11"/>
  <c r="AW171" i="11"/>
  <c r="AW203" i="11"/>
  <c r="AW235" i="11"/>
  <c r="AW267" i="11"/>
  <c r="AW299" i="11"/>
  <c r="AW148" i="11"/>
  <c r="AW156" i="11"/>
  <c r="AP139" i="11"/>
  <c r="AW164" i="11"/>
  <c r="AW228" i="11"/>
  <c r="AW181" i="11"/>
  <c r="AW245" i="11"/>
  <c r="AW303" i="11"/>
  <c r="AW178" i="11"/>
  <c r="AW306" i="11"/>
  <c r="AW162" i="11"/>
  <c r="AW190" i="11"/>
  <c r="AW222" i="11"/>
  <c r="AW254" i="11"/>
  <c r="AW286" i="11"/>
  <c r="AW310" i="11"/>
  <c r="AW200" i="11"/>
  <c r="AW256" i="11"/>
  <c r="AW291" i="11"/>
  <c r="AW176" i="11"/>
  <c r="AW240" i="11"/>
  <c r="AW304" i="11"/>
  <c r="AW308" i="11"/>
  <c r="AW189" i="11"/>
  <c r="AW221" i="11"/>
  <c r="AW253" i="11"/>
  <c r="AW285" i="11"/>
  <c r="AW154" i="11"/>
  <c r="AW191" i="11"/>
  <c r="AW223" i="11"/>
  <c r="AW255" i="11"/>
  <c r="AW287" i="11"/>
  <c r="AW311" i="11"/>
  <c r="AW145" i="11"/>
  <c r="AW165" i="11"/>
  <c r="AW177" i="11"/>
  <c r="AW209" i="11"/>
  <c r="AW241" i="11"/>
  <c r="AW273" i="11"/>
  <c r="AW313" i="11"/>
  <c r="AW236" i="11"/>
  <c r="AW295" i="11"/>
  <c r="AW186" i="11"/>
  <c r="AW218" i="11"/>
  <c r="AW250" i="11"/>
  <c r="AW282" i="11"/>
  <c r="AW314" i="11"/>
  <c r="AW208" i="11"/>
  <c r="AW264" i="11"/>
  <c r="AW195" i="11"/>
  <c r="AW227" i="11"/>
  <c r="AW259" i="11"/>
  <c r="AW143" i="11"/>
  <c r="AW157" i="11"/>
  <c r="AW161" i="11"/>
  <c r="AW182" i="11"/>
  <c r="AW214" i="11"/>
  <c r="AW278" i="11"/>
  <c r="AW180" i="11"/>
  <c r="AW149" i="11"/>
  <c r="AW201" i="11"/>
  <c r="AW265" i="11"/>
  <c r="AW284" i="11"/>
  <c r="AW242" i="11"/>
  <c r="AW248" i="11"/>
  <c r="AW251" i="11"/>
  <c r="AW147" i="11"/>
  <c r="AW219" i="11"/>
  <c r="AW153" i="11"/>
  <c r="AW283" i="11"/>
  <c r="AW187" i="11"/>
  <c r="AW315" i="11"/>
  <c r="B46" i="10"/>
  <c r="V138" i="10" s="1"/>
  <c r="V134" i="10"/>
  <c r="AK287" i="11"/>
  <c r="AK234" i="11"/>
  <c r="AK202" i="11"/>
  <c r="AK317" i="11"/>
  <c r="AK286" i="11"/>
  <c r="AK261" i="11"/>
  <c r="AK227" i="11"/>
  <c r="AK194" i="11"/>
  <c r="AK168" i="11"/>
  <c r="AK266" i="11"/>
  <c r="AK318" i="11"/>
  <c r="AK255" i="11"/>
  <c r="AK205" i="11"/>
  <c r="AK307" i="11"/>
  <c r="AK292" i="11"/>
  <c r="AK278" i="11"/>
  <c r="AK262" i="11"/>
  <c r="AK246" i="11"/>
  <c r="AK185" i="11"/>
  <c r="AK316" i="11"/>
  <c r="AK300" i="11"/>
  <c r="AK283" i="11"/>
  <c r="AK312" i="11"/>
  <c r="AK247" i="11"/>
  <c r="AK210" i="11"/>
  <c r="AK187" i="11"/>
  <c r="AK253" i="11"/>
  <c r="AK219" i="11"/>
  <c r="AK274" i="11"/>
  <c r="AK242" i="11"/>
  <c r="AK295" i="11"/>
  <c r="AK263" i="11"/>
  <c r="AK229" i="11"/>
  <c r="AK213" i="11"/>
  <c r="AK177" i="11"/>
  <c r="AK306" i="11"/>
  <c r="AK276" i="11"/>
  <c r="AK260" i="11"/>
  <c r="AK244" i="11"/>
  <c r="AK199" i="11"/>
  <c r="AK183" i="11"/>
  <c r="AK281" i="11"/>
  <c r="AK265" i="11"/>
  <c r="AK231" i="11"/>
  <c r="AK215" i="11"/>
  <c r="AK166" i="11"/>
  <c r="AK155" i="11"/>
  <c r="AK147" i="11"/>
  <c r="AK272" i="11"/>
  <c r="AK240" i="11"/>
  <c r="AK301" i="11"/>
  <c r="AK172" i="11"/>
  <c r="AK153" i="11"/>
  <c r="AK305" i="11"/>
  <c r="AK249" i="11"/>
  <c r="AK220" i="11"/>
  <c r="AK189" i="11"/>
  <c r="AK302" i="11"/>
  <c r="AK150" i="11"/>
  <c r="AK285" i="11"/>
  <c r="AK224" i="11"/>
  <c r="AK208" i="11"/>
  <c r="AK193" i="11"/>
  <c r="AK309" i="11"/>
  <c r="AK293" i="11"/>
  <c r="AK275" i="11"/>
  <c r="AK259" i="11"/>
  <c r="AK243" i="11"/>
  <c r="AK225" i="11"/>
  <c r="AK209" i="11"/>
  <c r="AK192" i="11"/>
  <c r="AK179" i="11"/>
  <c r="AK152" i="11"/>
  <c r="AK159" i="11"/>
  <c r="AK264" i="11"/>
  <c r="AK310" i="11"/>
  <c r="AK145" i="11"/>
  <c r="AK289" i="11"/>
  <c r="AK228" i="11"/>
  <c r="AK248" i="11"/>
  <c r="AK196" i="11"/>
  <c r="AK154" i="11"/>
  <c r="AK291" i="11"/>
  <c r="AK230" i="11"/>
  <c r="AK214" i="11"/>
  <c r="AK315" i="11"/>
  <c r="AK299" i="11"/>
  <c r="AK250" i="11"/>
  <c r="AK198" i="11"/>
  <c r="AK182" i="11"/>
  <c r="AK174" i="11"/>
  <c r="AK304" i="11"/>
  <c r="AK218" i="11"/>
  <c r="AK161" i="11"/>
  <c r="AK277" i="11"/>
  <c r="AK245" i="11"/>
  <c r="AK211" i="11"/>
  <c r="AK186" i="11"/>
  <c r="AK164" i="11"/>
  <c r="AK282" i="11"/>
  <c r="AK271" i="11"/>
  <c r="AK238" i="11"/>
  <c r="AK303" i="11"/>
  <c r="AK270" i="11"/>
  <c r="AK254" i="11"/>
  <c r="AK239" i="11"/>
  <c r="AK144" i="11"/>
  <c r="AK171" i="11"/>
  <c r="AK163" i="11"/>
  <c r="AK296" i="11"/>
  <c r="AK226" i="11"/>
  <c r="AK195" i="11"/>
  <c r="AK269" i="11"/>
  <c r="AK235" i="11"/>
  <c r="AK203" i="11"/>
  <c r="AK258" i="11"/>
  <c r="AK158" i="11"/>
  <c r="AK146" i="11"/>
  <c r="AK180" i="11"/>
  <c r="AK212" i="11"/>
  <c r="AK181" i="11"/>
  <c r="AK165" i="11"/>
  <c r="AK149" i="11"/>
  <c r="AK204" i="11"/>
  <c r="AK288" i="11"/>
  <c r="AK232" i="11"/>
  <c r="AK201" i="11"/>
  <c r="AK251" i="11"/>
  <c r="AK217" i="11"/>
  <c r="AK184" i="11"/>
  <c r="AK167" i="11"/>
  <c r="AK148" i="11"/>
  <c r="AK280" i="11"/>
  <c r="AK294" i="11"/>
  <c r="AK313" i="11"/>
  <c r="AK314" i="11"/>
  <c r="AK298" i="11"/>
  <c r="AK284" i="11"/>
  <c r="AK268" i="11"/>
  <c r="AK252" i="11"/>
  <c r="AK191" i="11"/>
  <c r="AK273" i="11"/>
  <c r="AK257" i="11"/>
  <c r="AK241" i="11"/>
  <c r="AK223" i="11"/>
  <c r="AK207" i="11"/>
  <c r="AK170" i="11"/>
  <c r="AK162" i="11"/>
  <c r="AK151" i="11"/>
  <c r="AK176" i="11"/>
  <c r="AK233" i="11"/>
  <c r="AK200" i="11"/>
  <c r="AK311" i="11"/>
  <c r="AK160" i="11"/>
  <c r="AK169" i="11"/>
  <c r="AK237" i="11"/>
  <c r="AK222" i="11"/>
  <c r="AK206" i="11"/>
  <c r="AK143" i="11"/>
  <c r="AK308" i="11"/>
  <c r="AK290" i="11"/>
  <c r="AK190" i="11"/>
  <c r="AK178" i="11"/>
  <c r="AK256" i="11"/>
  <c r="AK157" i="11"/>
  <c r="AK297" i="11"/>
  <c r="AK236" i="11"/>
  <c r="AK216" i="11"/>
  <c r="AK267" i="11"/>
  <c r="AK175" i="11"/>
  <c r="AK156" i="11"/>
  <c r="AK197" i="11"/>
  <c r="AK279" i="11"/>
  <c r="AK221" i="11"/>
  <c r="AK188" i="11"/>
  <c r="AK173" i="11"/>
  <c r="AP135" i="10"/>
  <c r="AS142" i="10" s="1"/>
  <c r="E103" i="14"/>
  <c r="AK211" i="10"/>
  <c r="AK215" i="10"/>
  <c r="AK219" i="10"/>
  <c r="AK223" i="10"/>
  <c r="AK227" i="10"/>
  <c r="AK231" i="10"/>
  <c r="AK235" i="10"/>
  <c r="AK239" i="10"/>
  <c r="AK243" i="10"/>
  <c r="AK247" i="10"/>
  <c r="AK251" i="10"/>
  <c r="AK255" i="10"/>
  <c r="AK259" i="10"/>
  <c r="AK263" i="10"/>
  <c r="AK267" i="10"/>
  <c r="AK271" i="10"/>
  <c r="AK275" i="10"/>
  <c r="AK279" i="10"/>
  <c r="AK283" i="10"/>
  <c r="AK287" i="10"/>
  <c r="AK291" i="10"/>
  <c r="AK295" i="10"/>
  <c r="AK299" i="10"/>
  <c r="AK303" i="10"/>
  <c r="AK307" i="10"/>
  <c r="AK311" i="10"/>
  <c r="AK165" i="10"/>
  <c r="AK317" i="10"/>
  <c r="AK206" i="10"/>
  <c r="AK190" i="10"/>
  <c r="AK174" i="10"/>
  <c r="AK157" i="10"/>
  <c r="AK197" i="10"/>
  <c r="AK180" i="10"/>
  <c r="AK159" i="10"/>
  <c r="AK195" i="10"/>
  <c r="AK179" i="10"/>
  <c r="AK162" i="10"/>
  <c r="AK146" i="10"/>
  <c r="AK189" i="10"/>
  <c r="AK164" i="10"/>
  <c r="AK144" i="10"/>
  <c r="AK192" i="10"/>
  <c r="AK147" i="10"/>
  <c r="AK208" i="10"/>
  <c r="AK220" i="10"/>
  <c r="AK232" i="10"/>
  <c r="AK244" i="10"/>
  <c r="AK256" i="10"/>
  <c r="AK268" i="10"/>
  <c r="AK280" i="10"/>
  <c r="AK292" i="10"/>
  <c r="AK304" i="10"/>
  <c r="AK314" i="10"/>
  <c r="AK186" i="10"/>
  <c r="AK173" i="10"/>
  <c r="AK191" i="10"/>
  <c r="AK205" i="10"/>
  <c r="AK204" i="10"/>
  <c r="AK210" i="10"/>
  <c r="AK214" i="10"/>
  <c r="AK218" i="10"/>
  <c r="AK222" i="10"/>
  <c r="AK226" i="10"/>
  <c r="AK230" i="10"/>
  <c r="AK234" i="10"/>
  <c r="AK238" i="10"/>
  <c r="AK242" i="10"/>
  <c r="AK246" i="10"/>
  <c r="AK250" i="10"/>
  <c r="AK254" i="10"/>
  <c r="AK258" i="10"/>
  <c r="AK262" i="10"/>
  <c r="AK266" i="10"/>
  <c r="AK270" i="10"/>
  <c r="AK274" i="10"/>
  <c r="AK278" i="10"/>
  <c r="AK282" i="10"/>
  <c r="AK286" i="10"/>
  <c r="AK290" i="10"/>
  <c r="AK294" i="10"/>
  <c r="AK298" i="10"/>
  <c r="AK302" i="10"/>
  <c r="AK306" i="10"/>
  <c r="AK310" i="10"/>
  <c r="AK185" i="10"/>
  <c r="AK316" i="10"/>
  <c r="AK143" i="10"/>
  <c r="AK194" i="10"/>
  <c r="AK178" i="10"/>
  <c r="AK161" i="10"/>
  <c r="AK145" i="10"/>
  <c r="AK184" i="10"/>
  <c r="AK168" i="10"/>
  <c r="AK199" i="10"/>
  <c r="AK183" i="10"/>
  <c r="AK167" i="10"/>
  <c r="AK150" i="10"/>
  <c r="AK193" i="10"/>
  <c r="AK169" i="10"/>
  <c r="AK152" i="10"/>
  <c r="AK196" i="10"/>
  <c r="AK151" i="10"/>
  <c r="AK216" i="10"/>
  <c r="AK228" i="10"/>
  <c r="AK240" i="10"/>
  <c r="AK252" i="10"/>
  <c r="AK264" i="10"/>
  <c r="AK276" i="10"/>
  <c r="AK288" i="10"/>
  <c r="AK300" i="10"/>
  <c r="AK312" i="10"/>
  <c r="AK202" i="10"/>
  <c r="AK153" i="10"/>
  <c r="AK155" i="10"/>
  <c r="AK158" i="10"/>
  <c r="AK160" i="10"/>
  <c r="AK209" i="10"/>
  <c r="AK213" i="10"/>
  <c r="AK217" i="10"/>
  <c r="AK221" i="10"/>
  <c r="AK225" i="10"/>
  <c r="AK229" i="10"/>
  <c r="AK233" i="10"/>
  <c r="AK237" i="10"/>
  <c r="AK241" i="10"/>
  <c r="AK245" i="10"/>
  <c r="AK249" i="10"/>
  <c r="AK253" i="10"/>
  <c r="AK257" i="10"/>
  <c r="AK261" i="10"/>
  <c r="AK265" i="10"/>
  <c r="AK269" i="10"/>
  <c r="AK273" i="10"/>
  <c r="AK277" i="10"/>
  <c r="AK281" i="10"/>
  <c r="AK285" i="10"/>
  <c r="AK289" i="10"/>
  <c r="AK293" i="10"/>
  <c r="AK297" i="10"/>
  <c r="AK301" i="10"/>
  <c r="AK305" i="10"/>
  <c r="AK309" i="10"/>
  <c r="AK313" i="10"/>
  <c r="AK315" i="10"/>
  <c r="AK207" i="10"/>
  <c r="AK198" i="10"/>
  <c r="AK182" i="10"/>
  <c r="AK166" i="10"/>
  <c r="AK149" i="10"/>
  <c r="AK148" i="10"/>
  <c r="AK172" i="10"/>
  <c r="AK203" i="10"/>
  <c r="AK187" i="10"/>
  <c r="AK171" i="10"/>
  <c r="AK154" i="10"/>
  <c r="AK201" i="10"/>
  <c r="AK177" i="10"/>
  <c r="AK156" i="10"/>
  <c r="AK200" i="10"/>
  <c r="AK163" i="10"/>
  <c r="AK212" i="10"/>
  <c r="AK224" i="10"/>
  <c r="AK236" i="10"/>
  <c r="AK248" i="10"/>
  <c r="AK260" i="10"/>
  <c r="AK272" i="10"/>
  <c r="AK284" i="10"/>
  <c r="AK296" i="10"/>
  <c r="AK308" i="10"/>
  <c r="AK318" i="10"/>
  <c r="AK170" i="10"/>
  <c r="AK176" i="10"/>
  <c r="AK175" i="10"/>
  <c r="AK181" i="10"/>
  <c r="AK188" i="10"/>
  <c r="BA142" i="13"/>
  <c r="BA143" i="13" s="1"/>
  <c r="BB143" i="13"/>
  <c r="AG211" i="10"/>
  <c r="AG215" i="10"/>
  <c r="AG219" i="10"/>
  <c r="AG223" i="10"/>
  <c r="AG227" i="10"/>
  <c r="AG231" i="10"/>
  <c r="AG235" i="10"/>
  <c r="AG239" i="10"/>
  <c r="AG243" i="10"/>
  <c r="AG247" i="10"/>
  <c r="AG251" i="10"/>
  <c r="AG255" i="10"/>
  <c r="AG259" i="10"/>
  <c r="AG263" i="10"/>
  <c r="AG267" i="10"/>
  <c r="AG271" i="10"/>
  <c r="AG275" i="10"/>
  <c r="AG279" i="10"/>
  <c r="AG283" i="10"/>
  <c r="AG287" i="10"/>
  <c r="AG291" i="10"/>
  <c r="AG295" i="10"/>
  <c r="AG299" i="10"/>
  <c r="AG303" i="10"/>
  <c r="AG307" i="10"/>
  <c r="AG311" i="10"/>
  <c r="AG315" i="10"/>
  <c r="AG165" i="10"/>
  <c r="AG192" i="10"/>
  <c r="AG176" i="10"/>
  <c r="AG159" i="10"/>
  <c r="AG143" i="10"/>
  <c r="AG182" i="10"/>
  <c r="AG157" i="10"/>
  <c r="AG197" i="10"/>
  <c r="AG177" i="10"/>
  <c r="AG160" i="10"/>
  <c r="AG144" i="10"/>
  <c r="AG195" i="10"/>
  <c r="AG171" i="10"/>
  <c r="AG154" i="10"/>
  <c r="AG202" i="10"/>
  <c r="AG186" i="10"/>
  <c r="AG149" i="10"/>
  <c r="AG216" i="10"/>
  <c r="AG228" i="10"/>
  <c r="AG240" i="10"/>
  <c r="AG252" i="10"/>
  <c r="AG264" i="10"/>
  <c r="AG276" i="10"/>
  <c r="AG288" i="10"/>
  <c r="AG300" i="10"/>
  <c r="AG312" i="10"/>
  <c r="AG188" i="10"/>
  <c r="AG191" i="10"/>
  <c r="AG193" i="10"/>
  <c r="AG207" i="10"/>
  <c r="AG146" i="10"/>
  <c r="AG210" i="10"/>
  <c r="AG214" i="10"/>
  <c r="AG218" i="10"/>
  <c r="AG222" i="10"/>
  <c r="AG226" i="10"/>
  <c r="AG230" i="10"/>
  <c r="AG234" i="10"/>
  <c r="AG238" i="10"/>
  <c r="AG242" i="10"/>
  <c r="AG246" i="10"/>
  <c r="AG250" i="10"/>
  <c r="AG254" i="10"/>
  <c r="AG258" i="10"/>
  <c r="AG262" i="10"/>
  <c r="AG266" i="10"/>
  <c r="AG270" i="10"/>
  <c r="AG274" i="10"/>
  <c r="AG278" i="10"/>
  <c r="AG282" i="10"/>
  <c r="AG286" i="10"/>
  <c r="AG290" i="10"/>
  <c r="AG294" i="10"/>
  <c r="AG298" i="10"/>
  <c r="AG302" i="10"/>
  <c r="AG306" i="10"/>
  <c r="AG310" i="10"/>
  <c r="AG314" i="10"/>
  <c r="AG318" i="10"/>
  <c r="AG196" i="10"/>
  <c r="AG180" i="10"/>
  <c r="AG163" i="10"/>
  <c r="AG147" i="10"/>
  <c r="AG150" i="10"/>
  <c r="AG161" i="10"/>
  <c r="AG201" i="10"/>
  <c r="AG181" i="10"/>
  <c r="AG164" i="10"/>
  <c r="AG148" i="10"/>
  <c r="AG199" i="10"/>
  <c r="AG175" i="10"/>
  <c r="AG158" i="10"/>
  <c r="AG206" i="10"/>
  <c r="AG190" i="10"/>
  <c r="AG153" i="10"/>
  <c r="AG212" i="10"/>
  <c r="AG224" i="10"/>
  <c r="AG236" i="10"/>
  <c r="AG248" i="10"/>
  <c r="AG260" i="10"/>
  <c r="AG272" i="10"/>
  <c r="AG284" i="10"/>
  <c r="AG296" i="10"/>
  <c r="AG308" i="10"/>
  <c r="AG204" i="10"/>
  <c r="AG155" i="10"/>
  <c r="AG145" i="10"/>
  <c r="AG156" i="10"/>
  <c r="AG167" i="10"/>
  <c r="AG178" i="10"/>
  <c r="AG209" i="10"/>
  <c r="AG213" i="10"/>
  <c r="AG217" i="10"/>
  <c r="AG221" i="10"/>
  <c r="AG225" i="10"/>
  <c r="AG229" i="10"/>
  <c r="AG233" i="10"/>
  <c r="AG237" i="10"/>
  <c r="AG241" i="10"/>
  <c r="AG245" i="10"/>
  <c r="AG249" i="10"/>
  <c r="AG253" i="10"/>
  <c r="AG257" i="10"/>
  <c r="AG261" i="10"/>
  <c r="AG265" i="10"/>
  <c r="AG269" i="10"/>
  <c r="AG273" i="10"/>
  <c r="AG277" i="10"/>
  <c r="AG281" i="10"/>
  <c r="AG285" i="10"/>
  <c r="AG289" i="10"/>
  <c r="AG293" i="10"/>
  <c r="AG297" i="10"/>
  <c r="AG301" i="10"/>
  <c r="AG305" i="10"/>
  <c r="AG309" i="10"/>
  <c r="AG313" i="10"/>
  <c r="AG317" i="10"/>
  <c r="AG200" i="10"/>
  <c r="AG184" i="10"/>
  <c r="AG168" i="10"/>
  <c r="AG151" i="10"/>
  <c r="AG187" i="10"/>
  <c r="AG170" i="10"/>
  <c r="AG205" i="10"/>
  <c r="AG189" i="10"/>
  <c r="AG169" i="10"/>
  <c r="AG152" i="10"/>
  <c r="AG203" i="10"/>
  <c r="AG179" i="10"/>
  <c r="AG162" i="10"/>
  <c r="AG185" i="10"/>
  <c r="AG194" i="10"/>
  <c r="AG166" i="10"/>
  <c r="AG208" i="10"/>
  <c r="AG220" i="10"/>
  <c r="AG232" i="10"/>
  <c r="AG244" i="10"/>
  <c r="AG256" i="10"/>
  <c r="AG268" i="10"/>
  <c r="AG280" i="10"/>
  <c r="AG292" i="10"/>
  <c r="AG304" i="10"/>
  <c r="AG316" i="10"/>
  <c r="AG172" i="10"/>
  <c r="AG174" i="10"/>
  <c r="AG173" i="10"/>
  <c r="AG183" i="10"/>
  <c r="AG198" i="10"/>
  <c r="B14" i="11"/>
  <c r="B138" i="11" s="1"/>
  <c r="B134" i="11"/>
  <c r="Z142" i="12"/>
  <c r="X142" i="12"/>
  <c r="Y143" i="12"/>
  <c r="K19" i="7"/>
  <c r="BQ180" i="10"/>
  <c r="BQ226" i="10"/>
  <c r="BQ228" i="10"/>
  <c r="BQ183" i="10"/>
  <c r="BQ177" i="10"/>
  <c r="BQ169" i="10"/>
  <c r="BQ315" i="10"/>
  <c r="BQ307" i="10"/>
  <c r="BQ299" i="10"/>
  <c r="BQ291" i="10"/>
  <c r="BQ283" i="10"/>
  <c r="BQ275" i="10"/>
  <c r="BQ267" i="10"/>
  <c r="BQ259" i="10"/>
  <c r="BQ251" i="10"/>
  <c r="BQ243" i="10"/>
  <c r="BQ235" i="10"/>
  <c r="BQ190" i="10"/>
  <c r="BQ154" i="10"/>
  <c r="BQ219" i="10"/>
  <c r="BQ181" i="10"/>
  <c r="BQ159" i="10"/>
  <c r="AW205" i="9"/>
  <c r="AW227" i="9"/>
  <c r="AW204" i="9"/>
  <c r="AW286" i="9"/>
  <c r="AW225" i="9"/>
  <c r="AW161" i="9"/>
  <c r="AW281" i="9"/>
  <c r="AW231" i="9"/>
  <c r="AW167" i="9"/>
  <c r="AW246" i="9"/>
  <c r="AW214" i="9"/>
  <c r="AW182" i="9"/>
  <c r="AW150" i="9"/>
  <c r="AW173" i="9"/>
  <c r="AW195" i="9"/>
  <c r="AW188" i="9"/>
  <c r="AW302" i="9"/>
  <c r="AW304" i="9"/>
  <c r="AW272" i="9"/>
  <c r="AW213" i="9"/>
  <c r="AW149" i="9"/>
  <c r="AW291" i="9"/>
  <c r="AW251" i="9"/>
  <c r="AW187" i="9"/>
  <c r="AW256" i="9"/>
  <c r="AW224" i="9"/>
  <c r="AW192" i="9"/>
  <c r="AW160" i="9"/>
  <c r="AW292" i="9"/>
  <c r="AW157" i="9"/>
  <c r="AW211" i="9"/>
  <c r="AW220" i="9"/>
  <c r="AW294" i="9"/>
  <c r="AW306" i="9"/>
  <c r="AW274" i="9"/>
  <c r="AW217" i="9"/>
  <c r="AW153" i="9"/>
  <c r="AW293" i="9"/>
  <c r="AW255" i="9"/>
  <c r="AW191" i="9"/>
  <c r="AW258" i="9"/>
  <c r="AW226" i="9"/>
  <c r="AW194" i="9"/>
  <c r="AW162" i="9"/>
  <c r="AW273" i="9"/>
  <c r="AW238" i="9"/>
  <c r="AW311" i="9"/>
  <c r="AW164" i="9"/>
  <c r="AW278" i="9"/>
  <c r="AW261" i="9"/>
  <c r="AW197" i="9"/>
  <c r="AW283" i="9"/>
  <c r="AW248" i="9"/>
  <c r="AW216" i="9"/>
  <c r="AW268" i="9"/>
  <c r="AW163" i="9"/>
  <c r="AW196" i="9"/>
  <c r="AW305" i="9"/>
  <c r="AW298" i="9"/>
  <c r="AW201" i="9"/>
  <c r="AW285" i="9"/>
  <c r="AW250" i="9"/>
  <c r="AW154" i="9"/>
  <c r="AW253" i="9"/>
  <c r="AW271" i="9"/>
  <c r="AW228" i="9"/>
  <c r="AW318" i="9"/>
  <c r="AW241" i="9"/>
  <c r="AW177" i="9"/>
  <c r="AW289" i="9"/>
  <c r="AW247" i="9"/>
  <c r="AW183" i="9"/>
  <c r="AW254" i="9"/>
  <c r="AW222" i="9"/>
  <c r="AW190" i="9"/>
  <c r="AW158" i="9"/>
  <c r="AW221" i="9"/>
  <c r="AW243" i="9"/>
  <c r="AW212" i="9"/>
  <c r="AW312" i="9"/>
  <c r="AW280" i="9"/>
  <c r="AW229" i="9"/>
  <c r="AW165" i="9"/>
  <c r="AW299" i="9"/>
  <c r="AW267" i="9"/>
  <c r="AW203" i="9"/>
  <c r="AW264" i="9"/>
  <c r="AW232" i="9"/>
  <c r="AW200" i="9"/>
  <c r="AW168" i="9"/>
  <c r="AW316" i="9"/>
  <c r="AW189" i="9"/>
  <c r="AW259" i="9"/>
  <c r="AW244" i="9"/>
  <c r="AW156" i="9"/>
  <c r="AW310" i="9"/>
  <c r="AW314" i="9"/>
  <c r="AW282" i="9"/>
  <c r="AW233" i="9"/>
  <c r="AW169" i="9"/>
  <c r="AW301" i="9"/>
  <c r="AW269" i="9"/>
  <c r="AW207" i="9"/>
  <c r="AW266" i="9"/>
  <c r="AW234" i="9"/>
  <c r="AW202" i="9"/>
  <c r="AW170" i="9"/>
  <c r="AW308" i="9"/>
  <c r="AW179" i="9"/>
  <c r="AW209" i="9"/>
  <c r="AW215" i="9"/>
  <c r="AW174" i="9"/>
  <c r="AW300" i="9"/>
  <c r="AW147" i="9"/>
  <c r="AW235" i="9"/>
  <c r="AW152" i="9"/>
  <c r="AW239" i="9"/>
  <c r="AW218" i="9"/>
  <c r="AW284" i="9"/>
  <c r="AW295" i="9"/>
  <c r="AW252" i="9"/>
  <c r="AW148" i="9"/>
  <c r="AW257" i="9"/>
  <c r="AW193" i="9"/>
  <c r="AW297" i="9"/>
  <c r="AW263" i="9"/>
  <c r="AW199" i="9"/>
  <c r="AW262" i="9"/>
  <c r="AW230" i="9"/>
  <c r="AW198" i="9"/>
  <c r="AW166" i="9"/>
  <c r="AW276" i="9"/>
  <c r="AW279" i="9"/>
  <c r="AW236" i="9"/>
  <c r="AW313" i="9"/>
  <c r="AW288" i="9"/>
  <c r="AW245" i="9"/>
  <c r="AW181" i="9"/>
  <c r="AW307" i="9"/>
  <c r="AW275" i="9"/>
  <c r="AW219" i="9"/>
  <c r="AW155" i="9"/>
  <c r="AW240" i="9"/>
  <c r="AW208" i="9"/>
  <c r="AW176" i="9"/>
  <c r="AW144" i="9"/>
  <c r="AW237" i="9"/>
  <c r="AW287" i="9"/>
  <c r="AW260" i="9"/>
  <c r="AW172" i="9"/>
  <c r="AP139" i="9"/>
  <c r="AW290" i="9"/>
  <c r="AW249" i="9"/>
  <c r="AW185" i="9"/>
  <c r="AW309" i="9"/>
  <c r="AW277" i="9"/>
  <c r="AW223" i="9"/>
  <c r="AW159" i="9"/>
  <c r="AW242" i="9"/>
  <c r="AW210" i="9"/>
  <c r="AW178" i="9"/>
  <c r="AW146" i="9"/>
  <c r="AW143" i="9"/>
  <c r="AW180" i="9"/>
  <c r="AW270" i="9"/>
  <c r="AW145" i="9"/>
  <c r="AW151" i="9"/>
  <c r="AW206" i="9"/>
  <c r="AW296" i="9"/>
  <c r="AW315" i="9"/>
  <c r="AW171" i="9"/>
  <c r="AW184" i="9"/>
  <c r="AW303" i="9"/>
  <c r="AW265" i="9"/>
  <c r="AW317" i="9"/>
  <c r="AW175" i="9"/>
  <c r="AW186" i="9"/>
  <c r="BA142" i="12"/>
  <c r="BA143" i="12" s="1"/>
  <c r="BB143" i="12"/>
  <c r="AP135" i="11"/>
  <c r="AS142" i="11" s="1"/>
  <c r="F103" i="14"/>
  <c r="B14" i="12"/>
  <c r="B138" i="12" s="1"/>
  <c r="B134" i="12"/>
  <c r="G13" i="14"/>
  <c r="B11" i="9"/>
  <c r="B135" i="9" s="1"/>
  <c r="E142" i="9" s="1"/>
  <c r="B11" i="11"/>
  <c r="B135" i="11" s="1"/>
  <c r="E142" i="11" s="1"/>
  <c r="B11" i="10"/>
  <c r="B135" i="10" s="1"/>
  <c r="E142" i="10" s="1"/>
  <c r="B11" i="13"/>
  <c r="B135" i="13" s="1"/>
  <c r="E142" i="13" s="1"/>
  <c r="B11" i="12"/>
  <c r="B135" i="12" s="1"/>
  <c r="E142" i="12" s="1"/>
  <c r="N189" i="10"/>
  <c r="N193" i="10"/>
  <c r="N197" i="10"/>
  <c r="N201" i="10"/>
  <c r="N205" i="10"/>
  <c r="N209" i="10"/>
  <c r="N213" i="10"/>
  <c r="N217" i="10"/>
  <c r="N221" i="10"/>
  <c r="N225" i="10"/>
  <c r="N229" i="10"/>
  <c r="N233" i="10"/>
  <c r="N237" i="10"/>
  <c r="N241" i="10"/>
  <c r="N245" i="10"/>
  <c r="N249" i="10"/>
  <c r="N256" i="10"/>
  <c r="N272" i="10"/>
  <c r="N288" i="10"/>
  <c r="N300" i="10"/>
  <c r="N317" i="10"/>
  <c r="N259" i="10"/>
  <c r="N267" i="10"/>
  <c r="N275" i="10"/>
  <c r="N283" i="10"/>
  <c r="N291" i="10"/>
  <c r="N299" i="10"/>
  <c r="N307" i="10"/>
  <c r="N262" i="10"/>
  <c r="N278" i="10"/>
  <c r="N298" i="10"/>
  <c r="N308" i="10"/>
  <c r="N316" i="10"/>
  <c r="N159" i="10"/>
  <c r="N157" i="10"/>
  <c r="N164" i="10"/>
  <c r="N156" i="10"/>
  <c r="N148" i="10"/>
  <c r="N188" i="10"/>
  <c r="N192" i="10"/>
  <c r="N196" i="10"/>
  <c r="N200" i="10"/>
  <c r="N204" i="10"/>
  <c r="N208" i="10"/>
  <c r="N212" i="10"/>
  <c r="N216" i="10"/>
  <c r="N220" i="10"/>
  <c r="N224" i="10"/>
  <c r="N228" i="10"/>
  <c r="N232" i="10"/>
  <c r="N236" i="10"/>
  <c r="N240" i="10"/>
  <c r="N244" i="10"/>
  <c r="N248" i="10"/>
  <c r="N252" i="10"/>
  <c r="N268" i="10"/>
  <c r="N284" i="10"/>
  <c r="N296" i="10"/>
  <c r="N314" i="10"/>
  <c r="N257" i="10"/>
  <c r="N265" i="10"/>
  <c r="N273" i="10"/>
  <c r="N281" i="10"/>
  <c r="N289" i="10"/>
  <c r="N297" i="10"/>
  <c r="N305" i="10"/>
  <c r="N258" i="10"/>
  <c r="N274" i="10"/>
  <c r="N294" i="10"/>
  <c r="N306" i="10"/>
  <c r="N315" i="10"/>
  <c r="N147" i="10"/>
  <c r="N145" i="10"/>
  <c r="N158" i="10"/>
  <c r="N150" i="10"/>
  <c r="M142" i="10"/>
  <c r="N191" i="10"/>
  <c r="N195" i="10"/>
  <c r="N199" i="10"/>
  <c r="N203" i="10"/>
  <c r="N207" i="10"/>
  <c r="N211" i="10"/>
  <c r="N215" i="10"/>
  <c r="N219" i="10"/>
  <c r="N223" i="10"/>
  <c r="N227" i="10"/>
  <c r="N231" i="10"/>
  <c r="N235" i="10"/>
  <c r="N239" i="10"/>
  <c r="N243" i="10"/>
  <c r="N247" i="10"/>
  <c r="N251" i="10"/>
  <c r="N264" i="10"/>
  <c r="N280" i="10"/>
  <c r="N292" i="10"/>
  <c r="N313" i="10"/>
  <c r="N255" i="10"/>
  <c r="N263" i="10"/>
  <c r="N271" i="10"/>
  <c r="N279" i="10"/>
  <c r="N287" i="10"/>
  <c r="N295" i="10"/>
  <c r="N303" i="10"/>
  <c r="N254" i="10"/>
  <c r="N270" i="10"/>
  <c r="N286" i="10"/>
  <c r="N304" i="10"/>
  <c r="N311" i="10"/>
  <c r="N155" i="10"/>
  <c r="N163" i="10"/>
  <c r="N153" i="10"/>
  <c r="N160" i="10"/>
  <c r="N152" i="10"/>
  <c r="N144" i="10"/>
  <c r="N198" i="10"/>
  <c r="N214" i="10"/>
  <c r="N230" i="10"/>
  <c r="N246" i="10"/>
  <c r="N290" i="10"/>
  <c r="N269" i="10"/>
  <c r="N301" i="10"/>
  <c r="N302" i="10"/>
  <c r="N149" i="10"/>
  <c r="N162" i="10"/>
  <c r="N186" i="10"/>
  <c r="N183" i="10"/>
  <c r="N178" i="10"/>
  <c r="N175" i="10"/>
  <c r="N170" i="10"/>
  <c r="N167" i="10"/>
  <c r="N165" i="10"/>
  <c r="N202" i="10"/>
  <c r="N234" i="10"/>
  <c r="N250" i="10"/>
  <c r="N309" i="10"/>
  <c r="N310" i="10"/>
  <c r="N177" i="10"/>
  <c r="N169" i="10"/>
  <c r="N194" i="10"/>
  <c r="N210" i="10"/>
  <c r="N226" i="10"/>
  <c r="N242" i="10"/>
  <c r="N276" i="10"/>
  <c r="N261" i="10"/>
  <c r="N293" i="10"/>
  <c r="N282" i="10"/>
  <c r="N161" i="10"/>
  <c r="N184" i="10"/>
  <c r="N181" i="10"/>
  <c r="N176" i="10"/>
  <c r="N173" i="10"/>
  <c r="N168" i="10"/>
  <c r="N218" i="10"/>
  <c r="N312" i="10"/>
  <c r="N151" i="10"/>
  <c r="N154" i="10"/>
  <c r="N185" i="10"/>
  <c r="N180" i="10"/>
  <c r="N190" i="10"/>
  <c r="N206" i="10"/>
  <c r="N222" i="10"/>
  <c r="N238" i="10"/>
  <c r="N260" i="10"/>
  <c r="N253" i="10"/>
  <c r="N285" i="10"/>
  <c r="N266" i="10"/>
  <c r="N318" i="10"/>
  <c r="N146" i="10"/>
  <c r="N187" i="10"/>
  <c r="N182" i="10"/>
  <c r="N179" i="10"/>
  <c r="N174" i="10"/>
  <c r="N171" i="10"/>
  <c r="N166" i="10"/>
  <c r="N277" i="10"/>
  <c r="N172" i="10"/>
  <c r="N143" i="10"/>
  <c r="B46" i="13"/>
  <c r="V138" i="13" s="1"/>
  <c r="V134" i="13"/>
  <c r="AG256" i="11"/>
  <c r="AG176" i="11"/>
  <c r="AG157" i="11"/>
  <c r="AG149" i="11"/>
  <c r="AG297" i="11"/>
  <c r="AG236" i="11"/>
  <c r="AG204" i="11"/>
  <c r="AG288" i="11"/>
  <c r="AG232" i="11"/>
  <c r="AG216" i="11"/>
  <c r="AG201" i="11"/>
  <c r="AG267" i="11"/>
  <c r="AG251" i="11"/>
  <c r="AG233" i="11"/>
  <c r="AG217" i="11"/>
  <c r="AG200" i="11"/>
  <c r="AG184" i="11"/>
  <c r="AG175" i="11"/>
  <c r="AG167" i="11"/>
  <c r="AG156" i="11"/>
  <c r="AG148" i="11"/>
  <c r="AG280" i="11"/>
  <c r="AG294" i="11"/>
  <c r="AG180" i="11"/>
  <c r="AG313" i="11"/>
  <c r="AG212" i="11"/>
  <c r="AG181" i="11"/>
  <c r="AG188" i="11"/>
  <c r="AG169" i="11"/>
  <c r="AG158" i="11"/>
  <c r="AG146" i="11"/>
  <c r="AG291" i="11"/>
  <c r="AG230" i="11"/>
  <c r="AG214" i="11"/>
  <c r="AG315" i="11"/>
  <c r="AG299" i="11"/>
  <c r="AG250" i="11"/>
  <c r="AG198" i="11"/>
  <c r="AG182" i="11"/>
  <c r="AG174" i="11"/>
  <c r="AG304" i="11"/>
  <c r="AG218" i="11"/>
  <c r="AG161" i="11"/>
  <c r="AG277" i="11"/>
  <c r="AG245" i="11"/>
  <c r="AG211" i="11"/>
  <c r="AG186" i="11"/>
  <c r="AG164" i="11"/>
  <c r="AG282" i="11"/>
  <c r="AG271" i="11"/>
  <c r="AG238" i="11"/>
  <c r="AG303" i="11"/>
  <c r="AG270" i="11"/>
  <c r="AG254" i="11"/>
  <c r="AG239" i="11"/>
  <c r="AG144" i="11"/>
  <c r="AG171" i="11"/>
  <c r="AG163" i="11"/>
  <c r="AG296" i="11"/>
  <c r="AG226" i="11"/>
  <c r="AG195" i="11"/>
  <c r="AG269" i="11"/>
  <c r="AG235" i="11"/>
  <c r="AG203" i="11"/>
  <c r="AG258" i="11"/>
  <c r="AG197" i="11"/>
  <c r="AG311" i="11"/>
  <c r="AG279" i="11"/>
  <c r="AG221" i="11"/>
  <c r="AG160" i="11"/>
  <c r="AG173" i="11"/>
  <c r="AG165" i="11"/>
  <c r="AG306" i="11"/>
  <c r="AG276" i="11"/>
  <c r="AG260" i="11"/>
  <c r="AG244" i="11"/>
  <c r="AG199" i="11"/>
  <c r="AG183" i="11"/>
  <c r="AG281" i="11"/>
  <c r="AG265" i="11"/>
  <c r="AG231" i="11"/>
  <c r="AG215" i="11"/>
  <c r="AG166" i="11"/>
  <c r="AG155" i="11"/>
  <c r="AG147" i="11"/>
  <c r="AG272" i="11"/>
  <c r="AG240" i="11"/>
  <c r="AG301" i="11"/>
  <c r="AG172" i="11"/>
  <c r="AG153" i="11"/>
  <c r="AG305" i="11"/>
  <c r="AG249" i="11"/>
  <c r="AG220" i="11"/>
  <c r="AG189" i="11"/>
  <c r="AG302" i="11"/>
  <c r="AG150" i="11"/>
  <c r="AG285" i="11"/>
  <c r="AG224" i="11"/>
  <c r="AG208" i="11"/>
  <c r="AG193" i="11"/>
  <c r="AG309" i="11"/>
  <c r="AG293" i="11"/>
  <c r="AG275" i="11"/>
  <c r="AG259" i="11"/>
  <c r="AG243" i="11"/>
  <c r="AG225" i="11"/>
  <c r="AG209" i="11"/>
  <c r="AG192" i="11"/>
  <c r="AG179" i="11"/>
  <c r="AG152" i="11"/>
  <c r="AG159" i="11"/>
  <c r="AG264" i="11"/>
  <c r="AG310" i="11"/>
  <c r="AG145" i="11"/>
  <c r="AG289" i="11"/>
  <c r="AG228" i="11"/>
  <c r="AG227" i="11"/>
  <c r="AG187" i="11"/>
  <c r="AG253" i="11"/>
  <c r="AG295" i="11"/>
  <c r="AG263" i="11"/>
  <c r="AG229" i="11"/>
  <c r="AG196" i="11"/>
  <c r="AG177" i="11"/>
  <c r="AG287" i="11"/>
  <c r="AG234" i="11"/>
  <c r="AG317" i="11"/>
  <c r="AG261" i="11"/>
  <c r="AG194" i="11"/>
  <c r="AG168" i="11"/>
  <c r="AG266" i="11"/>
  <c r="AG205" i="11"/>
  <c r="AG292" i="11"/>
  <c r="AG262" i="11"/>
  <c r="AG316" i="11"/>
  <c r="AG283" i="11"/>
  <c r="AG210" i="11"/>
  <c r="AG219" i="11"/>
  <c r="AG242" i="11"/>
  <c r="AG237" i="11"/>
  <c r="AG222" i="11"/>
  <c r="AG206" i="11"/>
  <c r="AG143" i="11"/>
  <c r="AG308" i="11"/>
  <c r="AG290" i="11"/>
  <c r="AG190" i="11"/>
  <c r="AG178" i="11"/>
  <c r="AG151" i="11"/>
  <c r="AG202" i="11"/>
  <c r="AG286" i="11"/>
  <c r="AG318" i="11"/>
  <c r="AG278" i="11"/>
  <c r="AG246" i="11"/>
  <c r="AG185" i="11"/>
  <c r="AG300" i="11"/>
  <c r="AG248" i="11"/>
  <c r="AG213" i="11"/>
  <c r="AG314" i="11"/>
  <c r="AG298" i="11"/>
  <c r="AG284" i="11"/>
  <c r="AG268" i="11"/>
  <c r="AG252" i="11"/>
  <c r="AG191" i="11"/>
  <c r="AG273" i="11"/>
  <c r="AG257" i="11"/>
  <c r="AG241" i="11"/>
  <c r="AG223" i="11"/>
  <c r="AG207" i="11"/>
  <c r="AG170" i="11"/>
  <c r="AG162" i="11"/>
  <c r="AG255" i="11"/>
  <c r="AG307" i="11"/>
  <c r="AG312" i="11"/>
  <c r="AG247" i="11"/>
  <c r="AG274" i="11"/>
  <c r="AG154" i="11"/>
  <c r="AW231" i="13"/>
  <c r="AW276" i="13"/>
  <c r="AW148" i="13"/>
  <c r="AW257" i="13"/>
  <c r="AW193" i="13"/>
  <c r="AW287" i="13"/>
  <c r="AW151" i="13"/>
  <c r="AW200" i="13"/>
  <c r="AW286" i="13"/>
  <c r="AW222" i="13"/>
  <c r="AW158" i="13"/>
  <c r="AW207" i="13"/>
  <c r="AW252" i="13"/>
  <c r="AW309" i="13"/>
  <c r="AW245" i="13"/>
  <c r="AW181" i="13"/>
  <c r="AW259" i="13"/>
  <c r="AW300" i="13"/>
  <c r="AW176" i="13"/>
  <c r="AW274" i="13"/>
  <c r="AW210" i="13"/>
  <c r="AW146" i="13"/>
  <c r="AW247" i="13"/>
  <c r="AW292" i="13"/>
  <c r="AW164" i="13"/>
  <c r="AW265" i="13"/>
  <c r="AW201" i="13"/>
  <c r="AW303" i="13"/>
  <c r="AW167" i="13"/>
  <c r="AW216" i="13"/>
  <c r="AW294" i="13"/>
  <c r="AW230" i="13"/>
  <c r="AW166" i="13"/>
  <c r="AW255" i="13"/>
  <c r="AW304" i="13"/>
  <c r="AW172" i="13"/>
  <c r="AW269" i="13"/>
  <c r="AW205" i="13"/>
  <c r="AW311" i="13"/>
  <c r="AW175" i="13"/>
  <c r="AW224" i="13"/>
  <c r="AW298" i="13"/>
  <c r="AW234" i="13"/>
  <c r="AW170" i="13"/>
  <c r="AW244" i="13"/>
  <c r="AW305" i="13"/>
  <c r="AW251" i="13"/>
  <c r="AW296" i="13"/>
  <c r="AW206" i="13"/>
  <c r="AW299" i="13"/>
  <c r="AW179" i="13"/>
  <c r="AW293" i="13"/>
  <c r="AW165" i="13"/>
  <c r="AW272" i="13"/>
  <c r="AW144" i="13"/>
  <c r="AW194" i="13"/>
  <c r="AW260" i="13"/>
  <c r="AW249" i="13"/>
  <c r="AW271" i="13"/>
  <c r="AW184" i="13"/>
  <c r="AW150" i="13"/>
  <c r="AW263" i="13"/>
  <c r="AW312" i="13"/>
  <c r="AW180" i="13"/>
  <c r="AW273" i="13"/>
  <c r="AW209" i="13"/>
  <c r="AW145" i="13"/>
  <c r="AW187" i="13"/>
  <c r="AW232" i="13"/>
  <c r="AW302" i="13"/>
  <c r="AW238" i="13"/>
  <c r="AW174" i="13"/>
  <c r="AW239" i="13"/>
  <c r="AW284" i="13"/>
  <c r="AW156" i="13"/>
  <c r="AW261" i="13"/>
  <c r="AW197" i="13"/>
  <c r="AW291" i="13"/>
  <c r="AW159" i="13"/>
  <c r="AW208" i="13"/>
  <c r="AW290" i="13"/>
  <c r="AW226" i="13"/>
  <c r="AW162" i="13"/>
  <c r="AW275" i="13"/>
  <c r="AW155" i="13"/>
  <c r="AW196" i="13"/>
  <c r="AW281" i="13"/>
  <c r="AW217" i="13"/>
  <c r="AW153" i="13"/>
  <c r="AW203" i="13"/>
  <c r="AW248" i="13"/>
  <c r="AW310" i="13"/>
  <c r="AW246" i="13"/>
  <c r="AW182" i="13"/>
  <c r="AW283" i="13"/>
  <c r="AW163" i="13"/>
  <c r="AW204" i="13"/>
  <c r="AW285" i="13"/>
  <c r="AW221" i="13"/>
  <c r="AW157" i="13"/>
  <c r="AW211" i="13"/>
  <c r="AW256" i="13"/>
  <c r="AW314" i="13"/>
  <c r="AW250" i="13"/>
  <c r="AW186" i="13"/>
  <c r="AW177" i="13"/>
  <c r="AW270" i="13"/>
  <c r="AP139" i="13"/>
  <c r="AW220" i="13"/>
  <c r="AW227" i="13"/>
  <c r="AW215" i="13"/>
  <c r="AW185" i="13"/>
  <c r="AW278" i="13"/>
  <c r="AW295" i="13"/>
  <c r="AW171" i="13"/>
  <c r="AW212" i="13"/>
  <c r="AW289" i="13"/>
  <c r="AW225" i="13"/>
  <c r="AW161" i="13"/>
  <c r="AW219" i="13"/>
  <c r="AW264" i="13"/>
  <c r="AW318" i="13"/>
  <c r="AW254" i="13"/>
  <c r="AW190" i="13"/>
  <c r="AW267" i="13"/>
  <c r="AW147" i="13"/>
  <c r="AW188" i="13"/>
  <c r="AW277" i="13"/>
  <c r="AW213" i="13"/>
  <c r="AW149" i="13"/>
  <c r="AW195" i="13"/>
  <c r="AW240" i="13"/>
  <c r="AW306" i="13"/>
  <c r="AW242" i="13"/>
  <c r="AW178" i="13"/>
  <c r="AW307" i="13"/>
  <c r="AW183" i="13"/>
  <c r="AW228" i="13"/>
  <c r="AW297" i="13"/>
  <c r="AW233" i="13"/>
  <c r="AW169" i="13"/>
  <c r="AW235" i="13"/>
  <c r="AW280" i="13"/>
  <c r="AW152" i="13"/>
  <c r="AW262" i="13"/>
  <c r="AW198" i="13"/>
  <c r="AW315" i="13"/>
  <c r="AW191" i="13"/>
  <c r="AW236" i="13"/>
  <c r="AW301" i="13"/>
  <c r="AW237" i="13"/>
  <c r="AW173" i="13"/>
  <c r="AW243" i="13"/>
  <c r="AW288" i="13"/>
  <c r="AW160" i="13"/>
  <c r="AW266" i="13"/>
  <c r="AW202" i="13"/>
  <c r="AW199" i="13"/>
  <c r="AW241" i="13"/>
  <c r="AW168" i="13"/>
  <c r="AW229" i="13"/>
  <c r="AW258" i="13"/>
  <c r="AW313" i="13"/>
  <c r="AW308" i="13"/>
  <c r="AW214" i="13"/>
  <c r="AW253" i="13"/>
  <c r="AW192" i="13"/>
  <c r="AW317" i="13"/>
  <c r="AW316" i="13"/>
  <c r="AW154" i="13"/>
  <c r="AW189" i="13"/>
  <c r="AW268" i="13"/>
  <c r="AW279" i="13"/>
  <c r="AW218" i="13"/>
  <c r="AW223" i="13"/>
  <c r="AW282" i="13"/>
  <c r="AP135" i="13"/>
  <c r="AS142" i="13" s="1"/>
  <c r="H103" i="14"/>
  <c r="B14" i="10"/>
  <c r="B138" i="10" s="1"/>
  <c r="B134" i="10"/>
  <c r="Z142" i="11"/>
  <c r="X142" i="11"/>
  <c r="Y306" i="11"/>
  <c r="Y286" i="11"/>
  <c r="Y270" i="11"/>
  <c r="Y254" i="11"/>
  <c r="Y238" i="11"/>
  <c r="Y226" i="11"/>
  <c r="Y210" i="11"/>
  <c r="Y190" i="11"/>
  <c r="Y303" i="11"/>
  <c r="Y162" i="11"/>
  <c r="Y279" i="11"/>
  <c r="Y263" i="11"/>
  <c r="Y247" i="11"/>
  <c r="Y239" i="11"/>
  <c r="Y227" i="11"/>
  <c r="Y219" i="11"/>
  <c r="Y211" i="11"/>
  <c r="Y203" i="11"/>
  <c r="Y195" i="11"/>
  <c r="Y187" i="11"/>
  <c r="Y179" i="11"/>
  <c r="Y171" i="11"/>
  <c r="Y156" i="11"/>
  <c r="Y316" i="11"/>
  <c r="Y308" i="11"/>
  <c r="Y300" i="11"/>
  <c r="Y292" i="11"/>
  <c r="Y144" i="11"/>
  <c r="Y150" i="11"/>
  <c r="Y284" i="11"/>
  <c r="Y276" i="11"/>
  <c r="Y268" i="11"/>
  <c r="Y260" i="11"/>
  <c r="Y252" i="11"/>
  <c r="Y244" i="11"/>
  <c r="Y236" i="11"/>
  <c r="Y228" i="11"/>
  <c r="Y220" i="11"/>
  <c r="Y212" i="11"/>
  <c r="Y204" i="11"/>
  <c r="Y196" i="11"/>
  <c r="Y188" i="11"/>
  <c r="Y180" i="11"/>
  <c r="Y172" i="11"/>
  <c r="Y314" i="11"/>
  <c r="Y302" i="11"/>
  <c r="Y158" i="11"/>
  <c r="Y274" i="11"/>
  <c r="Y258" i="11"/>
  <c r="Y242" i="11"/>
  <c r="Y222" i="11"/>
  <c r="Y206" i="11"/>
  <c r="Y194" i="11"/>
  <c r="Y182" i="11"/>
  <c r="Y170" i="11"/>
  <c r="Y307" i="11"/>
  <c r="Y291" i="11"/>
  <c r="Y283" i="11"/>
  <c r="Y267" i="11"/>
  <c r="Y251" i="11"/>
  <c r="Y164" i="11"/>
  <c r="Y317" i="11"/>
  <c r="Y309" i="11"/>
  <c r="Y301" i="11"/>
  <c r="Y293" i="11"/>
  <c r="Y152" i="11"/>
  <c r="Y154" i="11"/>
  <c r="Y285" i="11"/>
  <c r="Y277" i="11"/>
  <c r="Y269" i="11"/>
  <c r="Y261" i="11"/>
  <c r="Y253" i="11"/>
  <c r="Y245" i="11"/>
  <c r="Y237" i="11"/>
  <c r="Y229" i="11"/>
  <c r="Y221" i="11"/>
  <c r="Y213" i="11"/>
  <c r="Y205" i="11"/>
  <c r="Y197" i="11"/>
  <c r="Y189" i="11"/>
  <c r="Y181" i="11"/>
  <c r="Y173" i="11"/>
  <c r="Y147" i="11"/>
  <c r="Y165" i="11"/>
  <c r="Y157" i="11"/>
  <c r="Y318" i="11"/>
  <c r="Y298" i="11"/>
  <c r="Y160" i="11"/>
  <c r="Y290" i="11"/>
  <c r="Y278" i="11"/>
  <c r="Y262" i="11"/>
  <c r="Y246" i="11"/>
  <c r="Y230" i="11"/>
  <c r="Y218" i="11"/>
  <c r="Y198" i="11"/>
  <c r="Y178" i="11"/>
  <c r="Y148" i="11"/>
  <c r="Y311" i="11"/>
  <c r="Y295" i="11"/>
  <c r="Y287" i="11"/>
  <c r="Y271" i="11"/>
  <c r="Y255" i="11"/>
  <c r="Y243" i="11"/>
  <c r="Y235" i="11"/>
  <c r="Y223" i="11"/>
  <c r="Y215" i="11"/>
  <c r="Y207" i="11"/>
  <c r="Y199" i="11"/>
  <c r="Y191" i="11"/>
  <c r="Y183" i="11"/>
  <c r="Y175" i="11"/>
  <c r="Y167" i="11"/>
  <c r="Y155" i="11"/>
  <c r="Y312" i="11"/>
  <c r="Y304" i="11"/>
  <c r="Y296" i="11"/>
  <c r="Y288" i="11"/>
  <c r="Y280" i="11"/>
  <c r="Y272" i="11"/>
  <c r="Y264" i="11"/>
  <c r="Y256" i="11"/>
  <c r="Y248" i="11"/>
  <c r="Y240" i="11"/>
  <c r="Y232" i="11"/>
  <c r="Y224" i="11"/>
  <c r="Y216" i="11"/>
  <c r="Y208" i="11"/>
  <c r="Y200" i="11"/>
  <c r="Y192" i="11"/>
  <c r="Y184" i="11"/>
  <c r="Y176" i="11"/>
  <c r="Y168" i="11"/>
  <c r="Y159" i="11"/>
  <c r="Y143" i="11"/>
  <c r="Y310" i="11"/>
  <c r="Y294" i="11"/>
  <c r="Y282" i="11"/>
  <c r="Y266" i="11"/>
  <c r="Y250" i="11"/>
  <c r="Y234" i="11"/>
  <c r="Y214" i="11"/>
  <c r="Y202" i="11"/>
  <c r="Y186" i="11"/>
  <c r="Y174" i="11"/>
  <c r="Y166" i="11"/>
  <c r="Y151" i="11"/>
  <c r="Y315" i="11"/>
  <c r="Y299" i="11"/>
  <c r="Y146" i="11"/>
  <c r="Y275" i="11"/>
  <c r="Y259" i="11"/>
  <c r="Y231" i="11"/>
  <c r="Y313" i="11"/>
  <c r="Y305" i="11"/>
  <c r="Y297" i="11"/>
  <c r="Y289" i="11"/>
  <c r="Y281" i="11"/>
  <c r="Y273" i="11"/>
  <c r="Y265" i="11"/>
  <c r="Y257" i="11"/>
  <c r="Y249" i="11"/>
  <c r="Y241" i="11"/>
  <c r="Y233" i="11"/>
  <c r="Y225" i="11"/>
  <c r="Y217" i="11"/>
  <c r="Y209" i="11"/>
  <c r="Y201" i="11"/>
  <c r="Y193" i="11"/>
  <c r="Y185" i="11"/>
  <c r="Y177" i="11"/>
  <c r="Y169" i="11"/>
  <c r="Y163" i="11"/>
  <c r="Y149" i="11"/>
  <c r="Y153" i="11"/>
  <c r="Y161" i="11"/>
  <c r="Y145" i="11"/>
  <c r="BQ188" i="10"/>
  <c r="BQ230" i="10"/>
  <c r="BQ143" i="10"/>
  <c r="BQ191" i="10"/>
  <c r="BQ179" i="10"/>
  <c r="BQ184" i="10"/>
  <c r="BQ316" i="10"/>
  <c r="BQ308" i="10"/>
  <c r="BQ300" i="10"/>
  <c r="BQ292" i="10"/>
  <c r="BQ284" i="10"/>
  <c r="BQ276" i="10"/>
  <c r="BQ268" i="10"/>
  <c r="BQ260" i="10"/>
  <c r="BQ252" i="10"/>
  <c r="BQ244" i="10"/>
  <c r="BQ236" i="10"/>
  <c r="BQ194" i="10"/>
  <c r="BQ158" i="10"/>
  <c r="BQ221" i="10"/>
  <c r="BQ185" i="10"/>
  <c r="BQ163" i="10"/>
  <c r="K22" i="37"/>
  <c r="M22" i="37"/>
  <c r="N22" i="37"/>
  <c r="L22" i="37"/>
  <c r="J22" i="37"/>
  <c r="B46" i="11"/>
  <c r="V138" i="11" s="1"/>
  <c r="V134" i="11"/>
  <c r="BA142" i="11"/>
  <c r="BB307" i="11"/>
  <c r="BB310" i="11"/>
  <c r="BB150" i="11"/>
  <c r="BB286" i="11"/>
  <c r="BB165" i="11"/>
  <c r="BB152" i="11"/>
  <c r="BB298" i="11"/>
  <c r="BB184" i="11"/>
  <c r="BB287" i="11"/>
  <c r="BB279" i="11"/>
  <c r="BB271" i="11"/>
  <c r="BB263" i="11"/>
  <c r="BB255" i="11"/>
  <c r="BB153" i="11"/>
  <c r="BB179" i="11"/>
  <c r="BB171" i="11"/>
  <c r="BB156" i="11"/>
  <c r="BB296" i="11"/>
  <c r="BB308" i="11"/>
  <c r="BB293" i="11"/>
  <c r="BB285" i="11"/>
  <c r="BB277" i="11"/>
  <c r="BB269" i="11"/>
  <c r="BB261" i="11"/>
  <c r="BB253" i="11"/>
  <c r="BB245" i="11"/>
  <c r="BB237" i="11"/>
  <c r="BB229" i="11"/>
  <c r="BB221" i="11"/>
  <c r="BB213" i="11"/>
  <c r="BB162" i="11"/>
  <c r="BB189" i="11"/>
  <c r="BB163" i="11"/>
  <c r="BB198" i="11"/>
  <c r="BB148" i="11"/>
  <c r="BB270" i="11"/>
  <c r="BB238" i="11"/>
  <c r="BB314" i="11"/>
  <c r="BB288" i="11"/>
  <c r="BB272" i="11"/>
  <c r="BB256" i="11"/>
  <c r="BB248" i="11"/>
  <c r="BB240" i="11"/>
  <c r="BB232" i="11"/>
  <c r="BB224" i="11"/>
  <c r="BB216" i="11"/>
  <c r="BB161" i="11"/>
  <c r="BB180" i="11"/>
  <c r="BB172" i="11"/>
  <c r="BB160" i="11"/>
  <c r="BB315" i="11"/>
  <c r="BB282" i="11"/>
  <c r="BB266" i="11"/>
  <c r="BB254" i="11"/>
  <c r="BB234" i="11"/>
  <c r="BB218" i="11"/>
  <c r="BB182" i="11"/>
  <c r="BB174" i="11"/>
  <c r="BB166" i="11"/>
  <c r="BB207" i="11"/>
  <c r="BB199" i="11"/>
  <c r="BB309" i="11"/>
  <c r="BB304" i="11"/>
  <c r="BB291" i="11"/>
  <c r="BB283" i="11"/>
  <c r="BB275" i="11"/>
  <c r="BB267" i="11"/>
  <c r="BB259" i="11"/>
  <c r="BB251" i="11"/>
  <c r="BB243" i="11"/>
  <c r="BB227" i="11"/>
  <c r="BB211" i="11"/>
  <c r="BB185" i="11"/>
  <c r="BB183" i="11"/>
  <c r="BB175" i="11"/>
  <c r="BB167" i="11"/>
  <c r="BB208" i="11"/>
  <c r="BB200" i="11"/>
  <c r="BB294" i="11"/>
  <c r="BB194" i="11"/>
  <c r="BB206" i="11"/>
  <c r="BB262" i="11"/>
  <c r="BB242" i="11"/>
  <c r="BB230" i="11"/>
  <c r="BB210" i="11"/>
  <c r="BB300" i="11"/>
  <c r="BB292" i="11"/>
  <c r="BB284" i="11"/>
  <c r="BB276" i="11"/>
  <c r="BB268" i="11"/>
  <c r="BB236" i="11"/>
  <c r="BB220" i="11"/>
  <c r="BB190" i="11"/>
  <c r="BB187" i="11"/>
  <c r="BB201" i="11"/>
  <c r="BB318" i="11"/>
  <c r="BB158" i="11"/>
  <c r="BB295" i="11"/>
  <c r="BB145" i="11"/>
  <c r="BB151" i="11"/>
  <c r="BB195" i="11"/>
  <c r="BB235" i="11"/>
  <c r="BB219" i="11"/>
  <c r="BB146" i="11"/>
  <c r="BB192" i="11"/>
  <c r="BB155" i="11"/>
  <c r="BB305" i="11"/>
  <c r="BB316" i="11"/>
  <c r="BB289" i="11"/>
  <c r="BB281" i="11"/>
  <c r="BB273" i="11"/>
  <c r="BB265" i="11"/>
  <c r="BB257" i="11"/>
  <c r="BB249" i="11"/>
  <c r="BB241" i="11"/>
  <c r="BB233" i="11"/>
  <c r="BB225" i="11"/>
  <c r="BB217" i="11"/>
  <c r="BB149" i="11"/>
  <c r="BB301" i="11"/>
  <c r="BB181" i="11"/>
  <c r="BB173" i="11"/>
  <c r="BB147" i="11"/>
  <c r="BB164" i="11"/>
  <c r="BB302" i="11"/>
  <c r="BB278" i="11"/>
  <c r="BB191" i="11"/>
  <c r="BB311" i="11"/>
  <c r="BB306" i="11"/>
  <c r="BB157" i="11"/>
  <c r="BB260" i="11"/>
  <c r="BB252" i="11"/>
  <c r="BB244" i="11"/>
  <c r="BB228" i="11"/>
  <c r="BB212" i="11"/>
  <c r="BB154" i="11"/>
  <c r="BB193" i="11"/>
  <c r="BB176" i="11"/>
  <c r="BB168" i="11"/>
  <c r="BB159" i="11"/>
  <c r="BB209" i="11"/>
  <c r="BB205" i="11"/>
  <c r="BB197" i="11"/>
  <c r="BB144" i="11"/>
  <c r="BB178" i="11"/>
  <c r="BB317" i="11"/>
  <c r="BB204" i="11"/>
  <c r="BB169" i="11"/>
  <c r="BB299" i="11"/>
  <c r="BB312" i="11"/>
  <c r="BB202" i="11"/>
  <c r="BB297" i="11"/>
  <c r="BB188" i="11"/>
  <c r="BB186" i="11"/>
  <c r="BB290" i="11"/>
  <c r="BB250" i="11"/>
  <c r="BB222" i="11"/>
  <c r="BB303" i="11"/>
  <c r="BB280" i="11"/>
  <c r="BB264" i="11"/>
  <c r="BB274" i="11"/>
  <c r="BB258" i="11"/>
  <c r="BB246" i="11"/>
  <c r="BB226" i="11"/>
  <c r="BB214" i="11"/>
  <c r="BB170" i="11"/>
  <c r="BB203" i="11"/>
  <c r="BB247" i="11"/>
  <c r="BB239" i="11"/>
  <c r="BB231" i="11"/>
  <c r="BB223" i="11"/>
  <c r="BB215" i="11"/>
  <c r="BB313" i="11"/>
  <c r="BB177" i="11"/>
  <c r="BB143" i="11"/>
  <c r="BB196" i="11"/>
  <c r="BE142" i="13"/>
  <c r="BE143" i="13" s="1"/>
  <c r="BD143" i="13"/>
  <c r="Z142" i="13"/>
  <c r="X142" i="13"/>
  <c r="Y143" i="13"/>
  <c r="BD169" i="10"/>
  <c r="BD177" i="10"/>
  <c r="BD165" i="10"/>
  <c r="BD147" i="10"/>
  <c r="BD151" i="10"/>
  <c r="BD155" i="10"/>
  <c r="BD159" i="10"/>
  <c r="BD163" i="10"/>
  <c r="BD188" i="10"/>
  <c r="BD192" i="10"/>
  <c r="BD196" i="10"/>
  <c r="BD200" i="10"/>
  <c r="BD204" i="10"/>
  <c r="BD208" i="10"/>
  <c r="BD212" i="10"/>
  <c r="BD216" i="10"/>
  <c r="BD220" i="10"/>
  <c r="BD224" i="10"/>
  <c r="BD228" i="10"/>
  <c r="BD232" i="10"/>
  <c r="BD236" i="10"/>
  <c r="BD240" i="10"/>
  <c r="BD244" i="10"/>
  <c r="BD248" i="10"/>
  <c r="BD252" i="10"/>
  <c r="BD256" i="10"/>
  <c r="BD260" i="10"/>
  <c r="BD264" i="10"/>
  <c r="BD268" i="10"/>
  <c r="BD272" i="10"/>
  <c r="BD276" i="10"/>
  <c r="BD280" i="10"/>
  <c r="BD284" i="10"/>
  <c r="BD288" i="10"/>
  <c r="BD292" i="10"/>
  <c r="BD296" i="10"/>
  <c r="BD300" i="10"/>
  <c r="BD304" i="10"/>
  <c r="BD308" i="10"/>
  <c r="BD312" i="10"/>
  <c r="BD316" i="10"/>
  <c r="BD168" i="10"/>
  <c r="BD176" i="10"/>
  <c r="BD184" i="10"/>
  <c r="BD143" i="10"/>
  <c r="BD167" i="10"/>
  <c r="BD175" i="10"/>
  <c r="BD183" i="10"/>
  <c r="BD146" i="10"/>
  <c r="BD150" i="10"/>
  <c r="BD154" i="10"/>
  <c r="BD158" i="10"/>
  <c r="BD162" i="10"/>
  <c r="BD187" i="10"/>
  <c r="BD191" i="10"/>
  <c r="BD195" i="10"/>
  <c r="BD199" i="10"/>
  <c r="BD203" i="10"/>
  <c r="BD207" i="10"/>
  <c r="BD211" i="10"/>
  <c r="BD215" i="10"/>
  <c r="BD219" i="10"/>
  <c r="BD223" i="10"/>
  <c r="BD227" i="10"/>
  <c r="BD231" i="10"/>
  <c r="BD235" i="10"/>
  <c r="BD239" i="10"/>
  <c r="BD243" i="10"/>
  <c r="BD247" i="10"/>
  <c r="BD251" i="10"/>
  <c r="BD255" i="10"/>
  <c r="BD259" i="10"/>
  <c r="BD263" i="10"/>
  <c r="BD267" i="10"/>
  <c r="BD271" i="10"/>
  <c r="BD275" i="10"/>
  <c r="BD279" i="10"/>
  <c r="BD283" i="10"/>
  <c r="BD287" i="10"/>
  <c r="BD291" i="10"/>
  <c r="BD295" i="10"/>
  <c r="BD299" i="10"/>
  <c r="BD303" i="10"/>
  <c r="BD307" i="10"/>
  <c r="BD311" i="10"/>
  <c r="BD315" i="10"/>
  <c r="BD166" i="10"/>
  <c r="BD174" i="10"/>
  <c r="BD182" i="10"/>
  <c r="BD185" i="10"/>
  <c r="BD173" i="10"/>
  <c r="BD181" i="10"/>
  <c r="BD145" i="10"/>
  <c r="BD149" i="10"/>
  <c r="BD153" i="10"/>
  <c r="BD157" i="10"/>
  <c r="BD161" i="10"/>
  <c r="BD186" i="10"/>
  <c r="BD190" i="10"/>
  <c r="BD194" i="10"/>
  <c r="BD198" i="10"/>
  <c r="BD202" i="10"/>
  <c r="BD206" i="10"/>
  <c r="BD210" i="10"/>
  <c r="BD214" i="10"/>
  <c r="BD218" i="10"/>
  <c r="BD222" i="10"/>
  <c r="BD226" i="10"/>
  <c r="BD230" i="10"/>
  <c r="BD234" i="10"/>
  <c r="BD238" i="10"/>
  <c r="BD242" i="10"/>
  <c r="BD246" i="10"/>
  <c r="BD250" i="10"/>
  <c r="BD254" i="10"/>
  <c r="BD258" i="10"/>
  <c r="BD262" i="10"/>
  <c r="BD266" i="10"/>
  <c r="BD270" i="10"/>
  <c r="BD274" i="10"/>
  <c r="BD278" i="10"/>
  <c r="BD282" i="10"/>
  <c r="BD286" i="10"/>
  <c r="BD290" i="10"/>
  <c r="BD294" i="10"/>
  <c r="BD298" i="10"/>
  <c r="BD302" i="10"/>
  <c r="BD306" i="10"/>
  <c r="BD310" i="10"/>
  <c r="BD314" i="10"/>
  <c r="BD318" i="10"/>
  <c r="BD172" i="10"/>
  <c r="BD180" i="10"/>
  <c r="BD144" i="10"/>
  <c r="BD160" i="10"/>
  <c r="BD197" i="10"/>
  <c r="BD213" i="10"/>
  <c r="BD229" i="10"/>
  <c r="BD245" i="10"/>
  <c r="BD261" i="10"/>
  <c r="BD277" i="10"/>
  <c r="BD293" i="10"/>
  <c r="BD309" i="10"/>
  <c r="BD178" i="10"/>
  <c r="BD164" i="10"/>
  <c r="BD249" i="10"/>
  <c r="BD313" i="10"/>
  <c r="BD179" i="10"/>
  <c r="BD156" i="10"/>
  <c r="BD193" i="10"/>
  <c r="BD209" i="10"/>
  <c r="BD225" i="10"/>
  <c r="BD241" i="10"/>
  <c r="BD257" i="10"/>
  <c r="BD273" i="10"/>
  <c r="BD289" i="10"/>
  <c r="BD305" i="10"/>
  <c r="BD170" i="10"/>
  <c r="BE142" i="10"/>
  <c r="BD201" i="10"/>
  <c r="BD233" i="10"/>
  <c r="BD297" i="10"/>
  <c r="BD171" i="10"/>
  <c r="BD152" i="10"/>
  <c r="BD189" i="10"/>
  <c r="BD205" i="10"/>
  <c r="BD221" i="10"/>
  <c r="BD237" i="10"/>
  <c r="BD253" i="10"/>
  <c r="BD269" i="10"/>
  <c r="BD285" i="10"/>
  <c r="BD301" i="10"/>
  <c r="BD317" i="10"/>
  <c r="BD148" i="10"/>
  <c r="BD217" i="10"/>
  <c r="BD265" i="10"/>
  <c r="BD281" i="10"/>
  <c r="P256" i="10"/>
  <c r="B46" i="12"/>
  <c r="V138" i="12" s="1"/>
  <c r="V134" i="12"/>
  <c r="M142" i="13"/>
  <c r="M143" i="13" s="1"/>
  <c r="N143" i="13"/>
  <c r="BE142" i="11"/>
  <c r="BD274" i="11"/>
  <c r="BD258" i="11"/>
  <c r="BD246" i="11"/>
  <c r="BD226" i="11"/>
  <c r="BD214" i="11"/>
  <c r="BD178" i="11"/>
  <c r="BD170" i="11"/>
  <c r="BD207" i="11"/>
  <c r="BD199" i="11"/>
  <c r="BD317" i="11"/>
  <c r="BD312" i="11"/>
  <c r="BD247" i="11"/>
  <c r="BD239" i="11"/>
  <c r="BD231" i="11"/>
  <c r="BD223" i="11"/>
  <c r="BD215" i="11"/>
  <c r="BD297" i="11"/>
  <c r="BD208" i="11"/>
  <c r="BD200" i="11"/>
  <c r="BD313" i="11"/>
  <c r="BD194" i="11"/>
  <c r="BD177" i="11"/>
  <c r="BD169" i="11"/>
  <c r="BD206" i="11"/>
  <c r="BD164" i="11"/>
  <c r="BD290" i="11"/>
  <c r="BD250" i="11"/>
  <c r="BD222" i="11"/>
  <c r="BD303" i="11"/>
  <c r="BD280" i="11"/>
  <c r="BD264" i="11"/>
  <c r="BD190" i="11"/>
  <c r="BD299" i="11"/>
  <c r="BD187" i="11"/>
  <c r="BD201" i="11"/>
  <c r="BD318" i="11"/>
  <c r="BD150" i="11"/>
  <c r="BD295" i="11"/>
  <c r="BD145" i="11"/>
  <c r="BD151" i="11"/>
  <c r="BD152" i="11"/>
  <c r="BD143" i="11"/>
  <c r="BD235" i="11"/>
  <c r="BD219" i="11"/>
  <c r="BD155" i="11"/>
  <c r="BD305" i="11"/>
  <c r="BD316" i="11"/>
  <c r="BD289" i="11"/>
  <c r="BD281" i="11"/>
  <c r="BD273" i="11"/>
  <c r="BD265" i="11"/>
  <c r="BD257" i="11"/>
  <c r="BD249" i="11"/>
  <c r="BD241" i="11"/>
  <c r="BD233" i="11"/>
  <c r="BD225" i="11"/>
  <c r="BD217" i="11"/>
  <c r="BD301" i="11"/>
  <c r="BD181" i="11"/>
  <c r="BD173" i="11"/>
  <c r="BD147" i="11"/>
  <c r="BD198" i="11"/>
  <c r="BD302" i="11"/>
  <c r="BD278" i="11"/>
  <c r="BD311" i="11"/>
  <c r="BD306" i="11"/>
  <c r="BD260" i="11"/>
  <c r="BD252" i="11"/>
  <c r="BD244" i="11"/>
  <c r="BD228" i="11"/>
  <c r="BD212" i="11"/>
  <c r="BD176" i="11"/>
  <c r="BD168" i="11"/>
  <c r="BD159" i="11"/>
  <c r="BD209" i="11"/>
  <c r="BD160" i="11"/>
  <c r="BD315" i="11"/>
  <c r="BD282" i="11"/>
  <c r="BD266" i="11"/>
  <c r="BD254" i="11"/>
  <c r="BD234" i="11"/>
  <c r="BD218" i="11"/>
  <c r="BD182" i="11"/>
  <c r="BD174" i="11"/>
  <c r="BD166" i="11"/>
  <c r="BD203" i="11"/>
  <c r="BD309" i="11"/>
  <c r="BD304" i="11"/>
  <c r="BD291" i="11"/>
  <c r="BD283" i="11"/>
  <c r="BD275" i="11"/>
  <c r="BD267" i="11"/>
  <c r="BD259" i="11"/>
  <c r="BD251" i="11"/>
  <c r="BD243" i="11"/>
  <c r="BD227" i="11"/>
  <c r="BD211" i="11"/>
  <c r="BD185" i="11"/>
  <c r="BD183" i="11"/>
  <c r="BD175" i="11"/>
  <c r="BD167" i="11"/>
  <c r="BD204" i="11"/>
  <c r="BD196" i="11"/>
  <c r="BD156" i="11"/>
  <c r="BD294" i="11"/>
  <c r="BD162" i="11"/>
  <c r="BD188" i="11"/>
  <c r="BD202" i="11"/>
  <c r="BD148" i="11"/>
  <c r="BD186" i="11"/>
  <c r="BD262" i="11"/>
  <c r="BD242" i="11"/>
  <c r="BD230" i="11"/>
  <c r="BD210" i="11"/>
  <c r="BD300" i="11"/>
  <c r="BD292" i="11"/>
  <c r="BD284" i="11"/>
  <c r="BD276" i="11"/>
  <c r="BD268" i="11"/>
  <c r="BD236" i="11"/>
  <c r="BD220" i="11"/>
  <c r="BD298" i="11"/>
  <c r="BD153" i="11"/>
  <c r="BD192" i="11"/>
  <c r="BD171" i="11"/>
  <c r="BD189" i="11"/>
  <c r="BD193" i="11"/>
  <c r="BD172" i="11"/>
  <c r="BD205" i="11"/>
  <c r="BD165" i="11"/>
  <c r="BD158" i="11"/>
  <c r="BD195" i="11"/>
  <c r="BD270" i="11"/>
  <c r="BD238" i="11"/>
  <c r="BD191" i="11"/>
  <c r="BD314" i="11"/>
  <c r="BD157" i="11"/>
  <c r="BD288" i="11"/>
  <c r="BD272" i="11"/>
  <c r="BD256" i="11"/>
  <c r="BD248" i="11"/>
  <c r="BD240" i="11"/>
  <c r="BD232" i="11"/>
  <c r="BD224" i="11"/>
  <c r="BD216" i="11"/>
  <c r="BD154" i="11"/>
  <c r="BD180" i="11"/>
  <c r="BD144" i="11"/>
  <c r="BD161" i="11"/>
  <c r="BD307" i="11"/>
  <c r="BD310" i="11"/>
  <c r="BD286" i="11"/>
  <c r="BD184" i="11"/>
  <c r="BD287" i="11"/>
  <c r="BD279" i="11"/>
  <c r="BD271" i="11"/>
  <c r="BD263" i="11"/>
  <c r="BD255" i="11"/>
  <c r="BD146" i="11"/>
  <c r="BD179" i="11"/>
  <c r="BD296" i="11"/>
  <c r="BD308" i="11"/>
  <c r="BD293" i="11"/>
  <c r="BD285" i="11"/>
  <c r="BD277" i="11"/>
  <c r="BD269" i="11"/>
  <c r="BD261" i="11"/>
  <c r="BD253" i="11"/>
  <c r="BD245" i="11"/>
  <c r="BD237" i="11"/>
  <c r="BD229" i="11"/>
  <c r="BD221" i="11"/>
  <c r="BD213" i="11"/>
  <c r="BD149" i="11"/>
  <c r="BD197" i="11"/>
  <c r="BD163" i="11"/>
  <c r="M142" i="11"/>
  <c r="N309" i="11"/>
  <c r="N293" i="11"/>
  <c r="N280" i="11"/>
  <c r="N260" i="11"/>
  <c r="N212" i="11"/>
  <c r="N168" i="11"/>
  <c r="N159" i="11"/>
  <c r="N162" i="11"/>
  <c r="N314" i="11"/>
  <c r="N306" i="11"/>
  <c r="N298" i="11"/>
  <c r="N301" i="11"/>
  <c r="N268" i="11"/>
  <c r="N172" i="11"/>
  <c r="N164" i="11"/>
  <c r="N294" i="11"/>
  <c r="N285" i="11"/>
  <c r="N277" i="11"/>
  <c r="N269" i="11"/>
  <c r="N261" i="11"/>
  <c r="N253" i="11"/>
  <c r="N245" i="11"/>
  <c r="N237" i="11"/>
  <c r="N229" i="11"/>
  <c r="N221" i="11"/>
  <c r="N213" i="11"/>
  <c r="N205" i="11"/>
  <c r="N197" i="11"/>
  <c r="N189" i="11"/>
  <c r="N181" i="11"/>
  <c r="N173" i="11"/>
  <c r="N147" i="11"/>
  <c r="N292" i="11"/>
  <c r="N204" i="11"/>
  <c r="N196" i="11"/>
  <c r="N312" i="11"/>
  <c r="N267" i="11"/>
  <c r="N259" i="11"/>
  <c r="N211" i="11"/>
  <c r="N203" i="11"/>
  <c r="N195" i="11"/>
  <c r="N187" i="11"/>
  <c r="N153" i="11"/>
  <c r="N284" i="11"/>
  <c r="N240" i="11"/>
  <c r="N208" i="11"/>
  <c r="N192" i="11"/>
  <c r="N176" i="11"/>
  <c r="N307" i="11"/>
  <c r="N291" i="11"/>
  <c r="N286" i="11"/>
  <c r="N246" i="11"/>
  <c r="N238" i="11"/>
  <c r="N198" i="11"/>
  <c r="N190" i="11"/>
  <c r="N244" i="11"/>
  <c r="N220" i="11"/>
  <c r="N188" i="11"/>
  <c r="N180" i="11"/>
  <c r="N310" i="11"/>
  <c r="N201" i="11"/>
  <c r="N193" i="11"/>
  <c r="N185" i="11"/>
  <c r="N157" i="11"/>
  <c r="N316" i="11"/>
  <c r="N308" i="11"/>
  <c r="N300" i="11"/>
  <c r="N145" i="11"/>
  <c r="N287" i="11"/>
  <c r="N279" i="11"/>
  <c r="N271" i="11"/>
  <c r="N263" i="11"/>
  <c r="N255" i="11"/>
  <c r="N247" i="11"/>
  <c r="N239" i="11"/>
  <c r="N231" i="11"/>
  <c r="N223" i="11"/>
  <c r="N215" i="11"/>
  <c r="N207" i="11"/>
  <c r="N199" i="11"/>
  <c r="N191" i="11"/>
  <c r="N183" i="11"/>
  <c r="N175" i="11"/>
  <c r="N167" i="11"/>
  <c r="N155" i="11"/>
  <c r="N144" i="11"/>
  <c r="N305" i="11"/>
  <c r="N276" i="11"/>
  <c r="N264" i="11"/>
  <c r="N248" i="11"/>
  <c r="N232" i="11"/>
  <c r="N216" i="11"/>
  <c r="N200" i="11"/>
  <c r="N184" i="11"/>
  <c r="N152" i="11"/>
  <c r="N149" i="11"/>
  <c r="N143" i="11"/>
  <c r="N311" i="11"/>
  <c r="N303" i="11"/>
  <c r="N295" i="11"/>
  <c r="N290" i="11"/>
  <c r="N282" i="11"/>
  <c r="N274" i="11"/>
  <c r="N266" i="11"/>
  <c r="N258" i="11"/>
  <c r="N250" i="11"/>
  <c r="N242" i="11"/>
  <c r="N234" i="11"/>
  <c r="N226" i="11"/>
  <c r="N218" i="11"/>
  <c r="N210" i="11"/>
  <c r="N202" i="11"/>
  <c r="N194" i="11"/>
  <c r="N186" i="11"/>
  <c r="N178" i="11"/>
  <c r="N170" i="11"/>
  <c r="N156" i="11"/>
  <c r="N158" i="11"/>
  <c r="N318" i="11"/>
  <c r="N302" i="11"/>
  <c r="N165" i="11"/>
  <c r="N304" i="11"/>
  <c r="N296" i="11"/>
  <c r="N251" i="11"/>
  <c r="N243" i="11"/>
  <c r="N235" i="11"/>
  <c r="N179" i="11"/>
  <c r="N160" i="11"/>
  <c r="N150" i="11"/>
  <c r="N224" i="11"/>
  <c r="N148" i="11"/>
  <c r="N146" i="11"/>
  <c r="N299" i="11"/>
  <c r="N278" i="11"/>
  <c r="N174" i="11"/>
  <c r="N166" i="11"/>
  <c r="N154" i="11"/>
  <c r="N317" i="11"/>
  <c r="N288" i="11"/>
  <c r="N252" i="11"/>
  <c r="N161" i="11"/>
  <c r="N289" i="11"/>
  <c r="N281" i="11"/>
  <c r="N273" i="11"/>
  <c r="N265" i="11"/>
  <c r="N257" i="11"/>
  <c r="N249" i="11"/>
  <c r="N241" i="11"/>
  <c r="N233" i="11"/>
  <c r="N225" i="11"/>
  <c r="N217" i="11"/>
  <c r="N209" i="11"/>
  <c r="N177" i="11"/>
  <c r="N169" i="11"/>
  <c r="N163" i="11"/>
  <c r="N236" i="11"/>
  <c r="N228" i="11"/>
  <c r="N283" i="11"/>
  <c r="N275" i="11"/>
  <c r="N227" i="11"/>
  <c r="N219" i="11"/>
  <c r="N171" i="11"/>
  <c r="N313" i="11"/>
  <c r="N297" i="11"/>
  <c r="N272" i="11"/>
  <c r="N256" i="11"/>
  <c r="N315" i="11"/>
  <c r="N270" i="11"/>
  <c r="N262" i="11"/>
  <c r="N254" i="11"/>
  <c r="N230" i="11"/>
  <c r="N222" i="11"/>
  <c r="N214" i="11"/>
  <c r="N206" i="11"/>
  <c r="N182" i="11"/>
  <c r="N151" i="11"/>
  <c r="AW301" i="12"/>
  <c r="AW170" i="12"/>
  <c r="AW193" i="12"/>
  <c r="AW306" i="12"/>
  <c r="AW196" i="12"/>
  <c r="AW168" i="12"/>
  <c r="AW210" i="12"/>
  <c r="AW237" i="12"/>
  <c r="AW144" i="12"/>
  <c r="AW199" i="12"/>
  <c r="AW213" i="12"/>
  <c r="AW264" i="12"/>
  <c r="AW161" i="12"/>
  <c r="AW187" i="12"/>
  <c r="AW258" i="12"/>
  <c r="AW171" i="12"/>
  <c r="AW303" i="12"/>
  <c r="AW174" i="12"/>
  <c r="AW287" i="12"/>
  <c r="AW230" i="12"/>
  <c r="AW202" i="12"/>
  <c r="AW192" i="12"/>
  <c r="AW166" i="12"/>
  <c r="AW215" i="12"/>
  <c r="AW245" i="12"/>
  <c r="AW178" i="12"/>
  <c r="AW317" i="12"/>
  <c r="AW223" i="12"/>
  <c r="AW242" i="12"/>
  <c r="AW253" i="12"/>
  <c r="AW283" i="12"/>
  <c r="AW277" i="12"/>
  <c r="AW235" i="12"/>
  <c r="AW270" i="12"/>
  <c r="AW182" i="12"/>
  <c r="AW293" i="12"/>
  <c r="AW169" i="12"/>
  <c r="AW222" i="12"/>
  <c r="AW284" i="12"/>
  <c r="AW220" i="12"/>
  <c r="AW156" i="12"/>
  <c r="AW217" i="12"/>
  <c r="AW190" i="12"/>
  <c r="AW259" i="12"/>
  <c r="AW195" i="12"/>
  <c r="AW262" i="12"/>
  <c r="AW225" i="12"/>
  <c r="AW311" i="12"/>
  <c r="AW296" i="12"/>
  <c r="AW239" i="12"/>
  <c r="AW276" i="12"/>
  <c r="AW208" i="12"/>
  <c r="AW231" i="12"/>
  <c r="AW241" i="12"/>
  <c r="AW312" i="12"/>
  <c r="AW175" i="12"/>
  <c r="AW219" i="12"/>
  <c r="AW292" i="12"/>
  <c r="AW194" i="12"/>
  <c r="AW315" i="12"/>
  <c r="AW309" i="12"/>
  <c r="AW181" i="12"/>
  <c r="AW250" i="12"/>
  <c r="AW290" i="12"/>
  <c r="AW224" i="12"/>
  <c r="AW266" i="12"/>
  <c r="AW247" i="12"/>
  <c r="AW274" i="12"/>
  <c r="AW146" i="12"/>
  <c r="AW212" i="12"/>
  <c r="AW255" i="12"/>
  <c r="AW152" i="12"/>
  <c r="AW308" i="12"/>
  <c r="AW285" i="12"/>
  <c r="AW298" i="12"/>
  <c r="AW150" i="12"/>
  <c r="AW184" i="12"/>
  <c r="AW267" i="12"/>
  <c r="AW314" i="12"/>
  <c r="AW206" i="12"/>
  <c r="AW197" i="12"/>
  <c r="AW254" i="12"/>
  <c r="AW300" i="12"/>
  <c r="AW236" i="12"/>
  <c r="AW172" i="12"/>
  <c r="AW249" i="12"/>
  <c r="AW294" i="12"/>
  <c r="AW275" i="12"/>
  <c r="AW211" i="12"/>
  <c r="AW145" i="12"/>
  <c r="AW176" i="12"/>
  <c r="AW198" i="12"/>
  <c r="AW154" i="12"/>
  <c r="AW310" i="12"/>
  <c r="AW240" i="12"/>
  <c r="AW279" i="12"/>
  <c r="AW265" i="12"/>
  <c r="AW180" i="12"/>
  <c r="AW200" i="12"/>
  <c r="AW251" i="12"/>
  <c r="AW148" i="12"/>
  <c r="AW214" i="12"/>
  <c r="AW233" i="12"/>
  <c r="AW228" i="12"/>
  <c r="AW207" i="12"/>
  <c r="AW205" i="12"/>
  <c r="AW256" i="12"/>
  <c r="AW289" i="12"/>
  <c r="AW263" i="12"/>
  <c r="AW167" i="12"/>
  <c r="AW297" i="12"/>
  <c r="AW244" i="12"/>
  <c r="AW286" i="12"/>
  <c r="AW305" i="12"/>
  <c r="AW179" i="12"/>
  <c r="AW177" i="12"/>
  <c r="AW216" i="12"/>
  <c r="AW307" i="12"/>
  <c r="AW164" i="12"/>
  <c r="AW226" i="12"/>
  <c r="AW229" i="12"/>
  <c r="AW282" i="12"/>
  <c r="AW316" i="12"/>
  <c r="AW252" i="12"/>
  <c r="AW188" i="12"/>
  <c r="AW281" i="12"/>
  <c r="AW149" i="12"/>
  <c r="AW291" i="12"/>
  <c r="AW227" i="12"/>
  <c r="AW147" i="12"/>
  <c r="AW173" i="12"/>
  <c r="AW159" i="12"/>
  <c r="AW272" i="12"/>
  <c r="AW232" i="12"/>
  <c r="AW271" i="12"/>
  <c r="AW295" i="12"/>
  <c r="AW165" i="12"/>
  <c r="AW203" i="12"/>
  <c r="AW246" i="12"/>
  <c r="AW162" i="12"/>
  <c r="AW185" i="12"/>
  <c r="AW278" i="12"/>
  <c r="AW191" i="12"/>
  <c r="AW201" i="12"/>
  <c r="AW155" i="12"/>
  <c r="AW268" i="12"/>
  <c r="AW157" i="12"/>
  <c r="AW189" i="12"/>
  <c r="AW299" i="12"/>
  <c r="AW260" i="12"/>
  <c r="AW160" i="12"/>
  <c r="AW280" i="12"/>
  <c r="AW218" i="12"/>
  <c r="AW153" i="12"/>
  <c r="AW318" i="12"/>
  <c r="AW313" i="12"/>
  <c r="AW163" i="12"/>
  <c r="AW288" i="12"/>
  <c r="AW234" i="12"/>
  <c r="AW183" i="12"/>
  <c r="AW302" i="12"/>
  <c r="AW209" i="12"/>
  <c r="AW151" i="12"/>
  <c r="AW273" i="12"/>
  <c r="AW238" i="12"/>
  <c r="AW257" i="12"/>
  <c r="AW186" i="12"/>
  <c r="AW304" i="12"/>
  <c r="AW221" i="12"/>
  <c r="AW248" i="12"/>
  <c r="AW261" i="12"/>
  <c r="AW204" i="12"/>
  <c r="AW243" i="12"/>
  <c r="AW269" i="12"/>
  <c r="AW158" i="12"/>
  <c r="AW143" i="12"/>
  <c r="AP139" i="12"/>
  <c r="BE142" i="12"/>
  <c r="BE143" i="12" s="1"/>
  <c r="BD143" i="12"/>
  <c r="M142" i="12"/>
  <c r="M143" i="12" s="1"/>
  <c r="N143" i="12"/>
  <c r="AP135" i="12"/>
  <c r="AS142" i="12" s="1"/>
  <c r="G103" i="14"/>
  <c r="AP135" i="9"/>
  <c r="AS142" i="9" s="1"/>
  <c r="D103" i="14"/>
  <c r="B14" i="13"/>
  <c r="B138" i="13" s="1"/>
  <c r="B134" i="13"/>
  <c r="Y298" i="10"/>
  <c r="Y306" i="10"/>
  <c r="Y314" i="10"/>
  <c r="Y296" i="10"/>
  <c r="Y304" i="10"/>
  <c r="Y312" i="10"/>
  <c r="Y294" i="10"/>
  <c r="Y302" i="10"/>
  <c r="Y310" i="10"/>
  <c r="Y318" i="10"/>
  <c r="Y308" i="10"/>
  <c r="Y316" i="10"/>
  <c r="Y300" i="10"/>
  <c r="Y292" i="10"/>
  <c r="Y166" i="10"/>
  <c r="Y170" i="10"/>
  <c r="Y174" i="10"/>
  <c r="Y178" i="10"/>
  <c r="Y182" i="10"/>
  <c r="Y186" i="10"/>
  <c r="Y190" i="10"/>
  <c r="Y194" i="10"/>
  <c r="Y198" i="10"/>
  <c r="Y202" i="10"/>
  <c r="Y206" i="10"/>
  <c r="Y210" i="10"/>
  <c r="Y214" i="10"/>
  <c r="Y218" i="10"/>
  <c r="Y222" i="10"/>
  <c r="Y226" i="10"/>
  <c r="Y230" i="10"/>
  <c r="Y234" i="10"/>
  <c r="Y238" i="10"/>
  <c r="Y242" i="10"/>
  <c r="Y246" i="10"/>
  <c r="Y250" i="10"/>
  <c r="Y254" i="10"/>
  <c r="Y258" i="10"/>
  <c r="Y262" i="10"/>
  <c r="Y266" i="10"/>
  <c r="Y270" i="10"/>
  <c r="Y274" i="10"/>
  <c r="Y278" i="10"/>
  <c r="Y282" i="10"/>
  <c r="Y286" i="10"/>
  <c r="Y290" i="10"/>
  <c r="Y317" i="10"/>
  <c r="Y309" i="10"/>
  <c r="Y301" i="10"/>
  <c r="Y293" i="10"/>
  <c r="Z142" i="10"/>
  <c r="Y169" i="10"/>
  <c r="Y173" i="10"/>
  <c r="Y177" i="10"/>
  <c r="Y181" i="10"/>
  <c r="Y185" i="10"/>
  <c r="Y189" i="10"/>
  <c r="Y193" i="10"/>
  <c r="Y197" i="10"/>
  <c r="Y201" i="10"/>
  <c r="Y205" i="10"/>
  <c r="Y209" i="10"/>
  <c r="Y213" i="10"/>
  <c r="Y217" i="10"/>
  <c r="Y221" i="10"/>
  <c r="Y225" i="10"/>
  <c r="Y229" i="10"/>
  <c r="Y233" i="10"/>
  <c r="Y237" i="10"/>
  <c r="Y241" i="10"/>
  <c r="Y245" i="10"/>
  <c r="Y249" i="10"/>
  <c r="Y253" i="10"/>
  <c r="Y257" i="10"/>
  <c r="Y261" i="10"/>
  <c r="Y265" i="10"/>
  <c r="Y269" i="10"/>
  <c r="Y273" i="10"/>
  <c r="Y277" i="10"/>
  <c r="Y281" i="10"/>
  <c r="Y285" i="10"/>
  <c r="Y289" i="10"/>
  <c r="Y311" i="10"/>
  <c r="Y303" i="10"/>
  <c r="Y295" i="10"/>
  <c r="Y168" i="10"/>
  <c r="Y172" i="10"/>
  <c r="Y176" i="10"/>
  <c r="Y180" i="10"/>
  <c r="Y184" i="10"/>
  <c r="Y188" i="10"/>
  <c r="Y192" i="10"/>
  <c r="Y196" i="10"/>
  <c r="Y200" i="10"/>
  <c r="Y204" i="10"/>
  <c r="Y208" i="10"/>
  <c r="Y212" i="10"/>
  <c r="Y216" i="10"/>
  <c r="Y220" i="10"/>
  <c r="Y224" i="10"/>
  <c r="Y228" i="10"/>
  <c r="Y232" i="10"/>
  <c r="Y236" i="10"/>
  <c r="Y240" i="10"/>
  <c r="Y244" i="10"/>
  <c r="Y248" i="10"/>
  <c r="Y252" i="10"/>
  <c r="Y256" i="10"/>
  <c r="Y260" i="10"/>
  <c r="Y264" i="10"/>
  <c r="Y268" i="10"/>
  <c r="Y272" i="10"/>
  <c r="Y276" i="10"/>
  <c r="Y280" i="10"/>
  <c r="Y284" i="10"/>
  <c r="Y288" i="10"/>
  <c r="Y313" i="10"/>
  <c r="Y305" i="10"/>
  <c r="Y297" i="10"/>
  <c r="Y167" i="10"/>
  <c r="Y183" i="10"/>
  <c r="Y199" i="10"/>
  <c r="Y215" i="10"/>
  <c r="Y231" i="10"/>
  <c r="Y247" i="10"/>
  <c r="Y263" i="10"/>
  <c r="Y279" i="10"/>
  <c r="Y299" i="10"/>
  <c r="Y165" i="10"/>
  <c r="Y161" i="10"/>
  <c r="Y157" i="10"/>
  <c r="Y153" i="10"/>
  <c r="Y149" i="10"/>
  <c r="Y145" i="10"/>
  <c r="Y203" i="10"/>
  <c r="Y251" i="10"/>
  <c r="Y267" i="10"/>
  <c r="Y164" i="10"/>
  <c r="Y156" i="10"/>
  <c r="Y144" i="10"/>
  <c r="Y179" i="10"/>
  <c r="Y195" i="10"/>
  <c r="Y211" i="10"/>
  <c r="Y227" i="10"/>
  <c r="Y243" i="10"/>
  <c r="Y259" i="10"/>
  <c r="Y275" i="10"/>
  <c r="Y307" i="10"/>
  <c r="Y143" i="10"/>
  <c r="Y162" i="10"/>
  <c r="Y158" i="10"/>
  <c r="Y154" i="10"/>
  <c r="Y150" i="10"/>
  <c r="Y146" i="10"/>
  <c r="Y187" i="10"/>
  <c r="Y235" i="10"/>
  <c r="Y160" i="10"/>
  <c r="Y148" i="10"/>
  <c r="Y175" i="10"/>
  <c r="Y191" i="10"/>
  <c r="Y207" i="10"/>
  <c r="Y223" i="10"/>
  <c r="Y239" i="10"/>
  <c r="Y255" i="10"/>
  <c r="Y271" i="10"/>
  <c r="Y287" i="10"/>
  <c r="Y315" i="10"/>
  <c r="Y163" i="10"/>
  <c r="Y159" i="10"/>
  <c r="Y155" i="10"/>
  <c r="Y151" i="10"/>
  <c r="Y147" i="10"/>
  <c r="X142" i="10"/>
  <c r="Y171" i="10"/>
  <c r="Y219" i="10"/>
  <c r="Y283" i="10"/>
  <c r="Y291" i="10"/>
  <c r="Y152" i="10"/>
  <c r="D36" i="14"/>
  <c r="D41" i="14" s="1"/>
  <c r="D48" i="14" s="1"/>
  <c r="C62" i="14"/>
  <c r="L16" i="49"/>
  <c r="BQ204" i="10"/>
  <c r="BQ160" i="10"/>
  <c r="BQ203" i="10"/>
  <c r="BQ212" i="10"/>
  <c r="BQ214" i="10"/>
  <c r="BQ200" i="10"/>
  <c r="BQ153" i="10"/>
  <c r="BQ311" i="10"/>
  <c r="BQ303" i="10"/>
  <c r="BQ295" i="10"/>
  <c r="BQ287" i="10"/>
  <c r="BQ279" i="10"/>
  <c r="BQ271" i="10"/>
  <c r="BQ263" i="10"/>
  <c r="BQ255" i="10"/>
  <c r="BQ247" i="10"/>
  <c r="BQ239" i="10"/>
  <c r="BQ231" i="10"/>
  <c r="BQ170" i="10"/>
  <c r="BQ227" i="10"/>
  <c r="BQ209" i="10"/>
  <c r="BQ172" i="10"/>
  <c r="L72" i="37"/>
  <c r="K38" i="37"/>
  <c r="N38" i="37"/>
  <c r="B112" i="9"/>
  <c r="D152" i="14"/>
  <c r="K72" i="37"/>
  <c r="BQ155" i="11"/>
  <c r="BQ318" i="11"/>
  <c r="BQ152" i="11"/>
  <c r="BQ214" i="11"/>
  <c r="BQ193" i="11"/>
  <c r="BQ177" i="11"/>
  <c r="BQ306" i="11"/>
  <c r="BQ298" i="11"/>
  <c r="BQ290" i="11"/>
  <c r="BQ282" i="11"/>
  <c r="BQ274" i="11"/>
  <c r="BQ266" i="11"/>
  <c r="BQ258" i="11"/>
  <c r="BQ250" i="11"/>
  <c r="BQ242" i="11"/>
  <c r="BQ238" i="11"/>
  <c r="BQ230" i="11"/>
  <c r="BQ222" i="11"/>
  <c r="BQ169" i="11"/>
  <c r="BQ192" i="11"/>
  <c r="BQ176" i="11"/>
  <c r="BQ148" i="11"/>
  <c r="F152" i="14"/>
  <c r="F155" i="14" s="1"/>
  <c r="F162" i="14" s="1"/>
  <c r="G162" i="14" s="1"/>
  <c r="H162" i="14" s="1"/>
  <c r="J72" i="37"/>
  <c r="BQ196" i="10"/>
  <c r="BQ168" i="10"/>
  <c r="BQ147" i="10"/>
  <c r="BQ218" i="10"/>
  <c r="BQ149" i="10"/>
  <c r="BQ220" i="10"/>
  <c r="BQ199" i="10"/>
  <c r="BQ156" i="10"/>
  <c r="BQ187" i="10"/>
  <c r="BQ207" i="10"/>
  <c r="BQ192" i="10"/>
  <c r="BQ161" i="10"/>
  <c r="BQ317" i="10"/>
  <c r="BQ313" i="10"/>
  <c r="BQ309" i="10"/>
  <c r="BQ305" i="10"/>
  <c r="BQ301" i="10"/>
  <c r="BQ297" i="10"/>
  <c r="BQ293" i="10"/>
  <c r="BQ289" i="10"/>
  <c r="BQ285" i="10"/>
  <c r="BQ281" i="10"/>
  <c r="BQ277" i="10"/>
  <c r="BQ273" i="10"/>
  <c r="BQ269" i="10"/>
  <c r="BQ265" i="10"/>
  <c r="BQ261" i="10"/>
  <c r="BQ257" i="10"/>
  <c r="BQ253" i="10"/>
  <c r="BQ249" i="10"/>
  <c r="BQ245" i="10"/>
  <c r="BQ241" i="10"/>
  <c r="BQ237" i="10"/>
  <c r="BQ233" i="10"/>
  <c r="BQ206" i="10"/>
  <c r="BQ182" i="10"/>
  <c r="BQ162" i="10"/>
  <c r="BQ148" i="10"/>
  <c r="BQ223" i="10"/>
  <c r="BQ215" i="10"/>
  <c r="BQ189" i="10"/>
  <c r="BQ174" i="10"/>
  <c r="BQ167" i="10"/>
  <c r="BQ150" i="10"/>
  <c r="BQ205" i="11"/>
  <c r="BQ160" i="11"/>
  <c r="BQ204" i="11"/>
  <c r="BQ149" i="11"/>
  <c r="BQ315" i="11"/>
  <c r="BQ311" i="11"/>
  <c r="BQ163" i="11"/>
  <c r="BQ211" i="11"/>
  <c r="BQ144" i="11"/>
  <c r="BQ202" i="11"/>
  <c r="BQ195" i="11"/>
  <c r="BQ187" i="11"/>
  <c r="BQ179" i="11"/>
  <c r="BQ162" i="11"/>
  <c r="BQ307" i="11"/>
  <c r="BQ303" i="11"/>
  <c r="BQ299" i="11"/>
  <c r="BQ295" i="11"/>
  <c r="BQ291" i="11"/>
  <c r="BQ287" i="11"/>
  <c r="BQ283" i="11"/>
  <c r="BQ279" i="11"/>
  <c r="BQ275" i="11"/>
  <c r="BQ271" i="11"/>
  <c r="BQ267" i="11"/>
  <c r="BQ263" i="11"/>
  <c r="BQ259" i="11"/>
  <c r="BQ255" i="11"/>
  <c r="BQ251" i="11"/>
  <c r="BQ247" i="11"/>
  <c r="BQ243" i="11"/>
  <c r="BQ239" i="11"/>
  <c r="BQ235" i="11"/>
  <c r="BQ231" i="11"/>
  <c r="BQ227" i="11"/>
  <c r="BQ223" i="11"/>
  <c r="BQ219" i="11"/>
  <c r="BQ215" i="11"/>
  <c r="BQ158" i="11"/>
  <c r="BQ194" i="11"/>
  <c r="BQ186" i="11"/>
  <c r="BQ178" i="11"/>
  <c r="BQ167" i="11"/>
  <c r="BQ151" i="11"/>
  <c r="BQ192" i="9"/>
  <c r="BQ216" i="9"/>
  <c r="BQ275" i="9"/>
  <c r="BQ204" i="9"/>
  <c r="BQ302" i="9"/>
  <c r="BQ270" i="9"/>
  <c r="BQ238" i="9"/>
  <c r="BQ194" i="9"/>
  <c r="BQ211" i="9"/>
  <c r="BQ179" i="9"/>
  <c r="BQ147" i="9"/>
  <c r="BQ208" i="9"/>
  <c r="BQ225" i="9"/>
  <c r="BQ279" i="9"/>
  <c r="BQ212" i="9"/>
  <c r="BQ304" i="9"/>
  <c r="BQ272" i="9"/>
  <c r="BQ240" i="9"/>
  <c r="BQ198" i="9"/>
  <c r="BQ213" i="9"/>
  <c r="BQ181" i="9"/>
  <c r="BQ149" i="9"/>
  <c r="BQ285" i="9"/>
  <c r="BQ297" i="9"/>
  <c r="BQ315" i="9"/>
  <c r="BQ251" i="9"/>
  <c r="BQ156" i="9"/>
  <c r="BQ290" i="9"/>
  <c r="BQ258" i="9"/>
  <c r="BQ226" i="9"/>
  <c r="BQ170" i="9"/>
  <c r="BQ199" i="9"/>
  <c r="BQ167" i="9"/>
  <c r="BQ261" i="9"/>
  <c r="BQ273" i="9"/>
  <c r="BQ303" i="9"/>
  <c r="BQ239" i="9"/>
  <c r="BQ316" i="9"/>
  <c r="BQ284" i="9"/>
  <c r="BQ252" i="9"/>
  <c r="BQ220" i="9"/>
  <c r="BQ158" i="9"/>
  <c r="BQ193" i="9"/>
  <c r="BQ161" i="9"/>
  <c r="BQ264" i="9"/>
  <c r="BQ265" i="9"/>
  <c r="BQ235" i="9"/>
  <c r="BQ250" i="9"/>
  <c r="BQ154" i="9"/>
  <c r="BQ159" i="9"/>
  <c r="BQ229" i="9"/>
  <c r="BQ287" i="9"/>
  <c r="BQ308" i="9"/>
  <c r="BQ244" i="9"/>
  <c r="BQ217" i="9"/>
  <c r="BQ237" i="9"/>
  <c r="BQ249" i="9"/>
  <c r="BQ291" i="9"/>
  <c r="BQ227" i="9"/>
  <c r="BQ310" i="9"/>
  <c r="BQ278" i="9"/>
  <c r="BQ246" i="9"/>
  <c r="BQ210" i="9"/>
  <c r="BQ146" i="9"/>
  <c r="BQ187" i="9"/>
  <c r="BQ155" i="9"/>
  <c r="BQ245" i="9"/>
  <c r="BQ257" i="9"/>
  <c r="BQ295" i="9"/>
  <c r="BQ231" i="9"/>
  <c r="BQ312" i="9"/>
  <c r="BQ280" i="9"/>
  <c r="BQ248" i="9"/>
  <c r="BQ214" i="9"/>
  <c r="BQ150" i="9"/>
  <c r="BQ189" i="9"/>
  <c r="BQ157" i="9"/>
  <c r="BQ317" i="9"/>
  <c r="BQ160" i="9"/>
  <c r="BQ184" i="9"/>
  <c r="BQ267" i="9"/>
  <c r="BQ188" i="9"/>
  <c r="BQ298" i="9"/>
  <c r="BQ266" i="9"/>
  <c r="BQ234" i="9"/>
  <c r="BQ186" i="9"/>
  <c r="BQ207" i="9"/>
  <c r="BQ175" i="9"/>
  <c r="BQ293" i="9"/>
  <c r="BQ305" i="9"/>
  <c r="BQ143" i="9"/>
  <c r="BQ255" i="9"/>
  <c r="BQ164" i="9"/>
  <c r="BQ292" i="9"/>
  <c r="BQ260" i="9"/>
  <c r="BQ228" i="9"/>
  <c r="BQ174" i="9"/>
  <c r="BQ201" i="9"/>
  <c r="BQ169" i="9"/>
  <c r="BQ269" i="9"/>
  <c r="BQ281" i="9"/>
  <c r="BQ307" i="9"/>
  <c r="BQ243" i="9"/>
  <c r="BQ318" i="9"/>
  <c r="BQ286" i="9"/>
  <c r="BQ254" i="9"/>
  <c r="BQ222" i="9"/>
  <c r="BQ162" i="9"/>
  <c r="BQ195" i="9"/>
  <c r="BQ163" i="9"/>
  <c r="BQ277" i="9"/>
  <c r="BQ289" i="9"/>
  <c r="BQ311" i="9"/>
  <c r="BQ247" i="9"/>
  <c r="BQ148" i="9"/>
  <c r="BQ288" i="9"/>
  <c r="BQ256" i="9"/>
  <c r="BQ224" i="9"/>
  <c r="BQ166" i="9"/>
  <c r="BQ197" i="9"/>
  <c r="BQ165" i="9"/>
  <c r="BJ139" i="9"/>
  <c r="BQ221" i="9"/>
  <c r="BQ233" i="9"/>
  <c r="BQ283" i="9"/>
  <c r="BQ219" i="9"/>
  <c r="BQ306" i="9"/>
  <c r="BQ274" i="9"/>
  <c r="BQ242" i="9"/>
  <c r="BQ202" i="9"/>
  <c r="BQ215" i="9"/>
  <c r="BQ183" i="9"/>
  <c r="BQ151" i="9"/>
  <c r="BQ176" i="9"/>
  <c r="BQ200" i="9"/>
  <c r="BQ271" i="9"/>
  <c r="BQ196" i="9"/>
  <c r="BQ300" i="9"/>
  <c r="BQ268" i="9"/>
  <c r="BQ236" i="9"/>
  <c r="BQ190" i="9"/>
  <c r="BQ209" i="9"/>
  <c r="BQ177" i="9"/>
  <c r="BQ145" i="9"/>
  <c r="BQ301" i="9"/>
  <c r="BQ313" i="9"/>
  <c r="BQ152" i="9"/>
  <c r="BQ259" i="9"/>
  <c r="BQ172" i="9"/>
  <c r="BQ294" i="9"/>
  <c r="BQ262" i="9"/>
  <c r="BQ230" i="9"/>
  <c r="BQ178" i="9"/>
  <c r="BQ203" i="9"/>
  <c r="BQ171" i="9"/>
  <c r="BQ309" i="9"/>
  <c r="BQ144" i="9"/>
  <c r="BQ168" i="9"/>
  <c r="BQ263" i="9"/>
  <c r="BQ180" i="9"/>
  <c r="BQ296" i="9"/>
  <c r="BQ232" i="9"/>
  <c r="BQ182" i="9"/>
  <c r="BQ205" i="9"/>
  <c r="BQ173" i="9"/>
  <c r="BQ253" i="9"/>
  <c r="BQ299" i="9"/>
  <c r="BQ314" i="9"/>
  <c r="BQ282" i="9"/>
  <c r="BQ218" i="9"/>
  <c r="BQ191" i="9"/>
  <c r="BQ241" i="9"/>
  <c r="BQ223" i="9"/>
  <c r="BQ276" i="9"/>
  <c r="BQ206" i="9"/>
  <c r="BQ185" i="9"/>
  <c r="BQ153" i="9"/>
  <c r="M72" i="37"/>
  <c r="BQ201" i="11"/>
  <c r="BQ200" i="11"/>
  <c r="BQ314" i="11"/>
  <c r="BQ310" i="11"/>
  <c r="BQ207" i="11"/>
  <c r="BQ198" i="11"/>
  <c r="BQ185" i="11"/>
  <c r="BQ157" i="11"/>
  <c r="BQ302" i="11"/>
  <c r="BQ294" i="11"/>
  <c r="BQ286" i="11"/>
  <c r="BQ278" i="11"/>
  <c r="BQ270" i="11"/>
  <c r="BQ262" i="11"/>
  <c r="BQ254" i="11"/>
  <c r="BQ246" i="11"/>
  <c r="BQ234" i="11"/>
  <c r="BQ226" i="11"/>
  <c r="BQ218" i="11"/>
  <c r="BQ153" i="11"/>
  <c r="BQ184" i="11"/>
  <c r="BQ164" i="11"/>
  <c r="BJ139" i="10"/>
  <c r="BQ201" i="10"/>
  <c r="BQ176" i="10"/>
  <c r="BQ152" i="10"/>
  <c r="BQ222" i="10"/>
  <c r="BQ198" i="10"/>
  <c r="BQ224" i="10"/>
  <c r="BQ202" i="10"/>
  <c r="BQ211" i="10"/>
  <c r="BQ195" i="10"/>
  <c r="BQ146" i="10"/>
  <c r="BQ197" i="10"/>
  <c r="BQ165" i="10"/>
  <c r="BQ318" i="10"/>
  <c r="BQ314" i="10"/>
  <c r="BQ310" i="10"/>
  <c r="BQ306" i="10"/>
  <c r="BQ302" i="10"/>
  <c r="BQ298" i="10"/>
  <c r="BQ294" i="10"/>
  <c r="BQ290" i="10"/>
  <c r="BQ286" i="10"/>
  <c r="BQ282" i="10"/>
  <c r="BQ278" i="10"/>
  <c r="BQ274" i="10"/>
  <c r="BQ270" i="10"/>
  <c r="BQ266" i="10"/>
  <c r="BQ262" i="10"/>
  <c r="BQ258" i="10"/>
  <c r="BQ254" i="10"/>
  <c r="BQ250" i="10"/>
  <c r="BQ246" i="10"/>
  <c r="BQ242" i="10"/>
  <c r="BQ238" i="10"/>
  <c r="BQ234" i="10"/>
  <c r="BQ210" i="10"/>
  <c r="BQ186" i="10"/>
  <c r="BQ166" i="10"/>
  <c r="BQ151" i="10"/>
  <c r="BQ225" i="10"/>
  <c r="BQ217" i="10"/>
  <c r="BQ193" i="10"/>
  <c r="BQ175" i="10"/>
  <c r="BQ171" i="10"/>
  <c r="BQ209" i="11"/>
  <c r="BQ171" i="11"/>
  <c r="BQ208" i="11"/>
  <c r="BQ154" i="11"/>
  <c r="BQ316" i="11"/>
  <c r="BQ312" i="11"/>
  <c r="BQ168" i="11"/>
  <c r="BQ143" i="11"/>
  <c r="BQ199" i="11"/>
  <c r="BQ206" i="11"/>
  <c r="BQ165" i="11"/>
  <c r="BQ189" i="11"/>
  <c r="BQ181" i="11"/>
  <c r="BQ173" i="11"/>
  <c r="BQ308" i="11"/>
  <c r="BQ304" i="11"/>
  <c r="BQ300" i="11"/>
  <c r="BQ296" i="11"/>
  <c r="BQ292" i="11"/>
  <c r="BQ288" i="11"/>
  <c r="BQ284" i="11"/>
  <c r="BQ280" i="11"/>
  <c r="BQ276" i="11"/>
  <c r="BQ272" i="11"/>
  <c r="BQ268" i="11"/>
  <c r="BQ264" i="11"/>
  <c r="BQ260" i="11"/>
  <c r="BQ256" i="11"/>
  <c r="BQ252" i="11"/>
  <c r="BQ248" i="11"/>
  <c r="BQ244" i="11"/>
  <c r="BQ240" i="11"/>
  <c r="BQ236" i="11"/>
  <c r="BQ232" i="11"/>
  <c r="BQ228" i="11"/>
  <c r="BQ224" i="11"/>
  <c r="BQ220" i="11"/>
  <c r="BQ216" i="11"/>
  <c r="BQ161" i="11"/>
  <c r="BQ145" i="11"/>
  <c r="BQ188" i="11"/>
  <c r="BQ180" i="11"/>
  <c r="BQ172" i="11"/>
  <c r="BK142" i="13"/>
  <c r="BK143" i="13" s="1"/>
  <c r="BL143" i="13"/>
  <c r="BO142" i="13"/>
  <c r="BO143" i="13" s="1"/>
  <c r="BN143" i="13"/>
  <c r="BO142" i="12"/>
  <c r="BO143" i="12" s="1"/>
  <c r="BN143" i="12"/>
  <c r="BK142" i="12"/>
  <c r="BK143" i="12" s="1"/>
  <c r="BL143" i="12"/>
  <c r="BO142" i="11"/>
  <c r="BN147" i="11"/>
  <c r="BN155" i="11"/>
  <c r="BN163" i="11"/>
  <c r="BN171" i="11"/>
  <c r="BN197" i="11"/>
  <c r="BN198" i="11"/>
  <c r="BN199" i="11"/>
  <c r="BN200" i="11"/>
  <c r="BN201" i="11"/>
  <c r="BN202" i="11"/>
  <c r="BN203" i="11"/>
  <c r="BN204" i="11"/>
  <c r="BN205" i="11"/>
  <c r="BN206" i="11"/>
  <c r="BN207" i="11"/>
  <c r="BN208" i="11"/>
  <c r="BN209" i="11"/>
  <c r="BN210" i="11"/>
  <c r="BN211" i="11"/>
  <c r="BN212" i="11"/>
  <c r="BN213" i="11"/>
  <c r="BN214" i="11"/>
  <c r="BN215" i="11"/>
  <c r="BN216" i="11"/>
  <c r="BN217" i="11"/>
  <c r="BN218" i="11"/>
  <c r="BN219" i="11"/>
  <c r="BN220" i="11"/>
  <c r="BN221" i="11"/>
  <c r="BN222" i="11"/>
  <c r="BN223" i="11"/>
  <c r="BN224" i="11"/>
  <c r="BN225" i="11"/>
  <c r="BN226" i="11"/>
  <c r="BN227" i="11"/>
  <c r="BN228" i="11"/>
  <c r="BN229" i="11"/>
  <c r="BN230" i="11"/>
  <c r="BN231" i="11"/>
  <c r="BN232" i="11"/>
  <c r="BN233" i="11"/>
  <c r="BN234" i="11"/>
  <c r="BN235" i="11"/>
  <c r="BN236" i="11"/>
  <c r="BN237" i="11"/>
  <c r="BN238" i="11"/>
  <c r="BN239" i="11"/>
  <c r="BN240" i="11"/>
  <c r="BN241" i="11"/>
  <c r="BN242" i="11"/>
  <c r="BN243" i="11"/>
  <c r="BN244" i="11"/>
  <c r="BN245" i="11"/>
  <c r="BN246" i="11"/>
  <c r="BN247" i="11"/>
  <c r="BN248" i="11"/>
  <c r="BN249" i="11"/>
  <c r="BN250" i="11"/>
  <c r="BN251" i="11"/>
  <c r="BN252" i="11"/>
  <c r="BN253" i="11"/>
  <c r="BN254" i="11"/>
  <c r="BN255" i="11"/>
  <c r="BN256" i="11"/>
  <c r="BN257" i="11"/>
  <c r="BN258" i="11"/>
  <c r="BN259" i="11"/>
  <c r="BN260" i="11"/>
  <c r="BN261" i="11"/>
  <c r="BN262" i="11"/>
  <c r="BN263" i="11"/>
  <c r="BN264" i="11"/>
  <c r="BN265" i="11"/>
  <c r="BN266" i="11"/>
  <c r="BN267" i="11"/>
  <c r="BN268" i="11"/>
  <c r="BN269" i="11"/>
  <c r="BN270" i="11"/>
  <c r="BN271" i="11"/>
  <c r="BN272" i="11"/>
  <c r="BN273" i="11"/>
  <c r="BN274" i="11"/>
  <c r="BN275" i="11"/>
  <c r="BN276" i="11"/>
  <c r="BN277" i="11"/>
  <c r="BN278" i="11"/>
  <c r="BN279" i="11"/>
  <c r="BN280" i="11"/>
  <c r="BN281" i="11"/>
  <c r="BN282" i="11"/>
  <c r="BN283" i="11"/>
  <c r="BN284" i="11"/>
  <c r="BN285" i="11"/>
  <c r="BN286" i="11"/>
  <c r="BN287" i="11"/>
  <c r="BN288" i="11"/>
  <c r="BN289" i="11"/>
  <c r="BN290" i="11"/>
  <c r="BN291" i="11"/>
  <c r="BN292" i="11"/>
  <c r="BN293" i="11"/>
  <c r="BN294" i="11"/>
  <c r="BN295" i="11"/>
  <c r="BN296" i="11"/>
  <c r="BN297" i="11"/>
  <c r="BN298" i="11"/>
  <c r="BN299" i="11"/>
  <c r="BN300" i="11"/>
  <c r="BN301" i="11"/>
  <c r="BN302" i="11"/>
  <c r="BN303" i="11"/>
  <c r="BN304" i="11"/>
  <c r="BN305" i="11"/>
  <c r="BN306" i="11"/>
  <c r="BN307" i="11"/>
  <c r="BN308" i="11"/>
  <c r="BN149" i="11"/>
  <c r="BN157" i="11"/>
  <c r="BN165" i="11"/>
  <c r="BN173" i="11"/>
  <c r="BN174" i="11"/>
  <c r="BN175" i="11"/>
  <c r="BN176" i="11"/>
  <c r="BN177" i="11"/>
  <c r="BN178" i="11"/>
  <c r="BN179" i="11"/>
  <c r="BN180" i="11"/>
  <c r="BN181" i="11"/>
  <c r="BN182" i="11"/>
  <c r="BN183" i="11"/>
  <c r="BN184" i="11"/>
  <c r="BN185" i="11"/>
  <c r="BN186" i="11"/>
  <c r="BN187" i="11"/>
  <c r="BN188" i="11"/>
  <c r="BN189" i="11"/>
  <c r="BN190" i="11"/>
  <c r="BN191" i="11"/>
  <c r="BN192" i="11"/>
  <c r="BN193" i="11"/>
  <c r="BN194" i="11"/>
  <c r="BN195" i="11"/>
  <c r="BN196" i="11"/>
  <c r="BN153" i="11"/>
  <c r="BN169" i="11"/>
  <c r="BN309" i="11"/>
  <c r="BN310" i="11"/>
  <c r="BN311" i="11"/>
  <c r="BN312" i="11"/>
  <c r="BN313" i="11"/>
  <c r="BN314" i="11"/>
  <c r="BN315" i="11"/>
  <c r="BN316" i="11"/>
  <c r="BN317" i="11"/>
  <c r="BN318" i="11"/>
  <c r="BN161" i="11"/>
  <c r="BN159" i="11"/>
  <c r="BN145" i="11"/>
  <c r="BN151" i="11"/>
  <c r="BN167" i="11"/>
  <c r="BN166" i="11"/>
  <c r="BN158" i="11"/>
  <c r="BN150" i="11"/>
  <c r="BN172" i="11"/>
  <c r="BN168" i="11"/>
  <c r="BN154" i="11"/>
  <c r="BN144" i="11"/>
  <c r="BN156" i="11"/>
  <c r="BN143" i="11"/>
  <c r="BN170" i="11"/>
  <c r="BN160" i="11"/>
  <c r="BN152" i="11"/>
  <c r="BN162" i="11"/>
  <c r="BN146" i="11"/>
  <c r="BN164" i="11"/>
  <c r="BN148" i="11"/>
  <c r="BK142" i="11"/>
  <c r="BL145" i="11"/>
  <c r="BL153" i="11"/>
  <c r="BL161" i="11"/>
  <c r="BL169" i="11"/>
  <c r="BL147" i="11"/>
  <c r="BL155" i="11"/>
  <c r="BL163" i="11"/>
  <c r="BL171" i="11"/>
  <c r="BL197" i="11"/>
  <c r="BL199" i="11"/>
  <c r="BL201" i="11"/>
  <c r="BL203" i="11"/>
  <c r="BL205" i="11"/>
  <c r="BL207" i="11"/>
  <c r="BL209" i="11"/>
  <c r="BL211" i="11"/>
  <c r="BL213" i="11"/>
  <c r="BL215" i="11"/>
  <c r="BL151" i="11"/>
  <c r="BL167" i="11"/>
  <c r="BL159" i="11"/>
  <c r="BL310" i="11"/>
  <c r="BL311" i="11"/>
  <c r="BL312" i="11"/>
  <c r="BL313" i="11"/>
  <c r="BL314" i="11"/>
  <c r="BL149" i="11"/>
  <c r="BL165" i="11"/>
  <c r="BL157" i="11"/>
  <c r="BL173" i="11"/>
  <c r="BL175" i="11"/>
  <c r="BL177" i="11"/>
  <c r="BL179" i="11"/>
  <c r="BL181" i="11"/>
  <c r="BL183" i="11"/>
  <c r="BL185" i="11"/>
  <c r="BL187" i="11"/>
  <c r="BL189" i="11"/>
  <c r="BL191" i="11"/>
  <c r="BL193" i="11"/>
  <c r="BL195" i="11"/>
  <c r="BL216" i="11"/>
  <c r="BL217" i="11"/>
  <c r="BL218" i="11"/>
  <c r="BL219" i="11"/>
  <c r="BL220" i="11"/>
  <c r="BL221" i="11"/>
  <c r="BL222" i="11"/>
  <c r="BL223" i="11"/>
  <c r="BL224" i="11"/>
  <c r="BL225" i="11"/>
  <c r="BL226" i="11"/>
  <c r="BL227" i="11"/>
  <c r="BL228" i="11"/>
  <c r="BL229" i="11"/>
  <c r="BL230" i="11"/>
  <c r="BL231" i="11"/>
  <c r="BL232" i="11"/>
  <c r="BL233" i="11"/>
  <c r="BL234" i="11"/>
  <c r="BL235" i="11"/>
  <c r="BL236" i="11"/>
  <c r="BL237" i="11"/>
  <c r="BL238" i="11"/>
  <c r="BL239" i="11"/>
  <c r="BL240" i="11"/>
  <c r="BL241" i="11"/>
  <c r="BL242" i="11"/>
  <c r="BL243" i="11"/>
  <c r="BL244" i="11"/>
  <c r="BL245" i="11"/>
  <c r="BL246" i="11"/>
  <c r="BL247" i="11"/>
  <c r="BL248" i="11"/>
  <c r="BL249" i="11"/>
  <c r="BL250" i="11"/>
  <c r="BL251" i="11"/>
  <c r="BL252" i="11"/>
  <c r="BL253" i="11"/>
  <c r="BL254" i="11"/>
  <c r="BL255" i="11"/>
  <c r="BL256" i="11"/>
  <c r="BL257" i="11"/>
  <c r="BL258" i="11"/>
  <c r="BL259" i="11"/>
  <c r="BL260" i="11"/>
  <c r="BL261" i="11"/>
  <c r="BL262" i="11"/>
  <c r="BL263" i="11"/>
  <c r="BL264" i="11"/>
  <c r="BL265" i="11"/>
  <c r="BL266" i="11"/>
  <c r="BL267" i="11"/>
  <c r="BL268" i="11"/>
  <c r="BL269" i="11"/>
  <c r="BL270" i="11"/>
  <c r="BL271" i="11"/>
  <c r="BL272" i="11"/>
  <c r="BL273" i="11"/>
  <c r="BL274" i="11"/>
  <c r="BL275" i="11"/>
  <c r="BL276" i="11"/>
  <c r="BL277" i="11"/>
  <c r="BL278" i="11"/>
  <c r="BL279" i="11"/>
  <c r="BL280" i="11"/>
  <c r="BL281" i="11"/>
  <c r="BL282" i="11"/>
  <c r="BL283" i="11"/>
  <c r="BL284" i="11"/>
  <c r="BL285" i="11"/>
  <c r="BL286" i="11"/>
  <c r="BL287" i="11"/>
  <c r="BL288" i="11"/>
  <c r="BL289" i="11"/>
  <c r="BL290" i="11"/>
  <c r="BL291" i="11"/>
  <c r="BL292" i="11"/>
  <c r="BL293" i="11"/>
  <c r="BL294" i="11"/>
  <c r="BL295" i="11"/>
  <c r="BL296" i="11"/>
  <c r="BL297" i="11"/>
  <c r="BL298" i="11"/>
  <c r="BL299" i="11"/>
  <c r="BL300" i="11"/>
  <c r="BL301" i="11"/>
  <c r="BL302" i="11"/>
  <c r="BL303" i="11"/>
  <c r="BL304" i="11"/>
  <c r="BL305" i="11"/>
  <c r="BL306" i="11"/>
  <c r="BL307" i="11"/>
  <c r="BL308" i="11"/>
  <c r="BL309" i="11"/>
  <c r="BL315" i="11"/>
  <c r="BL316" i="11"/>
  <c r="BL317" i="11"/>
  <c r="BL318" i="11"/>
  <c r="BL212" i="11"/>
  <c r="BL204" i="11"/>
  <c r="BL190" i="11"/>
  <c r="BL182" i="11"/>
  <c r="BL174" i="11"/>
  <c r="BL143" i="11"/>
  <c r="BL200" i="11"/>
  <c r="BL194" i="11"/>
  <c r="BL186" i="11"/>
  <c r="BL178" i="11"/>
  <c r="BL170" i="11"/>
  <c r="BL144" i="11"/>
  <c r="BL202" i="11"/>
  <c r="BL196" i="11"/>
  <c r="BL180" i="11"/>
  <c r="BL214" i="11"/>
  <c r="BL206" i="11"/>
  <c r="BL198" i="11"/>
  <c r="BL192" i="11"/>
  <c r="BL184" i="11"/>
  <c r="BL176" i="11"/>
  <c r="BL208" i="11"/>
  <c r="BL168" i="11"/>
  <c r="BL210" i="11"/>
  <c r="BL188" i="11"/>
  <c r="BL172" i="11"/>
  <c r="BL166" i="11"/>
  <c r="BL150" i="11"/>
  <c r="BL148" i="11"/>
  <c r="BL152" i="11"/>
  <c r="BL156" i="11"/>
  <c r="BL146" i="11"/>
  <c r="BL158" i="11"/>
  <c r="BL164" i="11"/>
  <c r="BL160" i="11"/>
  <c r="BL162" i="11"/>
  <c r="BL154" i="11"/>
  <c r="BK142" i="10"/>
  <c r="BL147" i="10"/>
  <c r="BL180" i="10"/>
  <c r="BL184" i="10"/>
  <c r="BL188" i="10"/>
  <c r="BL192" i="10"/>
  <c r="BL196" i="10"/>
  <c r="BL198" i="10"/>
  <c r="BL200" i="10"/>
  <c r="BL202" i="10"/>
  <c r="BL204" i="10"/>
  <c r="BL206" i="10"/>
  <c r="BL208" i="10"/>
  <c r="BL212" i="10"/>
  <c r="BL232" i="10"/>
  <c r="BL233" i="10"/>
  <c r="BL234" i="10"/>
  <c r="BL235" i="10"/>
  <c r="BL236" i="10"/>
  <c r="BL237" i="10"/>
  <c r="BL238" i="10"/>
  <c r="BL239" i="10"/>
  <c r="BL240" i="10"/>
  <c r="BL241" i="10"/>
  <c r="BL242" i="10"/>
  <c r="BL243" i="10"/>
  <c r="BL244" i="10"/>
  <c r="BL245" i="10"/>
  <c r="BL246" i="10"/>
  <c r="BL247" i="10"/>
  <c r="BL248" i="10"/>
  <c r="BL249" i="10"/>
  <c r="BL250" i="10"/>
  <c r="BL251" i="10"/>
  <c r="BL252" i="10"/>
  <c r="BL253" i="10"/>
  <c r="BL254" i="10"/>
  <c r="BL255" i="10"/>
  <c r="BL256" i="10"/>
  <c r="BL257" i="10"/>
  <c r="BL258" i="10"/>
  <c r="BL259" i="10"/>
  <c r="BL260" i="10"/>
  <c r="BL261" i="10"/>
  <c r="BL262" i="10"/>
  <c r="BL263" i="10"/>
  <c r="BL264" i="10"/>
  <c r="BL265" i="10"/>
  <c r="BL266" i="10"/>
  <c r="BL267" i="10"/>
  <c r="BL268" i="10"/>
  <c r="BL269" i="10"/>
  <c r="BL270" i="10"/>
  <c r="BL271" i="10"/>
  <c r="BL272" i="10"/>
  <c r="BL273" i="10"/>
  <c r="BL274" i="10"/>
  <c r="BL275" i="10"/>
  <c r="BL276" i="10"/>
  <c r="BL277" i="10"/>
  <c r="BL278" i="10"/>
  <c r="BL279" i="10"/>
  <c r="BL280" i="10"/>
  <c r="BL281" i="10"/>
  <c r="BL282" i="10"/>
  <c r="BL145" i="10"/>
  <c r="BL178" i="10"/>
  <c r="BL181" i="10"/>
  <c r="BL185" i="10"/>
  <c r="BL189" i="10"/>
  <c r="BL193" i="10"/>
  <c r="BL209" i="10"/>
  <c r="BL213" i="10"/>
  <c r="BL215" i="10"/>
  <c r="BL217" i="10"/>
  <c r="BL219" i="10"/>
  <c r="BL221" i="10"/>
  <c r="BL223" i="10"/>
  <c r="BL225" i="10"/>
  <c r="BL227" i="10"/>
  <c r="BL229" i="10"/>
  <c r="BL231" i="10"/>
  <c r="BL177" i="10"/>
  <c r="BL210" i="10"/>
  <c r="BL211" i="10"/>
  <c r="BL175" i="10"/>
  <c r="BL176" i="10"/>
  <c r="BL182" i="10"/>
  <c r="BL190" i="10"/>
  <c r="BL290" i="10"/>
  <c r="BL292" i="10"/>
  <c r="BL294" i="10"/>
  <c r="BL296" i="10"/>
  <c r="BL298" i="10"/>
  <c r="BL300" i="10"/>
  <c r="BL314" i="10"/>
  <c r="BL318" i="10"/>
  <c r="BL151" i="10"/>
  <c r="BL174" i="10"/>
  <c r="BL207" i="10"/>
  <c r="BL149" i="10"/>
  <c r="BL173" i="10"/>
  <c r="BL179" i="10"/>
  <c r="BL186" i="10"/>
  <c r="BL187" i="10"/>
  <c r="BL194" i="10"/>
  <c r="BL195" i="10"/>
  <c r="BL283" i="10"/>
  <c r="BL285" i="10"/>
  <c r="BL287" i="10"/>
  <c r="BL289" i="10"/>
  <c r="BL291" i="10"/>
  <c r="BL293" i="10"/>
  <c r="BL295" i="10"/>
  <c r="BL297" i="10"/>
  <c r="BL299" i="10"/>
  <c r="BL301" i="10"/>
  <c r="BL303" i="10"/>
  <c r="BL305" i="10"/>
  <c r="BL307" i="10"/>
  <c r="BL309" i="10"/>
  <c r="BL311" i="10"/>
  <c r="BL313" i="10"/>
  <c r="BL315" i="10"/>
  <c r="BL317" i="10"/>
  <c r="BL183" i="10"/>
  <c r="BL191" i="10"/>
  <c r="BL284" i="10"/>
  <c r="BL286" i="10"/>
  <c r="BL288" i="10"/>
  <c r="BL302" i="10"/>
  <c r="BL304" i="10"/>
  <c r="BL306" i="10"/>
  <c r="BL308" i="10"/>
  <c r="BL310" i="10"/>
  <c r="BL312" i="10"/>
  <c r="BL316" i="10"/>
  <c r="BL171" i="10"/>
  <c r="BL158" i="10"/>
  <c r="BL230" i="10"/>
  <c r="BL222" i="10"/>
  <c r="BL214" i="10"/>
  <c r="BL168" i="10"/>
  <c r="BL161" i="10"/>
  <c r="BL201" i="10"/>
  <c r="BL172" i="10"/>
  <c r="BL148" i="10"/>
  <c r="BL224" i="10"/>
  <c r="BL146" i="10"/>
  <c r="BL165" i="10"/>
  <c r="BL203" i="10"/>
  <c r="BL226" i="10"/>
  <c r="BL156" i="10"/>
  <c r="BL169" i="10"/>
  <c r="BL197" i="10"/>
  <c r="BL164" i="10"/>
  <c r="BL155" i="10"/>
  <c r="BL154" i="10"/>
  <c r="BL167" i="10"/>
  <c r="BL228" i="10"/>
  <c r="BL220" i="10"/>
  <c r="BL160" i="10"/>
  <c r="BL157" i="10"/>
  <c r="BL199" i="10"/>
  <c r="BL166" i="10"/>
  <c r="BL144" i="10"/>
  <c r="BL143" i="10"/>
  <c r="BL162" i="10"/>
  <c r="BL159" i="10"/>
  <c r="BL216" i="10"/>
  <c r="BL150" i="10"/>
  <c r="BL170" i="10"/>
  <c r="BL152" i="10"/>
  <c r="BL163" i="10"/>
  <c r="BL218" i="10"/>
  <c r="BL153" i="10"/>
  <c r="BL205" i="10"/>
  <c r="BO142" i="10"/>
  <c r="BN149" i="10"/>
  <c r="BN154" i="10"/>
  <c r="BN158" i="10"/>
  <c r="BN162" i="10"/>
  <c r="BN166" i="10"/>
  <c r="BN170" i="10"/>
  <c r="BN176" i="10"/>
  <c r="BN177" i="10"/>
  <c r="BN179" i="10"/>
  <c r="BN183" i="10"/>
  <c r="BN187" i="10"/>
  <c r="BN191" i="10"/>
  <c r="BN195" i="10"/>
  <c r="BN207" i="10"/>
  <c r="BN211" i="10"/>
  <c r="BN147" i="10"/>
  <c r="BN153" i="10"/>
  <c r="BN157" i="10"/>
  <c r="BN161" i="10"/>
  <c r="BN165" i="10"/>
  <c r="BN169" i="10"/>
  <c r="BN173" i="10"/>
  <c r="BN174" i="10"/>
  <c r="BN175" i="10"/>
  <c r="BN180" i="10"/>
  <c r="BN184" i="10"/>
  <c r="BN188" i="10"/>
  <c r="BN192" i="10"/>
  <c r="BN196" i="10"/>
  <c r="BN197" i="10"/>
  <c r="BN198" i="10"/>
  <c r="BN199" i="10"/>
  <c r="BN200" i="10"/>
  <c r="BN201" i="10"/>
  <c r="BN202" i="10"/>
  <c r="BN203" i="10"/>
  <c r="BN204" i="10"/>
  <c r="BN205" i="10"/>
  <c r="BN208" i="10"/>
  <c r="BN212" i="10"/>
  <c r="BN145" i="10"/>
  <c r="BN181" i="10"/>
  <c r="BN182" i="10"/>
  <c r="BN189" i="10"/>
  <c r="BN190" i="10"/>
  <c r="BN216" i="10"/>
  <c r="BN220" i="10"/>
  <c r="BN224" i="10"/>
  <c r="BN228" i="10"/>
  <c r="BN234" i="10"/>
  <c r="BN238" i="10"/>
  <c r="BN242" i="10"/>
  <c r="BN246" i="10"/>
  <c r="BN250" i="10"/>
  <c r="BN254" i="10"/>
  <c r="BN258" i="10"/>
  <c r="BN262" i="10"/>
  <c r="BN266" i="10"/>
  <c r="BN270" i="10"/>
  <c r="BN274" i="10"/>
  <c r="BN278" i="10"/>
  <c r="BN282" i="10"/>
  <c r="BN284" i="10"/>
  <c r="BN286" i="10"/>
  <c r="BN288" i="10"/>
  <c r="BN290" i="10"/>
  <c r="BN292" i="10"/>
  <c r="BN294" i="10"/>
  <c r="BN296" i="10"/>
  <c r="BN298" i="10"/>
  <c r="BN300" i="10"/>
  <c r="BN302" i="10"/>
  <c r="BN304" i="10"/>
  <c r="BN306" i="10"/>
  <c r="BN308" i="10"/>
  <c r="BN310" i="10"/>
  <c r="BN312" i="10"/>
  <c r="BN314" i="10"/>
  <c r="BN316" i="10"/>
  <c r="BN318" i="10"/>
  <c r="BN151" i="10"/>
  <c r="BN167" i="10"/>
  <c r="BN171" i="10"/>
  <c r="BN217" i="10"/>
  <c r="BN221" i="10"/>
  <c r="BN225" i="10"/>
  <c r="BN229" i="10"/>
  <c r="BN233" i="10"/>
  <c r="BN245" i="10"/>
  <c r="BN253" i="10"/>
  <c r="BN269" i="10"/>
  <c r="BN273" i="10"/>
  <c r="BN277" i="10"/>
  <c r="BN281" i="10"/>
  <c r="BN214" i="10"/>
  <c r="BN218" i="10"/>
  <c r="BN230" i="10"/>
  <c r="BN232" i="10"/>
  <c r="BN236" i="10"/>
  <c r="BN240" i="10"/>
  <c r="BN256" i="10"/>
  <c r="BN280" i="10"/>
  <c r="BN283" i="10"/>
  <c r="BN287" i="10"/>
  <c r="BN291" i="10"/>
  <c r="BN293" i="10"/>
  <c r="BN299" i="10"/>
  <c r="BN303" i="10"/>
  <c r="BN305" i="10"/>
  <c r="BN311" i="10"/>
  <c r="BN315" i="10"/>
  <c r="BN317" i="10"/>
  <c r="BN156" i="10"/>
  <c r="BN160" i="10"/>
  <c r="BN164" i="10"/>
  <c r="BN168" i="10"/>
  <c r="BN178" i="10"/>
  <c r="BN209" i="10"/>
  <c r="BN210" i="10"/>
  <c r="BN215" i="10"/>
  <c r="BN219" i="10"/>
  <c r="BN223" i="10"/>
  <c r="BN227" i="10"/>
  <c r="BN231" i="10"/>
  <c r="BN235" i="10"/>
  <c r="BN239" i="10"/>
  <c r="BN243" i="10"/>
  <c r="BN247" i="10"/>
  <c r="BN251" i="10"/>
  <c r="BN255" i="10"/>
  <c r="BN259" i="10"/>
  <c r="BN263" i="10"/>
  <c r="BN267" i="10"/>
  <c r="BN271" i="10"/>
  <c r="BN275" i="10"/>
  <c r="BN279" i="10"/>
  <c r="BN155" i="10"/>
  <c r="BN159" i="10"/>
  <c r="BN163" i="10"/>
  <c r="BN213" i="10"/>
  <c r="BN237" i="10"/>
  <c r="BN241" i="10"/>
  <c r="BN249" i="10"/>
  <c r="BN257" i="10"/>
  <c r="BN261" i="10"/>
  <c r="BN265" i="10"/>
  <c r="BN185" i="10"/>
  <c r="BN186" i="10"/>
  <c r="BN193" i="10"/>
  <c r="BN194" i="10"/>
  <c r="BN206" i="10"/>
  <c r="BN222" i="10"/>
  <c r="BN226" i="10"/>
  <c r="BN244" i="10"/>
  <c r="BN248" i="10"/>
  <c r="BN252" i="10"/>
  <c r="BN260" i="10"/>
  <c r="BN264" i="10"/>
  <c r="BN268" i="10"/>
  <c r="BN272" i="10"/>
  <c r="BN276" i="10"/>
  <c r="BN285" i="10"/>
  <c r="BN289" i="10"/>
  <c r="BN295" i="10"/>
  <c r="BN297" i="10"/>
  <c r="BN301" i="10"/>
  <c r="BN307" i="10"/>
  <c r="BN309" i="10"/>
  <c r="BN313" i="10"/>
  <c r="BN152" i="10"/>
  <c r="BN146" i="10"/>
  <c r="BN144" i="10"/>
  <c r="BN150" i="10"/>
  <c r="BN148" i="10"/>
  <c r="BN172" i="10"/>
  <c r="BN143" i="10"/>
  <c r="M60" i="37"/>
  <c r="M16" i="40"/>
  <c r="M38" i="37"/>
  <c r="N16" i="49"/>
  <c r="K16" i="49"/>
  <c r="V138" i="9"/>
  <c r="V134" i="9"/>
  <c r="B138" i="9"/>
  <c r="B134" i="9"/>
  <c r="B16" i="9"/>
  <c r="AL318" i="9"/>
  <c r="AM318" i="9" s="1"/>
  <c r="AI318" i="9"/>
  <c r="E129" i="14"/>
  <c r="E134" i="14" s="1"/>
  <c r="E141" i="14" s="1"/>
  <c r="Y23" i="3"/>
  <c r="W24" i="3"/>
  <c r="Y22" i="3"/>
  <c r="F25" i="7"/>
  <c r="F38" i="7" s="1"/>
  <c r="K60" i="37"/>
  <c r="H25" i="7"/>
  <c r="H38" i="7" s="1"/>
  <c r="G25" i="7"/>
  <c r="G38" i="7" s="1"/>
  <c r="E25" i="7"/>
  <c r="E38" i="7" s="1"/>
  <c r="L16" i="40"/>
  <c r="C65" i="14"/>
  <c r="N60" i="37"/>
  <c r="K16" i="40"/>
  <c r="F362" i="8"/>
  <c r="I10" i="49" s="1"/>
  <c r="L10" i="49" s="1"/>
  <c r="C18" i="14"/>
  <c r="F136" i="8"/>
  <c r="I54" i="37" s="1"/>
  <c r="L54" i="37" s="1"/>
  <c r="J60" i="37"/>
  <c r="J38" i="37"/>
  <c r="N16" i="40"/>
  <c r="K17" i="7"/>
  <c r="C63" i="14"/>
  <c r="C64" i="14"/>
  <c r="F313" i="3"/>
  <c r="H313" i="3"/>
  <c r="X15" i="3"/>
  <c r="Y303" i="13"/>
  <c r="H57" i="14"/>
  <c r="F21" i="3"/>
  <c r="G21" i="3" s="1"/>
  <c r="J13" i="27"/>
  <c r="F25" i="3"/>
  <c r="G25" i="3" s="1"/>
  <c r="D88" i="14"/>
  <c r="D95" i="14" s="1"/>
  <c r="D89" i="14"/>
  <c r="D96" i="14" s="1"/>
  <c r="D85" i="14"/>
  <c r="D92" i="14" s="1"/>
  <c r="D86" i="14"/>
  <c r="D93" i="14" s="1"/>
  <c r="F22" i="3"/>
  <c r="G22" i="3" s="1"/>
  <c r="H29" i="3"/>
  <c r="A30" i="3"/>
  <c r="F30" i="3" s="1"/>
  <c r="G30" i="3" s="1"/>
  <c r="C29" i="3"/>
  <c r="D29" i="3" s="1"/>
  <c r="H86" i="14"/>
  <c r="H89" i="14"/>
  <c r="H96" i="14" s="1"/>
  <c r="H88" i="14"/>
  <c r="H95" i="14" s="1"/>
  <c r="L12" i="38"/>
  <c r="G12" i="27" s="1"/>
  <c r="I20" i="25" s="1"/>
  <c r="L15" i="38"/>
  <c r="L17" i="38" s="1"/>
  <c r="J12" i="38"/>
  <c r="E12" i="27" s="1"/>
  <c r="G20" i="25" s="1"/>
  <c r="J15" i="38"/>
  <c r="J17" i="38" s="1"/>
  <c r="Y315" i="12"/>
  <c r="M12" i="38"/>
  <c r="H12" i="27" s="1"/>
  <c r="M15" i="38"/>
  <c r="M17" i="38" s="1"/>
  <c r="K12" i="38"/>
  <c r="F12" i="27" s="1"/>
  <c r="K15" i="38"/>
  <c r="K17" i="38" s="1"/>
  <c r="N12" i="38"/>
  <c r="I12" i="27" s="1"/>
  <c r="J12" i="27" s="1"/>
  <c r="N15" i="38"/>
  <c r="N17" i="38" s="1"/>
  <c r="F20" i="3"/>
  <c r="G20" i="3" s="1"/>
  <c r="F26" i="3"/>
  <c r="G26" i="3" s="1"/>
  <c r="F27" i="3"/>
  <c r="G27" i="3" s="1"/>
  <c r="F57" i="14"/>
  <c r="G57" i="14"/>
  <c r="AH189" i="13"/>
  <c r="H87" i="14"/>
  <c r="F23" i="3"/>
  <c r="G23" i="3" s="1"/>
  <c r="F28" i="3"/>
  <c r="G28" i="3" s="1"/>
  <c r="F29" i="3"/>
  <c r="G29" i="3" s="1"/>
  <c r="F24" i="3"/>
  <c r="G24" i="3" s="1"/>
  <c r="E57" i="14"/>
  <c r="G85" i="14"/>
  <c r="G87" i="14"/>
  <c r="E155" i="14"/>
  <c r="M10" i="37"/>
  <c r="J9" i="27"/>
  <c r="E41" i="14"/>
  <c r="E48" i="14" s="1"/>
  <c r="K32" i="37"/>
  <c r="J32" i="37"/>
  <c r="N32" i="37"/>
  <c r="L32" i="37"/>
  <c r="M32" i="37"/>
  <c r="G93" i="14"/>
  <c r="H93" i="14" s="1"/>
  <c r="K16" i="37"/>
  <c r="N16" i="37"/>
  <c r="J16" i="37"/>
  <c r="L16" i="37"/>
  <c r="M16" i="37"/>
  <c r="I14" i="25"/>
  <c r="AJ306" i="9"/>
  <c r="AH239" i="12"/>
  <c r="H111" i="14"/>
  <c r="H118" i="14" s="1"/>
  <c r="O169" i="13"/>
  <c r="AJ162" i="12"/>
  <c r="AJ209" i="13"/>
  <c r="AJ242" i="9"/>
  <c r="G89" i="14"/>
  <c r="G96" i="14" s="1"/>
  <c r="AJ275" i="13"/>
  <c r="AJ290" i="13"/>
  <c r="AJ176" i="9"/>
  <c r="F89" i="14"/>
  <c r="F96" i="14" s="1"/>
  <c r="G86" i="14"/>
  <c r="F87" i="14"/>
  <c r="F94" i="14" s="1"/>
  <c r="F85" i="14"/>
  <c r="F92" i="14" s="1"/>
  <c r="H108" i="14"/>
  <c r="H109" i="14"/>
  <c r="F88" i="14"/>
  <c r="F95" i="14" s="1"/>
  <c r="H112" i="14"/>
  <c r="H119" i="14" s="1"/>
  <c r="AH302" i="13"/>
  <c r="AH233" i="12"/>
  <c r="AH232" i="13"/>
  <c r="AH311" i="12"/>
  <c r="AJ172" i="13"/>
  <c r="AJ226" i="13"/>
  <c r="AJ257" i="13"/>
  <c r="AJ167" i="9"/>
  <c r="AJ231" i="9"/>
  <c r="AJ297" i="9"/>
  <c r="AJ157" i="13"/>
  <c r="AJ280" i="13"/>
  <c r="AJ144" i="9"/>
  <c r="AJ208" i="9"/>
  <c r="AJ274" i="9"/>
  <c r="AJ200" i="13"/>
  <c r="AJ240" i="13"/>
  <c r="AJ311" i="13"/>
  <c r="AJ199" i="9"/>
  <c r="AJ265" i="9"/>
  <c r="AJ222" i="13"/>
  <c r="AJ170" i="13"/>
  <c r="AJ189" i="13"/>
  <c r="AJ227" i="13"/>
  <c r="AJ304" i="13"/>
  <c r="AJ297" i="13"/>
  <c r="AJ160" i="9"/>
  <c r="AJ192" i="9"/>
  <c r="AJ224" i="9"/>
  <c r="AJ258" i="9"/>
  <c r="AJ290" i="9"/>
  <c r="AJ149" i="13"/>
  <c r="AJ171" i="13"/>
  <c r="AJ252" i="13"/>
  <c r="AJ266" i="13"/>
  <c r="AJ289" i="13"/>
  <c r="AJ151" i="9"/>
  <c r="AJ183" i="9"/>
  <c r="AJ215" i="9"/>
  <c r="AJ249" i="9"/>
  <c r="AJ281" i="9"/>
  <c r="AJ313" i="9"/>
  <c r="AH157" i="13"/>
  <c r="AH210" i="13"/>
  <c r="AH278" i="13"/>
  <c r="AH207" i="12"/>
  <c r="AH270" i="12"/>
  <c r="AH200" i="13"/>
  <c r="AH239" i="13"/>
  <c r="AH283" i="12"/>
  <c r="AH222" i="12"/>
  <c r="AH304" i="12"/>
  <c r="AH180" i="13"/>
  <c r="AH223" i="13"/>
  <c r="AH221" i="12"/>
  <c r="AH206" i="12"/>
  <c r="AH288" i="12"/>
  <c r="G41" i="14"/>
  <c r="G48" i="14" s="1"/>
  <c r="AJ262" i="12"/>
  <c r="AJ188" i="13"/>
  <c r="AJ150" i="13"/>
  <c r="AJ216" i="13"/>
  <c r="AJ173" i="13"/>
  <c r="AJ234" i="13"/>
  <c r="AJ224" i="13"/>
  <c r="AJ254" i="13"/>
  <c r="AJ274" i="13"/>
  <c r="AJ259" i="13"/>
  <c r="AJ298" i="13"/>
  <c r="AJ313" i="13"/>
  <c r="AJ152" i="9"/>
  <c r="AJ168" i="9"/>
  <c r="AJ184" i="9"/>
  <c r="AJ200" i="9"/>
  <c r="AJ216" i="9"/>
  <c r="AJ232" i="9"/>
  <c r="AJ250" i="9"/>
  <c r="AJ266" i="9"/>
  <c r="AJ282" i="9"/>
  <c r="AJ298" i="9"/>
  <c r="AJ314" i="9"/>
  <c r="AH263" i="9"/>
  <c r="AH199" i="9"/>
  <c r="AJ278" i="13"/>
  <c r="AJ206" i="13"/>
  <c r="AJ166" i="13"/>
  <c r="AJ155" i="13"/>
  <c r="AJ187" i="13"/>
  <c r="AJ207" i="13"/>
  <c r="AJ225" i="13"/>
  <c r="AJ270" i="13"/>
  <c r="AJ292" i="13"/>
  <c r="AJ273" i="13"/>
  <c r="AJ295" i="13"/>
  <c r="AJ143" i="9"/>
  <c r="AJ159" i="9"/>
  <c r="AJ175" i="9"/>
  <c r="AJ191" i="9"/>
  <c r="AJ207" i="9"/>
  <c r="AJ223" i="9"/>
  <c r="AJ241" i="9"/>
  <c r="AJ257" i="9"/>
  <c r="AJ273" i="9"/>
  <c r="AJ289" i="9"/>
  <c r="AJ305" i="9"/>
  <c r="AH163" i="13"/>
  <c r="AH198" i="13"/>
  <c r="AH260" i="13"/>
  <c r="AH242" i="13"/>
  <c r="AH310" i="13"/>
  <c r="AH297" i="13"/>
  <c r="AH193" i="12"/>
  <c r="AH153" i="12"/>
  <c r="AH271" i="12"/>
  <c r="AH238" i="12"/>
  <c r="AH277" i="12"/>
  <c r="AH316" i="12"/>
  <c r="AH196" i="13"/>
  <c r="AH164" i="13"/>
  <c r="AH149" i="13"/>
  <c r="AH262" i="13"/>
  <c r="AH272" i="13"/>
  <c r="AH314" i="13"/>
  <c r="AH156" i="12"/>
  <c r="AH169" i="12"/>
  <c r="AH190" i="12"/>
  <c r="AH254" i="12"/>
  <c r="AH309" i="12"/>
  <c r="AJ283" i="12"/>
  <c r="AH151" i="9"/>
  <c r="AH215" i="9"/>
  <c r="AH279" i="9"/>
  <c r="AJ221" i="13"/>
  <c r="AJ160" i="13"/>
  <c r="AJ145" i="13"/>
  <c r="AJ153" i="13"/>
  <c r="AJ182" i="13"/>
  <c r="AJ288" i="13"/>
  <c r="AJ163" i="13"/>
  <c r="AJ179" i="13"/>
  <c r="AJ195" i="13"/>
  <c r="AJ199" i="13"/>
  <c r="AJ215" i="13"/>
  <c r="AJ236" i="13"/>
  <c r="AJ233" i="13"/>
  <c r="AJ310" i="13"/>
  <c r="AJ243" i="13"/>
  <c r="AJ272" i="13"/>
  <c r="AJ249" i="13"/>
  <c r="AJ265" i="13"/>
  <c r="AJ281" i="13"/>
  <c r="AJ308" i="13"/>
  <c r="AJ303" i="13"/>
  <c r="AJ316" i="13"/>
  <c r="AJ147" i="9"/>
  <c r="AJ155" i="9"/>
  <c r="AJ163" i="9"/>
  <c r="AJ171" i="9"/>
  <c r="AJ179" i="9"/>
  <c r="AJ187" i="9"/>
  <c r="AJ195" i="9"/>
  <c r="AJ203" i="9"/>
  <c r="AJ211" i="9"/>
  <c r="AJ219" i="9"/>
  <c r="AJ227" i="9"/>
  <c r="AJ235" i="9"/>
  <c r="AJ245" i="9"/>
  <c r="AJ253" i="9"/>
  <c r="AJ261" i="9"/>
  <c r="AJ269" i="9"/>
  <c r="AJ277" i="9"/>
  <c r="AJ285" i="9"/>
  <c r="AJ293" i="9"/>
  <c r="AJ301" i="9"/>
  <c r="AJ309" i="9"/>
  <c r="AJ317" i="9"/>
  <c r="AJ173" i="12"/>
  <c r="AJ230" i="12"/>
  <c r="AH183" i="9"/>
  <c r="AH247" i="9"/>
  <c r="AH311" i="9"/>
  <c r="AJ198" i="12"/>
  <c r="AH167" i="9"/>
  <c r="AH231" i="9"/>
  <c r="AH295" i="9"/>
  <c r="AJ164" i="13"/>
  <c r="AJ208" i="13"/>
  <c r="AJ176" i="13"/>
  <c r="AJ146" i="13"/>
  <c r="AJ154" i="13"/>
  <c r="AJ186" i="13"/>
  <c r="AJ202" i="13"/>
  <c r="AJ165" i="13"/>
  <c r="AJ181" i="13"/>
  <c r="AJ196" i="13"/>
  <c r="AJ201" i="13"/>
  <c r="AJ217" i="13"/>
  <c r="AJ244" i="13"/>
  <c r="AJ235" i="13"/>
  <c r="AJ242" i="13"/>
  <c r="AJ245" i="13"/>
  <c r="AJ282" i="13"/>
  <c r="AJ251" i="13"/>
  <c r="AJ267" i="13"/>
  <c r="AJ283" i="13"/>
  <c r="AJ315" i="13"/>
  <c r="AJ305" i="13"/>
  <c r="AJ318" i="13"/>
  <c r="AK142" i="9"/>
  <c r="AK318" i="9" s="1"/>
  <c r="AJ148" i="9"/>
  <c r="AJ156" i="9"/>
  <c r="AJ164" i="9"/>
  <c r="AJ172" i="9"/>
  <c r="AJ180" i="9"/>
  <c r="AJ188" i="9"/>
  <c r="AJ196" i="9"/>
  <c r="AJ204" i="9"/>
  <c r="AJ212" i="9"/>
  <c r="AJ220" i="9"/>
  <c r="AJ228" i="9"/>
  <c r="AJ237" i="9"/>
  <c r="AJ246" i="9"/>
  <c r="AJ254" i="9"/>
  <c r="AJ262" i="9"/>
  <c r="AJ270" i="9"/>
  <c r="AJ278" i="9"/>
  <c r="AJ286" i="9"/>
  <c r="AJ294" i="9"/>
  <c r="AJ302" i="9"/>
  <c r="AJ310" i="9"/>
  <c r="AJ318" i="9"/>
  <c r="AJ161" i="12"/>
  <c r="AJ281" i="12"/>
  <c r="AJ229" i="12"/>
  <c r="AH150" i="9"/>
  <c r="AH182" i="9"/>
  <c r="AH214" i="9"/>
  <c r="AH246" i="9"/>
  <c r="AH278" i="9"/>
  <c r="AH310" i="9"/>
  <c r="AJ146" i="12"/>
  <c r="AJ276" i="12"/>
  <c r="AJ182" i="12"/>
  <c r="AJ214" i="12"/>
  <c r="AJ246" i="12"/>
  <c r="AH143" i="9"/>
  <c r="AH159" i="9"/>
  <c r="AH175" i="9"/>
  <c r="AH191" i="9"/>
  <c r="AH207" i="9"/>
  <c r="AH223" i="9"/>
  <c r="AH239" i="9"/>
  <c r="AH255" i="9"/>
  <c r="AH271" i="9"/>
  <c r="AH287" i="9"/>
  <c r="AH303" i="9"/>
  <c r="AJ214" i="13"/>
  <c r="AJ180" i="13"/>
  <c r="AJ156" i="13"/>
  <c r="AJ238" i="13"/>
  <c r="AJ218" i="13"/>
  <c r="AJ144" i="13"/>
  <c r="AJ148" i="13"/>
  <c r="AJ152" i="13"/>
  <c r="AJ162" i="13"/>
  <c r="AJ178" i="13"/>
  <c r="AJ194" i="13"/>
  <c r="AJ260" i="13"/>
  <c r="AJ262" i="13"/>
  <c r="AJ161" i="13"/>
  <c r="AJ169" i="13"/>
  <c r="AJ177" i="13"/>
  <c r="AJ185" i="13"/>
  <c r="AJ193" i="13"/>
  <c r="AJ212" i="13"/>
  <c r="AJ197" i="13"/>
  <c r="AJ205" i="13"/>
  <c r="AJ213" i="13"/>
  <c r="AJ220" i="13"/>
  <c r="AJ232" i="13"/>
  <c r="AJ223" i="13"/>
  <c r="AJ231" i="13"/>
  <c r="AJ239" i="13"/>
  <c r="AJ268" i="13"/>
  <c r="AJ256" i="13"/>
  <c r="AJ241" i="13"/>
  <c r="AJ258" i="13"/>
  <c r="AJ296" i="13"/>
  <c r="AJ284" i="13"/>
  <c r="AJ247" i="13"/>
  <c r="AJ255" i="13"/>
  <c r="AJ263" i="13"/>
  <c r="AJ271" i="13"/>
  <c r="AJ279" i="13"/>
  <c r="AJ287" i="13"/>
  <c r="AJ300" i="13"/>
  <c r="AJ293" i="13"/>
  <c r="AJ301" i="13"/>
  <c r="AJ309" i="13"/>
  <c r="AJ314" i="13"/>
  <c r="AJ238" i="9"/>
  <c r="AJ146" i="9"/>
  <c r="AJ150" i="9"/>
  <c r="AJ154" i="9"/>
  <c r="AJ158" i="9"/>
  <c r="AJ162" i="9"/>
  <c r="AJ166" i="9"/>
  <c r="AJ170" i="9"/>
  <c r="AJ174" i="9"/>
  <c r="AJ178" i="9"/>
  <c r="AJ182" i="9"/>
  <c r="AJ186" i="9"/>
  <c r="AJ190" i="9"/>
  <c r="AJ194" i="9"/>
  <c r="AJ198" i="9"/>
  <c r="AJ202" i="9"/>
  <c r="AJ206" i="9"/>
  <c r="AJ210" i="9"/>
  <c r="AJ214" i="9"/>
  <c r="AJ218" i="9"/>
  <c r="AJ222" i="9"/>
  <c r="AJ226" i="9"/>
  <c r="AJ230" i="9"/>
  <c r="AJ236" i="9"/>
  <c r="AJ240" i="9"/>
  <c r="AJ244" i="9"/>
  <c r="AJ248" i="9"/>
  <c r="AJ252" i="9"/>
  <c r="AJ256" i="9"/>
  <c r="AJ260" i="9"/>
  <c r="AJ264" i="9"/>
  <c r="AJ268" i="9"/>
  <c r="AJ272" i="9"/>
  <c r="AJ276" i="9"/>
  <c r="AJ280" i="9"/>
  <c r="AJ284" i="9"/>
  <c r="AJ288" i="9"/>
  <c r="AJ292" i="9"/>
  <c r="AJ296" i="9"/>
  <c r="AJ300" i="9"/>
  <c r="AJ304" i="9"/>
  <c r="AJ308" i="9"/>
  <c r="AJ312" i="9"/>
  <c r="AJ316" i="9"/>
  <c r="AJ294" i="12"/>
  <c r="AJ197" i="12"/>
  <c r="AJ261" i="12"/>
  <c r="AH166" i="9"/>
  <c r="AH198" i="9"/>
  <c r="AH230" i="9"/>
  <c r="AH262" i="9"/>
  <c r="AH294" i="9"/>
  <c r="AJ145" i="12"/>
  <c r="AJ315" i="12"/>
  <c r="AJ316" i="12"/>
  <c r="AJ213" i="12"/>
  <c r="AJ245" i="12"/>
  <c r="AG142" i="9"/>
  <c r="AG234" i="9" s="1"/>
  <c r="AH158" i="9"/>
  <c r="AH174" i="9"/>
  <c r="AH190" i="9"/>
  <c r="AH206" i="9"/>
  <c r="AH222" i="9"/>
  <c r="AH238" i="9"/>
  <c r="AH254" i="9"/>
  <c r="AH270" i="9"/>
  <c r="AH286" i="9"/>
  <c r="AH302" i="9"/>
  <c r="AH318" i="9"/>
  <c r="AJ184" i="13"/>
  <c r="AJ168" i="13"/>
  <c r="AK318" i="13"/>
  <c r="AJ198" i="13"/>
  <c r="AJ192" i="13"/>
  <c r="AJ147" i="13"/>
  <c r="AJ151" i="13"/>
  <c r="AJ158" i="13"/>
  <c r="AJ174" i="13"/>
  <c r="AJ190" i="13"/>
  <c r="AJ230" i="13"/>
  <c r="AJ210" i="13"/>
  <c r="AJ159" i="13"/>
  <c r="AJ167" i="13"/>
  <c r="AJ175" i="13"/>
  <c r="AJ183" i="13"/>
  <c r="AJ191" i="13"/>
  <c r="AJ204" i="13"/>
  <c r="AJ276" i="13"/>
  <c r="AJ203" i="13"/>
  <c r="AJ211" i="13"/>
  <c r="AJ219" i="13"/>
  <c r="AJ228" i="13"/>
  <c r="AJ248" i="13"/>
  <c r="AJ229" i="13"/>
  <c r="AJ237" i="13"/>
  <c r="AJ264" i="13"/>
  <c r="AJ246" i="13"/>
  <c r="AJ312" i="13"/>
  <c r="AJ250" i="13"/>
  <c r="AJ286" i="13"/>
  <c r="AJ294" i="13"/>
  <c r="AJ302" i="13"/>
  <c r="AJ253" i="13"/>
  <c r="AJ261" i="13"/>
  <c r="AJ269" i="13"/>
  <c r="AJ277" i="13"/>
  <c r="AJ285" i="13"/>
  <c r="AJ306" i="13"/>
  <c r="AJ291" i="13"/>
  <c r="AJ299" i="13"/>
  <c r="AJ307" i="13"/>
  <c r="AJ234" i="9"/>
  <c r="AJ145" i="9"/>
  <c r="AJ149" i="9"/>
  <c r="AJ153" i="9"/>
  <c r="AJ157" i="9"/>
  <c r="AJ161" i="9"/>
  <c r="AJ165" i="9"/>
  <c r="AJ169" i="9"/>
  <c r="AJ173" i="9"/>
  <c r="AJ177" i="9"/>
  <c r="AJ181" i="9"/>
  <c r="AJ185" i="9"/>
  <c r="AJ189" i="9"/>
  <c r="AJ193" i="9"/>
  <c r="AJ197" i="9"/>
  <c r="AJ201" i="9"/>
  <c r="AJ205" i="9"/>
  <c r="AJ209" i="9"/>
  <c r="AJ213" i="9"/>
  <c r="AJ217" i="9"/>
  <c r="AJ221" i="9"/>
  <c r="AJ225" i="9"/>
  <c r="AJ229" i="9"/>
  <c r="AJ233" i="9"/>
  <c r="AJ239" i="9"/>
  <c r="AJ243" i="9"/>
  <c r="AJ247" i="9"/>
  <c r="AJ251" i="9"/>
  <c r="AJ255" i="9"/>
  <c r="AJ259" i="9"/>
  <c r="AJ263" i="9"/>
  <c r="AJ267" i="9"/>
  <c r="AJ271" i="9"/>
  <c r="AJ275" i="9"/>
  <c r="AJ279" i="9"/>
  <c r="AJ283" i="9"/>
  <c r="AJ287" i="9"/>
  <c r="AJ291" i="9"/>
  <c r="AJ295" i="9"/>
  <c r="AJ299" i="9"/>
  <c r="AJ303" i="9"/>
  <c r="AJ307" i="9"/>
  <c r="AJ311" i="9"/>
  <c r="G14" i="25"/>
  <c r="H14" i="25"/>
  <c r="AH155" i="13"/>
  <c r="AH177" i="13"/>
  <c r="AH158" i="13"/>
  <c r="AH222" i="13"/>
  <c r="AH286" i="13"/>
  <c r="AH309" i="13"/>
  <c r="AH283" i="13"/>
  <c r="AH217" i="12"/>
  <c r="AH152" i="12"/>
  <c r="AH299" i="12"/>
  <c r="AH167" i="12"/>
  <c r="AH235" i="12"/>
  <c r="AH188" i="12"/>
  <c r="AH220" i="12"/>
  <c r="AH252" i="12"/>
  <c r="AH303" i="12"/>
  <c r="AH273" i="12"/>
  <c r="AH286" i="12"/>
  <c r="AH315" i="12"/>
  <c r="AH183" i="13"/>
  <c r="AH220" i="13"/>
  <c r="AH159" i="13"/>
  <c r="AH173" i="13"/>
  <c r="AH226" i="13"/>
  <c r="AH156" i="13"/>
  <c r="AH172" i="13"/>
  <c r="AH188" i="13"/>
  <c r="AH216" i="13"/>
  <c r="AH145" i="13"/>
  <c r="AH153" i="13"/>
  <c r="AH275" i="13"/>
  <c r="AH250" i="13"/>
  <c r="AH287" i="13"/>
  <c r="AH308" i="13"/>
  <c r="AH231" i="13"/>
  <c r="AH255" i="13"/>
  <c r="AH256" i="13"/>
  <c r="AH294" i="13"/>
  <c r="AH282" i="13"/>
  <c r="AH301" i="13"/>
  <c r="AH313" i="13"/>
  <c r="AJ290" i="12"/>
  <c r="AJ154" i="12"/>
  <c r="AJ170" i="12"/>
  <c r="AJ308" i="12"/>
  <c r="AJ299" i="12"/>
  <c r="AJ190" i="12"/>
  <c r="AJ206" i="12"/>
  <c r="AJ222" i="12"/>
  <c r="AJ238" i="12"/>
  <c r="AJ254" i="12"/>
  <c r="AJ270" i="12"/>
  <c r="AH147" i="9"/>
  <c r="AH155" i="9"/>
  <c r="AH163" i="9"/>
  <c r="AH171" i="9"/>
  <c r="AH179" i="9"/>
  <c r="AH187" i="9"/>
  <c r="AH195" i="9"/>
  <c r="AH203" i="9"/>
  <c r="AH211" i="9"/>
  <c r="AH219" i="9"/>
  <c r="AH227" i="9"/>
  <c r="AH235" i="9"/>
  <c r="AH243" i="9"/>
  <c r="AH251" i="9"/>
  <c r="AH259" i="9"/>
  <c r="AH267" i="9"/>
  <c r="AH275" i="9"/>
  <c r="AH283" i="9"/>
  <c r="AH291" i="9"/>
  <c r="AH299" i="9"/>
  <c r="AH307" i="9"/>
  <c r="AH315" i="9"/>
  <c r="AH166" i="12"/>
  <c r="AH146" i="12"/>
  <c r="AH257" i="12"/>
  <c r="AH189" i="12"/>
  <c r="AH253" i="12"/>
  <c r="AH145" i="12"/>
  <c r="AH161" i="12"/>
  <c r="AH191" i="12"/>
  <c r="AH223" i="12"/>
  <c r="AH255" i="12"/>
  <c r="AH182" i="12"/>
  <c r="AH198" i="12"/>
  <c r="AH214" i="12"/>
  <c r="AH230" i="12"/>
  <c r="AH246" i="12"/>
  <c r="AH262" i="12"/>
  <c r="AH279" i="12"/>
  <c r="AH177" i="12"/>
  <c r="AH293" i="12"/>
  <c r="AH280" i="12"/>
  <c r="AH296" i="12"/>
  <c r="AH312" i="12"/>
  <c r="AH217" i="13"/>
  <c r="AH175" i="13"/>
  <c r="AH261" i="13"/>
  <c r="AH174" i="13"/>
  <c r="AH190" i="13"/>
  <c r="AH146" i="13"/>
  <c r="AH154" i="13"/>
  <c r="AH251" i="13"/>
  <c r="AH292" i="13"/>
  <c r="AH233" i="13"/>
  <c r="AH268" i="13"/>
  <c r="AH257" i="13"/>
  <c r="AH295" i="13"/>
  <c r="AH317" i="13"/>
  <c r="AH299" i="13"/>
  <c r="AH170" i="12"/>
  <c r="AH213" i="12"/>
  <c r="AH151" i="12"/>
  <c r="AH203" i="12"/>
  <c r="AH267" i="12"/>
  <c r="AH204" i="12"/>
  <c r="AH236" i="12"/>
  <c r="AH268" i="12"/>
  <c r="AH305" i="12"/>
  <c r="AH302" i="12"/>
  <c r="AH167" i="13"/>
  <c r="AH197" i="13"/>
  <c r="AH161" i="13"/>
  <c r="AH193" i="13"/>
  <c r="AH199" i="13"/>
  <c r="AH166" i="13"/>
  <c r="AH182" i="13"/>
  <c r="AH201" i="13"/>
  <c r="AH288" i="13"/>
  <c r="AH150" i="13"/>
  <c r="AH211" i="13"/>
  <c r="AH236" i="13"/>
  <c r="AH243" i="13"/>
  <c r="AH263" i="13"/>
  <c r="AH225" i="13"/>
  <c r="AH240" i="13"/>
  <c r="AH311" i="13"/>
  <c r="AH273" i="13"/>
  <c r="AH280" i="13"/>
  <c r="AH303" i="13"/>
  <c r="AH304" i="13"/>
  <c r="AH315" i="13"/>
  <c r="AJ282" i="12"/>
  <c r="AJ153" i="12"/>
  <c r="AJ169" i="12"/>
  <c r="AJ304" i="12"/>
  <c r="AJ297" i="12"/>
  <c r="AJ189" i="12"/>
  <c r="AJ205" i="12"/>
  <c r="AJ221" i="12"/>
  <c r="AJ237" i="12"/>
  <c r="AJ253" i="12"/>
  <c r="AJ269" i="12"/>
  <c r="AH146" i="9"/>
  <c r="AH154" i="9"/>
  <c r="AH162" i="9"/>
  <c r="AH170" i="9"/>
  <c r="AH178" i="9"/>
  <c r="AH186" i="9"/>
  <c r="AH194" i="9"/>
  <c r="AH202" i="9"/>
  <c r="AH210" i="9"/>
  <c r="AH218" i="9"/>
  <c r="AH226" i="9"/>
  <c r="AH234" i="9"/>
  <c r="AH242" i="9"/>
  <c r="AH250" i="9"/>
  <c r="AH258" i="9"/>
  <c r="AH266" i="9"/>
  <c r="AH274" i="9"/>
  <c r="AH282" i="9"/>
  <c r="AH290" i="9"/>
  <c r="AH298" i="9"/>
  <c r="AH306" i="9"/>
  <c r="AH314" i="9"/>
  <c r="AH158" i="12"/>
  <c r="AH176" i="12"/>
  <c r="AH241" i="12"/>
  <c r="AH168" i="12"/>
  <c r="AH245" i="12"/>
  <c r="AH159" i="12"/>
  <c r="AH187" i="12"/>
  <c r="AH219" i="12"/>
  <c r="AH251" i="12"/>
  <c r="AH307" i="12"/>
  <c r="AH196" i="12"/>
  <c r="AH212" i="12"/>
  <c r="AH228" i="12"/>
  <c r="AH244" i="12"/>
  <c r="AH260" i="12"/>
  <c r="AH178" i="12"/>
  <c r="AH175" i="12"/>
  <c r="AH289" i="12"/>
  <c r="AH278" i="12"/>
  <c r="AH294" i="12"/>
  <c r="AH310" i="12"/>
  <c r="AH212" i="13"/>
  <c r="AH206" i="13"/>
  <c r="AH179" i="13"/>
  <c r="AH171" i="13"/>
  <c r="AH258" i="13"/>
  <c r="AH191" i="13"/>
  <c r="AH165" i="13"/>
  <c r="AH181" i="13"/>
  <c r="AH204" i="13"/>
  <c r="AH277" i="13"/>
  <c r="AH214" i="13"/>
  <c r="AH160" i="13"/>
  <c r="AH168" i="13"/>
  <c r="AH176" i="13"/>
  <c r="AH184" i="13"/>
  <c r="AH192" i="13"/>
  <c r="AH208" i="13"/>
  <c r="AH230" i="13"/>
  <c r="AH147" i="13"/>
  <c r="AH151" i="13"/>
  <c r="AH202" i="13"/>
  <c r="AH259" i="13"/>
  <c r="AH224" i="13"/>
  <c r="AH244" i="13"/>
  <c r="AH289" i="13"/>
  <c r="AH246" i="13"/>
  <c r="AH252" i="13"/>
  <c r="AH266" i="13"/>
  <c r="AH219" i="13"/>
  <c r="AH227" i="13"/>
  <c r="AH235" i="13"/>
  <c r="AH241" i="13"/>
  <c r="AH269" i="13"/>
  <c r="AH248" i="13"/>
  <c r="AH264" i="13"/>
  <c r="AH284" i="13"/>
  <c r="AH270" i="13"/>
  <c r="AH281" i="13"/>
  <c r="AH290" i="13"/>
  <c r="AH298" i="13"/>
  <c r="AH318" i="13"/>
  <c r="AH305" i="13"/>
  <c r="AH306" i="13"/>
  <c r="AH316" i="13"/>
  <c r="AH185" i="12"/>
  <c r="AH249" i="12"/>
  <c r="AH154" i="12"/>
  <c r="AH209" i="12"/>
  <c r="AH144" i="12"/>
  <c r="AH160" i="12"/>
  <c r="AH197" i="12"/>
  <c r="AH229" i="12"/>
  <c r="AH261" i="12"/>
  <c r="AH172" i="12"/>
  <c r="AH147" i="12"/>
  <c r="AH155" i="12"/>
  <c r="AH163" i="12"/>
  <c r="AH171" i="12"/>
  <c r="AH195" i="12"/>
  <c r="AH211" i="12"/>
  <c r="AH227" i="12"/>
  <c r="AH243" i="12"/>
  <c r="AH259" i="12"/>
  <c r="AH275" i="12"/>
  <c r="AH184" i="12"/>
  <c r="AH192" i="12"/>
  <c r="AH200" i="12"/>
  <c r="AH208" i="12"/>
  <c r="AH216" i="12"/>
  <c r="AH224" i="12"/>
  <c r="AH232" i="12"/>
  <c r="AH240" i="12"/>
  <c r="AH248" i="12"/>
  <c r="AH256" i="12"/>
  <c r="AH264" i="12"/>
  <c r="AH272" i="12"/>
  <c r="AH287" i="12"/>
  <c r="AG309" i="12"/>
  <c r="AH179" i="12"/>
  <c r="AH281" i="12"/>
  <c r="AH297" i="12"/>
  <c r="AH274" i="12"/>
  <c r="AH282" i="12"/>
  <c r="AH290" i="12"/>
  <c r="AH298" i="12"/>
  <c r="AH306" i="12"/>
  <c r="AH313" i="12"/>
  <c r="AH317" i="12"/>
  <c r="AH213" i="13"/>
  <c r="AH195" i="13"/>
  <c r="AH207" i="13"/>
  <c r="AH187" i="13"/>
  <c r="AH276" i="13"/>
  <c r="AH234" i="13"/>
  <c r="AH169" i="13"/>
  <c r="AH185" i="13"/>
  <c r="AH205" i="13"/>
  <c r="AG317" i="13"/>
  <c r="AH215" i="13"/>
  <c r="AH162" i="13"/>
  <c r="AH170" i="13"/>
  <c r="AH178" i="13"/>
  <c r="AH186" i="13"/>
  <c r="AH194" i="13"/>
  <c r="AH209" i="13"/>
  <c r="AH238" i="13"/>
  <c r="AH144" i="13"/>
  <c r="AH148" i="13"/>
  <c r="AH152" i="13"/>
  <c r="AH203" i="13"/>
  <c r="AH274" i="13"/>
  <c r="AH228" i="13"/>
  <c r="AH245" i="13"/>
  <c r="AH218" i="13"/>
  <c r="AH247" i="13"/>
  <c r="AH253" i="13"/>
  <c r="AH267" i="13"/>
  <c r="AH221" i="13"/>
  <c r="AH229" i="13"/>
  <c r="AH237" i="13"/>
  <c r="AH254" i="13"/>
  <c r="AH279" i="13"/>
  <c r="AH249" i="13"/>
  <c r="AH265" i="13"/>
  <c r="AH285" i="13"/>
  <c r="AH271" i="13"/>
  <c r="AH293" i="13"/>
  <c r="AH291" i="13"/>
  <c r="AH300" i="13"/>
  <c r="AH296" i="13"/>
  <c r="AH312" i="13"/>
  <c r="AH150" i="12"/>
  <c r="AH201" i="12"/>
  <c r="AH265" i="12"/>
  <c r="AH162" i="12"/>
  <c r="AH225" i="12"/>
  <c r="AH148" i="12"/>
  <c r="AH164" i="12"/>
  <c r="AH205" i="12"/>
  <c r="AH237" i="12"/>
  <c r="AH269" i="12"/>
  <c r="AH180" i="12"/>
  <c r="AH149" i="12"/>
  <c r="AH157" i="12"/>
  <c r="AH165" i="12"/>
  <c r="AH183" i="12"/>
  <c r="AH199" i="12"/>
  <c r="AH215" i="12"/>
  <c r="AH231" i="12"/>
  <c r="AH247" i="12"/>
  <c r="AH263" i="12"/>
  <c r="AH291" i="12"/>
  <c r="AH186" i="12"/>
  <c r="AH194" i="12"/>
  <c r="AH202" i="12"/>
  <c r="AH210" i="12"/>
  <c r="AH218" i="12"/>
  <c r="AH226" i="12"/>
  <c r="AH234" i="12"/>
  <c r="AH242" i="12"/>
  <c r="AH250" i="12"/>
  <c r="AH258" i="12"/>
  <c r="AH266" i="12"/>
  <c r="AH174" i="12"/>
  <c r="AH295" i="12"/>
  <c r="AH173" i="12"/>
  <c r="AH181" i="12"/>
  <c r="AH285" i="12"/>
  <c r="AH301" i="12"/>
  <c r="AH276" i="12"/>
  <c r="AH284" i="12"/>
  <c r="AH292" i="12"/>
  <c r="AH300" i="12"/>
  <c r="AH308" i="12"/>
  <c r="AH314" i="12"/>
  <c r="E42" i="14"/>
  <c r="O297" i="13"/>
  <c r="AJ278" i="12"/>
  <c r="AJ175" i="12"/>
  <c r="AK317" i="12"/>
  <c r="AJ150" i="12"/>
  <c r="AJ158" i="12"/>
  <c r="AJ166" i="12"/>
  <c r="AJ176" i="12"/>
  <c r="AJ292" i="12"/>
  <c r="AJ275" i="12"/>
  <c r="AJ291" i="12"/>
  <c r="AJ307" i="12"/>
  <c r="AJ186" i="12"/>
  <c r="AJ194" i="12"/>
  <c r="AJ202" i="12"/>
  <c r="AJ210" i="12"/>
  <c r="AJ218" i="12"/>
  <c r="AJ226" i="12"/>
  <c r="AJ234" i="12"/>
  <c r="AJ242" i="12"/>
  <c r="AJ250" i="12"/>
  <c r="AJ258" i="12"/>
  <c r="AJ266" i="12"/>
  <c r="AJ317" i="12"/>
  <c r="AH145" i="9"/>
  <c r="AH149" i="9"/>
  <c r="AH153" i="9"/>
  <c r="AH157" i="9"/>
  <c r="AH161" i="9"/>
  <c r="AH165" i="9"/>
  <c r="AH169" i="9"/>
  <c r="AH173" i="9"/>
  <c r="AH177" i="9"/>
  <c r="AH181" i="9"/>
  <c r="AH185" i="9"/>
  <c r="AH189" i="9"/>
  <c r="AH193" i="9"/>
  <c r="AH197" i="9"/>
  <c r="AH201" i="9"/>
  <c r="AH205" i="9"/>
  <c r="AH209" i="9"/>
  <c r="AH213" i="9"/>
  <c r="AH217" i="9"/>
  <c r="AH221" i="9"/>
  <c r="AH225" i="9"/>
  <c r="AH229" i="9"/>
  <c r="AH233" i="9"/>
  <c r="AH237" i="9"/>
  <c r="AH241" i="9"/>
  <c r="AH245" i="9"/>
  <c r="AH249" i="9"/>
  <c r="AH253" i="9"/>
  <c r="AH257" i="9"/>
  <c r="AH261" i="9"/>
  <c r="AH265" i="9"/>
  <c r="AH269" i="9"/>
  <c r="AH273" i="9"/>
  <c r="AH277" i="9"/>
  <c r="AH281" i="9"/>
  <c r="AH285" i="9"/>
  <c r="AH289" i="9"/>
  <c r="AH293" i="9"/>
  <c r="AH297" i="9"/>
  <c r="AH301" i="9"/>
  <c r="AH305" i="9"/>
  <c r="AH309" i="9"/>
  <c r="AH313" i="9"/>
  <c r="AH317" i="9"/>
  <c r="O153" i="13"/>
  <c r="O281" i="13"/>
  <c r="AJ302" i="12"/>
  <c r="AJ318" i="12"/>
  <c r="AJ149" i="12"/>
  <c r="AJ157" i="12"/>
  <c r="AJ165" i="12"/>
  <c r="AJ174" i="12"/>
  <c r="AJ288" i="12"/>
  <c r="AJ273" i="12"/>
  <c r="AJ289" i="12"/>
  <c r="AJ305" i="12"/>
  <c r="AJ185" i="12"/>
  <c r="AJ193" i="12"/>
  <c r="AJ201" i="12"/>
  <c r="AJ209" i="12"/>
  <c r="AJ217" i="12"/>
  <c r="AJ225" i="12"/>
  <c r="AJ233" i="12"/>
  <c r="AJ241" i="12"/>
  <c r="AJ249" i="12"/>
  <c r="AJ257" i="12"/>
  <c r="AJ265" i="12"/>
  <c r="AJ313" i="12"/>
  <c r="AH144" i="9"/>
  <c r="AH148" i="9"/>
  <c r="AH152" i="9"/>
  <c r="AH156" i="9"/>
  <c r="AH160" i="9"/>
  <c r="AH164" i="9"/>
  <c r="AH168" i="9"/>
  <c r="AH172" i="9"/>
  <c r="AH176" i="9"/>
  <c r="AH180" i="9"/>
  <c r="AH184" i="9"/>
  <c r="AH188" i="9"/>
  <c r="AH192" i="9"/>
  <c r="AH196" i="9"/>
  <c r="AH200" i="9"/>
  <c r="AH204" i="9"/>
  <c r="AH208" i="9"/>
  <c r="AH212" i="9"/>
  <c r="AH216" i="9"/>
  <c r="AH220" i="9"/>
  <c r="AH224" i="9"/>
  <c r="AH228" i="9"/>
  <c r="AH232" i="9"/>
  <c r="AH236" i="9"/>
  <c r="AH240" i="9"/>
  <c r="AH244" i="9"/>
  <c r="AH248" i="9"/>
  <c r="AH252" i="9"/>
  <c r="AH256" i="9"/>
  <c r="AH260" i="9"/>
  <c r="AH264" i="9"/>
  <c r="AH268" i="9"/>
  <c r="AH272" i="9"/>
  <c r="AH276" i="9"/>
  <c r="AH280" i="9"/>
  <c r="AH284" i="9"/>
  <c r="AH288" i="9"/>
  <c r="AH292" i="9"/>
  <c r="AH296" i="9"/>
  <c r="AH300" i="9"/>
  <c r="AH304" i="9"/>
  <c r="AH308" i="9"/>
  <c r="AH312" i="9"/>
  <c r="E40" i="14"/>
  <c r="O233" i="13"/>
  <c r="O217" i="13"/>
  <c r="AJ177" i="12"/>
  <c r="AJ286" i="12"/>
  <c r="AJ274" i="12"/>
  <c r="AJ306" i="12"/>
  <c r="AJ144" i="12"/>
  <c r="AJ148" i="12"/>
  <c r="AJ152" i="12"/>
  <c r="AJ156" i="12"/>
  <c r="AJ160" i="12"/>
  <c r="AJ164" i="12"/>
  <c r="AJ168" i="12"/>
  <c r="AJ172" i="12"/>
  <c r="AJ180" i="12"/>
  <c r="AJ284" i="12"/>
  <c r="AJ300" i="12"/>
  <c r="AJ314" i="12"/>
  <c r="AJ279" i="12"/>
  <c r="AJ287" i="12"/>
  <c r="AJ295" i="12"/>
  <c r="AJ303" i="12"/>
  <c r="AJ311" i="12"/>
  <c r="AJ184" i="12"/>
  <c r="AJ188" i="12"/>
  <c r="AJ192" i="12"/>
  <c r="AJ196" i="12"/>
  <c r="AJ200" i="12"/>
  <c r="AJ204" i="12"/>
  <c r="AJ208" i="12"/>
  <c r="AJ212" i="12"/>
  <c r="AJ216" i="12"/>
  <c r="AJ220" i="12"/>
  <c r="AJ224" i="12"/>
  <c r="AJ228" i="12"/>
  <c r="AJ232" i="12"/>
  <c r="AJ236" i="12"/>
  <c r="AJ240" i="12"/>
  <c r="AJ244" i="12"/>
  <c r="AJ248" i="12"/>
  <c r="AJ252" i="12"/>
  <c r="AJ256" i="12"/>
  <c r="AJ260" i="12"/>
  <c r="AJ264" i="12"/>
  <c r="AJ268" i="12"/>
  <c r="AJ272" i="12"/>
  <c r="AJ310" i="12"/>
  <c r="AJ181" i="12"/>
  <c r="AJ179" i="12"/>
  <c r="AJ298" i="12"/>
  <c r="AJ147" i="12"/>
  <c r="AJ151" i="12"/>
  <c r="AJ155" i="12"/>
  <c r="AJ159" i="12"/>
  <c r="AJ163" i="12"/>
  <c r="AJ167" i="12"/>
  <c r="AJ171" i="12"/>
  <c r="AJ178" i="12"/>
  <c r="AJ280" i="12"/>
  <c r="AJ296" i="12"/>
  <c r="AJ312" i="12"/>
  <c r="AJ277" i="12"/>
  <c r="AJ285" i="12"/>
  <c r="AJ293" i="12"/>
  <c r="AJ301" i="12"/>
  <c r="AJ309" i="12"/>
  <c r="AJ183" i="12"/>
  <c r="AJ187" i="12"/>
  <c r="AJ191" i="12"/>
  <c r="AJ195" i="12"/>
  <c r="AJ199" i="12"/>
  <c r="AJ203" i="12"/>
  <c r="AJ207" i="12"/>
  <c r="AJ211" i="12"/>
  <c r="AJ215" i="12"/>
  <c r="AJ219" i="12"/>
  <c r="AJ223" i="12"/>
  <c r="AJ227" i="12"/>
  <c r="AJ231" i="12"/>
  <c r="AJ235" i="12"/>
  <c r="AJ239" i="12"/>
  <c r="AJ243" i="12"/>
  <c r="AJ247" i="12"/>
  <c r="AJ251" i="12"/>
  <c r="AJ255" i="12"/>
  <c r="AJ259" i="12"/>
  <c r="AJ263" i="12"/>
  <c r="AJ267" i="12"/>
  <c r="E38" i="14"/>
  <c r="F39" i="14"/>
  <c r="F46" i="14" s="1"/>
  <c r="E39" i="14"/>
  <c r="G42" i="14"/>
  <c r="G39" i="14"/>
  <c r="G40" i="14"/>
  <c r="F38" i="14"/>
  <c r="O156" i="9"/>
  <c r="F41" i="14"/>
  <c r="F48" i="14" s="1"/>
  <c r="O220" i="9"/>
  <c r="F40" i="14"/>
  <c r="F47" i="14" s="1"/>
  <c r="O201" i="13"/>
  <c r="O265" i="13"/>
  <c r="O185" i="13"/>
  <c r="O249" i="13"/>
  <c r="O313" i="13"/>
  <c r="O184" i="13"/>
  <c r="O248" i="13"/>
  <c r="O312" i="13"/>
  <c r="O152" i="13"/>
  <c r="O216" i="13"/>
  <c r="O280" i="13"/>
  <c r="O161" i="13"/>
  <c r="O289" i="13"/>
  <c r="O168" i="13"/>
  <c r="O200" i="13"/>
  <c r="O232" i="13"/>
  <c r="O264" i="13"/>
  <c r="O296" i="13"/>
  <c r="O145" i="13"/>
  <c r="O177" i="13"/>
  <c r="O193" i="13"/>
  <c r="O209" i="13"/>
  <c r="O225" i="13"/>
  <c r="O241" i="13"/>
  <c r="O257" i="13"/>
  <c r="O273" i="13"/>
  <c r="O305" i="13"/>
  <c r="O144" i="13"/>
  <c r="O160" i="13"/>
  <c r="O176" i="13"/>
  <c r="O192" i="13"/>
  <c r="O208" i="13"/>
  <c r="O224" i="13"/>
  <c r="O240" i="13"/>
  <c r="O256" i="13"/>
  <c r="O272" i="13"/>
  <c r="O288" i="13"/>
  <c r="O304" i="13"/>
  <c r="O286" i="9"/>
  <c r="O172" i="9"/>
  <c r="O238" i="9"/>
  <c r="O302" i="9"/>
  <c r="P142" i="9"/>
  <c r="P315" i="9" s="1"/>
  <c r="O204" i="9"/>
  <c r="O270" i="9"/>
  <c r="O188" i="9"/>
  <c r="O254" i="9"/>
  <c r="O318" i="9"/>
  <c r="G158" i="14"/>
  <c r="G165" i="14" s="1"/>
  <c r="G157" i="14"/>
  <c r="G164" i="14" s="1"/>
  <c r="G156" i="14"/>
  <c r="G155" i="14"/>
  <c r="G154" i="14"/>
  <c r="BM315" i="13"/>
  <c r="BM238" i="13"/>
  <c r="BM270" i="13"/>
  <c r="BM206" i="13"/>
  <c r="BM258" i="13"/>
  <c r="BM210" i="13"/>
  <c r="BM194" i="13"/>
  <c r="BM190" i="13"/>
  <c r="BM318" i="13"/>
  <c r="BM170" i="13"/>
  <c r="BM234" i="13"/>
  <c r="BM298" i="13"/>
  <c r="BM182" i="13"/>
  <c r="BM246" i="13"/>
  <c r="BM310" i="13"/>
  <c r="BM165" i="13"/>
  <c r="BM197" i="13"/>
  <c r="BM233" i="13"/>
  <c r="BM265" i="13"/>
  <c r="BM293" i="13"/>
  <c r="BM145" i="13"/>
  <c r="BM160" i="13"/>
  <c r="BM176" i="13"/>
  <c r="BM192" i="13"/>
  <c r="BM208" i="13"/>
  <c r="BM224" i="13"/>
  <c r="BM240" i="13"/>
  <c r="BM256" i="13"/>
  <c r="BM272" i="13"/>
  <c r="BM288" i="13"/>
  <c r="BM304" i="13"/>
  <c r="BM146" i="13"/>
  <c r="BM177" i="13"/>
  <c r="BM209" i="13"/>
  <c r="BM237" i="13"/>
  <c r="BM269" i="13"/>
  <c r="BM305" i="13"/>
  <c r="BM148" i="13"/>
  <c r="BM163" i="13"/>
  <c r="BM179" i="13"/>
  <c r="BM195" i="13"/>
  <c r="BM211" i="13"/>
  <c r="BM227" i="13"/>
  <c r="BM243" i="13"/>
  <c r="BM259" i="13"/>
  <c r="BM275" i="13"/>
  <c r="BM291" i="13"/>
  <c r="BM307" i="13"/>
  <c r="BM174" i="13"/>
  <c r="BM147" i="13"/>
  <c r="BM290" i="13"/>
  <c r="BM254" i="13"/>
  <c r="BM278" i="13"/>
  <c r="BM181" i="13"/>
  <c r="BM249" i="13"/>
  <c r="BM281" i="13"/>
  <c r="BM153" i="13"/>
  <c r="BM184" i="13"/>
  <c r="BM216" i="13"/>
  <c r="BM264" i="13"/>
  <c r="BM296" i="13"/>
  <c r="BM161" i="13"/>
  <c r="BM253" i="13"/>
  <c r="BM299" i="13"/>
  <c r="BM302" i="13"/>
  <c r="BM162" i="13"/>
  <c r="BM178" i="13"/>
  <c r="BM306" i="13"/>
  <c r="BM158" i="13"/>
  <c r="BM286" i="13"/>
  <c r="BM154" i="13"/>
  <c r="BM218" i="13"/>
  <c r="BM282" i="13"/>
  <c r="BM166" i="13"/>
  <c r="BM230" i="13"/>
  <c r="BM294" i="13"/>
  <c r="BM157" i="13"/>
  <c r="BM189" i="13"/>
  <c r="BM225" i="13"/>
  <c r="BM257" i="13"/>
  <c r="BM289" i="13"/>
  <c r="BM313" i="13"/>
  <c r="BM156" i="13"/>
  <c r="BM172" i="13"/>
  <c r="BM188" i="13"/>
  <c r="BM204" i="13"/>
  <c r="BM220" i="13"/>
  <c r="BM236" i="13"/>
  <c r="BM252" i="13"/>
  <c r="BM268" i="13"/>
  <c r="BM284" i="13"/>
  <c r="BM300" i="13"/>
  <c r="BM316" i="13"/>
  <c r="BM169" i="13"/>
  <c r="BM201" i="13"/>
  <c r="BM229" i="13"/>
  <c r="BM261" i="13"/>
  <c r="BM297" i="13"/>
  <c r="BM144" i="13"/>
  <c r="BM159" i="13"/>
  <c r="BM175" i="13"/>
  <c r="BM191" i="13"/>
  <c r="BM207" i="13"/>
  <c r="BM223" i="13"/>
  <c r="BM239" i="13"/>
  <c r="BM255" i="13"/>
  <c r="BM271" i="13"/>
  <c r="BM287" i="13"/>
  <c r="BM303" i="13"/>
  <c r="BM274" i="13"/>
  <c r="BM202" i="13"/>
  <c r="BM266" i="13"/>
  <c r="BM151" i="13"/>
  <c r="BM214" i="13"/>
  <c r="BM150" i="13"/>
  <c r="BM217" i="13"/>
  <c r="BM309" i="13"/>
  <c r="BM168" i="13"/>
  <c r="BM200" i="13"/>
  <c r="BM232" i="13"/>
  <c r="BM248" i="13"/>
  <c r="BM280" i="13"/>
  <c r="BM312" i="13"/>
  <c r="BM193" i="13"/>
  <c r="BM221" i="13"/>
  <c r="BM285" i="13"/>
  <c r="BM155" i="13"/>
  <c r="BM171" i="13"/>
  <c r="BM187" i="13"/>
  <c r="BM203" i="13"/>
  <c r="BM219" i="13"/>
  <c r="BM235" i="13"/>
  <c r="BM251" i="13"/>
  <c r="BM267" i="13"/>
  <c r="BM283" i="13"/>
  <c r="BM250" i="13"/>
  <c r="BM262" i="13"/>
  <c r="BM241" i="13"/>
  <c r="BM164" i="13"/>
  <c r="BM228" i="13"/>
  <c r="BM292" i="13"/>
  <c r="BM213" i="13"/>
  <c r="BM199" i="13"/>
  <c r="BM263" i="13"/>
  <c r="BM242" i="13"/>
  <c r="BM222" i="13"/>
  <c r="BM186" i="13"/>
  <c r="BM198" i="13"/>
  <c r="BM205" i="13"/>
  <c r="BM149" i="13"/>
  <c r="BM212" i="13"/>
  <c r="BM276" i="13"/>
  <c r="BM185" i="13"/>
  <c r="BM317" i="13"/>
  <c r="BM183" i="13"/>
  <c r="BM247" i="13"/>
  <c r="BM311" i="13"/>
  <c r="BM226" i="13"/>
  <c r="BM173" i="13"/>
  <c r="BM301" i="13"/>
  <c r="BM196" i="13"/>
  <c r="BM260" i="13"/>
  <c r="BM277" i="13"/>
  <c r="BM167" i="13"/>
  <c r="BM231" i="13"/>
  <c r="BM295" i="13"/>
  <c r="BM314" i="13"/>
  <c r="BM273" i="13"/>
  <c r="BM180" i="13"/>
  <c r="BM244" i="13"/>
  <c r="BM308" i="13"/>
  <c r="BM245" i="13"/>
  <c r="BM152" i="13"/>
  <c r="BM215" i="13"/>
  <c r="BM279" i="13"/>
  <c r="BM315" i="12"/>
  <c r="BM185" i="12"/>
  <c r="BM249" i="12"/>
  <c r="BM165" i="12"/>
  <c r="BM201" i="12"/>
  <c r="BM161" i="12"/>
  <c r="BM283" i="12"/>
  <c r="BM177" i="12"/>
  <c r="BM241" i="12"/>
  <c r="BM145" i="12"/>
  <c r="BM261" i="12"/>
  <c r="BM169" i="12"/>
  <c r="BM221" i="12"/>
  <c r="BM299" i="12"/>
  <c r="BM156" i="12"/>
  <c r="BM172" i="12"/>
  <c r="BM204" i="12"/>
  <c r="BM236" i="12"/>
  <c r="BM268" i="12"/>
  <c r="BM280" i="12"/>
  <c r="BM151" i="12"/>
  <c r="BM167" i="12"/>
  <c r="BM171" i="12"/>
  <c r="BM187" i="12"/>
  <c r="BM203" i="12"/>
  <c r="BM219" i="12"/>
  <c r="BM235" i="12"/>
  <c r="BM251" i="12"/>
  <c r="BM267" i="12"/>
  <c r="BM295" i="12"/>
  <c r="BM296" i="12"/>
  <c r="BM168" i="12"/>
  <c r="BM192" i="12"/>
  <c r="BM224" i="12"/>
  <c r="BM256" i="12"/>
  <c r="BM305" i="12"/>
  <c r="BM308" i="12"/>
  <c r="BM158" i="12"/>
  <c r="BM282" i="12"/>
  <c r="BM178" i="12"/>
  <c r="BM194" i="12"/>
  <c r="BM210" i="12"/>
  <c r="BM226" i="12"/>
  <c r="BM242" i="12"/>
  <c r="BM258" i="12"/>
  <c r="BM277" i="12"/>
  <c r="BM309" i="12"/>
  <c r="BM291" i="12"/>
  <c r="BM233" i="12"/>
  <c r="BM209" i="12"/>
  <c r="BM197" i="12"/>
  <c r="BM189" i="12"/>
  <c r="BM292" i="12"/>
  <c r="BM188" i="12"/>
  <c r="BM252" i="12"/>
  <c r="BM159" i="12"/>
  <c r="BM179" i="12"/>
  <c r="BM227" i="12"/>
  <c r="BM243" i="12"/>
  <c r="BM279" i="12"/>
  <c r="BM152" i="12"/>
  <c r="BM208" i="12"/>
  <c r="BM273" i="12"/>
  <c r="BM150" i="12"/>
  <c r="BM312" i="12"/>
  <c r="BM202" i="12"/>
  <c r="BM218" i="12"/>
  <c r="BM266" i="12"/>
  <c r="BM304" i="12"/>
  <c r="BM149" i="12"/>
  <c r="BM245" i="12"/>
  <c r="BM278" i="12"/>
  <c r="BM225" i="12"/>
  <c r="BM307" i="12"/>
  <c r="BM229" i="12"/>
  <c r="BM153" i="12"/>
  <c r="BM205" i="12"/>
  <c r="BM269" i="12"/>
  <c r="BM148" i="12"/>
  <c r="BM306" i="12"/>
  <c r="BM196" i="12"/>
  <c r="BM228" i="12"/>
  <c r="BM260" i="12"/>
  <c r="BM313" i="12"/>
  <c r="BM147" i="12"/>
  <c r="BM163" i="12"/>
  <c r="BM302" i="12"/>
  <c r="BM183" i="12"/>
  <c r="BM199" i="12"/>
  <c r="BM215" i="12"/>
  <c r="BM231" i="12"/>
  <c r="BM247" i="12"/>
  <c r="BM263" i="12"/>
  <c r="BM287" i="12"/>
  <c r="BM316" i="12"/>
  <c r="BM160" i="12"/>
  <c r="BM184" i="12"/>
  <c r="BM216" i="12"/>
  <c r="BM248" i="12"/>
  <c r="BM289" i="12"/>
  <c r="BM276" i="12"/>
  <c r="BM154" i="12"/>
  <c r="BM170" i="12"/>
  <c r="BM174" i="12"/>
  <c r="BM190" i="12"/>
  <c r="BM206" i="12"/>
  <c r="BM222" i="12"/>
  <c r="BM238" i="12"/>
  <c r="BM254" i="12"/>
  <c r="BM270" i="12"/>
  <c r="BM301" i="12"/>
  <c r="BM318" i="12"/>
  <c r="BM213" i="12"/>
  <c r="BM157" i="12"/>
  <c r="BM275" i="12"/>
  <c r="BM253" i="12"/>
  <c r="BM274" i="12"/>
  <c r="BM220" i="12"/>
  <c r="BM297" i="12"/>
  <c r="BM286" i="12"/>
  <c r="BM195" i="12"/>
  <c r="BM211" i="12"/>
  <c r="BM259" i="12"/>
  <c r="BM311" i="12"/>
  <c r="BM176" i="12"/>
  <c r="BM240" i="12"/>
  <c r="BM272" i="12"/>
  <c r="BM166" i="12"/>
  <c r="BM186" i="12"/>
  <c r="BM234" i="12"/>
  <c r="BM250" i="12"/>
  <c r="BM293" i="12"/>
  <c r="BM310" i="12"/>
  <c r="BM193" i="12"/>
  <c r="BM173" i="12"/>
  <c r="BM180" i="12"/>
  <c r="BM284" i="12"/>
  <c r="BM191" i="12"/>
  <c r="BM255" i="12"/>
  <c r="BM290" i="12"/>
  <c r="BM317" i="12"/>
  <c r="BM182" i="12"/>
  <c r="BM246" i="12"/>
  <c r="BM300" i="12"/>
  <c r="BM314" i="12"/>
  <c r="BM164" i="12"/>
  <c r="BM281" i="12"/>
  <c r="BM175" i="12"/>
  <c r="BM239" i="12"/>
  <c r="BM144" i="12"/>
  <c r="BM264" i="12"/>
  <c r="BM298" i="12"/>
  <c r="BM230" i="12"/>
  <c r="BM217" i="12"/>
  <c r="BM265" i="12"/>
  <c r="BM181" i="12"/>
  <c r="BM294" i="12"/>
  <c r="BM288" i="12"/>
  <c r="BM244" i="12"/>
  <c r="BM223" i="12"/>
  <c r="BM303" i="12"/>
  <c r="BM232" i="12"/>
  <c r="BM162" i="12"/>
  <c r="BM214" i="12"/>
  <c r="BM285" i="12"/>
  <c r="BM257" i="12"/>
  <c r="BM237" i="12"/>
  <c r="BM212" i="12"/>
  <c r="BM155" i="12"/>
  <c r="BM207" i="12"/>
  <c r="BM271" i="12"/>
  <c r="BM200" i="12"/>
  <c r="BM146" i="12"/>
  <c r="BM198" i="12"/>
  <c r="BM262" i="12"/>
  <c r="BM316" i="9"/>
  <c r="BM270" i="9"/>
  <c r="BM205" i="9"/>
  <c r="BM236" i="9"/>
  <c r="BM286" i="9"/>
  <c r="BM221" i="9"/>
  <c r="BM157" i="9"/>
  <c r="BM238" i="9"/>
  <c r="BM318" i="9"/>
  <c r="BM254" i="9"/>
  <c r="BM302" i="9"/>
  <c r="BM173" i="9"/>
  <c r="BM189" i="9"/>
  <c r="BM150" i="9"/>
  <c r="BM214" i="9"/>
  <c r="BM279" i="9"/>
  <c r="BM165" i="9"/>
  <c r="BM229" i="9"/>
  <c r="BM294" i="9"/>
  <c r="BM174" i="9"/>
  <c r="BM239" i="9"/>
  <c r="BM303" i="9"/>
  <c r="BM161" i="9"/>
  <c r="BM193" i="9"/>
  <c r="BM225" i="9"/>
  <c r="BM258" i="9"/>
  <c r="BM290" i="9"/>
  <c r="BM146" i="9"/>
  <c r="BM178" i="9"/>
  <c r="BM210" i="9"/>
  <c r="BM243" i="9"/>
  <c r="BM275" i="9"/>
  <c r="BM307" i="9"/>
  <c r="BM152" i="9"/>
  <c r="BM168" i="9"/>
  <c r="BM184" i="9"/>
  <c r="BM200" i="9"/>
  <c r="BM216" i="9"/>
  <c r="BM232" i="9"/>
  <c r="BM249" i="9"/>
  <c r="BM265" i="9"/>
  <c r="BM281" i="9"/>
  <c r="BM297" i="9"/>
  <c r="BM313" i="9"/>
  <c r="BM143" i="9"/>
  <c r="BM159" i="9"/>
  <c r="BM175" i="9"/>
  <c r="BM191" i="9"/>
  <c r="BM207" i="9"/>
  <c r="BM223" i="9"/>
  <c r="BM240" i="9"/>
  <c r="BM256" i="9"/>
  <c r="BM272" i="9"/>
  <c r="BM288" i="9"/>
  <c r="BM304" i="9"/>
  <c r="BM182" i="9"/>
  <c r="BM311" i="9"/>
  <c r="BL142" i="9"/>
  <c r="BM271" i="9"/>
  <c r="BM177" i="9"/>
  <c r="BM242" i="9"/>
  <c r="BM306" i="9"/>
  <c r="BM194" i="9"/>
  <c r="BM259" i="9"/>
  <c r="BM144" i="9"/>
  <c r="BM176" i="9"/>
  <c r="BM208" i="9"/>
  <c r="BM257" i="9"/>
  <c r="BM289" i="9"/>
  <c r="BM199" i="9"/>
  <c r="BM215" i="9"/>
  <c r="BM248" i="9"/>
  <c r="BM280" i="9"/>
  <c r="BM312" i="9"/>
  <c r="BM166" i="9"/>
  <c r="BM295" i="9"/>
  <c r="BM246" i="9"/>
  <c r="BM255" i="9"/>
  <c r="BM169" i="9"/>
  <c r="BM233" i="9"/>
  <c r="BM298" i="9"/>
  <c r="BM186" i="9"/>
  <c r="BM283" i="9"/>
  <c r="BM234" i="9"/>
  <c r="BM156" i="9"/>
  <c r="BM188" i="9"/>
  <c r="BM220" i="9"/>
  <c r="BM253" i="9"/>
  <c r="BM285" i="9"/>
  <c r="BM198" i="9"/>
  <c r="BM263" i="9"/>
  <c r="BM149" i="9"/>
  <c r="BM213" i="9"/>
  <c r="BM278" i="9"/>
  <c r="BM158" i="9"/>
  <c r="BM222" i="9"/>
  <c r="BM287" i="9"/>
  <c r="BM153" i="9"/>
  <c r="BM185" i="9"/>
  <c r="BM217" i="9"/>
  <c r="BM250" i="9"/>
  <c r="BM282" i="9"/>
  <c r="BM314" i="9"/>
  <c r="BM170" i="9"/>
  <c r="BM202" i="9"/>
  <c r="BM235" i="9"/>
  <c r="BM267" i="9"/>
  <c r="BM299" i="9"/>
  <c r="BM148" i="9"/>
  <c r="BM164" i="9"/>
  <c r="BM180" i="9"/>
  <c r="BM196" i="9"/>
  <c r="BM212" i="9"/>
  <c r="BM228" i="9"/>
  <c r="BM245" i="9"/>
  <c r="BM261" i="9"/>
  <c r="BM277" i="9"/>
  <c r="BM293" i="9"/>
  <c r="BM309" i="9"/>
  <c r="BM155" i="9"/>
  <c r="BM171" i="9"/>
  <c r="BM187" i="9"/>
  <c r="BM203" i="9"/>
  <c r="BM219" i="9"/>
  <c r="BM237" i="9"/>
  <c r="BM252" i="9"/>
  <c r="BM268" i="9"/>
  <c r="BM284" i="9"/>
  <c r="BM300" i="9"/>
  <c r="BM247" i="9"/>
  <c r="BM197" i="9"/>
  <c r="BM262" i="9"/>
  <c r="BM206" i="9"/>
  <c r="BM145" i="9"/>
  <c r="BM209" i="9"/>
  <c r="BM274" i="9"/>
  <c r="BM162" i="9"/>
  <c r="BM226" i="9"/>
  <c r="BM291" i="9"/>
  <c r="BM160" i="9"/>
  <c r="BM192" i="9"/>
  <c r="BM224" i="9"/>
  <c r="BM241" i="9"/>
  <c r="BM273" i="9"/>
  <c r="BM305" i="9"/>
  <c r="BM151" i="9"/>
  <c r="BM167" i="9"/>
  <c r="BM183" i="9"/>
  <c r="BM231" i="9"/>
  <c r="BM264" i="9"/>
  <c r="BM296" i="9"/>
  <c r="BM230" i="9"/>
  <c r="BM181" i="9"/>
  <c r="BM310" i="9"/>
  <c r="BM190" i="9"/>
  <c r="BM201" i="9"/>
  <c r="BM266" i="9"/>
  <c r="BM154" i="9"/>
  <c r="BM218" i="9"/>
  <c r="BM251" i="9"/>
  <c r="BM315" i="9"/>
  <c r="BM172" i="9"/>
  <c r="BM204" i="9"/>
  <c r="BN142" i="9"/>
  <c r="BM269" i="9"/>
  <c r="BM163" i="9"/>
  <c r="BM227" i="9"/>
  <c r="BM292" i="9"/>
  <c r="BM147" i="9"/>
  <c r="BM211" i="9"/>
  <c r="BM276" i="9"/>
  <c r="BM317" i="9"/>
  <c r="BM195" i="9"/>
  <c r="BM260" i="9"/>
  <c r="BM301" i="9"/>
  <c r="BM179" i="9"/>
  <c r="BM244" i="9"/>
  <c r="BM308" i="9"/>
  <c r="BC318" i="9"/>
  <c r="BC314" i="9"/>
  <c r="BC310" i="9"/>
  <c r="BC306" i="9"/>
  <c r="BC302" i="9"/>
  <c r="BC298" i="9"/>
  <c r="BC294" i="9"/>
  <c r="BC290" i="9"/>
  <c r="BC286" i="9"/>
  <c r="BC282" i="9"/>
  <c r="BC278" i="9"/>
  <c r="BC274" i="9"/>
  <c r="BC270" i="9"/>
  <c r="BC266" i="9"/>
  <c r="BC262" i="9"/>
  <c r="BC258" i="9"/>
  <c r="BC254" i="9"/>
  <c r="BC250" i="9"/>
  <c r="BC246" i="9"/>
  <c r="BC242" i="9"/>
  <c r="BC238" i="9"/>
  <c r="BC232" i="9"/>
  <c r="BC228" i="9"/>
  <c r="BC224" i="9"/>
  <c r="BC220" i="9"/>
  <c r="BC216" i="9"/>
  <c r="BC212" i="9"/>
  <c r="BC208" i="9"/>
  <c r="BC204" i="9"/>
  <c r="BC200" i="9"/>
  <c r="BC196" i="9"/>
  <c r="BC192" i="9"/>
  <c r="BC188" i="9"/>
  <c r="BC184" i="9"/>
  <c r="BC180" i="9"/>
  <c r="BC176" i="9"/>
  <c r="BC172" i="9"/>
  <c r="BC168" i="9"/>
  <c r="BC164" i="9"/>
  <c r="BC160" i="9"/>
  <c r="BC156" i="9"/>
  <c r="BC152" i="9"/>
  <c r="BC148" i="9"/>
  <c r="BC144" i="9"/>
  <c r="BC237" i="9"/>
  <c r="BC315" i="9"/>
  <c r="BC311" i="9"/>
  <c r="BC307" i="9"/>
  <c r="BC303" i="9"/>
  <c r="BC299" i="9"/>
  <c r="BC295" i="9"/>
  <c r="BC291" i="9"/>
  <c r="BC287" i="9"/>
  <c r="BC283" i="9"/>
  <c r="BC279" i="9"/>
  <c r="BC275" i="9"/>
  <c r="BC271" i="9"/>
  <c r="BC267" i="9"/>
  <c r="BC263" i="9"/>
  <c r="BC259" i="9"/>
  <c r="BC255" i="9"/>
  <c r="BC251" i="9"/>
  <c r="BC247" i="9"/>
  <c r="BC243" i="9"/>
  <c r="BC239" i="9"/>
  <c r="BC233" i="9"/>
  <c r="BC229" i="9"/>
  <c r="BC225" i="9"/>
  <c r="BC221" i="9"/>
  <c r="BC217" i="9"/>
  <c r="BC213" i="9"/>
  <c r="BC209" i="9"/>
  <c r="BC205" i="9"/>
  <c r="BC201" i="9"/>
  <c r="BC197" i="9"/>
  <c r="BC193" i="9"/>
  <c r="BC189" i="9"/>
  <c r="BC185" i="9"/>
  <c r="BC181" i="9"/>
  <c r="BC177" i="9"/>
  <c r="BC173" i="9"/>
  <c r="BC169" i="9"/>
  <c r="BC165" i="9"/>
  <c r="BC161" i="9"/>
  <c r="BC157" i="9"/>
  <c r="BC153" i="9"/>
  <c r="BC149" i="9"/>
  <c r="BC145" i="9"/>
  <c r="BC235" i="9"/>
  <c r="BC313" i="9"/>
  <c r="BC305" i="9"/>
  <c r="BC297" i="9"/>
  <c r="BC289" i="9"/>
  <c r="BC281" i="9"/>
  <c r="BC273" i="9"/>
  <c r="BC265" i="9"/>
  <c r="BC257" i="9"/>
  <c r="BC249" i="9"/>
  <c r="BC241" i="9"/>
  <c r="BC231" i="9"/>
  <c r="BC223" i="9"/>
  <c r="BC215" i="9"/>
  <c r="BC207" i="9"/>
  <c r="BC199" i="9"/>
  <c r="BC191" i="9"/>
  <c r="BC183" i="9"/>
  <c r="BC175" i="9"/>
  <c r="BC167" i="9"/>
  <c r="BC159" i="9"/>
  <c r="BC151" i="9"/>
  <c r="BC143" i="9"/>
  <c r="BC316" i="9"/>
  <c r="BC308" i="9"/>
  <c r="BC300" i="9"/>
  <c r="BC292" i="9"/>
  <c r="BC284" i="9"/>
  <c r="BC276" i="9"/>
  <c r="BC268" i="9"/>
  <c r="BC260" i="9"/>
  <c r="BC252" i="9"/>
  <c r="BC244" i="9"/>
  <c r="BC234" i="9"/>
  <c r="BC226" i="9"/>
  <c r="BC218" i="9"/>
  <c r="BC210" i="9"/>
  <c r="BC202" i="9"/>
  <c r="BC194" i="9"/>
  <c r="BC186" i="9"/>
  <c r="BC178" i="9"/>
  <c r="BC170" i="9"/>
  <c r="BC162" i="9"/>
  <c r="BC154" i="9"/>
  <c r="BC146" i="9"/>
  <c r="BC317" i="9"/>
  <c r="BC309" i="9"/>
  <c r="BC301" i="9"/>
  <c r="BC293" i="9"/>
  <c r="BC285" i="9"/>
  <c r="BC277" i="9"/>
  <c r="BC269" i="9"/>
  <c r="BC261" i="9"/>
  <c r="BC253" i="9"/>
  <c r="BC245" i="9"/>
  <c r="BC236" i="9"/>
  <c r="BC227" i="9"/>
  <c r="BC219" i="9"/>
  <c r="BC211" i="9"/>
  <c r="BC203" i="9"/>
  <c r="BC195" i="9"/>
  <c r="BC187" i="9"/>
  <c r="BC179" i="9"/>
  <c r="BC171" i="9"/>
  <c r="BC163" i="9"/>
  <c r="BC155" i="9"/>
  <c r="BC147" i="9"/>
  <c r="BD142" i="9"/>
  <c r="BC312" i="9"/>
  <c r="BC304" i="9"/>
  <c r="BC296" i="9"/>
  <c r="BC288" i="9"/>
  <c r="BC280" i="9"/>
  <c r="BC272" i="9"/>
  <c r="BC264" i="9"/>
  <c r="BC256" i="9"/>
  <c r="BC248" i="9"/>
  <c r="BC240" i="9"/>
  <c r="BC230" i="9"/>
  <c r="BC222" i="9"/>
  <c r="BC214" i="9"/>
  <c r="BC206" i="9"/>
  <c r="BC198" i="9"/>
  <c r="BC190" i="9"/>
  <c r="BC182" i="9"/>
  <c r="BC174" i="9"/>
  <c r="BC166" i="9"/>
  <c r="BC158" i="9"/>
  <c r="BC150" i="9"/>
  <c r="BB142" i="9"/>
  <c r="H134" i="14"/>
  <c r="H141" i="14" s="1"/>
  <c r="H132" i="14"/>
  <c r="H131" i="14"/>
  <c r="H135" i="14"/>
  <c r="H142" i="14" s="1"/>
  <c r="H133" i="14"/>
  <c r="BC315" i="13"/>
  <c r="BC311" i="13"/>
  <c r="BC307" i="13"/>
  <c r="BC303" i="13"/>
  <c r="BC299" i="13"/>
  <c r="BC295" i="13"/>
  <c r="BC291" i="13"/>
  <c r="BC287" i="13"/>
  <c r="BC283" i="13"/>
  <c r="BC279" i="13"/>
  <c r="BC275" i="13"/>
  <c r="BC271" i="13"/>
  <c r="BC267" i="13"/>
  <c r="BC263" i="13"/>
  <c r="BC259" i="13"/>
  <c r="BC255" i="13"/>
  <c r="BC251" i="13"/>
  <c r="BC247" i="13"/>
  <c r="BC243" i="13"/>
  <c r="BC239" i="13"/>
  <c r="BC235" i="13"/>
  <c r="BC231" i="13"/>
  <c r="BC227" i="13"/>
  <c r="BC223" i="13"/>
  <c r="BC219" i="13"/>
  <c r="BC215" i="13"/>
  <c r="BC211" i="13"/>
  <c r="BC207" i="13"/>
  <c r="BC203" i="13"/>
  <c r="BC199" i="13"/>
  <c r="BC195" i="13"/>
  <c r="BC191" i="13"/>
  <c r="BC187" i="13"/>
  <c r="BC183" i="13"/>
  <c r="BC179" i="13"/>
  <c r="BC175" i="13"/>
  <c r="BC171" i="13"/>
  <c r="BC167" i="13"/>
  <c r="BC163" i="13"/>
  <c r="BC159" i="13"/>
  <c r="BC155" i="13"/>
  <c r="BC151" i="13"/>
  <c r="BC147" i="13"/>
  <c r="BC317" i="13"/>
  <c r="BC309" i="13"/>
  <c r="BC305" i="13"/>
  <c r="BC297" i="13"/>
  <c r="BC289" i="13"/>
  <c r="BC281" i="13"/>
  <c r="BC273" i="13"/>
  <c r="BC265" i="13"/>
  <c r="BC257" i="13"/>
  <c r="BC249" i="13"/>
  <c r="BC241" i="13"/>
  <c r="BC233" i="13"/>
  <c r="BC229" i="13"/>
  <c r="BC221" i="13"/>
  <c r="BC213" i="13"/>
  <c r="BC205" i="13"/>
  <c r="BC197" i="13"/>
  <c r="BC185" i="13"/>
  <c r="BC173" i="13"/>
  <c r="BC165" i="13"/>
  <c r="BC157" i="13"/>
  <c r="BC153" i="13"/>
  <c r="BC145" i="13"/>
  <c r="BC316" i="13"/>
  <c r="BC312" i="13"/>
  <c r="BC308" i="13"/>
  <c r="BC304" i="13"/>
  <c r="BC300" i="13"/>
  <c r="BC296" i="13"/>
  <c r="BC292" i="13"/>
  <c r="BC288" i="13"/>
  <c r="BC284" i="13"/>
  <c r="BC280" i="13"/>
  <c r="BC276" i="13"/>
  <c r="BC272" i="13"/>
  <c r="BC268" i="13"/>
  <c r="BC264" i="13"/>
  <c r="BC260" i="13"/>
  <c r="BC256" i="13"/>
  <c r="BC252" i="13"/>
  <c r="BC248" i="13"/>
  <c r="BC244" i="13"/>
  <c r="BC240" i="13"/>
  <c r="BC236" i="13"/>
  <c r="BC232" i="13"/>
  <c r="BC228" i="13"/>
  <c r="BC224" i="13"/>
  <c r="BC220" i="13"/>
  <c r="BC216" i="13"/>
  <c r="BC212" i="13"/>
  <c r="BC208" i="13"/>
  <c r="BC204" i="13"/>
  <c r="BC200" i="13"/>
  <c r="BC196" i="13"/>
  <c r="BC192" i="13"/>
  <c r="BC188" i="13"/>
  <c r="BC184" i="13"/>
  <c r="BC180" i="13"/>
  <c r="BC176" i="13"/>
  <c r="BC172" i="13"/>
  <c r="BC168" i="13"/>
  <c r="BC164" i="13"/>
  <c r="BC160" i="13"/>
  <c r="BC156" i="13"/>
  <c r="BC152" i="13"/>
  <c r="BC148" i="13"/>
  <c r="BC144" i="13"/>
  <c r="BC313" i="13"/>
  <c r="BC301" i="13"/>
  <c r="BC293" i="13"/>
  <c r="BC285" i="13"/>
  <c r="BC277" i="13"/>
  <c r="BC269" i="13"/>
  <c r="BC261" i="13"/>
  <c r="BC253" i="13"/>
  <c r="BC245" i="13"/>
  <c r="BC237" i="13"/>
  <c r="BC225" i="13"/>
  <c r="BC217" i="13"/>
  <c r="BC209" i="13"/>
  <c r="BC201" i="13"/>
  <c r="BC193" i="13"/>
  <c r="BC189" i="13"/>
  <c r="BC181" i="13"/>
  <c r="BC177" i="13"/>
  <c r="BC169" i="13"/>
  <c r="BC161" i="13"/>
  <c r="BC149" i="13"/>
  <c r="BC306" i="13"/>
  <c r="BC290" i="13"/>
  <c r="BC274" i="13"/>
  <c r="BC258" i="13"/>
  <c r="BC242" i="13"/>
  <c r="BC226" i="13"/>
  <c r="BC210" i="13"/>
  <c r="BC194" i="13"/>
  <c r="BC178" i="13"/>
  <c r="BC162" i="13"/>
  <c r="BC146" i="13"/>
  <c r="BC310" i="13"/>
  <c r="BC294" i="13"/>
  <c r="BC278" i="13"/>
  <c r="BC262" i="13"/>
  <c r="BC246" i="13"/>
  <c r="BC230" i="13"/>
  <c r="BC214" i="13"/>
  <c r="BC198" i="13"/>
  <c r="BC182" i="13"/>
  <c r="BC166" i="13"/>
  <c r="BC150" i="13"/>
  <c r="BC314" i="13"/>
  <c r="BC298" i="13"/>
  <c r="BC282" i="13"/>
  <c r="BC266" i="13"/>
  <c r="BC250" i="13"/>
  <c r="BC234" i="13"/>
  <c r="BC218" i="13"/>
  <c r="BC202" i="13"/>
  <c r="BC186" i="13"/>
  <c r="BC170" i="13"/>
  <c r="BC154" i="13"/>
  <c r="BC318" i="13"/>
  <c r="BC302" i="13"/>
  <c r="BC286" i="13"/>
  <c r="BC270" i="13"/>
  <c r="BC254" i="13"/>
  <c r="BC238" i="13"/>
  <c r="BC222" i="13"/>
  <c r="BC206" i="13"/>
  <c r="BC190" i="13"/>
  <c r="BC174" i="13"/>
  <c r="BC158" i="13"/>
  <c r="BC318" i="12"/>
  <c r="BC314" i="12"/>
  <c r="BC306" i="12"/>
  <c r="BC298" i="12"/>
  <c r="BC290" i="12"/>
  <c r="BC282" i="12"/>
  <c r="BC274" i="12"/>
  <c r="BC269" i="12"/>
  <c r="BC265" i="12"/>
  <c r="BC261" i="12"/>
  <c r="BC257" i="12"/>
  <c r="BC253" i="12"/>
  <c r="BC249" i="12"/>
  <c r="BC245" i="12"/>
  <c r="BC241" i="12"/>
  <c r="BC237" i="12"/>
  <c r="BC233" i="12"/>
  <c r="BC229" i="12"/>
  <c r="BC225" i="12"/>
  <c r="BC221" i="12"/>
  <c r="BC217" i="12"/>
  <c r="BC213" i="12"/>
  <c r="BC209" i="12"/>
  <c r="BC205" i="12"/>
  <c r="BC201" i="12"/>
  <c r="BC197" i="12"/>
  <c r="BC193" i="12"/>
  <c r="BC189" i="12"/>
  <c r="BC185" i="12"/>
  <c r="BC181" i="12"/>
  <c r="BC177" i="12"/>
  <c r="BC173" i="12"/>
  <c r="BC309" i="12"/>
  <c r="BC293" i="12"/>
  <c r="BC277" i="12"/>
  <c r="BC168" i="12"/>
  <c r="BC164" i="12"/>
  <c r="BC160" i="12"/>
  <c r="BC156" i="12"/>
  <c r="BC152" i="12"/>
  <c r="BC148" i="12"/>
  <c r="BC144" i="12"/>
  <c r="BC299" i="12"/>
  <c r="BC303" i="12"/>
  <c r="BC295" i="12"/>
  <c r="BC315" i="12"/>
  <c r="BC308" i="12"/>
  <c r="BC300" i="12"/>
  <c r="BC292" i="12"/>
  <c r="BC284" i="12"/>
  <c r="BC276" i="12"/>
  <c r="BC270" i="12"/>
  <c r="BC266" i="12"/>
  <c r="BC262" i="12"/>
  <c r="BC258" i="12"/>
  <c r="BC254" i="12"/>
  <c r="BC250" i="12"/>
  <c r="BC246" i="12"/>
  <c r="BC242" i="12"/>
  <c r="BC238" i="12"/>
  <c r="BC234" i="12"/>
  <c r="BC230" i="12"/>
  <c r="BC226" i="12"/>
  <c r="BC222" i="12"/>
  <c r="BC218" i="12"/>
  <c r="BC214" i="12"/>
  <c r="BC210" i="12"/>
  <c r="BC206" i="12"/>
  <c r="BC202" i="12"/>
  <c r="BC198" i="12"/>
  <c r="BC194" i="12"/>
  <c r="BC190" i="12"/>
  <c r="BC186" i="12"/>
  <c r="BC182" i="12"/>
  <c r="BC178" i="12"/>
  <c r="BC174" i="12"/>
  <c r="BC297" i="12"/>
  <c r="BC281" i="12"/>
  <c r="BC169" i="12"/>
  <c r="BC165" i="12"/>
  <c r="BC161" i="12"/>
  <c r="BC157" i="12"/>
  <c r="BC153" i="12"/>
  <c r="BC149" i="12"/>
  <c r="BC145" i="12"/>
  <c r="BC307" i="12"/>
  <c r="BC275" i="12"/>
  <c r="BC279" i="12"/>
  <c r="BC313" i="12"/>
  <c r="BC296" i="12"/>
  <c r="BC280" i="12"/>
  <c r="BC268" i="12"/>
  <c r="BC260" i="12"/>
  <c r="BC252" i="12"/>
  <c r="BC244" i="12"/>
  <c r="BC236" i="12"/>
  <c r="BC228" i="12"/>
  <c r="BC220" i="12"/>
  <c r="BC212" i="12"/>
  <c r="BC204" i="12"/>
  <c r="BC196" i="12"/>
  <c r="BC188" i="12"/>
  <c r="BC180" i="12"/>
  <c r="BC172" i="12"/>
  <c r="BC289" i="12"/>
  <c r="BC167" i="12"/>
  <c r="BC159" i="12"/>
  <c r="BC151" i="12"/>
  <c r="BC287" i="12"/>
  <c r="BC316" i="12"/>
  <c r="BC302" i="12"/>
  <c r="BC286" i="12"/>
  <c r="BC271" i="12"/>
  <c r="BC263" i="12"/>
  <c r="BC255" i="12"/>
  <c r="BC247" i="12"/>
  <c r="BC239" i="12"/>
  <c r="BC231" i="12"/>
  <c r="BC223" i="12"/>
  <c r="BC215" i="12"/>
  <c r="BC207" i="12"/>
  <c r="BC199" i="12"/>
  <c r="BC191" i="12"/>
  <c r="BC183" i="12"/>
  <c r="BC175" i="12"/>
  <c r="BC301" i="12"/>
  <c r="BC170" i="12"/>
  <c r="BC162" i="12"/>
  <c r="BC154" i="12"/>
  <c r="BC146" i="12"/>
  <c r="BC283" i="12"/>
  <c r="BC317" i="12"/>
  <c r="BC304" i="12"/>
  <c r="BC288" i="12"/>
  <c r="BC272" i="12"/>
  <c r="BC264" i="12"/>
  <c r="BC256" i="12"/>
  <c r="BC248" i="12"/>
  <c r="BC240" i="12"/>
  <c r="BC232" i="12"/>
  <c r="BC224" i="12"/>
  <c r="BC216" i="12"/>
  <c r="BC208" i="12"/>
  <c r="BC200" i="12"/>
  <c r="BC192" i="12"/>
  <c r="BC184" i="12"/>
  <c r="BC176" i="12"/>
  <c r="BC305" i="12"/>
  <c r="BC273" i="12"/>
  <c r="BC163" i="12"/>
  <c r="BC155" i="12"/>
  <c r="BC147" i="12"/>
  <c r="BC291" i="12"/>
  <c r="BC311" i="12"/>
  <c r="BC310" i="12"/>
  <c r="BC294" i="12"/>
  <c r="BC278" i="12"/>
  <c r="BC267" i="12"/>
  <c r="BC259" i="12"/>
  <c r="BC251" i="12"/>
  <c r="BC243" i="12"/>
  <c r="BC235" i="12"/>
  <c r="BC227" i="12"/>
  <c r="BC219" i="12"/>
  <c r="BC211" i="12"/>
  <c r="BC203" i="12"/>
  <c r="BC195" i="12"/>
  <c r="BC187" i="12"/>
  <c r="BC179" i="12"/>
  <c r="BC171" i="12"/>
  <c r="BC285" i="12"/>
  <c r="BC166" i="12"/>
  <c r="BC158" i="12"/>
  <c r="BC150" i="12"/>
  <c r="BC312" i="12"/>
  <c r="F134" i="14"/>
  <c r="F141" i="14" s="1"/>
  <c r="F131" i="14"/>
  <c r="F133" i="14"/>
  <c r="F140" i="14" s="1"/>
  <c r="F135" i="14"/>
  <c r="F142" i="14" s="1"/>
  <c r="F132" i="14"/>
  <c r="F139" i="14" s="1"/>
  <c r="D131" i="14"/>
  <c r="D135" i="14"/>
  <c r="D142" i="14" s="1"/>
  <c r="D133" i="14"/>
  <c r="D140" i="14" s="1"/>
  <c r="D132" i="14"/>
  <c r="D139" i="14" s="1"/>
  <c r="D134" i="14"/>
  <c r="D141" i="14" s="1"/>
  <c r="Y317" i="9"/>
  <c r="Y145" i="9"/>
  <c r="Y169" i="9"/>
  <c r="Y243" i="9"/>
  <c r="Y225" i="9"/>
  <c r="Y153" i="9"/>
  <c r="Y283" i="9"/>
  <c r="Y190" i="9"/>
  <c r="Y264" i="9"/>
  <c r="Y157" i="9"/>
  <c r="Y189" i="9"/>
  <c r="Y221" i="9"/>
  <c r="Y255" i="9"/>
  <c r="Y287" i="9"/>
  <c r="Y236" i="9"/>
  <c r="Y198" i="9"/>
  <c r="Y256" i="9"/>
  <c r="Y296" i="9"/>
  <c r="Y162" i="9"/>
  <c r="Y194" i="9"/>
  <c r="Y226" i="9"/>
  <c r="Y260" i="9"/>
  <c r="Y292" i="9"/>
  <c r="Y144" i="9"/>
  <c r="Y160" i="9"/>
  <c r="Y176" i="9"/>
  <c r="Y192" i="9"/>
  <c r="Y208" i="9"/>
  <c r="Y224" i="9"/>
  <c r="Y242" i="9"/>
  <c r="Y258" i="9"/>
  <c r="Y274" i="9"/>
  <c r="Y290" i="9"/>
  <c r="Y306" i="9"/>
  <c r="Y238" i="9"/>
  <c r="Y155" i="9"/>
  <c r="Y171" i="9"/>
  <c r="Y187" i="9"/>
  <c r="Y203" i="9"/>
  <c r="Y219" i="9"/>
  <c r="Y237" i="9"/>
  <c r="Y253" i="9"/>
  <c r="Y269" i="9"/>
  <c r="Y285" i="9"/>
  <c r="Y301" i="9"/>
  <c r="Y161" i="9"/>
  <c r="Y150" i="9"/>
  <c r="Y173" i="9"/>
  <c r="Y239" i="9"/>
  <c r="Y303" i="9"/>
  <c r="Y230" i="9"/>
  <c r="Y146" i="9"/>
  <c r="Y210" i="9"/>
  <c r="Y276" i="9"/>
  <c r="Y152" i="9"/>
  <c r="Y168" i="9"/>
  <c r="Y200" i="9"/>
  <c r="Y216" i="9"/>
  <c r="Y250" i="9"/>
  <c r="Y282" i="9"/>
  <c r="Y314" i="9"/>
  <c r="Y163" i="9"/>
  <c r="Y195" i="9"/>
  <c r="Y227" i="9"/>
  <c r="Y261" i="9"/>
  <c r="Y293" i="9"/>
  <c r="Y177" i="9"/>
  <c r="Y193" i="9"/>
  <c r="Y251" i="9"/>
  <c r="Y174" i="9"/>
  <c r="Y240" i="9"/>
  <c r="Y149" i="9"/>
  <c r="Y181" i="9"/>
  <c r="Y213" i="9"/>
  <c r="Y247" i="9"/>
  <c r="Y279" i="9"/>
  <c r="Y311" i="9"/>
  <c r="Y182" i="9"/>
  <c r="Y248" i="9"/>
  <c r="Y288" i="9"/>
  <c r="Y154" i="9"/>
  <c r="Y186" i="9"/>
  <c r="Y218" i="9"/>
  <c r="Y252" i="9"/>
  <c r="Y284" i="9"/>
  <c r="Y316" i="9"/>
  <c r="Y234" i="9"/>
  <c r="Y156" i="9"/>
  <c r="Y172" i="9"/>
  <c r="Y188" i="9"/>
  <c r="Y204" i="9"/>
  <c r="Y220" i="9"/>
  <c r="Z142" i="9"/>
  <c r="Y254" i="9"/>
  <c r="Y270" i="9"/>
  <c r="Y286" i="9"/>
  <c r="Y302" i="9"/>
  <c r="Y318" i="9"/>
  <c r="Y151" i="9"/>
  <c r="Y167" i="9"/>
  <c r="Y183" i="9"/>
  <c r="Y199" i="9"/>
  <c r="Y215" i="9"/>
  <c r="Y231" i="9"/>
  <c r="Y249" i="9"/>
  <c r="Y265" i="9"/>
  <c r="Y281" i="9"/>
  <c r="Y297" i="9"/>
  <c r="Y313" i="9"/>
  <c r="Y209" i="9"/>
  <c r="Y267" i="9"/>
  <c r="Y291" i="9"/>
  <c r="Y217" i="9"/>
  <c r="Y222" i="9"/>
  <c r="X142" i="9"/>
  <c r="Y205" i="9"/>
  <c r="Y271" i="9"/>
  <c r="Y166" i="9"/>
  <c r="Y280" i="9"/>
  <c r="Y178" i="9"/>
  <c r="Y244" i="9"/>
  <c r="Y308" i="9"/>
  <c r="Y184" i="9"/>
  <c r="Y232" i="9"/>
  <c r="Y266" i="9"/>
  <c r="Y298" i="9"/>
  <c r="Y147" i="9"/>
  <c r="Y179" i="9"/>
  <c r="Y211" i="9"/>
  <c r="Y245" i="9"/>
  <c r="Y277" i="9"/>
  <c r="Y309" i="9"/>
  <c r="Y275" i="9"/>
  <c r="Y233" i="9"/>
  <c r="Y315" i="9"/>
  <c r="Y197" i="9"/>
  <c r="Y158" i="9"/>
  <c r="Y170" i="9"/>
  <c r="Y300" i="9"/>
  <c r="Y148" i="9"/>
  <c r="Y212" i="9"/>
  <c r="Y278" i="9"/>
  <c r="Y159" i="9"/>
  <c r="Y223" i="9"/>
  <c r="Y289" i="9"/>
  <c r="Y307" i="9"/>
  <c r="Y185" i="9"/>
  <c r="Y165" i="9"/>
  <c r="Y295" i="9"/>
  <c r="Y312" i="9"/>
  <c r="Y268" i="9"/>
  <c r="Y196" i="9"/>
  <c r="Y262" i="9"/>
  <c r="Y143" i="9"/>
  <c r="Y207" i="9"/>
  <c r="Y273" i="9"/>
  <c r="Y299" i="9"/>
  <c r="Y201" i="9"/>
  <c r="Y304" i="9"/>
  <c r="Y263" i="9"/>
  <c r="Y272" i="9"/>
  <c r="Y235" i="9"/>
  <c r="Y180" i="9"/>
  <c r="Y246" i="9"/>
  <c r="Y310" i="9"/>
  <c r="Y191" i="9"/>
  <c r="Y257" i="9"/>
  <c r="Y259" i="9"/>
  <c r="Y206" i="9"/>
  <c r="Y229" i="9"/>
  <c r="Y214" i="9"/>
  <c r="Y202" i="9"/>
  <c r="Y164" i="9"/>
  <c r="Y228" i="9"/>
  <c r="Y294" i="9"/>
  <c r="Y175" i="9"/>
  <c r="Y241" i="9"/>
  <c r="Y305" i="9"/>
  <c r="E156" i="14"/>
  <c r="O152" i="9"/>
  <c r="O168" i="9"/>
  <c r="O184" i="9"/>
  <c r="O200" i="9"/>
  <c r="O216" i="9"/>
  <c r="O232" i="9"/>
  <c r="O250" i="9"/>
  <c r="O266" i="9"/>
  <c r="O282" i="9"/>
  <c r="O298" i="9"/>
  <c r="O314" i="9"/>
  <c r="O148" i="9"/>
  <c r="O164" i="9"/>
  <c r="O180" i="9"/>
  <c r="O196" i="9"/>
  <c r="O212" i="9"/>
  <c r="O228" i="9"/>
  <c r="O246" i="9"/>
  <c r="O262" i="9"/>
  <c r="O278" i="9"/>
  <c r="O294" i="9"/>
  <c r="O310" i="9"/>
  <c r="O144" i="9"/>
  <c r="O160" i="9"/>
  <c r="O176" i="9"/>
  <c r="O192" i="9"/>
  <c r="O208" i="9"/>
  <c r="O224" i="9"/>
  <c r="O242" i="9"/>
  <c r="O258" i="9"/>
  <c r="O274" i="9"/>
  <c r="O290" i="9"/>
  <c r="O306" i="9"/>
  <c r="E158" i="14"/>
  <c r="E165" i="14" s="1"/>
  <c r="O143" i="9"/>
  <c r="O151" i="9"/>
  <c r="O159" i="9"/>
  <c r="O167" i="9"/>
  <c r="O175" i="9"/>
  <c r="O187" i="9"/>
  <c r="O195" i="9"/>
  <c r="O203" i="9"/>
  <c r="O211" i="9"/>
  <c r="O219" i="9"/>
  <c r="O227" i="9"/>
  <c r="O236" i="9"/>
  <c r="O241" i="9"/>
  <c r="O249" i="9"/>
  <c r="O257" i="9"/>
  <c r="O265" i="9"/>
  <c r="O273" i="9"/>
  <c r="O281" i="9"/>
  <c r="O289" i="9"/>
  <c r="O297" i="9"/>
  <c r="O305" i="9"/>
  <c r="O313" i="9"/>
  <c r="E154" i="14"/>
  <c r="N142" i="9"/>
  <c r="N316" i="9" s="1"/>
  <c r="O146" i="9"/>
  <c r="O150" i="9"/>
  <c r="O154" i="9"/>
  <c r="O158" i="9"/>
  <c r="O162" i="9"/>
  <c r="O166" i="9"/>
  <c r="O170" i="9"/>
  <c r="O174" i="9"/>
  <c r="O178" i="9"/>
  <c r="O182" i="9"/>
  <c r="O186" i="9"/>
  <c r="O190" i="9"/>
  <c r="O194" i="9"/>
  <c r="O198" i="9"/>
  <c r="O202" i="9"/>
  <c r="O206" i="9"/>
  <c r="O210" i="9"/>
  <c r="O214" i="9"/>
  <c r="O218" i="9"/>
  <c r="O222" i="9"/>
  <c r="O226" i="9"/>
  <c r="O230" i="9"/>
  <c r="O234" i="9"/>
  <c r="O240" i="9"/>
  <c r="O244" i="9"/>
  <c r="O248" i="9"/>
  <c r="O252" i="9"/>
  <c r="O256" i="9"/>
  <c r="O260" i="9"/>
  <c r="O264" i="9"/>
  <c r="O268" i="9"/>
  <c r="O272" i="9"/>
  <c r="O276" i="9"/>
  <c r="O280" i="9"/>
  <c r="O284" i="9"/>
  <c r="O288" i="9"/>
  <c r="O292" i="9"/>
  <c r="O296" i="9"/>
  <c r="O300" i="9"/>
  <c r="O304" i="9"/>
  <c r="O308" i="9"/>
  <c r="O312" i="9"/>
  <c r="O316" i="9"/>
  <c r="E157" i="14"/>
  <c r="E164" i="14" s="1"/>
  <c r="O237" i="9"/>
  <c r="O147" i="9"/>
  <c r="O155" i="9"/>
  <c r="O163" i="9"/>
  <c r="O171" i="9"/>
  <c r="O179" i="9"/>
  <c r="O183" i="9"/>
  <c r="O191" i="9"/>
  <c r="O199" i="9"/>
  <c r="O207" i="9"/>
  <c r="O215" i="9"/>
  <c r="O223" i="9"/>
  <c r="O231" i="9"/>
  <c r="O245" i="9"/>
  <c r="O253" i="9"/>
  <c r="O261" i="9"/>
  <c r="O269" i="9"/>
  <c r="O277" i="9"/>
  <c r="O285" i="9"/>
  <c r="O293" i="9"/>
  <c r="O301" i="9"/>
  <c r="O309" i="9"/>
  <c r="O317" i="9"/>
  <c r="O235" i="9"/>
  <c r="O145" i="9"/>
  <c r="O149" i="9"/>
  <c r="O153" i="9"/>
  <c r="O157" i="9"/>
  <c r="O161" i="9"/>
  <c r="O165" i="9"/>
  <c r="O169" i="9"/>
  <c r="O173" i="9"/>
  <c r="O177" i="9"/>
  <c r="O181" i="9"/>
  <c r="O185" i="9"/>
  <c r="O189" i="9"/>
  <c r="O193" i="9"/>
  <c r="O197" i="9"/>
  <c r="O201" i="9"/>
  <c r="O205" i="9"/>
  <c r="O209" i="9"/>
  <c r="O213" i="9"/>
  <c r="O217" i="9"/>
  <c r="O221" i="9"/>
  <c r="O225" i="9"/>
  <c r="O229" i="9"/>
  <c r="O233" i="9"/>
  <c r="O239" i="9"/>
  <c r="O243" i="9"/>
  <c r="O247" i="9"/>
  <c r="O251" i="9"/>
  <c r="O255" i="9"/>
  <c r="O259" i="9"/>
  <c r="O263" i="9"/>
  <c r="O267" i="9"/>
  <c r="O271" i="9"/>
  <c r="O275" i="9"/>
  <c r="O279" i="9"/>
  <c r="O283" i="9"/>
  <c r="O287" i="9"/>
  <c r="O291" i="9"/>
  <c r="O295" i="9"/>
  <c r="O299" i="9"/>
  <c r="O303" i="9"/>
  <c r="O307" i="9"/>
  <c r="O311" i="9"/>
  <c r="E88" i="14"/>
  <c r="E95" i="14" s="1"/>
  <c r="E85" i="14"/>
  <c r="E89" i="14"/>
  <c r="E96" i="14" s="1"/>
  <c r="E87" i="14"/>
  <c r="E86" i="14"/>
  <c r="O148" i="13"/>
  <c r="O156" i="13"/>
  <c r="O164" i="13"/>
  <c r="O172" i="13"/>
  <c r="O180" i="13"/>
  <c r="O188" i="13"/>
  <c r="O196" i="13"/>
  <c r="O204" i="13"/>
  <c r="O212" i="13"/>
  <c r="O220" i="13"/>
  <c r="O228" i="13"/>
  <c r="O236" i="13"/>
  <c r="O244" i="13"/>
  <c r="O252" i="13"/>
  <c r="O260" i="13"/>
  <c r="O268" i="13"/>
  <c r="O276" i="13"/>
  <c r="O284" i="13"/>
  <c r="O292" i="13"/>
  <c r="O300" i="13"/>
  <c r="O308" i="13"/>
  <c r="O316" i="13"/>
  <c r="O149" i="13"/>
  <c r="O157" i="13"/>
  <c r="O165" i="13"/>
  <c r="O173" i="13"/>
  <c r="O181" i="13"/>
  <c r="O189" i="13"/>
  <c r="O197" i="13"/>
  <c r="O205" i="13"/>
  <c r="O213" i="13"/>
  <c r="O221" i="13"/>
  <c r="O229" i="13"/>
  <c r="O237" i="13"/>
  <c r="O245" i="13"/>
  <c r="O253" i="13"/>
  <c r="O261" i="13"/>
  <c r="O269" i="13"/>
  <c r="O277" i="13"/>
  <c r="O285" i="13"/>
  <c r="O293" i="13"/>
  <c r="O301" i="13"/>
  <c r="O309" i="13"/>
  <c r="O317" i="13"/>
  <c r="O147" i="13"/>
  <c r="O151" i="13"/>
  <c r="O155" i="13"/>
  <c r="O159" i="13"/>
  <c r="O163" i="13"/>
  <c r="O167" i="13"/>
  <c r="O171" i="13"/>
  <c r="O175" i="13"/>
  <c r="O179" i="13"/>
  <c r="O183" i="13"/>
  <c r="O187" i="13"/>
  <c r="O191" i="13"/>
  <c r="O195" i="13"/>
  <c r="O199" i="13"/>
  <c r="O203" i="13"/>
  <c r="O207" i="13"/>
  <c r="O211" i="13"/>
  <c r="O215" i="13"/>
  <c r="O219" i="13"/>
  <c r="O223" i="13"/>
  <c r="O227" i="13"/>
  <c r="O231" i="13"/>
  <c r="O235" i="13"/>
  <c r="O239" i="13"/>
  <c r="O243" i="13"/>
  <c r="O247" i="13"/>
  <c r="O251" i="13"/>
  <c r="O255" i="13"/>
  <c r="O259" i="13"/>
  <c r="O263" i="13"/>
  <c r="O267" i="13"/>
  <c r="O271" i="13"/>
  <c r="O275" i="13"/>
  <c r="O279" i="13"/>
  <c r="O283" i="13"/>
  <c r="O287" i="13"/>
  <c r="O291" i="13"/>
  <c r="O295" i="13"/>
  <c r="O299" i="13"/>
  <c r="O303" i="13"/>
  <c r="O307" i="13"/>
  <c r="O311" i="13"/>
  <c r="O315" i="13"/>
  <c r="N317" i="13"/>
  <c r="O146" i="13"/>
  <c r="O150" i="13"/>
  <c r="O154" i="13"/>
  <c r="O158" i="13"/>
  <c r="O162" i="13"/>
  <c r="O166" i="13"/>
  <c r="O170" i="13"/>
  <c r="O174" i="13"/>
  <c r="O178" i="13"/>
  <c r="O182" i="13"/>
  <c r="O186" i="13"/>
  <c r="O190" i="13"/>
  <c r="O194" i="13"/>
  <c r="O198" i="13"/>
  <c r="O202" i="13"/>
  <c r="O206" i="13"/>
  <c r="O210" i="13"/>
  <c r="O214" i="13"/>
  <c r="O218" i="13"/>
  <c r="O222" i="13"/>
  <c r="O226" i="13"/>
  <c r="O230" i="13"/>
  <c r="O234" i="13"/>
  <c r="O238" i="13"/>
  <c r="O242" i="13"/>
  <c r="O246" i="13"/>
  <c r="O250" i="13"/>
  <c r="O254" i="13"/>
  <c r="O258" i="13"/>
  <c r="O262" i="13"/>
  <c r="O266" i="13"/>
  <c r="O270" i="13"/>
  <c r="O274" i="13"/>
  <c r="O278" i="13"/>
  <c r="O282" i="13"/>
  <c r="O286" i="13"/>
  <c r="O290" i="13"/>
  <c r="O294" i="13"/>
  <c r="O298" i="13"/>
  <c r="O302" i="13"/>
  <c r="O306" i="13"/>
  <c r="O310" i="13"/>
  <c r="O314" i="13"/>
  <c r="E36" i="1"/>
  <c r="C20" i="4"/>
  <c r="E9" i="1"/>
  <c r="N318" i="12"/>
  <c r="N317" i="12"/>
  <c r="N316" i="12"/>
  <c r="N315" i="12"/>
  <c r="N314" i="12"/>
  <c r="N313" i="12"/>
  <c r="N312" i="12"/>
  <c r="N310" i="12"/>
  <c r="N308" i="12"/>
  <c r="N306" i="12"/>
  <c r="N304" i="12"/>
  <c r="N302" i="12"/>
  <c r="N300" i="12"/>
  <c r="N298" i="12"/>
  <c r="N296" i="12"/>
  <c r="N294" i="12"/>
  <c r="N292" i="12"/>
  <c r="N290" i="12"/>
  <c r="N288" i="12"/>
  <c r="N286" i="12"/>
  <c r="N284" i="12"/>
  <c r="N282" i="12"/>
  <c r="N280" i="12"/>
  <c r="N278" i="12"/>
  <c r="N276" i="12"/>
  <c r="N274" i="12"/>
  <c r="N311" i="12"/>
  <c r="N307" i="12"/>
  <c r="N303" i="12"/>
  <c r="N299" i="12"/>
  <c r="N295" i="12"/>
  <c r="N291" i="12"/>
  <c r="N287" i="12"/>
  <c r="N283" i="12"/>
  <c r="N279" i="12"/>
  <c r="N275" i="12"/>
  <c r="N181" i="12"/>
  <c r="N179" i="12"/>
  <c r="N177" i="12"/>
  <c r="N175" i="12"/>
  <c r="N173" i="12"/>
  <c r="N309" i="12"/>
  <c r="N301" i="12"/>
  <c r="N293" i="12"/>
  <c r="N285" i="12"/>
  <c r="N277" i="12"/>
  <c r="N180" i="12"/>
  <c r="N176" i="12"/>
  <c r="N172" i="12"/>
  <c r="N272" i="12"/>
  <c r="N270" i="12"/>
  <c r="N268" i="12"/>
  <c r="N266" i="12"/>
  <c r="N264" i="12"/>
  <c r="N262" i="12"/>
  <c r="N260" i="12"/>
  <c r="N258" i="12"/>
  <c r="N256" i="12"/>
  <c r="N254" i="12"/>
  <c r="N252" i="12"/>
  <c r="N250" i="12"/>
  <c r="N248" i="12"/>
  <c r="N246" i="12"/>
  <c r="N244" i="12"/>
  <c r="N242" i="12"/>
  <c r="N240" i="12"/>
  <c r="N238" i="12"/>
  <c r="N236" i="12"/>
  <c r="N234" i="12"/>
  <c r="N232" i="12"/>
  <c r="N230" i="12"/>
  <c r="N228" i="12"/>
  <c r="N226" i="12"/>
  <c r="N224" i="12"/>
  <c r="N222" i="12"/>
  <c r="N220" i="12"/>
  <c r="N218" i="12"/>
  <c r="N216" i="12"/>
  <c r="N214" i="12"/>
  <c r="N212" i="12"/>
  <c r="N210" i="12"/>
  <c r="N208" i="12"/>
  <c r="N206" i="12"/>
  <c r="N204" i="12"/>
  <c r="N202" i="12"/>
  <c r="N200" i="12"/>
  <c r="N198" i="12"/>
  <c r="N196" i="12"/>
  <c r="N194" i="12"/>
  <c r="N192" i="12"/>
  <c r="N190" i="12"/>
  <c r="N188" i="12"/>
  <c r="N186" i="12"/>
  <c r="N184" i="12"/>
  <c r="N182" i="12"/>
  <c r="N269" i="12"/>
  <c r="N265" i="12"/>
  <c r="N261" i="12"/>
  <c r="N257" i="12"/>
  <c r="N253" i="12"/>
  <c r="N249" i="12"/>
  <c r="N245" i="12"/>
  <c r="N241" i="12"/>
  <c r="N237" i="12"/>
  <c r="N233" i="12"/>
  <c r="N229" i="12"/>
  <c r="N225" i="12"/>
  <c r="N221" i="12"/>
  <c r="N217" i="12"/>
  <c r="N213" i="12"/>
  <c r="N209" i="12"/>
  <c r="N205" i="12"/>
  <c r="N201" i="12"/>
  <c r="N197" i="12"/>
  <c r="N193" i="12"/>
  <c r="N189" i="12"/>
  <c r="N185" i="12"/>
  <c r="N171" i="12"/>
  <c r="N169" i="12"/>
  <c r="N167" i="12"/>
  <c r="N165" i="12"/>
  <c r="N163" i="12"/>
  <c r="N161" i="12"/>
  <c r="N159" i="12"/>
  <c r="N157" i="12"/>
  <c r="N155" i="12"/>
  <c r="N153" i="12"/>
  <c r="N151" i="12"/>
  <c r="N149" i="12"/>
  <c r="N147" i="12"/>
  <c r="N145" i="12"/>
  <c r="N305" i="12"/>
  <c r="N289" i="12"/>
  <c r="N273" i="12"/>
  <c r="N174" i="12"/>
  <c r="N297" i="12"/>
  <c r="N267" i="12"/>
  <c r="N259" i="12"/>
  <c r="N251" i="12"/>
  <c r="N243" i="12"/>
  <c r="N235" i="12"/>
  <c r="N227" i="12"/>
  <c r="N219" i="12"/>
  <c r="N211" i="12"/>
  <c r="N203" i="12"/>
  <c r="N195" i="12"/>
  <c r="N187" i="12"/>
  <c r="N170" i="12"/>
  <c r="N166" i="12"/>
  <c r="N162" i="12"/>
  <c r="N158" i="12"/>
  <c r="N154" i="12"/>
  <c r="N150" i="12"/>
  <c r="N146" i="12"/>
  <c r="N281" i="12"/>
  <c r="N271" i="12"/>
  <c r="N255" i="12"/>
  <c r="N239" i="12"/>
  <c r="N223" i="12"/>
  <c r="N207" i="12"/>
  <c r="N191" i="12"/>
  <c r="N178" i="12"/>
  <c r="N168" i="12"/>
  <c r="N160" i="12"/>
  <c r="N152" i="12"/>
  <c r="N144" i="12"/>
  <c r="N263" i="12"/>
  <c r="N247" i="12"/>
  <c r="N231" i="12"/>
  <c r="N215" i="12"/>
  <c r="N199" i="12"/>
  <c r="N183" i="12"/>
  <c r="N164" i="12"/>
  <c r="N156" i="12"/>
  <c r="N148" i="12"/>
  <c r="H84" i="1"/>
  <c r="E83" i="1"/>
  <c r="E10" i="4" s="1"/>
  <c r="H128" i="1"/>
  <c r="G11" i="1"/>
  <c r="H37" i="1" s="1"/>
  <c r="G10" i="1"/>
  <c r="H36" i="1" s="1"/>
  <c r="G30" i="1"/>
  <c r="H56" i="1" s="1"/>
  <c r="H38" i="1"/>
  <c r="J10" i="37" l="1"/>
  <c r="P313" i="10"/>
  <c r="P270" i="10"/>
  <c r="P168" i="10"/>
  <c r="P219" i="10"/>
  <c r="P308" i="10"/>
  <c r="Q142" i="13"/>
  <c r="Q143" i="13" s="1"/>
  <c r="P148" i="10"/>
  <c r="P215" i="10"/>
  <c r="P181" i="10"/>
  <c r="F49" i="14"/>
  <c r="G49" i="14"/>
  <c r="E49" i="14"/>
  <c r="P309" i="10"/>
  <c r="P184" i="10"/>
  <c r="F237" i="8"/>
  <c r="M10" i="40"/>
  <c r="K10" i="40"/>
  <c r="N10" i="40"/>
  <c r="P190" i="10"/>
  <c r="P199" i="10"/>
  <c r="P192" i="10"/>
  <c r="P226" i="10"/>
  <c r="P288" i="10"/>
  <c r="P299" i="10"/>
  <c r="P297" i="10"/>
  <c r="P249" i="10"/>
  <c r="P172" i="10"/>
  <c r="P195" i="10"/>
  <c r="P163" i="10"/>
  <c r="L10" i="40"/>
  <c r="L73" i="40" s="1"/>
  <c r="P167" i="10"/>
  <c r="P203" i="10"/>
  <c r="P318" i="10"/>
  <c r="P178" i="10"/>
  <c r="P200" i="10"/>
  <c r="P150" i="10"/>
  <c r="P214" i="10"/>
  <c r="P282" i="10"/>
  <c r="P287" i="10"/>
  <c r="P285" i="10"/>
  <c r="P237" i="10"/>
  <c r="P238" i="10"/>
  <c r="P294" i="10"/>
  <c r="P243" i="10"/>
  <c r="P239" i="10"/>
  <c r="P197" i="10"/>
  <c r="P316" i="10"/>
  <c r="P170" i="10"/>
  <c r="P144" i="10"/>
  <c r="P202" i="10"/>
  <c r="P276" i="10"/>
  <c r="P165" i="10"/>
  <c r="P310" i="10"/>
  <c r="P175" i="10"/>
  <c r="P289" i="10"/>
  <c r="P161" i="10"/>
  <c r="P235" i="10"/>
  <c r="P193" i="10"/>
  <c r="P263" i="10"/>
  <c r="P242" i="10"/>
  <c r="P261" i="10"/>
  <c r="P296" i="10"/>
  <c r="P213" i="10"/>
  <c r="P169" i="10"/>
  <c r="P188" i="10"/>
  <c r="P145" i="10"/>
  <c r="P251" i="10"/>
  <c r="P290" i="10"/>
  <c r="P201" i="10"/>
  <c r="P303" i="10"/>
  <c r="P317" i="10"/>
  <c r="P301" i="10"/>
  <c r="P186" i="10"/>
  <c r="P252" i="10"/>
  <c r="P146" i="10"/>
  <c r="P318" i="13"/>
  <c r="P259" i="10"/>
  <c r="P244" i="10"/>
  <c r="P248" i="10"/>
  <c r="P164" i="10"/>
  <c r="P209" i="10"/>
  <c r="P206" i="10"/>
  <c r="P278" i="10"/>
  <c r="P257" i="10"/>
  <c r="P305" i="10"/>
  <c r="P307" i="10"/>
  <c r="P254" i="10"/>
  <c r="P277" i="10"/>
  <c r="P151" i="10"/>
  <c r="P311" i="10"/>
  <c r="P194" i="10"/>
  <c r="P279" i="10"/>
  <c r="P180" i="10"/>
  <c r="P304" i="10"/>
  <c r="P272" i="10"/>
  <c r="P229" i="10"/>
  <c r="P147" i="10"/>
  <c r="P177" i="10"/>
  <c r="P265" i="10"/>
  <c r="P220" i="10"/>
  <c r="P246" i="10"/>
  <c r="P174" i="10"/>
  <c r="P267" i="10"/>
  <c r="P236" i="10"/>
  <c r="P298" i="10"/>
  <c r="P266" i="10"/>
  <c r="P217" i="10"/>
  <c r="P160" i="10"/>
  <c r="P171" i="10"/>
  <c r="P253" i="10"/>
  <c r="P196" i="10"/>
  <c r="P234" i="10"/>
  <c r="P153" i="10"/>
  <c r="P255" i="10"/>
  <c r="P216" i="10"/>
  <c r="P292" i="10"/>
  <c r="P260" i="10"/>
  <c r="P205" i="10"/>
  <c r="P154" i="10"/>
  <c r="Q142" i="10"/>
  <c r="Q240" i="10" s="1"/>
  <c r="P262" i="10"/>
  <c r="P302" i="10"/>
  <c r="P291" i="10"/>
  <c r="P241" i="10"/>
  <c r="P231" i="10"/>
  <c r="P212" i="10"/>
  <c r="P166" i="10"/>
  <c r="P232" i="10"/>
  <c r="P264" i="10"/>
  <c r="P158" i="10"/>
  <c r="P247" i="10"/>
  <c r="P230" i="10"/>
  <c r="P208" i="10"/>
  <c r="P258" i="10"/>
  <c r="P152" i="10"/>
  <c r="P227" i="10"/>
  <c r="P218" i="10"/>
  <c r="P223" i="10"/>
  <c r="P284" i="10"/>
  <c r="P189" i="10"/>
  <c r="P143" i="10"/>
  <c r="P204" i="10"/>
  <c r="P273" i="10"/>
  <c r="P275" i="10"/>
  <c r="P225" i="10"/>
  <c r="P228" i="10"/>
  <c r="P314" i="10"/>
  <c r="P149" i="10"/>
  <c r="P183" i="10"/>
  <c r="P156" i="10"/>
  <c r="P222" i="10"/>
  <c r="P286" i="10"/>
  <c r="P295" i="10"/>
  <c r="P207" i="10"/>
  <c r="P315" i="10"/>
  <c r="P210" i="10"/>
  <c r="P293" i="10"/>
  <c r="P211" i="10"/>
  <c r="P157" i="10"/>
  <c r="P280" i="10"/>
  <c r="P245" i="10"/>
  <c r="P176" i="10"/>
  <c r="P185" i="10"/>
  <c r="P281" i="10"/>
  <c r="P159" i="10"/>
  <c r="P312" i="10"/>
  <c r="P198" i="10"/>
  <c r="P283" i="10"/>
  <c r="P191" i="10"/>
  <c r="P306" i="10"/>
  <c r="P274" i="10"/>
  <c r="P233" i="10"/>
  <c r="P155" i="10"/>
  <c r="P179" i="10"/>
  <c r="P269" i="10"/>
  <c r="P224" i="10"/>
  <c r="P250" i="10"/>
  <c r="P182" i="10"/>
  <c r="P271" i="10"/>
  <c r="P240" i="10"/>
  <c r="P300" i="10"/>
  <c r="P268" i="10"/>
  <c r="P221" i="10"/>
  <c r="P162" i="10"/>
  <c r="P173" i="10"/>
  <c r="D111" i="14"/>
  <c r="D118" i="14" s="1"/>
  <c r="D110" i="14"/>
  <c r="D117" i="14" s="1"/>
  <c r="D108" i="14"/>
  <c r="D115" i="14" s="1"/>
  <c r="D109" i="14"/>
  <c r="D116" i="14" s="1"/>
  <c r="P214" i="12"/>
  <c r="P198" i="12"/>
  <c r="P274" i="12"/>
  <c r="P162" i="12"/>
  <c r="P262" i="12"/>
  <c r="H42" i="14"/>
  <c r="H49" i="14" s="1"/>
  <c r="P146" i="12"/>
  <c r="P182" i="12"/>
  <c r="P246" i="12"/>
  <c r="P276" i="12"/>
  <c r="P285" i="12"/>
  <c r="P230" i="12"/>
  <c r="P312" i="12"/>
  <c r="P309" i="12"/>
  <c r="P258" i="12"/>
  <c r="F112" i="14"/>
  <c r="F119" i="14" s="1"/>
  <c r="P176" i="12"/>
  <c r="P210" i="12"/>
  <c r="P306" i="12"/>
  <c r="P238" i="12"/>
  <c r="P158" i="12"/>
  <c r="P277" i="12"/>
  <c r="P194" i="12"/>
  <c r="P226" i="12"/>
  <c r="P242" i="12"/>
  <c r="P280" i="12"/>
  <c r="P154" i="12"/>
  <c r="P170" i="12"/>
  <c r="P301" i="12"/>
  <c r="P190" i="12"/>
  <c r="P206" i="12"/>
  <c r="P222" i="12"/>
  <c r="P254" i="12"/>
  <c r="P270" i="12"/>
  <c r="P173" i="12"/>
  <c r="P150" i="12"/>
  <c r="P166" i="12"/>
  <c r="P290" i="12"/>
  <c r="P293" i="12"/>
  <c r="P186" i="12"/>
  <c r="P202" i="12"/>
  <c r="P218" i="12"/>
  <c r="P234" i="12"/>
  <c r="P250" i="12"/>
  <c r="P266" i="12"/>
  <c r="P308" i="12"/>
  <c r="P317" i="12"/>
  <c r="P145" i="12"/>
  <c r="P153" i="12"/>
  <c r="P161" i="12"/>
  <c r="P169" i="12"/>
  <c r="P313" i="12"/>
  <c r="P302" i="12"/>
  <c r="P275" i="12"/>
  <c r="P291" i="12"/>
  <c r="P307" i="12"/>
  <c r="P185" i="12"/>
  <c r="P189" i="12"/>
  <c r="P197" i="12"/>
  <c r="P205" i="12"/>
  <c r="P217" i="12"/>
  <c r="P225" i="12"/>
  <c r="P233" i="12"/>
  <c r="P245" i="12"/>
  <c r="P253" i="12"/>
  <c r="P261" i="12"/>
  <c r="P269" i="12"/>
  <c r="P292" i="12"/>
  <c r="P300" i="12"/>
  <c r="P181" i="12"/>
  <c r="P296" i="12"/>
  <c r="P144" i="12"/>
  <c r="P148" i="12"/>
  <c r="P152" i="12"/>
  <c r="P156" i="12"/>
  <c r="P160" i="12"/>
  <c r="P164" i="12"/>
  <c r="P168" i="12"/>
  <c r="P172" i="12"/>
  <c r="P180" i="12"/>
  <c r="P282" i="12"/>
  <c r="P298" i="12"/>
  <c r="P273" i="12"/>
  <c r="P281" i="12"/>
  <c r="P289" i="12"/>
  <c r="P297" i="12"/>
  <c r="P305" i="12"/>
  <c r="P314" i="12"/>
  <c r="P184" i="12"/>
  <c r="P188" i="12"/>
  <c r="P192" i="12"/>
  <c r="P196" i="12"/>
  <c r="P200" i="12"/>
  <c r="P204" i="12"/>
  <c r="P208" i="12"/>
  <c r="P212" i="12"/>
  <c r="P216" i="12"/>
  <c r="P220" i="12"/>
  <c r="P224" i="12"/>
  <c r="P228" i="12"/>
  <c r="P232" i="12"/>
  <c r="P236" i="12"/>
  <c r="P240" i="12"/>
  <c r="P244" i="12"/>
  <c r="P248" i="12"/>
  <c r="P252" i="12"/>
  <c r="P256" i="12"/>
  <c r="P260" i="12"/>
  <c r="P264" i="12"/>
  <c r="P268" i="12"/>
  <c r="P272" i="12"/>
  <c r="P143" i="12"/>
  <c r="P175" i="12"/>
  <c r="P304" i="12"/>
  <c r="P149" i="12"/>
  <c r="P157" i="12"/>
  <c r="P165" i="12"/>
  <c r="P174" i="12"/>
  <c r="P286" i="12"/>
  <c r="P283" i="12"/>
  <c r="P299" i="12"/>
  <c r="P318" i="12"/>
  <c r="P193" i="12"/>
  <c r="P201" i="12"/>
  <c r="P209" i="12"/>
  <c r="P213" i="12"/>
  <c r="P221" i="12"/>
  <c r="P229" i="12"/>
  <c r="P237" i="12"/>
  <c r="P241" i="12"/>
  <c r="P249" i="12"/>
  <c r="P257" i="12"/>
  <c r="P265" i="12"/>
  <c r="P315" i="12"/>
  <c r="Q142" i="12"/>
  <c r="Q143" i="12" s="1"/>
  <c r="P179" i="12"/>
  <c r="P284" i="12"/>
  <c r="P177" i="12"/>
  <c r="P288" i="12"/>
  <c r="P316" i="12"/>
  <c r="P147" i="12"/>
  <c r="P151" i="12"/>
  <c r="P155" i="12"/>
  <c r="P159" i="12"/>
  <c r="P163" i="12"/>
  <c r="P167" i="12"/>
  <c r="P171" i="12"/>
  <c r="P178" i="12"/>
  <c r="P278" i="12"/>
  <c r="P294" i="12"/>
  <c r="P310" i="12"/>
  <c r="P279" i="12"/>
  <c r="P287" i="12"/>
  <c r="P295" i="12"/>
  <c r="P303" i="12"/>
  <c r="P311" i="12"/>
  <c r="P183" i="12"/>
  <c r="P187" i="12"/>
  <c r="P191" i="12"/>
  <c r="P195" i="12"/>
  <c r="P199" i="12"/>
  <c r="P203" i="12"/>
  <c r="P207" i="12"/>
  <c r="P211" i="12"/>
  <c r="P215" i="12"/>
  <c r="P219" i="12"/>
  <c r="P223" i="12"/>
  <c r="P227" i="12"/>
  <c r="P231" i="12"/>
  <c r="P235" i="12"/>
  <c r="P239" i="12"/>
  <c r="P243" i="12"/>
  <c r="P247" i="12"/>
  <c r="P251" i="12"/>
  <c r="P255" i="12"/>
  <c r="P259" i="12"/>
  <c r="P263" i="12"/>
  <c r="P267" i="12"/>
  <c r="F110" i="14"/>
  <c r="F117" i="14" s="1"/>
  <c r="G117" i="14" s="1"/>
  <c r="H117" i="14" s="1"/>
  <c r="K25" i="7"/>
  <c r="E135" i="14"/>
  <c r="E142" i="14" s="1"/>
  <c r="D42" i="14"/>
  <c r="D49" i="14" s="1"/>
  <c r="G313" i="3"/>
  <c r="G136" i="14"/>
  <c r="H39" i="14"/>
  <c r="F111" i="14"/>
  <c r="F118" i="14" s="1"/>
  <c r="F108" i="14"/>
  <c r="F115" i="14" s="1"/>
  <c r="G115" i="14" s="1"/>
  <c r="H115" i="14" s="1"/>
  <c r="F10" i="14"/>
  <c r="K10" i="49"/>
  <c r="H158" i="14"/>
  <c r="H165" i="14" s="1"/>
  <c r="E133" i="14"/>
  <c r="E140" i="14" s="1"/>
  <c r="H41" i="14"/>
  <c r="H48" i="14" s="1"/>
  <c r="H40" i="14"/>
  <c r="E132" i="14"/>
  <c r="E139" i="14" s="1"/>
  <c r="E131" i="14"/>
  <c r="E138" i="14" s="1"/>
  <c r="D39" i="14"/>
  <c r="D46" i="14" s="1"/>
  <c r="H156" i="14"/>
  <c r="G106" i="14"/>
  <c r="G108" i="14" s="1"/>
  <c r="G10" i="14"/>
  <c r="H13" i="14"/>
  <c r="H15" i="14" s="1"/>
  <c r="H155" i="14"/>
  <c r="E106" i="14"/>
  <c r="H157" i="14"/>
  <c r="H164" i="14" s="1"/>
  <c r="F60" i="14"/>
  <c r="F64" i="14" s="1"/>
  <c r="F71" i="14" s="1"/>
  <c r="G71" i="14" s="1"/>
  <c r="H71" i="14" s="1"/>
  <c r="D38" i="14"/>
  <c r="D45" i="14" s="1"/>
  <c r="D40" i="14"/>
  <c r="D47" i="14" s="1"/>
  <c r="N54" i="37"/>
  <c r="E10" i="14"/>
  <c r="H10" i="14"/>
  <c r="M54" i="37"/>
  <c r="D10" i="14"/>
  <c r="C20" i="14"/>
  <c r="F13" i="14"/>
  <c r="F15" i="14" s="1"/>
  <c r="AT142" i="13"/>
  <c r="AR142" i="13"/>
  <c r="AS143" i="13"/>
  <c r="AS315" i="13"/>
  <c r="AS221" i="13"/>
  <c r="AS235" i="13"/>
  <c r="AS170" i="13"/>
  <c r="AS168" i="13"/>
  <c r="AS312" i="13"/>
  <c r="AS251" i="13"/>
  <c r="AS264" i="13"/>
  <c r="AS234" i="13"/>
  <c r="AS203" i="13"/>
  <c r="AS216" i="13"/>
  <c r="AS318" i="13"/>
  <c r="AS303" i="13"/>
  <c r="AS175" i="13"/>
  <c r="AS316" i="13"/>
  <c r="AS188" i="13"/>
  <c r="AS150" i="13"/>
  <c r="AS174" i="13"/>
  <c r="AS214" i="13"/>
  <c r="AS191" i="13"/>
  <c r="AS169" i="13"/>
  <c r="AS204" i="13"/>
  <c r="AS181" i="13"/>
  <c r="AS291" i="13"/>
  <c r="AS227" i="13"/>
  <c r="AS163" i="13"/>
  <c r="AS237" i="13"/>
  <c r="AS304" i="13"/>
  <c r="AS240" i="13"/>
  <c r="AS176" i="13"/>
  <c r="AS257" i="13"/>
  <c r="AS314" i="13"/>
  <c r="AS206" i="13"/>
  <c r="AS151" i="13"/>
  <c r="AS295" i="13"/>
  <c r="AS231" i="13"/>
  <c r="AS167" i="13"/>
  <c r="AS245" i="13"/>
  <c r="AS308" i="13"/>
  <c r="AS244" i="13"/>
  <c r="AS180" i="13"/>
  <c r="AS265" i="13"/>
  <c r="AS266" i="13"/>
  <c r="AS158" i="13"/>
  <c r="AS310" i="13"/>
  <c r="AS190" i="13"/>
  <c r="AS253" i="13"/>
  <c r="AS283" i="13"/>
  <c r="AS184" i="13"/>
  <c r="AS153" i="13"/>
  <c r="AS144" i="13"/>
  <c r="AS282" i="13"/>
  <c r="AS287" i="13"/>
  <c r="AS300" i="13"/>
  <c r="AS218" i="13"/>
  <c r="AS211" i="13"/>
  <c r="AS288" i="13"/>
  <c r="AS225" i="13"/>
  <c r="AS279" i="13"/>
  <c r="AS213" i="13"/>
  <c r="AS164" i="13"/>
  <c r="AS294" i="13"/>
  <c r="AS232" i="13"/>
  <c r="AS178" i="13"/>
  <c r="AS273" i="13"/>
  <c r="AS296" i="13"/>
  <c r="AS171" i="13"/>
  <c r="AS161" i="13"/>
  <c r="AS173" i="13"/>
  <c r="AS267" i="13"/>
  <c r="AS280" i="13"/>
  <c r="AS298" i="13"/>
  <c r="AS207" i="13"/>
  <c r="AS197" i="13"/>
  <c r="AS220" i="13"/>
  <c r="AS217" i="13"/>
  <c r="AS302" i="13"/>
  <c r="AS274" i="13"/>
  <c r="AS223" i="13"/>
  <c r="AS229" i="13"/>
  <c r="AS236" i="13"/>
  <c r="AS249" i="13"/>
  <c r="AS238" i="13"/>
  <c r="AS290" i="13"/>
  <c r="AS307" i="13"/>
  <c r="AS243" i="13"/>
  <c r="AS179" i="13"/>
  <c r="AS269" i="13"/>
  <c r="AS146" i="13"/>
  <c r="AS256" i="13"/>
  <c r="AS192" i="13"/>
  <c r="AS289" i="13"/>
  <c r="AS157" i="13"/>
  <c r="AS270" i="13"/>
  <c r="AS278" i="13"/>
  <c r="AS311" i="13"/>
  <c r="AS247" i="13"/>
  <c r="AS183" i="13"/>
  <c r="AS277" i="13"/>
  <c r="AS260" i="13"/>
  <c r="AS196" i="13"/>
  <c r="AS297" i="13"/>
  <c r="AS165" i="13"/>
  <c r="AS222" i="13"/>
  <c r="AS242" i="13"/>
  <c r="AS241" i="13"/>
  <c r="AS306" i="13"/>
  <c r="AS258" i="13"/>
  <c r="AS200" i="13"/>
  <c r="AS313" i="13"/>
  <c r="AS198" i="13"/>
  <c r="AS284" i="13"/>
  <c r="AS275" i="13"/>
  <c r="AS205" i="13"/>
  <c r="AS160" i="13"/>
  <c r="AS262" i="13"/>
  <c r="AS215" i="13"/>
  <c r="AS292" i="13"/>
  <c r="AS233" i="13"/>
  <c r="AS182" i="13"/>
  <c r="AS219" i="13"/>
  <c r="AS248" i="13"/>
  <c r="AS155" i="13"/>
  <c r="AS162" i="13"/>
  <c r="AS299" i="13"/>
  <c r="AS285" i="13"/>
  <c r="AS309" i="13"/>
  <c r="AS189" i="13"/>
  <c r="AS209" i="13"/>
  <c r="AS246" i="13"/>
  <c r="AS239" i="13"/>
  <c r="AS261" i="13"/>
  <c r="AS252" i="13"/>
  <c r="AS281" i="13"/>
  <c r="AS154" i="13"/>
  <c r="AS230" i="13"/>
  <c r="AS255" i="13"/>
  <c r="AS293" i="13"/>
  <c r="AS268" i="13"/>
  <c r="AS317" i="13"/>
  <c r="AS226" i="13"/>
  <c r="AS259" i="13"/>
  <c r="AS195" i="13"/>
  <c r="AS301" i="13"/>
  <c r="AS177" i="13"/>
  <c r="AS272" i="13"/>
  <c r="AS208" i="13"/>
  <c r="AS145" i="13"/>
  <c r="AS193" i="13"/>
  <c r="AS186" i="13"/>
  <c r="AS210" i="13"/>
  <c r="AS263" i="13"/>
  <c r="AS199" i="13"/>
  <c r="AS305" i="13"/>
  <c r="AS185" i="13"/>
  <c r="AS276" i="13"/>
  <c r="AS212" i="13"/>
  <c r="AS149" i="13"/>
  <c r="AS201" i="13"/>
  <c r="AS286" i="13"/>
  <c r="AS166" i="13"/>
  <c r="AS194" i="13"/>
  <c r="AS187" i="13"/>
  <c r="AS254" i="13"/>
  <c r="AS271" i="13"/>
  <c r="AS156" i="13"/>
  <c r="AS159" i="13"/>
  <c r="AS172" i="13"/>
  <c r="AS147" i="13"/>
  <c r="AS148" i="13"/>
  <c r="AS224" i="13"/>
  <c r="AS250" i="13"/>
  <c r="AS152" i="13"/>
  <c r="AS228" i="13"/>
  <c r="AS202" i="13"/>
  <c r="X151" i="10"/>
  <c r="X157" i="10"/>
  <c r="X158" i="10"/>
  <c r="W142" i="10"/>
  <c r="X169" i="10"/>
  <c r="X173" i="10"/>
  <c r="X177" i="10"/>
  <c r="X181" i="10"/>
  <c r="X185" i="10"/>
  <c r="X189" i="10"/>
  <c r="X193" i="10"/>
  <c r="X197" i="10"/>
  <c r="X201" i="10"/>
  <c r="X205" i="10"/>
  <c r="X209" i="10"/>
  <c r="X213" i="10"/>
  <c r="X217" i="10"/>
  <c r="X221" i="10"/>
  <c r="X225" i="10"/>
  <c r="X231" i="10"/>
  <c r="X239" i="10"/>
  <c r="X247" i="10"/>
  <c r="X255" i="10"/>
  <c r="X263" i="10"/>
  <c r="X271" i="10"/>
  <c r="X279" i="10"/>
  <c r="X287" i="10"/>
  <c r="X293" i="10"/>
  <c r="X297" i="10"/>
  <c r="X301" i="10"/>
  <c r="X305" i="10"/>
  <c r="X309" i="10"/>
  <c r="X313" i="10"/>
  <c r="X317" i="10"/>
  <c r="X232" i="10"/>
  <c r="X240" i="10"/>
  <c r="X248" i="10"/>
  <c r="X256" i="10"/>
  <c r="X264" i="10"/>
  <c r="X272" i="10"/>
  <c r="X280" i="10"/>
  <c r="X288" i="10"/>
  <c r="X154" i="10"/>
  <c r="X163" i="10"/>
  <c r="X152" i="10"/>
  <c r="X162" i="10"/>
  <c r="X155" i="10"/>
  <c r="X160" i="10"/>
  <c r="X168" i="10"/>
  <c r="X172" i="10"/>
  <c r="X176" i="10"/>
  <c r="X180" i="10"/>
  <c r="X184" i="10"/>
  <c r="X188" i="10"/>
  <c r="X192" i="10"/>
  <c r="X196" i="10"/>
  <c r="X200" i="10"/>
  <c r="X204" i="10"/>
  <c r="X208" i="10"/>
  <c r="X212" i="10"/>
  <c r="X216" i="10"/>
  <c r="X220" i="10"/>
  <c r="X224" i="10"/>
  <c r="X229" i="10"/>
  <c r="X237" i="10"/>
  <c r="X245" i="10"/>
  <c r="X253" i="10"/>
  <c r="X261" i="10"/>
  <c r="X269" i="10"/>
  <c r="X277" i="10"/>
  <c r="X285" i="10"/>
  <c r="X292" i="10"/>
  <c r="X296" i="10"/>
  <c r="X300" i="10"/>
  <c r="X304" i="10"/>
  <c r="X308" i="10"/>
  <c r="X312" i="10"/>
  <c r="X316" i="10"/>
  <c r="X230" i="10"/>
  <c r="X238" i="10"/>
  <c r="X246" i="10"/>
  <c r="X254" i="10"/>
  <c r="X262" i="10"/>
  <c r="X270" i="10"/>
  <c r="X278" i="10"/>
  <c r="X286" i="10"/>
  <c r="X165" i="10"/>
  <c r="X147" i="10"/>
  <c r="X161" i="10"/>
  <c r="X146" i="10"/>
  <c r="X164" i="10"/>
  <c r="X144" i="10"/>
  <c r="X167" i="10"/>
  <c r="X171" i="10"/>
  <c r="X175" i="10"/>
  <c r="X179" i="10"/>
  <c r="X183" i="10"/>
  <c r="X187" i="10"/>
  <c r="X191" i="10"/>
  <c r="X195" i="10"/>
  <c r="X199" i="10"/>
  <c r="X203" i="10"/>
  <c r="X207" i="10"/>
  <c r="X211" i="10"/>
  <c r="X215" i="10"/>
  <c r="X219" i="10"/>
  <c r="X223" i="10"/>
  <c r="X227" i="10"/>
  <c r="X235" i="10"/>
  <c r="X243" i="10"/>
  <c r="X251" i="10"/>
  <c r="X259" i="10"/>
  <c r="X267" i="10"/>
  <c r="X275" i="10"/>
  <c r="X283" i="10"/>
  <c r="X291" i="10"/>
  <c r="X295" i="10"/>
  <c r="X299" i="10"/>
  <c r="X303" i="10"/>
  <c r="X307" i="10"/>
  <c r="X311" i="10"/>
  <c r="X315" i="10"/>
  <c r="X228" i="10"/>
  <c r="X236" i="10"/>
  <c r="X244" i="10"/>
  <c r="X252" i="10"/>
  <c r="X260" i="10"/>
  <c r="X268" i="10"/>
  <c r="X276" i="10"/>
  <c r="X284" i="10"/>
  <c r="X143" i="10"/>
  <c r="X156" i="10"/>
  <c r="X145" i="10"/>
  <c r="X170" i="10"/>
  <c r="X186" i="10"/>
  <c r="X202" i="10"/>
  <c r="X218" i="10"/>
  <c r="X241" i="10"/>
  <c r="X273" i="10"/>
  <c r="X298" i="10"/>
  <c r="X314" i="10"/>
  <c r="X250" i="10"/>
  <c r="X282" i="10"/>
  <c r="X159" i="10"/>
  <c r="X148" i="10"/>
  <c r="X206" i="10"/>
  <c r="X281" i="10"/>
  <c r="X258" i="10"/>
  <c r="X166" i="10"/>
  <c r="X182" i="10"/>
  <c r="X198" i="10"/>
  <c r="X214" i="10"/>
  <c r="X233" i="10"/>
  <c r="X265" i="10"/>
  <c r="X294" i="10"/>
  <c r="X310" i="10"/>
  <c r="X242" i="10"/>
  <c r="X274" i="10"/>
  <c r="X150" i="10"/>
  <c r="X174" i="10"/>
  <c r="X222" i="10"/>
  <c r="X302" i="10"/>
  <c r="X290" i="10"/>
  <c r="X153" i="10"/>
  <c r="X178" i="10"/>
  <c r="X194" i="10"/>
  <c r="X210" i="10"/>
  <c r="X226" i="10"/>
  <c r="X257" i="10"/>
  <c r="X289" i="10"/>
  <c r="X306" i="10"/>
  <c r="X234" i="10"/>
  <c r="X266" i="10"/>
  <c r="X149" i="10"/>
  <c r="X190" i="10"/>
  <c r="X249" i="10"/>
  <c r="X318" i="10"/>
  <c r="AA142" i="13"/>
  <c r="AA143" i="13" s="1"/>
  <c r="Z143" i="13"/>
  <c r="AA142" i="11"/>
  <c r="Z318" i="11"/>
  <c r="Z298" i="11"/>
  <c r="Z290" i="11"/>
  <c r="Z278" i="11"/>
  <c r="Z262" i="11"/>
  <c r="Z246" i="11"/>
  <c r="Z230" i="11"/>
  <c r="Z218" i="11"/>
  <c r="Z198" i="11"/>
  <c r="Z178" i="11"/>
  <c r="Z311" i="11"/>
  <c r="Z295" i="11"/>
  <c r="Z287" i="11"/>
  <c r="Z271" i="11"/>
  <c r="Z255" i="11"/>
  <c r="Z223" i="11"/>
  <c r="Z215" i="11"/>
  <c r="Z207" i="11"/>
  <c r="Z199" i="11"/>
  <c r="Z191" i="11"/>
  <c r="Z183" i="11"/>
  <c r="Z175" i="11"/>
  <c r="Z167" i="11"/>
  <c r="Z155" i="11"/>
  <c r="Z165" i="11"/>
  <c r="Z312" i="11"/>
  <c r="Z304" i="11"/>
  <c r="Z296" i="11"/>
  <c r="Z288" i="11"/>
  <c r="Z280" i="11"/>
  <c r="Z272" i="11"/>
  <c r="Z264" i="11"/>
  <c r="Z256" i="11"/>
  <c r="Z248" i="11"/>
  <c r="Z240" i="11"/>
  <c r="Z232" i="11"/>
  <c r="Z224" i="11"/>
  <c r="Z216" i="11"/>
  <c r="Z208" i="11"/>
  <c r="Z200" i="11"/>
  <c r="Z192" i="11"/>
  <c r="Z184" i="11"/>
  <c r="Z176" i="11"/>
  <c r="Z159" i="11"/>
  <c r="Z310" i="11"/>
  <c r="Z294" i="11"/>
  <c r="Z282" i="11"/>
  <c r="Z266" i="11"/>
  <c r="Z250" i="11"/>
  <c r="Z234" i="11"/>
  <c r="Z214" i="11"/>
  <c r="Z202" i="11"/>
  <c r="Z186" i="11"/>
  <c r="Z174" i="11"/>
  <c r="Z166" i="11"/>
  <c r="Z151" i="11"/>
  <c r="Z157" i="11"/>
  <c r="Z146" i="11"/>
  <c r="Z275" i="11"/>
  <c r="Z231" i="11"/>
  <c r="Z289" i="11"/>
  <c r="Z281" i="11"/>
  <c r="Z273" i="11"/>
  <c r="Z163" i="11"/>
  <c r="Z243" i="11"/>
  <c r="Z235" i="11"/>
  <c r="Z156" i="11"/>
  <c r="Z144" i="11"/>
  <c r="Z168" i="11"/>
  <c r="Z143" i="11"/>
  <c r="Z315" i="11"/>
  <c r="Z299" i="11"/>
  <c r="Z259" i="11"/>
  <c r="Z164" i="11"/>
  <c r="Z313" i="11"/>
  <c r="Z305" i="11"/>
  <c r="Z297" i="11"/>
  <c r="Z152" i="11"/>
  <c r="Z265" i="11"/>
  <c r="Z257" i="11"/>
  <c r="Z249" i="11"/>
  <c r="Z241" i="11"/>
  <c r="Z233" i="11"/>
  <c r="Z225" i="11"/>
  <c r="Z217" i="11"/>
  <c r="Z209" i="11"/>
  <c r="Z201" i="11"/>
  <c r="Z193" i="11"/>
  <c r="Z185" i="11"/>
  <c r="Z177" i="11"/>
  <c r="Z169" i="11"/>
  <c r="Z149" i="11"/>
  <c r="Z306" i="11"/>
  <c r="Z286" i="11"/>
  <c r="Z270" i="11"/>
  <c r="Z254" i="11"/>
  <c r="Z238" i="11"/>
  <c r="Z226" i="11"/>
  <c r="Z210" i="11"/>
  <c r="Z190" i="11"/>
  <c r="Z303" i="11"/>
  <c r="Z162" i="11"/>
  <c r="Z279" i="11"/>
  <c r="Z263" i="11"/>
  <c r="Z247" i="11"/>
  <c r="Z239" i="11"/>
  <c r="Z171" i="11"/>
  <c r="Z153" i="11"/>
  <c r="Z316" i="11"/>
  <c r="Z308" i="11"/>
  <c r="Z300" i="11"/>
  <c r="Z292" i="11"/>
  <c r="Z150" i="11"/>
  <c r="Z284" i="11"/>
  <c r="Z276" i="11"/>
  <c r="Z268" i="11"/>
  <c r="Z260" i="11"/>
  <c r="Z252" i="11"/>
  <c r="Z244" i="11"/>
  <c r="Z236" i="11"/>
  <c r="Z228" i="11"/>
  <c r="Z220" i="11"/>
  <c r="Z212" i="11"/>
  <c r="Z204" i="11"/>
  <c r="Z196" i="11"/>
  <c r="Z188" i="11"/>
  <c r="Z180" i="11"/>
  <c r="Z172" i="11"/>
  <c r="Z314" i="11"/>
  <c r="Z302" i="11"/>
  <c r="Z158" i="11"/>
  <c r="Z274" i="11"/>
  <c r="Z258" i="11"/>
  <c r="Z242" i="11"/>
  <c r="Z222" i="11"/>
  <c r="Z206" i="11"/>
  <c r="Z194" i="11"/>
  <c r="Z182" i="11"/>
  <c r="Z170" i="11"/>
  <c r="Z145" i="11"/>
  <c r="Z283" i="11"/>
  <c r="Z267" i="11"/>
  <c r="Z161" i="11"/>
  <c r="Z154" i="11"/>
  <c r="Z285" i="11"/>
  <c r="Z277" i="11"/>
  <c r="Z269" i="11"/>
  <c r="Z147" i="11"/>
  <c r="Z160" i="11"/>
  <c r="Z148" i="11"/>
  <c r="Z291" i="11"/>
  <c r="Z227" i="11"/>
  <c r="Z219" i="11"/>
  <c r="Z211" i="11"/>
  <c r="Z203" i="11"/>
  <c r="Z195" i="11"/>
  <c r="Z187" i="11"/>
  <c r="Z179" i="11"/>
  <c r="Z317" i="11"/>
  <c r="Z309" i="11"/>
  <c r="Z301" i="11"/>
  <c r="Z293" i="11"/>
  <c r="Z261" i="11"/>
  <c r="Z253" i="11"/>
  <c r="Z245" i="11"/>
  <c r="Z237" i="11"/>
  <c r="Z229" i="11"/>
  <c r="Z221" i="11"/>
  <c r="Z213" i="11"/>
  <c r="Z205" i="11"/>
  <c r="Z197" i="11"/>
  <c r="Z189" i="11"/>
  <c r="Z181" i="11"/>
  <c r="Z173" i="11"/>
  <c r="Z307" i="11"/>
  <c r="Z251" i="11"/>
  <c r="E166" i="10"/>
  <c r="E170" i="10"/>
  <c r="E174" i="10"/>
  <c r="E178" i="10"/>
  <c r="E182" i="10"/>
  <c r="E186" i="10"/>
  <c r="E190" i="10"/>
  <c r="E194" i="10"/>
  <c r="E198" i="10"/>
  <c r="E202" i="10"/>
  <c r="E206" i="10"/>
  <c r="E210" i="10"/>
  <c r="E214" i="10"/>
  <c r="E218" i="10"/>
  <c r="E222" i="10"/>
  <c r="E226" i="10"/>
  <c r="E230" i="10"/>
  <c r="E234" i="10"/>
  <c r="E238" i="10"/>
  <c r="E242" i="10"/>
  <c r="E246" i="10"/>
  <c r="E250" i="10"/>
  <c r="E254" i="10"/>
  <c r="E258" i="10"/>
  <c r="E262" i="10"/>
  <c r="E266" i="10"/>
  <c r="E270" i="10"/>
  <c r="E274" i="10"/>
  <c r="E278" i="10"/>
  <c r="E282" i="10"/>
  <c r="E286" i="10"/>
  <c r="E290" i="10"/>
  <c r="E295" i="10"/>
  <c r="E299" i="10"/>
  <c r="E304" i="10"/>
  <c r="E308" i="10"/>
  <c r="E312" i="10"/>
  <c r="E316" i="10"/>
  <c r="E318" i="10"/>
  <c r="E143" i="10"/>
  <c r="F142" i="10"/>
  <c r="E169" i="10"/>
  <c r="E173" i="10"/>
  <c r="E177" i="10"/>
  <c r="E181" i="10"/>
  <c r="E185" i="10"/>
  <c r="E189" i="10"/>
  <c r="E193" i="10"/>
  <c r="E197" i="10"/>
  <c r="E201" i="10"/>
  <c r="E205" i="10"/>
  <c r="E168" i="10"/>
  <c r="E172" i="10"/>
  <c r="E176" i="10"/>
  <c r="E180" i="10"/>
  <c r="E184" i="10"/>
  <c r="E188" i="10"/>
  <c r="E192" i="10"/>
  <c r="E196" i="10"/>
  <c r="E200" i="10"/>
  <c r="E204" i="10"/>
  <c r="E208" i="10"/>
  <c r="E212" i="10"/>
  <c r="E216" i="10"/>
  <c r="E220" i="10"/>
  <c r="E224" i="10"/>
  <c r="E228" i="10"/>
  <c r="E232" i="10"/>
  <c r="E236" i="10"/>
  <c r="E240" i="10"/>
  <c r="E244" i="10"/>
  <c r="E248" i="10"/>
  <c r="E252" i="10"/>
  <c r="E256" i="10"/>
  <c r="E260" i="10"/>
  <c r="E264" i="10"/>
  <c r="E268" i="10"/>
  <c r="E272" i="10"/>
  <c r="E276" i="10"/>
  <c r="E280" i="10"/>
  <c r="E284" i="10"/>
  <c r="E288" i="10"/>
  <c r="E293" i="10"/>
  <c r="E297" i="10"/>
  <c r="E302" i="10"/>
  <c r="E306" i="10"/>
  <c r="E310" i="10"/>
  <c r="E314" i="10"/>
  <c r="E291" i="10"/>
  <c r="E179" i="10"/>
  <c r="E195" i="10"/>
  <c r="E209" i="10"/>
  <c r="E217" i="10"/>
  <c r="E225" i="10"/>
  <c r="E233" i="10"/>
  <c r="E241" i="10"/>
  <c r="E249" i="10"/>
  <c r="E257" i="10"/>
  <c r="E265" i="10"/>
  <c r="E273" i="10"/>
  <c r="E281" i="10"/>
  <c r="E289" i="10"/>
  <c r="E298" i="10"/>
  <c r="E307" i="10"/>
  <c r="E315" i="10"/>
  <c r="E163" i="10"/>
  <c r="E159" i="10"/>
  <c r="E155" i="10"/>
  <c r="E151" i="10"/>
  <c r="E147" i="10"/>
  <c r="E199" i="10"/>
  <c r="E227" i="10"/>
  <c r="E251" i="10"/>
  <c r="E275" i="10"/>
  <c r="E300" i="10"/>
  <c r="E158" i="10"/>
  <c r="E146" i="10"/>
  <c r="E175" i="10"/>
  <c r="E191" i="10"/>
  <c r="E207" i="10"/>
  <c r="E215" i="10"/>
  <c r="E223" i="10"/>
  <c r="E231" i="10"/>
  <c r="E239" i="10"/>
  <c r="E247" i="10"/>
  <c r="E255" i="10"/>
  <c r="E263" i="10"/>
  <c r="E271" i="10"/>
  <c r="E279" i="10"/>
  <c r="E287" i="10"/>
  <c r="E296" i="10"/>
  <c r="E305" i="10"/>
  <c r="E313" i="10"/>
  <c r="E165" i="10"/>
  <c r="E164" i="10"/>
  <c r="E160" i="10"/>
  <c r="E156" i="10"/>
  <c r="E152" i="10"/>
  <c r="E148" i="10"/>
  <c r="E144" i="10"/>
  <c r="E167" i="10"/>
  <c r="E219" i="10"/>
  <c r="E243" i="10"/>
  <c r="E267" i="10"/>
  <c r="E292" i="10"/>
  <c r="E317" i="10"/>
  <c r="E162" i="10"/>
  <c r="E150" i="10"/>
  <c r="D142" i="10"/>
  <c r="E171" i="10"/>
  <c r="E187" i="10"/>
  <c r="E203" i="10"/>
  <c r="E213" i="10"/>
  <c r="E221" i="10"/>
  <c r="E229" i="10"/>
  <c r="E237" i="10"/>
  <c r="E245" i="10"/>
  <c r="E253" i="10"/>
  <c r="E261" i="10"/>
  <c r="E269" i="10"/>
  <c r="E277" i="10"/>
  <c r="E285" i="10"/>
  <c r="E294" i="10"/>
  <c r="E303" i="10"/>
  <c r="E311" i="10"/>
  <c r="E301" i="10"/>
  <c r="E161" i="10"/>
  <c r="E157" i="10"/>
  <c r="E153" i="10"/>
  <c r="E149" i="10"/>
  <c r="E145" i="10"/>
  <c r="E183" i="10"/>
  <c r="E211" i="10"/>
  <c r="E235" i="10"/>
  <c r="E259" i="10"/>
  <c r="E283" i="10"/>
  <c r="E309" i="10"/>
  <c r="E154" i="10"/>
  <c r="I156" i="12"/>
  <c r="I286" i="12"/>
  <c r="I158" i="12"/>
  <c r="I188" i="12"/>
  <c r="I213" i="12"/>
  <c r="I145" i="12"/>
  <c r="I223" i="12"/>
  <c r="I159" i="12"/>
  <c r="I283" i="12"/>
  <c r="I211" i="12"/>
  <c r="I174" i="12"/>
  <c r="I261" i="12"/>
  <c r="I202" i="12"/>
  <c r="I231" i="12"/>
  <c r="I155" i="12"/>
  <c r="I244" i="12"/>
  <c r="I264" i="12"/>
  <c r="I201" i="12"/>
  <c r="I258" i="12"/>
  <c r="I194" i="12"/>
  <c r="I309" i="12"/>
  <c r="I307" i="12"/>
  <c r="I147" i="12"/>
  <c r="I208" i="12"/>
  <c r="I246" i="12"/>
  <c r="I182" i="12"/>
  <c r="I172" i="12"/>
  <c r="I169" i="12"/>
  <c r="I279" i="12"/>
  <c r="I277" i="12"/>
  <c r="I284" i="12"/>
  <c r="I179" i="12"/>
  <c r="I312" i="12"/>
  <c r="I303" i="12"/>
  <c r="I245" i="12"/>
  <c r="I154" i="12"/>
  <c r="I219" i="12"/>
  <c r="I173" i="12"/>
  <c r="I269" i="12"/>
  <c r="I313" i="12"/>
  <c r="I218" i="12"/>
  <c r="I148" i="12"/>
  <c r="I192" i="12"/>
  <c r="I302" i="12"/>
  <c r="I206" i="12"/>
  <c r="I224" i="12"/>
  <c r="I265" i="12"/>
  <c r="I161" i="12"/>
  <c r="I239" i="12"/>
  <c r="I175" i="12"/>
  <c r="I176" i="12"/>
  <c r="I146" i="12"/>
  <c r="I243" i="12"/>
  <c r="I152" i="12"/>
  <c r="I298" i="12"/>
  <c r="I234" i="12"/>
  <c r="I247" i="12"/>
  <c r="I183" i="12"/>
  <c r="I260" i="12"/>
  <c r="I296" i="12"/>
  <c r="I253" i="12"/>
  <c r="I274" i="12"/>
  <c r="I210" i="12"/>
  <c r="I164" i="12"/>
  <c r="I149" i="12"/>
  <c r="I163" i="12"/>
  <c r="I236" i="12"/>
  <c r="I262" i="12"/>
  <c r="I198" i="12"/>
  <c r="I204" i="12"/>
  <c r="I205" i="12"/>
  <c r="I295" i="12"/>
  <c r="I185" i="12"/>
  <c r="I162" i="12"/>
  <c r="I195" i="12"/>
  <c r="I289" i="12"/>
  <c r="I318" i="12"/>
  <c r="I170" i="12"/>
  <c r="I235" i="12"/>
  <c r="I180" i="12"/>
  <c r="I248" i="12"/>
  <c r="I197" i="12"/>
  <c r="I250" i="12"/>
  <c r="I171" i="12"/>
  <c r="I273" i="12"/>
  <c r="I220" i="12"/>
  <c r="I241" i="12"/>
  <c r="I238" i="12"/>
  <c r="I252" i="12"/>
  <c r="I301" i="12"/>
  <c r="I177" i="12"/>
  <c r="I255" i="12"/>
  <c r="I191" i="12"/>
  <c r="I209" i="12"/>
  <c r="I314" i="12"/>
  <c r="I278" i="12"/>
  <c r="I184" i="12"/>
  <c r="I293" i="12"/>
  <c r="I266" i="12"/>
  <c r="I150" i="12"/>
  <c r="I263" i="12"/>
  <c r="I199" i="12"/>
  <c r="I299" i="12"/>
  <c r="I168" i="12"/>
  <c r="I290" i="12"/>
  <c r="I226" i="12"/>
  <c r="I232" i="12"/>
  <c r="I165" i="12"/>
  <c r="I275" i="12"/>
  <c r="I272" i="12"/>
  <c r="I294" i="12"/>
  <c r="I214" i="12"/>
  <c r="I240" i="12"/>
  <c r="I225" i="12"/>
  <c r="I311" i="12"/>
  <c r="I151" i="12"/>
  <c r="I237" i="12"/>
  <c r="I190" i="12"/>
  <c r="I227" i="12"/>
  <c r="I212" i="12"/>
  <c r="I157" i="12"/>
  <c r="I315" i="12"/>
  <c r="I251" i="12"/>
  <c r="I187" i="12"/>
  <c r="I280" i="12"/>
  <c r="I233" i="12"/>
  <c r="I276" i="12"/>
  <c r="I297" i="12"/>
  <c r="I310" i="12"/>
  <c r="I181" i="12"/>
  <c r="I317" i="12"/>
  <c r="I316" i="12"/>
  <c r="I207" i="12"/>
  <c r="I282" i="12"/>
  <c r="I285" i="12"/>
  <c r="I178" i="12"/>
  <c r="I304" i="12"/>
  <c r="I281" i="12"/>
  <c r="I222" i="12"/>
  <c r="I300" i="12"/>
  <c r="I308" i="12"/>
  <c r="I196" i="12"/>
  <c r="I160" i="12"/>
  <c r="I292" i="12"/>
  <c r="I217" i="12"/>
  <c r="I221" i="12"/>
  <c r="I186" i="12"/>
  <c r="I270" i="12"/>
  <c r="I271" i="12"/>
  <c r="I256" i="12"/>
  <c r="I287" i="12"/>
  <c r="I189" i="12"/>
  <c r="I216" i="12"/>
  <c r="I242" i="12"/>
  <c r="I268" i="12"/>
  <c r="I228" i="12"/>
  <c r="I203" i="12"/>
  <c r="I200" i="12"/>
  <c r="I153" i="12"/>
  <c r="I144" i="12"/>
  <c r="I249" i="12"/>
  <c r="I305" i="12"/>
  <c r="I193" i="12"/>
  <c r="I254" i="12"/>
  <c r="I166" i="12"/>
  <c r="I306" i="12"/>
  <c r="I291" i="12"/>
  <c r="I230" i="12"/>
  <c r="I167" i="12"/>
  <c r="I259" i="12"/>
  <c r="I229" i="12"/>
  <c r="I267" i="12"/>
  <c r="I288" i="12"/>
  <c r="I215" i="12"/>
  <c r="I257" i="12"/>
  <c r="I143" i="12"/>
  <c r="B139" i="12"/>
  <c r="AA142" i="12"/>
  <c r="AA143" i="12" s="1"/>
  <c r="Z143" i="12"/>
  <c r="AS316" i="9"/>
  <c r="AS284" i="9"/>
  <c r="AS224" i="9"/>
  <c r="AS300" i="9"/>
  <c r="AS275" i="9"/>
  <c r="AS293" i="9"/>
  <c r="AS149" i="9"/>
  <c r="AS225" i="9"/>
  <c r="AS277" i="9"/>
  <c r="AS202" i="9"/>
  <c r="AS311" i="9"/>
  <c r="AS242" i="9"/>
  <c r="AS304" i="9"/>
  <c r="AS240" i="9"/>
  <c r="AS174" i="9"/>
  <c r="AS297" i="9"/>
  <c r="AS231" i="9"/>
  <c r="AS167" i="9"/>
  <c r="AS221" i="9"/>
  <c r="AS286" i="9"/>
  <c r="AS156" i="9"/>
  <c r="AS274" i="9"/>
  <c r="AS169" i="9"/>
  <c r="AS308" i="9"/>
  <c r="AS244" i="9"/>
  <c r="AS178" i="9"/>
  <c r="AS301" i="9"/>
  <c r="AS237" i="9"/>
  <c r="AS171" i="9"/>
  <c r="AS263" i="9"/>
  <c r="AS294" i="9"/>
  <c r="AS164" i="9"/>
  <c r="AS176" i="9"/>
  <c r="AS290" i="9"/>
  <c r="AS291" i="9"/>
  <c r="AS280" i="9"/>
  <c r="AS214" i="9"/>
  <c r="AS150" i="9"/>
  <c r="AS257" i="9"/>
  <c r="AS191" i="9"/>
  <c r="AS303" i="9"/>
  <c r="AS173" i="9"/>
  <c r="AR142" i="9"/>
  <c r="AS282" i="9"/>
  <c r="AS267" i="9"/>
  <c r="AS145" i="9"/>
  <c r="AS283" i="9"/>
  <c r="AS213" i="9"/>
  <c r="AS168" i="9"/>
  <c r="AS232" i="9"/>
  <c r="AS186" i="9"/>
  <c r="AS279" i="9"/>
  <c r="AS153" i="9"/>
  <c r="AS170" i="9"/>
  <c r="AS268" i="9"/>
  <c r="AS179" i="9"/>
  <c r="AS148" i="9"/>
  <c r="AS256" i="9"/>
  <c r="AS190" i="9"/>
  <c r="AS313" i="9"/>
  <c r="AS249" i="9"/>
  <c r="AS183" i="9"/>
  <c r="AS255" i="9"/>
  <c r="AS318" i="9"/>
  <c r="AS188" i="9"/>
  <c r="AS184" i="9"/>
  <c r="AS233" i="9"/>
  <c r="AS209" i="9"/>
  <c r="AS260" i="9"/>
  <c r="AS194" i="9"/>
  <c r="AS317" i="9"/>
  <c r="AS253" i="9"/>
  <c r="AS187" i="9"/>
  <c r="AS295" i="9"/>
  <c r="AS165" i="9"/>
  <c r="AS196" i="9"/>
  <c r="AS306" i="9"/>
  <c r="AS185" i="9"/>
  <c r="AS193" i="9"/>
  <c r="AS296" i="9"/>
  <c r="AS230" i="9"/>
  <c r="AS166" i="9"/>
  <c r="AS273" i="9"/>
  <c r="AS207" i="9"/>
  <c r="AS143" i="9"/>
  <c r="AS205" i="9"/>
  <c r="AS270" i="9"/>
  <c r="AS234" i="9"/>
  <c r="AS208" i="9"/>
  <c r="AS307" i="9"/>
  <c r="AS195" i="9"/>
  <c r="AS154" i="9"/>
  <c r="AS180" i="9"/>
  <c r="AS147" i="9"/>
  <c r="AS252" i="9"/>
  <c r="AS163" i="9"/>
  <c r="AS298" i="9"/>
  <c r="AS235" i="9"/>
  <c r="AS212" i="9"/>
  <c r="AS245" i="9"/>
  <c r="AS278" i="9"/>
  <c r="AS272" i="9"/>
  <c r="AS206" i="9"/>
  <c r="AT142" i="9"/>
  <c r="AS265" i="9"/>
  <c r="AS199" i="9"/>
  <c r="AS287" i="9"/>
  <c r="AS157" i="9"/>
  <c r="AS220" i="9"/>
  <c r="AS250" i="9"/>
  <c r="AS299" i="9"/>
  <c r="AS177" i="9"/>
  <c r="AS276" i="9"/>
  <c r="AS210" i="9"/>
  <c r="AS146" i="9"/>
  <c r="AS269" i="9"/>
  <c r="AS203" i="9"/>
  <c r="AS236" i="9"/>
  <c r="AS197" i="9"/>
  <c r="AS228" i="9"/>
  <c r="AS200" i="9"/>
  <c r="AS251" i="9"/>
  <c r="AS243" i="9"/>
  <c r="AS312" i="9"/>
  <c r="AS248" i="9"/>
  <c r="AS182" i="9"/>
  <c r="AS289" i="9"/>
  <c r="AS223" i="9"/>
  <c r="AS159" i="9"/>
  <c r="AS239" i="9"/>
  <c r="AS302" i="9"/>
  <c r="AS172" i="9"/>
  <c r="AS152" i="9"/>
  <c r="AS192" i="9"/>
  <c r="AS259" i="9"/>
  <c r="AS218" i="9"/>
  <c r="AS246" i="9"/>
  <c r="AS181" i="9"/>
  <c r="AS288" i="9"/>
  <c r="AS215" i="9"/>
  <c r="AS314" i="9"/>
  <c r="AS226" i="9"/>
  <c r="AS155" i="9"/>
  <c r="AS315" i="9"/>
  <c r="AS198" i="9"/>
  <c r="AS271" i="9"/>
  <c r="AS201" i="9"/>
  <c r="AS162" i="9"/>
  <c r="AS261" i="9"/>
  <c r="AS227" i="9"/>
  <c r="AS309" i="9"/>
  <c r="AS281" i="9"/>
  <c r="AS254" i="9"/>
  <c r="AS292" i="9"/>
  <c r="AS219" i="9"/>
  <c r="AS266" i="9"/>
  <c r="AS264" i="9"/>
  <c r="AS175" i="9"/>
  <c r="AS216" i="9"/>
  <c r="AS217" i="9"/>
  <c r="AS151" i="9"/>
  <c r="AS144" i="9"/>
  <c r="AS160" i="9"/>
  <c r="AS305" i="9"/>
  <c r="AS310" i="9"/>
  <c r="AS247" i="9"/>
  <c r="AS158" i="9"/>
  <c r="AS189" i="9"/>
  <c r="AS258" i="9"/>
  <c r="AS285" i="9"/>
  <c r="AS262" i="9"/>
  <c r="AS161" i="9"/>
  <c r="AS241" i="9"/>
  <c r="AS204" i="9"/>
  <c r="AS211" i="9"/>
  <c r="AS222" i="9"/>
  <c r="AS229" i="9"/>
  <c r="AS238" i="9"/>
  <c r="Q192" i="10"/>
  <c r="Q203" i="10"/>
  <c r="Q301" i="10"/>
  <c r="Q197" i="10"/>
  <c r="Q256" i="10"/>
  <c r="Q288" i="10"/>
  <c r="Q227" i="10"/>
  <c r="Q291" i="10"/>
  <c r="Q316" i="10"/>
  <c r="Q158" i="10"/>
  <c r="Q152" i="10"/>
  <c r="Q165" i="10"/>
  <c r="Q311" i="10"/>
  <c r="Q199" i="10"/>
  <c r="Q182" i="10"/>
  <c r="Q204" i="10"/>
  <c r="Q223" i="10"/>
  <c r="Q307" i="10"/>
  <c r="Q209" i="10"/>
  <c r="Q262" i="10"/>
  <c r="Q294" i="10"/>
  <c r="Q239" i="10"/>
  <c r="Q190" i="10"/>
  <c r="Q183" i="10"/>
  <c r="Q181" i="10"/>
  <c r="Q186" i="10"/>
  <c r="Q211" i="10"/>
  <c r="Q258" i="10"/>
  <c r="Q295" i="10"/>
  <c r="Q148" i="10"/>
  <c r="Q232" i="10"/>
  <c r="Q273" i="10"/>
  <c r="Q242" i="10"/>
  <c r="Q237" i="10"/>
  <c r="Q276" i="10"/>
  <c r="Q308" i="10"/>
  <c r="Q271" i="10"/>
  <c r="Q238" i="10"/>
  <c r="Q155" i="10"/>
  <c r="Q176" i="10"/>
  <c r="Q169" i="10"/>
  <c r="Q202" i="10"/>
  <c r="Q298" i="10"/>
  <c r="Q175" i="10"/>
  <c r="V139" i="11"/>
  <c r="AC178" i="11"/>
  <c r="AC298" i="11"/>
  <c r="AC315" i="11"/>
  <c r="AC202" i="11"/>
  <c r="AC266" i="11"/>
  <c r="AC230" i="11"/>
  <c r="AC231" i="11"/>
  <c r="AC310" i="11"/>
  <c r="AC169" i="11"/>
  <c r="AC201" i="11"/>
  <c r="AC233" i="11"/>
  <c r="AC265" i="11"/>
  <c r="AC297" i="11"/>
  <c r="AC168" i="11"/>
  <c r="AC200" i="11"/>
  <c r="AC232" i="11"/>
  <c r="AC264" i="11"/>
  <c r="AC296" i="11"/>
  <c r="AC167" i="11"/>
  <c r="AC199" i="11"/>
  <c r="AC235" i="11"/>
  <c r="AC287" i="11"/>
  <c r="AC157" i="11"/>
  <c r="AC147" i="11"/>
  <c r="AC197" i="11"/>
  <c r="AC229" i="11"/>
  <c r="AC261" i="11"/>
  <c r="AC293" i="11"/>
  <c r="AC251" i="11"/>
  <c r="AC291" i="11"/>
  <c r="AC194" i="11"/>
  <c r="AC258" i="11"/>
  <c r="AC172" i="11"/>
  <c r="AC204" i="11"/>
  <c r="AC236" i="11"/>
  <c r="AC268" i="11"/>
  <c r="AC300" i="11"/>
  <c r="AC179" i="11"/>
  <c r="AC211" i="11"/>
  <c r="AC247" i="11"/>
  <c r="AC190" i="11"/>
  <c r="AC254" i="11"/>
  <c r="AC145" i="11"/>
  <c r="AC149" i="11"/>
  <c r="AC214" i="11"/>
  <c r="AC143" i="11"/>
  <c r="AC177" i="11"/>
  <c r="AC273" i="11"/>
  <c r="AC176" i="11"/>
  <c r="AC272" i="11"/>
  <c r="AC207" i="11"/>
  <c r="AC144" i="11"/>
  <c r="AC237" i="11"/>
  <c r="AC301" i="11"/>
  <c r="AC307" i="11"/>
  <c r="AC274" i="11"/>
  <c r="AC244" i="11"/>
  <c r="AC276" i="11"/>
  <c r="AC219" i="11"/>
  <c r="AC270" i="11"/>
  <c r="AC278" i="11"/>
  <c r="AC299" i="11"/>
  <c r="AC186" i="11"/>
  <c r="AC250" i="11"/>
  <c r="AC155" i="11"/>
  <c r="AC311" i="11"/>
  <c r="AC154" i="11"/>
  <c r="AC294" i="11"/>
  <c r="AC162" i="11"/>
  <c r="AC262" i="11"/>
  <c r="AC193" i="11"/>
  <c r="AC225" i="11"/>
  <c r="AC257" i="11"/>
  <c r="AC289" i="11"/>
  <c r="AC151" i="11"/>
  <c r="AC192" i="11"/>
  <c r="AC224" i="11"/>
  <c r="AC256" i="11"/>
  <c r="AC288" i="11"/>
  <c r="AC165" i="11"/>
  <c r="AC191" i="11"/>
  <c r="AC223" i="11"/>
  <c r="AC271" i="11"/>
  <c r="AC164" i="11"/>
  <c r="AC189" i="11"/>
  <c r="AC221" i="11"/>
  <c r="AC253" i="11"/>
  <c r="AC285" i="11"/>
  <c r="AC317" i="11"/>
  <c r="AC146" i="11"/>
  <c r="AC182" i="11"/>
  <c r="AC242" i="11"/>
  <c r="AC314" i="11"/>
  <c r="AC196" i="11"/>
  <c r="AC228" i="11"/>
  <c r="AC260" i="11"/>
  <c r="AC292" i="11"/>
  <c r="AC171" i="11"/>
  <c r="AC203" i="11"/>
  <c r="AC239" i="11"/>
  <c r="AC303" i="11"/>
  <c r="AC238" i="11"/>
  <c r="AC306" i="11"/>
  <c r="AC161" i="11"/>
  <c r="AC160" i="11"/>
  <c r="AC259" i="11"/>
  <c r="AC295" i="11"/>
  <c r="AC241" i="11"/>
  <c r="AC208" i="11"/>
  <c r="AC175" i="11"/>
  <c r="AC173" i="11"/>
  <c r="AC269" i="11"/>
  <c r="AC206" i="11"/>
  <c r="AC212" i="11"/>
  <c r="AC187" i="11"/>
  <c r="AC210" i="11"/>
  <c r="AC246" i="11"/>
  <c r="AC163" i="11"/>
  <c r="AC174" i="11"/>
  <c r="AC234" i="11"/>
  <c r="AC159" i="11"/>
  <c r="AC158" i="11"/>
  <c r="AC318" i="11"/>
  <c r="AC275" i="11"/>
  <c r="AC150" i="11"/>
  <c r="AC198" i="11"/>
  <c r="AC185" i="11"/>
  <c r="AC217" i="11"/>
  <c r="AC249" i="11"/>
  <c r="AC281" i="11"/>
  <c r="AC313" i="11"/>
  <c r="AC184" i="11"/>
  <c r="AC216" i="11"/>
  <c r="AC248" i="11"/>
  <c r="AC280" i="11"/>
  <c r="AC312" i="11"/>
  <c r="AC183" i="11"/>
  <c r="AC215" i="11"/>
  <c r="AC255" i="11"/>
  <c r="AC152" i="11"/>
  <c r="AC156" i="11"/>
  <c r="AC181" i="11"/>
  <c r="AC213" i="11"/>
  <c r="AC245" i="11"/>
  <c r="AC277" i="11"/>
  <c r="AC309" i="11"/>
  <c r="AC283" i="11"/>
  <c r="AC170" i="11"/>
  <c r="AC222" i="11"/>
  <c r="AC302" i="11"/>
  <c r="AC188" i="11"/>
  <c r="AC220" i="11"/>
  <c r="AC252" i="11"/>
  <c r="AC284" i="11"/>
  <c r="AC316" i="11"/>
  <c r="AC195" i="11"/>
  <c r="AC227" i="11"/>
  <c r="AC279" i="11"/>
  <c r="AC226" i="11"/>
  <c r="AC286" i="11"/>
  <c r="AC148" i="11"/>
  <c r="AC218" i="11"/>
  <c r="AC166" i="11"/>
  <c r="AC282" i="11"/>
  <c r="AC290" i="11"/>
  <c r="AC209" i="11"/>
  <c r="AC305" i="11"/>
  <c r="AC240" i="11"/>
  <c r="AC304" i="11"/>
  <c r="AC243" i="11"/>
  <c r="AC205" i="11"/>
  <c r="AC267" i="11"/>
  <c r="AC180" i="11"/>
  <c r="AC308" i="11"/>
  <c r="AC263" i="11"/>
  <c r="AC153" i="11"/>
  <c r="AT142" i="12"/>
  <c r="AR142" i="12"/>
  <c r="AS143" i="12"/>
  <c r="AS316" i="12"/>
  <c r="AS281" i="12"/>
  <c r="AS213" i="12"/>
  <c r="AS255" i="12"/>
  <c r="AS147" i="12"/>
  <c r="AS308" i="12"/>
  <c r="AS174" i="12"/>
  <c r="AS194" i="12"/>
  <c r="AS216" i="12"/>
  <c r="AS229" i="12"/>
  <c r="AS243" i="12"/>
  <c r="AS266" i="12"/>
  <c r="AS318" i="12"/>
  <c r="AS162" i="12"/>
  <c r="AS172" i="12"/>
  <c r="AS161" i="12"/>
  <c r="AS201" i="12"/>
  <c r="AS202" i="12"/>
  <c r="AS259" i="12"/>
  <c r="AS235" i="12"/>
  <c r="AS260" i="12"/>
  <c r="AS196" i="12"/>
  <c r="AS307" i="12"/>
  <c r="AS288" i="12"/>
  <c r="AS257" i="12"/>
  <c r="AS193" i="12"/>
  <c r="AS290" i="12"/>
  <c r="AS186" i="12"/>
  <c r="AS175" i="12"/>
  <c r="AS251" i="12"/>
  <c r="AS215" i="12"/>
  <c r="AS188" i="12"/>
  <c r="AS182" i="12"/>
  <c r="AS185" i="12"/>
  <c r="AS304" i="12"/>
  <c r="AS203" i="12"/>
  <c r="AS256" i="12"/>
  <c r="AS192" i="12"/>
  <c r="AS282" i="12"/>
  <c r="AS190" i="12"/>
  <c r="AS269" i="12"/>
  <c r="AS205" i="12"/>
  <c r="AS152" i="12"/>
  <c r="AS210" i="12"/>
  <c r="AS223" i="12"/>
  <c r="AS158" i="12"/>
  <c r="AS183" i="12"/>
  <c r="AS226" i="12"/>
  <c r="AS314" i="12"/>
  <c r="AS287" i="12"/>
  <c r="AS313" i="12"/>
  <c r="AS298" i="12"/>
  <c r="AS296" i="12"/>
  <c r="AS166" i="12"/>
  <c r="AS204" i="12"/>
  <c r="AS214" i="12"/>
  <c r="AS233" i="12"/>
  <c r="AS270" i="12"/>
  <c r="AS207" i="12"/>
  <c r="AS146" i="12"/>
  <c r="AS212" i="12"/>
  <c r="AS159" i="12"/>
  <c r="AS198" i="12"/>
  <c r="AS273" i="12"/>
  <c r="AS209" i="12"/>
  <c r="AS156" i="12"/>
  <c r="AS218" i="12"/>
  <c r="AS239" i="12"/>
  <c r="AS247" i="12"/>
  <c r="AS220" i="12"/>
  <c r="AS246" i="12"/>
  <c r="AS217" i="12"/>
  <c r="AS234" i="12"/>
  <c r="AS187" i="12"/>
  <c r="AS272" i="12"/>
  <c r="AS208" i="12"/>
  <c r="AS155" i="12"/>
  <c r="AS222" i="12"/>
  <c r="AS297" i="12"/>
  <c r="AS168" i="12"/>
  <c r="AS242" i="12"/>
  <c r="AS301" i="12"/>
  <c r="AS211" i="12"/>
  <c r="AS292" i="12"/>
  <c r="AS191" i="12"/>
  <c r="AS317" i="12"/>
  <c r="AS306" i="12"/>
  <c r="AS180" i="12"/>
  <c r="AS241" i="12"/>
  <c r="AS165" i="12"/>
  <c r="AS295" i="12"/>
  <c r="AS164" i="12"/>
  <c r="AS240" i="12"/>
  <c r="AS169" i="12"/>
  <c r="AS294" i="12"/>
  <c r="AS219" i="12"/>
  <c r="AS264" i="12"/>
  <c r="AS144" i="12"/>
  <c r="AS181" i="12"/>
  <c r="AS279" i="12"/>
  <c r="AS276" i="12"/>
  <c r="AS221" i="12"/>
  <c r="AS160" i="12"/>
  <c r="AS248" i="12"/>
  <c r="AS163" i="12"/>
  <c r="AS231" i="12"/>
  <c r="AS268" i="12"/>
  <c r="AS300" i="12"/>
  <c r="AS285" i="12"/>
  <c r="AS258" i="12"/>
  <c r="AS177" i="12"/>
  <c r="AS309" i="12"/>
  <c r="AS167" i="12"/>
  <c r="AS154" i="12"/>
  <c r="AS176" i="12"/>
  <c r="AS253" i="12"/>
  <c r="AS178" i="12"/>
  <c r="AS150" i="12"/>
  <c r="AS200" i="12"/>
  <c r="AS206" i="12"/>
  <c r="AS184" i="12"/>
  <c r="AS197" i="12"/>
  <c r="AS293" i="12"/>
  <c r="AS238" i="12"/>
  <c r="AS262" i="12"/>
  <c r="AS232" i="12"/>
  <c r="AS245" i="12"/>
  <c r="AS274" i="12"/>
  <c r="AS236" i="12"/>
  <c r="AS275" i="12"/>
  <c r="AS265" i="12"/>
  <c r="AS148" i="12"/>
  <c r="AS271" i="12"/>
  <c r="AS263" i="12"/>
  <c r="AS311" i="12"/>
  <c r="AS228" i="12"/>
  <c r="AS280" i="12"/>
  <c r="AS230" i="12"/>
  <c r="AS305" i="12"/>
  <c r="AS225" i="12"/>
  <c r="AS312" i="12"/>
  <c r="AS250" i="12"/>
  <c r="AS227" i="12"/>
  <c r="AS199" i="12"/>
  <c r="AS252" i="12"/>
  <c r="AS278" i="12"/>
  <c r="AS249" i="12"/>
  <c r="AS286" i="12"/>
  <c r="AS195" i="12"/>
  <c r="AS303" i="12"/>
  <c r="AS224" i="12"/>
  <c r="AS171" i="12"/>
  <c r="AS254" i="12"/>
  <c r="AS310" i="12"/>
  <c r="AS237" i="12"/>
  <c r="AS173" i="12"/>
  <c r="AS283" i="12"/>
  <c r="AS157" i="12"/>
  <c r="AS277" i="12"/>
  <c r="AS315" i="12"/>
  <c r="AS179" i="12"/>
  <c r="AS261" i="12"/>
  <c r="AS284" i="12"/>
  <c r="AS153" i="12"/>
  <c r="AS151" i="12"/>
  <c r="AS149" i="12"/>
  <c r="AS244" i="12"/>
  <c r="AS145" i="12"/>
  <c r="AS299" i="12"/>
  <c r="AS302" i="12"/>
  <c r="AS289" i="12"/>
  <c r="AS267" i="12"/>
  <c r="AS291" i="12"/>
  <c r="AS189" i="12"/>
  <c r="AS170" i="12"/>
  <c r="BE309" i="10"/>
  <c r="BE313" i="10"/>
  <c r="BE317" i="10"/>
  <c r="BE298" i="10"/>
  <c r="BE282" i="10"/>
  <c r="BE266" i="10"/>
  <c r="BE250" i="10"/>
  <c r="BE234" i="10"/>
  <c r="BE218" i="10"/>
  <c r="BE202" i="10"/>
  <c r="BE186" i="10"/>
  <c r="BE169" i="10"/>
  <c r="BE152" i="10"/>
  <c r="BE297" i="10"/>
  <c r="BE265" i="10"/>
  <c r="BE237" i="10"/>
  <c r="BE209" i="10"/>
  <c r="BE172" i="10"/>
  <c r="BE147" i="10"/>
  <c r="BE280" i="10"/>
  <c r="BE248" i="10"/>
  <c r="BE216" i="10"/>
  <c r="BE183" i="10"/>
  <c r="BE154" i="10"/>
  <c r="BE299" i="10"/>
  <c r="BE283" i="10"/>
  <c r="BE267" i="10"/>
  <c r="BE251" i="10"/>
  <c r="BE235" i="10"/>
  <c r="BE219" i="10"/>
  <c r="BE203" i="10"/>
  <c r="BE187" i="10"/>
  <c r="BE170" i="10"/>
  <c r="BE153" i="10"/>
  <c r="BE301" i="10"/>
  <c r="BE269" i="10"/>
  <c r="BE233" i="10"/>
  <c r="BE197" i="10"/>
  <c r="BE159" i="10"/>
  <c r="BE284" i="10"/>
  <c r="BE252" i="10"/>
  <c r="BE220" i="10"/>
  <c r="BE192" i="10"/>
  <c r="BE150" i="10"/>
  <c r="BE294" i="10"/>
  <c r="BE246" i="10"/>
  <c r="BE198" i="10"/>
  <c r="BE148" i="10"/>
  <c r="BE261" i="10"/>
  <c r="BE205" i="10"/>
  <c r="BE276" i="10"/>
  <c r="BE179" i="10"/>
  <c r="BE279" i="10"/>
  <c r="BE231" i="10"/>
  <c r="BE182" i="10"/>
  <c r="BE289" i="10"/>
  <c r="BE225" i="10"/>
  <c r="BE151" i="10"/>
  <c r="BE212" i="10"/>
  <c r="BE308" i="10"/>
  <c r="BE312" i="10"/>
  <c r="BE316" i="10"/>
  <c r="BE302" i="10"/>
  <c r="BE286" i="10"/>
  <c r="BE270" i="10"/>
  <c r="BE254" i="10"/>
  <c r="BE238" i="10"/>
  <c r="BE222" i="10"/>
  <c r="BE206" i="10"/>
  <c r="BE190" i="10"/>
  <c r="BE173" i="10"/>
  <c r="BE156" i="10"/>
  <c r="BE143" i="10"/>
  <c r="BE273" i="10"/>
  <c r="BE245" i="10"/>
  <c r="BE217" i="10"/>
  <c r="BE180" i="10"/>
  <c r="BE155" i="10"/>
  <c r="BE292" i="10"/>
  <c r="BE256" i="10"/>
  <c r="BE224" i="10"/>
  <c r="BE188" i="10"/>
  <c r="BE162" i="10"/>
  <c r="BE303" i="10"/>
  <c r="BE287" i="10"/>
  <c r="BE271" i="10"/>
  <c r="BE255" i="10"/>
  <c r="BE239" i="10"/>
  <c r="BE223" i="10"/>
  <c r="BE207" i="10"/>
  <c r="BE191" i="10"/>
  <c r="BE174" i="10"/>
  <c r="BE157" i="10"/>
  <c r="BE305" i="10"/>
  <c r="BE281" i="10"/>
  <c r="BE241" i="10"/>
  <c r="BE201" i="10"/>
  <c r="BE176" i="10"/>
  <c r="BE288" i="10"/>
  <c r="BE260" i="10"/>
  <c r="BE228" i="10"/>
  <c r="BE200" i="10"/>
  <c r="BE158" i="10"/>
  <c r="BE185" i="10"/>
  <c r="BE310" i="10"/>
  <c r="BE318" i="10"/>
  <c r="BE278" i="10"/>
  <c r="BE230" i="10"/>
  <c r="BE181" i="10"/>
  <c r="BE293" i="10"/>
  <c r="BE168" i="10"/>
  <c r="BE240" i="10"/>
  <c r="BE146" i="10"/>
  <c r="BE263" i="10"/>
  <c r="BE199" i="10"/>
  <c r="BE149" i="10"/>
  <c r="BE193" i="10"/>
  <c r="BE244" i="10"/>
  <c r="BE165" i="10"/>
  <c r="BE311" i="10"/>
  <c r="BE315" i="10"/>
  <c r="BE306" i="10"/>
  <c r="BE290" i="10"/>
  <c r="BE274" i="10"/>
  <c r="BE258" i="10"/>
  <c r="BE242" i="10"/>
  <c r="BE226" i="10"/>
  <c r="BE210" i="10"/>
  <c r="BE194" i="10"/>
  <c r="BE177" i="10"/>
  <c r="BE160" i="10"/>
  <c r="BE144" i="10"/>
  <c r="BE277" i="10"/>
  <c r="BE257" i="10"/>
  <c r="BE221" i="10"/>
  <c r="BE189" i="10"/>
  <c r="BE163" i="10"/>
  <c r="BE296" i="10"/>
  <c r="BE264" i="10"/>
  <c r="BE232" i="10"/>
  <c r="BE196" i="10"/>
  <c r="BE175" i="10"/>
  <c r="BE307" i="10"/>
  <c r="BE291" i="10"/>
  <c r="BE275" i="10"/>
  <c r="BE259" i="10"/>
  <c r="BE243" i="10"/>
  <c r="BE227" i="10"/>
  <c r="BE211" i="10"/>
  <c r="BE195" i="10"/>
  <c r="BE178" i="10"/>
  <c r="BE161" i="10"/>
  <c r="BE145" i="10"/>
  <c r="BE285" i="10"/>
  <c r="BE249" i="10"/>
  <c r="BE213" i="10"/>
  <c r="BE184" i="10"/>
  <c r="BE300" i="10"/>
  <c r="BE268" i="10"/>
  <c r="BE236" i="10"/>
  <c r="BE208" i="10"/>
  <c r="BE167" i="10"/>
  <c r="BE314" i="10"/>
  <c r="BE262" i="10"/>
  <c r="BE214" i="10"/>
  <c r="BE164" i="10"/>
  <c r="BE229" i="10"/>
  <c r="BE304" i="10"/>
  <c r="BE204" i="10"/>
  <c r="BE295" i="10"/>
  <c r="BE247" i="10"/>
  <c r="BE215" i="10"/>
  <c r="BE166" i="10"/>
  <c r="BE253" i="10"/>
  <c r="BE272" i="10"/>
  <c r="BE171" i="10"/>
  <c r="W142" i="13"/>
  <c r="W143" i="13" s="1"/>
  <c r="X143" i="13"/>
  <c r="BA315" i="11"/>
  <c r="BA150" i="11"/>
  <c r="BA282" i="11"/>
  <c r="BA266" i="11"/>
  <c r="BA234" i="11"/>
  <c r="BA218" i="11"/>
  <c r="BA165" i="11"/>
  <c r="BA207" i="11"/>
  <c r="BA199" i="11"/>
  <c r="BA152" i="11"/>
  <c r="BA309" i="11"/>
  <c r="BA143" i="11"/>
  <c r="BA304" i="11"/>
  <c r="BA291" i="11"/>
  <c r="BA283" i="11"/>
  <c r="BA275" i="11"/>
  <c r="BA267" i="11"/>
  <c r="BA259" i="11"/>
  <c r="BA251" i="11"/>
  <c r="BA243" i="11"/>
  <c r="BA235" i="11"/>
  <c r="BA227" i="11"/>
  <c r="BA219" i="11"/>
  <c r="BA185" i="11"/>
  <c r="BA153" i="11"/>
  <c r="BA208" i="11"/>
  <c r="BA200" i="11"/>
  <c r="BA156" i="11"/>
  <c r="BA294" i="11"/>
  <c r="BA194" i="11"/>
  <c r="BA181" i="11"/>
  <c r="BA173" i="11"/>
  <c r="BA206" i="11"/>
  <c r="BA198" i="11"/>
  <c r="BA148" i="11"/>
  <c r="BA242" i="11"/>
  <c r="BA210" i="11"/>
  <c r="BA311" i="11"/>
  <c r="BA300" i="11"/>
  <c r="BA292" i="11"/>
  <c r="BA284" i="11"/>
  <c r="BA276" i="11"/>
  <c r="BA268" i="11"/>
  <c r="BA260" i="11"/>
  <c r="BA252" i="11"/>
  <c r="BA244" i="11"/>
  <c r="BA236" i="11"/>
  <c r="BA228" i="11"/>
  <c r="BA220" i="11"/>
  <c r="BA212" i="11"/>
  <c r="BA190" i="11"/>
  <c r="BA161" i="11"/>
  <c r="BA187" i="11"/>
  <c r="BA209" i="11"/>
  <c r="BA201" i="11"/>
  <c r="BA310" i="11"/>
  <c r="BA214" i="11"/>
  <c r="BA145" i="11"/>
  <c r="BA287" i="11"/>
  <c r="BA279" i="11"/>
  <c r="BA271" i="11"/>
  <c r="BA263" i="11"/>
  <c r="BA255" i="11"/>
  <c r="BA247" i="11"/>
  <c r="BA239" i="11"/>
  <c r="BA231" i="11"/>
  <c r="BA223" i="11"/>
  <c r="BA297" i="11"/>
  <c r="BA179" i="11"/>
  <c r="BA155" i="11"/>
  <c r="BA313" i="11"/>
  <c r="BA308" i="11"/>
  <c r="BA293" i="11"/>
  <c r="BA285" i="11"/>
  <c r="BA277" i="11"/>
  <c r="BA269" i="11"/>
  <c r="BA261" i="11"/>
  <c r="BA253" i="11"/>
  <c r="BA245" i="11"/>
  <c r="BA237" i="11"/>
  <c r="BA229" i="11"/>
  <c r="BA221" i="11"/>
  <c r="BA213" i="11"/>
  <c r="BA149" i="11"/>
  <c r="BA189" i="11"/>
  <c r="BA147" i="11"/>
  <c r="BA270" i="11"/>
  <c r="BA238" i="11"/>
  <c r="BA222" i="11"/>
  <c r="BA314" i="11"/>
  <c r="BA157" i="11"/>
  <c r="BA180" i="11"/>
  <c r="BA172" i="11"/>
  <c r="BA159" i="11"/>
  <c r="BA144" i="11"/>
  <c r="BA307" i="11"/>
  <c r="BA286" i="11"/>
  <c r="BA274" i="11"/>
  <c r="BA258" i="11"/>
  <c r="BA246" i="11"/>
  <c r="BA226" i="11"/>
  <c r="BA158" i="11"/>
  <c r="BA178" i="11"/>
  <c r="BA170" i="11"/>
  <c r="BA151" i="11"/>
  <c r="BA203" i="11"/>
  <c r="BA195" i="11"/>
  <c r="BA317" i="11"/>
  <c r="BA298" i="11"/>
  <c r="BA312" i="11"/>
  <c r="BA184" i="11"/>
  <c r="BA215" i="11"/>
  <c r="BA146" i="11"/>
  <c r="BA192" i="11"/>
  <c r="BA171" i="11"/>
  <c r="BA204" i="11"/>
  <c r="BA196" i="11"/>
  <c r="BA296" i="11"/>
  <c r="BA188" i="11"/>
  <c r="BA177" i="11"/>
  <c r="BA169" i="11"/>
  <c r="BA202" i="11"/>
  <c r="BA164" i="11"/>
  <c r="BA186" i="11"/>
  <c r="BA290" i="11"/>
  <c r="BA250" i="11"/>
  <c r="BA191" i="11"/>
  <c r="BA303" i="11"/>
  <c r="BA288" i="11"/>
  <c r="BA280" i="11"/>
  <c r="BA272" i="11"/>
  <c r="BA264" i="11"/>
  <c r="BA256" i="11"/>
  <c r="BA248" i="11"/>
  <c r="BA240" i="11"/>
  <c r="BA232" i="11"/>
  <c r="BA224" i="11"/>
  <c r="BA216" i="11"/>
  <c r="BA154" i="11"/>
  <c r="BA299" i="11"/>
  <c r="BA193" i="11"/>
  <c r="BA205" i="11"/>
  <c r="BA197" i="11"/>
  <c r="BA318" i="11"/>
  <c r="BA254" i="11"/>
  <c r="BA166" i="11"/>
  <c r="BA211" i="11"/>
  <c r="BA305" i="11"/>
  <c r="BA316" i="11"/>
  <c r="BA289" i="11"/>
  <c r="BA281" i="11"/>
  <c r="BA273" i="11"/>
  <c r="BA265" i="11"/>
  <c r="BA257" i="11"/>
  <c r="BA249" i="11"/>
  <c r="BA241" i="11"/>
  <c r="BA233" i="11"/>
  <c r="BA225" i="11"/>
  <c r="BA217" i="11"/>
  <c r="BA162" i="11"/>
  <c r="BA301" i="11"/>
  <c r="BA168" i="11"/>
  <c r="BA295" i="11"/>
  <c r="BA302" i="11"/>
  <c r="BA262" i="11"/>
  <c r="BA174" i="11"/>
  <c r="BA183" i="11"/>
  <c r="BA163" i="11"/>
  <c r="BA182" i="11"/>
  <c r="BA278" i="11"/>
  <c r="BA306" i="11"/>
  <c r="BA160" i="11"/>
  <c r="BA167" i="11"/>
  <c r="BA176" i="11"/>
  <c r="BA175" i="11"/>
  <c r="BA230" i="11"/>
  <c r="W142" i="11"/>
  <c r="X243" i="11"/>
  <c r="X235" i="11"/>
  <c r="X168" i="11"/>
  <c r="X143" i="11"/>
  <c r="X315" i="11"/>
  <c r="X299" i="11"/>
  <c r="X259" i="11"/>
  <c r="X313" i="11"/>
  <c r="X305" i="11"/>
  <c r="X297" i="11"/>
  <c r="X265" i="11"/>
  <c r="X257" i="11"/>
  <c r="X249" i="11"/>
  <c r="X241" i="11"/>
  <c r="X233" i="11"/>
  <c r="X225" i="11"/>
  <c r="X217" i="11"/>
  <c r="X209" i="11"/>
  <c r="X201" i="11"/>
  <c r="X193" i="11"/>
  <c r="X185" i="11"/>
  <c r="X177" i="11"/>
  <c r="X169" i="11"/>
  <c r="X149" i="11"/>
  <c r="X318" i="11"/>
  <c r="X298" i="11"/>
  <c r="X160" i="11"/>
  <c r="X290" i="11"/>
  <c r="X278" i="11"/>
  <c r="X262" i="11"/>
  <c r="X246" i="11"/>
  <c r="X230" i="11"/>
  <c r="X218" i="11"/>
  <c r="X198" i="11"/>
  <c r="X178" i="11"/>
  <c r="X148" i="11"/>
  <c r="X311" i="11"/>
  <c r="X295" i="11"/>
  <c r="X162" i="11"/>
  <c r="X287" i="11"/>
  <c r="X271" i="11"/>
  <c r="X255" i="11"/>
  <c r="X223" i="11"/>
  <c r="X215" i="11"/>
  <c r="X207" i="11"/>
  <c r="X199" i="11"/>
  <c r="X191" i="11"/>
  <c r="X183" i="11"/>
  <c r="X175" i="11"/>
  <c r="X167" i="11"/>
  <c r="X155" i="11"/>
  <c r="X153" i="11"/>
  <c r="X312" i="11"/>
  <c r="X304" i="11"/>
  <c r="X296" i="11"/>
  <c r="X150" i="11"/>
  <c r="X288" i="11"/>
  <c r="X280" i="11"/>
  <c r="X272" i="11"/>
  <c r="X264" i="11"/>
  <c r="X256" i="11"/>
  <c r="X248" i="11"/>
  <c r="X240" i="11"/>
  <c r="X232" i="11"/>
  <c r="X224" i="11"/>
  <c r="X216" i="11"/>
  <c r="X208" i="11"/>
  <c r="X200" i="11"/>
  <c r="X192" i="11"/>
  <c r="X184" i="11"/>
  <c r="X176" i="11"/>
  <c r="X159" i="11"/>
  <c r="X310" i="11"/>
  <c r="X294" i="11"/>
  <c r="X158" i="11"/>
  <c r="X282" i="11"/>
  <c r="X266" i="11"/>
  <c r="X250" i="11"/>
  <c r="X234" i="11"/>
  <c r="X214" i="11"/>
  <c r="X202" i="11"/>
  <c r="X186" i="11"/>
  <c r="X174" i="11"/>
  <c r="X166" i="11"/>
  <c r="X151" i="11"/>
  <c r="X145" i="11"/>
  <c r="X275" i="11"/>
  <c r="X231" i="11"/>
  <c r="X161" i="11"/>
  <c r="X154" i="11"/>
  <c r="X289" i="11"/>
  <c r="X281" i="11"/>
  <c r="X273" i="11"/>
  <c r="X163" i="11"/>
  <c r="X227" i="11"/>
  <c r="X219" i="11"/>
  <c r="X211" i="11"/>
  <c r="X203" i="11"/>
  <c r="X195" i="11"/>
  <c r="X187" i="11"/>
  <c r="X179" i="11"/>
  <c r="X165" i="11"/>
  <c r="X307" i="11"/>
  <c r="X291" i="11"/>
  <c r="X251" i="11"/>
  <c r="X317" i="11"/>
  <c r="X309" i="11"/>
  <c r="X301" i="11"/>
  <c r="X293" i="11"/>
  <c r="X261" i="11"/>
  <c r="X253" i="11"/>
  <c r="X245" i="11"/>
  <c r="X237" i="11"/>
  <c r="X229" i="11"/>
  <c r="X221" i="11"/>
  <c r="X213" i="11"/>
  <c r="X205" i="11"/>
  <c r="X197" i="11"/>
  <c r="X189" i="11"/>
  <c r="X181" i="11"/>
  <c r="X173" i="11"/>
  <c r="X306" i="11"/>
  <c r="X286" i="11"/>
  <c r="X270" i="11"/>
  <c r="X254" i="11"/>
  <c r="X238" i="11"/>
  <c r="X226" i="11"/>
  <c r="X210" i="11"/>
  <c r="X190" i="11"/>
  <c r="X303" i="11"/>
  <c r="X144" i="11"/>
  <c r="X152" i="11"/>
  <c r="X258" i="11"/>
  <c r="X242" i="11"/>
  <c r="X206" i="11"/>
  <c r="X182" i="11"/>
  <c r="X157" i="11"/>
  <c r="X279" i="11"/>
  <c r="X263" i="11"/>
  <c r="X247" i="11"/>
  <c r="X239" i="11"/>
  <c r="X171" i="11"/>
  <c r="X156" i="11"/>
  <c r="X316" i="11"/>
  <c r="X308" i="11"/>
  <c r="X300" i="11"/>
  <c r="X292" i="11"/>
  <c r="X284" i="11"/>
  <c r="X276" i="11"/>
  <c r="X268" i="11"/>
  <c r="X260" i="11"/>
  <c r="X252" i="11"/>
  <c r="X244" i="11"/>
  <c r="X236" i="11"/>
  <c r="X228" i="11"/>
  <c r="X220" i="11"/>
  <c r="X212" i="11"/>
  <c r="X204" i="11"/>
  <c r="X196" i="11"/>
  <c r="X188" i="11"/>
  <c r="X180" i="11"/>
  <c r="X172" i="11"/>
  <c r="X164" i="11"/>
  <c r="X285" i="11"/>
  <c r="X277" i="11"/>
  <c r="X269" i="11"/>
  <c r="X147" i="11"/>
  <c r="X314" i="11"/>
  <c r="X302" i="11"/>
  <c r="X146" i="11"/>
  <c r="X283" i="11"/>
  <c r="X267" i="11"/>
  <c r="X274" i="11"/>
  <c r="X222" i="11"/>
  <c r="X194" i="11"/>
  <c r="X170" i="11"/>
  <c r="AC315" i="13"/>
  <c r="AC300" i="13"/>
  <c r="AC176" i="13"/>
  <c r="AC193" i="13"/>
  <c r="AC223" i="13"/>
  <c r="AC240" i="13"/>
  <c r="AC302" i="13"/>
  <c r="AC190" i="13"/>
  <c r="AC229" i="13"/>
  <c r="AC231" i="13"/>
  <c r="AC163" i="13"/>
  <c r="AC209" i="13"/>
  <c r="AC253" i="13"/>
  <c r="AC260" i="13"/>
  <c r="AC160" i="13"/>
  <c r="AC180" i="13"/>
  <c r="AC162" i="13"/>
  <c r="AC171" i="13"/>
  <c r="AC235" i="13"/>
  <c r="AC284" i="13"/>
  <c r="AC313" i="13"/>
  <c r="AC217" i="13"/>
  <c r="AC271" i="13"/>
  <c r="AC224" i="13"/>
  <c r="AC278" i="13"/>
  <c r="AC198" i="13"/>
  <c r="AC203" i="13"/>
  <c r="AC290" i="13"/>
  <c r="AC210" i="13"/>
  <c r="AC156" i="13"/>
  <c r="AC205" i="13"/>
  <c r="AC295" i="13"/>
  <c r="AC181" i="13"/>
  <c r="AC282" i="13"/>
  <c r="AC173" i="13"/>
  <c r="AC306" i="13"/>
  <c r="AC207" i="13"/>
  <c r="AC274" i="13"/>
  <c r="AC307" i="13"/>
  <c r="AC202" i="13"/>
  <c r="AC244" i="13"/>
  <c r="AC216" i="13"/>
  <c r="AC175" i="13"/>
  <c r="AC301" i="13"/>
  <c r="AC311" i="13"/>
  <c r="AC264" i="13"/>
  <c r="AC298" i="13"/>
  <c r="AC151" i="13"/>
  <c r="AC208" i="13"/>
  <c r="AC225" i="13"/>
  <c r="AC255" i="13"/>
  <c r="AC272" i="13"/>
  <c r="AC318" i="13"/>
  <c r="AC254" i="13"/>
  <c r="AC206" i="13"/>
  <c r="AC288" i="13"/>
  <c r="AC185" i="13"/>
  <c r="AC296" i="13"/>
  <c r="AC297" i="13"/>
  <c r="AC192" i="13"/>
  <c r="AC227" i="13"/>
  <c r="AC146" i="13"/>
  <c r="AC259" i="13"/>
  <c r="AC159" i="13"/>
  <c r="AC263" i="13"/>
  <c r="AC316" i="13"/>
  <c r="AC164" i="13"/>
  <c r="AC233" i="13"/>
  <c r="AC153" i="13"/>
  <c r="AC256" i="13"/>
  <c r="AC310" i="13"/>
  <c r="AC230" i="13"/>
  <c r="AC150" i="13"/>
  <c r="AC222" i="13"/>
  <c r="AC184" i="13"/>
  <c r="AC219" i="13"/>
  <c r="AC279" i="13"/>
  <c r="AC234" i="13"/>
  <c r="AC292" i="13"/>
  <c r="AC242" i="13"/>
  <c r="AC212" i="13"/>
  <c r="AC251" i="13"/>
  <c r="AC309" i="13"/>
  <c r="AC248" i="13"/>
  <c r="AC291" i="13"/>
  <c r="AC194" i="13"/>
  <c r="AC211" i="13"/>
  <c r="AC172" i="13"/>
  <c r="AC189" i="13"/>
  <c r="AC155" i="13"/>
  <c r="AC314" i="13"/>
  <c r="AC154" i="13"/>
  <c r="AC247" i="13"/>
  <c r="AC236" i="13"/>
  <c r="AC257" i="13"/>
  <c r="AC145" i="13"/>
  <c r="AC304" i="13"/>
  <c r="AC168" i="13"/>
  <c r="AC270" i="13"/>
  <c r="AC158" i="13"/>
  <c r="AC280" i="13"/>
  <c r="AC238" i="13"/>
  <c r="AC317" i="13"/>
  <c r="AC213" i="13"/>
  <c r="AC258" i="13"/>
  <c r="AC312" i="13"/>
  <c r="AC261" i="13"/>
  <c r="AC277" i="13"/>
  <c r="AC191" i="13"/>
  <c r="AC167" i="13"/>
  <c r="AC220" i="13"/>
  <c r="AC249" i="13"/>
  <c r="AC169" i="13"/>
  <c r="AC147" i="13"/>
  <c r="AC152" i="13"/>
  <c r="AC246" i="13"/>
  <c r="AC166" i="13"/>
  <c r="AC294" i="13"/>
  <c r="AC214" i="13"/>
  <c r="AC289" i="13"/>
  <c r="AC148" i="13"/>
  <c r="AC276" i="13"/>
  <c r="AC218" i="13"/>
  <c r="AC178" i="13"/>
  <c r="AC267" i="13"/>
  <c r="AC265" i="13"/>
  <c r="AC285" i="13"/>
  <c r="AC275" i="13"/>
  <c r="AC200" i="13"/>
  <c r="AC221" i="13"/>
  <c r="AC183" i="13"/>
  <c r="AC196" i="13"/>
  <c r="AC170" i="13"/>
  <c r="AC268" i="13"/>
  <c r="AC204" i="13"/>
  <c r="AC237" i="13"/>
  <c r="AC165" i="13"/>
  <c r="AC201" i="13"/>
  <c r="AC182" i="13"/>
  <c r="AC245" i="13"/>
  <c r="AC243" i="13"/>
  <c r="AC215" i="13"/>
  <c r="AC273" i="13"/>
  <c r="AC197" i="13"/>
  <c r="AC293" i="13"/>
  <c r="AC186" i="13"/>
  <c r="AC283" i="13"/>
  <c r="AC195" i="13"/>
  <c r="AC241" i="13"/>
  <c r="AC239" i="13"/>
  <c r="AC157" i="13"/>
  <c r="AC281" i="13"/>
  <c r="AC262" i="13"/>
  <c r="AC161" i="13"/>
  <c r="AC305" i="13"/>
  <c r="AC187" i="13"/>
  <c r="AC149" i="13"/>
  <c r="AC266" i="13"/>
  <c r="AC269" i="13"/>
  <c r="AC179" i="13"/>
  <c r="AC299" i="13"/>
  <c r="AC177" i="13"/>
  <c r="AC174" i="13"/>
  <c r="AC303" i="13"/>
  <c r="AC144" i="13"/>
  <c r="AC252" i="13"/>
  <c r="AC188" i="13"/>
  <c r="AC287" i="13"/>
  <c r="AC308" i="13"/>
  <c r="AC226" i="13"/>
  <c r="AC228" i="13"/>
  <c r="AC250" i="13"/>
  <c r="AC286" i="13"/>
  <c r="AC199" i="13"/>
  <c r="AC232" i="13"/>
  <c r="AC143" i="13"/>
  <c r="V139" i="13"/>
  <c r="F142" i="13"/>
  <c r="D142" i="13"/>
  <c r="E143" i="13"/>
  <c r="AR142" i="11"/>
  <c r="AT142" i="11"/>
  <c r="AS316" i="11"/>
  <c r="AS300" i="11"/>
  <c r="AS162" i="11"/>
  <c r="AS314" i="11"/>
  <c r="AS306" i="11"/>
  <c r="AS298" i="11"/>
  <c r="AS290" i="11"/>
  <c r="AS282" i="11"/>
  <c r="AS274" i="11"/>
  <c r="AS266" i="11"/>
  <c r="AS258" i="11"/>
  <c r="AS250" i="11"/>
  <c r="AS242" i="11"/>
  <c r="AS234" i="11"/>
  <c r="AS226" i="11"/>
  <c r="AS218" i="11"/>
  <c r="AS210" i="11"/>
  <c r="AS202" i="11"/>
  <c r="AS194" i="11"/>
  <c r="AS186" i="11"/>
  <c r="AS178" i="11"/>
  <c r="AS170" i="11"/>
  <c r="AS150" i="11"/>
  <c r="AS312" i="11"/>
  <c r="AS295" i="11"/>
  <c r="AS313" i="11"/>
  <c r="AS305" i="11"/>
  <c r="AS289" i="11"/>
  <c r="AS281" i="11"/>
  <c r="AS273" i="11"/>
  <c r="AS265" i="11"/>
  <c r="AS257" i="11"/>
  <c r="AS249" i="11"/>
  <c r="AS241" i="11"/>
  <c r="AS233" i="11"/>
  <c r="AS225" i="11"/>
  <c r="AS217" i="11"/>
  <c r="AS209" i="11"/>
  <c r="AS201" i="11"/>
  <c r="AS193" i="11"/>
  <c r="AS185" i="11"/>
  <c r="AS177" i="11"/>
  <c r="AS294" i="11"/>
  <c r="AS296" i="11"/>
  <c r="AS199" i="11"/>
  <c r="AS191" i="11"/>
  <c r="AS183" i="11"/>
  <c r="AS175" i="11"/>
  <c r="AS167" i="11"/>
  <c r="AS149" i="11"/>
  <c r="AS155" i="11"/>
  <c r="AS288" i="11"/>
  <c r="AS272" i="11"/>
  <c r="AS256" i="11"/>
  <c r="AS244" i="11"/>
  <c r="AS224" i="11"/>
  <c r="AS212" i="11"/>
  <c r="AS200" i="11"/>
  <c r="AS180" i="11"/>
  <c r="AS168" i="11"/>
  <c r="AS292" i="11"/>
  <c r="AS145" i="11"/>
  <c r="AS276" i="11"/>
  <c r="AS260" i="11"/>
  <c r="AS240" i="11"/>
  <c r="AS228" i="11"/>
  <c r="AS204" i="11"/>
  <c r="AS192" i="11"/>
  <c r="AS176" i="11"/>
  <c r="AS144" i="11"/>
  <c r="AS163" i="11"/>
  <c r="AS285" i="11"/>
  <c r="AS277" i="11"/>
  <c r="AS269" i="11"/>
  <c r="AS261" i="11"/>
  <c r="AS253" i="11"/>
  <c r="AS245" i="11"/>
  <c r="AS237" i="11"/>
  <c r="AS229" i="11"/>
  <c r="AS221" i="11"/>
  <c r="AS213" i="11"/>
  <c r="AS205" i="11"/>
  <c r="AS197" i="11"/>
  <c r="AS189" i="11"/>
  <c r="AS181" i="11"/>
  <c r="AS173" i="11"/>
  <c r="AS159" i="11"/>
  <c r="AS311" i="11"/>
  <c r="AS303" i="11"/>
  <c r="AS287" i="11"/>
  <c r="AS279" i="11"/>
  <c r="AS271" i="11"/>
  <c r="AS263" i="11"/>
  <c r="AS255" i="11"/>
  <c r="AS247" i="11"/>
  <c r="AS239" i="11"/>
  <c r="AS231" i="11"/>
  <c r="AS223" i="11"/>
  <c r="AS215" i="11"/>
  <c r="AS207" i="11"/>
  <c r="AS308" i="11"/>
  <c r="AS158" i="11"/>
  <c r="AS318" i="11"/>
  <c r="AS310" i="11"/>
  <c r="AS302" i="11"/>
  <c r="AS293" i="11"/>
  <c r="AS286" i="11"/>
  <c r="AS278" i="11"/>
  <c r="AS270" i="11"/>
  <c r="AS262" i="11"/>
  <c r="AS254" i="11"/>
  <c r="AS246" i="11"/>
  <c r="AS238" i="11"/>
  <c r="AS230" i="11"/>
  <c r="AS222" i="11"/>
  <c r="AS214" i="11"/>
  <c r="AS206" i="11"/>
  <c r="AS198" i="11"/>
  <c r="AS190" i="11"/>
  <c r="AS182" i="11"/>
  <c r="AS174" i="11"/>
  <c r="AS166" i="11"/>
  <c r="AS304" i="11"/>
  <c r="AS297" i="11"/>
  <c r="AS317" i="11"/>
  <c r="AS309" i="11"/>
  <c r="AS301" i="11"/>
  <c r="AS291" i="11"/>
  <c r="AS146" i="11"/>
  <c r="AS160" i="11"/>
  <c r="AS164" i="11"/>
  <c r="AS283" i="11"/>
  <c r="AS275" i="11"/>
  <c r="AS267" i="11"/>
  <c r="AS259" i="11"/>
  <c r="AS251" i="11"/>
  <c r="AS243" i="11"/>
  <c r="AS235" i="11"/>
  <c r="AS227" i="11"/>
  <c r="AS219" i="11"/>
  <c r="AS211" i="11"/>
  <c r="AS203" i="11"/>
  <c r="AS152" i="11"/>
  <c r="AS157" i="11"/>
  <c r="AS143" i="11"/>
  <c r="AS195" i="11"/>
  <c r="AS154" i="11"/>
  <c r="AS208" i="11"/>
  <c r="AS161" i="11"/>
  <c r="AS169" i="11"/>
  <c r="AS299" i="11"/>
  <c r="AS171" i="11"/>
  <c r="AS165" i="11"/>
  <c r="AS147" i="11"/>
  <c r="AS264" i="11"/>
  <c r="AS232" i="11"/>
  <c r="AS188" i="11"/>
  <c r="AS151" i="11"/>
  <c r="AS156" i="11"/>
  <c r="AS315" i="11"/>
  <c r="AS187" i="11"/>
  <c r="AS284" i="11"/>
  <c r="AS268" i="11"/>
  <c r="AS252" i="11"/>
  <c r="AS236" i="11"/>
  <c r="AS216" i="11"/>
  <c r="AS196" i="11"/>
  <c r="AS184" i="11"/>
  <c r="AS153" i="11"/>
  <c r="AS148" i="11"/>
  <c r="AS307" i="11"/>
  <c r="AS179" i="11"/>
  <c r="AS280" i="11"/>
  <c r="AS248" i="11"/>
  <c r="AS220" i="11"/>
  <c r="AS172" i="11"/>
  <c r="W142" i="12"/>
  <c r="W143" i="12" s="1"/>
  <c r="X143" i="12"/>
  <c r="AS166" i="10"/>
  <c r="AS182" i="10"/>
  <c r="AS198" i="10"/>
  <c r="AS214" i="10"/>
  <c r="AS230" i="10"/>
  <c r="AS246" i="10"/>
  <c r="AS262" i="10"/>
  <c r="AS278" i="10"/>
  <c r="AS168" i="10"/>
  <c r="AS200" i="10"/>
  <c r="AS232" i="10"/>
  <c r="AS256" i="10"/>
  <c r="AS167" i="10"/>
  <c r="AS199" i="10"/>
  <c r="AS231" i="10"/>
  <c r="AS169" i="10"/>
  <c r="AS185" i="10"/>
  <c r="AS201" i="10"/>
  <c r="AS217" i="10"/>
  <c r="AS233" i="10"/>
  <c r="AS249" i="10"/>
  <c r="AS265" i="10"/>
  <c r="AS281" i="10"/>
  <c r="AS176" i="10"/>
  <c r="AS212" i="10"/>
  <c r="AS244" i="10"/>
  <c r="AS276" i="10"/>
  <c r="AS175" i="10"/>
  <c r="AS207" i="10"/>
  <c r="AS247" i="10"/>
  <c r="AS267" i="10"/>
  <c r="AS294" i="10"/>
  <c r="AS298" i="10"/>
  <c r="AS302" i="10"/>
  <c r="AS306" i="10"/>
  <c r="AS310" i="10"/>
  <c r="AS314" i="10"/>
  <c r="AS318" i="10"/>
  <c r="AS283" i="10"/>
  <c r="AS165" i="10"/>
  <c r="AT142" i="10"/>
  <c r="AS178" i="10"/>
  <c r="AS194" i="10"/>
  <c r="AS210" i="10"/>
  <c r="AS226" i="10"/>
  <c r="AS242" i="10"/>
  <c r="AS258" i="10"/>
  <c r="AS274" i="10"/>
  <c r="AS290" i="10"/>
  <c r="AS196" i="10"/>
  <c r="AS224" i="10"/>
  <c r="AS252" i="10"/>
  <c r="AS288" i="10"/>
  <c r="AS195" i="10"/>
  <c r="AS227" i="10"/>
  <c r="AS259" i="10"/>
  <c r="AS181" i="10"/>
  <c r="AS197" i="10"/>
  <c r="AS213" i="10"/>
  <c r="AS229" i="10"/>
  <c r="AS245" i="10"/>
  <c r="AS261" i="10"/>
  <c r="AS277" i="10"/>
  <c r="AS172" i="10"/>
  <c r="AS204" i="10"/>
  <c r="AS240" i="10"/>
  <c r="AS272" i="10"/>
  <c r="AS171" i="10"/>
  <c r="AS203" i="10"/>
  <c r="AS235" i="10"/>
  <c r="AS263" i="10"/>
  <c r="AS293" i="10"/>
  <c r="AS297" i="10"/>
  <c r="AS301" i="10"/>
  <c r="AS305" i="10"/>
  <c r="AS309" i="10"/>
  <c r="AS313" i="10"/>
  <c r="AS317" i="10"/>
  <c r="AS279" i="10"/>
  <c r="AS174" i="10"/>
  <c r="AS190" i="10"/>
  <c r="AS206" i="10"/>
  <c r="AS222" i="10"/>
  <c r="AS238" i="10"/>
  <c r="AS254" i="10"/>
  <c r="AS270" i="10"/>
  <c r="AS286" i="10"/>
  <c r="AS184" i="10"/>
  <c r="AS220" i="10"/>
  <c r="AS248" i="10"/>
  <c r="AS280" i="10"/>
  <c r="AS183" i="10"/>
  <c r="AS215" i="10"/>
  <c r="AS243" i="10"/>
  <c r="AS177" i="10"/>
  <c r="AS193" i="10"/>
  <c r="AS209" i="10"/>
  <c r="AS225" i="10"/>
  <c r="AS241" i="10"/>
  <c r="AS257" i="10"/>
  <c r="AS273" i="10"/>
  <c r="AS289" i="10"/>
  <c r="AS192" i="10"/>
  <c r="AS228" i="10"/>
  <c r="AS264" i="10"/>
  <c r="AS291" i="10"/>
  <c r="AS191" i="10"/>
  <c r="AS223" i="10"/>
  <c r="AS255" i="10"/>
  <c r="AS292" i="10"/>
  <c r="AS296" i="10"/>
  <c r="AS300" i="10"/>
  <c r="AS304" i="10"/>
  <c r="AS308" i="10"/>
  <c r="AS312" i="10"/>
  <c r="AS316" i="10"/>
  <c r="AS287" i="10"/>
  <c r="AS143" i="10"/>
  <c r="AS186" i="10"/>
  <c r="AS250" i="10"/>
  <c r="AS208" i="10"/>
  <c r="AS211" i="10"/>
  <c r="AS205" i="10"/>
  <c r="AS269" i="10"/>
  <c r="AS260" i="10"/>
  <c r="AS251" i="10"/>
  <c r="AS303" i="10"/>
  <c r="AS271" i="10"/>
  <c r="AS163" i="10"/>
  <c r="AS159" i="10"/>
  <c r="AS155" i="10"/>
  <c r="AS151" i="10"/>
  <c r="AS147" i="10"/>
  <c r="AS202" i="10"/>
  <c r="AS239" i="10"/>
  <c r="AS284" i="10"/>
  <c r="AS307" i="10"/>
  <c r="AS154" i="10"/>
  <c r="AS170" i="10"/>
  <c r="AS234" i="10"/>
  <c r="AS180" i="10"/>
  <c r="AS179" i="10"/>
  <c r="AS189" i="10"/>
  <c r="AS253" i="10"/>
  <c r="AS216" i="10"/>
  <c r="AS219" i="10"/>
  <c r="AS299" i="10"/>
  <c r="AS315" i="10"/>
  <c r="AS164" i="10"/>
  <c r="AS160" i="10"/>
  <c r="AS156" i="10"/>
  <c r="AS152" i="10"/>
  <c r="AS148" i="10"/>
  <c r="AS144" i="10"/>
  <c r="AR142" i="10"/>
  <c r="AS236" i="10"/>
  <c r="AS285" i="10"/>
  <c r="AS158" i="10"/>
  <c r="AS146" i="10"/>
  <c r="AS218" i="10"/>
  <c r="AS282" i="10"/>
  <c r="AS268" i="10"/>
  <c r="AS173" i="10"/>
  <c r="AS237" i="10"/>
  <c r="AS188" i="10"/>
  <c r="AS187" i="10"/>
  <c r="AS295" i="10"/>
  <c r="AS311" i="10"/>
  <c r="AS161" i="10"/>
  <c r="AS157" i="10"/>
  <c r="AS153" i="10"/>
  <c r="AS149" i="10"/>
  <c r="AS145" i="10"/>
  <c r="AS266" i="10"/>
  <c r="AS221" i="10"/>
  <c r="AS275" i="10"/>
  <c r="AS162" i="10"/>
  <c r="AS150" i="10"/>
  <c r="BA312" i="10"/>
  <c r="BA316" i="10"/>
  <c r="BA300" i="10"/>
  <c r="BA284" i="10"/>
  <c r="BA268" i="10"/>
  <c r="BA252" i="10"/>
  <c r="BA236" i="10"/>
  <c r="BA220" i="10"/>
  <c r="BA204" i="10"/>
  <c r="BA188" i="10"/>
  <c r="BA171" i="10"/>
  <c r="BA154" i="10"/>
  <c r="BA299" i="10"/>
  <c r="BA267" i="10"/>
  <c r="BA239" i="10"/>
  <c r="BA211" i="10"/>
  <c r="BA174" i="10"/>
  <c r="BA149" i="10"/>
  <c r="BA266" i="10"/>
  <c r="BA234" i="10"/>
  <c r="BA198" i="10"/>
  <c r="BA177" i="10"/>
  <c r="BA308" i="10"/>
  <c r="BA293" i="10"/>
  <c r="BA277" i="10"/>
  <c r="BA261" i="10"/>
  <c r="BA245" i="10"/>
  <c r="BA229" i="10"/>
  <c r="BA213" i="10"/>
  <c r="BA197" i="10"/>
  <c r="BA180" i="10"/>
  <c r="BA163" i="10"/>
  <c r="BA147" i="10"/>
  <c r="BA291" i="10"/>
  <c r="BA255" i="10"/>
  <c r="BA227" i="10"/>
  <c r="BA195" i="10"/>
  <c r="BA153" i="10"/>
  <c r="BA302" i="10"/>
  <c r="BA274" i="10"/>
  <c r="BA246" i="10"/>
  <c r="BA214" i="10"/>
  <c r="BA173" i="10"/>
  <c r="BA144" i="10"/>
  <c r="BA313" i="10"/>
  <c r="BA280" i="10"/>
  <c r="BA232" i="10"/>
  <c r="BA216" i="10"/>
  <c r="BA167" i="10"/>
  <c r="BA150" i="10"/>
  <c r="BA231" i="10"/>
  <c r="BA298" i="10"/>
  <c r="BA190" i="10"/>
  <c r="BA289" i="10"/>
  <c r="BA241" i="10"/>
  <c r="BA193" i="10"/>
  <c r="BA185" i="10"/>
  <c r="BA287" i="10"/>
  <c r="BA187" i="10"/>
  <c r="BA270" i="10"/>
  <c r="BA169" i="10"/>
  <c r="BA311" i="10"/>
  <c r="BA315" i="10"/>
  <c r="BA304" i="10"/>
  <c r="BA288" i="10"/>
  <c r="BA272" i="10"/>
  <c r="BA256" i="10"/>
  <c r="BA240" i="10"/>
  <c r="BA224" i="10"/>
  <c r="BA208" i="10"/>
  <c r="BA192" i="10"/>
  <c r="BA175" i="10"/>
  <c r="BA158" i="10"/>
  <c r="BA303" i="10"/>
  <c r="BA275" i="10"/>
  <c r="BA247" i="10"/>
  <c r="BA219" i="10"/>
  <c r="BA182" i="10"/>
  <c r="BA157" i="10"/>
  <c r="BA278" i="10"/>
  <c r="BA242" i="10"/>
  <c r="BA206" i="10"/>
  <c r="BA181" i="10"/>
  <c r="BA148" i="10"/>
  <c r="BA297" i="10"/>
  <c r="BA281" i="10"/>
  <c r="BA265" i="10"/>
  <c r="BA249" i="10"/>
  <c r="BA233" i="10"/>
  <c r="BA217" i="10"/>
  <c r="BA201" i="10"/>
  <c r="BA184" i="10"/>
  <c r="BA168" i="10"/>
  <c r="BA151" i="10"/>
  <c r="BA307" i="10"/>
  <c r="BA271" i="10"/>
  <c r="BA235" i="10"/>
  <c r="BA199" i="10"/>
  <c r="BA161" i="10"/>
  <c r="BA306" i="10"/>
  <c r="BA286" i="10"/>
  <c r="BA254" i="10"/>
  <c r="BA222" i="10"/>
  <c r="BA194" i="10"/>
  <c r="BA152" i="10"/>
  <c r="BA309" i="10"/>
  <c r="BA296" i="10"/>
  <c r="BA248" i="10"/>
  <c r="BA200" i="10"/>
  <c r="BA263" i="10"/>
  <c r="BA170" i="10"/>
  <c r="BA226" i="10"/>
  <c r="BA164" i="10"/>
  <c r="BA273" i="10"/>
  <c r="BA225" i="10"/>
  <c r="BA176" i="10"/>
  <c r="BA251" i="10"/>
  <c r="BA145" i="10"/>
  <c r="BA238" i="10"/>
  <c r="BA310" i="10"/>
  <c r="BA314" i="10"/>
  <c r="BA318" i="10"/>
  <c r="BA292" i="10"/>
  <c r="BA276" i="10"/>
  <c r="BA260" i="10"/>
  <c r="BA244" i="10"/>
  <c r="BA228" i="10"/>
  <c r="BA212" i="10"/>
  <c r="BA196" i="10"/>
  <c r="BA179" i="10"/>
  <c r="BA162" i="10"/>
  <c r="BA146" i="10"/>
  <c r="BA279" i="10"/>
  <c r="BA259" i="10"/>
  <c r="BA223" i="10"/>
  <c r="BA191" i="10"/>
  <c r="BA166" i="10"/>
  <c r="BA282" i="10"/>
  <c r="BA250" i="10"/>
  <c r="BA218" i="10"/>
  <c r="BA186" i="10"/>
  <c r="BA156" i="10"/>
  <c r="BA301" i="10"/>
  <c r="BA285" i="10"/>
  <c r="BA269" i="10"/>
  <c r="BA253" i="10"/>
  <c r="BA237" i="10"/>
  <c r="BA221" i="10"/>
  <c r="BA205" i="10"/>
  <c r="BA189" i="10"/>
  <c r="BA172" i="10"/>
  <c r="BA155" i="10"/>
  <c r="BA165" i="10"/>
  <c r="BA283" i="10"/>
  <c r="BA243" i="10"/>
  <c r="BA203" i="10"/>
  <c r="BA178" i="10"/>
  <c r="BA143" i="10"/>
  <c r="BA290" i="10"/>
  <c r="BA262" i="10"/>
  <c r="BA230" i="10"/>
  <c r="BA202" i="10"/>
  <c r="BA160" i="10"/>
  <c r="BA317" i="10"/>
  <c r="BA264" i="10"/>
  <c r="BA183" i="10"/>
  <c r="BA295" i="10"/>
  <c r="BA207" i="10"/>
  <c r="BA258" i="10"/>
  <c r="BA305" i="10"/>
  <c r="BA257" i="10"/>
  <c r="BA209" i="10"/>
  <c r="BA159" i="10"/>
  <c r="BA215" i="10"/>
  <c r="BA294" i="10"/>
  <c r="BA210" i="10"/>
  <c r="F158" i="14"/>
  <c r="F165" i="14" s="1"/>
  <c r="M317" i="11"/>
  <c r="M301" i="11"/>
  <c r="M288" i="11"/>
  <c r="M268" i="11"/>
  <c r="M252" i="11"/>
  <c r="M236" i="11"/>
  <c r="M220" i="11"/>
  <c r="M204" i="11"/>
  <c r="M188" i="11"/>
  <c r="M172" i="11"/>
  <c r="M159" i="11"/>
  <c r="M294" i="11"/>
  <c r="M309" i="11"/>
  <c r="M280" i="11"/>
  <c r="M244" i="11"/>
  <c r="M212" i="11"/>
  <c r="M180" i="11"/>
  <c r="M164" i="11"/>
  <c r="M162" i="11"/>
  <c r="M314" i="11"/>
  <c r="M298" i="11"/>
  <c r="M289" i="11"/>
  <c r="M281" i="11"/>
  <c r="M273" i="11"/>
  <c r="M265" i="11"/>
  <c r="M257" i="11"/>
  <c r="M249" i="11"/>
  <c r="M241" i="11"/>
  <c r="M233" i="11"/>
  <c r="M225" i="11"/>
  <c r="M217" i="11"/>
  <c r="M209" i="11"/>
  <c r="M201" i="11"/>
  <c r="M193" i="11"/>
  <c r="M185" i="11"/>
  <c r="M177" i="11"/>
  <c r="M169" i="11"/>
  <c r="M283" i="11"/>
  <c r="M275" i="11"/>
  <c r="M267" i="11"/>
  <c r="M259" i="11"/>
  <c r="M251" i="11"/>
  <c r="M243" i="11"/>
  <c r="M235" i="11"/>
  <c r="M227" i="11"/>
  <c r="M219" i="11"/>
  <c r="M211" i="11"/>
  <c r="M203" i="11"/>
  <c r="M195" i="11"/>
  <c r="M187" i="11"/>
  <c r="M179" i="11"/>
  <c r="M171" i="11"/>
  <c r="M144" i="11"/>
  <c r="M286" i="11"/>
  <c r="M278" i="11"/>
  <c r="M270" i="11"/>
  <c r="M262" i="11"/>
  <c r="M254" i="11"/>
  <c r="M246" i="11"/>
  <c r="M238" i="11"/>
  <c r="M230" i="11"/>
  <c r="M222" i="11"/>
  <c r="M214" i="11"/>
  <c r="M206" i="11"/>
  <c r="M198" i="11"/>
  <c r="M190" i="11"/>
  <c r="M182" i="11"/>
  <c r="M174" i="11"/>
  <c r="M166" i="11"/>
  <c r="M158" i="11"/>
  <c r="M316" i="11"/>
  <c r="M300" i="11"/>
  <c r="M150" i="11"/>
  <c r="M305" i="11"/>
  <c r="M248" i="11"/>
  <c r="M200" i="11"/>
  <c r="M293" i="11"/>
  <c r="M318" i="11"/>
  <c r="M302" i="11"/>
  <c r="M157" i="11"/>
  <c r="M312" i="11"/>
  <c r="M304" i="11"/>
  <c r="M296" i="11"/>
  <c r="M145" i="11"/>
  <c r="M155" i="11"/>
  <c r="M313" i="11"/>
  <c r="M297" i="11"/>
  <c r="M284" i="11"/>
  <c r="M272" i="11"/>
  <c r="M256" i="11"/>
  <c r="M240" i="11"/>
  <c r="M224" i="11"/>
  <c r="M208" i="11"/>
  <c r="M192" i="11"/>
  <c r="M176" i="11"/>
  <c r="M152" i="11"/>
  <c r="M149" i="11"/>
  <c r="M315" i="11"/>
  <c r="M307" i="11"/>
  <c r="M299" i="11"/>
  <c r="M291" i="11"/>
  <c r="M156" i="11"/>
  <c r="M147" i="11"/>
  <c r="M232" i="11"/>
  <c r="M216" i="11"/>
  <c r="M154" i="11"/>
  <c r="M260" i="11"/>
  <c r="M228" i="11"/>
  <c r="M196" i="11"/>
  <c r="M168" i="11"/>
  <c r="M306" i="11"/>
  <c r="M161" i="11"/>
  <c r="M285" i="11"/>
  <c r="M277" i="11"/>
  <c r="M269" i="11"/>
  <c r="M261" i="11"/>
  <c r="M253" i="11"/>
  <c r="M245" i="11"/>
  <c r="M237" i="11"/>
  <c r="M229" i="11"/>
  <c r="M221" i="11"/>
  <c r="M213" i="11"/>
  <c r="M205" i="11"/>
  <c r="M197" i="11"/>
  <c r="M189" i="11"/>
  <c r="M181" i="11"/>
  <c r="M173" i="11"/>
  <c r="M163" i="11"/>
  <c r="M292" i="11"/>
  <c r="M287" i="11"/>
  <c r="M279" i="11"/>
  <c r="M271" i="11"/>
  <c r="M263" i="11"/>
  <c r="M255" i="11"/>
  <c r="M247" i="11"/>
  <c r="M239" i="11"/>
  <c r="M231" i="11"/>
  <c r="M223" i="11"/>
  <c r="M215" i="11"/>
  <c r="M207" i="11"/>
  <c r="M199" i="11"/>
  <c r="M191" i="11"/>
  <c r="M183" i="11"/>
  <c r="M175" i="11"/>
  <c r="M167" i="11"/>
  <c r="M160" i="11"/>
  <c r="M153" i="11"/>
  <c r="M148" i="11"/>
  <c r="M146" i="11"/>
  <c r="M143" i="11"/>
  <c r="M311" i="11"/>
  <c r="M303" i="11"/>
  <c r="M295" i="11"/>
  <c r="M290" i="11"/>
  <c r="M282" i="11"/>
  <c r="M274" i="11"/>
  <c r="M266" i="11"/>
  <c r="M258" i="11"/>
  <c r="M250" i="11"/>
  <c r="M242" i="11"/>
  <c r="M234" i="11"/>
  <c r="M226" i="11"/>
  <c r="M218" i="11"/>
  <c r="M210" i="11"/>
  <c r="M202" i="11"/>
  <c r="M194" i="11"/>
  <c r="M186" i="11"/>
  <c r="M178" i="11"/>
  <c r="M170" i="11"/>
  <c r="M151" i="11"/>
  <c r="M310" i="11"/>
  <c r="M165" i="11"/>
  <c r="M308" i="11"/>
  <c r="M276" i="11"/>
  <c r="M264" i="11"/>
  <c r="M184" i="11"/>
  <c r="E311" i="11"/>
  <c r="E309" i="11"/>
  <c r="E314" i="11"/>
  <c r="E143" i="11"/>
  <c r="E308" i="11"/>
  <c r="E304" i="11"/>
  <c r="E300" i="11"/>
  <c r="E296" i="11"/>
  <c r="E292" i="11"/>
  <c r="E288" i="11"/>
  <c r="E284" i="11"/>
  <c r="E280" i="11"/>
  <c r="E276" i="11"/>
  <c r="E272" i="11"/>
  <c r="E268" i="11"/>
  <c r="E264" i="11"/>
  <c r="E260" i="11"/>
  <c r="E256" i="11"/>
  <c r="E252" i="11"/>
  <c r="E248" i="11"/>
  <c r="E244" i="11"/>
  <c r="E240" i="11"/>
  <c r="E236" i="11"/>
  <c r="E232" i="11"/>
  <c r="E228" i="11"/>
  <c r="E224" i="11"/>
  <c r="E220" i="11"/>
  <c r="E216" i="11"/>
  <c r="E212" i="11"/>
  <c r="E208" i="11"/>
  <c r="E204" i="11"/>
  <c r="E200" i="11"/>
  <c r="E196" i="11"/>
  <c r="E192" i="11"/>
  <c r="E188" i="11"/>
  <c r="E183" i="11"/>
  <c r="E179" i="11"/>
  <c r="E175" i="11"/>
  <c r="E171" i="11"/>
  <c r="E167" i="11"/>
  <c r="E162" i="11"/>
  <c r="E158" i="11"/>
  <c r="E154" i="11"/>
  <c r="E150" i="11"/>
  <c r="E146" i="11"/>
  <c r="F142" i="11"/>
  <c r="E165" i="11"/>
  <c r="E313" i="11"/>
  <c r="D142" i="11"/>
  <c r="E318" i="11"/>
  <c r="E312" i="11"/>
  <c r="E316" i="11"/>
  <c r="E317" i="11"/>
  <c r="E307" i="11"/>
  <c r="E302" i="11"/>
  <c r="E297" i="11"/>
  <c r="E291" i="11"/>
  <c r="E286" i="11"/>
  <c r="E281" i="11"/>
  <c r="E275" i="11"/>
  <c r="E270" i="11"/>
  <c r="E265" i="11"/>
  <c r="E259" i="11"/>
  <c r="E254" i="11"/>
  <c r="E249" i="11"/>
  <c r="E243" i="11"/>
  <c r="E238" i="11"/>
  <c r="E233" i="11"/>
  <c r="E227" i="11"/>
  <c r="E222" i="11"/>
  <c r="E217" i="11"/>
  <c r="E211" i="11"/>
  <c r="E206" i="11"/>
  <c r="E201" i="11"/>
  <c r="E195" i="11"/>
  <c r="E190" i="11"/>
  <c r="E184" i="11"/>
  <c r="E178" i="11"/>
  <c r="E173" i="11"/>
  <c r="E168" i="11"/>
  <c r="E161" i="11"/>
  <c r="E156" i="11"/>
  <c r="E151" i="11"/>
  <c r="E145" i="11"/>
  <c r="E295" i="11"/>
  <c r="E279" i="11"/>
  <c r="E263" i="11"/>
  <c r="E258" i="11"/>
  <c r="E242" i="11"/>
  <c r="E237" i="11"/>
  <c r="E221" i="11"/>
  <c r="E215" i="11"/>
  <c r="E199" i="11"/>
  <c r="E194" i="11"/>
  <c r="E177" i="11"/>
  <c r="E160" i="11"/>
  <c r="E149" i="11"/>
  <c r="E303" i="11"/>
  <c r="E298" i="11"/>
  <c r="E293" i="11"/>
  <c r="E287" i="11"/>
  <c r="E282" i="11"/>
  <c r="E277" i="11"/>
  <c r="E271" i="11"/>
  <c r="E266" i="11"/>
  <c r="E261" i="11"/>
  <c r="E255" i="11"/>
  <c r="E250" i="11"/>
  <c r="E245" i="11"/>
  <c r="E239" i="11"/>
  <c r="E234" i="11"/>
  <c r="E229" i="11"/>
  <c r="E223" i="11"/>
  <c r="E218" i="11"/>
  <c r="E213" i="11"/>
  <c r="E207" i="11"/>
  <c r="E202" i="11"/>
  <c r="E197" i="11"/>
  <c r="E191" i="11"/>
  <c r="E186" i="11"/>
  <c r="E180" i="11"/>
  <c r="E174" i="11"/>
  <c r="E169" i="11"/>
  <c r="E163" i="11"/>
  <c r="E157" i="11"/>
  <c r="E152" i="11"/>
  <c r="E147" i="11"/>
  <c r="E301" i="11"/>
  <c r="E285" i="11"/>
  <c r="E269" i="11"/>
  <c r="E247" i="11"/>
  <c r="E226" i="11"/>
  <c r="E205" i="11"/>
  <c r="E182" i="11"/>
  <c r="E166" i="11"/>
  <c r="E144" i="11"/>
  <c r="E315" i="11"/>
  <c r="E185" i="11"/>
  <c r="E305" i="11"/>
  <c r="E299" i="11"/>
  <c r="E294" i="11"/>
  <c r="E289" i="11"/>
  <c r="E283" i="11"/>
  <c r="E278" i="11"/>
  <c r="E273" i="11"/>
  <c r="E267" i="11"/>
  <c r="E262" i="11"/>
  <c r="E257" i="11"/>
  <c r="E251" i="11"/>
  <c r="E246" i="11"/>
  <c r="E241" i="11"/>
  <c r="E235" i="11"/>
  <c r="E230" i="11"/>
  <c r="E225" i="11"/>
  <c r="E219" i="11"/>
  <c r="E214" i="11"/>
  <c r="E209" i="11"/>
  <c r="E203" i="11"/>
  <c r="E198" i="11"/>
  <c r="E193" i="11"/>
  <c r="E187" i="11"/>
  <c r="E181" i="11"/>
  <c r="E176" i="11"/>
  <c r="E170" i="11"/>
  <c r="E164" i="11"/>
  <c r="E159" i="11"/>
  <c r="E153" i="11"/>
  <c r="E148" i="11"/>
  <c r="E310" i="11"/>
  <c r="E306" i="11"/>
  <c r="E290" i="11"/>
  <c r="E274" i="11"/>
  <c r="E253" i="11"/>
  <c r="E231" i="11"/>
  <c r="E210" i="11"/>
  <c r="E189" i="11"/>
  <c r="E172" i="11"/>
  <c r="E155" i="11"/>
  <c r="AC304" i="10"/>
  <c r="AC292" i="10"/>
  <c r="AC311" i="10"/>
  <c r="AC303" i="10"/>
  <c r="AC295" i="10"/>
  <c r="AC316" i="10"/>
  <c r="AC167" i="10"/>
  <c r="AC171" i="10"/>
  <c r="AC175" i="10"/>
  <c r="AC179" i="10"/>
  <c r="AC183" i="10"/>
  <c r="AC187" i="10"/>
  <c r="AC191" i="10"/>
  <c r="AC195" i="10"/>
  <c r="AC199" i="10"/>
  <c r="AC203" i="10"/>
  <c r="AC207" i="10"/>
  <c r="AC211" i="10"/>
  <c r="AC215" i="10"/>
  <c r="AC219" i="10"/>
  <c r="AC223" i="10"/>
  <c r="AC227" i="10"/>
  <c r="AC231" i="10"/>
  <c r="AC235" i="10"/>
  <c r="AC239" i="10"/>
  <c r="AC243" i="10"/>
  <c r="AC247" i="10"/>
  <c r="AC251" i="10"/>
  <c r="AC255" i="10"/>
  <c r="AC259" i="10"/>
  <c r="AC263" i="10"/>
  <c r="AC267" i="10"/>
  <c r="AC271" i="10"/>
  <c r="AC275" i="10"/>
  <c r="AC279" i="10"/>
  <c r="AC283" i="10"/>
  <c r="AC287" i="10"/>
  <c r="AC306" i="10"/>
  <c r="AC294" i="10"/>
  <c r="AC313" i="10"/>
  <c r="AC305" i="10"/>
  <c r="AC297" i="10"/>
  <c r="AC318" i="10"/>
  <c r="AC302" i="10"/>
  <c r="AC166" i="10"/>
  <c r="AC170" i="10"/>
  <c r="AC174" i="10"/>
  <c r="AC178" i="10"/>
  <c r="AC182" i="10"/>
  <c r="AC186" i="10"/>
  <c r="AC190" i="10"/>
  <c r="AC194" i="10"/>
  <c r="AC198" i="10"/>
  <c r="AC202" i="10"/>
  <c r="AC206" i="10"/>
  <c r="AC210" i="10"/>
  <c r="AC214" i="10"/>
  <c r="AC218" i="10"/>
  <c r="AC222" i="10"/>
  <c r="AC226" i="10"/>
  <c r="AC230" i="10"/>
  <c r="AC234" i="10"/>
  <c r="AC238" i="10"/>
  <c r="AC242" i="10"/>
  <c r="AC246" i="10"/>
  <c r="AC250" i="10"/>
  <c r="AC254" i="10"/>
  <c r="AC258" i="10"/>
  <c r="AC262" i="10"/>
  <c r="AC266" i="10"/>
  <c r="AC270" i="10"/>
  <c r="AC274" i="10"/>
  <c r="AC278" i="10"/>
  <c r="AC282" i="10"/>
  <c r="AC286" i="10"/>
  <c r="AC290" i="10"/>
  <c r="AC312" i="10"/>
  <c r="AC298" i="10"/>
  <c r="AC315" i="10"/>
  <c r="AC307" i="10"/>
  <c r="AC299" i="10"/>
  <c r="AC291" i="10"/>
  <c r="AC308" i="10"/>
  <c r="AC143" i="10"/>
  <c r="AC169" i="10"/>
  <c r="AC173" i="10"/>
  <c r="AC177" i="10"/>
  <c r="AC181" i="10"/>
  <c r="AC185" i="10"/>
  <c r="AC189" i="10"/>
  <c r="AC193" i="10"/>
  <c r="AC197" i="10"/>
  <c r="AC201" i="10"/>
  <c r="AC205" i="10"/>
  <c r="AC209" i="10"/>
  <c r="AC213" i="10"/>
  <c r="AC217" i="10"/>
  <c r="AC221" i="10"/>
  <c r="AC225" i="10"/>
  <c r="AC229" i="10"/>
  <c r="AC233" i="10"/>
  <c r="AC237" i="10"/>
  <c r="AC241" i="10"/>
  <c r="AC245" i="10"/>
  <c r="AC249" i="10"/>
  <c r="AC253" i="10"/>
  <c r="AC257" i="10"/>
  <c r="AC261" i="10"/>
  <c r="AC265" i="10"/>
  <c r="AC269" i="10"/>
  <c r="AC273" i="10"/>
  <c r="AC277" i="10"/>
  <c r="AC281" i="10"/>
  <c r="AC285" i="10"/>
  <c r="AC289" i="10"/>
  <c r="AC300" i="10"/>
  <c r="AC293" i="10"/>
  <c r="AC176" i="10"/>
  <c r="AC192" i="10"/>
  <c r="AC208" i="10"/>
  <c r="AC224" i="10"/>
  <c r="AC240" i="10"/>
  <c r="AC256" i="10"/>
  <c r="AC272" i="10"/>
  <c r="AC288" i="10"/>
  <c r="AC310" i="10"/>
  <c r="AC196" i="10"/>
  <c r="AC244" i="10"/>
  <c r="AC260" i="10"/>
  <c r="AC314" i="10"/>
  <c r="AC301" i="10"/>
  <c r="AC172" i="10"/>
  <c r="AC188" i="10"/>
  <c r="AC204" i="10"/>
  <c r="AC220" i="10"/>
  <c r="AC236" i="10"/>
  <c r="AC252" i="10"/>
  <c r="AC268" i="10"/>
  <c r="AC284" i="10"/>
  <c r="AC317" i="10"/>
  <c r="AC180" i="10"/>
  <c r="AC212" i="10"/>
  <c r="AC276" i="10"/>
  <c r="AC309" i="10"/>
  <c r="AC168" i="10"/>
  <c r="AC184" i="10"/>
  <c r="AC200" i="10"/>
  <c r="AC216" i="10"/>
  <c r="AC232" i="10"/>
  <c r="AC248" i="10"/>
  <c r="AC264" i="10"/>
  <c r="AC280" i="10"/>
  <c r="AC228" i="10"/>
  <c r="AC156" i="10"/>
  <c r="AC147" i="10"/>
  <c r="AC149" i="10"/>
  <c r="AC163" i="10"/>
  <c r="AC153" i="10"/>
  <c r="AC157" i="10"/>
  <c r="AC162" i="10"/>
  <c r="AC150" i="10"/>
  <c r="AC155" i="10"/>
  <c r="AC158" i="10"/>
  <c r="AC165" i="10"/>
  <c r="AC148" i="10"/>
  <c r="AC152" i="10"/>
  <c r="AC145" i="10"/>
  <c r="AC144" i="10"/>
  <c r="AC146" i="10"/>
  <c r="AC164" i="10"/>
  <c r="AC151" i="10"/>
  <c r="AC161" i="10"/>
  <c r="AC160" i="10"/>
  <c r="AC159" i="10"/>
  <c r="AC154" i="10"/>
  <c r="V139" i="10"/>
  <c r="Q162" i="11"/>
  <c r="Q318" i="11"/>
  <c r="Q310" i="11"/>
  <c r="Q302" i="11"/>
  <c r="Q317" i="11"/>
  <c r="Q288" i="11"/>
  <c r="Q252" i="11"/>
  <c r="Q220" i="11"/>
  <c r="Q188" i="11"/>
  <c r="Q147" i="11"/>
  <c r="Q157" i="11"/>
  <c r="Q312" i="11"/>
  <c r="Q304" i="11"/>
  <c r="Q296" i="11"/>
  <c r="Q145" i="11"/>
  <c r="Q155" i="11"/>
  <c r="Q313" i="11"/>
  <c r="Q297" i="11"/>
  <c r="Q284" i="11"/>
  <c r="Q272" i="11"/>
  <c r="Q256" i="11"/>
  <c r="Q240" i="11"/>
  <c r="Q224" i="11"/>
  <c r="Q208" i="11"/>
  <c r="Q192" i="11"/>
  <c r="Q176" i="11"/>
  <c r="Q152" i="11"/>
  <c r="Q149" i="11"/>
  <c r="Q315" i="11"/>
  <c r="Q307" i="11"/>
  <c r="Q299" i="11"/>
  <c r="Q291" i="11"/>
  <c r="Q156" i="11"/>
  <c r="Q309" i="11"/>
  <c r="Q244" i="11"/>
  <c r="Q212" i="11"/>
  <c r="Q306" i="11"/>
  <c r="Q287" i="11"/>
  <c r="Q263" i="11"/>
  <c r="Q247" i="11"/>
  <c r="Q231" i="11"/>
  <c r="Q207" i="11"/>
  <c r="Q175" i="11"/>
  <c r="Q160" i="11"/>
  <c r="Q311" i="11"/>
  <c r="Q290" i="11"/>
  <c r="Q242" i="11"/>
  <c r="Q194" i="11"/>
  <c r="Q178" i="11"/>
  <c r="Q154" i="11"/>
  <c r="Q260" i="11"/>
  <c r="Q228" i="11"/>
  <c r="Q196" i="11"/>
  <c r="Q168" i="11"/>
  <c r="Q159" i="11"/>
  <c r="Q164" i="11"/>
  <c r="Q314" i="11"/>
  <c r="Q298" i="11"/>
  <c r="Q161" i="11"/>
  <c r="Q285" i="11"/>
  <c r="Q277" i="11"/>
  <c r="Q269" i="11"/>
  <c r="Q261" i="11"/>
  <c r="Q253" i="11"/>
  <c r="Q245" i="11"/>
  <c r="Q237" i="11"/>
  <c r="Q229" i="11"/>
  <c r="Q221" i="11"/>
  <c r="Q213" i="11"/>
  <c r="Q205" i="11"/>
  <c r="Q197" i="11"/>
  <c r="Q189" i="11"/>
  <c r="Q181" i="11"/>
  <c r="Q173" i="11"/>
  <c r="Q163" i="11"/>
  <c r="Q283" i="11"/>
  <c r="Q275" i="11"/>
  <c r="Q267" i="11"/>
  <c r="Q259" i="11"/>
  <c r="Q251" i="11"/>
  <c r="Q243" i="11"/>
  <c r="Q235" i="11"/>
  <c r="Q227" i="11"/>
  <c r="Q219" i="11"/>
  <c r="Q211" i="11"/>
  <c r="Q203" i="11"/>
  <c r="Q195" i="11"/>
  <c r="Q187" i="11"/>
  <c r="Q179" i="11"/>
  <c r="Q171" i="11"/>
  <c r="Q144" i="11"/>
  <c r="Q286" i="11"/>
  <c r="Q278" i="11"/>
  <c r="Q270" i="11"/>
  <c r="Q262" i="11"/>
  <c r="Q254" i="11"/>
  <c r="Q246" i="11"/>
  <c r="Q238" i="11"/>
  <c r="Q230" i="11"/>
  <c r="Q222" i="11"/>
  <c r="Q214" i="11"/>
  <c r="Q206" i="11"/>
  <c r="Q198" i="11"/>
  <c r="Q190" i="11"/>
  <c r="Q182" i="11"/>
  <c r="Q174" i="11"/>
  <c r="Q166" i="11"/>
  <c r="Q180" i="11"/>
  <c r="Q294" i="11"/>
  <c r="Q289" i="11"/>
  <c r="Q281" i="11"/>
  <c r="Q273" i="11"/>
  <c r="Q249" i="11"/>
  <c r="Q241" i="11"/>
  <c r="Q233" i="11"/>
  <c r="Q225" i="11"/>
  <c r="Q217" i="11"/>
  <c r="Q209" i="11"/>
  <c r="Q201" i="11"/>
  <c r="Q193" i="11"/>
  <c r="Q185" i="11"/>
  <c r="Q177" i="11"/>
  <c r="Q169" i="11"/>
  <c r="Q292" i="11"/>
  <c r="Q271" i="11"/>
  <c r="Q239" i="11"/>
  <c r="Q215" i="11"/>
  <c r="Q191" i="11"/>
  <c r="Q183" i="11"/>
  <c r="Q303" i="11"/>
  <c r="Q295" i="11"/>
  <c r="Q274" i="11"/>
  <c r="Q250" i="11"/>
  <c r="Q202" i="11"/>
  <c r="Q170" i="11"/>
  <c r="Q151" i="11"/>
  <c r="Q301" i="11"/>
  <c r="Q293" i="11"/>
  <c r="Q268" i="11"/>
  <c r="Q236" i="11"/>
  <c r="Q204" i="11"/>
  <c r="Q172" i="11"/>
  <c r="Q158" i="11"/>
  <c r="Q165" i="11"/>
  <c r="Q316" i="11"/>
  <c r="Q308" i="11"/>
  <c r="Q300" i="11"/>
  <c r="Q150" i="11"/>
  <c r="Q305" i="11"/>
  <c r="Q276" i="11"/>
  <c r="Q264" i="11"/>
  <c r="Q248" i="11"/>
  <c r="Q232" i="11"/>
  <c r="Q216" i="11"/>
  <c r="Q200" i="11"/>
  <c r="Q184" i="11"/>
  <c r="Q280" i="11"/>
  <c r="Q265" i="11"/>
  <c r="Q257" i="11"/>
  <c r="Q279" i="11"/>
  <c r="Q255" i="11"/>
  <c r="Q223" i="11"/>
  <c r="Q199" i="11"/>
  <c r="Q167" i="11"/>
  <c r="Q153" i="11"/>
  <c r="Q148" i="11"/>
  <c r="Q146" i="11"/>
  <c r="Q143" i="11"/>
  <c r="Q282" i="11"/>
  <c r="Q266" i="11"/>
  <c r="Q258" i="11"/>
  <c r="Q234" i="11"/>
  <c r="Q226" i="11"/>
  <c r="Q218" i="11"/>
  <c r="Q210" i="11"/>
  <c r="Q186" i="11"/>
  <c r="Z163" i="10"/>
  <c r="Z159" i="10"/>
  <c r="Z155" i="10"/>
  <c r="Z151" i="10"/>
  <c r="Z147" i="10"/>
  <c r="Z160" i="10"/>
  <c r="Z154" i="10"/>
  <c r="Z149" i="10"/>
  <c r="Z144" i="10"/>
  <c r="Z164" i="10"/>
  <c r="Z148" i="10"/>
  <c r="Z161" i="10"/>
  <c r="Z156" i="10"/>
  <c r="Z150" i="10"/>
  <c r="Z145" i="10"/>
  <c r="Z165" i="10"/>
  <c r="Z143" i="10"/>
  <c r="Z158" i="10"/>
  <c r="Z162" i="10"/>
  <c r="Z157" i="10"/>
  <c r="Z152" i="10"/>
  <c r="Z146" i="10"/>
  <c r="Z153" i="10"/>
  <c r="AA142" i="10"/>
  <c r="Z179" i="10"/>
  <c r="Z195" i="10"/>
  <c r="Z211" i="10"/>
  <c r="Z166" i="10"/>
  <c r="Z182" i="10"/>
  <c r="Z198" i="10"/>
  <c r="Z214" i="10"/>
  <c r="Z228" i="10"/>
  <c r="Z236" i="10"/>
  <c r="Z244" i="10"/>
  <c r="Z252" i="10"/>
  <c r="Z260" i="10"/>
  <c r="Z268" i="10"/>
  <c r="Z276" i="10"/>
  <c r="Z284" i="10"/>
  <c r="Z181" i="10"/>
  <c r="Z197" i="10"/>
  <c r="Z213" i="10"/>
  <c r="Z291" i="10"/>
  <c r="Z295" i="10"/>
  <c r="Z299" i="10"/>
  <c r="Z303" i="10"/>
  <c r="Z307" i="10"/>
  <c r="Z311" i="10"/>
  <c r="Z315" i="10"/>
  <c r="Z168" i="10"/>
  <c r="Z184" i="10"/>
  <c r="Z200" i="10"/>
  <c r="Z216" i="10"/>
  <c r="Z229" i="10"/>
  <c r="Z237" i="10"/>
  <c r="Z245" i="10"/>
  <c r="Z253" i="10"/>
  <c r="Z261" i="10"/>
  <c r="Z269" i="10"/>
  <c r="Z277" i="10"/>
  <c r="Z285" i="10"/>
  <c r="Z290" i="10"/>
  <c r="Z175" i="10"/>
  <c r="Z191" i="10"/>
  <c r="Z207" i="10"/>
  <c r="Z223" i="10"/>
  <c r="Z178" i="10"/>
  <c r="Z194" i="10"/>
  <c r="Z210" i="10"/>
  <c r="Z226" i="10"/>
  <c r="Z234" i="10"/>
  <c r="Z242" i="10"/>
  <c r="Z250" i="10"/>
  <c r="Z258" i="10"/>
  <c r="Z266" i="10"/>
  <c r="Z274" i="10"/>
  <c r="Z282" i="10"/>
  <c r="Z177" i="10"/>
  <c r="Z193" i="10"/>
  <c r="Z209" i="10"/>
  <c r="Z225" i="10"/>
  <c r="Z294" i="10"/>
  <c r="Z298" i="10"/>
  <c r="Z302" i="10"/>
  <c r="Z306" i="10"/>
  <c r="Z310" i="10"/>
  <c r="Z314" i="10"/>
  <c r="Z318" i="10"/>
  <c r="Z180" i="10"/>
  <c r="Z196" i="10"/>
  <c r="Z212" i="10"/>
  <c r="Z227" i="10"/>
  <c r="Z235" i="10"/>
  <c r="Z243" i="10"/>
  <c r="Z251" i="10"/>
  <c r="Z259" i="10"/>
  <c r="Z267" i="10"/>
  <c r="Z275" i="10"/>
  <c r="Z283" i="10"/>
  <c r="Z286" i="10"/>
  <c r="Z171" i="10"/>
  <c r="Z187" i="10"/>
  <c r="Z203" i="10"/>
  <c r="Z219" i="10"/>
  <c r="Z174" i="10"/>
  <c r="Z190" i="10"/>
  <c r="Z206" i="10"/>
  <c r="Z222" i="10"/>
  <c r="Z232" i="10"/>
  <c r="Z240" i="10"/>
  <c r="Z248" i="10"/>
  <c r="Z256" i="10"/>
  <c r="Z264" i="10"/>
  <c r="Z272" i="10"/>
  <c r="Z280" i="10"/>
  <c r="Z173" i="10"/>
  <c r="Z189" i="10"/>
  <c r="Z205" i="10"/>
  <c r="Z221" i="10"/>
  <c r="Z293" i="10"/>
  <c r="Z297" i="10"/>
  <c r="Z301" i="10"/>
  <c r="Z305" i="10"/>
  <c r="Z309" i="10"/>
  <c r="Z313" i="10"/>
  <c r="Z317" i="10"/>
  <c r="Z176" i="10"/>
  <c r="Z192" i="10"/>
  <c r="Z208" i="10"/>
  <c r="Z224" i="10"/>
  <c r="Z233" i="10"/>
  <c r="Z241" i="10"/>
  <c r="Z249" i="10"/>
  <c r="Z257" i="10"/>
  <c r="Z265" i="10"/>
  <c r="Z273" i="10"/>
  <c r="Z281" i="10"/>
  <c r="Z289" i="10"/>
  <c r="Z199" i="10"/>
  <c r="Z202" i="10"/>
  <c r="Z246" i="10"/>
  <c r="Z278" i="10"/>
  <c r="Z217" i="10"/>
  <c r="Z304" i="10"/>
  <c r="Z172" i="10"/>
  <c r="Z231" i="10"/>
  <c r="Z263" i="10"/>
  <c r="Z288" i="10"/>
  <c r="Z218" i="10"/>
  <c r="Z292" i="10"/>
  <c r="Z183" i="10"/>
  <c r="Z186" i="10"/>
  <c r="Z238" i="10"/>
  <c r="Z270" i="10"/>
  <c r="Z201" i="10"/>
  <c r="Z300" i="10"/>
  <c r="Z316" i="10"/>
  <c r="Z220" i="10"/>
  <c r="Z255" i="10"/>
  <c r="Z287" i="10"/>
  <c r="Z215" i="10"/>
  <c r="Z169" i="10"/>
  <c r="Z188" i="10"/>
  <c r="Z239" i="10"/>
  <c r="Z167" i="10"/>
  <c r="Z170" i="10"/>
  <c r="Z230" i="10"/>
  <c r="Z262" i="10"/>
  <c r="Z185" i="10"/>
  <c r="Z296" i="10"/>
  <c r="Z312" i="10"/>
  <c r="Z204" i="10"/>
  <c r="Z247" i="10"/>
  <c r="Z279" i="10"/>
  <c r="Z254" i="10"/>
  <c r="Z308" i="10"/>
  <c r="Z271" i="10"/>
  <c r="I167" i="13"/>
  <c r="I213" i="13"/>
  <c r="I216" i="13"/>
  <c r="I146" i="13"/>
  <c r="I271" i="13"/>
  <c r="I316" i="13"/>
  <c r="I192" i="13"/>
  <c r="I281" i="13"/>
  <c r="I217" i="13"/>
  <c r="I153" i="13"/>
  <c r="I207" i="13"/>
  <c r="I256" i="13"/>
  <c r="I310" i="13"/>
  <c r="I246" i="13"/>
  <c r="I182" i="13"/>
  <c r="I308" i="13"/>
  <c r="I181" i="13"/>
  <c r="I148" i="13"/>
  <c r="I275" i="13"/>
  <c r="I151" i="13"/>
  <c r="I196" i="13"/>
  <c r="I285" i="13"/>
  <c r="I221" i="13"/>
  <c r="I157" i="13"/>
  <c r="I183" i="13"/>
  <c r="I232" i="13"/>
  <c r="I298" i="13"/>
  <c r="I234" i="13"/>
  <c r="I170" i="13"/>
  <c r="I263" i="13"/>
  <c r="I309" i="13"/>
  <c r="I149" i="13"/>
  <c r="I180" i="13"/>
  <c r="I178" i="13"/>
  <c r="I283" i="13"/>
  <c r="I159" i="13"/>
  <c r="I204" i="13"/>
  <c r="I289" i="13"/>
  <c r="I225" i="13"/>
  <c r="I161" i="13"/>
  <c r="I223" i="13"/>
  <c r="I272" i="13"/>
  <c r="I318" i="13"/>
  <c r="I254" i="13"/>
  <c r="I190" i="13"/>
  <c r="I306" i="13"/>
  <c r="I160" i="13"/>
  <c r="I315" i="13"/>
  <c r="I294" i="13"/>
  <c r="I166" i="13"/>
  <c r="I303" i="13"/>
  <c r="I274" i="13"/>
  <c r="I251" i="13"/>
  <c r="I269" i="13"/>
  <c r="I287" i="13"/>
  <c r="I282" i="13"/>
  <c r="I154" i="13"/>
  <c r="I293" i="13"/>
  <c r="I300" i="13"/>
  <c r="I273" i="13"/>
  <c r="I191" i="13"/>
  <c r="I302" i="13"/>
  <c r="I174" i="13"/>
  <c r="I291" i="13"/>
  <c r="I261" i="13"/>
  <c r="I312" i="13"/>
  <c r="I226" i="13"/>
  <c r="I299" i="13"/>
  <c r="I175" i="13"/>
  <c r="I220" i="13"/>
  <c r="I297" i="13"/>
  <c r="I233" i="13"/>
  <c r="I169" i="13"/>
  <c r="I239" i="13"/>
  <c r="I288" i="13"/>
  <c r="I156" i="13"/>
  <c r="I262" i="13"/>
  <c r="I198" i="13"/>
  <c r="I235" i="13"/>
  <c r="I229" i="13"/>
  <c r="I248" i="13"/>
  <c r="I162" i="13"/>
  <c r="I307" i="13"/>
  <c r="I187" i="13"/>
  <c r="I228" i="13"/>
  <c r="I301" i="13"/>
  <c r="I237" i="13"/>
  <c r="I173" i="13"/>
  <c r="I215" i="13"/>
  <c r="I264" i="13"/>
  <c r="I314" i="13"/>
  <c r="I250" i="13"/>
  <c r="I186" i="13"/>
  <c r="I212" i="13"/>
  <c r="I197" i="13"/>
  <c r="I280" i="13"/>
  <c r="I194" i="13"/>
  <c r="I311" i="13"/>
  <c r="I195" i="13"/>
  <c r="I236" i="13"/>
  <c r="I305" i="13"/>
  <c r="I241" i="13"/>
  <c r="I177" i="13"/>
  <c r="I255" i="13"/>
  <c r="I304" i="13"/>
  <c r="I172" i="13"/>
  <c r="I270" i="13"/>
  <c r="I206" i="13"/>
  <c r="I244" i="13"/>
  <c r="I284" i="13"/>
  <c r="I201" i="13"/>
  <c r="I179" i="13"/>
  <c r="I230" i="13"/>
  <c r="I184" i="13"/>
  <c r="I168" i="13"/>
  <c r="I155" i="13"/>
  <c r="I218" i="13"/>
  <c r="I231" i="13"/>
  <c r="I259" i="13"/>
  <c r="I209" i="13"/>
  <c r="I240" i="13"/>
  <c r="I152" i="13"/>
  <c r="I267" i="13"/>
  <c r="I258" i="13"/>
  <c r="B139" i="13"/>
  <c r="I211" i="13"/>
  <c r="I252" i="13"/>
  <c r="I313" i="13"/>
  <c r="I249" i="13"/>
  <c r="I185" i="13"/>
  <c r="I279" i="13"/>
  <c r="I147" i="13"/>
  <c r="I188" i="13"/>
  <c r="I278" i="13"/>
  <c r="I214" i="13"/>
  <c r="I150" i="13"/>
  <c r="I277" i="13"/>
  <c r="I199" i="13"/>
  <c r="I210" i="13"/>
  <c r="I219" i="13"/>
  <c r="I260" i="13"/>
  <c r="I317" i="13"/>
  <c r="I253" i="13"/>
  <c r="I189" i="13"/>
  <c r="I247" i="13"/>
  <c r="I296" i="13"/>
  <c r="I164" i="13"/>
  <c r="I266" i="13"/>
  <c r="I202" i="13"/>
  <c r="I276" i="13"/>
  <c r="I245" i="13"/>
  <c r="I171" i="13"/>
  <c r="I242" i="13"/>
  <c r="I227" i="13"/>
  <c r="I268" i="13"/>
  <c r="I144" i="13"/>
  <c r="I257" i="13"/>
  <c r="I193" i="13"/>
  <c r="I295" i="13"/>
  <c r="I163" i="13"/>
  <c r="I208" i="13"/>
  <c r="I286" i="13"/>
  <c r="I222" i="13"/>
  <c r="I158" i="13"/>
  <c r="I165" i="13"/>
  <c r="I243" i="13"/>
  <c r="I265" i="13"/>
  <c r="I224" i="13"/>
  <c r="I292" i="13"/>
  <c r="I205" i="13"/>
  <c r="I200" i="13"/>
  <c r="I203" i="13"/>
  <c r="I290" i="13"/>
  <c r="I176" i="13"/>
  <c r="I145" i="13"/>
  <c r="I238" i="13"/>
  <c r="I143" i="13"/>
  <c r="BE318" i="11"/>
  <c r="BE254" i="11"/>
  <c r="BE295" i="11"/>
  <c r="BE182" i="11"/>
  <c r="BE174" i="11"/>
  <c r="BE166" i="11"/>
  <c r="BE211" i="11"/>
  <c r="BE183" i="11"/>
  <c r="BE175" i="11"/>
  <c r="BE167" i="11"/>
  <c r="BE305" i="11"/>
  <c r="BE316" i="11"/>
  <c r="BE289" i="11"/>
  <c r="BE281" i="11"/>
  <c r="BE273" i="11"/>
  <c r="BE265" i="11"/>
  <c r="BE257" i="11"/>
  <c r="BE249" i="11"/>
  <c r="BE241" i="11"/>
  <c r="BE233" i="11"/>
  <c r="BE225" i="11"/>
  <c r="BE217" i="11"/>
  <c r="BE162" i="11"/>
  <c r="BE301" i="11"/>
  <c r="BE163" i="11"/>
  <c r="BE302" i="11"/>
  <c r="BE278" i="11"/>
  <c r="BE262" i="11"/>
  <c r="BE230" i="11"/>
  <c r="BE306" i="11"/>
  <c r="BE176" i="11"/>
  <c r="BE168" i="11"/>
  <c r="BE160" i="11"/>
  <c r="BE307" i="11"/>
  <c r="BE286" i="11"/>
  <c r="BE274" i="11"/>
  <c r="BE258" i="11"/>
  <c r="BE246" i="11"/>
  <c r="BE226" i="11"/>
  <c r="BE158" i="11"/>
  <c r="BE178" i="11"/>
  <c r="BE170" i="11"/>
  <c r="BE151" i="11"/>
  <c r="BE203" i="11"/>
  <c r="BE195" i="11"/>
  <c r="BE317" i="11"/>
  <c r="BE298" i="11"/>
  <c r="BE312" i="11"/>
  <c r="BE184" i="11"/>
  <c r="BE215" i="11"/>
  <c r="BE146" i="11"/>
  <c r="BE192" i="11"/>
  <c r="BE171" i="11"/>
  <c r="BE204" i="11"/>
  <c r="BE196" i="11"/>
  <c r="BE296" i="11"/>
  <c r="BE188" i="11"/>
  <c r="BE177" i="11"/>
  <c r="BE169" i="11"/>
  <c r="BE202" i="11"/>
  <c r="BE164" i="11"/>
  <c r="BE186" i="11"/>
  <c r="BE290" i="11"/>
  <c r="BE250" i="11"/>
  <c r="BE191" i="11"/>
  <c r="BE303" i="11"/>
  <c r="BE288" i="11"/>
  <c r="BE280" i="11"/>
  <c r="BE272" i="11"/>
  <c r="BE264" i="11"/>
  <c r="BE256" i="11"/>
  <c r="BE248" i="11"/>
  <c r="BE240" i="11"/>
  <c r="BE232" i="11"/>
  <c r="BE224" i="11"/>
  <c r="BE216" i="11"/>
  <c r="BE154" i="11"/>
  <c r="BE299" i="11"/>
  <c r="BE193" i="11"/>
  <c r="BE205" i="11"/>
  <c r="BE197" i="11"/>
  <c r="BE310" i="11"/>
  <c r="BE214" i="11"/>
  <c r="BE145" i="11"/>
  <c r="BE287" i="11"/>
  <c r="BE279" i="11"/>
  <c r="BE271" i="11"/>
  <c r="BE263" i="11"/>
  <c r="BE255" i="11"/>
  <c r="BE247" i="11"/>
  <c r="BE239" i="11"/>
  <c r="BE231" i="11"/>
  <c r="BE223" i="11"/>
  <c r="BE297" i="11"/>
  <c r="BE179" i="11"/>
  <c r="BE155" i="11"/>
  <c r="BE313" i="11"/>
  <c r="BE308" i="11"/>
  <c r="BE293" i="11"/>
  <c r="BE285" i="11"/>
  <c r="BE277" i="11"/>
  <c r="BE269" i="11"/>
  <c r="BE261" i="11"/>
  <c r="BE253" i="11"/>
  <c r="BE245" i="11"/>
  <c r="BE237" i="11"/>
  <c r="BE229" i="11"/>
  <c r="BE221" i="11"/>
  <c r="BE213" i="11"/>
  <c r="BE149" i="11"/>
  <c r="BE189" i="11"/>
  <c r="BE147" i="11"/>
  <c r="BE270" i="11"/>
  <c r="BE238" i="11"/>
  <c r="BE222" i="11"/>
  <c r="BE314" i="11"/>
  <c r="BE157" i="11"/>
  <c r="BE180" i="11"/>
  <c r="BE172" i="11"/>
  <c r="BE159" i="11"/>
  <c r="BE144" i="11"/>
  <c r="BE315" i="11"/>
  <c r="BE150" i="11"/>
  <c r="BE282" i="11"/>
  <c r="BE266" i="11"/>
  <c r="BE234" i="11"/>
  <c r="BE218" i="11"/>
  <c r="BE207" i="11"/>
  <c r="BE291" i="11"/>
  <c r="BE283" i="11"/>
  <c r="BE275" i="11"/>
  <c r="BE267" i="11"/>
  <c r="BE259" i="11"/>
  <c r="BE251" i="11"/>
  <c r="BE243" i="11"/>
  <c r="BE235" i="11"/>
  <c r="BE227" i="11"/>
  <c r="BE219" i="11"/>
  <c r="BE156" i="11"/>
  <c r="BE294" i="11"/>
  <c r="BE198" i="11"/>
  <c r="BE148" i="11"/>
  <c r="BE187" i="11"/>
  <c r="BE201" i="11"/>
  <c r="BE173" i="11"/>
  <c r="BE210" i="11"/>
  <c r="BE300" i="11"/>
  <c r="BE284" i="11"/>
  <c r="BE260" i="11"/>
  <c r="BE236" i="11"/>
  <c r="BE212" i="11"/>
  <c r="BE143" i="11"/>
  <c r="BE304" i="11"/>
  <c r="BE200" i="11"/>
  <c r="BE181" i="11"/>
  <c r="BE206" i="11"/>
  <c r="BE161" i="11"/>
  <c r="BE209" i="11"/>
  <c r="BE165" i="11"/>
  <c r="BE199" i="11"/>
  <c r="BE185" i="11"/>
  <c r="BE242" i="11"/>
  <c r="BE311" i="11"/>
  <c r="BE276" i="11"/>
  <c r="BE268" i="11"/>
  <c r="BE244" i="11"/>
  <c r="BE228" i="11"/>
  <c r="BE152" i="11"/>
  <c r="BE309" i="11"/>
  <c r="BE153" i="11"/>
  <c r="BE208" i="11"/>
  <c r="BE194" i="11"/>
  <c r="BE190" i="11"/>
  <c r="BE292" i="11"/>
  <c r="BE252" i="11"/>
  <c r="BE220" i="11"/>
  <c r="AC264" i="12"/>
  <c r="AC246" i="12"/>
  <c r="AC285" i="12"/>
  <c r="AC183" i="12"/>
  <c r="AC310" i="12"/>
  <c r="AC172" i="12"/>
  <c r="AC215" i="12"/>
  <c r="AC289" i="12"/>
  <c r="AC230" i="12"/>
  <c r="AC204" i="12"/>
  <c r="AC279" i="12"/>
  <c r="AC224" i="12"/>
  <c r="AC281" i="12"/>
  <c r="AC149" i="12"/>
  <c r="AC258" i="12"/>
  <c r="AC194" i="12"/>
  <c r="AC292" i="12"/>
  <c r="AC164" i="12"/>
  <c r="AC209" i="12"/>
  <c r="AC291" i="12"/>
  <c r="AC227" i="12"/>
  <c r="AC163" i="12"/>
  <c r="AC304" i="12"/>
  <c r="AC176" i="12"/>
  <c r="AC237" i="12"/>
  <c r="AC298" i="12"/>
  <c r="AC234" i="12"/>
  <c r="AC170" i="12"/>
  <c r="AC244" i="12"/>
  <c r="AC293" i="12"/>
  <c r="AC165" i="12"/>
  <c r="AC267" i="12"/>
  <c r="AC203" i="12"/>
  <c r="V139" i="12"/>
  <c r="AC248" i="12"/>
  <c r="AC305" i="12"/>
  <c r="AC177" i="12"/>
  <c r="AC270" i="12"/>
  <c r="AC206" i="12"/>
  <c r="AC316" i="12"/>
  <c r="AC188" i="12"/>
  <c r="AC233" i="12"/>
  <c r="AC303" i="12"/>
  <c r="AC239" i="12"/>
  <c r="AC175" i="12"/>
  <c r="AC296" i="12"/>
  <c r="AC262" i="12"/>
  <c r="AC249" i="12"/>
  <c r="AC167" i="12"/>
  <c r="AC261" i="12"/>
  <c r="AC214" i="12"/>
  <c r="AC317" i="12"/>
  <c r="AC192" i="12"/>
  <c r="AC242" i="12"/>
  <c r="AC178" i="12"/>
  <c r="AC260" i="12"/>
  <c r="AC275" i="12"/>
  <c r="AC211" i="12"/>
  <c r="AC147" i="12"/>
  <c r="AC144" i="12"/>
  <c r="AC282" i="12"/>
  <c r="AC154" i="12"/>
  <c r="AC257" i="12"/>
  <c r="AC187" i="12"/>
  <c r="AC294" i="12"/>
  <c r="AC236" i="12"/>
  <c r="AC231" i="12"/>
  <c r="AC197" i="12"/>
  <c r="AC300" i="12"/>
  <c r="AC263" i="12"/>
  <c r="AC232" i="12"/>
  <c r="AC278" i="12"/>
  <c r="AC268" i="12"/>
  <c r="AC161" i="12"/>
  <c r="AC151" i="12"/>
  <c r="AC256" i="12"/>
  <c r="AC313" i="12"/>
  <c r="AC185" i="12"/>
  <c r="AC274" i="12"/>
  <c r="AC210" i="12"/>
  <c r="AC146" i="12"/>
  <c r="AC196" i="12"/>
  <c r="AC241" i="12"/>
  <c r="AC307" i="12"/>
  <c r="AC243" i="12"/>
  <c r="AC179" i="12"/>
  <c r="AC208" i="12"/>
  <c r="AC269" i="12"/>
  <c r="AC314" i="12"/>
  <c r="AC250" i="12"/>
  <c r="AC186" i="12"/>
  <c r="AC276" i="12"/>
  <c r="AC148" i="12"/>
  <c r="AC193" i="12"/>
  <c r="AC283" i="12"/>
  <c r="AC219" i="12"/>
  <c r="AC155" i="12"/>
  <c r="AC280" i="12"/>
  <c r="AC152" i="12"/>
  <c r="AC213" i="12"/>
  <c r="AC286" i="12"/>
  <c r="AC222" i="12"/>
  <c r="AC158" i="12"/>
  <c r="AC220" i="12"/>
  <c r="AC265" i="12"/>
  <c r="AC145" i="12"/>
  <c r="AC255" i="12"/>
  <c r="AC191" i="12"/>
  <c r="AC168" i="12"/>
  <c r="AC189" i="12"/>
  <c r="AC306" i="12"/>
  <c r="AC181" i="12"/>
  <c r="AC272" i="12"/>
  <c r="AC205" i="12"/>
  <c r="AC218" i="12"/>
  <c r="AC212" i="12"/>
  <c r="AC315" i="12"/>
  <c r="AC229" i="12"/>
  <c r="AC150" i="12"/>
  <c r="AC295" i="12"/>
  <c r="AC200" i="12"/>
  <c r="AC198" i="12"/>
  <c r="AC311" i="12"/>
  <c r="AC157" i="12"/>
  <c r="AC166" i="12"/>
  <c r="AC217" i="12"/>
  <c r="AC199" i="12"/>
  <c r="AC288" i="12"/>
  <c r="AC160" i="12"/>
  <c r="AC221" i="12"/>
  <c r="AC290" i="12"/>
  <c r="AC226" i="12"/>
  <c r="AC162" i="12"/>
  <c r="AC228" i="12"/>
  <c r="AC273" i="12"/>
  <c r="AC153" i="12"/>
  <c r="AC259" i="12"/>
  <c r="AC195" i="12"/>
  <c r="AC240" i="12"/>
  <c r="AC297" i="12"/>
  <c r="AC169" i="12"/>
  <c r="AC266" i="12"/>
  <c r="AC202" i="12"/>
  <c r="AC308" i="12"/>
  <c r="AC180" i="12"/>
  <c r="AC225" i="12"/>
  <c r="AC299" i="12"/>
  <c r="AC235" i="12"/>
  <c r="AC171" i="12"/>
  <c r="AC312" i="12"/>
  <c r="AC184" i="12"/>
  <c r="AC245" i="12"/>
  <c r="AC302" i="12"/>
  <c r="AC238" i="12"/>
  <c r="AC174" i="12"/>
  <c r="AC252" i="12"/>
  <c r="AC301" i="12"/>
  <c r="AC173" i="12"/>
  <c r="AC271" i="12"/>
  <c r="AC207" i="12"/>
  <c r="AC182" i="12"/>
  <c r="AC247" i="12"/>
  <c r="AC253" i="12"/>
  <c r="AC309" i="12"/>
  <c r="AC251" i="12"/>
  <c r="AC216" i="12"/>
  <c r="AC190" i="12"/>
  <c r="AC287" i="12"/>
  <c r="AC254" i="12"/>
  <c r="AC201" i="12"/>
  <c r="AC318" i="12"/>
  <c r="AC156" i="12"/>
  <c r="AC159" i="12"/>
  <c r="AC277" i="12"/>
  <c r="AC284" i="12"/>
  <c r="AC223" i="12"/>
  <c r="AC143" i="12"/>
  <c r="I317" i="10"/>
  <c r="I293" i="10"/>
  <c r="I297" i="10"/>
  <c r="I302" i="10"/>
  <c r="I306" i="10"/>
  <c r="I310" i="10"/>
  <c r="I314" i="10"/>
  <c r="I169" i="10"/>
  <c r="I173" i="10"/>
  <c r="I177" i="10"/>
  <c r="I181" i="10"/>
  <c r="I185" i="10"/>
  <c r="I189" i="10"/>
  <c r="I193" i="10"/>
  <c r="I197" i="10"/>
  <c r="I201" i="10"/>
  <c r="I205" i="10"/>
  <c r="I209" i="10"/>
  <c r="I213" i="10"/>
  <c r="I217" i="10"/>
  <c r="I221" i="10"/>
  <c r="I225" i="10"/>
  <c r="I229" i="10"/>
  <c r="I233" i="10"/>
  <c r="I237" i="10"/>
  <c r="I241" i="10"/>
  <c r="I245" i="10"/>
  <c r="I249" i="10"/>
  <c r="I253" i="10"/>
  <c r="I257" i="10"/>
  <c r="I261" i="10"/>
  <c r="I265" i="10"/>
  <c r="I269" i="10"/>
  <c r="I273" i="10"/>
  <c r="I277" i="10"/>
  <c r="I281" i="10"/>
  <c r="I285" i="10"/>
  <c r="I289" i="10"/>
  <c r="I143" i="10"/>
  <c r="I300" i="10"/>
  <c r="I292" i="10"/>
  <c r="I296" i="10"/>
  <c r="I301" i="10"/>
  <c r="I305" i="10"/>
  <c r="I309" i="10"/>
  <c r="I313" i="10"/>
  <c r="I291" i="10"/>
  <c r="I295" i="10"/>
  <c r="I299" i="10"/>
  <c r="I304" i="10"/>
  <c r="I308" i="10"/>
  <c r="I312" i="10"/>
  <c r="I316" i="10"/>
  <c r="I167" i="10"/>
  <c r="I171" i="10"/>
  <c r="I175" i="10"/>
  <c r="I179" i="10"/>
  <c r="I183" i="10"/>
  <c r="I187" i="10"/>
  <c r="I191" i="10"/>
  <c r="I195" i="10"/>
  <c r="I199" i="10"/>
  <c r="I203" i="10"/>
  <c r="I207" i="10"/>
  <c r="I211" i="10"/>
  <c r="I215" i="10"/>
  <c r="I219" i="10"/>
  <c r="I223" i="10"/>
  <c r="I227" i="10"/>
  <c r="I231" i="10"/>
  <c r="I235" i="10"/>
  <c r="I239" i="10"/>
  <c r="I243" i="10"/>
  <c r="I247" i="10"/>
  <c r="I251" i="10"/>
  <c r="I255" i="10"/>
  <c r="I259" i="10"/>
  <c r="I263" i="10"/>
  <c r="I267" i="10"/>
  <c r="I271" i="10"/>
  <c r="I275" i="10"/>
  <c r="I279" i="10"/>
  <c r="I283" i="10"/>
  <c r="I287" i="10"/>
  <c r="I298" i="10"/>
  <c r="I315" i="10"/>
  <c r="I168" i="10"/>
  <c r="I176" i="10"/>
  <c r="I184" i="10"/>
  <c r="I192" i="10"/>
  <c r="I200" i="10"/>
  <c r="I208" i="10"/>
  <c r="I216" i="10"/>
  <c r="I224" i="10"/>
  <c r="I232" i="10"/>
  <c r="I240" i="10"/>
  <c r="I248" i="10"/>
  <c r="I256" i="10"/>
  <c r="I264" i="10"/>
  <c r="I272" i="10"/>
  <c r="I280" i="10"/>
  <c r="I288" i="10"/>
  <c r="I303" i="10"/>
  <c r="I170" i="10"/>
  <c r="I194" i="10"/>
  <c r="I218" i="10"/>
  <c r="I242" i="10"/>
  <c r="I266" i="10"/>
  <c r="I290" i="10"/>
  <c r="I294" i="10"/>
  <c r="I311" i="10"/>
  <c r="I166" i="10"/>
  <c r="I174" i="10"/>
  <c r="I182" i="10"/>
  <c r="I190" i="10"/>
  <c r="I198" i="10"/>
  <c r="I206" i="10"/>
  <c r="I214" i="10"/>
  <c r="I222" i="10"/>
  <c r="I230" i="10"/>
  <c r="I238" i="10"/>
  <c r="I246" i="10"/>
  <c r="I254" i="10"/>
  <c r="I262" i="10"/>
  <c r="I270" i="10"/>
  <c r="I278" i="10"/>
  <c r="I286" i="10"/>
  <c r="I186" i="10"/>
  <c r="I210" i="10"/>
  <c r="I234" i="10"/>
  <c r="I258" i="10"/>
  <c r="I282" i="10"/>
  <c r="I318" i="10"/>
  <c r="I307" i="10"/>
  <c r="I172" i="10"/>
  <c r="I180" i="10"/>
  <c r="I188" i="10"/>
  <c r="I196" i="10"/>
  <c r="I204" i="10"/>
  <c r="I212" i="10"/>
  <c r="I220" i="10"/>
  <c r="I228" i="10"/>
  <c r="I236" i="10"/>
  <c r="I244" i="10"/>
  <c r="I252" i="10"/>
  <c r="I260" i="10"/>
  <c r="I268" i="10"/>
  <c r="I276" i="10"/>
  <c r="I284" i="10"/>
  <c r="I178" i="10"/>
  <c r="I202" i="10"/>
  <c r="I226" i="10"/>
  <c r="I250" i="10"/>
  <c r="I274" i="10"/>
  <c r="I155" i="10"/>
  <c r="I160" i="10"/>
  <c r="I151" i="10"/>
  <c r="I148" i="10"/>
  <c r="I161" i="10"/>
  <c r="I150" i="10"/>
  <c r="I146" i="10"/>
  <c r="I165" i="10"/>
  <c r="I152" i="10"/>
  <c r="I164" i="10"/>
  <c r="I162" i="10"/>
  <c r="I156" i="10"/>
  <c r="I163" i="10"/>
  <c r="I154" i="10"/>
  <c r="I149" i="10"/>
  <c r="I159" i="10"/>
  <c r="I147" i="10"/>
  <c r="I157" i="10"/>
  <c r="I144" i="10"/>
  <c r="I153" i="10"/>
  <c r="I145" i="10"/>
  <c r="I158" i="10"/>
  <c r="B139" i="10"/>
  <c r="M165" i="10"/>
  <c r="M187" i="10"/>
  <c r="M186" i="10"/>
  <c r="M184" i="10"/>
  <c r="M182" i="10"/>
  <c r="M180" i="10"/>
  <c r="M178" i="10"/>
  <c r="M176" i="10"/>
  <c r="M174" i="10"/>
  <c r="M172" i="10"/>
  <c r="M170" i="10"/>
  <c r="M168" i="10"/>
  <c r="M166" i="10"/>
  <c r="M181" i="10"/>
  <c r="M173" i="10"/>
  <c r="M163" i="10"/>
  <c r="M161" i="10"/>
  <c r="M159" i="10"/>
  <c r="M157" i="10"/>
  <c r="M155" i="10"/>
  <c r="M153" i="10"/>
  <c r="M151" i="10"/>
  <c r="M149" i="10"/>
  <c r="M147" i="10"/>
  <c r="M145" i="10"/>
  <c r="M179" i="10"/>
  <c r="M171" i="10"/>
  <c r="M185" i="10"/>
  <c r="M177" i="10"/>
  <c r="M169" i="10"/>
  <c r="M164" i="10"/>
  <c r="M162" i="10"/>
  <c r="M160" i="10"/>
  <c r="M158" i="10"/>
  <c r="M156" i="10"/>
  <c r="M154" i="10"/>
  <c r="M152" i="10"/>
  <c r="M150" i="10"/>
  <c r="M148" i="10"/>
  <c r="M146" i="10"/>
  <c r="M144" i="10"/>
  <c r="M183" i="10"/>
  <c r="M175" i="10"/>
  <c r="M167" i="10"/>
  <c r="M198" i="10"/>
  <c r="M214" i="10"/>
  <c r="M230" i="10"/>
  <c r="M246" i="10"/>
  <c r="M257" i="10"/>
  <c r="M265" i="10"/>
  <c r="M273" i="10"/>
  <c r="M281" i="10"/>
  <c r="M289" i="10"/>
  <c r="M297" i="10"/>
  <c r="M305" i="10"/>
  <c r="M197" i="10"/>
  <c r="M237" i="10"/>
  <c r="M204" i="10"/>
  <c r="M236" i="10"/>
  <c r="M260" i="10"/>
  <c r="M284" i="10"/>
  <c r="M294" i="10"/>
  <c r="M310" i="10"/>
  <c r="M199" i="10"/>
  <c r="M215" i="10"/>
  <c r="M231" i="10"/>
  <c r="M247" i="10"/>
  <c r="M209" i="10"/>
  <c r="M233" i="10"/>
  <c r="M200" i="10"/>
  <c r="M232" i="10"/>
  <c r="M258" i="10"/>
  <c r="M270" i="10"/>
  <c r="M282" i="10"/>
  <c r="M304" i="10"/>
  <c r="M314" i="10"/>
  <c r="M318" i="10"/>
  <c r="M194" i="10"/>
  <c r="M210" i="10"/>
  <c r="M226" i="10"/>
  <c r="M242" i="10"/>
  <c r="M255" i="10"/>
  <c r="M263" i="10"/>
  <c r="M271" i="10"/>
  <c r="M279" i="10"/>
  <c r="M287" i="10"/>
  <c r="M295" i="10"/>
  <c r="M303" i="10"/>
  <c r="M189" i="10"/>
  <c r="M221" i="10"/>
  <c r="M196" i="10"/>
  <c r="M228" i="10"/>
  <c r="M256" i="10"/>
  <c r="M276" i="10"/>
  <c r="M290" i="10"/>
  <c r="M308" i="10"/>
  <c r="M195" i="10"/>
  <c r="M211" i="10"/>
  <c r="M227" i="10"/>
  <c r="M243" i="10"/>
  <c r="M201" i="10"/>
  <c r="M229" i="10"/>
  <c r="M192" i="10"/>
  <c r="M224" i="10"/>
  <c r="M254" i="10"/>
  <c r="M268" i="10"/>
  <c r="M280" i="10"/>
  <c r="M300" i="10"/>
  <c r="M313" i="10"/>
  <c r="M317" i="10"/>
  <c r="M190" i="10"/>
  <c r="M206" i="10"/>
  <c r="M222" i="10"/>
  <c r="M238" i="10"/>
  <c r="M253" i="10"/>
  <c r="M261" i="10"/>
  <c r="M269" i="10"/>
  <c r="M277" i="10"/>
  <c r="M285" i="10"/>
  <c r="M293" i="10"/>
  <c r="M301" i="10"/>
  <c r="M309" i="10"/>
  <c r="M213" i="10"/>
  <c r="M188" i="10"/>
  <c r="M220" i="10"/>
  <c r="M248" i="10"/>
  <c r="M272" i="10"/>
  <c r="M288" i="10"/>
  <c r="M302" i="10"/>
  <c r="M191" i="10"/>
  <c r="M207" i="10"/>
  <c r="M223" i="10"/>
  <c r="M239" i="10"/>
  <c r="M193" i="10"/>
  <c r="M225" i="10"/>
  <c r="M249" i="10"/>
  <c r="M216" i="10"/>
  <c r="M252" i="10"/>
  <c r="M266" i="10"/>
  <c r="M278" i="10"/>
  <c r="M296" i="10"/>
  <c r="M312" i="10"/>
  <c r="M316" i="10"/>
  <c r="M250" i="10"/>
  <c r="M283" i="10"/>
  <c r="M205" i="10"/>
  <c r="M262" i="10"/>
  <c r="M203" i="10"/>
  <c r="M217" i="10"/>
  <c r="M264" i="10"/>
  <c r="M315" i="10"/>
  <c r="M291" i="10"/>
  <c r="M219" i="10"/>
  <c r="M143" i="10"/>
  <c r="M234" i="10"/>
  <c r="M275" i="10"/>
  <c r="M307" i="10"/>
  <c r="M244" i="10"/>
  <c r="M311" i="10"/>
  <c r="M251" i="10"/>
  <c r="M240" i="10"/>
  <c r="M306" i="10"/>
  <c r="M202" i="10"/>
  <c r="M286" i="10"/>
  <c r="M274" i="10"/>
  <c r="M218" i="10"/>
  <c r="M267" i="10"/>
  <c r="M299" i="10"/>
  <c r="M208" i="10"/>
  <c r="M298" i="10"/>
  <c r="M235" i="10"/>
  <c r="M212" i="10"/>
  <c r="M292" i="10"/>
  <c r="M259" i="10"/>
  <c r="M245" i="10"/>
  <c r="M241" i="10"/>
  <c r="F142" i="12"/>
  <c r="D142" i="12"/>
  <c r="E143" i="12"/>
  <c r="I318" i="11"/>
  <c r="I304" i="11"/>
  <c r="I300" i="11"/>
  <c r="I296" i="11"/>
  <c r="I292" i="11"/>
  <c r="I288" i="11"/>
  <c r="I284" i="11"/>
  <c r="I280" i="11"/>
  <c r="I276" i="11"/>
  <c r="I272" i="11"/>
  <c r="I268" i="11"/>
  <c r="I264" i="11"/>
  <c r="I260" i="11"/>
  <c r="I256" i="11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I314" i="11"/>
  <c r="I309" i="11"/>
  <c r="I308" i="11"/>
  <c r="I310" i="11"/>
  <c r="I305" i="11"/>
  <c r="I301" i="11"/>
  <c r="I297" i="11"/>
  <c r="I293" i="11"/>
  <c r="I289" i="11"/>
  <c r="I285" i="11"/>
  <c r="I281" i="11"/>
  <c r="I277" i="11"/>
  <c r="I273" i="11"/>
  <c r="I269" i="11"/>
  <c r="I265" i="11"/>
  <c r="I261" i="11"/>
  <c r="I257" i="11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5" i="11"/>
  <c r="I315" i="11"/>
  <c r="I311" i="11"/>
  <c r="I316" i="11"/>
  <c r="I306" i="11"/>
  <c r="I302" i="11"/>
  <c r="I298" i="11"/>
  <c r="I294" i="11"/>
  <c r="I290" i="11"/>
  <c r="I286" i="11"/>
  <c r="I282" i="11"/>
  <c r="I278" i="11"/>
  <c r="I274" i="11"/>
  <c r="I270" i="11"/>
  <c r="I266" i="11"/>
  <c r="I262" i="11"/>
  <c r="I258" i="11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I186" i="11"/>
  <c r="I143" i="11"/>
  <c r="I312" i="11"/>
  <c r="I307" i="11"/>
  <c r="I291" i="11"/>
  <c r="I275" i="11"/>
  <c r="I259" i="11"/>
  <c r="I243" i="11"/>
  <c r="I227" i="11"/>
  <c r="I211" i="11"/>
  <c r="I195" i="11"/>
  <c r="I313" i="11"/>
  <c r="I303" i="11"/>
  <c r="I255" i="11"/>
  <c r="I207" i="11"/>
  <c r="I317" i="11"/>
  <c r="I295" i="11"/>
  <c r="I279" i="11"/>
  <c r="I263" i="11"/>
  <c r="I247" i="11"/>
  <c r="I231" i="11"/>
  <c r="I215" i="11"/>
  <c r="I199" i="11"/>
  <c r="I287" i="11"/>
  <c r="I223" i="11"/>
  <c r="I299" i="11"/>
  <c r="I283" i="11"/>
  <c r="I267" i="11"/>
  <c r="I251" i="11"/>
  <c r="I235" i="11"/>
  <c r="I219" i="11"/>
  <c r="I203" i="11"/>
  <c r="I187" i="11"/>
  <c r="I271" i="11"/>
  <c r="I239" i="11"/>
  <c r="I191" i="11"/>
  <c r="I155" i="11"/>
  <c r="I169" i="11"/>
  <c r="I164" i="11"/>
  <c r="I160" i="11"/>
  <c r="I144" i="11"/>
  <c r="I157" i="11"/>
  <c r="I171" i="11"/>
  <c r="I145" i="11"/>
  <c r="I161" i="11"/>
  <c r="I178" i="11"/>
  <c r="I152" i="11"/>
  <c r="I184" i="11"/>
  <c r="I151" i="11"/>
  <c r="I147" i="11"/>
  <c r="I176" i="11"/>
  <c r="I154" i="11"/>
  <c r="I166" i="11"/>
  <c r="I182" i="11"/>
  <c r="I158" i="11"/>
  <c r="I175" i="11"/>
  <c r="I181" i="11"/>
  <c r="I148" i="11"/>
  <c r="I180" i="11"/>
  <c r="I159" i="11"/>
  <c r="I173" i="11"/>
  <c r="I149" i="11"/>
  <c r="I165" i="11"/>
  <c r="I179" i="11"/>
  <c r="I153" i="11"/>
  <c r="I170" i="11"/>
  <c r="I156" i="11"/>
  <c r="I174" i="11"/>
  <c r="I177" i="11"/>
  <c r="I150" i="11"/>
  <c r="I168" i="11"/>
  <c r="I162" i="11"/>
  <c r="I183" i="11"/>
  <c r="I163" i="11"/>
  <c r="I146" i="11"/>
  <c r="I167" i="11"/>
  <c r="I172" i="11"/>
  <c r="B139" i="11"/>
  <c r="AC296" i="10"/>
  <c r="N10" i="49"/>
  <c r="M10" i="49"/>
  <c r="F154" i="14"/>
  <c r="F161" i="14" s="1"/>
  <c r="G161" i="14" s="1"/>
  <c r="H161" i="14" s="1"/>
  <c r="F156" i="14"/>
  <c r="F163" i="14" s="1"/>
  <c r="G163" i="14" s="1"/>
  <c r="H163" i="14" s="1"/>
  <c r="D154" i="14"/>
  <c r="D157" i="14"/>
  <c r="D164" i="14" s="1"/>
  <c r="D155" i="14"/>
  <c r="D162" i="14" s="1"/>
  <c r="D156" i="14"/>
  <c r="D163" i="14" s="1"/>
  <c r="D158" i="14"/>
  <c r="D165" i="14" s="1"/>
  <c r="F157" i="14"/>
  <c r="F164" i="14" s="1"/>
  <c r="BO215" i="11"/>
  <c r="BO216" i="11"/>
  <c r="BO217" i="11"/>
  <c r="BO218" i="11"/>
  <c r="BO219" i="11"/>
  <c r="BO220" i="11"/>
  <c r="BO221" i="11"/>
  <c r="BO222" i="11"/>
  <c r="BO223" i="11"/>
  <c r="BO224" i="11"/>
  <c r="BO225" i="11"/>
  <c r="BO226" i="11"/>
  <c r="BO227" i="11"/>
  <c r="BO228" i="11"/>
  <c r="BO229" i="11"/>
  <c r="BO230" i="11"/>
  <c r="BO231" i="11"/>
  <c r="BO232" i="11"/>
  <c r="BO233" i="11"/>
  <c r="BO234" i="11"/>
  <c r="BO235" i="11"/>
  <c r="BO236" i="11"/>
  <c r="BO237" i="11"/>
  <c r="BO238" i="11"/>
  <c r="BO239" i="11"/>
  <c r="BO240" i="11"/>
  <c r="BO241" i="11"/>
  <c r="BO242" i="11"/>
  <c r="BO243" i="11"/>
  <c r="BO244" i="11"/>
  <c r="BO245" i="11"/>
  <c r="BO246" i="11"/>
  <c r="BO247" i="11"/>
  <c r="BO248" i="11"/>
  <c r="BO249" i="11"/>
  <c r="BO250" i="11"/>
  <c r="BO251" i="11"/>
  <c r="BO252" i="11"/>
  <c r="BO253" i="11"/>
  <c r="BO254" i="11"/>
  <c r="BO255" i="11"/>
  <c r="BO256" i="11"/>
  <c r="BO257" i="11"/>
  <c r="BO258" i="11"/>
  <c r="BO259" i="11"/>
  <c r="BO260" i="11"/>
  <c r="BO261" i="11"/>
  <c r="BO262" i="11"/>
  <c r="BO263" i="11"/>
  <c r="BO264" i="11"/>
  <c r="BO265" i="11"/>
  <c r="BO266" i="11"/>
  <c r="BO267" i="11"/>
  <c r="BO268" i="11"/>
  <c r="BO269" i="11"/>
  <c r="BO270" i="11"/>
  <c r="BO271" i="11"/>
  <c r="BO272" i="11"/>
  <c r="BO273" i="11"/>
  <c r="BO274" i="11"/>
  <c r="BO275" i="11"/>
  <c r="BO276" i="11"/>
  <c r="BO277" i="11"/>
  <c r="BO278" i="11"/>
  <c r="BO279" i="11"/>
  <c r="BO280" i="11"/>
  <c r="BO281" i="11"/>
  <c r="BO282" i="11"/>
  <c r="BO283" i="11"/>
  <c r="BO284" i="11"/>
  <c r="BO285" i="11"/>
  <c r="BO286" i="11"/>
  <c r="BO287" i="11"/>
  <c r="BO288" i="11"/>
  <c r="BO289" i="11"/>
  <c r="BO290" i="11"/>
  <c r="BO291" i="11"/>
  <c r="BO292" i="11"/>
  <c r="BO293" i="11"/>
  <c r="BO294" i="11"/>
  <c r="BO295" i="11"/>
  <c r="BO296" i="11"/>
  <c r="BO297" i="11"/>
  <c r="BO298" i="11"/>
  <c r="BO299" i="11"/>
  <c r="BO300" i="11"/>
  <c r="BO301" i="11"/>
  <c r="BO302" i="11"/>
  <c r="BO303" i="11"/>
  <c r="BO304" i="11"/>
  <c r="BO305" i="11"/>
  <c r="BO306" i="11"/>
  <c r="BO307" i="11"/>
  <c r="BO308" i="11"/>
  <c r="BO143" i="11"/>
  <c r="BO309" i="11"/>
  <c r="BO310" i="11"/>
  <c r="BO311" i="11"/>
  <c r="BO312" i="11"/>
  <c r="BO313" i="11"/>
  <c r="BO314" i="11"/>
  <c r="BO315" i="11"/>
  <c r="BO316" i="11"/>
  <c r="BO317" i="11"/>
  <c r="BO318" i="11"/>
  <c r="BO212" i="11"/>
  <c r="BO204" i="11"/>
  <c r="BO172" i="11"/>
  <c r="BO209" i="11"/>
  <c r="BO201" i="11"/>
  <c r="BO188" i="11"/>
  <c r="BO180" i="11"/>
  <c r="BO195" i="11"/>
  <c r="BO187" i="11"/>
  <c r="BO179" i="11"/>
  <c r="BO171" i="11"/>
  <c r="BO169" i="11"/>
  <c r="BO167" i="11"/>
  <c r="BO165" i="11"/>
  <c r="BO163" i="11"/>
  <c r="BO161" i="11"/>
  <c r="BO159" i="11"/>
  <c r="BO157" i="11"/>
  <c r="BO155" i="11"/>
  <c r="BO153" i="11"/>
  <c r="BO151" i="11"/>
  <c r="BO149" i="11"/>
  <c r="BO147" i="11"/>
  <c r="BO145" i="11"/>
  <c r="BO168" i="11"/>
  <c r="BO160" i="11"/>
  <c r="BO152" i="11"/>
  <c r="BO200" i="11"/>
  <c r="BO213" i="11"/>
  <c r="BO197" i="11"/>
  <c r="BO192" i="11"/>
  <c r="BO184" i="11"/>
  <c r="BO183" i="11"/>
  <c r="BO156" i="11"/>
  <c r="BO214" i="11"/>
  <c r="BO198" i="11"/>
  <c r="BO199" i="11"/>
  <c r="BO186" i="11"/>
  <c r="BO173" i="11"/>
  <c r="BO170" i="11"/>
  <c r="BO154" i="11"/>
  <c r="BO210" i="11"/>
  <c r="BO202" i="11"/>
  <c r="BO211" i="11"/>
  <c r="BO203" i="11"/>
  <c r="BO190" i="11"/>
  <c r="BO182" i="11"/>
  <c r="BO174" i="11"/>
  <c r="BO193" i="11"/>
  <c r="BO185" i="11"/>
  <c r="BO177" i="11"/>
  <c r="BO166" i="11"/>
  <c r="BO158" i="11"/>
  <c r="BO150" i="11"/>
  <c r="BO208" i="11"/>
  <c r="BO205" i="11"/>
  <c r="BO196" i="11"/>
  <c r="BO176" i="11"/>
  <c r="BO191" i="11"/>
  <c r="BO175" i="11"/>
  <c r="BO144" i="11"/>
  <c r="BO164" i="11"/>
  <c r="BO148" i="11"/>
  <c r="BO206" i="11"/>
  <c r="BO207" i="11"/>
  <c r="BO194" i="11"/>
  <c r="BO178" i="11"/>
  <c r="BO189" i="11"/>
  <c r="BO181" i="11"/>
  <c r="BO162" i="11"/>
  <c r="BO146" i="11"/>
  <c r="BK217" i="11"/>
  <c r="BK219" i="11"/>
  <c r="BK221" i="11"/>
  <c r="BK223" i="11"/>
  <c r="BK225" i="11"/>
  <c r="BK227" i="11"/>
  <c r="BK229" i="11"/>
  <c r="BK231" i="11"/>
  <c r="BK233" i="11"/>
  <c r="BK235" i="11"/>
  <c r="BK237" i="11"/>
  <c r="BK239" i="11"/>
  <c r="BK241" i="11"/>
  <c r="BK243" i="11"/>
  <c r="BK245" i="11"/>
  <c r="BK247" i="11"/>
  <c r="BK249" i="11"/>
  <c r="BK251" i="11"/>
  <c r="BK253" i="11"/>
  <c r="BK255" i="11"/>
  <c r="BK257" i="11"/>
  <c r="BK259" i="11"/>
  <c r="BK261" i="11"/>
  <c r="BK263" i="11"/>
  <c r="BK265" i="11"/>
  <c r="BK267" i="11"/>
  <c r="BK269" i="11"/>
  <c r="BK271" i="11"/>
  <c r="BK273" i="11"/>
  <c r="BK275" i="11"/>
  <c r="BK277" i="11"/>
  <c r="BK279" i="11"/>
  <c r="BK281" i="11"/>
  <c r="BK283" i="11"/>
  <c r="BK285" i="11"/>
  <c r="BK287" i="11"/>
  <c r="BK289" i="11"/>
  <c r="BK291" i="11"/>
  <c r="BK293" i="11"/>
  <c r="BK295" i="11"/>
  <c r="BK297" i="11"/>
  <c r="BK299" i="11"/>
  <c r="BK301" i="11"/>
  <c r="BK303" i="11"/>
  <c r="BK305" i="11"/>
  <c r="BK307" i="11"/>
  <c r="BK309" i="11"/>
  <c r="BK310" i="11"/>
  <c r="BK311" i="11"/>
  <c r="BK312" i="11"/>
  <c r="BK313" i="11"/>
  <c r="BK314" i="11"/>
  <c r="BK315" i="11"/>
  <c r="BK316" i="11"/>
  <c r="BK317" i="11"/>
  <c r="BK318" i="11"/>
  <c r="BK143" i="11"/>
  <c r="BK216" i="11"/>
  <c r="BK218" i="11"/>
  <c r="BK220" i="11"/>
  <c r="BK222" i="11"/>
  <c r="BK224" i="11"/>
  <c r="BK226" i="11"/>
  <c r="BK228" i="11"/>
  <c r="BK230" i="11"/>
  <c r="BK232" i="11"/>
  <c r="BK234" i="11"/>
  <c r="BK236" i="11"/>
  <c r="BK238" i="11"/>
  <c r="BK240" i="11"/>
  <c r="BK242" i="11"/>
  <c r="BK244" i="11"/>
  <c r="BK246" i="11"/>
  <c r="BK248" i="11"/>
  <c r="BK250" i="11"/>
  <c r="BK252" i="11"/>
  <c r="BK254" i="11"/>
  <c r="BK256" i="11"/>
  <c r="BK258" i="11"/>
  <c r="BK260" i="11"/>
  <c r="BK262" i="11"/>
  <c r="BK264" i="11"/>
  <c r="BK266" i="11"/>
  <c r="BK268" i="11"/>
  <c r="BK270" i="11"/>
  <c r="BK272" i="11"/>
  <c r="BK274" i="11"/>
  <c r="BK276" i="11"/>
  <c r="BK278" i="11"/>
  <c r="BK280" i="11"/>
  <c r="BK282" i="11"/>
  <c r="BK284" i="11"/>
  <c r="BK286" i="11"/>
  <c r="BK288" i="11"/>
  <c r="BK290" i="11"/>
  <c r="BK292" i="11"/>
  <c r="BK294" i="11"/>
  <c r="BK296" i="11"/>
  <c r="BK298" i="11"/>
  <c r="BK300" i="11"/>
  <c r="BK302" i="11"/>
  <c r="BK304" i="11"/>
  <c r="BK306" i="11"/>
  <c r="BK308" i="11"/>
  <c r="BK208" i="11"/>
  <c r="BK200" i="11"/>
  <c r="BK215" i="11"/>
  <c r="BK213" i="11"/>
  <c r="BK205" i="11"/>
  <c r="BK197" i="11"/>
  <c r="BK192" i="11"/>
  <c r="BK184" i="11"/>
  <c r="BK176" i="11"/>
  <c r="BK191" i="11"/>
  <c r="BK183" i="11"/>
  <c r="BK175" i="11"/>
  <c r="BK144" i="11"/>
  <c r="BK164" i="11"/>
  <c r="BK156" i="11"/>
  <c r="BK148" i="11"/>
  <c r="BK204" i="11"/>
  <c r="BK209" i="11"/>
  <c r="BK188" i="11"/>
  <c r="BK180" i="11"/>
  <c r="BK187" i="11"/>
  <c r="BK171" i="11"/>
  <c r="BK167" i="11"/>
  <c r="BK163" i="11"/>
  <c r="BK159" i="11"/>
  <c r="BK155" i="11"/>
  <c r="BK151" i="11"/>
  <c r="BK147" i="11"/>
  <c r="BK160" i="11"/>
  <c r="BK202" i="11"/>
  <c r="BK211" i="11"/>
  <c r="BK182" i="11"/>
  <c r="BK177" i="11"/>
  <c r="BK158" i="11"/>
  <c r="BK214" i="11"/>
  <c r="BK206" i="11"/>
  <c r="BK198" i="11"/>
  <c r="BK207" i="11"/>
  <c r="BK199" i="11"/>
  <c r="BK196" i="11"/>
  <c r="BK194" i="11"/>
  <c r="BK186" i="11"/>
  <c r="BK178" i="11"/>
  <c r="BK189" i="11"/>
  <c r="BK181" i="11"/>
  <c r="BK173" i="11"/>
  <c r="BK170" i="11"/>
  <c r="BK162" i="11"/>
  <c r="BK154" i="11"/>
  <c r="BK146" i="11"/>
  <c r="BK212" i="11"/>
  <c r="BK172" i="11"/>
  <c r="BK201" i="11"/>
  <c r="BK195" i="11"/>
  <c r="BK179" i="11"/>
  <c r="BK169" i="11"/>
  <c r="BK165" i="11"/>
  <c r="BK161" i="11"/>
  <c r="BK157" i="11"/>
  <c r="BK153" i="11"/>
  <c r="BK149" i="11"/>
  <c r="BK145" i="11"/>
  <c r="BK168" i="11"/>
  <c r="BK152" i="11"/>
  <c r="BK210" i="11"/>
  <c r="BK203" i="11"/>
  <c r="BK190" i="11"/>
  <c r="BK174" i="11"/>
  <c r="BK193" i="11"/>
  <c r="BK185" i="11"/>
  <c r="BK166" i="11"/>
  <c r="BK150" i="11"/>
  <c r="BK177" i="10"/>
  <c r="BK173" i="10"/>
  <c r="BK235" i="10"/>
  <c r="BK239" i="10"/>
  <c r="BK243" i="10"/>
  <c r="BK247" i="10"/>
  <c r="BK251" i="10"/>
  <c r="BK255" i="10"/>
  <c r="BK259" i="10"/>
  <c r="BK263" i="10"/>
  <c r="BK267" i="10"/>
  <c r="BK271" i="10"/>
  <c r="BK275" i="10"/>
  <c r="BK279" i="10"/>
  <c r="BK283" i="10"/>
  <c r="BK285" i="10"/>
  <c r="BK287" i="10"/>
  <c r="BK289" i="10"/>
  <c r="BK291" i="10"/>
  <c r="BK293" i="10"/>
  <c r="BK295" i="10"/>
  <c r="BK297" i="10"/>
  <c r="BK299" i="10"/>
  <c r="BK301" i="10"/>
  <c r="BK303" i="10"/>
  <c r="BK305" i="10"/>
  <c r="BK307" i="10"/>
  <c r="BK309" i="10"/>
  <c r="BK311" i="10"/>
  <c r="BK313" i="10"/>
  <c r="BK315" i="10"/>
  <c r="BK317" i="10"/>
  <c r="BK238" i="10"/>
  <c r="BK250" i="10"/>
  <c r="BK258" i="10"/>
  <c r="BK266" i="10"/>
  <c r="BK278" i="10"/>
  <c r="BK245" i="10"/>
  <c r="BK249" i="10"/>
  <c r="BK253" i="10"/>
  <c r="BK261" i="10"/>
  <c r="BK269" i="10"/>
  <c r="BK277" i="10"/>
  <c r="BK288" i="10"/>
  <c r="BK292" i="10"/>
  <c r="BK294" i="10"/>
  <c r="BK304" i="10"/>
  <c r="BK306" i="10"/>
  <c r="BK316" i="10"/>
  <c r="BK318" i="10"/>
  <c r="BK174" i="10"/>
  <c r="BK232" i="10"/>
  <c r="BK236" i="10"/>
  <c r="BK240" i="10"/>
  <c r="BK244" i="10"/>
  <c r="BK248" i="10"/>
  <c r="BK252" i="10"/>
  <c r="BK256" i="10"/>
  <c r="BK260" i="10"/>
  <c r="BK264" i="10"/>
  <c r="BK268" i="10"/>
  <c r="BK272" i="10"/>
  <c r="BK276" i="10"/>
  <c r="BK280" i="10"/>
  <c r="BK234" i="10"/>
  <c r="BK242" i="10"/>
  <c r="BK246" i="10"/>
  <c r="BK254" i="10"/>
  <c r="BK262" i="10"/>
  <c r="BK270" i="10"/>
  <c r="BK274" i="10"/>
  <c r="BK282" i="10"/>
  <c r="BK175" i="10"/>
  <c r="BK233" i="10"/>
  <c r="BK237" i="10"/>
  <c r="BK241" i="10"/>
  <c r="BK257" i="10"/>
  <c r="BK265" i="10"/>
  <c r="BK273" i="10"/>
  <c r="BK281" i="10"/>
  <c r="BK284" i="10"/>
  <c r="BK286" i="10"/>
  <c r="BK290" i="10"/>
  <c r="BK296" i="10"/>
  <c r="BK298" i="10"/>
  <c r="BK300" i="10"/>
  <c r="BK302" i="10"/>
  <c r="BK308" i="10"/>
  <c r="BK310" i="10"/>
  <c r="BK312" i="10"/>
  <c r="BK314" i="10"/>
  <c r="BK207" i="10"/>
  <c r="BK192" i="10"/>
  <c r="BK212" i="10"/>
  <c r="BK187" i="10"/>
  <c r="BK186" i="10"/>
  <c r="BK209" i="10"/>
  <c r="BK181" i="10"/>
  <c r="BK231" i="10"/>
  <c r="BK224" i="10"/>
  <c r="BK216" i="10"/>
  <c r="BK201" i="10"/>
  <c r="BK202" i="10"/>
  <c r="BK148" i="10"/>
  <c r="BK149" i="10"/>
  <c r="BK162" i="10"/>
  <c r="BK154" i="10"/>
  <c r="BK183" i="10"/>
  <c r="BK190" i="10"/>
  <c r="BK225" i="10"/>
  <c r="BK221" i="10"/>
  <c r="BK217" i="10"/>
  <c r="BK213" i="10"/>
  <c r="BK222" i="10"/>
  <c r="BK199" i="10"/>
  <c r="BK144" i="10"/>
  <c r="BK163" i="10"/>
  <c r="BK159" i="10"/>
  <c r="BK155" i="10"/>
  <c r="BK151" i="10"/>
  <c r="BK160" i="10"/>
  <c r="BK211" i="10"/>
  <c r="BK195" i="10"/>
  <c r="BK194" i="10"/>
  <c r="BK166" i="10"/>
  <c r="BK170" i="10"/>
  <c r="BK146" i="10"/>
  <c r="BK191" i="10"/>
  <c r="BK206" i="10"/>
  <c r="BK196" i="10"/>
  <c r="BK180" i="10"/>
  <c r="BK210" i="10"/>
  <c r="BK182" i="10"/>
  <c r="BK193" i="10"/>
  <c r="BK178" i="10"/>
  <c r="BK226" i="10"/>
  <c r="BK218" i="10"/>
  <c r="BK203" i="10"/>
  <c r="BK200" i="10"/>
  <c r="BK164" i="10"/>
  <c r="BK150" i="10"/>
  <c r="BK171" i="10"/>
  <c r="BK169" i="10"/>
  <c r="BK167" i="10"/>
  <c r="BK147" i="10"/>
  <c r="BK145" i="10"/>
  <c r="BK168" i="10"/>
  <c r="BK156" i="10"/>
  <c r="BK208" i="10"/>
  <c r="BK188" i="10"/>
  <c r="BK172" i="10"/>
  <c r="BK185" i="10"/>
  <c r="BK229" i="10"/>
  <c r="BK227" i="10"/>
  <c r="BK223" i="10"/>
  <c r="BK219" i="10"/>
  <c r="BK215" i="10"/>
  <c r="BK230" i="10"/>
  <c r="BK214" i="10"/>
  <c r="BK204" i="10"/>
  <c r="BK161" i="10"/>
  <c r="BK157" i="10"/>
  <c r="BK153" i="10"/>
  <c r="BK152" i="10"/>
  <c r="BK184" i="10"/>
  <c r="BK179" i="10"/>
  <c r="BK176" i="10"/>
  <c r="BK189" i="10"/>
  <c r="BK143" i="10"/>
  <c r="BK228" i="10"/>
  <c r="BK220" i="10"/>
  <c r="BK205" i="10"/>
  <c r="BK197" i="10"/>
  <c r="BK198" i="10"/>
  <c r="BK165" i="10"/>
  <c r="BK158" i="10"/>
  <c r="BO176" i="10"/>
  <c r="BO177" i="10"/>
  <c r="BO175" i="10"/>
  <c r="BO233" i="10"/>
  <c r="BO237" i="10"/>
  <c r="BO241" i="10"/>
  <c r="BO245" i="10"/>
  <c r="BO249" i="10"/>
  <c r="BO253" i="10"/>
  <c r="BO257" i="10"/>
  <c r="BO261" i="10"/>
  <c r="BO265" i="10"/>
  <c r="BO269" i="10"/>
  <c r="BO273" i="10"/>
  <c r="BO277" i="10"/>
  <c r="BO281" i="10"/>
  <c r="BO174" i="10"/>
  <c r="BO236" i="10"/>
  <c r="BO240" i="10"/>
  <c r="BO248" i="10"/>
  <c r="BO256" i="10"/>
  <c r="BO260" i="10"/>
  <c r="BO264" i="10"/>
  <c r="BO283" i="10"/>
  <c r="BO285" i="10"/>
  <c r="BO287" i="10"/>
  <c r="BO301" i="10"/>
  <c r="BO303" i="10"/>
  <c r="BO305" i="10"/>
  <c r="BO307" i="10"/>
  <c r="BO309" i="10"/>
  <c r="BO311" i="10"/>
  <c r="BO313" i="10"/>
  <c r="BO315" i="10"/>
  <c r="BO172" i="10"/>
  <c r="BO231" i="10"/>
  <c r="BO235" i="10"/>
  <c r="BO239" i="10"/>
  <c r="BO243" i="10"/>
  <c r="BO247" i="10"/>
  <c r="BO251" i="10"/>
  <c r="BO259" i="10"/>
  <c r="BO263" i="10"/>
  <c r="BO267" i="10"/>
  <c r="BO271" i="10"/>
  <c r="BO275" i="10"/>
  <c r="BO234" i="10"/>
  <c r="BO238" i="10"/>
  <c r="BO242" i="10"/>
  <c r="BO246" i="10"/>
  <c r="BO250" i="10"/>
  <c r="BO254" i="10"/>
  <c r="BO258" i="10"/>
  <c r="BO262" i="10"/>
  <c r="BO266" i="10"/>
  <c r="BO270" i="10"/>
  <c r="BO274" i="10"/>
  <c r="BO278" i="10"/>
  <c r="BO282" i="10"/>
  <c r="BO284" i="10"/>
  <c r="BO286" i="10"/>
  <c r="BO288" i="10"/>
  <c r="BO290" i="10"/>
  <c r="BO292" i="10"/>
  <c r="BO294" i="10"/>
  <c r="BO296" i="10"/>
  <c r="BO298" i="10"/>
  <c r="BO300" i="10"/>
  <c r="BO302" i="10"/>
  <c r="BO304" i="10"/>
  <c r="BO306" i="10"/>
  <c r="BO308" i="10"/>
  <c r="BO310" i="10"/>
  <c r="BO312" i="10"/>
  <c r="BO314" i="10"/>
  <c r="BO316" i="10"/>
  <c r="BO318" i="10"/>
  <c r="BO206" i="10"/>
  <c r="BO232" i="10"/>
  <c r="BO244" i="10"/>
  <c r="BO252" i="10"/>
  <c r="BO268" i="10"/>
  <c r="BO272" i="10"/>
  <c r="BO276" i="10"/>
  <c r="BO280" i="10"/>
  <c r="BO289" i="10"/>
  <c r="BO291" i="10"/>
  <c r="BO293" i="10"/>
  <c r="BO295" i="10"/>
  <c r="BO297" i="10"/>
  <c r="BO299" i="10"/>
  <c r="BO317" i="10"/>
  <c r="BO173" i="10"/>
  <c r="BO178" i="10"/>
  <c r="BO255" i="10"/>
  <c r="BO279" i="10"/>
  <c r="BO228" i="10"/>
  <c r="BO220" i="10"/>
  <c r="BO205" i="10"/>
  <c r="BO197" i="10"/>
  <c r="BO198" i="10"/>
  <c r="BO166" i="10"/>
  <c r="BO165" i="10"/>
  <c r="BO170" i="10"/>
  <c r="BO158" i="10"/>
  <c r="BO146" i="10"/>
  <c r="BO143" i="10"/>
  <c r="BO218" i="10"/>
  <c r="BO211" i="10"/>
  <c r="BO207" i="10"/>
  <c r="BO200" i="10"/>
  <c r="BO196" i="10"/>
  <c r="BO194" i="10"/>
  <c r="BO192" i="10"/>
  <c r="BO190" i="10"/>
  <c r="BO188" i="10"/>
  <c r="BO184" i="10"/>
  <c r="BO182" i="10"/>
  <c r="BO180" i="10"/>
  <c r="BO164" i="10"/>
  <c r="BO171" i="10"/>
  <c r="BO167" i="10"/>
  <c r="BO224" i="10"/>
  <c r="BO216" i="10"/>
  <c r="BO201" i="10"/>
  <c r="BO162" i="10"/>
  <c r="BO229" i="10"/>
  <c r="BO227" i="10"/>
  <c r="BO225" i="10"/>
  <c r="BO223" i="10"/>
  <c r="BO221" i="10"/>
  <c r="BO219" i="10"/>
  <c r="BO217" i="10"/>
  <c r="BO215" i="10"/>
  <c r="BO213" i="10"/>
  <c r="BO230" i="10"/>
  <c r="BO222" i="10"/>
  <c r="BO214" i="10"/>
  <c r="BO199" i="10"/>
  <c r="BO212" i="10"/>
  <c r="BO210" i="10"/>
  <c r="BO208" i="10"/>
  <c r="BO204" i="10"/>
  <c r="BO195" i="10"/>
  <c r="BO193" i="10"/>
  <c r="BO191" i="10"/>
  <c r="BO189" i="10"/>
  <c r="BO187" i="10"/>
  <c r="BO185" i="10"/>
  <c r="BO183" i="10"/>
  <c r="BO181" i="10"/>
  <c r="BO179" i="10"/>
  <c r="BO144" i="10"/>
  <c r="BO163" i="10"/>
  <c r="BO161" i="10"/>
  <c r="BO159" i="10"/>
  <c r="BO157" i="10"/>
  <c r="BO155" i="10"/>
  <c r="BO153" i="10"/>
  <c r="BO151" i="10"/>
  <c r="BO160" i="10"/>
  <c r="BO152" i="10"/>
  <c r="BO226" i="10"/>
  <c r="BO203" i="10"/>
  <c r="BO209" i="10"/>
  <c r="BO186" i="10"/>
  <c r="BO150" i="10"/>
  <c r="BO169" i="10"/>
  <c r="BO147" i="10"/>
  <c r="BO145" i="10"/>
  <c r="BO168" i="10"/>
  <c r="BO156" i="10"/>
  <c r="BO202" i="10"/>
  <c r="BO148" i="10"/>
  <c r="BO149" i="10"/>
  <c r="BO154" i="10"/>
  <c r="B139" i="9"/>
  <c r="I143" i="9"/>
  <c r="I232" i="9"/>
  <c r="I224" i="9"/>
  <c r="I216" i="9"/>
  <c r="I208" i="9"/>
  <c r="I200" i="9"/>
  <c r="I192" i="9"/>
  <c r="I184" i="9"/>
  <c r="I176" i="9"/>
  <c r="I168" i="9"/>
  <c r="I160" i="9"/>
  <c r="I152" i="9"/>
  <c r="I240" i="9"/>
  <c r="I248" i="9"/>
  <c r="I256" i="9"/>
  <c r="I264" i="9"/>
  <c r="I272" i="9"/>
  <c r="I236" i="9"/>
  <c r="I226" i="9"/>
  <c r="I218" i="9"/>
  <c r="I210" i="9"/>
  <c r="I202" i="9"/>
  <c r="I194" i="9"/>
  <c r="I186" i="9"/>
  <c r="I178" i="9"/>
  <c r="I170" i="9"/>
  <c r="I162" i="9"/>
  <c r="I154" i="9"/>
  <c r="I144" i="9"/>
  <c r="I234" i="9"/>
  <c r="I246" i="9"/>
  <c r="I254" i="9"/>
  <c r="I262" i="9"/>
  <c r="I270" i="9"/>
  <c r="I278" i="9"/>
  <c r="I228" i="9"/>
  <c r="I220" i="9"/>
  <c r="I212" i="9"/>
  <c r="I204" i="9"/>
  <c r="I196" i="9"/>
  <c r="I188" i="9"/>
  <c r="I180" i="9"/>
  <c r="I172" i="9"/>
  <c r="I164" i="9"/>
  <c r="I156" i="9"/>
  <c r="I146" i="9"/>
  <c r="I244" i="9"/>
  <c r="I252" i="9"/>
  <c r="I260" i="9"/>
  <c r="I268" i="9"/>
  <c r="I276" i="9"/>
  <c r="I230" i="9"/>
  <c r="I222" i="9"/>
  <c r="I214" i="9"/>
  <c r="I206" i="9"/>
  <c r="I198" i="9"/>
  <c r="I190" i="9"/>
  <c r="I182" i="9"/>
  <c r="I174" i="9"/>
  <c r="I166" i="9"/>
  <c r="I158" i="9"/>
  <c r="I148" i="9"/>
  <c r="I145" i="9"/>
  <c r="I242" i="9"/>
  <c r="I250" i="9"/>
  <c r="I258" i="9"/>
  <c r="I266" i="9"/>
  <c r="I274" i="9"/>
  <c r="I238" i="9"/>
  <c r="I161" i="9"/>
  <c r="I187" i="9"/>
  <c r="I227" i="9"/>
  <c r="I306" i="9"/>
  <c r="I290" i="9"/>
  <c r="I285" i="9"/>
  <c r="I247" i="9"/>
  <c r="I305" i="9"/>
  <c r="I279" i="9"/>
  <c r="I253" i="9"/>
  <c r="I149" i="9"/>
  <c r="I181" i="9"/>
  <c r="I211" i="9"/>
  <c r="I150" i="9"/>
  <c r="I175" i="9"/>
  <c r="I197" i="9"/>
  <c r="I312" i="9"/>
  <c r="I296" i="9"/>
  <c r="I280" i="9"/>
  <c r="I263" i="9"/>
  <c r="I311" i="9"/>
  <c r="I293" i="9"/>
  <c r="I265" i="9"/>
  <c r="I241" i="9"/>
  <c r="I155" i="9"/>
  <c r="I191" i="9"/>
  <c r="I213" i="9"/>
  <c r="I237" i="9"/>
  <c r="I173" i="9"/>
  <c r="I193" i="9"/>
  <c r="I318" i="9"/>
  <c r="I302" i="9"/>
  <c r="I286" i="9"/>
  <c r="I281" i="9"/>
  <c r="I317" i="9"/>
  <c r="I301" i="9"/>
  <c r="I271" i="9"/>
  <c r="I249" i="9"/>
  <c r="I157" i="9"/>
  <c r="I195" i="9"/>
  <c r="I215" i="9"/>
  <c r="I163" i="9"/>
  <c r="I189" i="9"/>
  <c r="I316" i="9"/>
  <c r="I300" i="9"/>
  <c r="I284" i="9"/>
  <c r="I275" i="9"/>
  <c r="I315" i="9"/>
  <c r="I299" i="9"/>
  <c r="I269" i="9"/>
  <c r="I245" i="9"/>
  <c r="I159" i="9"/>
  <c r="I199" i="9"/>
  <c r="I219" i="9"/>
  <c r="I151" i="9"/>
  <c r="I183" i="9"/>
  <c r="I310" i="9"/>
  <c r="I294" i="9"/>
  <c r="I297" i="9"/>
  <c r="I309" i="9"/>
  <c r="I291" i="9"/>
  <c r="I239" i="9"/>
  <c r="I169" i="9"/>
  <c r="I231" i="9"/>
  <c r="I179" i="9"/>
  <c r="I217" i="9"/>
  <c r="I292" i="9"/>
  <c r="I255" i="9"/>
  <c r="I307" i="9"/>
  <c r="I259" i="9"/>
  <c r="I171" i="9"/>
  <c r="I177" i="9"/>
  <c r="I205" i="9"/>
  <c r="I314" i="9"/>
  <c r="I298" i="9"/>
  <c r="I282" i="9"/>
  <c r="I273" i="9"/>
  <c r="I313" i="9"/>
  <c r="I295" i="9"/>
  <c r="I267" i="9"/>
  <c r="I243" i="9"/>
  <c r="I165" i="9"/>
  <c r="I201" i="9"/>
  <c r="I223" i="9"/>
  <c r="I233" i="9"/>
  <c r="I153" i="9"/>
  <c r="I185" i="9"/>
  <c r="I225" i="9"/>
  <c r="I304" i="9"/>
  <c r="I288" i="9"/>
  <c r="I283" i="9"/>
  <c r="I235" i="9"/>
  <c r="I303" i="9"/>
  <c r="I277" i="9"/>
  <c r="I251" i="9"/>
  <c r="I167" i="9"/>
  <c r="I203" i="9"/>
  <c r="I229" i="9"/>
  <c r="I221" i="9"/>
  <c r="I257" i="9"/>
  <c r="I261" i="9"/>
  <c r="I207" i="9"/>
  <c r="I308" i="9"/>
  <c r="I287" i="9"/>
  <c r="I289" i="9"/>
  <c r="I147" i="9"/>
  <c r="I209" i="9"/>
  <c r="V139" i="9"/>
  <c r="AC238" i="9"/>
  <c r="AC310" i="9"/>
  <c r="AC294" i="9"/>
  <c r="AC278" i="9"/>
  <c r="AC262" i="9"/>
  <c r="AC246" i="9"/>
  <c r="AC315" i="9"/>
  <c r="AC299" i="9"/>
  <c r="AC304" i="9"/>
  <c r="AC288" i="9"/>
  <c r="AC272" i="9"/>
  <c r="AC256" i="9"/>
  <c r="AC240" i="9"/>
  <c r="AC309" i="9"/>
  <c r="AC289" i="9"/>
  <c r="AC146" i="9"/>
  <c r="AC154" i="9"/>
  <c r="AC162" i="9"/>
  <c r="AC170" i="9"/>
  <c r="AC178" i="9"/>
  <c r="AC186" i="9"/>
  <c r="AC194" i="9"/>
  <c r="AC202" i="9"/>
  <c r="AC210" i="9"/>
  <c r="AC218" i="9"/>
  <c r="AC226" i="9"/>
  <c r="AC269" i="9"/>
  <c r="AC253" i="9"/>
  <c r="AC237" i="9"/>
  <c r="AC221" i="9"/>
  <c r="AC205" i="9"/>
  <c r="AC189" i="9"/>
  <c r="AC173" i="9"/>
  <c r="AC157" i="9"/>
  <c r="AC271" i="9"/>
  <c r="AC255" i="9"/>
  <c r="AC239" i="9"/>
  <c r="AC223" i="9"/>
  <c r="AC207" i="9"/>
  <c r="AC191" i="9"/>
  <c r="AC175" i="9"/>
  <c r="AC159" i="9"/>
  <c r="AC234" i="9"/>
  <c r="AC306" i="9"/>
  <c r="AC290" i="9"/>
  <c r="AC274" i="9"/>
  <c r="AC258" i="9"/>
  <c r="AC242" i="9"/>
  <c r="AC311" i="9"/>
  <c r="AC295" i="9"/>
  <c r="AC316" i="9"/>
  <c r="AC300" i="9"/>
  <c r="AC284" i="9"/>
  <c r="AC268" i="9"/>
  <c r="AC252" i="9"/>
  <c r="AC291" i="9"/>
  <c r="AC305" i="9"/>
  <c r="AC285" i="9"/>
  <c r="AC148" i="9"/>
  <c r="AC156" i="9"/>
  <c r="AC164" i="9"/>
  <c r="AC172" i="9"/>
  <c r="AC180" i="9"/>
  <c r="AC188" i="9"/>
  <c r="AC196" i="9"/>
  <c r="AC204" i="9"/>
  <c r="AC212" i="9"/>
  <c r="AC220" i="9"/>
  <c r="AC228" i="9"/>
  <c r="AC265" i="9"/>
  <c r="AC249" i="9"/>
  <c r="AC233" i="9"/>
  <c r="AC217" i="9"/>
  <c r="AC201" i="9"/>
  <c r="AC185" i="9"/>
  <c r="AC169" i="9"/>
  <c r="AC153" i="9"/>
  <c r="AC275" i="9"/>
  <c r="AC259" i="9"/>
  <c r="AC243" i="9"/>
  <c r="AC227" i="9"/>
  <c r="AC211" i="9"/>
  <c r="AC195" i="9"/>
  <c r="AC179" i="9"/>
  <c r="AC163" i="9"/>
  <c r="AC147" i="9"/>
  <c r="AC277" i="9"/>
  <c r="AC245" i="9"/>
  <c r="AC229" i="9"/>
  <c r="AC213" i="9"/>
  <c r="AC197" i="9"/>
  <c r="AC165" i="9"/>
  <c r="AC149" i="9"/>
  <c r="AC263" i="9"/>
  <c r="AC247" i="9"/>
  <c r="AC215" i="9"/>
  <c r="AC199" i="9"/>
  <c r="AC183" i="9"/>
  <c r="AC167" i="9"/>
  <c r="AC314" i="9"/>
  <c r="AC282" i="9"/>
  <c r="AC266" i="9"/>
  <c r="AC279" i="9"/>
  <c r="AC283" i="9"/>
  <c r="AC308" i="9"/>
  <c r="AC292" i="9"/>
  <c r="AC260" i="9"/>
  <c r="AC313" i="9"/>
  <c r="AC297" i="9"/>
  <c r="AC144" i="9"/>
  <c r="AC160" i="9"/>
  <c r="AC168" i="9"/>
  <c r="AC184" i="9"/>
  <c r="AC200" i="9"/>
  <c r="AC208" i="9"/>
  <c r="AC224" i="9"/>
  <c r="AC145" i="9"/>
  <c r="AC251" i="9"/>
  <c r="AC219" i="9"/>
  <c r="AC203" i="9"/>
  <c r="AC171" i="9"/>
  <c r="AC318" i="9"/>
  <c r="AC302" i="9"/>
  <c r="AC286" i="9"/>
  <c r="AC270" i="9"/>
  <c r="AC254" i="9"/>
  <c r="AC293" i="9"/>
  <c r="AC307" i="9"/>
  <c r="AC287" i="9"/>
  <c r="AC143" i="9"/>
  <c r="AC312" i="9"/>
  <c r="AC296" i="9"/>
  <c r="AC280" i="9"/>
  <c r="AC264" i="9"/>
  <c r="AC248" i="9"/>
  <c r="AC317" i="9"/>
  <c r="AC301" i="9"/>
  <c r="AC281" i="9"/>
  <c r="AC150" i="9"/>
  <c r="AC158" i="9"/>
  <c r="AC166" i="9"/>
  <c r="AC174" i="9"/>
  <c r="AC182" i="9"/>
  <c r="AC190" i="9"/>
  <c r="AC198" i="9"/>
  <c r="AC206" i="9"/>
  <c r="AC214" i="9"/>
  <c r="AC222" i="9"/>
  <c r="AC230" i="9"/>
  <c r="AC261" i="9"/>
  <c r="AC181" i="9"/>
  <c r="AC231" i="9"/>
  <c r="AC151" i="9"/>
  <c r="AC298" i="9"/>
  <c r="AC250" i="9"/>
  <c r="AC303" i="9"/>
  <c r="AC236" i="9"/>
  <c r="AC276" i="9"/>
  <c r="AC244" i="9"/>
  <c r="AC152" i="9"/>
  <c r="AC176" i="9"/>
  <c r="AC192" i="9"/>
  <c r="AC216" i="9"/>
  <c r="AC232" i="9"/>
  <c r="AC273" i="9"/>
  <c r="AC257" i="9"/>
  <c r="AC241" i="9"/>
  <c r="AC225" i="9"/>
  <c r="AC209" i="9"/>
  <c r="AC193" i="9"/>
  <c r="AC177" i="9"/>
  <c r="AC161" i="9"/>
  <c r="AC267" i="9"/>
  <c r="AC235" i="9"/>
  <c r="AC187" i="9"/>
  <c r="AC155" i="9"/>
  <c r="B48" i="9"/>
  <c r="D60" i="14"/>
  <c r="Y25" i="3"/>
  <c r="Y24" i="3"/>
  <c r="W26" i="3"/>
  <c r="Y267" i="12"/>
  <c r="J10" i="49"/>
  <c r="C67" i="14"/>
  <c r="J54" i="37"/>
  <c r="K54" i="37"/>
  <c r="Y316" i="13"/>
  <c r="F314" i="3"/>
  <c r="H314" i="3"/>
  <c r="Y285" i="13"/>
  <c r="Y155" i="13"/>
  <c r="Y201" i="13"/>
  <c r="Y274" i="13"/>
  <c r="Y166" i="13"/>
  <c r="Y260" i="13"/>
  <c r="Y302" i="13"/>
  <c r="Y206" i="13"/>
  <c r="Y196" i="13"/>
  <c r="Y219" i="13"/>
  <c r="X16" i="3"/>
  <c r="X17" i="3" s="1"/>
  <c r="X18" i="3" s="1"/>
  <c r="X19" i="3" s="1"/>
  <c r="X20" i="3" s="1"/>
  <c r="X21" i="3" s="1"/>
  <c r="X22" i="3" s="1"/>
  <c r="X23" i="3" s="1"/>
  <c r="X24" i="3" s="1"/>
  <c r="X25" i="3" s="1"/>
  <c r="X26" i="3" s="1"/>
  <c r="X27" i="3" s="1"/>
  <c r="X28" i="3" s="1"/>
  <c r="X29" i="3" s="1"/>
  <c r="X30" i="3" s="1"/>
  <c r="Y162" i="13"/>
  <c r="Y232" i="13"/>
  <c r="Y266" i="13"/>
  <c r="Y288" i="13"/>
  <c r="Y222" i="13"/>
  <c r="Y182" i="13"/>
  <c r="Y317" i="13"/>
  <c r="Y290" i="13"/>
  <c r="Y200" i="13"/>
  <c r="Y265" i="13"/>
  <c r="Y209" i="13"/>
  <c r="Y159" i="13"/>
  <c r="Y223" i="13"/>
  <c r="Y310" i="13"/>
  <c r="Y267" i="13"/>
  <c r="Y202" i="13"/>
  <c r="Y205" i="13"/>
  <c r="Y168" i="13"/>
  <c r="Y154" i="13"/>
  <c r="Y191" i="13"/>
  <c r="Y255" i="13"/>
  <c r="Y299" i="13"/>
  <c r="Y186" i="13"/>
  <c r="Y147" i="13"/>
  <c r="Y197" i="13"/>
  <c r="Y164" i="13"/>
  <c r="Y228" i="13"/>
  <c r="Y146" i="13"/>
  <c r="Y257" i="13"/>
  <c r="Y187" i="13"/>
  <c r="Y251" i="13"/>
  <c r="Y284" i="13"/>
  <c r="Y295" i="13"/>
  <c r="Y158" i="13"/>
  <c r="Y309" i="13"/>
  <c r="Y269" i="13"/>
  <c r="Y246" i="13"/>
  <c r="Y226" i="13"/>
  <c r="Y165" i="13"/>
  <c r="Y245" i="13"/>
  <c r="Y153" i="13"/>
  <c r="Y184" i="13"/>
  <c r="Y216" i="13"/>
  <c r="Y248" i="13"/>
  <c r="Y297" i="13"/>
  <c r="Y181" i="13"/>
  <c r="Y233" i="13"/>
  <c r="Y144" i="13"/>
  <c r="Y175" i="13"/>
  <c r="Y207" i="13"/>
  <c r="Y239" i="13"/>
  <c r="Y278" i="13"/>
  <c r="Y272" i="13"/>
  <c r="Y304" i="13"/>
  <c r="Y283" i="13"/>
  <c r="Y315" i="13"/>
  <c r="Y277" i="13"/>
  <c r="Y250" i="13"/>
  <c r="Y230" i="13"/>
  <c r="Y210" i="13"/>
  <c r="Y157" i="13"/>
  <c r="Y237" i="13"/>
  <c r="Y149" i="13"/>
  <c r="Y180" i="13"/>
  <c r="Y212" i="13"/>
  <c r="Y244" i="13"/>
  <c r="Y289" i="13"/>
  <c r="Y177" i="13"/>
  <c r="Y229" i="13"/>
  <c r="Y314" i="13"/>
  <c r="Y171" i="13"/>
  <c r="Y203" i="13"/>
  <c r="Y235" i="13"/>
  <c r="Y270" i="13"/>
  <c r="Y268" i="13"/>
  <c r="Y300" i="13"/>
  <c r="Y279" i="13"/>
  <c r="Y311" i="13"/>
  <c r="Y190" i="13"/>
  <c r="Y254" i="13"/>
  <c r="Y170" i="13"/>
  <c r="Y234" i="13"/>
  <c r="Y151" i="13"/>
  <c r="Y214" i="13"/>
  <c r="Y293" i="13"/>
  <c r="Y194" i="13"/>
  <c r="Y258" i="13"/>
  <c r="Y150" i="13"/>
  <c r="Y185" i="13"/>
  <c r="Y225" i="13"/>
  <c r="Y261" i="13"/>
  <c r="Y145" i="13"/>
  <c r="Y160" i="13"/>
  <c r="Y176" i="13"/>
  <c r="Y192" i="13"/>
  <c r="Y208" i="13"/>
  <c r="Y224" i="13"/>
  <c r="Y240" i="13"/>
  <c r="Y256" i="13"/>
  <c r="Y281" i="13"/>
  <c r="Y313" i="13"/>
  <c r="Y169" i="13"/>
  <c r="Y193" i="13"/>
  <c r="Y221" i="13"/>
  <c r="Y249" i="13"/>
  <c r="Y298" i="13"/>
  <c r="Y152" i="13"/>
  <c r="Y167" i="13"/>
  <c r="Y183" i="13"/>
  <c r="Y199" i="13"/>
  <c r="Y215" i="13"/>
  <c r="Y231" i="13"/>
  <c r="Y247" i="13"/>
  <c r="Y263" i="13"/>
  <c r="Y294" i="13"/>
  <c r="Y264" i="13"/>
  <c r="Y280" i="13"/>
  <c r="Y296" i="13"/>
  <c r="Y312" i="13"/>
  <c r="Y275" i="13"/>
  <c r="Y291" i="13"/>
  <c r="Y307" i="13"/>
  <c r="Y174" i="13"/>
  <c r="Y238" i="13"/>
  <c r="Z316" i="13"/>
  <c r="Y218" i="13"/>
  <c r="Y301" i="13"/>
  <c r="Y198" i="13"/>
  <c r="Y262" i="13"/>
  <c r="Y178" i="13"/>
  <c r="Y242" i="13"/>
  <c r="X295" i="13"/>
  <c r="Y173" i="13"/>
  <c r="Y217" i="13"/>
  <c r="Y253" i="13"/>
  <c r="Y306" i="13"/>
  <c r="Y156" i="13"/>
  <c r="Y172" i="13"/>
  <c r="Y188" i="13"/>
  <c r="Y204" i="13"/>
  <c r="Y220" i="13"/>
  <c r="Y236" i="13"/>
  <c r="Y252" i="13"/>
  <c r="Y273" i="13"/>
  <c r="Y305" i="13"/>
  <c r="Y161" i="13"/>
  <c r="Y189" i="13"/>
  <c r="Y213" i="13"/>
  <c r="Y241" i="13"/>
  <c r="Y282" i="13"/>
  <c r="Y148" i="13"/>
  <c r="Y163" i="13"/>
  <c r="Y179" i="13"/>
  <c r="Y195" i="13"/>
  <c r="Y211" i="13"/>
  <c r="Y227" i="13"/>
  <c r="Y243" i="13"/>
  <c r="Y259" i="13"/>
  <c r="Y286" i="13"/>
  <c r="Y318" i="13"/>
  <c r="Y276" i="13"/>
  <c r="Y292" i="13"/>
  <c r="Y308" i="13"/>
  <c r="Y271" i="13"/>
  <c r="Y287" i="13"/>
  <c r="Y194" i="12"/>
  <c r="Y150" i="12"/>
  <c r="Y188" i="12"/>
  <c r="Y314" i="12"/>
  <c r="Y177" i="12"/>
  <c r="Y206" i="12"/>
  <c r="Y297" i="12"/>
  <c r="Y295" i="12"/>
  <c r="Y197" i="12"/>
  <c r="Y168" i="12"/>
  <c r="Z271" i="12"/>
  <c r="Y252" i="12"/>
  <c r="Y203" i="12"/>
  <c r="Y304" i="12"/>
  <c r="Y167" i="12"/>
  <c r="Y235" i="12"/>
  <c r="Y182" i="12"/>
  <c r="Y258" i="12"/>
  <c r="Y241" i="12"/>
  <c r="Y220" i="12"/>
  <c r="Y310" i="12"/>
  <c r="Y198" i="12"/>
  <c r="Y281" i="12"/>
  <c r="Y318" i="12"/>
  <c r="Y289" i="12"/>
  <c r="Y208" i="12"/>
  <c r="Y280" i="12"/>
  <c r="Y301" i="12"/>
  <c r="Y254" i="12"/>
  <c r="Y306" i="12"/>
  <c r="Y237" i="12"/>
  <c r="Y217" i="12"/>
  <c r="Y155" i="12"/>
  <c r="Y240" i="12"/>
  <c r="Y170" i="12"/>
  <c r="Y191" i="12"/>
  <c r="Y255" i="12"/>
  <c r="Y290" i="12"/>
  <c r="Y222" i="12"/>
  <c r="Y144" i="12"/>
  <c r="Y261" i="12"/>
  <c r="Y274" i="12"/>
  <c r="Y226" i="12"/>
  <c r="Y307" i="12"/>
  <c r="Y221" i="12"/>
  <c r="Y156" i="12"/>
  <c r="Y209" i="12"/>
  <c r="Y273" i="12"/>
  <c r="Y151" i="12"/>
  <c r="Y172" i="12"/>
  <c r="Y204" i="12"/>
  <c r="Y236" i="12"/>
  <c r="Y268" i="12"/>
  <c r="Y276" i="12"/>
  <c r="Y166" i="12"/>
  <c r="Y187" i="12"/>
  <c r="Y219" i="12"/>
  <c r="Y251" i="12"/>
  <c r="Y293" i="12"/>
  <c r="Y160" i="12"/>
  <c r="Y234" i="12"/>
  <c r="Y164" i="12"/>
  <c r="Y176" i="12"/>
  <c r="Y272" i="12"/>
  <c r="Y223" i="12"/>
  <c r="Y238" i="12"/>
  <c r="Y300" i="12"/>
  <c r="Y214" i="12"/>
  <c r="Y213" i="12"/>
  <c r="Y149" i="12"/>
  <c r="Y202" i="12"/>
  <c r="Y266" i="12"/>
  <c r="Y173" i="12"/>
  <c r="Y308" i="12"/>
  <c r="Y185" i="12"/>
  <c r="Y249" i="12"/>
  <c r="Y288" i="12"/>
  <c r="Y171" i="12"/>
  <c r="Y192" i="12"/>
  <c r="Y224" i="12"/>
  <c r="Y256" i="12"/>
  <c r="Y303" i="12"/>
  <c r="Y154" i="12"/>
  <c r="Y175" i="12"/>
  <c r="Y207" i="12"/>
  <c r="Y239" i="12"/>
  <c r="Y271" i="12"/>
  <c r="H20" i="25"/>
  <c r="K20" i="25" s="1"/>
  <c r="D90" i="14"/>
  <c r="H30" i="3"/>
  <c r="C30" i="3"/>
  <c r="D30" i="3" s="1"/>
  <c r="A31" i="3"/>
  <c r="AG255" i="13"/>
  <c r="AG166" i="13"/>
  <c r="H90" i="14"/>
  <c r="Y153" i="12"/>
  <c r="Y270" i="12"/>
  <c r="Y230" i="12"/>
  <c r="Y169" i="12"/>
  <c r="Y299" i="12"/>
  <c r="Y246" i="12"/>
  <c r="Y286" i="12"/>
  <c r="Y229" i="12"/>
  <c r="Y313" i="12"/>
  <c r="Y157" i="12"/>
  <c r="Y178" i="12"/>
  <c r="Y210" i="12"/>
  <c r="Y242" i="12"/>
  <c r="Y275" i="12"/>
  <c r="Y284" i="12"/>
  <c r="Y189" i="12"/>
  <c r="Y253" i="12"/>
  <c r="Y296" i="12"/>
  <c r="X303" i="12"/>
  <c r="Y193" i="12"/>
  <c r="Y225" i="12"/>
  <c r="Y257" i="12"/>
  <c r="Y305" i="12"/>
  <c r="Y159" i="12"/>
  <c r="Y282" i="12"/>
  <c r="Y180" i="12"/>
  <c r="Y196" i="12"/>
  <c r="Y212" i="12"/>
  <c r="Y228" i="12"/>
  <c r="Y244" i="12"/>
  <c r="Y260" i="12"/>
  <c r="Y279" i="12"/>
  <c r="Y311" i="12"/>
  <c r="Y312" i="12"/>
  <c r="Y158" i="12"/>
  <c r="Y278" i="12"/>
  <c r="Y179" i="12"/>
  <c r="Y195" i="12"/>
  <c r="Y211" i="12"/>
  <c r="Y227" i="12"/>
  <c r="Y243" i="12"/>
  <c r="Y259" i="12"/>
  <c r="Y277" i="12"/>
  <c r="Y309" i="12"/>
  <c r="Y174" i="12"/>
  <c r="Y145" i="12"/>
  <c r="Y262" i="12"/>
  <c r="Y190" i="12"/>
  <c r="Y161" i="12"/>
  <c r="Y283" i="12"/>
  <c r="Y181" i="12"/>
  <c r="Y245" i="12"/>
  <c r="Y292" i="12"/>
  <c r="Y165" i="12"/>
  <c r="Y186" i="12"/>
  <c r="Y218" i="12"/>
  <c r="Y250" i="12"/>
  <c r="Y291" i="12"/>
  <c r="Y152" i="12"/>
  <c r="Y205" i="12"/>
  <c r="Y269" i="12"/>
  <c r="Y148" i="12"/>
  <c r="Y302" i="12"/>
  <c r="Y201" i="12"/>
  <c r="Y233" i="12"/>
  <c r="Y265" i="12"/>
  <c r="Y317" i="12"/>
  <c r="Y147" i="12"/>
  <c r="Y163" i="12"/>
  <c r="Y298" i="12"/>
  <c r="Y184" i="12"/>
  <c r="Y200" i="12"/>
  <c r="Y216" i="12"/>
  <c r="Y232" i="12"/>
  <c r="Y248" i="12"/>
  <c r="Y264" i="12"/>
  <c r="Y287" i="12"/>
  <c r="Y316" i="12"/>
  <c r="Y146" i="12"/>
  <c r="Y162" i="12"/>
  <c r="Y294" i="12"/>
  <c r="Y183" i="12"/>
  <c r="Y199" i="12"/>
  <c r="Y215" i="12"/>
  <c r="Y231" i="12"/>
  <c r="Y247" i="12"/>
  <c r="Y263" i="12"/>
  <c r="Y285" i="12"/>
  <c r="AG191" i="13"/>
  <c r="AG232" i="13"/>
  <c r="AG300" i="13"/>
  <c r="AG216" i="13"/>
  <c r="AG278" i="13"/>
  <c r="AG150" i="13"/>
  <c r="AG189" i="13"/>
  <c r="AG209" i="13"/>
  <c r="AG246" i="13"/>
  <c r="AK235" i="12"/>
  <c r="N315" i="9"/>
  <c r="N219" i="9"/>
  <c r="N187" i="9"/>
  <c r="E93" i="14"/>
  <c r="G140" i="14"/>
  <c r="H140" i="14" s="1"/>
  <c r="E162" i="14"/>
  <c r="E45" i="14"/>
  <c r="E47" i="14"/>
  <c r="E163" i="14"/>
  <c r="E161" i="14"/>
  <c r="G139" i="14"/>
  <c r="H139" i="14" s="1"/>
  <c r="G47" i="14"/>
  <c r="H47" i="14" s="1"/>
  <c r="G46" i="14"/>
  <c r="H46" i="14" s="1"/>
  <c r="G94" i="14"/>
  <c r="H94" i="14" s="1"/>
  <c r="E94" i="14"/>
  <c r="E46" i="14"/>
  <c r="G92" i="14"/>
  <c r="H92" i="14" s="1"/>
  <c r="AG157" i="13"/>
  <c r="AG149" i="13"/>
  <c r="AG187" i="13"/>
  <c r="AG164" i="13"/>
  <c r="AG201" i="13"/>
  <c r="AG214" i="13"/>
  <c r="AG230" i="13"/>
  <c r="AG247" i="13"/>
  <c r="AG316" i="13"/>
  <c r="AG276" i="13"/>
  <c r="AG298" i="13"/>
  <c r="G90" i="14"/>
  <c r="AG259" i="13"/>
  <c r="AG159" i="13"/>
  <c r="AG217" i="13"/>
  <c r="AG182" i="13"/>
  <c r="AG200" i="13"/>
  <c r="AG233" i="13"/>
  <c r="AG253" i="13"/>
  <c r="AG291" i="13"/>
  <c r="AG262" i="13"/>
  <c r="AG303" i="13"/>
  <c r="AG315" i="13"/>
  <c r="AG185" i="13"/>
  <c r="AG155" i="13"/>
  <c r="AG215" i="13"/>
  <c r="AG180" i="13"/>
  <c r="AG198" i="13"/>
  <c r="AG229" i="13"/>
  <c r="AG307" i="13"/>
  <c r="AG279" i="13"/>
  <c r="AG260" i="13"/>
  <c r="AG295" i="13"/>
  <c r="AG314" i="13"/>
  <c r="AK261" i="9"/>
  <c r="N155" i="9"/>
  <c r="N283" i="9"/>
  <c r="H113" i="14"/>
  <c r="N251" i="9"/>
  <c r="AK144" i="12"/>
  <c r="AK195" i="9"/>
  <c r="AK251" i="13"/>
  <c r="AK216" i="12"/>
  <c r="AK304" i="12"/>
  <c r="AK211" i="13"/>
  <c r="AK186" i="12"/>
  <c r="AK284" i="12"/>
  <c r="AG216" i="12"/>
  <c r="AK162" i="13"/>
  <c r="AK179" i="9"/>
  <c r="AK171" i="13"/>
  <c r="AK230" i="13"/>
  <c r="AK245" i="9"/>
  <c r="AK184" i="13"/>
  <c r="AK242" i="13"/>
  <c r="AK308" i="13"/>
  <c r="F90" i="14"/>
  <c r="AK309" i="9"/>
  <c r="AK163" i="9"/>
  <c r="AK227" i="9"/>
  <c r="AK293" i="9"/>
  <c r="AK147" i="9"/>
  <c r="AK211" i="9"/>
  <c r="AK277" i="9"/>
  <c r="AK146" i="13"/>
  <c r="AK290" i="13"/>
  <c r="AK284" i="13"/>
  <c r="AG316" i="9"/>
  <c r="AG242" i="9"/>
  <c r="AG182" i="9"/>
  <c r="AG219" i="9"/>
  <c r="AG311" i="9"/>
  <c r="AG240" i="9"/>
  <c r="AG187" i="9"/>
  <c r="AG279" i="9"/>
  <c r="AG170" i="9"/>
  <c r="AG155" i="9"/>
  <c r="AG247" i="9"/>
  <c r="AK194" i="9"/>
  <c r="AK226" i="9"/>
  <c r="AK244" i="9"/>
  <c r="AK260" i="9"/>
  <c r="AK276" i="9"/>
  <c r="AK292" i="9"/>
  <c r="AG181" i="12"/>
  <c r="AK194" i="13"/>
  <c r="AK144" i="13"/>
  <c r="AK180" i="13"/>
  <c r="AK169" i="13"/>
  <c r="AK204" i="13"/>
  <c r="AK278" i="13"/>
  <c r="AK241" i="13"/>
  <c r="AK228" i="13"/>
  <c r="AK313" i="13"/>
  <c r="AK283" i="13"/>
  <c r="AK307" i="13"/>
  <c r="AK162" i="9"/>
  <c r="AK203" i="9"/>
  <c r="AK153" i="13"/>
  <c r="AK237" i="13"/>
  <c r="AK155" i="13"/>
  <c r="AK187" i="13"/>
  <c r="AK205" i="13"/>
  <c r="AK254" i="13"/>
  <c r="AK280" i="13"/>
  <c r="AK248" i="13"/>
  <c r="AK287" i="13"/>
  <c r="AK306" i="13"/>
  <c r="AK317" i="13"/>
  <c r="AK146" i="9"/>
  <c r="AK178" i="9"/>
  <c r="AK210" i="9"/>
  <c r="AK308" i="9"/>
  <c r="AK155" i="9"/>
  <c r="AK171" i="9"/>
  <c r="AK187" i="9"/>
  <c r="AK219" i="9"/>
  <c r="AK235" i="9"/>
  <c r="AK253" i="9"/>
  <c r="AK269" i="9"/>
  <c r="AK285" i="9"/>
  <c r="AK301" i="9"/>
  <c r="AK317" i="9"/>
  <c r="AK154" i="9"/>
  <c r="AK170" i="9"/>
  <c r="AK186" i="9"/>
  <c r="AK202" i="9"/>
  <c r="AK218" i="9"/>
  <c r="AK236" i="9"/>
  <c r="AK252" i="9"/>
  <c r="AK268" i="9"/>
  <c r="AK284" i="9"/>
  <c r="AK300" i="9"/>
  <c r="AK316" i="9"/>
  <c r="AG276" i="12"/>
  <c r="AK145" i="13"/>
  <c r="AK200" i="13"/>
  <c r="AK202" i="13"/>
  <c r="AK185" i="13"/>
  <c r="AK198" i="13"/>
  <c r="AK253" i="13"/>
  <c r="AK279" i="13"/>
  <c r="AK247" i="13"/>
  <c r="AK276" i="13"/>
  <c r="AK305" i="13"/>
  <c r="AK316" i="13"/>
  <c r="AG144" i="9"/>
  <c r="AG210" i="9"/>
  <c r="AG150" i="9"/>
  <c r="AG214" i="9"/>
  <c r="AG314" i="9"/>
  <c r="AG173" i="9"/>
  <c r="AG205" i="9"/>
  <c r="AG260" i="9"/>
  <c r="AG302" i="9"/>
  <c r="AG265" i="9"/>
  <c r="AG297" i="9"/>
  <c r="AG200" i="9"/>
  <c r="AG146" i="9"/>
  <c r="AG208" i="9"/>
  <c r="AG306" i="9"/>
  <c r="AG171" i="9"/>
  <c r="AG203" i="9"/>
  <c r="AG252" i="9"/>
  <c r="AG294" i="9"/>
  <c r="AG263" i="9"/>
  <c r="AG295" i="9"/>
  <c r="AG238" i="9"/>
  <c r="AG172" i="9"/>
  <c r="AG264" i="9"/>
  <c r="AG186" i="9"/>
  <c r="AG250" i="9"/>
  <c r="AG157" i="9"/>
  <c r="AG189" i="9"/>
  <c r="AG221" i="9"/>
  <c r="AG233" i="9"/>
  <c r="AG249" i="9"/>
  <c r="AG281" i="9"/>
  <c r="AG313" i="9"/>
  <c r="AK143" i="9"/>
  <c r="AK151" i="9"/>
  <c r="AK159" i="9"/>
  <c r="AK167" i="9"/>
  <c r="AK175" i="9"/>
  <c r="AK183" i="9"/>
  <c r="AK191" i="9"/>
  <c r="AK199" i="9"/>
  <c r="AK207" i="9"/>
  <c r="AK215" i="9"/>
  <c r="AK223" i="9"/>
  <c r="AK231" i="9"/>
  <c r="AK241" i="9"/>
  <c r="AK249" i="9"/>
  <c r="AK257" i="9"/>
  <c r="AK265" i="9"/>
  <c r="AK273" i="9"/>
  <c r="AK281" i="9"/>
  <c r="AK289" i="9"/>
  <c r="AK297" i="9"/>
  <c r="AK305" i="9"/>
  <c r="AK313" i="9"/>
  <c r="AG177" i="13"/>
  <c r="AG211" i="13"/>
  <c r="AG146" i="13"/>
  <c r="AG154" i="13"/>
  <c r="AG175" i="13"/>
  <c r="AG227" i="13"/>
  <c r="AG158" i="13"/>
  <c r="AG174" i="13"/>
  <c r="AG190" i="13"/>
  <c r="AG257" i="13"/>
  <c r="AG208" i="13"/>
  <c r="AG287" i="13"/>
  <c r="AG224" i="13"/>
  <c r="AG245" i="13"/>
  <c r="AG240" i="13"/>
  <c r="AG293" i="13"/>
  <c r="AG318" i="13"/>
  <c r="AG254" i="13"/>
  <c r="AG270" i="13"/>
  <c r="AG286" i="13"/>
  <c r="AG292" i="13"/>
  <c r="AG308" i="13"/>
  <c r="AK149" i="13"/>
  <c r="AK190" i="13"/>
  <c r="AK166" i="13"/>
  <c r="AK154" i="13"/>
  <c r="AK168" i="13"/>
  <c r="AK208" i="13"/>
  <c r="AK163" i="13"/>
  <c r="AK179" i="13"/>
  <c r="AK195" i="13"/>
  <c r="AK240" i="13"/>
  <c r="AK218" i="13"/>
  <c r="AK231" i="13"/>
  <c r="AK249" i="13"/>
  <c r="AK265" i="13"/>
  <c r="AK222" i="13"/>
  <c r="AK238" i="13"/>
  <c r="AK272" i="13"/>
  <c r="AK267" i="13"/>
  <c r="AK266" i="13"/>
  <c r="AK286" i="13"/>
  <c r="AK292" i="13"/>
  <c r="AK302" i="13"/>
  <c r="AK234" i="9"/>
  <c r="AK150" i="9"/>
  <c r="AK158" i="9"/>
  <c r="AK166" i="9"/>
  <c r="AK174" i="9"/>
  <c r="AK182" i="9"/>
  <c r="AK190" i="9"/>
  <c r="AK198" i="9"/>
  <c r="AK206" i="9"/>
  <c r="AK214" i="9"/>
  <c r="AK222" i="9"/>
  <c r="AK230" i="9"/>
  <c r="AK240" i="9"/>
  <c r="AK248" i="9"/>
  <c r="AK256" i="9"/>
  <c r="AK264" i="9"/>
  <c r="AK272" i="9"/>
  <c r="AK280" i="9"/>
  <c r="AK288" i="9"/>
  <c r="AK296" i="9"/>
  <c r="AK304" i="9"/>
  <c r="AK312" i="9"/>
  <c r="AG173" i="13"/>
  <c r="AG205" i="13"/>
  <c r="AG145" i="13"/>
  <c r="AG153" i="13"/>
  <c r="AG171" i="13"/>
  <c r="AG213" i="13"/>
  <c r="AG156" i="13"/>
  <c r="AG172" i="13"/>
  <c r="AG188" i="13"/>
  <c r="AG239" i="13"/>
  <c r="AG206" i="13"/>
  <c r="AG249" i="13"/>
  <c r="AG285" i="13"/>
  <c r="AG238" i="13"/>
  <c r="AG309" i="13"/>
  <c r="AG283" i="13"/>
  <c r="AG301" i="13"/>
  <c r="AG252" i="13"/>
  <c r="AG268" i="13"/>
  <c r="AG284" i="13"/>
  <c r="AG313" i="13"/>
  <c r="AG306" i="13"/>
  <c r="AK216" i="13"/>
  <c r="AK158" i="13"/>
  <c r="AK210" i="13"/>
  <c r="AK152" i="13"/>
  <c r="AK164" i="13"/>
  <c r="AK207" i="13"/>
  <c r="AK161" i="13"/>
  <c r="AK177" i="13"/>
  <c r="AK193" i="13"/>
  <c r="AK233" i="13"/>
  <c r="AK214" i="13"/>
  <c r="AK227" i="13"/>
  <c r="AK245" i="13"/>
  <c r="AK256" i="13"/>
  <c r="AK220" i="13"/>
  <c r="AK236" i="13"/>
  <c r="AK271" i="13"/>
  <c r="AK260" i="13"/>
  <c r="AK298" i="13"/>
  <c r="AK285" i="13"/>
  <c r="AK291" i="13"/>
  <c r="AK301" i="13"/>
  <c r="AK238" i="9"/>
  <c r="AK145" i="9"/>
  <c r="AK149" i="9"/>
  <c r="AK153" i="9"/>
  <c r="AK157" i="9"/>
  <c r="AK161" i="9"/>
  <c r="AK165" i="9"/>
  <c r="AK169" i="9"/>
  <c r="AK173" i="9"/>
  <c r="AK177" i="9"/>
  <c r="AK181" i="9"/>
  <c r="AK185" i="9"/>
  <c r="AK189" i="9"/>
  <c r="AK193" i="9"/>
  <c r="AK197" i="9"/>
  <c r="AK201" i="9"/>
  <c r="AK205" i="9"/>
  <c r="AK209" i="9"/>
  <c r="AK213" i="9"/>
  <c r="AK217" i="9"/>
  <c r="AK221" i="9"/>
  <c r="AK225" i="9"/>
  <c r="AK229" i="9"/>
  <c r="AK233" i="9"/>
  <c r="AK239" i="9"/>
  <c r="AK243" i="9"/>
  <c r="AK247" i="9"/>
  <c r="AK251" i="9"/>
  <c r="AK255" i="9"/>
  <c r="AK259" i="9"/>
  <c r="AK263" i="9"/>
  <c r="AK267" i="9"/>
  <c r="AK271" i="9"/>
  <c r="AK275" i="9"/>
  <c r="AK279" i="9"/>
  <c r="AK283" i="9"/>
  <c r="AK287" i="9"/>
  <c r="AK291" i="9"/>
  <c r="AK295" i="9"/>
  <c r="AK299" i="9"/>
  <c r="AK303" i="9"/>
  <c r="AK307" i="9"/>
  <c r="AK311" i="9"/>
  <c r="AK315" i="9"/>
  <c r="AG219" i="13"/>
  <c r="AG193" i="13"/>
  <c r="AG181" i="13"/>
  <c r="AG169" i="13"/>
  <c r="AG144" i="13"/>
  <c r="AG148" i="13"/>
  <c r="AG152" i="13"/>
  <c r="AG275" i="13"/>
  <c r="AG167" i="13"/>
  <c r="AG183" i="13"/>
  <c r="AG197" i="13"/>
  <c r="AG207" i="13"/>
  <c r="AG221" i="13"/>
  <c r="AG162" i="13"/>
  <c r="AG170" i="13"/>
  <c r="AG178" i="13"/>
  <c r="AG186" i="13"/>
  <c r="AG194" i="13"/>
  <c r="AG231" i="13"/>
  <c r="AG196" i="13"/>
  <c r="AG204" i="13"/>
  <c r="AG212" i="13"/>
  <c r="AG243" i="13"/>
  <c r="AG225" i="13"/>
  <c r="AG241" i="13"/>
  <c r="AG228" i="13"/>
  <c r="AG236" i="13"/>
  <c r="AG261" i="13"/>
  <c r="AG267" i="13"/>
  <c r="AG244" i="13"/>
  <c r="AG271" i="13"/>
  <c r="AG277" i="13"/>
  <c r="AG289" i="13"/>
  <c r="AG299" i="13"/>
  <c r="AG250" i="13"/>
  <c r="AG258" i="13"/>
  <c r="AG266" i="13"/>
  <c r="AG274" i="13"/>
  <c r="AG282" i="13"/>
  <c r="AG290" i="13"/>
  <c r="AG305" i="13"/>
  <c r="AG296" i="13"/>
  <c r="AG304" i="13"/>
  <c r="AG312" i="13"/>
  <c r="AK262" i="13"/>
  <c r="AK147" i="13"/>
  <c r="AK263" i="13"/>
  <c r="AK209" i="13"/>
  <c r="AK199" i="13"/>
  <c r="AK150" i="13"/>
  <c r="AK186" i="13"/>
  <c r="AK160" i="13"/>
  <c r="AK176" i="13"/>
  <c r="AK192" i="13"/>
  <c r="AK201" i="13"/>
  <c r="AK159" i="13"/>
  <c r="AK167" i="13"/>
  <c r="AK175" i="13"/>
  <c r="AK183" i="13"/>
  <c r="AK191" i="13"/>
  <c r="AK203" i="13"/>
  <c r="AK225" i="13"/>
  <c r="AK197" i="13"/>
  <c r="AK213" i="13"/>
  <c r="AK277" i="13"/>
  <c r="AK223" i="13"/>
  <c r="AK239" i="13"/>
  <c r="AK219" i="13"/>
  <c r="AK289" i="13"/>
  <c r="AK255" i="13"/>
  <c r="AK270" i="13"/>
  <c r="AK312" i="13"/>
  <c r="AK226" i="13"/>
  <c r="AK234" i="13"/>
  <c r="AK244" i="13"/>
  <c r="AK258" i="13"/>
  <c r="AK282" i="13"/>
  <c r="AK259" i="13"/>
  <c r="AK275" i="13"/>
  <c r="AK297" i="13"/>
  <c r="AK274" i="13"/>
  <c r="AK296" i="13"/>
  <c r="AK294" i="13"/>
  <c r="AK304" i="13"/>
  <c r="AK300" i="13"/>
  <c r="AK315" i="13"/>
  <c r="AK310" i="13"/>
  <c r="AK144" i="9"/>
  <c r="AK148" i="9"/>
  <c r="AK152" i="9"/>
  <c r="AK156" i="9"/>
  <c r="AK160" i="9"/>
  <c r="AK164" i="9"/>
  <c r="AK168" i="9"/>
  <c r="AK172" i="9"/>
  <c r="AK176" i="9"/>
  <c r="AK180" i="9"/>
  <c r="AK184" i="9"/>
  <c r="AK188" i="9"/>
  <c r="AK192" i="9"/>
  <c r="AK196" i="9"/>
  <c r="AK200" i="9"/>
  <c r="AK204" i="9"/>
  <c r="AK208" i="9"/>
  <c r="AK212" i="9"/>
  <c r="AK216" i="9"/>
  <c r="AK220" i="9"/>
  <c r="AK224" i="9"/>
  <c r="AK228" i="9"/>
  <c r="AK232" i="9"/>
  <c r="AK237" i="9"/>
  <c r="AK242" i="9"/>
  <c r="AK246" i="9"/>
  <c r="AK250" i="9"/>
  <c r="AK254" i="9"/>
  <c r="AK258" i="9"/>
  <c r="AK262" i="9"/>
  <c r="AK266" i="9"/>
  <c r="AK270" i="9"/>
  <c r="AK274" i="9"/>
  <c r="AK278" i="9"/>
  <c r="AK282" i="9"/>
  <c r="AK286" i="9"/>
  <c r="AK290" i="9"/>
  <c r="AK294" i="9"/>
  <c r="AK298" i="9"/>
  <c r="AK302" i="9"/>
  <c r="AK306" i="9"/>
  <c r="AK310" i="9"/>
  <c r="AK314" i="9"/>
  <c r="AG161" i="13"/>
  <c r="AG165" i="13"/>
  <c r="AG235" i="13"/>
  <c r="AG147" i="13"/>
  <c r="AG151" i="13"/>
  <c r="AG203" i="13"/>
  <c r="AG163" i="13"/>
  <c r="AG179" i="13"/>
  <c r="AG195" i="13"/>
  <c r="AG199" i="13"/>
  <c r="AG220" i="13"/>
  <c r="AG160" i="13"/>
  <c r="AG168" i="13"/>
  <c r="AG176" i="13"/>
  <c r="AG184" i="13"/>
  <c r="AG192" i="13"/>
  <c r="AG223" i="13"/>
  <c r="AG273" i="13"/>
  <c r="AG202" i="13"/>
  <c r="AG210" i="13"/>
  <c r="AG218" i="13"/>
  <c r="AG222" i="13"/>
  <c r="AG237" i="13"/>
  <c r="AG226" i="13"/>
  <c r="AG234" i="13"/>
  <c r="AG251" i="13"/>
  <c r="AG265" i="13"/>
  <c r="AG242" i="13"/>
  <c r="AG263" i="13"/>
  <c r="AG269" i="13"/>
  <c r="AG281" i="13"/>
  <c r="AG297" i="13"/>
  <c r="AG248" i="13"/>
  <c r="AG256" i="13"/>
  <c r="AG264" i="13"/>
  <c r="AG272" i="13"/>
  <c r="AG280" i="13"/>
  <c r="AG288" i="13"/>
  <c r="AG311" i="13"/>
  <c r="AG294" i="13"/>
  <c r="AG302" i="13"/>
  <c r="AG310" i="13"/>
  <c r="AK151" i="13"/>
  <c r="AK174" i="13"/>
  <c r="AK215" i="13"/>
  <c r="AK178" i="13"/>
  <c r="AK182" i="13"/>
  <c r="AK148" i="13"/>
  <c r="AK170" i="13"/>
  <c r="AK156" i="13"/>
  <c r="AK172" i="13"/>
  <c r="AK188" i="13"/>
  <c r="AK229" i="13"/>
  <c r="AK157" i="13"/>
  <c r="AK165" i="13"/>
  <c r="AK173" i="13"/>
  <c r="AK181" i="13"/>
  <c r="AK189" i="13"/>
  <c r="AK196" i="13"/>
  <c r="AK212" i="13"/>
  <c r="AK264" i="13"/>
  <c r="AK206" i="13"/>
  <c r="AK261" i="13"/>
  <c r="AK221" i="13"/>
  <c r="AK235" i="13"/>
  <c r="AK217" i="13"/>
  <c r="AK250" i="13"/>
  <c r="AK246" i="13"/>
  <c r="AK269" i="13"/>
  <c r="AK311" i="13"/>
  <c r="AK224" i="13"/>
  <c r="AK232" i="13"/>
  <c r="AK243" i="13"/>
  <c r="AK257" i="13"/>
  <c r="AK281" i="13"/>
  <c r="AK252" i="13"/>
  <c r="AK268" i="13"/>
  <c r="AK288" i="13"/>
  <c r="AK273" i="13"/>
  <c r="AK295" i="13"/>
  <c r="AK293" i="13"/>
  <c r="AK303" i="13"/>
  <c r="AK299" i="13"/>
  <c r="AK314" i="13"/>
  <c r="AK309" i="13"/>
  <c r="AG264" i="12"/>
  <c r="AK198" i="12"/>
  <c r="AK211" i="12"/>
  <c r="AK180" i="12"/>
  <c r="AG184" i="12"/>
  <c r="AG248" i="12"/>
  <c r="AG308" i="12"/>
  <c r="AG162" i="9"/>
  <c r="AG188" i="9"/>
  <c r="AG222" i="9"/>
  <c r="AG296" i="9"/>
  <c r="AG164" i="9"/>
  <c r="AG202" i="9"/>
  <c r="AG232" i="9"/>
  <c r="AG282" i="9"/>
  <c r="AG149" i="9"/>
  <c r="AG165" i="9"/>
  <c r="AG181" i="9"/>
  <c r="AG197" i="9"/>
  <c r="AG213" i="9"/>
  <c r="AG229" i="9"/>
  <c r="AG292" i="9"/>
  <c r="AG270" i="9"/>
  <c r="AG241" i="9"/>
  <c r="AG257" i="9"/>
  <c r="AG273" i="9"/>
  <c r="AG289" i="9"/>
  <c r="AG305" i="9"/>
  <c r="AG237" i="9"/>
  <c r="AG200" i="12"/>
  <c r="AK264" i="12"/>
  <c r="AK156" i="12"/>
  <c r="AK316" i="12"/>
  <c r="AG158" i="12"/>
  <c r="AG232" i="12"/>
  <c r="AG292" i="12"/>
  <c r="AG156" i="9"/>
  <c r="AG184" i="9"/>
  <c r="AG218" i="9"/>
  <c r="AG288" i="9"/>
  <c r="AG160" i="9"/>
  <c r="AG198" i="9"/>
  <c r="AG230" i="9"/>
  <c r="AG274" i="9"/>
  <c r="AG147" i="9"/>
  <c r="AG163" i="9"/>
  <c r="AG179" i="9"/>
  <c r="AG195" i="9"/>
  <c r="AG211" i="9"/>
  <c r="AG227" i="9"/>
  <c r="AG284" i="9"/>
  <c r="AG262" i="9"/>
  <c r="AG239" i="9"/>
  <c r="AG255" i="9"/>
  <c r="AG271" i="9"/>
  <c r="AG287" i="9"/>
  <c r="AG303" i="9"/>
  <c r="AG235" i="9"/>
  <c r="AG154" i="12"/>
  <c r="AG196" i="12"/>
  <c r="AG228" i="12"/>
  <c r="AG260" i="12"/>
  <c r="AG318" i="12"/>
  <c r="AG304" i="12"/>
  <c r="AK200" i="12"/>
  <c r="AK203" i="12"/>
  <c r="AK267" i="12"/>
  <c r="AK172" i="12"/>
  <c r="AK300" i="12"/>
  <c r="AG176" i="12"/>
  <c r="AG150" i="12"/>
  <c r="AG166" i="12"/>
  <c r="AG192" i="12"/>
  <c r="AG208" i="12"/>
  <c r="AG224" i="12"/>
  <c r="AG240" i="12"/>
  <c r="AG256" i="12"/>
  <c r="AG272" i="12"/>
  <c r="AG284" i="12"/>
  <c r="AG300" i="12"/>
  <c r="AG152" i="9"/>
  <c r="AG168" i="9"/>
  <c r="AG178" i="9"/>
  <c r="AG194" i="9"/>
  <c r="AG216" i="9"/>
  <c r="AG228" i="9"/>
  <c r="AG280" i="9"/>
  <c r="AG312" i="9"/>
  <c r="AG158" i="9"/>
  <c r="AG180" i="9"/>
  <c r="AG196" i="9"/>
  <c r="AG206" i="9"/>
  <c r="AG224" i="9"/>
  <c r="AG256" i="9"/>
  <c r="AG266" i="9"/>
  <c r="AG298" i="9"/>
  <c r="AG145" i="9"/>
  <c r="AG153" i="9"/>
  <c r="AG161" i="9"/>
  <c r="AG169" i="9"/>
  <c r="AG177" i="9"/>
  <c r="AG185" i="9"/>
  <c r="AG193" i="9"/>
  <c r="AG201" i="9"/>
  <c r="AG209" i="9"/>
  <c r="AG217" i="9"/>
  <c r="AG225" i="9"/>
  <c r="AG244" i="9"/>
  <c r="AG276" i="9"/>
  <c r="AG308" i="9"/>
  <c r="AG254" i="9"/>
  <c r="AG286" i="9"/>
  <c r="AG318" i="9"/>
  <c r="AG245" i="9"/>
  <c r="AG253" i="9"/>
  <c r="AG261" i="9"/>
  <c r="AG269" i="9"/>
  <c r="AG277" i="9"/>
  <c r="AG285" i="9"/>
  <c r="AG293" i="9"/>
  <c r="AG301" i="9"/>
  <c r="AG309" i="9"/>
  <c r="AG317" i="9"/>
  <c r="AG236" i="9"/>
  <c r="AG173" i="12"/>
  <c r="AG170" i="12"/>
  <c r="AG212" i="12"/>
  <c r="AG244" i="12"/>
  <c r="AG288" i="12"/>
  <c r="AK218" i="12"/>
  <c r="AK177" i="12"/>
  <c r="AK243" i="12"/>
  <c r="AK160" i="12"/>
  <c r="AK288" i="12"/>
  <c r="AG146" i="12"/>
  <c r="AG162" i="12"/>
  <c r="AG188" i="12"/>
  <c r="AG204" i="12"/>
  <c r="AG220" i="12"/>
  <c r="AG236" i="12"/>
  <c r="AG252" i="12"/>
  <c r="AG268" i="12"/>
  <c r="AG280" i="12"/>
  <c r="AG296" i="12"/>
  <c r="AG312" i="12"/>
  <c r="AG148" i="9"/>
  <c r="AG166" i="9"/>
  <c r="AG176" i="9"/>
  <c r="AG192" i="9"/>
  <c r="AG212" i="9"/>
  <c r="AG226" i="9"/>
  <c r="AG272" i="9"/>
  <c r="AG304" i="9"/>
  <c r="AG154" i="9"/>
  <c r="AG174" i="9"/>
  <c r="AG190" i="9"/>
  <c r="AG204" i="9"/>
  <c r="AG220" i="9"/>
  <c r="AG248" i="9"/>
  <c r="AG258" i="9"/>
  <c r="AG290" i="9"/>
  <c r="AG143" i="9"/>
  <c r="AG151" i="9"/>
  <c r="AG159" i="9"/>
  <c r="AG167" i="9"/>
  <c r="AG175" i="9"/>
  <c r="AG183" i="9"/>
  <c r="AG191" i="9"/>
  <c r="AG199" i="9"/>
  <c r="AG207" i="9"/>
  <c r="AG215" i="9"/>
  <c r="AG223" i="9"/>
  <c r="AG231" i="9"/>
  <c r="AG268" i="9"/>
  <c r="AG300" i="9"/>
  <c r="AG246" i="9"/>
  <c r="AG278" i="9"/>
  <c r="AG310" i="9"/>
  <c r="AG243" i="9"/>
  <c r="AG251" i="9"/>
  <c r="AG259" i="9"/>
  <c r="AG267" i="9"/>
  <c r="AG275" i="9"/>
  <c r="AG283" i="9"/>
  <c r="AG291" i="9"/>
  <c r="AG299" i="9"/>
  <c r="AG307" i="9"/>
  <c r="AG315" i="9"/>
  <c r="K14" i="25"/>
  <c r="AG172" i="12"/>
  <c r="AG145" i="12"/>
  <c r="AG153" i="12"/>
  <c r="AG161" i="12"/>
  <c r="AG169" i="12"/>
  <c r="AG187" i="12"/>
  <c r="AG195" i="12"/>
  <c r="AG203" i="12"/>
  <c r="AG211" i="12"/>
  <c r="AG219" i="12"/>
  <c r="AG227" i="12"/>
  <c r="AG235" i="12"/>
  <c r="AG243" i="12"/>
  <c r="AG251" i="12"/>
  <c r="AG259" i="12"/>
  <c r="AG267" i="12"/>
  <c r="AG314" i="12"/>
  <c r="AG279" i="12"/>
  <c r="AG287" i="12"/>
  <c r="AG295" i="12"/>
  <c r="AG303" i="12"/>
  <c r="AG311" i="12"/>
  <c r="AK238" i="12"/>
  <c r="AK184" i="12"/>
  <c r="AK248" i="12"/>
  <c r="AK195" i="12"/>
  <c r="AK227" i="12"/>
  <c r="AK259" i="12"/>
  <c r="AK152" i="12"/>
  <c r="AK168" i="12"/>
  <c r="AK280" i="12"/>
  <c r="AK296" i="12"/>
  <c r="AK312" i="12"/>
  <c r="AG174" i="12"/>
  <c r="AG316" i="12"/>
  <c r="AG177" i="12"/>
  <c r="AG144" i="12"/>
  <c r="AG148" i="12"/>
  <c r="AG152" i="12"/>
  <c r="AG156" i="12"/>
  <c r="AG160" i="12"/>
  <c r="AG164" i="12"/>
  <c r="AG168" i="12"/>
  <c r="AG182" i="12"/>
  <c r="AG186" i="12"/>
  <c r="AG190" i="12"/>
  <c r="AG194" i="12"/>
  <c r="AG198" i="12"/>
  <c r="AG202" i="12"/>
  <c r="AG206" i="12"/>
  <c r="AG210" i="12"/>
  <c r="AG214" i="12"/>
  <c r="AG218" i="12"/>
  <c r="AG222" i="12"/>
  <c r="AG226" i="12"/>
  <c r="AG230" i="12"/>
  <c r="AG234" i="12"/>
  <c r="AG238" i="12"/>
  <c r="AG242" i="12"/>
  <c r="AG246" i="12"/>
  <c r="AG250" i="12"/>
  <c r="AG254" i="12"/>
  <c r="AG258" i="12"/>
  <c r="AG262" i="12"/>
  <c r="AG266" i="12"/>
  <c r="AG270" i="12"/>
  <c r="AG317" i="12"/>
  <c r="AG274" i="12"/>
  <c r="AG278" i="12"/>
  <c r="AG282" i="12"/>
  <c r="AG286" i="12"/>
  <c r="AG290" i="12"/>
  <c r="AG294" i="12"/>
  <c r="AG298" i="12"/>
  <c r="AG302" i="12"/>
  <c r="AG306" i="12"/>
  <c r="AG310" i="12"/>
  <c r="AG315" i="12"/>
  <c r="AG179" i="12"/>
  <c r="AG149" i="12"/>
  <c r="AG157" i="12"/>
  <c r="AG165" i="12"/>
  <c r="AG183" i="12"/>
  <c r="AG191" i="12"/>
  <c r="AG199" i="12"/>
  <c r="AG207" i="12"/>
  <c r="AG215" i="12"/>
  <c r="AG223" i="12"/>
  <c r="AG231" i="12"/>
  <c r="AG239" i="12"/>
  <c r="AG247" i="12"/>
  <c r="AG255" i="12"/>
  <c r="AG263" i="12"/>
  <c r="AG271" i="12"/>
  <c r="AG275" i="12"/>
  <c r="AG283" i="12"/>
  <c r="AG291" i="12"/>
  <c r="AG299" i="12"/>
  <c r="AG307" i="12"/>
  <c r="AK262" i="12"/>
  <c r="AK250" i="12"/>
  <c r="AK232" i="12"/>
  <c r="AK187" i="12"/>
  <c r="AK219" i="12"/>
  <c r="AK251" i="12"/>
  <c r="AK148" i="12"/>
  <c r="AK164" i="12"/>
  <c r="AK276" i="12"/>
  <c r="AK292" i="12"/>
  <c r="AK308" i="12"/>
  <c r="AG178" i="12"/>
  <c r="AG180" i="12"/>
  <c r="AG175" i="12"/>
  <c r="AG147" i="12"/>
  <c r="AG151" i="12"/>
  <c r="AG155" i="12"/>
  <c r="AG159" i="12"/>
  <c r="AG163" i="12"/>
  <c r="AG167" i="12"/>
  <c r="AG171" i="12"/>
  <c r="AG185" i="12"/>
  <c r="AG189" i="12"/>
  <c r="AG193" i="12"/>
  <c r="AG197" i="12"/>
  <c r="AG201" i="12"/>
  <c r="AG205" i="12"/>
  <c r="AG209" i="12"/>
  <c r="AG213" i="12"/>
  <c r="AG217" i="12"/>
  <c r="AG221" i="12"/>
  <c r="AG225" i="12"/>
  <c r="AG229" i="12"/>
  <c r="AG233" i="12"/>
  <c r="AG237" i="12"/>
  <c r="AG241" i="12"/>
  <c r="AG245" i="12"/>
  <c r="AG249" i="12"/>
  <c r="AG253" i="12"/>
  <c r="AG257" i="12"/>
  <c r="AG261" i="12"/>
  <c r="AG265" i="12"/>
  <c r="AG269" i="12"/>
  <c r="AG313" i="12"/>
  <c r="AG273" i="12"/>
  <c r="AG277" i="12"/>
  <c r="AG281" i="12"/>
  <c r="AG285" i="12"/>
  <c r="AG289" i="12"/>
  <c r="AG293" i="12"/>
  <c r="AG297" i="12"/>
  <c r="AG301" i="12"/>
  <c r="AG305" i="12"/>
  <c r="AK182" i="12"/>
  <c r="AK222" i="12"/>
  <c r="AK210" i="12"/>
  <c r="AK175" i="12"/>
  <c r="AK212" i="12"/>
  <c r="AK244" i="12"/>
  <c r="AK173" i="12"/>
  <c r="AK193" i="12"/>
  <c r="AK209" i="12"/>
  <c r="AK225" i="12"/>
  <c r="AK241" i="12"/>
  <c r="AK257" i="12"/>
  <c r="AK151" i="12"/>
  <c r="AK155" i="12"/>
  <c r="AK163" i="12"/>
  <c r="AK171" i="12"/>
  <c r="AK275" i="12"/>
  <c r="AK283" i="12"/>
  <c r="AK291" i="12"/>
  <c r="AK299" i="12"/>
  <c r="AK303" i="12"/>
  <c r="AK311" i="12"/>
  <c r="AK315" i="12"/>
  <c r="AK230" i="12"/>
  <c r="AK206" i="12"/>
  <c r="AK270" i="12"/>
  <c r="AK202" i="12"/>
  <c r="AK234" i="12"/>
  <c r="AK266" i="12"/>
  <c r="AK192" i="12"/>
  <c r="AK208" i="12"/>
  <c r="AK224" i="12"/>
  <c r="AK240" i="12"/>
  <c r="AK256" i="12"/>
  <c r="AK272" i="12"/>
  <c r="AK183" i="12"/>
  <c r="AK191" i="12"/>
  <c r="AK199" i="12"/>
  <c r="AK207" i="12"/>
  <c r="AK215" i="12"/>
  <c r="AK223" i="12"/>
  <c r="AK231" i="12"/>
  <c r="AK239" i="12"/>
  <c r="AK247" i="12"/>
  <c r="AK255" i="12"/>
  <c r="AK263" i="12"/>
  <c r="AK271" i="12"/>
  <c r="AK146" i="12"/>
  <c r="AK150" i="12"/>
  <c r="AK154" i="12"/>
  <c r="AK158" i="12"/>
  <c r="AK162" i="12"/>
  <c r="AK166" i="12"/>
  <c r="AK170" i="12"/>
  <c r="AK176" i="12"/>
  <c r="AK274" i="12"/>
  <c r="AK278" i="12"/>
  <c r="AK282" i="12"/>
  <c r="AK286" i="12"/>
  <c r="AK290" i="12"/>
  <c r="AK294" i="12"/>
  <c r="AK298" i="12"/>
  <c r="AK302" i="12"/>
  <c r="AK306" i="12"/>
  <c r="AK310" i="12"/>
  <c r="AK314" i="12"/>
  <c r="AK318" i="12"/>
  <c r="AK246" i="12"/>
  <c r="AK179" i="12"/>
  <c r="AK242" i="12"/>
  <c r="AK196" i="12"/>
  <c r="AK228" i="12"/>
  <c r="AK260" i="12"/>
  <c r="AK185" i="12"/>
  <c r="AK201" i="12"/>
  <c r="AK217" i="12"/>
  <c r="AK233" i="12"/>
  <c r="AK249" i="12"/>
  <c r="AK265" i="12"/>
  <c r="AK147" i="12"/>
  <c r="AK159" i="12"/>
  <c r="AK167" i="12"/>
  <c r="AK178" i="12"/>
  <c r="AK279" i="12"/>
  <c r="AK287" i="12"/>
  <c r="AK295" i="12"/>
  <c r="AK307" i="12"/>
  <c r="AK214" i="12"/>
  <c r="AK190" i="12"/>
  <c r="AK254" i="12"/>
  <c r="AK194" i="12"/>
  <c r="AK226" i="12"/>
  <c r="AK258" i="12"/>
  <c r="AK188" i="12"/>
  <c r="AK204" i="12"/>
  <c r="AK220" i="12"/>
  <c r="AK236" i="12"/>
  <c r="AK252" i="12"/>
  <c r="AK268" i="12"/>
  <c r="AK181" i="12"/>
  <c r="AK189" i="12"/>
  <c r="AK197" i="12"/>
  <c r="AK205" i="12"/>
  <c r="AK213" i="12"/>
  <c r="AK221" i="12"/>
  <c r="AK229" i="12"/>
  <c r="AK237" i="12"/>
  <c r="AK245" i="12"/>
  <c r="AK253" i="12"/>
  <c r="AK261" i="12"/>
  <c r="AK269" i="12"/>
  <c r="AK145" i="12"/>
  <c r="AK149" i="12"/>
  <c r="AK153" i="12"/>
  <c r="AK157" i="12"/>
  <c r="AK161" i="12"/>
  <c r="AK165" i="12"/>
  <c r="AK169" i="12"/>
  <c r="AK174" i="12"/>
  <c r="AK273" i="12"/>
  <c r="AK277" i="12"/>
  <c r="AK281" i="12"/>
  <c r="AK285" i="12"/>
  <c r="AK289" i="12"/>
  <c r="AK293" i="12"/>
  <c r="AK297" i="12"/>
  <c r="AK301" i="12"/>
  <c r="AK305" i="12"/>
  <c r="AK309" i="12"/>
  <c r="AK313" i="12"/>
  <c r="P249" i="9"/>
  <c r="P313" i="9"/>
  <c r="P185" i="9"/>
  <c r="E43" i="14"/>
  <c r="P265" i="9"/>
  <c r="G43" i="14"/>
  <c r="P201" i="9"/>
  <c r="P147" i="13"/>
  <c r="N183" i="9"/>
  <c r="N247" i="9"/>
  <c r="N311" i="9"/>
  <c r="N167" i="9"/>
  <c r="N199" i="9"/>
  <c r="N231" i="9"/>
  <c r="N263" i="9"/>
  <c r="N295" i="9"/>
  <c r="P153" i="9"/>
  <c r="P217" i="9"/>
  <c r="P281" i="9"/>
  <c r="P213" i="13"/>
  <c r="F43" i="14"/>
  <c r="N151" i="9"/>
  <c r="N215" i="9"/>
  <c r="N279" i="9"/>
  <c r="N171" i="9"/>
  <c r="N203" i="9"/>
  <c r="N235" i="9"/>
  <c r="N267" i="9"/>
  <c r="N299" i="9"/>
  <c r="P169" i="9"/>
  <c r="P233" i="9"/>
  <c r="P297" i="9"/>
  <c r="P273" i="13"/>
  <c r="N238" i="13"/>
  <c r="F45" i="14"/>
  <c r="N147" i="9"/>
  <c r="N163" i="9"/>
  <c r="N179" i="9"/>
  <c r="N195" i="9"/>
  <c r="N211" i="9"/>
  <c r="N227" i="9"/>
  <c r="N243" i="9"/>
  <c r="N259" i="9"/>
  <c r="N275" i="9"/>
  <c r="N291" i="9"/>
  <c r="N307" i="9"/>
  <c r="N143" i="9"/>
  <c r="N159" i="9"/>
  <c r="N175" i="9"/>
  <c r="N191" i="9"/>
  <c r="N207" i="9"/>
  <c r="N223" i="9"/>
  <c r="N239" i="9"/>
  <c r="N255" i="9"/>
  <c r="N271" i="9"/>
  <c r="N287" i="9"/>
  <c r="N303" i="9"/>
  <c r="P149" i="9"/>
  <c r="P165" i="9"/>
  <c r="P181" i="9"/>
  <c r="P197" i="9"/>
  <c r="P213" i="9"/>
  <c r="P229" i="9"/>
  <c r="P245" i="9"/>
  <c r="P261" i="9"/>
  <c r="P277" i="9"/>
  <c r="P293" i="9"/>
  <c r="P309" i="9"/>
  <c r="P212" i="13"/>
  <c r="P191" i="13"/>
  <c r="P294" i="13"/>
  <c r="N199" i="13"/>
  <c r="P145" i="9"/>
  <c r="P161" i="9"/>
  <c r="P177" i="9"/>
  <c r="P193" i="9"/>
  <c r="P209" i="9"/>
  <c r="P225" i="9"/>
  <c r="P241" i="9"/>
  <c r="P257" i="9"/>
  <c r="P273" i="9"/>
  <c r="P289" i="9"/>
  <c r="P305" i="9"/>
  <c r="P159" i="13"/>
  <c r="P241" i="13"/>
  <c r="N191" i="13"/>
  <c r="N280" i="13"/>
  <c r="P157" i="9"/>
  <c r="P173" i="9"/>
  <c r="P189" i="9"/>
  <c r="P205" i="9"/>
  <c r="P221" i="9"/>
  <c r="P235" i="9"/>
  <c r="P253" i="9"/>
  <c r="P269" i="9"/>
  <c r="P285" i="9"/>
  <c r="P301" i="9"/>
  <c r="P317" i="9"/>
  <c r="P188" i="13"/>
  <c r="P229" i="13"/>
  <c r="P293" i="13"/>
  <c r="N248" i="13"/>
  <c r="P144" i="9"/>
  <c r="P152" i="9"/>
  <c r="P160" i="9"/>
  <c r="P168" i="9"/>
  <c r="P176" i="9"/>
  <c r="P184" i="9"/>
  <c r="P192" i="9"/>
  <c r="P200" i="9"/>
  <c r="P208" i="9"/>
  <c r="P216" i="9"/>
  <c r="P224" i="9"/>
  <c r="P232" i="9"/>
  <c r="P240" i="9"/>
  <c r="P248" i="9"/>
  <c r="P256" i="9"/>
  <c r="P264" i="9"/>
  <c r="P272" i="9"/>
  <c r="P280" i="9"/>
  <c r="P288" i="9"/>
  <c r="P296" i="9"/>
  <c r="P304" i="9"/>
  <c r="P312" i="9"/>
  <c r="P146" i="13"/>
  <c r="P157" i="13"/>
  <c r="P211" i="13"/>
  <c r="P292" i="13"/>
  <c r="P271" i="13"/>
  <c r="N187" i="13"/>
  <c r="N234" i="13"/>
  <c r="N307" i="13"/>
  <c r="P236" i="9"/>
  <c r="P146" i="9"/>
  <c r="P150" i="9"/>
  <c r="P154" i="9"/>
  <c r="P158" i="9"/>
  <c r="P162" i="9"/>
  <c r="P166" i="9"/>
  <c r="P170" i="9"/>
  <c r="P174" i="9"/>
  <c r="P178" i="9"/>
  <c r="P182" i="9"/>
  <c r="P186" i="9"/>
  <c r="P190" i="9"/>
  <c r="P194" i="9"/>
  <c r="P198" i="9"/>
  <c r="P202" i="9"/>
  <c r="P206" i="9"/>
  <c r="P210" i="9"/>
  <c r="P214" i="9"/>
  <c r="P218" i="9"/>
  <c r="P222" i="9"/>
  <c r="P226" i="9"/>
  <c r="P230" i="9"/>
  <c r="P234" i="9"/>
  <c r="P237" i="9"/>
  <c r="P242" i="9"/>
  <c r="P246" i="9"/>
  <c r="P250" i="9"/>
  <c r="P254" i="9"/>
  <c r="P258" i="9"/>
  <c r="P262" i="9"/>
  <c r="P266" i="9"/>
  <c r="P270" i="9"/>
  <c r="P274" i="9"/>
  <c r="P278" i="9"/>
  <c r="P282" i="9"/>
  <c r="P286" i="9"/>
  <c r="P290" i="9"/>
  <c r="P294" i="9"/>
  <c r="P298" i="9"/>
  <c r="P302" i="9"/>
  <c r="P306" i="9"/>
  <c r="P310" i="9"/>
  <c r="P314" i="9"/>
  <c r="P318" i="9"/>
  <c r="P206" i="13"/>
  <c r="P154" i="13"/>
  <c r="P200" i="13"/>
  <c r="P173" i="13"/>
  <c r="P262" i="13"/>
  <c r="P230" i="13"/>
  <c r="P258" i="13"/>
  <c r="P288" i="13"/>
  <c r="P255" i="13"/>
  <c r="P287" i="13"/>
  <c r="P307" i="13"/>
  <c r="N177" i="13"/>
  <c r="N164" i="13"/>
  <c r="N148" i="13"/>
  <c r="N290" i="13"/>
  <c r="N271" i="13"/>
  <c r="N311" i="13"/>
  <c r="P148" i="9"/>
  <c r="P156" i="9"/>
  <c r="P164" i="9"/>
  <c r="P172" i="9"/>
  <c r="P180" i="9"/>
  <c r="P188" i="9"/>
  <c r="P196" i="9"/>
  <c r="P204" i="9"/>
  <c r="P212" i="9"/>
  <c r="P220" i="9"/>
  <c r="P228" i="9"/>
  <c r="Q142" i="9"/>
  <c r="Q316" i="9" s="1"/>
  <c r="P244" i="9"/>
  <c r="P252" i="9"/>
  <c r="P260" i="9"/>
  <c r="P268" i="9"/>
  <c r="P276" i="9"/>
  <c r="P284" i="9"/>
  <c r="P292" i="9"/>
  <c r="P300" i="9"/>
  <c r="P308" i="9"/>
  <c r="P316" i="9"/>
  <c r="P178" i="13"/>
  <c r="P184" i="13"/>
  <c r="P189" i="13"/>
  <c r="P227" i="13"/>
  <c r="P290" i="13"/>
  <c r="P314" i="13"/>
  <c r="N198" i="13"/>
  <c r="N239" i="13"/>
  <c r="P143" i="9"/>
  <c r="P147" i="9"/>
  <c r="P151" i="9"/>
  <c r="P155" i="9"/>
  <c r="P159" i="9"/>
  <c r="P163" i="9"/>
  <c r="P167" i="9"/>
  <c r="P171" i="9"/>
  <c r="P175" i="9"/>
  <c r="P179" i="9"/>
  <c r="P183" i="9"/>
  <c r="P187" i="9"/>
  <c r="P191" i="9"/>
  <c r="P195" i="9"/>
  <c r="P199" i="9"/>
  <c r="P203" i="9"/>
  <c r="P207" i="9"/>
  <c r="P211" i="9"/>
  <c r="P215" i="9"/>
  <c r="P219" i="9"/>
  <c r="P223" i="9"/>
  <c r="P227" i="9"/>
  <c r="P231" i="9"/>
  <c r="P238" i="9"/>
  <c r="P239" i="9"/>
  <c r="P243" i="9"/>
  <c r="P247" i="9"/>
  <c r="P251" i="9"/>
  <c r="P255" i="9"/>
  <c r="P259" i="9"/>
  <c r="P263" i="9"/>
  <c r="P267" i="9"/>
  <c r="P271" i="9"/>
  <c r="P275" i="9"/>
  <c r="P279" i="9"/>
  <c r="P283" i="9"/>
  <c r="P287" i="9"/>
  <c r="P291" i="9"/>
  <c r="P295" i="9"/>
  <c r="P299" i="9"/>
  <c r="P303" i="9"/>
  <c r="P307" i="9"/>
  <c r="P311" i="9"/>
  <c r="P170" i="13"/>
  <c r="P156" i="13"/>
  <c r="P208" i="13"/>
  <c r="P175" i="13"/>
  <c r="P197" i="13"/>
  <c r="P234" i="13"/>
  <c r="P266" i="13"/>
  <c r="P310" i="13"/>
  <c r="P257" i="13"/>
  <c r="P289" i="13"/>
  <c r="P309" i="13"/>
  <c r="N193" i="13"/>
  <c r="N166" i="13"/>
  <c r="N149" i="13"/>
  <c r="N244" i="13"/>
  <c r="N278" i="13"/>
  <c r="N315" i="13"/>
  <c r="N158" i="9"/>
  <c r="N174" i="9"/>
  <c r="N194" i="9"/>
  <c r="N214" i="9"/>
  <c r="N234" i="9"/>
  <c r="N250" i="9"/>
  <c r="N266" i="9"/>
  <c r="N282" i="9"/>
  <c r="N298" i="9"/>
  <c r="N318" i="9"/>
  <c r="N150" i="9"/>
  <c r="N166" i="9"/>
  <c r="N182" i="9"/>
  <c r="N190" i="9"/>
  <c r="N206" i="9"/>
  <c r="N218" i="9"/>
  <c r="N230" i="9"/>
  <c r="N242" i="9"/>
  <c r="N258" i="9"/>
  <c r="N274" i="9"/>
  <c r="N302" i="9"/>
  <c r="N157" i="9"/>
  <c r="N181" i="9"/>
  <c r="N205" i="9"/>
  <c r="N233" i="9"/>
  <c r="N261" i="9"/>
  <c r="N285" i="9"/>
  <c r="N313" i="9"/>
  <c r="M142" i="9"/>
  <c r="M236" i="9" s="1"/>
  <c r="N146" i="9"/>
  <c r="N154" i="9"/>
  <c r="N162" i="9"/>
  <c r="N170" i="9"/>
  <c r="N178" i="9"/>
  <c r="N186" i="9"/>
  <c r="N198" i="9"/>
  <c r="N202" i="9"/>
  <c r="N210" i="9"/>
  <c r="N222" i="9"/>
  <c r="N226" i="9"/>
  <c r="N238" i="9"/>
  <c r="N246" i="9"/>
  <c r="N254" i="9"/>
  <c r="N262" i="9"/>
  <c r="N270" i="9"/>
  <c r="N278" i="9"/>
  <c r="N286" i="9"/>
  <c r="N290" i="9"/>
  <c r="N294" i="9"/>
  <c r="N306" i="9"/>
  <c r="N310" i="9"/>
  <c r="N314" i="9"/>
  <c r="N145" i="9"/>
  <c r="N149" i="9"/>
  <c r="N153" i="9"/>
  <c r="N161" i="9"/>
  <c r="N165" i="9"/>
  <c r="N169" i="9"/>
  <c r="N173" i="9"/>
  <c r="N177" i="9"/>
  <c r="N185" i="9"/>
  <c r="N189" i="9"/>
  <c r="N193" i="9"/>
  <c r="N197" i="9"/>
  <c r="N201" i="9"/>
  <c r="N209" i="9"/>
  <c r="N213" i="9"/>
  <c r="N217" i="9"/>
  <c r="N221" i="9"/>
  <c r="N225" i="9"/>
  <c r="N229" i="9"/>
  <c r="N237" i="9"/>
  <c r="N241" i="9"/>
  <c r="N245" i="9"/>
  <c r="N249" i="9"/>
  <c r="N253" i="9"/>
  <c r="N257" i="9"/>
  <c r="N265" i="9"/>
  <c r="N269" i="9"/>
  <c r="N273" i="9"/>
  <c r="N277" i="9"/>
  <c r="N281" i="9"/>
  <c r="N289" i="9"/>
  <c r="N293" i="9"/>
  <c r="N297" i="9"/>
  <c r="N301" i="9"/>
  <c r="N305" i="9"/>
  <c r="N309" i="9"/>
  <c r="N317" i="9"/>
  <c r="N144" i="9"/>
  <c r="N148" i="9"/>
  <c r="N152" i="9"/>
  <c r="N156" i="9"/>
  <c r="N160" i="9"/>
  <c r="N164" i="9"/>
  <c r="N168" i="9"/>
  <c r="N172" i="9"/>
  <c r="N176" i="9"/>
  <c r="N180" i="9"/>
  <c r="N184" i="9"/>
  <c r="N188" i="9"/>
  <c r="N192" i="9"/>
  <c r="N196" i="9"/>
  <c r="N200" i="9"/>
  <c r="N204" i="9"/>
  <c r="N208" i="9"/>
  <c r="N212" i="9"/>
  <c r="N216" i="9"/>
  <c r="N220" i="9"/>
  <c r="N224" i="9"/>
  <c r="N228" i="9"/>
  <c r="N232" i="9"/>
  <c r="N236" i="9"/>
  <c r="N240" i="9"/>
  <c r="N244" i="9"/>
  <c r="N248" i="9"/>
  <c r="N252" i="9"/>
  <c r="N256" i="9"/>
  <c r="N260" i="9"/>
  <c r="N264" i="9"/>
  <c r="N268" i="9"/>
  <c r="N272" i="9"/>
  <c r="N276" i="9"/>
  <c r="N280" i="9"/>
  <c r="N284" i="9"/>
  <c r="N288" i="9"/>
  <c r="N292" i="9"/>
  <c r="N296" i="9"/>
  <c r="N300" i="9"/>
  <c r="N304" i="9"/>
  <c r="N308" i="9"/>
  <c r="N312" i="9"/>
  <c r="P194" i="13"/>
  <c r="P151" i="13"/>
  <c r="P172" i="13"/>
  <c r="P219" i="13"/>
  <c r="P222" i="13"/>
  <c r="P167" i="13"/>
  <c r="P183" i="13"/>
  <c r="P210" i="13"/>
  <c r="P205" i="13"/>
  <c r="P254" i="13"/>
  <c r="P274" i="13"/>
  <c r="P237" i="13"/>
  <c r="P260" i="13"/>
  <c r="P256" i="13"/>
  <c r="P298" i="13"/>
  <c r="P249" i="13"/>
  <c r="P265" i="13"/>
  <c r="P281" i="13"/>
  <c r="P312" i="13"/>
  <c r="P301" i="13"/>
  <c r="P316" i="13"/>
  <c r="N232" i="13"/>
  <c r="N159" i="13"/>
  <c r="N212" i="13"/>
  <c r="N182" i="13"/>
  <c r="N265" i="13"/>
  <c r="N208" i="13"/>
  <c r="N222" i="13"/>
  <c r="N225" i="13"/>
  <c r="N246" i="13"/>
  <c r="N276" i="13"/>
  <c r="N299" i="13"/>
  <c r="P190" i="13"/>
  <c r="P204" i="13"/>
  <c r="P150" i="13"/>
  <c r="P168" i="13"/>
  <c r="P214" i="13"/>
  <c r="P221" i="13"/>
  <c r="P165" i="13"/>
  <c r="P181" i="13"/>
  <c r="P202" i="13"/>
  <c r="P203" i="13"/>
  <c r="P244" i="13"/>
  <c r="P252" i="13"/>
  <c r="P235" i="13"/>
  <c r="P250" i="13"/>
  <c r="P248" i="13"/>
  <c r="P286" i="13"/>
  <c r="P247" i="13"/>
  <c r="P263" i="13"/>
  <c r="P279" i="13"/>
  <c r="P304" i="13"/>
  <c r="P299" i="13"/>
  <c r="P315" i="13"/>
  <c r="N205" i="13"/>
  <c r="N155" i="13"/>
  <c r="N197" i="13"/>
  <c r="N180" i="13"/>
  <c r="N236" i="13"/>
  <c r="N201" i="13"/>
  <c r="N218" i="13"/>
  <c r="N223" i="13"/>
  <c r="N283" i="13"/>
  <c r="N269" i="13"/>
  <c r="N301" i="13"/>
  <c r="N318" i="13"/>
  <c r="G159" i="14"/>
  <c r="BN315" i="9"/>
  <c r="BN305" i="9"/>
  <c r="BN289" i="9"/>
  <c r="BN273" i="9"/>
  <c r="BN257" i="9"/>
  <c r="BN241" i="9"/>
  <c r="BN225" i="9"/>
  <c r="BN209" i="9"/>
  <c r="BN193" i="9"/>
  <c r="BN177" i="9"/>
  <c r="BN161" i="9"/>
  <c r="BN145" i="9"/>
  <c r="BN297" i="9"/>
  <c r="BN217" i="9"/>
  <c r="BN169" i="9"/>
  <c r="BN309" i="9"/>
  <c r="BN293" i="9"/>
  <c r="BN277" i="9"/>
  <c r="BN261" i="9"/>
  <c r="BN245" i="9"/>
  <c r="BN229" i="9"/>
  <c r="BN213" i="9"/>
  <c r="BN197" i="9"/>
  <c r="BN181" i="9"/>
  <c r="BN165" i="9"/>
  <c r="BN149" i="9"/>
  <c r="BN313" i="9"/>
  <c r="BN281" i="9"/>
  <c r="BN265" i="9"/>
  <c r="BN249" i="9"/>
  <c r="BN233" i="9"/>
  <c r="BN201" i="9"/>
  <c r="BN185" i="9"/>
  <c r="BN153" i="9"/>
  <c r="BN269" i="9"/>
  <c r="BN205" i="9"/>
  <c r="BN285" i="9"/>
  <c r="BN221" i="9"/>
  <c r="BN157" i="9"/>
  <c r="BN301" i="9"/>
  <c r="BN236" i="9"/>
  <c r="BN173" i="9"/>
  <c r="BN317" i="9"/>
  <c r="BN253" i="9"/>
  <c r="BN189" i="9"/>
  <c r="BN152" i="9"/>
  <c r="BN180" i="9"/>
  <c r="BN212" i="9"/>
  <c r="BN240" i="9"/>
  <c r="BN264" i="9"/>
  <c r="BN284" i="9"/>
  <c r="BN304" i="9"/>
  <c r="BN146" i="9"/>
  <c r="BN162" i="9"/>
  <c r="BN178" i="9"/>
  <c r="BN194" i="9"/>
  <c r="BN210" i="9"/>
  <c r="BN226" i="9"/>
  <c r="BN242" i="9"/>
  <c r="BN258" i="9"/>
  <c r="BN274" i="9"/>
  <c r="BN290" i="9"/>
  <c r="BN306" i="9"/>
  <c r="BN148" i="9"/>
  <c r="BN184" i="9"/>
  <c r="BN216" i="9"/>
  <c r="BN260" i="9"/>
  <c r="BN155" i="9"/>
  <c r="BN171" i="9"/>
  <c r="BN187" i="9"/>
  <c r="BN203" i="9"/>
  <c r="BN219" i="9"/>
  <c r="BO142" i="9"/>
  <c r="BN251" i="9"/>
  <c r="BN267" i="9"/>
  <c r="BN283" i="9"/>
  <c r="BN299" i="9"/>
  <c r="BN168" i="9"/>
  <c r="BN228" i="9"/>
  <c r="BN272" i="9"/>
  <c r="BN312" i="9"/>
  <c r="BN154" i="9"/>
  <c r="BN170" i="9"/>
  <c r="BN186" i="9"/>
  <c r="BN202" i="9"/>
  <c r="BN218" i="9"/>
  <c r="BN250" i="9"/>
  <c r="BN266" i="9"/>
  <c r="BN282" i="9"/>
  <c r="BN314" i="9"/>
  <c r="BN164" i="9"/>
  <c r="BN234" i="9"/>
  <c r="BN300" i="9"/>
  <c r="BN163" i="9"/>
  <c r="BN195" i="9"/>
  <c r="BN227" i="9"/>
  <c r="BN259" i="9"/>
  <c r="BN291" i="9"/>
  <c r="BN144" i="9"/>
  <c r="BN176" i="9"/>
  <c r="BN204" i="9"/>
  <c r="BN232" i="9"/>
  <c r="BN256" i="9"/>
  <c r="BN280" i="9"/>
  <c r="BN296" i="9"/>
  <c r="BN316" i="9"/>
  <c r="BN237" i="9"/>
  <c r="BN158" i="9"/>
  <c r="BN174" i="9"/>
  <c r="BN190" i="9"/>
  <c r="BN206" i="9"/>
  <c r="BN222" i="9"/>
  <c r="BN238" i="9"/>
  <c r="BN254" i="9"/>
  <c r="BN270" i="9"/>
  <c r="BN286" i="9"/>
  <c r="BN302" i="9"/>
  <c r="BN318" i="9"/>
  <c r="BN172" i="9"/>
  <c r="BN208" i="9"/>
  <c r="BN248" i="9"/>
  <c r="BN151" i="9"/>
  <c r="BN167" i="9"/>
  <c r="BN183" i="9"/>
  <c r="BN199" i="9"/>
  <c r="BN215" i="9"/>
  <c r="BN231" i="9"/>
  <c r="BN247" i="9"/>
  <c r="BN263" i="9"/>
  <c r="BN279" i="9"/>
  <c r="BN295" i="9"/>
  <c r="BN311" i="9"/>
  <c r="BN196" i="9"/>
  <c r="BN252" i="9"/>
  <c r="BN292" i="9"/>
  <c r="BN235" i="9"/>
  <c r="BN298" i="9"/>
  <c r="BN200" i="9"/>
  <c r="BN147" i="9"/>
  <c r="BN179" i="9"/>
  <c r="BN211" i="9"/>
  <c r="BN243" i="9"/>
  <c r="BN275" i="9"/>
  <c r="BN307" i="9"/>
  <c r="BN188" i="9"/>
  <c r="BN288" i="9"/>
  <c r="BN198" i="9"/>
  <c r="BN262" i="9"/>
  <c r="BN156" i="9"/>
  <c r="BN175" i="9"/>
  <c r="BN239" i="9"/>
  <c r="BN303" i="9"/>
  <c r="BN308" i="9"/>
  <c r="BN214" i="9"/>
  <c r="BN192" i="9"/>
  <c r="BN191" i="9"/>
  <c r="BN160" i="9"/>
  <c r="BN268" i="9"/>
  <c r="BN182" i="9"/>
  <c r="BN246" i="9"/>
  <c r="BN310" i="9"/>
  <c r="BN276" i="9"/>
  <c r="BN159" i="9"/>
  <c r="BN223" i="9"/>
  <c r="BN287" i="9"/>
  <c r="BN244" i="9"/>
  <c r="BN166" i="9"/>
  <c r="BN230" i="9"/>
  <c r="BN294" i="9"/>
  <c r="BN224" i="9"/>
  <c r="BN143" i="9"/>
  <c r="BN207" i="9"/>
  <c r="BN271" i="9"/>
  <c r="BN220" i="9"/>
  <c r="BN150" i="9"/>
  <c r="BN278" i="9"/>
  <c r="BN255" i="9"/>
  <c r="BL316" i="9"/>
  <c r="BL312" i="9"/>
  <c r="BL308" i="9"/>
  <c r="BL304" i="9"/>
  <c r="BL300" i="9"/>
  <c r="BL296" i="9"/>
  <c r="BL292" i="9"/>
  <c r="BL288" i="9"/>
  <c r="BL284" i="9"/>
  <c r="BL280" i="9"/>
  <c r="BL276" i="9"/>
  <c r="BL272" i="9"/>
  <c r="BL268" i="9"/>
  <c r="BL264" i="9"/>
  <c r="BL260" i="9"/>
  <c r="BL256" i="9"/>
  <c r="BL252" i="9"/>
  <c r="BL248" i="9"/>
  <c r="BL244" i="9"/>
  <c r="BL240" i="9"/>
  <c r="BL236" i="9"/>
  <c r="BL232" i="9"/>
  <c r="BL228" i="9"/>
  <c r="BL224" i="9"/>
  <c r="BL220" i="9"/>
  <c r="BL216" i="9"/>
  <c r="BL212" i="9"/>
  <c r="BL208" i="9"/>
  <c r="BL204" i="9"/>
  <c r="BL200" i="9"/>
  <c r="BL196" i="9"/>
  <c r="BL192" i="9"/>
  <c r="BL188" i="9"/>
  <c r="BL184" i="9"/>
  <c r="BL180" i="9"/>
  <c r="BL176" i="9"/>
  <c r="BL172" i="9"/>
  <c r="BL168" i="9"/>
  <c r="BL164" i="9"/>
  <c r="BL160" i="9"/>
  <c r="BL156" i="9"/>
  <c r="BL152" i="9"/>
  <c r="BL148" i="9"/>
  <c r="BL144" i="9"/>
  <c r="BL314" i="9"/>
  <c r="BL306" i="9"/>
  <c r="BL298" i="9"/>
  <c r="BL290" i="9"/>
  <c r="BL286" i="9"/>
  <c r="BL278" i="9"/>
  <c r="BL270" i="9"/>
  <c r="BL262" i="9"/>
  <c r="BL254" i="9"/>
  <c r="BL246" i="9"/>
  <c r="BL238" i="9"/>
  <c r="BL230" i="9"/>
  <c r="BL222" i="9"/>
  <c r="BL214" i="9"/>
  <c r="BL206" i="9"/>
  <c r="BL198" i="9"/>
  <c r="BL190" i="9"/>
  <c r="BL182" i="9"/>
  <c r="BL174" i="9"/>
  <c r="BL166" i="9"/>
  <c r="BL158" i="9"/>
  <c r="BL150" i="9"/>
  <c r="BK142" i="9"/>
  <c r="BL317" i="9"/>
  <c r="BL313" i="9"/>
  <c r="BL309" i="9"/>
  <c r="BL305" i="9"/>
  <c r="BL301" i="9"/>
  <c r="BL297" i="9"/>
  <c r="BL293" i="9"/>
  <c r="BL289" i="9"/>
  <c r="BL285" i="9"/>
  <c r="BL281" i="9"/>
  <c r="BL277" i="9"/>
  <c r="BL273" i="9"/>
  <c r="BL269" i="9"/>
  <c r="BL265" i="9"/>
  <c r="BL261" i="9"/>
  <c r="BL257" i="9"/>
  <c r="BL253" i="9"/>
  <c r="BL249" i="9"/>
  <c r="BL245" i="9"/>
  <c r="BL241" i="9"/>
  <c r="BL237" i="9"/>
  <c r="BL233" i="9"/>
  <c r="BL229" i="9"/>
  <c r="BL225" i="9"/>
  <c r="BL221" i="9"/>
  <c r="BL217" i="9"/>
  <c r="BL213" i="9"/>
  <c r="BL209" i="9"/>
  <c r="BL205" i="9"/>
  <c r="BL201" i="9"/>
  <c r="BL197" i="9"/>
  <c r="BL193" i="9"/>
  <c r="BL189" i="9"/>
  <c r="BL185" i="9"/>
  <c r="BL181" i="9"/>
  <c r="BL177" i="9"/>
  <c r="BL173" i="9"/>
  <c r="BL169" i="9"/>
  <c r="BL165" i="9"/>
  <c r="BL161" i="9"/>
  <c r="BL157" i="9"/>
  <c r="BL153" i="9"/>
  <c r="BL149" i="9"/>
  <c r="BL145" i="9"/>
  <c r="BL318" i="9"/>
  <c r="BL310" i="9"/>
  <c r="BL302" i="9"/>
  <c r="BL294" i="9"/>
  <c r="BL282" i="9"/>
  <c r="BL274" i="9"/>
  <c r="BL266" i="9"/>
  <c r="BL258" i="9"/>
  <c r="BL250" i="9"/>
  <c r="BL242" i="9"/>
  <c r="BL234" i="9"/>
  <c r="BL226" i="9"/>
  <c r="BL218" i="9"/>
  <c r="BL210" i="9"/>
  <c r="BL202" i="9"/>
  <c r="BL194" i="9"/>
  <c r="BL186" i="9"/>
  <c r="BL178" i="9"/>
  <c r="BL170" i="9"/>
  <c r="BL162" i="9"/>
  <c r="BL154" i="9"/>
  <c r="BL146" i="9"/>
  <c r="BL315" i="9"/>
  <c r="BL299" i="9"/>
  <c r="BL283" i="9"/>
  <c r="BL267" i="9"/>
  <c r="BL251" i="9"/>
  <c r="BL235" i="9"/>
  <c r="BL219" i="9"/>
  <c r="BL203" i="9"/>
  <c r="BL187" i="9"/>
  <c r="BL171" i="9"/>
  <c r="BL155" i="9"/>
  <c r="BL263" i="9"/>
  <c r="BL303" i="9"/>
  <c r="BL287" i="9"/>
  <c r="BL271" i="9"/>
  <c r="BL255" i="9"/>
  <c r="BL239" i="9"/>
  <c r="BL223" i="9"/>
  <c r="BL207" i="9"/>
  <c r="BL191" i="9"/>
  <c r="BL175" i="9"/>
  <c r="BL159" i="9"/>
  <c r="BL143" i="9"/>
  <c r="BL307" i="9"/>
  <c r="BL291" i="9"/>
  <c r="BL275" i="9"/>
  <c r="BL259" i="9"/>
  <c r="BL243" i="9"/>
  <c r="BL227" i="9"/>
  <c r="BL211" i="9"/>
  <c r="BL195" i="9"/>
  <c r="BL179" i="9"/>
  <c r="BL163" i="9"/>
  <c r="BL147" i="9"/>
  <c r="BL311" i="9"/>
  <c r="BL295" i="9"/>
  <c r="BL279" i="9"/>
  <c r="BL247" i="9"/>
  <c r="BL231" i="9"/>
  <c r="BL215" i="9"/>
  <c r="BL199" i="9"/>
  <c r="BL183" i="9"/>
  <c r="BL167" i="9"/>
  <c r="BL151" i="9"/>
  <c r="BN316" i="12"/>
  <c r="BN208" i="12"/>
  <c r="BN309" i="12"/>
  <c r="BN176" i="12"/>
  <c r="BN303" i="12"/>
  <c r="BN149" i="12"/>
  <c r="BN184" i="12"/>
  <c r="BN248" i="12"/>
  <c r="BN236" i="12"/>
  <c r="BN172" i="12"/>
  <c r="BN280" i="12"/>
  <c r="BN228" i="12"/>
  <c r="BN179" i="12"/>
  <c r="BN308" i="12"/>
  <c r="BN210" i="12"/>
  <c r="BN242" i="12"/>
  <c r="BN273" i="12"/>
  <c r="BN163" i="12"/>
  <c r="BN284" i="12"/>
  <c r="BN198" i="12"/>
  <c r="BN230" i="12"/>
  <c r="BN262" i="12"/>
  <c r="BN297" i="12"/>
  <c r="BN313" i="12"/>
  <c r="BN158" i="12"/>
  <c r="BN177" i="12"/>
  <c r="BN274" i="12"/>
  <c r="BN306" i="12"/>
  <c r="BN193" i="12"/>
  <c r="BN209" i="12"/>
  <c r="BN225" i="12"/>
  <c r="BN241" i="12"/>
  <c r="BN257" i="12"/>
  <c r="BN289" i="12"/>
  <c r="BN148" i="12"/>
  <c r="BN164" i="12"/>
  <c r="BN283" i="12"/>
  <c r="BN286" i="12"/>
  <c r="BN183" i="12"/>
  <c r="BN199" i="12"/>
  <c r="BN215" i="12"/>
  <c r="BN231" i="12"/>
  <c r="BN247" i="12"/>
  <c r="BN263" i="12"/>
  <c r="BN304" i="12"/>
  <c r="BN272" i="12"/>
  <c r="BN175" i="12"/>
  <c r="BN153" i="12"/>
  <c r="BN252" i="12"/>
  <c r="BN305" i="12"/>
  <c r="BN288" i="12"/>
  <c r="BN232" i="12"/>
  <c r="BN204" i="12"/>
  <c r="BN318" i="12"/>
  <c r="BN212" i="12"/>
  <c r="BN178" i="12"/>
  <c r="BN167" i="12"/>
  <c r="BN292" i="12"/>
  <c r="BN202" i="12"/>
  <c r="BN234" i="12"/>
  <c r="BN266" i="12"/>
  <c r="BN155" i="12"/>
  <c r="BN311" i="12"/>
  <c r="BN190" i="12"/>
  <c r="BN222" i="12"/>
  <c r="BN254" i="12"/>
  <c r="BN285" i="12"/>
  <c r="BN154" i="12"/>
  <c r="BN170" i="12"/>
  <c r="BN307" i="12"/>
  <c r="BN298" i="12"/>
  <c r="BN189" i="12"/>
  <c r="BN205" i="12"/>
  <c r="BN221" i="12"/>
  <c r="BN237" i="12"/>
  <c r="BN253" i="12"/>
  <c r="BN269" i="12"/>
  <c r="BN281" i="12"/>
  <c r="BN144" i="12"/>
  <c r="BN160" i="12"/>
  <c r="BN181" i="12"/>
  <c r="BN278" i="12"/>
  <c r="BN310" i="12"/>
  <c r="BN195" i="12"/>
  <c r="BN211" i="12"/>
  <c r="BN227" i="12"/>
  <c r="BN243" i="12"/>
  <c r="BN259" i="12"/>
  <c r="BN240" i="12"/>
  <c r="BN224" i="12"/>
  <c r="BN157" i="12"/>
  <c r="BN256" i="12"/>
  <c r="BN165" i="12"/>
  <c r="BN264" i="12"/>
  <c r="BN268" i="12"/>
  <c r="BN145" i="12"/>
  <c r="BN244" i="12"/>
  <c r="BN159" i="12"/>
  <c r="BN194" i="12"/>
  <c r="BN258" i="12"/>
  <c r="BN147" i="12"/>
  <c r="BN182" i="12"/>
  <c r="BN246" i="12"/>
  <c r="BN146" i="12"/>
  <c r="BN275" i="12"/>
  <c r="BN315" i="12"/>
  <c r="BN213" i="12"/>
  <c r="BN245" i="12"/>
  <c r="BN152" i="12"/>
  <c r="BN299" i="12"/>
  <c r="BN187" i="12"/>
  <c r="BN219" i="12"/>
  <c r="BN251" i="12"/>
  <c r="BN277" i="12"/>
  <c r="BN287" i="12"/>
  <c r="BN260" i="12"/>
  <c r="BN295" i="12"/>
  <c r="BN218" i="12"/>
  <c r="BN206" i="12"/>
  <c r="BN270" i="12"/>
  <c r="BN291" i="12"/>
  <c r="BN217" i="12"/>
  <c r="BN156" i="12"/>
  <c r="BN191" i="12"/>
  <c r="BN255" i="12"/>
  <c r="BN192" i="12"/>
  <c r="BN220" i="12"/>
  <c r="BN216" i="12"/>
  <c r="BN296" i="12"/>
  <c r="BN196" i="12"/>
  <c r="BN151" i="12"/>
  <c r="BN186" i="12"/>
  <c r="BN250" i="12"/>
  <c r="BN293" i="12"/>
  <c r="BN300" i="12"/>
  <c r="BN238" i="12"/>
  <c r="BN174" i="12"/>
  <c r="BN166" i="12"/>
  <c r="BN290" i="12"/>
  <c r="BN201" i="12"/>
  <c r="BN233" i="12"/>
  <c r="BN265" i="12"/>
  <c r="BN301" i="12"/>
  <c r="BN173" i="12"/>
  <c r="BN302" i="12"/>
  <c r="BN207" i="12"/>
  <c r="BN239" i="12"/>
  <c r="BN271" i="12"/>
  <c r="BN188" i="12"/>
  <c r="BN200" i="12"/>
  <c r="BN169" i="12"/>
  <c r="BN312" i="12"/>
  <c r="BN276" i="12"/>
  <c r="BN226" i="12"/>
  <c r="BN279" i="12"/>
  <c r="BN214" i="12"/>
  <c r="BN180" i="12"/>
  <c r="BN162" i="12"/>
  <c r="BN282" i="12"/>
  <c r="BN197" i="12"/>
  <c r="BN229" i="12"/>
  <c r="BN261" i="12"/>
  <c r="BN314" i="12"/>
  <c r="BN168" i="12"/>
  <c r="BN294" i="12"/>
  <c r="BN203" i="12"/>
  <c r="BN235" i="12"/>
  <c r="BN267" i="12"/>
  <c r="BN161" i="12"/>
  <c r="BN171" i="12"/>
  <c r="BN150" i="12"/>
  <c r="BN185" i="12"/>
  <c r="BN249" i="12"/>
  <c r="BN317" i="12"/>
  <c r="BN223" i="12"/>
  <c r="BN317" i="13"/>
  <c r="BN242" i="13"/>
  <c r="BN254" i="13"/>
  <c r="BN167" i="13"/>
  <c r="BN156" i="13"/>
  <c r="BN237" i="13"/>
  <c r="BN306" i="13"/>
  <c r="BN270" i="13"/>
  <c r="BN224" i="13"/>
  <c r="BN221" i="13"/>
  <c r="BN225" i="13"/>
  <c r="BN236" i="13"/>
  <c r="BN302" i="13"/>
  <c r="BN217" i="13"/>
  <c r="BN213" i="13"/>
  <c r="BN202" i="13"/>
  <c r="BN251" i="13"/>
  <c r="BN262" i="13"/>
  <c r="BN315" i="13"/>
  <c r="BN209" i="13"/>
  <c r="BN184" i="13"/>
  <c r="BN279" i="13"/>
  <c r="BN187" i="13"/>
  <c r="BN189" i="13"/>
  <c r="BN192" i="13"/>
  <c r="BN228" i="13"/>
  <c r="BN295" i="13"/>
  <c r="BN294" i="13"/>
  <c r="BN159" i="13"/>
  <c r="BN177" i="13"/>
  <c r="BN154" i="13"/>
  <c r="BN186" i="13"/>
  <c r="BN208" i="13"/>
  <c r="BN222" i="13"/>
  <c r="BN240" i="13"/>
  <c r="BN287" i="13"/>
  <c r="BN268" i="13"/>
  <c r="BN303" i="13"/>
  <c r="BN155" i="13"/>
  <c r="BN145" i="13"/>
  <c r="BN185" i="13"/>
  <c r="BN158" i="13"/>
  <c r="BN190" i="13"/>
  <c r="BN212" i="13"/>
  <c r="BN226" i="13"/>
  <c r="BN244" i="13"/>
  <c r="BN299" i="13"/>
  <c r="BN272" i="13"/>
  <c r="BN292" i="13"/>
  <c r="BN179" i="13"/>
  <c r="BN180" i="13"/>
  <c r="BN291" i="13"/>
  <c r="BN173" i="13"/>
  <c r="BN255" i="13"/>
  <c r="BN318" i="13"/>
  <c r="BN243" i="13"/>
  <c r="BN210" i="13"/>
  <c r="BN188" i="13"/>
  <c r="BN172" i="13"/>
  <c r="BN150" i="13"/>
  <c r="BN257" i="13"/>
  <c r="BN282" i="13"/>
  <c r="BN203" i="13"/>
  <c r="BN195" i="13"/>
  <c r="BN199" i="13"/>
  <c r="BN232" i="13"/>
  <c r="BN246" i="13"/>
  <c r="BN298" i="13"/>
  <c r="BN273" i="13"/>
  <c r="BN285" i="13"/>
  <c r="BN157" i="13"/>
  <c r="BN176" i="13"/>
  <c r="BN227" i="13"/>
  <c r="BN275" i="13"/>
  <c r="BN290" i="13"/>
  <c r="BN201" i="13"/>
  <c r="BN161" i="13"/>
  <c r="BN205" i="13"/>
  <c r="BN178" i="13"/>
  <c r="BN200" i="13"/>
  <c r="BN231" i="13"/>
  <c r="BN283" i="13"/>
  <c r="BN289" i="13"/>
  <c r="BN260" i="13"/>
  <c r="BN293" i="13"/>
  <c r="BN312" i="13"/>
  <c r="BN191" i="13"/>
  <c r="BN247" i="13"/>
  <c r="BN169" i="13"/>
  <c r="BN219" i="13"/>
  <c r="BN182" i="13"/>
  <c r="BN204" i="13"/>
  <c r="BN239" i="13"/>
  <c r="BN263" i="13"/>
  <c r="BN314" i="13"/>
  <c r="BN264" i="13"/>
  <c r="BN309" i="13"/>
  <c r="BN271" i="13"/>
  <c r="BN144" i="13"/>
  <c r="BN181" i="13"/>
  <c r="BN311" i="13"/>
  <c r="BN152" i="13"/>
  <c r="BN286" i="13"/>
  <c r="BN215" i="13"/>
  <c r="BN250" i="13"/>
  <c r="BN165" i="13"/>
  <c r="BN235" i="13"/>
  <c r="BN301" i="13"/>
  <c r="BN297" i="13"/>
  <c r="BN277" i="13"/>
  <c r="BN261" i="13"/>
  <c r="BN206" i="13"/>
  <c r="BN197" i="13"/>
  <c r="BN259" i="13"/>
  <c r="BN310" i="13"/>
  <c r="BN151" i="13"/>
  <c r="BN170" i="13"/>
  <c r="BN220" i="13"/>
  <c r="BN281" i="13"/>
  <c r="BN284" i="13"/>
  <c r="BN183" i="13"/>
  <c r="BN196" i="13"/>
  <c r="BN249" i="13"/>
  <c r="BN256" i="13"/>
  <c r="BN308" i="13"/>
  <c r="BN148" i="13"/>
  <c r="BN278" i="13"/>
  <c r="BN266" i="13"/>
  <c r="BN160" i="13"/>
  <c r="BN245" i="13"/>
  <c r="BN175" i="13"/>
  <c r="BN193" i="13"/>
  <c r="BN194" i="13"/>
  <c r="BN230" i="13"/>
  <c r="BN313" i="13"/>
  <c r="BN166" i="13"/>
  <c r="BN269" i="13"/>
  <c r="BN171" i="13"/>
  <c r="BN168" i="13"/>
  <c r="BN218" i="13"/>
  <c r="BN307" i="13"/>
  <c r="BN146" i="13"/>
  <c r="BN214" i="13"/>
  <c r="BN274" i="13"/>
  <c r="BN147" i="13"/>
  <c r="BN162" i="13"/>
  <c r="BN216" i="13"/>
  <c r="BN253" i="13"/>
  <c r="BN276" i="13"/>
  <c r="BN163" i="13"/>
  <c r="BN211" i="13"/>
  <c r="BN207" i="13"/>
  <c r="BN234" i="13"/>
  <c r="BN248" i="13"/>
  <c r="BN300" i="13"/>
  <c r="BN316" i="13"/>
  <c r="BN164" i="13"/>
  <c r="BN305" i="13"/>
  <c r="BN198" i="13"/>
  <c r="BN258" i="13"/>
  <c r="BN233" i="13"/>
  <c r="BN265" i="13"/>
  <c r="BN229" i="13"/>
  <c r="BN238" i="13"/>
  <c r="BN252" i="13"/>
  <c r="BN304" i="13"/>
  <c r="BN153" i="13"/>
  <c r="BN174" i="13"/>
  <c r="BN223" i="13"/>
  <c r="BN267" i="13"/>
  <c r="BN288" i="13"/>
  <c r="BN296" i="13"/>
  <c r="BN149" i="13"/>
  <c r="BN241" i="13"/>
  <c r="BN280" i="13"/>
  <c r="BL318" i="12"/>
  <c r="BL283" i="12"/>
  <c r="BL203" i="12"/>
  <c r="BL167" i="12"/>
  <c r="BL267" i="12"/>
  <c r="BL291" i="12"/>
  <c r="BL211" i="12"/>
  <c r="BL200" i="12"/>
  <c r="BL198" i="12"/>
  <c r="BL214" i="12"/>
  <c r="BL173" i="12"/>
  <c r="BL294" i="12"/>
  <c r="BL165" i="12"/>
  <c r="BL180" i="12"/>
  <c r="BL264" i="12"/>
  <c r="BL227" i="12"/>
  <c r="BL307" i="12"/>
  <c r="BL164" i="12"/>
  <c r="BL251" i="12"/>
  <c r="BL228" i="12"/>
  <c r="BL256" i="12"/>
  <c r="BL242" i="12"/>
  <c r="BL225" i="12"/>
  <c r="BL178" i="12"/>
  <c r="BL153" i="12"/>
  <c r="BL252" i="12"/>
  <c r="BL216" i="12"/>
  <c r="BL160" i="12"/>
  <c r="BL222" i="12"/>
  <c r="BL183" i="12"/>
  <c r="BL215" i="12"/>
  <c r="BL247" i="12"/>
  <c r="BL181" i="12"/>
  <c r="BL292" i="12"/>
  <c r="BL295" i="12"/>
  <c r="BL268" i="12"/>
  <c r="BL162" i="12"/>
  <c r="BL185" i="12"/>
  <c r="BL249" i="12"/>
  <c r="BL280" i="12"/>
  <c r="BL305" i="12"/>
  <c r="BL260" i="12"/>
  <c r="BL155" i="12"/>
  <c r="BL175" i="12"/>
  <c r="BL186" i="12"/>
  <c r="BL250" i="12"/>
  <c r="BL197" i="12"/>
  <c r="BL229" i="12"/>
  <c r="BL261" i="12"/>
  <c r="BL174" i="12"/>
  <c r="BL277" i="12"/>
  <c r="BL309" i="12"/>
  <c r="BL262" i="12"/>
  <c r="BL156" i="12"/>
  <c r="BL317" i="12"/>
  <c r="BL235" i="12"/>
  <c r="BL151" i="12"/>
  <c r="BL195" i="12"/>
  <c r="BL275" i="12"/>
  <c r="BL232" i="12"/>
  <c r="BL219" i="12"/>
  <c r="BL299" i="12"/>
  <c r="BL192" i="12"/>
  <c r="BL210" i="12"/>
  <c r="BL209" i="12"/>
  <c r="BL274" i="12"/>
  <c r="BL312" i="12"/>
  <c r="BL188" i="12"/>
  <c r="BL184" i="12"/>
  <c r="BL152" i="12"/>
  <c r="BL206" i="12"/>
  <c r="BL270" i="12"/>
  <c r="BL207" i="12"/>
  <c r="BL239" i="12"/>
  <c r="BL271" i="12"/>
  <c r="BL276" i="12"/>
  <c r="BL287" i="12"/>
  <c r="BL315" i="12"/>
  <c r="BL157" i="12"/>
  <c r="BL146" i="12"/>
  <c r="BL258" i="12"/>
  <c r="BL233" i="12"/>
  <c r="BL306" i="12"/>
  <c r="BL297" i="12"/>
  <c r="BL196" i="12"/>
  <c r="BL302" i="12"/>
  <c r="BL240" i="12"/>
  <c r="BL166" i="12"/>
  <c r="BL234" i="12"/>
  <c r="BL189" i="12"/>
  <c r="BL221" i="12"/>
  <c r="BL253" i="12"/>
  <c r="BL290" i="12"/>
  <c r="BL304" i="12"/>
  <c r="BL301" i="12"/>
  <c r="BL220" i="12"/>
  <c r="BL284" i="12"/>
  <c r="BL313" i="12"/>
  <c r="BL182" i="12"/>
  <c r="BL169" i="12"/>
  <c r="BL282" i="12"/>
  <c r="BL154" i="12"/>
  <c r="BL241" i="12"/>
  <c r="BL212" i="12"/>
  <c r="BL248" i="12"/>
  <c r="BL238" i="12"/>
  <c r="BL223" i="12"/>
  <c r="BL298" i="12"/>
  <c r="BL303" i="12"/>
  <c r="BL194" i="12"/>
  <c r="BL265" i="12"/>
  <c r="BL316" i="12"/>
  <c r="BL171" i="12"/>
  <c r="BL202" i="12"/>
  <c r="BL205" i="12"/>
  <c r="BL269" i="12"/>
  <c r="BL285" i="12"/>
  <c r="BL246" i="12"/>
  <c r="BL300" i="12"/>
  <c r="BL257" i="12"/>
  <c r="BL144" i="12"/>
  <c r="BL254" i="12"/>
  <c r="BL176" i="12"/>
  <c r="BL161" i="12"/>
  <c r="BL208" i="12"/>
  <c r="BL213" i="12"/>
  <c r="BL293" i="12"/>
  <c r="BL148" i="12"/>
  <c r="BL244" i="12"/>
  <c r="BL172" i="12"/>
  <c r="BL187" i="12"/>
  <c r="BL147" i="12"/>
  <c r="BL193" i="12"/>
  <c r="BL289" i="12"/>
  <c r="BL159" i="12"/>
  <c r="BL190" i="12"/>
  <c r="BL199" i="12"/>
  <c r="BL263" i="12"/>
  <c r="BL279" i="12"/>
  <c r="BL224" i="12"/>
  <c r="BL217" i="12"/>
  <c r="BL281" i="12"/>
  <c r="BL236" i="12"/>
  <c r="BL158" i="12"/>
  <c r="BL310" i="12"/>
  <c r="BL245" i="12"/>
  <c r="BL288" i="12"/>
  <c r="BL243" i="12"/>
  <c r="BL259" i="12"/>
  <c r="BL230" i="12"/>
  <c r="BL204" i="12"/>
  <c r="BL278" i="12"/>
  <c r="BL296" i="12"/>
  <c r="BL168" i="12"/>
  <c r="BL191" i="12"/>
  <c r="BL255" i="12"/>
  <c r="BL308" i="12"/>
  <c r="BL163" i="12"/>
  <c r="BL201" i="12"/>
  <c r="BL273" i="12"/>
  <c r="BL179" i="12"/>
  <c r="BL150" i="12"/>
  <c r="BL266" i="12"/>
  <c r="BL237" i="12"/>
  <c r="BL272" i="12"/>
  <c r="BL314" i="12"/>
  <c r="BL286" i="12"/>
  <c r="BL170" i="12"/>
  <c r="BL149" i="12"/>
  <c r="BL231" i="12"/>
  <c r="BL311" i="12"/>
  <c r="BL226" i="12"/>
  <c r="BL145" i="12"/>
  <c r="BL218" i="12"/>
  <c r="BL177" i="12"/>
  <c r="BL302" i="13"/>
  <c r="BL236" i="13"/>
  <c r="BL203" i="13"/>
  <c r="BL283" i="13"/>
  <c r="BL194" i="13"/>
  <c r="BL271" i="13"/>
  <c r="BL306" i="13"/>
  <c r="BL223" i="13"/>
  <c r="BL183" i="13"/>
  <c r="BL247" i="13"/>
  <c r="BL195" i="13"/>
  <c r="BL261" i="13"/>
  <c r="BL158" i="13"/>
  <c r="BL216" i="13"/>
  <c r="BL225" i="13"/>
  <c r="BL239" i="13"/>
  <c r="BL249" i="13"/>
  <c r="BL293" i="13"/>
  <c r="BL270" i="13"/>
  <c r="BL197" i="13"/>
  <c r="BL260" i="13"/>
  <c r="BL168" i="13"/>
  <c r="BL187" i="13"/>
  <c r="BL213" i="13"/>
  <c r="BL224" i="13"/>
  <c r="BL274" i="13"/>
  <c r="BL162" i="13"/>
  <c r="BL156" i="13"/>
  <c r="BL210" i="13"/>
  <c r="BL181" i="13"/>
  <c r="BL265" i="13"/>
  <c r="BL198" i="13"/>
  <c r="BL256" i="13"/>
  <c r="BL282" i="13"/>
  <c r="BL262" i="13"/>
  <c r="BL314" i="13"/>
  <c r="BL312" i="13"/>
  <c r="BL201" i="13"/>
  <c r="BL186" i="13"/>
  <c r="BL237" i="13"/>
  <c r="BL177" i="13"/>
  <c r="BL233" i="13"/>
  <c r="BL153" i="13"/>
  <c r="BL240" i="13"/>
  <c r="BL278" i="13"/>
  <c r="BL250" i="13"/>
  <c r="BL289" i="13"/>
  <c r="BL294" i="13"/>
  <c r="BL170" i="13"/>
  <c r="BL280" i="13"/>
  <c r="BL179" i="13"/>
  <c r="BL281" i="13"/>
  <c r="BL311" i="13"/>
  <c r="BL208" i="13"/>
  <c r="BL155" i="13"/>
  <c r="BL305" i="13"/>
  <c r="BL219" i="13"/>
  <c r="BL315" i="13"/>
  <c r="BL299" i="13"/>
  <c r="BL269" i="13"/>
  <c r="BL192" i="13"/>
  <c r="BL160" i="13"/>
  <c r="BL266" i="13"/>
  <c r="BL148" i="13"/>
  <c r="BL163" i="13"/>
  <c r="BL241" i="13"/>
  <c r="BL176" i="13"/>
  <c r="BL191" i="13"/>
  <c r="BL218" i="13"/>
  <c r="BL228" i="13"/>
  <c r="BL288" i="13"/>
  <c r="BL207" i="13"/>
  <c r="BL246" i="13"/>
  <c r="BL232" i="13"/>
  <c r="BL316" i="13"/>
  <c r="BL263" i="13"/>
  <c r="BL171" i="13"/>
  <c r="BL150" i="13"/>
  <c r="BL257" i="13"/>
  <c r="BL276" i="13"/>
  <c r="BL309" i="13"/>
  <c r="BL154" i="13"/>
  <c r="BL215" i="13"/>
  <c r="BL173" i="13"/>
  <c r="BL212" i="13"/>
  <c r="BL151" i="13"/>
  <c r="BL235" i="13"/>
  <c r="BL258" i="13"/>
  <c r="BL244" i="13"/>
  <c r="BL279" i="13"/>
  <c r="BL313" i="13"/>
  <c r="BL310" i="13"/>
  <c r="BL229" i="13"/>
  <c r="BL199" i="13"/>
  <c r="BL169" i="13"/>
  <c r="BL204" i="13"/>
  <c r="BL149" i="13"/>
  <c r="BL227" i="13"/>
  <c r="BL248" i="13"/>
  <c r="BL238" i="13"/>
  <c r="BL275" i="13"/>
  <c r="BL296" i="13"/>
  <c r="BL220" i="13"/>
  <c r="BL167" i="13"/>
  <c r="BL301" i="13"/>
  <c r="BL184" i="13"/>
  <c r="BL303" i="13"/>
  <c r="BL175" i="13"/>
  <c r="BL152" i="13"/>
  <c r="BL277" i="13"/>
  <c r="BL318" i="13"/>
  <c r="BL174" i="13"/>
  <c r="BL159" i="13"/>
  <c r="BL307" i="13"/>
  <c r="BL209" i="13"/>
  <c r="BL243" i="13"/>
  <c r="BL166" i="13"/>
  <c r="BL165" i="13"/>
  <c r="BL147" i="13"/>
  <c r="BL242" i="13"/>
  <c r="BL267" i="13"/>
  <c r="BL317" i="13"/>
  <c r="BL180" i="13"/>
  <c r="BL193" i="13"/>
  <c r="BL264" i="13"/>
  <c r="BL230" i="13"/>
  <c r="BL297" i="13"/>
  <c r="BL205" i="13"/>
  <c r="BL146" i="13"/>
  <c r="BL144" i="13"/>
  <c r="BL255" i="13"/>
  <c r="BL200" i="13"/>
  <c r="BL298" i="13"/>
  <c r="BL172" i="13"/>
  <c r="BL214" i="13"/>
  <c r="BL226" i="13"/>
  <c r="BL287" i="13"/>
  <c r="BL190" i="13"/>
  <c r="BL272" i="13"/>
  <c r="BL217" i="13"/>
  <c r="BL292" i="13"/>
  <c r="BL291" i="13"/>
  <c r="BL202" i="13"/>
  <c r="BL252" i="13"/>
  <c r="BL231" i="13"/>
  <c r="BL178" i="13"/>
  <c r="BL157" i="13"/>
  <c r="BL253" i="13"/>
  <c r="BL251" i="13"/>
  <c r="BL300" i="13"/>
  <c r="BL164" i="13"/>
  <c r="BL185" i="13"/>
  <c r="BL206" i="13"/>
  <c r="BL222" i="13"/>
  <c r="BL273" i="13"/>
  <c r="BL295" i="13"/>
  <c r="BL268" i="13"/>
  <c r="BL285" i="13"/>
  <c r="BL254" i="13"/>
  <c r="BL290" i="13"/>
  <c r="BL211" i="13"/>
  <c r="BL188" i="13"/>
  <c r="BL196" i="13"/>
  <c r="BL221" i="13"/>
  <c r="BL234" i="13"/>
  <c r="BL286" i="13"/>
  <c r="BL245" i="13"/>
  <c r="BL161" i="13"/>
  <c r="BL145" i="13"/>
  <c r="BL304" i="13"/>
  <c r="BL259" i="13"/>
  <c r="BL308" i="13"/>
  <c r="BL182" i="13"/>
  <c r="BL189" i="13"/>
  <c r="BL284" i="13"/>
  <c r="D136" i="14"/>
  <c r="D138" i="14"/>
  <c r="F138" i="14"/>
  <c r="F136" i="14"/>
  <c r="BD318" i="13"/>
  <c r="BD311" i="13"/>
  <c r="BD303" i="13"/>
  <c r="BD295" i="13"/>
  <c r="BD302" i="13"/>
  <c r="BD289" i="13"/>
  <c r="BD281" i="13"/>
  <c r="BD273" i="13"/>
  <c r="BD265" i="13"/>
  <c r="BD257" i="13"/>
  <c r="BD249" i="13"/>
  <c r="BD304" i="13"/>
  <c r="BD286" i="13"/>
  <c r="BD274" i="13"/>
  <c r="BD276" i="13"/>
  <c r="BD243" i="13"/>
  <c r="BD254" i="13"/>
  <c r="BD250" i="13"/>
  <c r="BD235" i="13"/>
  <c r="BD227" i="13"/>
  <c r="BD278" i="13"/>
  <c r="BD230" i="13"/>
  <c r="BD219" i="13"/>
  <c r="BD221" i="13"/>
  <c r="BD211" i="13"/>
  <c r="BD203" i="13"/>
  <c r="BD195" i="13"/>
  <c r="BD214" i="13"/>
  <c r="BD191" i="13"/>
  <c r="BD183" i="13"/>
  <c r="BD175" i="13"/>
  <c r="BD167" i="13"/>
  <c r="BD159" i="13"/>
  <c r="BD218" i="13"/>
  <c r="BD232" i="13"/>
  <c r="BD184" i="13"/>
  <c r="BD168" i="13"/>
  <c r="BD153" i="13"/>
  <c r="BD149" i="13"/>
  <c r="BD145" i="13"/>
  <c r="BD208" i="13"/>
  <c r="BD158" i="13"/>
  <c r="BD240" i="13"/>
  <c r="BD200" i="13"/>
  <c r="BD224" i="13"/>
  <c r="BD313" i="13"/>
  <c r="BD305" i="13"/>
  <c r="BD297" i="13"/>
  <c r="BD310" i="13"/>
  <c r="BD292" i="13"/>
  <c r="BD283" i="13"/>
  <c r="BD275" i="13"/>
  <c r="BD267" i="13"/>
  <c r="BD259" i="13"/>
  <c r="BD251" i="13"/>
  <c r="BD315" i="13"/>
  <c r="BD306" i="13"/>
  <c r="BD280" i="13"/>
  <c r="BD282" i="13"/>
  <c r="BD252" i="13"/>
  <c r="BD264" i="13"/>
  <c r="BD262" i="13"/>
  <c r="BD237" i="13"/>
  <c r="BD229" i="13"/>
  <c r="BD284" i="13"/>
  <c r="BD234" i="13"/>
  <c r="BD220" i="13"/>
  <c r="BD248" i="13"/>
  <c r="BD213" i="13"/>
  <c r="BD205" i="13"/>
  <c r="BD197" i="13"/>
  <c r="BD228" i="13"/>
  <c r="BD193" i="13"/>
  <c r="BD185" i="13"/>
  <c r="BD177" i="13"/>
  <c r="BD169" i="13"/>
  <c r="BD161" i="13"/>
  <c r="BD196" i="13"/>
  <c r="BD188" i="13"/>
  <c r="BD172" i="13"/>
  <c r="BD156" i="13"/>
  <c r="BD150" i="13"/>
  <c r="BD146" i="13"/>
  <c r="BD258" i="13"/>
  <c r="BD174" i="13"/>
  <c r="BD154" i="13"/>
  <c r="BD210" i="13"/>
  <c r="BD178" i="13"/>
  <c r="BD307" i="13"/>
  <c r="BD291" i="13"/>
  <c r="BD285" i="13"/>
  <c r="BD269" i="13"/>
  <c r="BD253" i="13"/>
  <c r="BD317" i="13"/>
  <c r="BD294" i="13"/>
  <c r="BD272" i="13"/>
  <c r="BD239" i="13"/>
  <c r="BD223" i="13"/>
  <c r="BD222" i="13"/>
  <c r="BD215" i="13"/>
  <c r="BD199" i="13"/>
  <c r="BD198" i="13"/>
  <c r="BD179" i="13"/>
  <c r="BD163" i="13"/>
  <c r="BD204" i="13"/>
  <c r="BD176" i="13"/>
  <c r="BD151" i="13"/>
  <c r="BD170" i="13"/>
  <c r="BD182" i="13"/>
  <c r="BD301" i="13"/>
  <c r="BD279" i="13"/>
  <c r="BD247" i="13"/>
  <c r="BD268" i="13"/>
  <c r="BD233" i="13"/>
  <c r="BD298" i="13"/>
  <c r="BD256" i="13"/>
  <c r="BD173" i="13"/>
  <c r="BD202" i="13"/>
  <c r="BD148" i="13"/>
  <c r="BD194" i="13"/>
  <c r="BD309" i="13"/>
  <c r="BD293" i="13"/>
  <c r="BD287" i="13"/>
  <c r="BD271" i="13"/>
  <c r="BD255" i="13"/>
  <c r="BD296" i="13"/>
  <c r="BD266" i="13"/>
  <c r="BD241" i="13"/>
  <c r="BD242" i="13"/>
  <c r="BD225" i="13"/>
  <c r="BD226" i="13"/>
  <c r="BD217" i="13"/>
  <c r="BD201" i="13"/>
  <c r="BD206" i="13"/>
  <c r="BD181" i="13"/>
  <c r="BD165" i="13"/>
  <c r="BD212" i="13"/>
  <c r="BD180" i="13"/>
  <c r="BD152" i="13"/>
  <c r="BD144" i="13"/>
  <c r="BD186" i="13"/>
  <c r="BD166" i="13"/>
  <c r="BD314" i="13"/>
  <c r="BD299" i="13"/>
  <c r="BD300" i="13"/>
  <c r="BD277" i="13"/>
  <c r="BD261" i="13"/>
  <c r="BD245" i="13"/>
  <c r="BD290" i="13"/>
  <c r="BD260" i="13"/>
  <c r="BD270" i="13"/>
  <c r="BD231" i="13"/>
  <c r="BD238" i="13"/>
  <c r="BD288" i="13"/>
  <c r="BD207" i="13"/>
  <c r="BD236" i="13"/>
  <c r="BD187" i="13"/>
  <c r="BD171" i="13"/>
  <c r="BD155" i="13"/>
  <c r="BD192" i="13"/>
  <c r="BD160" i="13"/>
  <c r="BD147" i="13"/>
  <c r="BD190" i="13"/>
  <c r="BD162" i="13"/>
  <c r="BD316" i="13"/>
  <c r="BD308" i="13"/>
  <c r="BD263" i="13"/>
  <c r="BD312" i="13"/>
  <c r="BD244" i="13"/>
  <c r="BD246" i="13"/>
  <c r="BD209" i="13"/>
  <c r="BD189" i="13"/>
  <c r="BD157" i="13"/>
  <c r="BD164" i="13"/>
  <c r="BD216" i="13"/>
  <c r="BB317" i="12"/>
  <c r="BB313" i="12"/>
  <c r="BB306" i="12"/>
  <c r="BB298" i="12"/>
  <c r="BB290" i="12"/>
  <c r="BB282" i="12"/>
  <c r="BB274" i="12"/>
  <c r="BB299" i="12"/>
  <c r="BB283" i="12"/>
  <c r="BB179" i="12"/>
  <c r="BB171" i="12"/>
  <c r="BB281" i="12"/>
  <c r="BB172" i="12"/>
  <c r="BB266" i="12"/>
  <c r="BB258" i="12"/>
  <c r="BB250" i="12"/>
  <c r="BB242" i="12"/>
  <c r="BB234" i="12"/>
  <c r="BB226" i="12"/>
  <c r="BB218" i="12"/>
  <c r="BB210" i="12"/>
  <c r="BB202" i="12"/>
  <c r="BB194" i="12"/>
  <c r="BB186" i="12"/>
  <c r="BB301" i="12"/>
  <c r="BB261" i="12"/>
  <c r="BB245" i="12"/>
  <c r="BB229" i="12"/>
  <c r="BB213" i="12"/>
  <c r="BB197" i="12"/>
  <c r="BB178" i="12"/>
  <c r="BB163" i="12"/>
  <c r="BB155" i="12"/>
  <c r="BB147" i="12"/>
  <c r="BB271" i="12"/>
  <c r="BB239" i="12"/>
  <c r="BB207" i="12"/>
  <c r="BB170" i="12"/>
  <c r="BB154" i="12"/>
  <c r="BB259" i="12"/>
  <c r="BB195" i="12"/>
  <c r="BB293" i="12"/>
  <c r="BB219" i="12"/>
  <c r="BB168" i="12"/>
  <c r="BB310" i="12"/>
  <c r="BB302" i="12"/>
  <c r="BB286" i="12"/>
  <c r="BB307" i="12"/>
  <c r="BB275" i="12"/>
  <c r="BB175" i="12"/>
  <c r="BB180" i="12"/>
  <c r="BB262" i="12"/>
  <c r="BB246" i="12"/>
  <c r="BB230" i="12"/>
  <c r="BB214" i="12"/>
  <c r="BB198" i="12"/>
  <c r="BB182" i="12"/>
  <c r="BB253" i="12"/>
  <c r="BB221" i="12"/>
  <c r="BB189" i="12"/>
  <c r="BB159" i="12"/>
  <c r="BB223" i="12"/>
  <c r="BB162" i="12"/>
  <c r="BB318" i="12"/>
  <c r="BB314" i="12"/>
  <c r="BB308" i="12"/>
  <c r="BB300" i="12"/>
  <c r="BB292" i="12"/>
  <c r="BB284" i="12"/>
  <c r="BB276" i="12"/>
  <c r="BB303" i="12"/>
  <c r="BB287" i="12"/>
  <c r="BB181" i="12"/>
  <c r="BB173" i="12"/>
  <c r="BB289" i="12"/>
  <c r="BB176" i="12"/>
  <c r="BB268" i="12"/>
  <c r="BB260" i="12"/>
  <c r="BB252" i="12"/>
  <c r="BB244" i="12"/>
  <c r="BB236" i="12"/>
  <c r="BB228" i="12"/>
  <c r="BB220" i="12"/>
  <c r="BB212" i="12"/>
  <c r="BB204" i="12"/>
  <c r="BB196" i="12"/>
  <c r="BB188" i="12"/>
  <c r="BB265" i="12"/>
  <c r="BB249" i="12"/>
  <c r="BB233" i="12"/>
  <c r="BB217" i="12"/>
  <c r="BB201" i="12"/>
  <c r="BB185" i="12"/>
  <c r="BB165" i="12"/>
  <c r="BB157" i="12"/>
  <c r="BB149" i="12"/>
  <c r="BB309" i="12"/>
  <c r="BB247" i="12"/>
  <c r="BB215" i="12"/>
  <c r="BB183" i="12"/>
  <c r="BB158" i="12"/>
  <c r="BB277" i="12"/>
  <c r="BB211" i="12"/>
  <c r="BB148" i="12"/>
  <c r="BB235" i="12"/>
  <c r="BB174" i="12"/>
  <c r="BB144" i="12"/>
  <c r="BB315" i="12"/>
  <c r="BB294" i="12"/>
  <c r="BB278" i="12"/>
  <c r="BB291" i="12"/>
  <c r="BB297" i="12"/>
  <c r="BB270" i="12"/>
  <c r="BB254" i="12"/>
  <c r="BB238" i="12"/>
  <c r="BB222" i="12"/>
  <c r="BB206" i="12"/>
  <c r="BB190" i="12"/>
  <c r="BB269" i="12"/>
  <c r="BB237" i="12"/>
  <c r="BB205" i="12"/>
  <c r="BB167" i="12"/>
  <c r="BB151" i="12"/>
  <c r="BB255" i="12"/>
  <c r="BB191" i="12"/>
  <c r="BB146" i="12"/>
  <c r="BB304" i="12"/>
  <c r="BB311" i="12"/>
  <c r="BB305" i="12"/>
  <c r="BB256" i="12"/>
  <c r="BB224" i="12"/>
  <c r="BB192" i="12"/>
  <c r="BB241" i="12"/>
  <c r="BB169" i="12"/>
  <c r="BB263" i="12"/>
  <c r="BB150" i="12"/>
  <c r="BB156" i="12"/>
  <c r="BB187" i="12"/>
  <c r="BB216" i="12"/>
  <c r="BB267" i="12"/>
  <c r="BB312" i="12"/>
  <c r="BB280" i="12"/>
  <c r="BB177" i="12"/>
  <c r="BB264" i="12"/>
  <c r="BB232" i="12"/>
  <c r="BB200" i="12"/>
  <c r="BB257" i="12"/>
  <c r="BB193" i="12"/>
  <c r="BB145" i="12"/>
  <c r="BB166" i="12"/>
  <c r="BB164" i="12"/>
  <c r="BB203" i="12"/>
  <c r="BB316" i="12"/>
  <c r="BB288" i="12"/>
  <c r="BB279" i="12"/>
  <c r="BB272" i="12"/>
  <c r="BB240" i="12"/>
  <c r="BB208" i="12"/>
  <c r="BB285" i="12"/>
  <c r="BB209" i="12"/>
  <c r="BB153" i="12"/>
  <c r="BB199" i="12"/>
  <c r="BB227" i="12"/>
  <c r="BB251" i="12"/>
  <c r="BB152" i="12"/>
  <c r="BB296" i="12"/>
  <c r="BB295" i="12"/>
  <c r="BB273" i="12"/>
  <c r="BB248" i="12"/>
  <c r="BB184" i="12"/>
  <c r="BB225" i="12"/>
  <c r="BB161" i="12"/>
  <c r="BB231" i="12"/>
  <c r="BB243" i="12"/>
  <c r="BB160" i="12"/>
  <c r="BB318" i="13"/>
  <c r="BB301" i="13"/>
  <c r="BB299" i="13"/>
  <c r="BB303" i="13"/>
  <c r="BB316" i="13"/>
  <c r="BB297" i="13"/>
  <c r="BB311" i="13"/>
  <c r="BB279" i="13"/>
  <c r="BB312" i="13"/>
  <c r="BB281" i="13"/>
  <c r="BB267" i="13"/>
  <c r="BB251" i="13"/>
  <c r="BB263" i="13"/>
  <c r="BB243" i="13"/>
  <c r="BB235" i="13"/>
  <c r="BB227" i="13"/>
  <c r="BB219" i="13"/>
  <c r="BB260" i="13"/>
  <c r="BB240" i="13"/>
  <c r="BB265" i="13"/>
  <c r="BB218" i="13"/>
  <c r="BB246" i="13"/>
  <c r="BB226" i="13"/>
  <c r="BB254" i="13"/>
  <c r="BB205" i="13"/>
  <c r="BB153" i="13"/>
  <c r="BB149" i="13"/>
  <c r="BB145" i="13"/>
  <c r="BB257" i="13"/>
  <c r="BB210" i="13"/>
  <c r="BB194" i="13"/>
  <c r="BB186" i="13"/>
  <c r="BB178" i="13"/>
  <c r="BB170" i="13"/>
  <c r="BB162" i="13"/>
  <c r="BB154" i="13"/>
  <c r="BB287" i="13"/>
  <c r="BB191" i="13"/>
  <c r="BB175" i="13"/>
  <c r="BB159" i="13"/>
  <c r="BB189" i="13"/>
  <c r="BB215" i="13"/>
  <c r="BB255" i="13"/>
  <c r="BB199" i="13"/>
  <c r="BB236" i="13"/>
  <c r="BB308" i="13"/>
  <c r="BB306" i="13"/>
  <c r="BB314" i="13"/>
  <c r="BB294" i="13"/>
  <c r="BB304" i="13"/>
  <c r="BB284" i="13"/>
  <c r="BB288" i="13"/>
  <c r="BB313" i="13"/>
  <c r="BB290" i="13"/>
  <c r="BB274" i="13"/>
  <c r="BB258" i="13"/>
  <c r="BB270" i="13"/>
  <c r="BB252" i="13"/>
  <c r="BB237" i="13"/>
  <c r="BB229" i="13"/>
  <c r="BB221" i="13"/>
  <c r="BB261" i="13"/>
  <c r="BB241" i="13"/>
  <c r="BB276" i="13"/>
  <c r="BB244" i="13"/>
  <c r="BB247" i="13"/>
  <c r="BB230" i="13"/>
  <c r="BB283" i="13"/>
  <c r="BB212" i="13"/>
  <c r="BB196" i="13"/>
  <c r="BB150" i="13"/>
  <c r="BB146" i="13"/>
  <c r="BB211" i="13"/>
  <c r="BB195" i="13"/>
  <c r="BB188" i="13"/>
  <c r="BB180" i="13"/>
  <c r="BB172" i="13"/>
  <c r="BB164" i="13"/>
  <c r="BB156" i="13"/>
  <c r="BB200" i="13"/>
  <c r="BB206" i="13"/>
  <c r="BB179" i="13"/>
  <c r="BB163" i="13"/>
  <c r="BB208" i="13"/>
  <c r="BB256" i="13"/>
  <c r="BB169" i="13"/>
  <c r="BB177" i="13"/>
  <c r="BB193" i="13"/>
  <c r="BB307" i="13"/>
  <c r="BB295" i="13"/>
  <c r="BB285" i="13"/>
  <c r="BB272" i="13"/>
  <c r="BB275" i="13"/>
  <c r="BB271" i="13"/>
  <c r="BB239" i="13"/>
  <c r="BB223" i="13"/>
  <c r="BB248" i="13"/>
  <c r="BB245" i="13"/>
  <c r="BB234" i="13"/>
  <c r="BB213" i="13"/>
  <c r="BB151" i="13"/>
  <c r="BB202" i="13"/>
  <c r="BB182" i="13"/>
  <c r="BB166" i="13"/>
  <c r="BB201" i="13"/>
  <c r="BB183" i="13"/>
  <c r="BB209" i="13"/>
  <c r="BB185" i="13"/>
  <c r="BB161" i="13"/>
  <c r="BB317" i="13"/>
  <c r="BB315" i="13"/>
  <c r="BB293" i="13"/>
  <c r="BB262" i="13"/>
  <c r="BB269" i="13"/>
  <c r="BB286" i="13"/>
  <c r="BB204" i="13"/>
  <c r="BB232" i="13"/>
  <c r="BB176" i="13"/>
  <c r="BB228" i="13"/>
  <c r="BB173" i="13"/>
  <c r="BB300" i="13"/>
  <c r="BB302" i="13"/>
  <c r="BB296" i="13"/>
  <c r="BB273" i="13"/>
  <c r="BB280" i="13"/>
  <c r="BB250" i="13"/>
  <c r="BB242" i="13"/>
  <c r="BB225" i="13"/>
  <c r="BB249" i="13"/>
  <c r="BB264" i="13"/>
  <c r="BB238" i="13"/>
  <c r="BB217" i="13"/>
  <c r="BB152" i="13"/>
  <c r="BB144" i="13"/>
  <c r="BB203" i="13"/>
  <c r="BB184" i="13"/>
  <c r="BB168" i="13"/>
  <c r="BB216" i="13"/>
  <c r="BB187" i="13"/>
  <c r="BB155" i="13"/>
  <c r="BB214" i="13"/>
  <c r="BB165" i="13"/>
  <c r="BB309" i="13"/>
  <c r="BB291" i="13"/>
  <c r="BB305" i="13"/>
  <c r="BB289" i="13"/>
  <c r="BB292" i="13"/>
  <c r="BB259" i="13"/>
  <c r="BB253" i="13"/>
  <c r="BB231" i="13"/>
  <c r="BB268" i="13"/>
  <c r="BB277" i="13"/>
  <c r="BB278" i="13"/>
  <c r="BB220" i="13"/>
  <c r="BB197" i="13"/>
  <c r="BB147" i="13"/>
  <c r="BB224" i="13"/>
  <c r="BB190" i="13"/>
  <c r="BB174" i="13"/>
  <c r="BB158" i="13"/>
  <c r="BB207" i="13"/>
  <c r="BB167" i="13"/>
  <c r="BB157" i="13"/>
  <c r="BB181" i="13"/>
  <c r="BB298" i="13"/>
  <c r="BB310" i="13"/>
  <c r="BB266" i="13"/>
  <c r="BB233" i="13"/>
  <c r="BB282" i="13"/>
  <c r="BB222" i="13"/>
  <c r="BB148" i="13"/>
  <c r="BB192" i="13"/>
  <c r="BB160" i="13"/>
  <c r="BB171" i="13"/>
  <c r="BB198" i="13"/>
  <c r="H136" i="14"/>
  <c r="BD312" i="12"/>
  <c r="BD270" i="12"/>
  <c r="BD266" i="12"/>
  <c r="BD262" i="12"/>
  <c r="BD258" i="12"/>
  <c r="BD254" i="12"/>
  <c r="BD250" i="12"/>
  <c r="BD246" i="12"/>
  <c r="BD242" i="12"/>
  <c r="BD238" i="12"/>
  <c r="BD234" i="12"/>
  <c r="BD230" i="12"/>
  <c r="BD226" i="12"/>
  <c r="BD222" i="12"/>
  <c r="BD218" i="12"/>
  <c r="BD214" i="12"/>
  <c r="BD210" i="12"/>
  <c r="BD206" i="12"/>
  <c r="BD202" i="12"/>
  <c r="BD198" i="12"/>
  <c r="BD194" i="12"/>
  <c r="BD190" i="12"/>
  <c r="BD186" i="12"/>
  <c r="BD182" i="12"/>
  <c r="BD309" i="12"/>
  <c r="BD301" i="12"/>
  <c r="BD293" i="12"/>
  <c r="BD285" i="12"/>
  <c r="BD277" i="12"/>
  <c r="BD310" i="12"/>
  <c r="BD294" i="12"/>
  <c r="BD278" i="12"/>
  <c r="BD178" i="12"/>
  <c r="BD170" i="12"/>
  <c r="BD166" i="12"/>
  <c r="BD162" i="12"/>
  <c r="BD158" i="12"/>
  <c r="BD154" i="12"/>
  <c r="BD150" i="12"/>
  <c r="BD146" i="12"/>
  <c r="BD308" i="12"/>
  <c r="BD276" i="12"/>
  <c r="BD179" i="12"/>
  <c r="BD280" i="12"/>
  <c r="BD288" i="12"/>
  <c r="BD271" i="12"/>
  <c r="BD267" i="12"/>
  <c r="BD263" i="12"/>
  <c r="BD259" i="12"/>
  <c r="BD255" i="12"/>
  <c r="BD251" i="12"/>
  <c r="BD247" i="12"/>
  <c r="BD243" i="12"/>
  <c r="BD239" i="12"/>
  <c r="BD235" i="12"/>
  <c r="BD231" i="12"/>
  <c r="BD227" i="12"/>
  <c r="BD223" i="12"/>
  <c r="BD219" i="12"/>
  <c r="BD215" i="12"/>
  <c r="BD211" i="12"/>
  <c r="BD207" i="12"/>
  <c r="BD203" i="12"/>
  <c r="BD199" i="12"/>
  <c r="BD195" i="12"/>
  <c r="BD191" i="12"/>
  <c r="BD187" i="12"/>
  <c r="BD183" i="12"/>
  <c r="BD311" i="12"/>
  <c r="BD303" i="12"/>
  <c r="BD295" i="12"/>
  <c r="BD287" i="12"/>
  <c r="BD279" i="12"/>
  <c r="BD316" i="12"/>
  <c r="BD298" i="12"/>
  <c r="BD282" i="12"/>
  <c r="BD180" i="12"/>
  <c r="BD172" i="12"/>
  <c r="BD167" i="12"/>
  <c r="BD163" i="12"/>
  <c r="BD159" i="12"/>
  <c r="BD155" i="12"/>
  <c r="BD151" i="12"/>
  <c r="BD147" i="12"/>
  <c r="BD284" i="12"/>
  <c r="BD173" i="12"/>
  <c r="BD296" i="12"/>
  <c r="BD175" i="12"/>
  <c r="BD272" i="12"/>
  <c r="BD264" i="12"/>
  <c r="BD256" i="12"/>
  <c r="BD248" i="12"/>
  <c r="BD240" i="12"/>
  <c r="BD232" i="12"/>
  <c r="BD224" i="12"/>
  <c r="BD216" i="12"/>
  <c r="BD208" i="12"/>
  <c r="BD200" i="12"/>
  <c r="BD192" i="12"/>
  <c r="BD184" i="12"/>
  <c r="BD305" i="12"/>
  <c r="BD289" i="12"/>
  <c r="BD273" i="12"/>
  <c r="BD286" i="12"/>
  <c r="BD174" i="12"/>
  <c r="BD164" i="12"/>
  <c r="BD156" i="12"/>
  <c r="BD148" i="12"/>
  <c r="BD292" i="12"/>
  <c r="BD261" i="12"/>
  <c r="BD237" i="12"/>
  <c r="BD221" i="12"/>
  <c r="BD197" i="12"/>
  <c r="BD318" i="12"/>
  <c r="BD306" i="12"/>
  <c r="BD169" i="12"/>
  <c r="BD153" i="12"/>
  <c r="BD181" i="12"/>
  <c r="BD315" i="12"/>
  <c r="BD265" i="12"/>
  <c r="BD257" i="12"/>
  <c r="BD249" i="12"/>
  <c r="BD241" i="12"/>
  <c r="BD233" i="12"/>
  <c r="BD225" i="12"/>
  <c r="BD217" i="12"/>
  <c r="BD209" i="12"/>
  <c r="BD201" i="12"/>
  <c r="BD193" i="12"/>
  <c r="BD185" i="12"/>
  <c r="BD307" i="12"/>
  <c r="BD291" i="12"/>
  <c r="BD275" i="12"/>
  <c r="BD290" i="12"/>
  <c r="BD176" i="12"/>
  <c r="BD165" i="12"/>
  <c r="BD157" i="12"/>
  <c r="BD149" i="12"/>
  <c r="BD300" i="12"/>
  <c r="BD171" i="12"/>
  <c r="BD268" i="12"/>
  <c r="BD260" i="12"/>
  <c r="BD252" i="12"/>
  <c r="BD244" i="12"/>
  <c r="BD236" i="12"/>
  <c r="BD228" i="12"/>
  <c r="BD220" i="12"/>
  <c r="BD212" i="12"/>
  <c r="BD204" i="12"/>
  <c r="BD196" i="12"/>
  <c r="BD188" i="12"/>
  <c r="BD314" i="12"/>
  <c r="BD297" i="12"/>
  <c r="BD281" i="12"/>
  <c r="BD302" i="12"/>
  <c r="BD317" i="12"/>
  <c r="BD168" i="12"/>
  <c r="BD160" i="12"/>
  <c r="BD152" i="12"/>
  <c r="BD144" i="12"/>
  <c r="BD177" i="12"/>
  <c r="BD313" i="12"/>
  <c r="BD269" i="12"/>
  <c r="BD253" i="12"/>
  <c r="BD245" i="12"/>
  <c r="BD229" i="12"/>
  <c r="BD213" i="12"/>
  <c r="BD205" i="12"/>
  <c r="BD189" i="12"/>
  <c r="BD299" i="12"/>
  <c r="BD283" i="12"/>
  <c r="BD274" i="12"/>
  <c r="BD161" i="12"/>
  <c r="BD145" i="12"/>
  <c r="BD304" i="12"/>
  <c r="BD318" i="9"/>
  <c r="BD314" i="9"/>
  <c r="BD310" i="9"/>
  <c r="BD306" i="9"/>
  <c r="BD302" i="9"/>
  <c r="BD298" i="9"/>
  <c r="BD294" i="9"/>
  <c r="BD290" i="9"/>
  <c r="BD286" i="9"/>
  <c r="BD282" i="9"/>
  <c r="BD278" i="9"/>
  <c r="BD274" i="9"/>
  <c r="BD270" i="9"/>
  <c r="BD266" i="9"/>
  <c r="BD262" i="9"/>
  <c r="BD258" i="9"/>
  <c r="BD254" i="9"/>
  <c r="BD250" i="9"/>
  <c r="BD246" i="9"/>
  <c r="BD242" i="9"/>
  <c r="BD238" i="9"/>
  <c r="BD234" i="9"/>
  <c r="BD230" i="9"/>
  <c r="BD226" i="9"/>
  <c r="BD222" i="9"/>
  <c r="BD218" i="9"/>
  <c r="BD214" i="9"/>
  <c r="BD210" i="9"/>
  <c r="BD206" i="9"/>
  <c r="BD202" i="9"/>
  <c r="BD198" i="9"/>
  <c r="BD194" i="9"/>
  <c r="BD190" i="9"/>
  <c r="BD186" i="9"/>
  <c r="BD182" i="9"/>
  <c r="BD178" i="9"/>
  <c r="BD174" i="9"/>
  <c r="BD170" i="9"/>
  <c r="BD166" i="9"/>
  <c r="BD162" i="9"/>
  <c r="BD158" i="9"/>
  <c r="BD154" i="9"/>
  <c r="BD150" i="9"/>
  <c r="BD146" i="9"/>
  <c r="BD236" i="9"/>
  <c r="BD315" i="9"/>
  <c r="BD311" i="9"/>
  <c r="BD307" i="9"/>
  <c r="BD303" i="9"/>
  <c r="BD299" i="9"/>
  <c r="BD295" i="9"/>
  <c r="BD291" i="9"/>
  <c r="BD287" i="9"/>
  <c r="BD283" i="9"/>
  <c r="BD279" i="9"/>
  <c r="BD275" i="9"/>
  <c r="BD271" i="9"/>
  <c r="BD267" i="9"/>
  <c r="BD263" i="9"/>
  <c r="BD259" i="9"/>
  <c r="BD255" i="9"/>
  <c r="BD251" i="9"/>
  <c r="BD247" i="9"/>
  <c r="BD243" i="9"/>
  <c r="BD239" i="9"/>
  <c r="BE142" i="9"/>
  <c r="BD231" i="9"/>
  <c r="BD227" i="9"/>
  <c r="BD223" i="9"/>
  <c r="BD219" i="9"/>
  <c r="BD215" i="9"/>
  <c r="BD211" i="9"/>
  <c r="BD207" i="9"/>
  <c r="BD203" i="9"/>
  <c r="BD199" i="9"/>
  <c r="BD195" i="9"/>
  <c r="BD191" i="9"/>
  <c r="BD187" i="9"/>
  <c r="BD183" i="9"/>
  <c r="BD179" i="9"/>
  <c r="BD175" i="9"/>
  <c r="BD171" i="9"/>
  <c r="BD167" i="9"/>
  <c r="BD163" i="9"/>
  <c r="BD159" i="9"/>
  <c r="BD155" i="9"/>
  <c r="BD151" i="9"/>
  <c r="BD147" i="9"/>
  <c r="BD143" i="9"/>
  <c r="BD316" i="9"/>
  <c r="BD308" i="9"/>
  <c r="BD300" i="9"/>
  <c r="BD292" i="9"/>
  <c r="BD284" i="9"/>
  <c r="BD276" i="9"/>
  <c r="BD268" i="9"/>
  <c r="BD260" i="9"/>
  <c r="BD252" i="9"/>
  <c r="BD244" i="9"/>
  <c r="BD235" i="9"/>
  <c r="BD228" i="9"/>
  <c r="BD220" i="9"/>
  <c r="BD212" i="9"/>
  <c r="BD204" i="9"/>
  <c r="BD196" i="9"/>
  <c r="BD188" i="9"/>
  <c r="BD180" i="9"/>
  <c r="BD172" i="9"/>
  <c r="BD164" i="9"/>
  <c r="BD156" i="9"/>
  <c r="BD148" i="9"/>
  <c r="BD272" i="9"/>
  <c r="BD313" i="9"/>
  <c r="BD297" i="9"/>
  <c r="BD281" i="9"/>
  <c r="BD265" i="9"/>
  <c r="BD249" i="9"/>
  <c r="BD233" i="9"/>
  <c r="BD217" i="9"/>
  <c r="BD201" i="9"/>
  <c r="BD185" i="9"/>
  <c r="BD169" i="9"/>
  <c r="BD153" i="9"/>
  <c r="BD317" i="9"/>
  <c r="BD309" i="9"/>
  <c r="BD301" i="9"/>
  <c r="BD293" i="9"/>
  <c r="BD285" i="9"/>
  <c r="BD277" i="9"/>
  <c r="BD269" i="9"/>
  <c r="BD261" i="9"/>
  <c r="BD253" i="9"/>
  <c r="BD245" i="9"/>
  <c r="BD237" i="9"/>
  <c r="BD229" i="9"/>
  <c r="BD221" i="9"/>
  <c r="BD213" i="9"/>
  <c r="BD205" i="9"/>
  <c r="BD197" i="9"/>
  <c r="BD189" i="9"/>
  <c r="BD181" i="9"/>
  <c r="BD173" i="9"/>
  <c r="BD165" i="9"/>
  <c r="BD157" i="9"/>
  <c r="BD149" i="9"/>
  <c r="BD312" i="9"/>
  <c r="BD304" i="9"/>
  <c r="BD296" i="9"/>
  <c r="BD288" i="9"/>
  <c r="BD280" i="9"/>
  <c r="BD264" i="9"/>
  <c r="BD256" i="9"/>
  <c r="BD248" i="9"/>
  <c r="BD240" i="9"/>
  <c r="BD232" i="9"/>
  <c r="BD224" i="9"/>
  <c r="BD216" i="9"/>
  <c r="BD208" i="9"/>
  <c r="BD200" i="9"/>
  <c r="BD192" i="9"/>
  <c r="BD184" i="9"/>
  <c r="BD176" i="9"/>
  <c r="BD168" i="9"/>
  <c r="BD160" i="9"/>
  <c r="BD152" i="9"/>
  <c r="BD144" i="9"/>
  <c r="BD305" i="9"/>
  <c r="BD289" i="9"/>
  <c r="BD273" i="9"/>
  <c r="BD257" i="9"/>
  <c r="BD241" i="9"/>
  <c r="BD225" i="9"/>
  <c r="BD209" i="9"/>
  <c r="BD193" i="9"/>
  <c r="BD177" i="9"/>
  <c r="BD161" i="9"/>
  <c r="BD145" i="9"/>
  <c r="BB317" i="9"/>
  <c r="BB313" i="9"/>
  <c r="BB309" i="9"/>
  <c r="BB305" i="9"/>
  <c r="BB301" i="9"/>
  <c r="BB297" i="9"/>
  <c r="BB293" i="9"/>
  <c r="BB289" i="9"/>
  <c r="BB285" i="9"/>
  <c r="BB281" i="9"/>
  <c r="BB277" i="9"/>
  <c r="BB273" i="9"/>
  <c r="BB269" i="9"/>
  <c r="BB265" i="9"/>
  <c r="BB261" i="9"/>
  <c r="BB257" i="9"/>
  <c r="BB253" i="9"/>
  <c r="BB249" i="9"/>
  <c r="BB245" i="9"/>
  <c r="BB241" i="9"/>
  <c r="BB237" i="9"/>
  <c r="BB233" i="9"/>
  <c r="BB229" i="9"/>
  <c r="BB225" i="9"/>
  <c r="BB221" i="9"/>
  <c r="BB217" i="9"/>
  <c r="BB213" i="9"/>
  <c r="BB209" i="9"/>
  <c r="BB205" i="9"/>
  <c r="BB201" i="9"/>
  <c r="BB197" i="9"/>
  <c r="BB193" i="9"/>
  <c r="BB189" i="9"/>
  <c r="BB185" i="9"/>
  <c r="BB181" i="9"/>
  <c r="BB177" i="9"/>
  <c r="BB173" i="9"/>
  <c r="BB169" i="9"/>
  <c r="BB165" i="9"/>
  <c r="BB161" i="9"/>
  <c r="BB157" i="9"/>
  <c r="BB153" i="9"/>
  <c r="BB149" i="9"/>
  <c r="BB145" i="9"/>
  <c r="BB318" i="9"/>
  <c r="BB314" i="9"/>
  <c r="BB310" i="9"/>
  <c r="BB306" i="9"/>
  <c r="BB302" i="9"/>
  <c r="BB298" i="9"/>
  <c r="BB294" i="9"/>
  <c r="BB290" i="9"/>
  <c r="BB286" i="9"/>
  <c r="BB282" i="9"/>
  <c r="BB278" i="9"/>
  <c r="BB274" i="9"/>
  <c r="BB270" i="9"/>
  <c r="BB266" i="9"/>
  <c r="BB262" i="9"/>
  <c r="BB258" i="9"/>
  <c r="BB254" i="9"/>
  <c r="BB250" i="9"/>
  <c r="BB246" i="9"/>
  <c r="BB242" i="9"/>
  <c r="BB238" i="9"/>
  <c r="BB234" i="9"/>
  <c r="BB230" i="9"/>
  <c r="BB226" i="9"/>
  <c r="BB222" i="9"/>
  <c r="BB218" i="9"/>
  <c r="BB214" i="9"/>
  <c r="BB210" i="9"/>
  <c r="BB206" i="9"/>
  <c r="BB202" i="9"/>
  <c r="BB198" i="9"/>
  <c r="BB194" i="9"/>
  <c r="BB190" i="9"/>
  <c r="BB186" i="9"/>
  <c r="BB182" i="9"/>
  <c r="BB178" i="9"/>
  <c r="BB174" i="9"/>
  <c r="BB170" i="9"/>
  <c r="BB166" i="9"/>
  <c r="BB162" i="9"/>
  <c r="BB158" i="9"/>
  <c r="BB154" i="9"/>
  <c r="BB150" i="9"/>
  <c r="BB146" i="9"/>
  <c r="BA142" i="9"/>
  <c r="BB311" i="9"/>
  <c r="BB303" i="9"/>
  <c r="BB295" i="9"/>
  <c r="BB287" i="9"/>
  <c r="BB279" i="9"/>
  <c r="BB271" i="9"/>
  <c r="BB263" i="9"/>
  <c r="BB255" i="9"/>
  <c r="BB247" i="9"/>
  <c r="BB239" i="9"/>
  <c r="BB231" i="9"/>
  <c r="BB223" i="9"/>
  <c r="BB215" i="9"/>
  <c r="BB207" i="9"/>
  <c r="BB199" i="9"/>
  <c r="BB191" i="9"/>
  <c r="BB183" i="9"/>
  <c r="BB175" i="9"/>
  <c r="BB167" i="9"/>
  <c r="BB159" i="9"/>
  <c r="BB151" i="9"/>
  <c r="BB143" i="9"/>
  <c r="BB316" i="9"/>
  <c r="BB300" i="9"/>
  <c r="BB284" i="9"/>
  <c r="BB268" i="9"/>
  <c r="BB252" i="9"/>
  <c r="BB236" i="9"/>
  <c r="BB220" i="9"/>
  <c r="BB204" i="9"/>
  <c r="BB188" i="9"/>
  <c r="BB172" i="9"/>
  <c r="BB156" i="9"/>
  <c r="BB312" i="9"/>
  <c r="BB304" i="9"/>
  <c r="BB296" i="9"/>
  <c r="BB288" i="9"/>
  <c r="BB280" i="9"/>
  <c r="BB272" i="9"/>
  <c r="BB264" i="9"/>
  <c r="BB256" i="9"/>
  <c r="BB248" i="9"/>
  <c r="BB240" i="9"/>
  <c r="BB232" i="9"/>
  <c r="BB224" i="9"/>
  <c r="BB216" i="9"/>
  <c r="BB208" i="9"/>
  <c r="BB200" i="9"/>
  <c r="BB192" i="9"/>
  <c r="BB184" i="9"/>
  <c r="BB176" i="9"/>
  <c r="BB168" i="9"/>
  <c r="BB160" i="9"/>
  <c r="BB152" i="9"/>
  <c r="BB144" i="9"/>
  <c r="BB315" i="9"/>
  <c r="BB307" i="9"/>
  <c r="BB299" i="9"/>
  <c r="BB291" i="9"/>
  <c r="BB283" i="9"/>
  <c r="BB275" i="9"/>
  <c r="BB267" i="9"/>
  <c r="BB259" i="9"/>
  <c r="BB251" i="9"/>
  <c r="BB243" i="9"/>
  <c r="BB235" i="9"/>
  <c r="BB227" i="9"/>
  <c r="BB219" i="9"/>
  <c r="BB211" i="9"/>
  <c r="BB203" i="9"/>
  <c r="BB195" i="9"/>
  <c r="BB187" i="9"/>
  <c r="BB179" i="9"/>
  <c r="BB171" i="9"/>
  <c r="BB163" i="9"/>
  <c r="BB155" i="9"/>
  <c r="BB147" i="9"/>
  <c r="BB308" i="9"/>
  <c r="BB292" i="9"/>
  <c r="BB276" i="9"/>
  <c r="BB260" i="9"/>
  <c r="BB244" i="9"/>
  <c r="BB228" i="9"/>
  <c r="BB212" i="9"/>
  <c r="BB196" i="9"/>
  <c r="BB180" i="9"/>
  <c r="BB164" i="9"/>
  <c r="BB148" i="9"/>
  <c r="Z315" i="9"/>
  <c r="Z206" i="9"/>
  <c r="Z302" i="9"/>
  <c r="Z258" i="9"/>
  <c r="Z222" i="9"/>
  <c r="Z194" i="9"/>
  <c r="Z210" i="9"/>
  <c r="Z186" i="9"/>
  <c r="Z250" i="9"/>
  <c r="Z314" i="9"/>
  <c r="Z150" i="9"/>
  <c r="Z214" i="9"/>
  <c r="Z278" i="9"/>
  <c r="Z157" i="9"/>
  <c r="Z189" i="9"/>
  <c r="Z221" i="9"/>
  <c r="Z253" i="9"/>
  <c r="Z289" i="9"/>
  <c r="Z144" i="9"/>
  <c r="Z160" i="9"/>
  <c r="Z176" i="9"/>
  <c r="Z192" i="9"/>
  <c r="Z208" i="9"/>
  <c r="Z224" i="9"/>
  <c r="Z240" i="9"/>
  <c r="Z256" i="9"/>
  <c r="Z272" i="9"/>
  <c r="Z288" i="9"/>
  <c r="Z304" i="9"/>
  <c r="Z145" i="9"/>
  <c r="Z177" i="9"/>
  <c r="Z209" i="9"/>
  <c r="Z241" i="9"/>
  <c r="Z273" i="9"/>
  <c r="Z301" i="9"/>
  <c r="Z147" i="9"/>
  <c r="Z163" i="9"/>
  <c r="Z179" i="9"/>
  <c r="Z195" i="9"/>
  <c r="Z211" i="9"/>
  <c r="Z227" i="9"/>
  <c r="Z243" i="9"/>
  <c r="Z259" i="9"/>
  <c r="Z275" i="9"/>
  <c r="Z291" i="9"/>
  <c r="Z307" i="9"/>
  <c r="Z270" i="9"/>
  <c r="Z286" i="9"/>
  <c r="Z274" i="9"/>
  <c r="Z218" i="9"/>
  <c r="Z182" i="9"/>
  <c r="Z310" i="9"/>
  <c r="Z173" i="9"/>
  <c r="Z236" i="9"/>
  <c r="Z305" i="9"/>
  <c r="Z168" i="9"/>
  <c r="Z200" i="9"/>
  <c r="Z232" i="9"/>
  <c r="Z264" i="9"/>
  <c r="Z296" i="9"/>
  <c r="Z161" i="9"/>
  <c r="Z225" i="9"/>
  <c r="Z285" i="9"/>
  <c r="Z155" i="9"/>
  <c r="Z187" i="9"/>
  <c r="Z219" i="9"/>
  <c r="Z251" i="9"/>
  <c r="Z283" i="9"/>
  <c r="Z290" i="9"/>
  <c r="Z166" i="9"/>
  <c r="Z230" i="9"/>
  <c r="Z294" i="9"/>
  <c r="Z165" i="9"/>
  <c r="Z197" i="9"/>
  <c r="Z229" i="9"/>
  <c r="Z261" i="9"/>
  <c r="Z148" i="9"/>
  <c r="Z164" i="9"/>
  <c r="Z180" i="9"/>
  <c r="Z196" i="9"/>
  <c r="Z212" i="9"/>
  <c r="Z228" i="9"/>
  <c r="Z244" i="9"/>
  <c r="Z260" i="9"/>
  <c r="Z276" i="9"/>
  <c r="Z292" i="9"/>
  <c r="Z308" i="9"/>
  <c r="Z153" i="9"/>
  <c r="Z217" i="9"/>
  <c r="Z249" i="9"/>
  <c r="Z277" i="9"/>
  <c r="Z309" i="9"/>
  <c r="Z151" i="9"/>
  <c r="Z167" i="9"/>
  <c r="Z199" i="9"/>
  <c r="Z215" i="9"/>
  <c r="Z247" i="9"/>
  <c r="Z279" i="9"/>
  <c r="Z311" i="9"/>
  <c r="Z174" i="9"/>
  <c r="Z226" i="9"/>
  <c r="Z190" i="9"/>
  <c r="Z318" i="9"/>
  <c r="Z178" i="9"/>
  <c r="Z306" i="9"/>
  <c r="Z170" i="9"/>
  <c r="Z235" i="9"/>
  <c r="Z298" i="9"/>
  <c r="Z198" i="9"/>
  <c r="Z262" i="9"/>
  <c r="Z149" i="9"/>
  <c r="Z181" i="9"/>
  <c r="Z213" i="9"/>
  <c r="Z245" i="9"/>
  <c r="Z281" i="9"/>
  <c r="Z313" i="9"/>
  <c r="Z156" i="9"/>
  <c r="Z172" i="9"/>
  <c r="Z188" i="9"/>
  <c r="Z204" i="9"/>
  <c r="Z220" i="9"/>
  <c r="Z234" i="9"/>
  <c r="Z252" i="9"/>
  <c r="Z268" i="9"/>
  <c r="Z284" i="9"/>
  <c r="Z300" i="9"/>
  <c r="Z316" i="9"/>
  <c r="Z169" i="9"/>
  <c r="Z201" i="9"/>
  <c r="Z233" i="9"/>
  <c r="Z265" i="9"/>
  <c r="Z293" i="9"/>
  <c r="Z143" i="9"/>
  <c r="Z159" i="9"/>
  <c r="Z175" i="9"/>
  <c r="Z191" i="9"/>
  <c r="Z207" i="9"/>
  <c r="Z223" i="9"/>
  <c r="Z239" i="9"/>
  <c r="Z255" i="9"/>
  <c r="Z271" i="9"/>
  <c r="Z287" i="9"/>
  <c r="Z303" i="9"/>
  <c r="Z238" i="9"/>
  <c r="Z162" i="9"/>
  <c r="Z158" i="9"/>
  <c r="Z146" i="9"/>
  <c r="Z154" i="9"/>
  <c r="Z282" i="9"/>
  <c r="Z246" i="9"/>
  <c r="Z205" i="9"/>
  <c r="Z269" i="9"/>
  <c r="Z152" i="9"/>
  <c r="Z184" i="9"/>
  <c r="Z216" i="9"/>
  <c r="Z248" i="9"/>
  <c r="Z280" i="9"/>
  <c r="Z312" i="9"/>
  <c r="Z193" i="9"/>
  <c r="Z257" i="9"/>
  <c r="Z317" i="9"/>
  <c r="Z171" i="9"/>
  <c r="Z203" i="9"/>
  <c r="AA142" i="9"/>
  <c r="Z267" i="9"/>
  <c r="Z299" i="9"/>
  <c r="Z237" i="9"/>
  <c r="Z254" i="9"/>
  <c r="Z242" i="9"/>
  <c r="Z202" i="9"/>
  <c r="Z266" i="9"/>
  <c r="Z297" i="9"/>
  <c r="Z185" i="9"/>
  <c r="Z183" i="9"/>
  <c r="Z231" i="9"/>
  <c r="Z263" i="9"/>
  <c r="Z295" i="9"/>
  <c r="X314" i="9"/>
  <c r="X214" i="9"/>
  <c r="X278" i="9"/>
  <c r="X246" i="9"/>
  <c r="X218" i="9"/>
  <c r="X274" i="9"/>
  <c r="X210" i="9"/>
  <c r="X146" i="9"/>
  <c r="X270" i="9"/>
  <c r="X206" i="9"/>
  <c r="W142" i="9"/>
  <c r="X170" i="9"/>
  <c r="X198" i="9"/>
  <c r="X161" i="9"/>
  <c r="X193" i="9"/>
  <c r="X225" i="9"/>
  <c r="X257" i="9"/>
  <c r="X285" i="9"/>
  <c r="X309" i="9"/>
  <c r="X152" i="9"/>
  <c r="X168" i="9"/>
  <c r="X184" i="9"/>
  <c r="X200" i="9"/>
  <c r="X216" i="9"/>
  <c r="X232" i="9"/>
  <c r="X248" i="9"/>
  <c r="X264" i="9"/>
  <c r="X280" i="9"/>
  <c r="X296" i="9"/>
  <c r="X312" i="9"/>
  <c r="X173" i="9"/>
  <c r="X205" i="9"/>
  <c r="X237" i="9"/>
  <c r="X269" i="9"/>
  <c r="X313" i="9"/>
  <c r="X155" i="9"/>
  <c r="X171" i="9"/>
  <c r="X187" i="9"/>
  <c r="X203" i="9"/>
  <c r="X219" i="9"/>
  <c r="X235" i="9"/>
  <c r="X251" i="9"/>
  <c r="X267" i="9"/>
  <c r="X283" i="9"/>
  <c r="X299" i="9"/>
  <c r="X202" i="9"/>
  <c r="X154" i="9"/>
  <c r="X282" i="9"/>
  <c r="X306" i="9"/>
  <c r="X242" i="9"/>
  <c r="X178" i="9"/>
  <c r="X302" i="9"/>
  <c r="X238" i="9"/>
  <c r="X174" i="9"/>
  <c r="X298" i="9"/>
  <c r="X177" i="9"/>
  <c r="X241" i="9"/>
  <c r="X301" i="9"/>
  <c r="X160" i="9"/>
  <c r="X192" i="9"/>
  <c r="X208" i="9"/>
  <c r="X240" i="9"/>
  <c r="X272" i="9"/>
  <c r="X304" i="9"/>
  <c r="X157" i="9"/>
  <c r="X189" i="9"/>
  <c r="X253" i="9"/>
  <c r="X147" i="9"/>
  <c r="X179" i="9"/>
  <c r="X211" i="9"/>
  <c r="X243" i="9"/>
  <c r="X259" i="9"/>
  <c r="X291" i="9"/>
  <c r="X250" i="9"/>
  <c r="X315" i="9"/>
  <c r="X194" i="9"/>
  <c r="X254" i="9"/>
  <c r="X234" i="9"/>
  <c r="X150" i="9"/>
  <c r="X266" i="9"/>
  <c r="X186" i="9"/>
  <c r="X290" i="9"/>
  <c r="X226" i="9"/>
  <c r="X162" i="9"/>
  <c r="X286" i="9"/>
  <c r="X222" i="9"/>
  <c r="X158" i="9"/>
  <c r="X166" i="9"/>
  <c r="X294" i="9"/>
  <c r="X153" i="9"/>
  <c r="X185" i="9"/>
  <c r="X217" i="9"/>
  <c r="X249" i="9"/>
  <c r="X281" i="9"/>
  <c r="X305" i="9"/>
  <c r="X148" i="9"/>
  <c r="X164" i="9"/>
  <c r="X180" i="9"/>
  <c r="X196" i="9"/>
  <c r="X212" i="9"/>
  <c r="X228" i="9"/>
  <c r="X244" i="9"/>
  <c r="X260" i="9"/>
  <c r="X276" i="9"/>
  <c r="X292" i="9"/>
  <c r="X308" i="9"/>
  <c r="X165" i="9"/>
  <c r="X197" i="9"/>
  <c r="X229" i="9"/>
  <c r="X261" i="9"/>
  <c r="X297" i="9"/>
  <c r="X151" i="9"/>
  <c r="X167" i="9"/>
  <c r="X183" i="9"/>
  <c r="X199" i="9"/>
  <c r="X215" i="9"/>
  <c r="X231" i="9"/>
  <c r="X247" i="9"/>
  <c r="X263" i="9"/>
  <c r="X279" i="9"/>
  <c r="X295" i="9"/>
  <c r="X311" i="9"/>
  <c r="X310" i="9"/>
  <c r="X262" i="9"/>
  <c r="X145" i="9"/>
  <c r="X209" i="9"/>
  <c r="X273" i="9"/>
  <c r="X144" i="9"/>
  <c r="X176" i="9"/>
  <c r="X224" i="9"/>
  <c r="X256" i="9"/>
  <c r="X288" i="9"/>
  <c r="X221" i="9"/>
  <c r="X289" i="9"/>
  <c r="X163" i="9"/>
  <c r="X195" i="9"/>
  <c r="X227" i="9"/>
  <c r="X275" i="9"/>
  <c r="X307" i="9"/>
  <c r="X182" i="9"/>
  <c r="X258" i="9"/>
  <c r="X318" i="9"/>
  <c r="X190" i="9"/>
  <c r="X230" i="9"/>
  <c r="X169" i="9"/>
  <c r="X201" i="9"/>
  <c r="X233" i="9"/>
  <c r="X265" i="9"/>
  <c r="X293" i="9"/>
  <c r="X317" i="9"/>
  <c r="X156" i="9"/>
  <c r="X172" i="9"/>
  <c r="X188" i="9"/>
  <c r="X204" i="9"/>
  <c r="X220" i="9"/>
  <c r="X236" i="9"/>
  <c r="X252" i="9"/>
  <c r="X268" i="9"/>
  <c r="X284" i="9"/>
  <c r="X300" i="9"/>
  <c r="X316" i="9"/>
  <c r="X149" i="9"/>
  <c r="X181" i="9"/>
  <c r="X213" i="9"/>
  <c r="X245" i="9"/>
  <c r="X277" i="9"/>
  <c r="X143" i="9"/>
  <c r="X159" i="9"/>
  <c r="X175" i="9"/>
  <c r="X191" i="9"/>
  <c r="X207" i="9"/>
  <c r="X223" i="9"/>
  <c r="X239" i="9"/>
  <c r="X255" i="9"/>
  <c r="X271" i="9"/>
  <c r="X287" i="9"/>
  <c r="X303" i="9"/>
  <c r="E159" i="14"/>
  <c r="E90" i="14"/>
  <c r="E92" i="14"/>
  <c r="P236" i="13"/>
  <c r="P162" i="13"/>
  <c r="P182" i="13"/>
  <c r="P196" i="13"/>
  <c r="P145" i="13"/>
  <c r="P149" i="13"/>
  <c r="P153" i="13"/>
  <c r="P164" i="13"/>
  <c r="P180" i="13"/>
  <c r="P198" i="13"/>
  <c r="P228" i="13"/>
  <c r="P218" i="13"/>
  <c r="P155" i="13"/>
  <c r="P163" i="13"/>
  <c r="P171" i="13"/>
  <c r="P179" i="13"/>
  <c r="P187" i="13"/>
  <c r="P195" i="13"/>
  <c r="P232" i="13"/>
  <c r="P201" i="13"/>
  <c r="P209" i="13"/>
  <c r="P217" i="13"/>
  <c r="P226" i="13"/>
  <c r="P242" i="13"/>
  <c r="P225" i="13"/>
  <c r="P233" i="13"/>
  <c r="P246" i="13"/>
  <c r="P240" i="13"/>
  <c r="P284" i="13"/>
  <c r="P245" i="13"/>
  <c r="P272" i="13"/>
  <c r="P278" i="13"/>
  <c r="P282" i="13"/>
  <c r="P300" i="13"/>
  <c r="P253" i="13"/>
  <c r="P261" i="13"/>
  <c r="P269" i="13"/>
  <c r="P277" i="13"/>
  <c r="P285" i="13"/>
  <c r="P296" i="13"/>
  <c r="P306" i="13"/>
  <c r="P297" i="13"/>
  <c r="P305" i="13"/>
  <c r="P313" i="13"/>
  <c r="N169" i="13"/>
  <c r="N181" i="13"/>
  <c r="N175" i="13"/>
  <c r="N224" i="13"/>
  <c r="N158" i="13"/>
  <c r="N174" i="13"/>
  <c r="N190" i="13"/>
  <c r="N215" i="13"/>
  <c r="N145" i="13"/>
  <c r="N153" i="13"/>
  <c r="N260" i="13"/>
  <c r="N253" i="13"/>
  <c r="N251" i="13"/>
  <c r="N279" i="13"/>
  <c r="N233" i="13"/>
  <c r="N266" i="13"/>
  <c r="N262" i="13"/>
  <c r="N308" i="13"/>
  <c r="N296" i="13"/>
  <c r="N292" i="13"/>
  <c r="N302" i="13"/>
  <c r="N312" i="13"/>
  <c r="P174" i="13"/>
  <c r="P158" i="13"/>
  <c r="P166" i="13"/>
  <c r="P186" i="13"/>
  <c r="P144" i="13"/>
  <c r="P148" i="13"/>
  <c r="P152" i="13"/>
  <c r="P160" i="13"/>
  <c r="P176" i="13"/>
  <c r="P192" i="13"/>
  <c r="P220" i="13"/>
  <c r="P216" i="13"/>
  <c r="Q308" i="13"/>
  <c r="P161" i="13"/>
  <c r="P169" i="13"/>
  <c r="P177" i="13"/>
  <c r="P185" i="13"/>
  <c r="P193" i="13"/>
  <c r="P224" i="13"/>
  <c r="P199" i="13"/>
  <c r="P207" i="13"/>
  <c r="P215" i="13"/>
  <c r="P276" i="13"/>
  <c r="P238" i="13"/>
  <c r="P223" i="13"/>
  <c r="P231" i="13"/>
  <c r="P239" i="13"/>
  <c r="P280" i="13"/>
  <c r="P268" i="13"/>
  <c r="P243" i="13"/>
  <c r="P264" i="13"/>
  <c r="P270" i="13"/>
  <c r="P308" i="13"/>
  <c r="P302" i="13"/>
  <c r="P251" i="13"/>
  <c r="P259" i="13"/>
  <c r="P267" i="13"/>
  <c r="P275" i="13"/>
  <c r="P283" i="13"/>
  <c r="P291" i="13"/>
  <c r="P317" i="13"/>
  <c r="P295" i="13"/>
  <c r="P303" i="13"/>
  <c r="P311" i="13"/>
  <c r="N157" i="13"/>
  <c r="N165" i="13"/>
  <c r="N171" i="13"/>
  <c r="N203" i="13"/>
  <c r="N156" i="13"/>
  <c r="N172" i="13"/>
  <c r="N188" i="13"/>
  <c r="N214" i="13"/>
  <c r="N144" i="13"/>
  <c r="N152" i="13"/>
  <c r="N217" i="13"/>
  <c r="N252" i="13"/>
  <c r="N250" i="13"/>
  <c r="N257" i="13"/>
  <c r="N231" i="13"/>
  <c r="N259" i="13"/>
  <c r="N255" i="13"/>
  <c r="N298" i="13"/>
  <c r="N285" i="13"/>
  <c r="N289" i="13"/>
  <c r="N295" i="13"/>
  <c r="N305" i="13"/>
  <c r="N173" i="13"/>
  <c r="N189" i="13"/>
  <c r="N210" i="13"/>
  <c r="N204" i="13"/>
  <c r="N163" i="13"/>
  <c r="N179" i="13"/>
  <c r="N195" i="13"/>
  <c r="N264" i="13"/>
  <c r="N213" i="13"/>
  <c r="N160" i="13"/>
  <c r="N168" i="13"/>
  <c r="N176" i="13"/>
  <c r="N184" i="13"/>
  <c r="N192" i="13"/>
  <c r="N206" i="13"/>
  <c r="N220" i="13"/>
  <c r="M314" i="13"/>
  <c r="N146" i="13"/>
  <c r="N150" i="13"/>
  <c r="N154" i="13"/>
  <c r="N209" i="13"/>
  <c r="N226" i="13"/>
  <c r="N242" i="13"/>
  <c r="N274" i="13"/>
  <c r="N240" i="13"/>
  <c r="N272" i="13"/>
  <c r="N245" i="13"/>
  <c r="N219" i="13"/>
  <c r="N227" i="13"/>
  <c r="N235" i="13"/>
  <c r="N249" i="13"/>
  <c r="N267" i="13"/>
  <c r="N247" i="13"/>
  <c r="N263" i="13"/>
  <c r="N286" i="13"/>
  <c r="N309" i="13"/>
  <c r="N277" i="13"/>
  <c r="N297" i="13"/>
  <c r="N281" i="13"/>
  <c r="N293" i="13"/>
  <c r="N314" i="13"/>
  <c r="N303" i="13"/>
  <c r="N316" i="13"/>
  <c r="N313" i="13"/>
  <c r="N185" i="13"/>
  <c r="N161" i="13"/>
  <c r="N261" i="13"/>
  <c r="N211" i="13"/>
  <c r="N167" i="13"/>
  <c r="N183" i="13"/>
  <c r="N202" i="13"/>
  <c r="N196" i="13"/>
  <c r="N291" i="13"/>
  <c r="N162" i="13"/>
  <c r="N170" i="13"/>
  <c r="N178" i="13"/>
  <c r="N186" i="13"/>
  <c r="N194" i="13"/>
  <c r="N207" i="13"/>
  <c r="N228" i="13"/>
  <c r="N147" i="13"/>
  <c r="N151" i="13"/>
  <c r="N200" i="13"/>
  <c r="N216" i="13"/>
  <c r="N230" i="13"/>
  <c r="N243" i="13"/>
  <c r="N275" i="13"/>
  <c r="N241" i="13"/>
  <c r="N273" i="13"/>
  <c r="N256" i="13"/>
  <c r="N221" i="13"/>
  <c r="N229" i="13"/>
  <c r="N237" i="13"/>
  <c r="N258" i="13"/>
  <c r="N282" i="13"/>
  <c r="N254" i="13"/>
  <c r="N270" i="13"/>
  <c r="N287" i="13"/>
  <c r="N268" i="13"/>
  <c r="N284" i="13"/>
  <c r="N306" i="13"/>
  <c r="N288" i="13"/>
  <c r="N300" i="13"/>
  <c r="N294" i="13"/>
  <c r="N310" i="13"/>
  <c r="N304" i="13"/>
  <c r="E317" i="9"/>
  <c r="E313" i="9"/>
  <c r="E309" i="9"/>
  <c r="E305" i="9"/>
  <c r="E301" i="9"/>
  <c r="E297" i="9"/>
  <c r="E293" i="9"/>
  <c r="E289" i="9"/>
  <c r="E285" i="9"/>
  <c r="E281" i="9"/>
  <c r="E277" i="9"/>
  <c r="E273" i="9"/>
  <c r="E269" i="9"/>
  <c r="E265" i="9"/>
  <c r="E261" i="9"/>
  <c r="E257" i="9"/>
  <c r="E253" i="9"/>
  <c r="E249" i="9"/>
  <c r="E245" i="9"/>
  <c r="E241" i="9"/>
  <c r="E237" i="9"/>
  <c r="E232" i="9"/>
  <c r="E228" i="9"/>
  <c r="E224" i="9"/>
  <c r="E220" i="9"/>
  <c r="E216" i="9"/>
  <c r="E212" i="9"/>
  <c r="E208" i="9"/>
  <c r="E204" i="9"/>
  <c r="E200" i="9"/>
  <c r="E196" i="9"/>
  <c r="E192" i="9"/>
  <c r="E188" i="9"/>
  <c r="E184" i="9"/>
  <c r="E180" i="9"/>
  <c r="E176" i="9"/>
  <c r="E172" i="9"/>
  <c r="E168" i="9"/>
  <c r="E164" i="9"/>
  <c r="E160" i="9"/>
  <c r="E156" i="9"/>
  <c r="E152" i="9"/>
  <c r="E148" i="9"/>
  <c r="E144" i="9"/>
  <c r="F142" i="9"/>
  <c r="E318" i="9"/>
  <c r="E314" i="9"/>
  <c r="E310" i="9"/>
  <c r="E306" i="9"/>
  <c r="E302" i="9"/>
  <c r="E298" i="9"/>
  <c r="E294" i="9"/>
  <c r="E290" i="9"/>
  <c r="E286" i="9"/>
  <c r="E282" i="9"/>
  <c r="E278" i="9"/>
  <c r="E274" i="9"/>
  <c r="E270" i="9"/>
  <c r="E266" i="9"/>
  <c r="E262" i="9"/>
  <c r="E258" i="9"/>
  <c r="E254" i="9"/>
  <c r="E250" i="9"/>
  <c r="E246" i="9"/>
  <c r="E242" i="9"/>
  <c r="D142" i="9"/>
  <c r="E233" i="9"/>
  <c r="E229" i="9"/>
  <c r="E225" i="9"/>
  <c r="E221" i="9"/>
  <c r="E217" i="9"/>
  <c r="E213" i="9"/>
  <c r="E209" i="9"/>
  <c r="E205" i="9"/>
  <c r="E201" i="9"/>
  <c r="E197" i="9"/>
  <c r="E193" i="9"/>
  <c r="E189" i="9"/>
  <c r="E185" i="9"/>
  <c r="E181" i="9"/>
  <c r="E177" i="9"/>
  <c r="E173" i="9"/>
  <c r="E169" i="9"/>
  <c r="E165" i="9"/>
  <c r="E161" i="9"/>
  <c r="E157" i="9"/>
  <c r="E153" i="9"/>
  <c r="E149" i="9"/>
  <c r="E145" i="9"/>
  <c r="E236" i="9"/>
  <c r="E315" i="9"/>
  <c r="E311" i="9"/>
  <c r="E307" i="9"/>
  <c r="E303" i="9"/>
  <c r="E299" i="9"/>
  <c r="E295" i="9"/>
  <c r="E291" i="9"/>
  <c r="E287" i="9"/>
  <c r="E283" i="9"/>
  <c r="E279" i="9"/>
  <c r="E275" i="9"/>
  <c r="E271" i="9"/>
  <c r="E267" i="9"/>
  <c r="E263" i="9"/>
  <c r="E259" i="9"/>
  <c r="E255" i="9"/>
  <c r="E251" i="9"/>
  <c r="E247" i="9"/>
  <c r="E243" i="9"/>
  <c r="E239" i="9"/>
  <c r="E234" i="9"/>
  <c r="E230" i="9"/>
  <c r="E226" i="9"/>
  <c r="E222" i="9"/>
  <c r="E218" i="9"/>
  <c r="E214" i="9"/>
  <c r="E210" i="9"/>
  <c r="E206" i="9"/>
  <c r="E202" i="9"/>
  <c r="E198" i="9"/>
  <c r="E194" i="9"/>
  <c r="E190" i="9"/>
  <c r="E186" i="9"/>
  <c r="E182" i="9"/>
  <c r="E178" i="9"/>
  <c r="E174" i="9"/>
  <c r="E170" i="9"/>
  <c r="E166" i="9"/>
  <c r="E162" i="9"/>
  <c r="E158" i="9"/>
  <c r="E154" i="9"/>
  <c r="E150" i="9"/>
  <c r="E146" i="9"/>
  <c r="E238" i="9"/>
  <c r="E308" i="9"/>
  <c r="E292" i="9"/>
  <c r="E276" i="9"/>
  <c r="E260" i="9"/>
  <c r="E244" i="9"/>
  <c r="E227" i="9"/>
  <c r="E211" i="9"/>
  <c r="E195" i="9"/>
  <c r="E179" i="9"/>
  <c r="E163" i="9"/>
  <c r="E147" i="9"/>
  <c r="E312" i="9"/>
  <c r="E264" i="9"/>
  <c r="E231" i="9"/>
  <c r="E215" i="9"/>
  <c r="E183" i="9"/>
  <c r="E151" i="9"/>
  <c r="E288" i="9"/>
  <c r="E240" i="9"/>
  <c r="E207" i="9"/>
  <c r="E159" i="9"/>
  <c r="E296" i="9"/>
  <c r="E280" i="9"/>
  <c r="E248" i="9"/>
  <c r="E199" i="9"/>
  <c r="E167" i="9"/>
  <c r="E304" i="9"/>
  <c r="E256" i="9"/>
  <c r="E223" i="9"/>
  <c r="E175" i="9"/>
  <c r="E143" i="9"/>
  <c r="E316" i="9"/>
  <c r="E300" i="9"/>
  <c r="E284" i="9"/>
  <c r="E268" i="9"/>
  <c r="E252" i="9"/>
  <c r="E235" i="9"/>
  <c r="E219" i="9"/>
  <c r="E203" i="9"/>
  <c r="E187" i="9"/>
  <c r="E171" i="9"/>
  <c r="E155" i="9"/>
  <c r="E272" i="9"/>
  <c r="E191" i="9"/>
  <c r="G17" i="14"/>
  <c r="G15" i="14"/>
  <c r="G16" i="14"/>
  <c r="G18" i="14"/>
  <c r="G25" i="14" s="1"/>
  <c r="G19" i="14"/>
  <c r="G26" i="14" s="1"/>
  <c r="E315" i="12"/>
  <c r="E309" i="12"/>
  <c r="E301" i="12"/>
  <c r="E293" i="12"/>
  <c r="E285" i="12"/>
  <c r="E277" i="12"/>
  <c r="E271" i="12"/>
  <c r="E267" i="12"/>
  <c r="E263" i="12"/>
  <c r="E259" i="12"/>
  <c r="E255" i="12"/>
  <c r="E251" i="12"/>
  <c r="E247" i="12"/>
  <c r="E243" i="12"/>
  <c r="E239" i="12"/>
  <c r="E235" i="12"/>
  <c r="E231" i="12"/>
  <c r="E227" i="12"/>
  <c r="E223" i="12"/>
  <c r="E219" i="12"/>
  <c r="E215" i="12"/>
  <c r="E211" i="12"/>
  <c r="E207" i="12"/>
  <c r="E203" i="12"/>
  <c r="E199" i="12"/>
  <c r="E195" i="12"/>
  <c r="E191" i="12"/>
  <c r="E187" i="12"/>
  <c r="E183" i="12"/>
  <c r="E179" i="12"/>
  <c r="E175" i="12"/>
  <c r="E312" i="12"/>
  <c r="E296" i="12"/>
  <c r="E280" i="12"/>
  <c r="E170" i="12"/>
  <c r="E166" i="12"/>
  <c r="E162" i="12"/>
  <c r="E158" i="12"/>
  <c r="E154" i="12"/>
  <c r="E150" i="12"/>
  <c r="E146" i="12"/>
  <c r="E310" i="12"/>
  <c r="E278" i="12"/>
  <c r="E274" i="12"/>
  <c r="E316" i="12"/>
  <c r="E311" i="12"/>
  <c r="E303" i="12"/>
  <c r="E295" i="12"/>
  <c r="E287" i="12"/>
  <c r="E279" i="12"/>
  <c r="E272" i="12"/>
  <c r="E268" i="12"/>
  <c r="E264" i="12"/>
  <c r="E260" i="12"/>
  <c r="E256" i="12"/>
  <c r="E252" i="12"/>
  <c r="E248" i="12"/>
  <c r="E244" i="12"/>
  <c r="E240" i="12"/>
  <c r="E236" i="12"/>
  <c r="E232" i="12"/>
  <c r="E228" i="12"/>
  <c r="E224" i="12"/>
  <c r="E220" i="12"/>
  <c r="E216" i="12"/>
  <c r="E212" i="12"/>
  <c r="E208" i="12"/>
  <c r="E204" i="12"/>
  <c r="E200" i="12"/>
  <c r="E196" i="12"/>
  <c r="E192" i="12"/>
  <c r="E188" i="12"/>
  <c r="E184" i="12"/>
  <c r="E180" i="12"/>
  <c r="E176" i="12"/>
  <c r="E172" i="12"/>
  <c r="E300" i="12"/>
  <c r="E284" i="12"/>
  <c r="E171" i="12"/>
  <c r="E167" i="12"/>
  <c r="E163" i="12"/>
  <c r="E159" i="12"/>
  <c r="E155" i="12"/>
  <c r="E151" i="12"/>
  <c r="E147" i="12"/>
  <c r="E286" i="12"/>
  <c r="E282" i="12"/>
  <c r="E317" i="12"/>
  <c r="E313" i="12"/>
  <c r="E305" i="12"/>
  <c r="E297" i="12"/>
  <c r="E289" i="12"/>
  <c r="E281" i="12"/>
  <c r="E273" i="12"/>
  <c r="E269" i="12"/>
  <c r="E265" i="12"/>
  <c r="E261" i="12"/>
  <c r="E257" i="12"/>
  <c r="E253" i="12"/>
  <c r="E249" i="12"/>
  <c r="E245" i="12"/>
  <c r="E241" i="12"/>
  <c r="E237" i="12"/>
  <c r="E233" i="12"/>
  <c r="E229" i="12"/>
  <c r="E225" i="12"/>
  <c r="E221" i="12"/>
  <c r="E217" i="12"/>
  <c r="E213" i="12"/>
  <c r="E209" i="12"/>
  <c r="E205" i="12"/>
  <c r="E201" i="12"/>
  <c r="E197" i="12"/>
  <c r="E193" i="12"/>
  <c r="E189" i="12"/>
  <c r="E185" i="12"/>
  <c r="E181" i="12"/>
  <c r="E177" i="12"/>
  <c r="E173" i="12"/>
  <c r="E304" i="12"/>
  <c r="E288" i="12"/>
  <c r="E168" i="12"/>
  <c r="E164" i="12"/>
  <c r="E160" i="12"/>
  <c r="E156" i="12"/>
  <c r="E152" i="12"/>
  <c r="E148" i="12"/>
  <c r="E144" i="12"/>
  <c r="E294" i="12"/>
  <c r="E298" i="12"/>
  <c r="E306" i="12"/>
  <c r="E299" i="12"/>
  <c r="E270" i="12"/>
  <c r="E254" i="12"/>
  <c r="E238" i="12"/>
  <c r="E222" i="12"/>
  <c r="E206" i="12"/>
  <c r="E190" i="12"/>
  <c r="E174" i="12"/>
  <c r="E169" i="12"/>
  <c r="E153" i="12"/>
  <c r="E307" i="12"/>
  <c r="E275" i="12"/>
  <c r="E258" i="12"/>
  <c r="E242" i="12"/>
  <c r="E226" i="12"/>
  <c r="E210" i="12"/>
  <c r="E194" i="12"/>
  <c r="E178" i="12"/>
  <c r="E276" i="12"/>
  <c r="E157" i="12"/>
  <c r="E302" i="12"/>
  <c r="E314" i="12"/>
  <c r="E283" i="12"/>
  <c r="E262" i="12"/>
  <c r="E246" i="12"/>
  <c r="E230" i="12"/>
  <c r="E214" i="12"/>
  <c r="E198" i="12"/>
  <c r="E182" i="12"/>
  <c r="E292" i="12"/>
  <c r="E161" i="12"/>
  <c r="E145" i="12"/>
  <c r="E318" i="12"/>
  <c r="E291" i="12"/>
  <c r="E266" i="12"/>
  <c r="E250" i="12"/>
  <c r="E234" i="12"/>
  <c r="E218" i="12"/>
  <c r="E202" i="12"/>
  <c r="E186" i="12"/>
  <c r="E308" i="12"/>
  <c r="E165" i="12"/>
  <c r="E149" i="12"/>
  <c r="E290" i="12"/>
  <c r="E315" i="13"/>
  <c r="E311" i="13"/>
  <c r="E307" i="13"/>
  <c r="E303" i="13"/>
  <c r="E299" i="13"/>
  <c r="E295" i="13"/>
  <c r="E291" i="13"/>
  <c r="E287" i="13"/>
  <c r="E283" i="13"/>
  <c r="E279" i="13"/>
  <c r="E275" i="13"/>
  <c r="E271" i="13"/>
  <c r="E267" i="13"/>
  <c r="E263" i="13"/>
  <c r="E259" i="13"/>
  <c r="E255" i="13"/>
  <c r="E251" i="13"/>
  <c r="E247" i="13"/>
  <c r="E243" i="13"/>
  <c r="E239" i="13"/>
  <c r="E235" i="13"/>
  <c r="E231" i="13"/>
  <c r="E227" i="13"/>
  <c r="E223" i="13"/>
  <c r="E219" i="13"/>
  <c r="E215" i="13"/>
  <c r="E211" i="13"/>
  <c r="E207" i="13"/>
  <c r="E203" i="13"/>
  <c r="E199" i="13"/>
  <c r="E195" i="13"/>
  <c r="E191" i="13"/>
  <c r="E187" i="13"/>
  <c r="E183" i="13"/>
  <c r="E179" i="13"/>
  <c r="E175" i="13"/>
  <c r="E171" i="13"/>
  <c r="E167" i="13"/>
  <c r="E163" i="13"/>
  <c r="E159" i="13"/>
  <c r="E155" i="13"/>
  <c r="E152" i="13"/>
  <c r="E148" i="13"/>
  <c r="E144" i="13"/>
  <c r="E294" i="13"/>
  <c r="E282" i="13"/>
  <c r="E270" i="13"/>
  <c r="E316" i="13"/>
  <c r="E312" i="13"/>
  <c r="E308" i="13"/>
  <c r="E304" i="13"/>
  <c r="E300" i="13"/>
  <c r="E296" i="13"/>
  <c r="E292" i="13"/>
  <c r="E288" i="13"/>
  <c r="E284" i="13"/>
  <c r="E280" i="13"/>
  <c r="E276" i="13"/>
  <c r="E272" i="13"/>
  <c r="E268" i="13"/>
  <c r="E264" i="13"/>
  <c r="E260" i="13"/>
  <c r="E256" i="13"/>
  <c r="E252" i="13"/>
  <c r="E248" i="13"/>
  <c r="E244" i="13"/>
  <c r="E240" i="13"/>
  <c r="E236" i="13"/>
  <c r="E232" i="13"/>
  <c r="E228" i="13"/>
  <c r="E224" i="13"/>
  <c r="E220" i="13"/>
  <c r="E216" i="13"/>
  <c r="E212" i="13"/>
  <c r="E208" i="13"/>
  <c r="E204" i="13"/>
  <c r="E200" i="13"/>
  <c r="E196" i="13"/>
  <c r="E192" i="13"/>
  <c r="E188" i="13"/>
  <c r="E184" i="13"/>
  <c r="E180" i="13"/>
  <c r="E176" i="13"/>
  <c r="E172" i="13"/>
  <c r="E168" i="13"/>
  <c r="E164" i="13"/>
  <c r="E160" i="13"/>
  <c r="E156" i="13"/>
  <c r="E153" i="13"/>
  <c r="E149" i="13"/>
  <c r="E145" i="13"/>
  <c r="E314" i="13"/>
  <c r="E302" i="13"/>
  <c r="E290" i="13"/>
  <c r="E278" i="13"/>
  <c r="E317" i="13"/>
  <c r="E313" i="13"/>
  <c r="E309" i="13"/>
  <c r="E305" i="13"/>
  <c r="E301" i="13"/>
  <c r="E297" i="13"/>
  <c r="E293" i="13"/>
  <c r="E289" i="13"/>
  <c r="E285" i="13"/>
  <c r="E281" i="13"/>
  <c r="E277" i="13"/>
  <c r="E273" i="13"/>
  <c r="E269" i="13"/>
  <c r="E265" i="13"/>
  <c r="E261" i="13"/>
  <c r="E257" i="13"/>
  <c r="E253" i="13"/>
  <c r="E249" i="13"/>
  <c r="E245" i="13"/>
  <c r="E241" i="13"/>
  <c r="E237" i="13"/>
  <c r="E233" i="13"/>
  <c r="E229" i="13"/>
  <c r="E225" i="13"/>
  <c r="E221" i="13"/>
  <c r="E217" i="13"/>
  <c r="E213" i="13"/>
  <c r="E209" i="13"/>
  <c r="E205" i="13"/>
  <c r="E201" i="13"/>
  <c r="E197" i="13"/>
  <c r="E193" i="13"/>
  <c r="E189" i="13"/>
  <c r="E185" i="13"/>
  <c r="E181" i="13"/>
  <c r="E177" i="13"/>
  <c r="E173" i="13"/>
  <c r="E169" i="13"/>
  <c r="E165" i="13"/>
  <c r="E161" i="13"/>
  <c r="E157" i="13"/>
  <c r="E154" i="13"/>
  <c r="E150" i="13"/>
  <c r="E146" i="13"/>
  <c r="E318" i="13"/>
  <c r="E310" i="13"/>
  <c r="E306" i="13"/>
  <c r="E298" i="13"/>
  <c r="E286" i="13"/>
  <c r="E274" i="13"/>
  <c r="E258" i="13"/>
  <c r="E242" i="13"/>
  <c r="E226" i="13"/>
  <c r="E210" i="13"/>
  <c r="E194" i="13"/>
  <c r="E178" i="13"/>
  <c r="E162" i="13"/>
  <c r="E147" i="13"/>
  <c r="E262" i="13"/>
  <c r="E246" i="13"/>
  <c r="E230" i="13"/>
  <c r="E214" i="13"/>
  <c r="E198" i="13"/>
  <c r="E182" i="13"/>
  <c r="E166" i="13"/>
  <c r="E151" i="13"/>
  <c r="E266" i="13"/>
  <c r="E250" i="13"/>
  <c r="E234" i="13"/>
  <c r="E218" i="13"/>
  <c r="E202" i="13"/>
  <c r="E186" i="13"/>
  <c r="E170" i="13"/>
  <c r="E254" i="13"/>
  <c r="E238" i="13"/>
  <c r="E222" i="13"/>
  <c r="E206" i="13"/>
  <c r="E190" i="13"/>
  <c r="E174" i="13"/>
  <c r="E158" i="13"/>
  <c r="D13" i="14"/>
  <c r="D35" i="1"/>
  <c r="C41" i="4"/>
  <c r="C40" i="4"/>
  <c r="E35" i="1"/>
  <c r="M312" i="12"/>
  <c r="M311" i="12"/>
  <c r="M310" i="12"/>
  <c r="M309" i="12"/>
  <c r="M308" i="12"/>
  <c r="M307" i="12"/>
  <c r="M306" i="12"/>
  <c r="M305" i="12"/>
  <c r="M304" i="12"/>
  <c r="M303" i="12"/>
  <c r="M302" i="12"/>
  <c r="M301" i="12"/>
  <c r="M300" i="12"/>
  <c r="M299" i="12"/>
  <c r="M298" i="12"/>
  <c r="M297" i="12"/>
  <c r="M296" i="12"/>
  <c r="M295" i="12"/>
  <c r="M294" i="12"/>
  <c r="M293" i="12"/>
  <c r="M292" i="12"/>
  <c r="M291" i="12"/>
  <c r="M290" i="12"/>
  <c r="M289" i="12"/>
  <c r="M288" i="12"/>
  <c r="M287" i="12"/>
  <c r="M286" i="12"/>
  <c r="M285" i="12"/>
  <c r="M284" i="12"/>
  <c r="M283" i="12"/>
  <c r="M282" i="12"/>
  <c r="M281" i="12"/>
  <c r="M280" i="12"/>
  <c r="M279" i="12"/>
  <c r="M278" i="12"/>
  <c r="M277" i="12"/>
  <c r="M276" i="12"/>
  <c r="M275" i="12"/>
  <c r="M274" i="12"/>
  <c r="M273" i="12"/>
  <c r="M316" i="12"/>
  <c r="M315" i="12"/>
  <c r="M317" i="12"/>
  <c r="M272" i="12"/>
  <c r="M271" i="12"/>
  <c r="M270" i="12"/>
  <c r="M269" i="12"/>
  <c r="M268" i="12"/>
  <c r="M267" i="12"/>
  <c r="M266" i="12"/>
  <c r="M265" i="12"/>
  <c r="M264" i="12"/>
  <c r="M263" i="12"/>
  <c r="M262" i="12"/>
  <c r="M261" i="12"/>
  <c r="M260" i="12"/>
  <c r="M259" i="12"/>
  <c r="M258" i="12"/>
  <c r="M257" i="12"/>
  <c r="M256" i="12"/>
  <c r="M255" i="12"/>
  <c r="M254" i="12"/>
  <c r="M253" i="12"/>
  <c r="M252" i="12"/>
  <c r="M251" i="12"/>
  <c r="M250" i="12"/>
  <c r="M249" i="12"/>
  <c r="M248" i="12"/>
  <c r="M247" i="12"/>
  <c r="M246" i="12"/>
  <c r="M245" i="12"/>
  <c r="M244" i="12"/>
  <c r="M243" i="12"/>
  <c r="M242" i="12"/>
  <c r="M241" i="12"/>
  <c r="M240" i="12"/>
  <c r="M239" i="12"/>
  <c r="M238" i="12"/>
  <c r="M237" i="12"/>
  <c r="M236" i="12"/>
  <c r="M235" i="12"/>
  <c r="M234" i="12"/>
  <c r="M233" i="12"/>
  <c r="M232" i="12"/>
  <c r="M231" i="12"/>
  <c r="M230" i="12"/>
  <c r="M229" i="12"/>
  <c r="M228" i="12"/>
  <c r="M227" i="12"/>
  <c r="M226" i="12"/>
  <c r="M225" i="12"/>
  <c r="M224" i="12"/>
  <c r="M223" i="12"/>
  <c r="M222" i="12"/>
  <c r="M221" i="12"/>
  <c r="M220" i="12"/>
  <c r="M219" i="12"/>
  <c r="M218" i="12"/>
  <c r="M217" i="12"/>
  <c r="M216" i="12"/>
  <c r="M215" i="12"/>
  <c r="M214" i="12"/>
  <c r="M213" i="12"/>
  <c r="M212" i="12"/>
  <c r="M211" i="12"/>
  <c r="M210" i="12"/>
  <c r="M209" i="12"/>
  <c r="M208" i="12"/>
  <c r="M207" i="12"/>
  <c r="M206" i="12"/>
  <c r="M205" i="12"/>
  <c r="M204" i="12"/>
  <c r="M203" i="12"/>
  <c r="M202" i="12"/>
  <c r="M201" i="12"/>
  <c r="M200" i="12"/>
  <c r="M199" i="12"/>
  <c r="M198" i="12"/>
  <c r="M197" i="12"/>
  <c r="M196" i="12"/>
  <c r="M195" i="12"/>
  <c r="M194" i="12"/>
  <c r="M193" i="12"/>
  <c r="M192" i="12"/>
  <c r="M191" i="12"/>
  <c r="M190" i="12"/>
  <c r="M189" i="12"/>
  <c r="M188" i="12"/>
  <c r="M187" i="12"/>
  <c r="M186" i="12"/>
  <c r="M185" i="12"/>
  <c r="M184" i="12"/>
  <c r="M183" i="12"/>
  <c r="M182" i="12"/>
  <c r="M171" i="12"/>
  <c r="M170" i="12"/>
  <c r="M169" i="12"/>
  <c r="M168" i="12"/>
  <c r="M167" i="12"/>
  <c r="M166" i="12"/>
  <c r="M165" i="12"/>
  <c r="M164" i="12"/>
  <c r="M163" i="12"/>
  <c r="M162" i="12"/>
  <c r="M161" i="12"/>
  <c r="M160" i="12"/>
  <c r="M159" i="12"/>
  <c r="M158" i="12"/>
  <c r="M157" i="12"/>
  <c r="M156" i="12"/>
  <c r="M155" i="12"/>
  <c r="M154" i="12"/>
  <c r="M153" i="12"/>
  <c r="M152" i="12"/>
  <c r="M151" i="12"/>
  <c r="M150" i="12"/>
  <c r="M149" i="12"/>
  <c r="M148" i="12"/>
  <c r="M147" i="12"/>
  <c r="M146" i="12"/>
  <c r="M145" i="12"/>
  <c r="M144" i="12"/>
  <c r="M318" i="12"/>
  <c r="M181" i="12"/>
  <c r="M179" i="12"/>
  <c r="M177" i="12"/>
  <c r="M175" i="12"/>
  <c r="M173" i="12"/>
  <c r="M313" i="12"/>
  <c r="M314" i="12"/>
  <c r="M178" i="12"/>
  <c r="M174" i="12"/>
  <c r="M180" i="12"/>
  <c r="M172" i="12"/>
  <c r="M176" i="12"/>
  <c r="H35" i="1"/>
  <c r="H9" i="1"/>
  <c r="L69" i="40" l="1"/>
  <c r="Q154" i="10"/>
  <c r="Q231" i="10"/>
  <c r="Q201" i="10"/>
  <c r="Q196" i="10"/>
  <c r="Q160" i="10"/>
  <c r="Q178" i="10"/>
  <c r="Q314" i="10"/>
  <c r="Q287" i="10"/>
  <c r="Q207" i="10"/>
  <c r="Q284" i="10"/>
  <c r="Q252" i="10"/>
  <c r="Q189" i="10"/>
  <c r="Q293" i="10"/>
  <c r="Q248" i="10"/>
  <c r="Q187" i="10"/>
  <c r="Q313" i="10"/>
  <c r="Q282" i="10"/>
  <c r="Q285" i="10"/>
  <c r="Q150" i="10"/>
  <c r="Q145" i="10"/>
  <c r="Q167" i="10"/>
  <c r="Q214" i="10"/>
  <c r="Q259" i="10"/>
  <c r="Q302" i="10"/>
  <c r="Q270" i="10"/>
  <c r="Q225" i="10"/>
  <c r="Q218" i="10"/>
  <c r="Q261" i="10"/>
  <c r="Q220" i="10"/>
  <c r="Q180" i="10"/>
  <c r="Q267" i="10"/>
  <c r="Q233" i="10"/>
  <c r="Q228" i="10"/>
  <c r="Q174" i="10"/>
  <c r="Q173" i="10"/>
  <c r="Q179" i="10"/>
  <c r="Q194" i="10"/>
  <c r="Q247" i="10"/>
  <c r="Q296" i="10"/>
  <c r="Q264" i="10"/>
  <c r="Q213" i="10"/>
  <c r="Q309" i="10"/>
  <c r="Q243" i="10"/>
  <c r="Q208" i="10"/>
  <c r="Q164" i="10"/>
  <c r="Q283" i="10"/>
  <c r="Q249" i="10"/>
  <c r="Q244" i="10"/>
  <c r="Q144" i="10"/>
  <c r="Q146" i="10"/>
  <c r="Q318" i="10"/>
  <c r="Q299" i="10"/>
  <c r="Q235" i="10"/>
  <c r="Q292" i="10"/>
  <c r="Q260" i="10"/>
  <c r="Q205" i="10"/>
  <c r="Q305" i="10"/>
  <c r="Q219" i="10"/>
  <c r="Q200" i="10"/>
  <c r="Q159" i="10"/>
  <c r="Q306" i="10"/>
  <c r="Q234" i="10"/>
  <c r="Q157" i="10"/>
  <c r="Q172" i="10"/>
  <c r="Q151" i="10"/>
  <c r="Q250" i="10"/>
  <c r="Q275" i="10"/>
  <c r="Q143" i="10"/>
  <c r="Q278" i="10"/>
  <c r="Q241" i="10"/>
  <c r="Q246" i="10"/>
  <c r="Q277" i="10"/>
  <c r="Q236" i="10"/>
  <c r="Q170" i="10"/>
  <c r="Q198" i="10"/>
  <c r="Q266" i="10"/>
  <c r="Q253" i="10"/>
  <c r="Q185" i="10"/>
  <c r="Q184" i="10"/>
  <c r="Q163" i="10"/>
  <c r="Q222" i="10"/>
  <c r="Q263" i="10"/>
  <c r="Q304" i="10"/>
  <c r="Q272" i="10"/>
  <c r="Q229" i="10"/>
  <c r="Q226" i="10"/>
  <c r="Q265" i="10"/>
  <c r="Q224" i="10"/>
  <c r="Q177" i="10"/>
  <c r="Q230" i="10"/>
  <c r="Q274" i="10"/>
  <c r="Q269" i="10"/>
  <c r="Q162" i="10"/>
  <c r="Q153" i="10"/>
  <c r="Q171" i="10"/>
  <c r="Q210" i="10"/>
  <c r="Q255" i="10"/>
  <c r="Q300" i="10"/>
  <c r="Q268" i="10"/>
  <c r="Q221" i="10"/>
  <c r="Q206" i="10"/>
  <c r="Q257" i="10"/>
  <c r="Q216" i="10"/>
  <c r="Q161" i="10"/>
  <c r="Q251" i="10"/>
  <c r="Q217" i="10"/>
  <c r="Q212" i="10"/>
  <c r="Q156" i="10"/>
  <c r="Q166" i="10"/>
  <c r="Q315" i="10"/>
  <c r="Q289" i="10"/>
  <c r="Q215" i="10"/>
  <c r="Q286" i="10"/>
  <c r="Q254" i="10"/>
  <c r="Q193" i="10"/>
  <c r="Q297" i="10"/>
  <c r="Q195" i="10"/>
  <c r="Q188" i="10"/>
  <c r="Q317" i="10"/>
  <c r="Q290" i="10"/>
  <c r="Q303" i="10"/>
  <c r="Q149" i="10"/>
  <c r="Q168" i="10"/>
  <c r="Q147" i="10"/>
  <c r="Q312" i="10"/>
  <c r="Q279" i="10"/>
  <c r="Q191" i="10"/>
  <c r="Q280" i="10"/>
  <c r="Q245" i="10"/>
  <c r="Q310" i="10"/>
  <c r="Q281" i="10"/>
  <c r="F40" i="1"/>
  <c r="F41" i="1"/>
  <c r="F43" i="1"/>
  <c r="F45" i="1"/>
  <c r="F44" i="1"/>
  <c r="F39" i="1"/>
  <c r="F42" i="1"/>
  <c r="G40" i="1"/>
  <c r="G41" i="1"/>
  <c r="G43" i="1"/>
  <c r="G44" i="1"/>
  <c r="G39" i="1"/>
  <c r="G42" i="1"/>
  <c r="G45" i="1"/>
  <c r="D23" i="4"/>
  <c r="D27" i="4"/>
  <c r="D22" i="4"/>
  <c r="D26" i="4"/>
  <c r="D24" i="4"/>
  <c r="D21" i="4"/>
  <c r="D28" i="4"/>
  <c r="D25" i="4"/>
  <c r="E23" i="4"/>
  <c r="E22" i="4"/>
  <c r="E27" i="4"/>
  <c r="E24" i="4"/>
  <c r="E25" i="4"/>
  <c r="E26" i="4"/>
  <c r="E28" i="4"/>
  <c r="E21" i="4"/>
  <c r="D113" i="14"/>
  <c r="Q243" i="12"/>
  <c r="Q175" i="12"/>
  <c r="Q224" i="12"/>
  <c r="Q289" i="12"/>
  <c r="Q161" i="12"/>
  <c r="Q252" i="12"/>
  <c r="Q250" i="12"/>
  <c r="Q227" i="12"/>
  <c r="Q153" i="12"/>
  <c r="Q281" i="12"/>
  <c r="Q313" i="12"/>
  <c r="Q212" i="12"/>
  <c r="Q218" i="12"/>
  <c r="Q211" i="12"/>
  <c r="Q145" i="12"/>
  <c r="Q273" i="12"/>
  <c r="Q305" i="12"/>
  <c r="Q186" i="12"/>
  <c r="Q195" i="12"/>
  <c r="Q259" i="12"/>
  <c r="Q169" i="12"/>
  <c r="Q297" i="12"/>
  <c r="G314" i="3"/>
  <c r="Q204" i="12"/>
  <c r="Q264" i="12"/>
  <c r="Q238" i="12"/>
  <c r="Q189" i="12"/>
  <c r="Q221" i="12"/>
  <c r="Q253" i="12"/>
  <c r="Q150" i="12"/>
  <c r="Q166" i="12"/>
  <c r="Q278" i="12"/>
  <c r="Q302" i="12"/>
  <c r="Q318" i="12"/>
  <c r="Q188" i="12"/>
  <c r="Q192" i="12"/>
  <c r="Q256" i="12"/>
  <c r="Q202" i="12"/>
  <c r="Q234" i="12"/>
  <c r="Q266" i="12"/>
  <c r="Q187" i="12"/>
  <c r="Q203" i="12"/>
  <c r="Q219" i="12"/>
  <c r="Q235" i="12"/>
  <c r="Q251" i="12"/>
  <c r="Q267" i="12"/>
  <c r="Q149" i="12"/>
  <c r="Q157" i="12"/>
  <c r="Q165" i="12"/>
  <c r="Q174" i="12"/>
  <c r="Q277" i="12"/>
  <c r="Q285" i="12"/>
  <c r="Q293" i="12"/>
  <c r="Q301" i="12"/>
  <c r="Q309" i="12"/>
  <c r="Q317" i="12"/>
  <c r="Q200" i="12"/>
  <c r="Q206" i="12"/>
  <c r="Q270" i="12"/>
  <c r="Q205" i="12"/>
  <c r="Q237" i="12"/>
  <c r="Q269" i="12"/>
  <c r="Q158" i="12"/>
  <c r="Q176" i="12"/>
  <c r="Q286" i="12"/>
  <c r="Q294" i="12"/>
  <c r="Q310" i="12"/>
  <c r="Q228" i="12"/>
  <c r="Q268" i="12"/>
  <c r="Q232" i="12"/>
  <c r="Q190" i="12"/>
  <c r="Q222" i="12"/>
  <c r="Q254" i="12"/>
  <c r="Q179" i="12"/>
  <c r="Q197" i="12"/>
  <c r="Q213" i="12"/>
  <c r="Q229" i="12"/>
  <c r="Q245" i="12"/>
  <c r="Q261" i="12"/>
  <c r="Q146" i="12"/>
  <c r="Q154" i="12"/>
  <c r="Q162" i="12"/>
  <c r="Q170" i="12"/>
  <c r="Q274" i="12"/>
  <c r="Q282" i="12"/>
  <c r="Q290" i="12"/>
  <c r="Q298" i="12"/>
  <c r="Q306" i="12"/>
  <c r="Q314" i="12"/>
  <c r="Q196" i="12"/>
  <c r="Q260" i="12"/>
  <c r="Q236" i="12"/>
  <c r="Q184" i="12"/>
  <c r="Q216" i="12"/>
  <c r="Q248" i="12"/>
  <c r="Q182" i="12"/>
  <c r="Q198" i="12"/>
  <c r="Q214" i="12"/>
  <c r="Q230" i="12"/>
  <c r="Q246" i="12"/>
  <c r="Q262" i="12"/>
  <c r="Q181" i="12"/>
  <c r="Q185" i="12"/>
  <c r="Q193" i="12"/>
  <c r="Q201" i="12"/>
  <c r="Q209" i="12"/>
  <c r="Q217" i="12"/>
  <c r="Q225" i="12"/>
  <c r="Q233" i="12"/>
  <c r="Q241" i="12"/>
  <c r="Q249" i="12"/>
  <c r="Q257" i="12"/>
  <c r="Q265" i="12"/>
  <c r="Q144" i="12"/>
  <c r="Q148" i="12"/>
  <c r="Q152" i="12"/>
  <c r="Q156" i="12"/>
  <c r="Q160" i="12"/>
  <c r="Q164" i="12"/>
  <c r="Q168" i="12"/>
  <c r="Q172" i="12"/>
  <c r="Q180" i="12"/>
  <c r="Q276" i="12"/>
  <c r="Q280" i="12"/>
  <c r="Q284" i="12"/>
  <c r="Q288" i="12"/>
  <c r="Q292" i="12"/>
  <c r="Q296" i="12"/>
  <c r="Q300" i="12"/>
  <c r="Q304" i="12"/>
  <c r="Q308" i="12"/>
  <c r="Q312" i="12"/>
  <c r="Q316" i="12"/>
  <c r="Q244" i="12"/>
  <c r="Q220" i="12"/>
  <c r="Q177" i="12"/>
  <c r="Q208" i="12"/>
  <c r="Q240" i="12"/>
  <c r="Q272" i="12"/>
  <c r="Q194" i="12"/>
  <c r="Q210" i="12"/>
  <c r="Q226" i="12"/>
  <c r="Q242" i="12"/>
  <c r="Q258" i="12"/>
  <c r="Q173" i="12"/>
  <c r="Q183" i="12"/>
  <c r="Q191" i="12"/>
  <c r="Q199" i="12"/>
  <c r="Q207" i="12"/>
  <c r="Q215" i="12"/>
  <c r="Q223" i="12"/>
  <c r="Q231" i="12"/>
  <c r="Q239" i="12"/>
  <c r="Q247" i="12"/>
  <c r="Q255" i="12"/>
  <c r="Q263" i="12"/>
  <c r="Q271" i="12"/>
  <c r="Q147" i="12"/>
  <c r="Q151" i="12"/>
  <c r="Q155" i="12"/>
  <c r="Q159" i="12"/>
  <c r="Q163" i="12"/>
  <c r="Q167" i="12"/>
  <c r="Q171" i="12"/>
  <c r="Q178" i="12"/>
  <c r="Q275" i="12"/>
  <c r="Q279" i="12"/>
  <c r="Q283" i="12"/>
  <c r="Q287" i="12"/>
  <c r="Q291" i="12"/>
  <c r="Q295" i="12"/>
  <c r="Q299" i="12"/>
  <c r="Q303" i="12"/>
  <c r="Q307" i="12"/>
  <c r="Q311" i="12"/>
  <c r="Q315" i="12"/>
  <c r="H43" i="14"/>
  <c r="F113" i="14"/>
  <c r="F63" i="14"/>
  <c r="F70" i="14" s="1"/>
  <c r="G70" i="14" s="1"/>
  <c r="H70" i="14" s="1"/>
  <c r="H19" i="14"/>
  <c r="H26" i="14" s="1"/>
  <c r="H17" i="14"/>
  <c r="E136" i="14"/>
  <c r="G112" i="14"/>
  <c r="G119" i="14" s="1"/>
  <c r="G110" i="14"/>
  <c r="G109" i="14"/>
  <c r="G111" i="14"/>
  <c r="G118" i="14" s="1"/>
  <c r="E13" i="14"/>
  <c r="E16" i="14" s="1"/>
  <c r="H159" i="14"/>
  <c r="G60" i="14"/>
  <c r="G62" i="14" s="1"/>
  <c r="H18" i="14"/>
  <c r="H25" i="14" s="1"/>
  <c r="H16" i="14"/>
  <c r="H60" i="14"/>
  <c r="E108" i="14"/>
  <c r="E110" i="14"/>
  <c r="E117" i="14" s="1"/>
  <c r="E109" i="14"/>
  <c r="E116" i="14" s="1"/>
  <c r="E111" i="14"/>
  <c r="E118" i="14" s="1"/>
  <c r="E112" i="14"/>
  <c r="E119" i="14" s="1"/>
  <c r="F66" i="14"/>
  <c r="F73" i="14" s="1"/>
  <c r="F65" i="14"/>
  <c r="F72" i="14" s="1"/>
  <c r="F62" i="14"/>
  <c r="E60" i="14"/>
  <c r="D43" i="14"/>
  <c r="F18" i="14"/>
  <c r="F25" i="14" s="1"/>
  <c r="F16" i="14"/>
  <c r="F23" i="14" s="1"/>
  <c r="G23" i="14" s="1"/>
  <c r="H23" i="14" s="1"/>
  <c r="F17" i="14"/>
  <c r="F24" i="14" s="1"/>
  <c r="G24" i="14" s="1"/>
  <c r="H24" i="14" s="1"/>
  <c r="F19" i="14"/>
  <c r="F26" i="14" s="1"/>
  <c r="F159" i="14"/>
  <c r="D180" i="11"/>
  <c r="D172" i="11"/>
  <c r="D165" i="11"/>
  <c r="D163" i="11"/>
  <c r="D155" i="11"/>
  <c r="D147" i="11"/>
  <c r="D184" i="11"/>
  <c r="D176" i="11"/>
  <c r="D168" i="11"/>
  <c r="D159" i="11"/>
  <c r="D151" i="11"/>
  <c r="D182" i="11"/>
  <c r="D166" i="11"/>
  <c r="D153" i="11"/>
  <c r="D144" i="11"/>
  <c r="D143" i="11"/>
  <c r="D178" i="11"/>
  <c r="D170" i="11"/>
  <c r="D157" i="11"/>
  <c r="D174" i="11"/>
  <c r="D161" i="11"/>
  <c r="D145" i="11"/>
  <c r="D149" i="11"/>
  <c r="D190" i="11"/>
  <c r="D198" i="11"/>
  <c r="D206" i="11"/>
  <c r="D214" i="11"/>
  <c r="D222" i="11"/>
  <c r="D230" i="11"/>
  <c r="D238" i="11"/>
  <c r="D246" i="11"/>
  <c r="D254" i="11"/>
  <c r="D262" i="11"/>
  <c r="D270" i="11"/>
  <c r="D279" i="11"/>
  <c r="D287" i="11"/>
  <c r="D295" i="11"/>
  <c r="D303" i="11"/>
  <c r="D312" i="11"/>
  <c r="D189" i="11"/>
  <c r="D197" i="11"/>
  <c r="D205" i="11"/>
  <c r="D213" i="11"/>
  <c r="D221" i="11"/>
  <c r="D229" i="11"/>
  <c r="D237" i="11"/>
  <c r="D245" i="11"/>
  <c r="D253" i="11"/>
  <c r="D261" i="11"/>
  <c r="D269" i="11"/>
  <c r="D276" i="11"/>
  <c r="D284" i="11"/>
  <c r="D292" i="11"/>
  <c r="D300" i="11"/>
  <c r="D308" i="11"/>
  <c r="D315" i="11"/>
  <c r="D146" i="11"/>
  <c r="D154" i="11"/>
  <c r="D162" i="11"/>
  <c r="D169" i="11"/>
  <c r="D177" i="11"/>
  <c r="D185" i="11"/>
  <c r="D188" i="11"/>
  <c r="D196" i="11"/>
  <c r="D204" i="11"/>
  <c r="D212" i="11"/>
  <c r="D220" i="11"/>
  <c r="D228" i="11"/>
  <c r="D236" i="11"/>
  <c r="D244" i="11"/>
  <c r="D252" i="11"/>
  <c r="D260" i="11"/>
  <c r="D268" i="11"/>
  <c r="D277" i="11"/>
  <c r="D285" i="11"/>
  <c r="D293" i="11"/>
  <c r="D301" i="11"/>
  <c r="D311" i="11"/>
  <c r="D187" i="11"/>
  <c r="D195" i="11"/>
  <c r="D203" i="11"/>
  <c r="D211" i="11"/>
  <c r="D219" i="11"/>
  <c r="D227" i="11"/>
  <c r="D235" i="11"/>
  <c r="D243" i="11"/>
  <c r="D251" i="11"/>
  <c r="D259" i="11"/>
  <c r="D267" i="11"/>
  <c r="D275" i="11"/>
  <c r="D282" i="11"/>
  <c r="D290" i="11"/>
  <c r="D298" i="11"/>
  <c r="D306" i="11"/>
  <c r="D313" i="11"/>
  <c r="D152" i="11"/>
  <c r="D160" i="11"/>
  <c r="D167" i="11"/>
  <c r="D175" i="11"/>
  <c r="D183" i="11"/>
  <c r="D186" i="11"/>
  <c r="D194" i="11"/>
  <c r="D202" i="11"/>
  <c r="D210" i="11"/>
  <c r="D218" i="11"/>
  <c r="D226" i="11"/>
  <c r="D234" i="11"/>
  <c r="D242" i="11"/>
  <c r="D250" i="11"/>
  <c r="D258" i="11"/>
  <c r="D266" i="11"/>
  <c r="D274" i="11"/>
  <c r="D283" i="11"/>
  <c r="D291" i="11"/>
  <c r="D299" i="11"/>
  <c r="D307" i="11"/>
  <c r="D316" i="11"/>
  <c r="D193" i="11"/>
  <c r="D201" i="11"/>
  <c r="D209" i="11"/>
  <c r="D217" i="11"/>
  <c r="D225" i="11"/>
  <c r="D233" i="11"/>
  <c r="D241" i="11"/>
  <c r="D249" i="11"/>
  <c r="D257" i="11"/>
  <c r="D265" i="11"/>
  <c r="D273" i="11"/>
  <c r="D280" i="11"/>
  <c r="D288" i="11"/>
  <c r="D296" i="11"/>
  <c r="D304" i="11"/>
  <c r="D310" i="11"/>
  <c r="D318" i="11"/>
  <c r="D150" i="11"/>
  <c r="D158" i="11"/>
  <c r="D173" i="11"/>
  <c r="D181" i="11"/>
  <c r="D208" i="11"/>
  <c r="D240" i="11"/>
  <c r="D272" i="11"/>
  <c r="D305" i="11"/>
  <c r="D207" i="11"/>
  <c r="D239" i="11"/>
  <c r="D271" i="11"/>
  <c r="D302" i="11"/>
  <c r="D156" i="11"/>
  <c r="D281" i="11"/>
  <c r="D247" i="11"/>
  <c r="D164" i="11"/>
  <c r="D200" i="11"/>
  <c r="D232" i="11"/>
  <c r="D264" i="11"/>
  <c r="D297" i="11"/>
  <c r="D199" i="11"/>
  <c r="D231" i="11"/>
  <c r="D263" i="11"/>
  <c r="D294" i="11"/>
  <c r="D148" i="11"/>
  <c r="D179" i="11"/>
  <c r="D216" i="11"/>
  <c r="D314" i="11"/>
  <c r="D278" i="11"/>
  <c r="D192" i="11"/>
  <c r="D224" i="11"/>
  <c r="D256" i="11"/>
  <c r="D289" i="11"/>
  <c r="D191" i="11"/>
  <c r="D223" i="11"/>
  <c r="D255" i="11"/>
  <c r="D286" i="11"/>
  <c r="D317" i="11"/>
  <c r="D171" i="11"/>
  <c r="C142" i="11"/>
  <c r="D248" i="11"/>
  <c r="D215" i="11"/>
  <c r="D309" i="11"/>
  <c r="W306" i="11"/>
  <c r="W160" i="11"/>
  <c r="W148" i="11"/>
  <c r="W303" i="11"/>
  <c r="W155" i="11"/>
  <c r="W153" i="11"/>
  <c r="W150" i="11"/>
  <c r="W314" i="11"/>
  <c r="W158" i="11"/>
  <c r="W151" i="11"/>
  <c r="W145" i="11"/>
  <c r="W307" i="11"/>
  <c r="W161" i="11"/>
  <c r="W309" i="11"/>
  <c r="W149" i="11"/>
  <c r="W286" i="11"/>
  <c r="W270" i="11"/>
  <c r="W254" i="11"/>
  <c r="W238" i="11"/>
  <c r="W226" i="11"/>
  <c r="W210" i="11"/>
  <c r="W190" i="11"/>
  <c r="W162" i="11"/>
  <c r="W279" i="11"/>
  <c r="W263" i="11"/>
  <c r="W247" i="11"/>
  <c r="W239" i="11"/>
  <c r="W227" i="11"/>
  <c r="W219" i="11"/>
  <c r="W211" i="11"/>
  <c r="W203" i="11"/>
  <c r="W195" i="11"/>
  <c r="W187" i="11"/>
  <c r="W179" i="11"/>
  <c r="W171" i="11"/>
  <c r="W316" i="11"/>
  <c r="W308" i="11"/>
  <c r="W300" i="11"/>
  <c r="W292" i="11"/>
  <c r="W284" i="11"/>
  <c r="W276" i="11"/>
  <c r="W268" i="11"/>
  <c r="W260" i="11"/>
  <c r="W252" i="11"/>
  <c r="W244" i="11"/>
  <c r="W236" i="11"/>
  <c r="W228" i="11"/>
  <c r="W220" i="11"/>
  <c r="W212" i="11"/>
  <c r="W204" i="11"/>
  <c r="W196" i="11"/>
  <c r="W188" i="11"/>
  <c r="W180" i="11"/>
  <c r="W172" i="11"/>
  <c r="W159" i="11"/>
  <c r="W302" i="11"/>
  <c r="W274" i="11"/>
  <c r="W258" i="11"/>
  <c r="W242" i="11"/>
  <c r="W222" i="11"/>
  <c r="W206" i="11"/>
  <c r="W194" i="11"/>
  <c r="W182" i="11"/>
  <c r="W170" i="11"/>
  <c r="W291" i="11"/>
  <c r="W283" i="11"/>
  <c r="W267" i="11"/>
  <c r="W251" i="11"/>
  <c r="W317" i="11"/>
  <c r="W301" i="11"/>
  <c r="W293" i="11"/>
  <c r="W154" i="11"/>
  <c r="W285" i="11"/>
  <c r="W277" i="11"/>
  <c r="W269" i="11"/>
  <c r="W261" i="11"/>
  <c r="W253" i="11"/>
  <c r="W245" i="11"/>
  <c r="W237" i="11"/>
  <c r="W229" i="11"/>
  <c r="W221" i="11"/>
  <c r="W213" i="11"/>
  <c r="W205" i="11"/>
  <c r="W197" i="11"/>
  <c r="W189" i="11"/>
  <c r="W181" i="11"/>
  <c r="W173" i="11"/>
  <c r="W163" i="11"/>
  <c r="W298" i="11"/>
  <c r="W311" i="11"/>
  <c r="W243" i="11"/>
  <c r="W223" i="11"/>
  <c r="W215" i="11"/>
  <c r="W207" i="11"/>
  <c r="W199" i="11"/>
  <c r="W191" i="11"/>
  <c r="W183" i="11"/>
  <c r="W175" i="11"/>
  <c r="W167" i="11"/>
  <c r="W144" i="11"/>
  <c r="W310" i="11"/>
  <c r="W315" i="11"/>
  <c r="W299" i="11"/>
  <c r="W259" i="11"/>
  <c r="W231" i="11"/>
  <c r="W152" i="11"/>
  <c r="W143" i="11"/>
  <c r="W294" i="11"/>
  <c r="W146" i="11"/>
  <c r="W275" i="11"/>
  <c r="W312" i="11"/>
  <c r="W288" i="11"/>
  <c r="W256" i="11"/>
  <c r="W232" i="11"/>
  <c r="W208" i="11"/>
  <c r="W184" i="11"/>
  <c r="W164" i="11"/>
  <c r="W273" i="11"/>
  <c r="W257" i="11"/>
  <c r="W233" i="11"/>
  <c r="W217" i="11"/>
  <c r="W193" i="11"/>
  <c r="W177" i="11"/>
  <c r="W165" i="11"/>
  <c r="W282" i="11"/>
  <c r="W266" i="11"/>
  <c r="W250" i="11"/>
  <c r="W234" i="11"/>
  <c r="W214" i="11"/>
  <c r="W202" i="11"/>
  <c r="W186" i="11"/>
  <c r="W174" i="11"/>
  <c r="W166" i="11"/>
  <c r="W157" i="11"/>
  <c r="W304" i="11"/>
  <c r="W272" i="11"/>
  <c r="W248" i="11"/>
  <c r="W224" i="11"/>
  <c r="W200" i="11"/>
  <c r="W176" i="11"/>
  <c r="W305" i="11"/>
  <c r="W289" i="11"/>
  <c r="W265" i="11"/>
  <c r="W241" i="11"/>
  <c r="W225" i="11"/>
  <c r="W201" i="11"/>
  <c r="W185" i="11"/>
  <c r="W169" i="11"/>
  <c r="W318" i="11"/>
  <c r="W290" i="11"/>
  <c r="W278" i="11"/>
  <c r="W262" i="11"/>
  <c r="W246" i="11"/>
  <c r="W230" i="11"/>
  <c r="W218" i="11"/>
  <c r="W198" i="11"/>
  <c r="W178" i="11"/>
  <c r="W295" i="11"/>
  <c r="W287" i="11"/>
  <c r="W271" i="11"/>
  <c r="W255" i="11"/>
  <c r="W235" i="11"/>
  <c r="W156" i="11"/>
  <c r="W296" i="11"/>
  <c r="W280" i="11"/>
  <c r="W264" i="11"/>
  <c r="W240" i="11"/>
  <c r="W216" i="11"/>
  <c r="W192" i="11"/>
  <c r="W168" i="11"/>
  <c r="W313" i="11"/>
  <c r="W297" i="11"/>
  <c r="W281" i="11"/>
  <c r="W249" i="11"/>
  <c r="W209" i="11"/>
  <c r="W147" i="11"/>
  <c r="AU142" i="12"/>
  <c r="AT143" i="12"/>
  <c r="AT318" i="12"/>
  <c r="AT198" i="12"/>
  <c r="AT262" i="12"/>
  <c r="AT214" i="12"/>
  <c r="AT246" i="12"/>
  <c r="AT187" i="12"/>
  <c r="AT166" i="12"/>
  <c r="AT220" i="12"/>
  <c r="AT192" i="12"/>
  <c r="AT284" i="12"/>
  <c r="AT180" i="12"/>
  <c r="AT282" i="12"/>
  <c r="AT202" i="12"/>
  <c r="AT223" i="12"/>
  <c r="AT260" i="12"/>
  <c r="AT303" i="12"/>
  <c r="AT257" i="12"/>
  <c r="AT159" i="12"/>
  <c r="AT270" i="12"/>
  <c r="AT206" i="12"/>
  <c r="AT173" i="12"/>
  <c r="AT243" i="12"/>
  <c r="AT310" i="12"/>
  <c r="AT145" i="12"/>
  <c r="AT204" i="12"/>
  <c r="AT253" i="12"/>
  <c r="AT283" i="12"/>
  <c r="AT290" i="12"/>
  <c r="AT256" i="12"/>
  <c r="AT304" i="12"/>
  <c r="AT250" i="12"/>
  <c r="AT168" i="12"/>
  <c r="AT207" i="12"/>
  <c r="AT228" i="12"/>
  <c r="AT200" i="12"/>
  <c r="AT210" i="12"/>
  <c r="AT181" i="12"/>
  <c r="AT263" i="12"/>
  <c r="AT199" i="12"/>
  <c r="AT165" i="12"/>
  <c r="AT212" i="12"/>
  <c r="AT261" i="12"/>
  <c r="AT147" i="12"/>
  <c r="AT306" i="12"/>
  <c r="AT315" i="12"/>
  <c r="AT203" i="12"/>
  <c r="AT267" i="12"/>
  <c r="AT293" i="12"/>
  <c r="AT153" i="12"/>
  <c r="AT297" i="12"/>
  <c r="AT155" i="12"/>
  <c r="AT279" i="12"/>
  <c r="AT292" i="12"/>
  <c r="AT196" i="12"/>
  <c r="AT225" i="12"/>
  <c r="AT190" i="12"/>
  <c r="AT278" i="12"/>
  <c r="AT221" i="12"/>
  <c r="AT158" i="12"/>
  <c r="AT176" i="12"/>
  <c r="AT258" i="12"/>
  <c r="AT247" i="12"/>
  <c r="AT313" i="12"/>
  <c r="AT179" i="12"/>
  <c r="AT208" i="12"/>
  <c r="AT251" i="12"/>
  <c r="AT150" i="12"/>
  <c r="AT219" i="12"/>
  <c r="AT171" i="12"/>
  <c r="AT230" i="12"/>
  <c r="AT294" i="12"/>
  <c r="AT154" i="12"/>
  <c r="AT151" i="12"/>
  <c r="AT234" i="12"/>
  <c r="AT255" i="12"/>
  <c r="AT157" i="12"/>
  <c r="AT162" i="12"/>
  <c r="AT163" i="12"/>
  <c r="AT274" i="12"/>
  <c r="AT307" i="12"/>
  <c r="AT222" i="12"/>
  <c r="AT305" i="12"/>
  <c r="AT259" i="12"/>
  <c r="AT195" i="12"/>
  <c r="AT161" i="12"/>
  <c r="AT236" i="12"/>
  <c r="AT275" i="12"/>
  <c r="AT201" i="12"/>
  <c r="AT184" i="12"/>
  <c r="AT240" i="12"/>
  <c r="AT289" i="12"/>
  <c r="AT239" i="12"/>
  <c r="AT299" i="12"/>
  <c r="AT272" i="12"/>
  <c r="AT226" i="12"/>
  <c r="AT276" i="12"/>
  <c r="AT174" i="12"/>
  <c r="AT215" i="12"/>
  <c r="AT277" i="12"/>
  <c r="AT244" i="12"/>
  <c r="AT146" i="12"/>
  <c r="AT301" i="12"/>
  <c r="AT209" i="12"/>
  <c r="AT216" i="12"/>
  <c r="AT164" i="12"/>
  <c r="AT232" i="12"/>
  <c r="AT191" i="12"/>
  <c r="AT245" i="12"/>
  <c r="AT254" i="12"/>
  <c r="AT227" i="12"/>
  <c r="AT296" i="12"/>
  <c r="AT167" i="12"/>
  <c r="AT218" i="12"/>
  <c r="AT298" i="12"/>
  <c r="AT160" i="12"/>
  <c r="AT149" i="12"/>
  <c r="AT314" i="12"/>
  <c r="AT169" i="12"/>
  <c r="AT188" i="12"/>
  <c r="AT185" i="12"/>
  <c r="AT269" i="12"/>
  <c r="AT148" i="12"/>
  <c r="AT205" i="12"/>
  <c r="AT273" i="12"/>
  <c r="AT217" i="12"/>
  <c r="AT235" i="12"/>
  <c r="AT252" i="12"/>
  <c r="AT249" i="12"/>
  <c r="AT266" i="12"/>
  <c r="AT152" i="12"/>
  <c r="AT309" i="12"/>
  <c r="AT280" i="12"/>
  <c r="AT213" i="12"/>
  <c r="AT193" i="12"/>
  <c r="AT281" i="12"/>
  <c r="AT238" i="12"/>
  <c r="AT300" i="12"/>
  <c r="AT291" i="12"/>
  <c r="AT211" i="12"/>
  <c r="AT312" i="12"/>
  <c r="AT268" i="12"/>
  <c r="AT170" i="12"/>
  <c r="AT317" i="12"/>
  <c r="AT233" i="12"/>
  <c r="AT172" i="12"/>
  <c r="AT264" i="12"/>
  <c r="AT186" i="12"/>
  <c r="AT271" i="12"/>
  <c r="AT175" i="12"/>
  <c r="AT224" i="12"/>
  <c r="AT242" i="12"/>
  <c r="AT308" i="12"/>
  <c r="AT144" i="12"/>
  <c r="AT231" i="12"/>
  <c r="AT286" i="12"/>
  <c r="AT295" i="12"/>
  <c r="AT316" i="12"/>
  <c r="AT189" i="12"/>
  <c r="AT241" i="12"/>
  <c r="AT178" i="12"/>
  <c r="AT311" i="12"/>
  <c r="AT237" i="12"/>
  <c r="AT248" i="12"/>
  <c r="AT182" i="12"/>
  <c r="AT285" i="12"/>
  <c r="AT197" i="12"/>
  <c r="AT156" i="12"/>
  <c r="AT287" i="12"/>
  <c r="AT265" i="12"/>
  <c r="AT288" i="12"/>
  <c r="AT302" i="12"/>
  <c r="AT194" i="12"/>
  <c r="AT183" i="12"/>
  <c r="AT229" i="12"/>
  <c r="AT177" i="12"/>
  <c r="AT317" i="9"/>
  <c r="AT216" i="9"/>
  <c r="AT182" i="9"/>
  <c r="AT281" i="9"/>
  <c r="AT291" i="9"/>
  <c r="AT297" i="9"/>
  <c r="AT256" i="9"/>
  <c r="AT194" i="9"/>
  <c r="AT200" i="9"/>
  <c r="AT169" i="9"/>
  <c r="AT311" i="9"/>
  <c r="AT262" i="9"/>
  <c r="AT253" i="9"/>
  <c r="AT188" i="9"/>
  <c r="AT292" i="9"/>
  <c r="AT227" i="9"/>
  <c r="AT163" i="9"/>
  <c r="AT242" i="9"/>
  <c r="AT299" i="9"/>
  <c r="AT170" i="9"/>
  <c r="AT302" i="9"/>
  <c r="AT278" i="9"/>
  <c r="AT289" i="9"/>
  <c r="AT224" i="9"/>
  <c r="AT160" i="9"/>
  <c r="AT280" i="9"/>
  <c r="AT215" i="9"/>
  <c r="AT151" i="9"/>
  <c r="AT250" i="9"/>
  <c r="AT307" i="9"/>
  <c r="AT178" i="9"/>
  <c r="AT150" i="9"/>
  <c r="AT189" i="9"/>
  <c r="AT165" i="9"/>
  <c r="AT309" i="9"/>
  <c r="AT245" i="9"/>
  <c r="AT180" i="9"/>
  <c r="AT300" i="9"/>
  <c r="AT234" i="9"/>
  <c r="AT171" i="9"/>
  <c r="AT225" i="9"/>
  <c r="AT283" i="9"/>
  <c r="AT154" i="9"/>
  <c r="AT271" i="9"/>
  <c r="AU142" i="9"/>
  <c r="AT229" i="9"/>
  <c r="AT201" i="9"/>
  <c r="AT191" i="9"/>
  <c r="AT226" i="9"/>
  <c r="AT236" i="9"/>
  <c r="AT211" i="9"/>
  <c r="AT267" i="9"/>
  <c r="AT181" i="9"/>
  <c r="AT144" i="9"/>
  <c r="AT146" i="9"/>
  <c r="AT164" i="9"/>
  <c r="AT155" i="9"/>
  <c r="AT295" i="9"/>
  <c r="AT232" i="9"/>
  <c r="AT159" i="9"/>
  <c r="AT175" i="9"/>
  <c r="AT213" i="9"/>
  <c r="AT184" i="9"/>
  <c r="AT174" i="9"/>
  <c r="AT265" i="9"/>
  <c r="AT143" i="9"/>
  <c r="AT298" i="9"/>
  <c r="AT158" i="9"/>
  <c r="AT269" i="9"/>
  <c r="AT204" i="9"/>
  <c r="AT308" i="9"/>
  <c r="AT244" i="9"/>
  <c r="AT179" i="9"/>
  <c r="AT274" i="9"/>
  <c r="AT145" i="9"/>
  <c r="AT202" i="9"/>
  <c r="AT206" i="9"/>
  <c r="AT190" i="9"/>
  <c r="AT305" i="9"/>
  <c r="AT241" i="9"/>
  <c r="AT176" i="9"/>
  <c r="AT296" i="9"/>
  <c r="AT231" i="9"/>
  <c r="AT167" i="9"/>
  <c r="AT282" i="9"/>
  <c r="AT153" i="9"/>
  <c r="AT210" i="9"/>
  <c r="AT214" i="9"/>
  <c r="AT254" i="9"/>
  <c r="AT246" i="9"/>
  <c r="AT261" i="9"/>
  <c r="AT196" i="9"/>
  <c r="AT316" i="9"/>
  <c r="AT252" i="9"/>
  <c r="AT187" i="9"/>
  <c r="AT258" i="9"/>
  <c r="AT315" i="9"/>
  <c r="AT186" i="9"/>
  <c r="AT166" i="9"/>
  <c r="AT205" i="9"/>
  <c r="AT149" i="9"/>
  <c r="AT152" i="9"/>
  <c r="AT168" i="9"/>
  <c r="AT272" i="9"/>
  <c r="AT303" i="9"/>
  <c r="AT172" i="9"/>
  <c r="AT147" i="9"/>
  <c r="AT263" i="9"/>
  <c r="AT273" i="9"/>
  <c r="AT264" i="9"/>
  <c r="AT217" i="9"/>
  <c r="AT239" i="9"/>
  <c r="AT293" i="9"/>
  <c r="AT284" i="9"/>
  <c r="AT193" i="9"/>
  <c r="AT235" i="9"/>
  <c r="AT162" i="9"/>
  <c r="AT240" i="9"/>
  <c r="AT259" i="9"/>
  <c r="AT288" i="9"/>
  <c r="AT304" i="9"/>
  <c r="AT221" i="9"/>
  <c r="AT249" i="9"/>
  <c r="AT266" i="9"/>
  <c r="AT247" i="9"/>
  <c r="AT207" i="9"/>
  <c r="AT157" i="9"/>
  <c r="AT285" i="9"/>
  <c r="AT220" i="9"/>
  <c r="AT156" i="9"/>
  <c r="AT260" i="9"/>
  <c r="AT195" i="9"/>
  <c r="AT306" i="9"/>
  <c r="AT177" i="9"/>
  <c r="AT237" i="9"/>
  <c r="AT198" i="9"/>
  <c r="AT173" i="9"/>
  <c r="AT294" i="9"/>
  <c r="AT257" i="9"/>
  <c r="AT192" i="9"/>
  <c r="AT312" i="9"/>
  <c r="AT248" i="9"/>
  <c r="AT183" i="9"/>
  <c r="AT314" i="9"/>
  <c r="AT185" i="9"/>
  <c r="AT243" i="9"/>
  <c r="AT279" i="9"/>
  <c r="AT318" i="9"/>
  <c r="AT310" i="9"/>
  <c r="AT277" i="9"/>
  <c r="AT212" i="9"/>
  <c r="AT148" i="9"/>
  <c r="AT268" i="9"/>
  <c r="AT203" i="9"/>
  <c r="AT290" i="9"/>
  <c r="AT161" i="9"/>
  <c r="AT218" i="9"/>
  <c r="AT230" i="9"/>
  <c r="AT270" i="9"/>
  <c r="AT197" i="9"/>
  <c r="AT223" i="9"/>
  <c r="AT286" i="9"/>
  <c r="AT233" i="9"/>
  <c r="AT287" i="9"/>
  <c r="AT313" i="9"/>
  <c r="AT301" i="9"/>
  <c r="AT276" i="9"/>
  <c r="AT209" i="9"/>
  <c r="AT238" i="9"/>
  <c r="AT208" i="9"/>
  <c r="AT199" i="9"/>
  <c r="AT275" i="9"/>
  <c r="AT222" i="9"/>
  <c r="AT228" i="9"/>
  <c r="AT219" i="9"/>
  <c r="AT251" i="9"/>
  <c r="AT255" i="9"/>
  <c r="AU142" i="13"/>
  <c r="AT143" i="13"/>
  <c r="AT313" i="13"/>
  <c r="AT156" i="13"/>
  <c r="AT178" i="13"/>
  <c r="AT275" i="13"/>
  <c r="AT259" i="13"/>
  <c r="AT160" i="13"/>
  <c r="AT153" i="13"/>
  <c r="AT208" i="13"/>
  <c r="AT199" i="13"/>
  <c r="AT253" i="13"/>
  <c r="AT309" i="13"/>
  <c r="AT308" i="13"/>
  <c r="AT303" i="13"/>
  <c r="AT266" i="13"/>
  <c r="AT206" i="13"/>
  <c r="AT215" i="13"/>
  <c r="AT305" i="13"/>
  <c r="AT175" i="13"/>
  <c r="AT311" i="13"/>
  <c r="AT197" i="13"/>
  <c r="AT173" i="13"/>
  <c r="AT242" i="13"/>
  <c r="AT176" i="13"/>
  <c r="AT192" i="13"/>
  <c r="AT294" i="13"/>
  <c r="AT226" i="13"/>
  <c r="AT183" i="13"/>
  <c r="AT270" i="13"/>
  <c r="AT205" i="13"/>
  <c r="AT284" i="13"/>
  <c r="AT261" i="13"/>
  <c r="AT150" i="13"/>
  <c r="AT248" i="13"/>
  <c r="AT196" i="13"/>
  <c r="AT272" i="13"/>
  <c r="AT185" i="13"/>
  <c r="AT250" i="13"/>
  <c r="AT227" i="13"/>
  <c r="AT207" i="13"/>
  <c r="AT255" i="13"/>
  <c r="AT147" i="13"/>
  <c r="AT283" i="13"/>
  <c r="AT180" i="13"/>
  <c r="AT306" i="13"/>
  <c r="AT220" i="13"/>
  <c r="AT152" i="13"/>
  <c r="AT179" i="13"/>
  <c r="AT316" i="13"/>
  <c r="AT243" i="13"/>
  <c r="AT188" i="13"/>
  <c r="AT279" i="13"/>
  <c r="AT203" i="13"/>
  <c r="AT204" i="13"/>
  <c r="AT186" i="13"/>
  <c r="AT238" i="13"/>
  <c r="AT295" i="13"/>
  <c r="AT168" i="13"/>
  <c r="AT285" i="13"/>
  <c r="AT224" i="13"/>
  <c r="AT244" i="13"/>
  <c r="AT222" i="13"/>
  <c r="AT211" i="13"/>
  <c r="AT273" i="13"/>
  <c r="AT318" i="13"/>
  <c r="AT198" i="13"/>
  <c r="AT225" i="13"/>
  <c r="AT290" i="13"/>
  <c r="AT268" i="13"/>
  <c r="AT241" i="13"/>
  <c r="AT310" i="13"/>
  <c r="AT210" i="13"/>
  <c r="AT191" i="13"/>
  <c r="AT212" i="13"/>
  <c r="AT151" i="13"/>
  <c r="AT195" i="13"/>
  <c r="AT301" i="13"/>
  <c r="AT257" i="13"/>
  <c r="AT167" i="13"/>
  <c r="AT262" i="13"/>
  <c r="AT190" i="13"/>
  <c r="AT276" i="13"/>
  <c r="AT216" i="13"/>
  <c r="AT146" i="13"/>
  <c r="AT161" i="13"/>
  <c r="AT267" i="13"/>
  <c r="AT163" i="13"/>
  <c r="AT289" i="13"/>
  <c r="AT162" i="13"/>
  <c r="AT314" i="13"/>
  <c r="AT233" i="13"/>
  <c r="AT304" i="13"/>
  <c r="AT236" i="13"/>
  <c r="AT239" i="13"/>
  <c r="AT166" i="13"/>
  <c r="AT256" i="13"/>
  <c r="AT249" i="13"/>
  <c r="AT282" i="13"/>
  <c r="AT221" i="13"/>
  <c r="AT149" i="13"/>
  <c r="AT246" i="13"/>
  <c r="AT158" i="13"/>
  <c r="AT260" i="13"/>
  <c r="AT200" i="13"/>
  <c r="AT231" i="13"/>
  <c r="AT280" i="13"/>
  <c r="AT219" i="13"/>
  <c r="AT269" i="13"/>
  <c r="AT169" i="13"/>
  <c r="AT281" i="13"/>
  <c r="AT181" i="13"/>
  <c r="AT164" i="13"/>
  <c r="AT315" i="13"/>
  <c r="AT274" i="13"/>
  <c r="AT145" i="13"/>
  <c r="AT252" i="13"/>
  <c r="AT213" i="13"/>
  <c r="AT170" i="13"/>
  <c r="AT312" i="13"/>
  <c r="AT182" i="13"/>
  <c r="AT265" i="13"/>
  <c r="AT230" i="13"/>
  <c r="AT264" i="13"/>
  <c r="AT209" i="13"/>
  <c r="AT193" i="13"/>
  <c r="AT174" i="13"/>
  <c r="AT300" i="13"/>
  <c r="AT286" i="13"/>
  <c r="AT171" i="13"/>
  <c r="AT258" i="13"/>
  <c r="AT232" i="13"/>
  <c r="AT293" i="13"/>
  <c r="AT154" i="13"/>
  <c r="AT299" i="13"/>
  <c r="AT218" i="13"/>
  <c r="AT296" i="13"/>
  <c r="AT228" i="13"/>
  <c r="AT187" i="13"/>
  <c r="AT217" i="13"/>
  <c r="AT307" i="13"/>
  <c r="AT237" i="13"/>
  <c r="AT292" i="13"/>
  <c r="AT297" i="13"/>
  <c r="AT194" i="13"/>
  <c r="AT157" i="13"/>
  <c r="AT277" i="13"/>
  <c r="AT247" i="13"/>
  <c r="AT251" i="13"/>
  <c r="AT172" i="13"/>
  <c r="AT240" i="13"/>
  <c r="AT201" i="13"/>
  <c r="AT287" i="13"/>
  <c r="AT317" i="13"/>
  <c r="AT302" i="13"/>
  <c r="AT234" i="13"/>
  <c r="AT223" i="13"/>
  <c r="AT278" i="13"/>
  <c r="AT202" i="13"/>
  <c r="AT291" i="13"/>
  <c r="AT229" i="13"/>
  <c r="AT155" i="13"/>
  <c r="AT159" i="13"/>
  <c r="AT288" i="13"/>
  <c r="AT184" i="13"/>
  <c r="AT165" i="13"/>
  <c r="AT254" i="13"/>
  <c r="AT189" i="13"/>
  <c r="AT271" i="13"/>
  <c r="AT144" i="13"/>
  <c r="AT214" i="13"/>
  <c r="AT245" i="13"/>
  <c r="AT235" i="13"/>
  <c r="AT177" i="13"/>
  <c r="AT298" i="13"/>
  <c r="AT263" i="13"/>
  <c r="AT148" i="13"/>
  <c r="AA174" i="10"/>
  <c r="AA190" i="10"/>
  <c r="AA206" i="10"/>
  <c r="AA222" i="10"/>
  <c r="AA232" i="10"/>
  <c r="AA240" i="10"/>
  <c r="AA248" i="10"/>
  <c r="AA256" i="10"/>
  <c r="AA264" i="10"/>
  <c r="AA272" i="10"/>
  <c r="AA280" i="10"/>
  <c r="AA288" i="10"/>
  <c r="AA173" i="10"/>
  <c r="AA189" i="10"/>
  <c r="AA205" i="10"/>
  <c r="AA221" i="10"/>
  <c r="AA176" i="10"/>
  <c r="AA192" i="10"/>
  <c r="AA208" i="10"/>
  <c r="AA224" i="10"/>
  <c r="AA233" i="10"/>
  <c r="AA241" i="10"/>
  <c r="AA249" i="10"/>
  <c r="AA257" i="10"/>
  <c r="AA265" i="10"/>
  <c r="AA273" i="10"/>
  <c r="AA281" i="10"/>
  <c r="AA289" i="10"/>
  <c r="AA179" i="10"/>
  <c r="AA195" i="10"/>
  <c r="AA211" i="10"/>
  <c r="AA293" i="10"/>
  <c r="AA307" i="10"/>
  <c r="AA294" i="10"/>
  <c r="AA302" i="10"/>
  <c r="AA310" i="10"/>
  <c r="AA318" i="10"/>
  <c r="AA303" i="10"/>
  <c r="AA161" i="10"/>
  <c r="AA145" i="10"/>
  <c r="AA152" i="10"/>
  <c r="AA159" i="10"/>
  <c r="AA162" i="10"/>
  <c r="AA146" i="10"/>
  <c r="AA194" i="10"/>
  <c r="AA234" i="10"/>
  <c r="AA258" i="10"/>
  <c r="AA282" i="10"/>
  <c r="AA193" i="10"/>
  <c r="AA180" i="10"/>
  <c r="AA227" i="10"/>
  <c r="AA251" i="10"/>
  <c r="AA275" i="10"/>
  <c r="AA183" i="10"/>
  <c r="AA295" i="10"/>
  <c r="AA304" i="10"/>
  <c r="AA309" i="10"/>
  <c r="AA148" i="10"/>
  <c r="AA170" i="10"/>
  <c r="AA186" i="10"/>
  <c r="AA202" i="10"/>
  <c r="AA218" i="10"/>
  <c r="AA230" i="10"/>
  <c r="AA238" i="10"/>
  <c r="AA246" i="10"/>
  <c r="AA254" i="10"/>
  <c r="AA262" i="10"/>
  <c r="AA270" i="10"/>
  <c r="AA278" i="10"/>
  <c r="AA286" i="10"/>
  <c r="AA169" i="10"/>
  <c r="AA185" i="10"/>
  <c r="AA201" i="10"/>
  <c r="AA217" i="10"/>
  <c r="AA172" i="10"/>
  <c r="AA188" i="10"/>
  <c r="AA204" i="10"/>
  <c r="AA220" i="10"/>
  <c r="AA231" i="10"/>
  <c r="AA239" i="10"/>
  <c r="AA247" i="10"/>
  <c r="AA255" i="10"/>
  <c r="AA263" i="10"/>
  <c r="AA271" i="10"/>
  <c r="AA279" i="10"/>
  <c r="AA287" i="10"/>
  <c r="AA175" i="10"/>
  <c r="AA191" i="10"/>
  <c r="AA207" i="10"/>
  <c r="AA223" i="10"/>
  <c r="AA305" i="10"/>
  <c r="AA292" i="10"/>
  <c r="AA300" i="10"/>
  <c r="AA308" i="10"/>
  <c r="AA316" i="10"/>
  <c r="AA299" i="10"/>
  <c r="AA317" i="10"/>
  <c r="AA149" i="10"/>
  <c r="AA156" i="10"/>
  <c r="AA163" i="10"/>
  <c r="AA147" i="10"/>
  <c r="AA150" i="10"/>
  <c r="AA178" i="10"/>
  <c r="AA226" i="10"/>
  <c r="AA250" i="10"/>
  <c r="AA274" i="10"/>
  <c r="AA177" i="10"/>
  <c r="AA225" i="10"/>
  <c r="AA212" i="10"/>
  <c r="AA243" i="10"/>
  <c r="AA267" i="10"/>
  <c r="AA167" i="10"/>
  <c r="AA215" i="10"/>
  <c r="AA296" i="10"/>
  <c r="AA291" i="10"/>
  <c r="AA164" i="10"/>
  <c r="AA158" i="10"/>
  <c r="AA166" i="10"/>
  <c r="AA182" i="10"/>
  <c r="AA198" i="10"/>
  <c r="AA214" i="10"/>
  <c r="AA228" i="10"/>
  <c r="AA236" i="10"/>
  <c r="AA244" i="10"/>
  <c r="AA252" i="10"/>
  <c r="AA260" i="10"/>
  <c r="AA268" i="10"/>
  <c r="AA276" i="10"/>
  <c r="AA284" i="10"/>
  <c r="AA143" i="10"/>
  <c r="AA181" i="10"/>
  <c r="AA197" i="10"/>
  <c r="AA213" i="10"/>
  <c r="AA168" i="10"/>
  <c r="AA184" i="10"/>
  <c r="AA200" i="10"/>
  <c r="AA216" i="10"/>
  <c r="AA229" i="10"/>
  <c r="AA237" i="10"/>
  <c r="AA245" i="10"/>
  <c r="AA253" i="10"/>
  <c r="AA261" i="10"/>
  <c r="AA269" i="10"/>
  <c r="AA277" i="10"/>
  <c r="AA285" i="10"/>
  <c r="AA171" i="10"/>
  <c r="AA187" i="10"/>
  <c r="AA203" i="10"/>
  <c r="AA219" i="10"/>
  <c r="AA301" i="10"/>
  <c r="AA315" i="10"/>
  <c r="AA298" i="10"/>
  <c r="AA306" i="10"/>
  <c r="AA314" i="10"/>
  <c r="AA297" i="10"/>
  <c r="AA311" i="10"/>
  <c r="AA153" i="10"/>
  <c r="AA160" i="10"/>
  <c r="AA144" i="10"/>
  <c r="AA151" i="10"/>
  <c r="AA154" i="10"/>
  <c r="AA165" i="10"/>
  <c r="AA210" i="10"/>
  <c r="AA242" i="10"/>
  <c r="AA266" i="10"/>
  <c r="AA290" i="10"/>
  <c r="AA209" i="10"/>
  <c r="AA196" i="10"/>
  <c r="AA235" i="10"/>
  <c r="AA259" i="10"/>
  <c r="AA283" i="10"/>
  <c r="AA199" i="10"/>
  <c r="AA313" i="10"/>
  <c r="AA312" i="10"/>
  <c r="AA157" i="10"/>
  <c r="AA155" i="10"/>
  <c r="F152" i="11"/>
  <c r="F158" i="11"/>
  <c r="F184" i="11"/>
  <c r="F153" i="11"/>
  <c r="F172" i="11"/>
  <c r="F171" i="11"/>
  <c r="F165" i="11"/>
  <c r="F146" i="11"/>
  <c r="F181" i="11"/>
  <c r="F157" i="11"/>
  <c r="F185" i="11"/>
  <c r="F162" i="11"/>
  <c r="F180" i="11"/>
  <c r="F189" i="11"/>
  <c r="F193" i="11"/>
  <c r="F197" i="11"/>
  <c r="F201" i="11"/>
  <c r="F205" i="11"/>
  <c r="F209" i="11"/>
  <c r="F213" i="11"/>
  <c r="F217" i="11"/>
  <c r="F221" i="11"/>
  <c r="F225" i="11"/>
  <c r="F229" i="11"/>
  <c r="F233" i="11"/>
  <c r="F237" i="11"/>
  <c r="F241" i="11"/>
  <c r="F245" i="11"/>
  <c r="F249" i="11"/>
  <c r="F253" i="11"/>
  <c r="F257" i="11"/>
  <c r="F261" i="11"/>
  <c r="F265" i="11"/>
  <c r="F269" i="11"/>
  <c r="F273" i="11"/>
  <c r="F277" i="11"/>
  <c r="F281" i="11"/>
  <c r="F285" i="11"/>
  <c r="F289" i="11"/>
  <c r="F293" i="11"/>
  <c r="F297" i="11"/>
  <c r="F301" i="11"/>
  <c r="F305" i="11"/>
  <c r="F309" i="11"/>
  <c r="F313" i="11"/>
  <c r="F317" i="11"/>
  <c r="F161" i="11"/>
  <c r="F178" i="11"/>
  <c r="F167" i="11"/>
  <c r="F149" i="11"/>
  <c r="F159" i="11"/>
  <c r="F150" i="11"/>
  <c r="F160" i="11"/>
  <c r="F170" i="11"/>
  <c r="F188" i="11"/>
  <c r="F192" i="11"/>
  <c r="F196" i="11"/>
  <c r="F200" i="11"/>
  <c r="F204" i="11"/>
  <c r="F208" i="11"/>
  <c r="F212" i="11"/>
  <c r="F216" i="11"/>
  <c r="F220" i="11"/>
  <c r="F224" i="11"/>
  <c r="F228" i="11"/>
  <c r="F232" i="11"/>
  <c r="F236" i="11"/>
  <c r="F240" i="11"/>
  <c r="F244" i="11"/>
  <c r="F248" i="11"/>
  <c r="F252" i="11"/>
  <c r="F256" i="11"/>
  <c r="F260" i="11"/>
  <c r="F264" i="11"/>
  <c r="F268" i="11"/>
  <c r="F272" i="11"/>
  <c r="F276" i="11"/>
  <c r="F280" i="11"/>
  <c r="F284" i="11"/>
  <c r="F288" i="11"/>
  <c r="F292" i="11"/>
  <c r="F296" i="11"/>
  <c r="F300" i="11"/>
  <c r="F304" i="11"/>
  <c r="F308" i="11"/>
  <c r="F312" i="11"/>
  <c r="F316" i="11"/>
  <c r="F182" i="11"/>
  <c r="F176" i="11"/>
  <c r="F163" i="11"/>
  <c r="F179" i="11"/>
  <c r="F154" i="11"/>
  <c r="F144" i="11"/>
  <c r="F147" i="11"/>
  <c r="G142" i="11"/>
  <c r="F168" i="11"/>
  <c r="F187" i="11"/>
  <c r="F191" i="11"/>
  <c r="F195" i="11"/>
  <c r="F199" i="11"/>
  <c r="F203" i="11"/>
  <c r="F207" i="11"/>
  <c r="F211" i="11"/>
  <c r="F215" i="11"/>
  <c r="F219" i="11"/>
  <c r="F223" i="11"/>
  <c r="F227" i="11"/>
  <c r="F231" i="11"/>
  <c r="F235" i="11"/>
  <c r="F239" i="11"/>
  <c r="F243" i="11"/>
  <c r="F247" i="11"/>
  <c r="F251" i="11"/>
  <c r="F255" i="11"/>
  <c r="F259" i="11"/>
  <c r="F263" i="11"/>
  <c r="F267" i="11"/>
  <c r="F271" i="11"/>
  <c r="F275" i="11"/>
  <c r="F279" i="11"/>
  <c r="F283" i="11"/>
  <c r="F287" i="11"/>
  <c r="F291" i="11"/>
  <c r="F295" i="11"/>
  <c r="F299" i="11"/>
  <c r="F303" i="11"/>
  <c r="F307" i="11"/>
  <c r="F311" i="11"/>
  <c r="F315" i="11"/>
  <c r="F175" i="11"/>
  <c r="F174" i="11"/>
  <c r="F177" i="11"/>
  <c r="F166" i="11"/>
  <c r="F155" i="11"/>
  <c r="F173" i="11"/>
  <c r="F148" i="11"/>
  <c r="F190" i="11"/>
  <c r="F206" i="11"/>
  <c r="F222" i="11"/>
  <c r="F238" i="11"/>
  <c r="F254" i="11"/>
  <c r="F270" i="11"/>
  <c r="F286" i="11"/>
  <c r="F302" i="11"/>
  <c r="F318" i="11"/>
  <c r="F156" i="11"/>
  <c r="F145" i="11"/>
  <c r="F226" i="11"/>
  <c r="F274" i="11"/>
  <c r="F169" i="11"/>
  <c r="F186" i="11"/>
  <c r="F202" i="11"/>
  <c r="F218" i="11"/>
  <c r="F234" i="11"/>
  <c r="F250" i="11"/>
  <c r="F266" i="11"/>
  <c r="F282" i="11"/>
  <c r="F298" i="11"/>
  <c r="F314" i="11"/>
  <c r="F143" i="11"/>
  <c r="F210" i="11"/>
  <c r="F258" i="11"/>
  <c r="F306" i="11"/>
  <c r="F151" i="11"/>
  <c r="F164" i="11"/>
  <c r="F198" i="11"/>
  <c r="F214" i="11"/>
  <c r="F230" i="11"/>
  <c r="F246" i="11"/>
  <c r="F262" i="11"/>
  <c r="F278" i="11"/>
  <c r="F294" i="11"/>
  <c r="F310" i="11"/>
  <c r="F183" i="11"/>
  <c r="F194" i="11"/>
  <c r="F242" i="11"/>
  <c r="F290" i="11"/>
  <c r="AT164" i="10"/>
  <c r="AT150" i="10"/>
  <c r="AT158" i="10"/>
  <c r="AT154" i="10"/>
  <c r="AT162" i="10"/>
  <c r="AT143" i="10"/>
  <c r="AT146" i="10"/>
  <c r="AT157" i="10"/>
  <c r="AT148" i="10"/>
  <c r="AT166" i="10"/>
  <c r="AT170" i="10"/>
  <c r="AT174" i="10"/>
  <c r="AT178" i="10"/>
  <c r="AT182" i="10"/>
  <c r="AT186" i="10"/>
  <c r="AT190" i="10"/>
  <c r="AT194" i="10"/>
  <c r="AT198" i="10"/>
  <c r="AT202" i="10"/>
  <c r="AT206" i="10"/>
  <c r="AT210" i="10"/>
  <c r="AT214" i="10"/>
  <c r="AT218" i="10"/>
  <c r="AT222" i="10"/>
  <c r="AT226" i="10"/>
  <c r="AT230" i="10"/>
  <c r="AT234" i="10"/>
  <c r="AT238" i="10"/>
  <c r="AT242" i="10"/>
  <c r="AT246" i="10"/>
  <c r="AT250" i="10"/>
  <c r="AT254" i="10"/>
  <c r="AT258" i="10"/>
  <c r="AT262" i="10"/>
  <c r="AT266" i="10"/>
  <c r="AT270" i="10"/>
  <c r="AT274" i="10"/>
  <c r="AT278" i="10"/>
  <c r="AT282" i="10"/>
  <c r="AT286" i="10"/>
  <c r="AT290" i="10"/>
  <c r="AT294" i="10"/>
  <c r="AT303" i="10"/>
  <c r="AT311" i="10"/>
  <c r="AT317" i="10"/>
  <c r="AT301" i="10"/>
  <c r="AT309" i="10"/>
  <c r="AT318" i="10"/>
  <c r="AT155" i="10"/>
  <c r="AT153" i="10"/>
  <c r="AT144" i="10"/>
  <c r="AT160" i="10"/>
  <c r="AU142" i="10"/>
  <c r="AT169" i="10"/>
  <c r="AT173" i="10"/>
  <c r="AT177" i="10"/>
  <c r="AT181" i="10"/>
  <c r="AT185" i="10"/>
  <c r="AT189" i="10"/>
  <c r="AT193" i="10"/>
  <c r="AT197" i="10"/>
  <c r="AT201" i="10"/>
  <c r="AT205" i="10"/>
  <c r="AT209" i="10"/>
  <c r="AT213" i="10"/>
  <c r="AT217" i="10"/>
  <c r="AT221" i="10"/>
  <c r="AT225" i="10"/>
  <c r="AT229" i="10"/>
  <c r="AT233" i="10"/>
  <c r="AT237" i="10"/>
  <c r="AT241" i="10"/>
  <c r="AT245" i="10"/>
  <c r="AT249" i="10"/>
  <c r="AT253" i="10"/>
  <c r="AT257" i="10"/>
  <c r="AT261" i="10"/>
  <c r="AT265" i="10"/>
  <c r="AT269" i="10"/>
  <c r="AT273" i="10"/>
  <c r="AT277" i="10"/>
  <c r="AT281" i="10"/>
  <c r="AT285" i="10"/>
  <c r="AT289" i="10"/>
  <c r="AT293" i="10"/>
  <c r="AT300" i="10"/>
  <c r="AT308" i="10"/>
  <c r="AT316" i="10"/>
  <c r="AT298" i="10"/>
  <c r="AT306" i="10"/>
  <c r="AT315" i="10"/>
  <c r="AT149" i="10"/>
  <c r="AT151" i="10"/>
  <c r="AT145" i="10"/>
  <c r="AT156" i="10"/>
  <c r="AT168" i="10"/>
  <c r="AT172" i="10"/>
  <c r="AT176" i="10"/>
  <c r="AT180" i="10"/>
  <c r="AT184" i="10"/>
  <c r="AT188" i="10"/>
  <c r="AT192" i="10"/>
  <c r="AT196" i="10"/>
  <c r="AT200" i="10"/>
  <c r="AT204" i="10"/>
  <c r="AT208" i="10"/>
  <c r="AT212" i="10"/>
  <c r="AT216" i="10"/>
  <c r="AT220" i="10"/>
  <c r="AT224" i="10"/>
  <c r="AT228" i="10"/>
  <c r="AT232" i="10"/>
  <c r="AT236" i="10"/>
  <c r="AT240" i="10"/>
  <c r="AT244" i="10"/>
  <c r="AT248" i="10"/>
  <c r="AT252" i="10"/>
  <c r="AT256" i="10"/>
  <c r="AT260" i="10"/>
  <c r="AT264" i="10"/>
  <c r="AT268" i="10"/>
  <c r="AT272" i="10"/>
  <c r="AT276" i="10"/>
  <c r="AT280" i="10"/>
  <c r="AT284" i="10"/>
  <c r="AT288" i="10"/>
  <c r="AT292" i="10"/>
  <c r="AT299" i="10"/>
  <c r="AT307" i="10"/>
  <c r="AT313" i="10"/>
  <c r="AT297" i="10"/>
  <c r="AT305" i="10"/>
  <c r="AT314" i="10"/>
  <c r="AT147" i="10"/>
  <c r="AT163" i="10"/>
  <c r="AT175" i="10"/>
  <c r="AT191" i="10"/>
  <c r="AT207" i="10"/>
  <c r="AT223" i="10"/>
  <c r="AT239" i="10"/>
  <c r="AT255" i="10"/>
  <c r="AT271" i="10"/>
  <c r="AT287" i="10"/>
  <c r="AT312" i="10"/>
  <c r="AT152" i="10"/>
  <c r="AT179" i="10"/>
  <c r="AT227" i="10"/>
  <c r="AT291" i="10"/>
  <c r="AT161" i="10"/>
  <c r="AT171" i="10"/>
  <c r="AT187" i="10"/>
  <c r="AT203" i="10"/>
  <c r="AT219" i="10"/>
  <c r="AT235" i="10"/>
  <c r="AT251" i="10"/>
  <c r="AT267" i="10"/>
  <c r="AT283" i="10"/>
  <c r="AT304" i="10"/>
  <c r="AT310" i="10"/>
  <c r="AT211" i="10"/>
  <c r="AT275" i="10"/>
  <c r="AT165" i="10"/>
  <c r="AT167" i="10"/>
  <c r="AT183" i="10"/>
  <c r="AT199" i="10"/>
  <c r="AT215" i="10"/>
  <c r="AT231" i="10"/>
  <c r="AT247" i="10"/>
  <c r="AT263" i="10"/>
  <c r="AT279" i="10"/>
  <c r="AT296" i="10"/>
  <c r="AT302" i="10"/>
  <c r="AT159" i="10"/>
  <c r="AT195" i="10"/>
  <c r="AT243" i="10"/>
  <c r="AT259" i="10"/>
  <c r="AT295" i="10"/>
  <c r="AQ142" i="11"/>
  <c r="AR280" i="11"/>
  <c r="AR264" i="11"/>
  <c r="AR248" i="11"/>
  <c r="AR232" i="11"/>
  <c r="AR220" i="11"/>
  <c r="AR208" i="11"/>
  <c r="AR188" i="11"/>
  <c r="AR172" i="11"/>
  <c r="AR284" i="11"/>
  <c r="AR268" i="11"/>
  <c r="AR252" i="11"/>
  <c r="AR236" i="11"/>
  <c r="AR216" i="11"/>
  <c r="AR196" i="11"/>
  <c r="AR184" i="11"/>
  <c r="AR169" i="11"/>
  <c r="AR311" i="11"/>
  <c r="AR303" i="11"/>
  <c r="AR164" i="11"/>
  <c r="AR287" i="11"/>
  <c r="AR279" i="11"/>
  <c r="AR271" i="11"/>
  <c r="AR263" i="11"/>
  <c r="AR255" i="11"/>
  <c r="AR247" i="11"/>
  <c r="AR239" i="11"/>
  <c r="AR231" i="11"/>
  <c r="AR223" i="11"/>
  <c r="AR215" i="11"/>
  <c r="AR207" i="11"/>
  <c r="AR154" i="11"/>
  <c r="AR308" i="11"/>
  <c r="AR147" i="11"/>
  <c r="AR151" i="11"/>
  <c r="AR162" i="11"/>
  <c r="AR318" i="11"/>
  <c r="AR310" i="11"/>
  <c r="AR302" i="11"/>
  <c r="AR293" i="11"/>
  <c r="AR156" i="11"/>
  <c r="AR286" i="11"/>
  <c r="AR278" i="11"/>
  <c r="AR270" i="11"/>
  <c r="AR262" i="11"/>
  <c r="AR254" i="11"/>
  <c r="AR246" i="11"/>
  <c r="AR238" i="11"/>
  <c r="AR230" i="11"/>
  <c r="AR222" i="11"/>
  <c r="AR214" i="11"/>
  <c r="AR206" i="11"/>
  <c r="AR198" i="11"/>
  <c r="AR190" i="11"/>
  <c r="AR182" i="11"/>
  <c r="AR174" i="11"/>
  <c r="AR166" i="11"/>
  <c r="AR161" i="11"/>
  <c r="AR150" i="11"/>
  <c r="AR304" i="11"/>
  <c r="AR297" i="11"/>
  <c r="AR153" i="11"/>
  <c r="AR317" i="11"/>
  <c r="AR309" i="11"/>
  <c r="AR301" i="11"/>
  <c r="AR144" i="11"/>
  <c r="AR291" i="11"/>
  <c r="AR148" i="11"/>
  <c r="AR157" i="11"/>
  <c r="AR294" i="11"/>
  <c r="AR296" i="11"/>
  <c r="AR199" i="11"/>
  <c r="AR191" i="11"/>
  <c r="AR183" i="11"/>
  <c r="AR175" i="11"/>
  <c r="AR167" i="11"/>
  <c r="AR288" i="11"/>
  <c r="AR272" i="11"/>
  <c r="AR256" i="11"/>
  <c r="AR244" i="11"/>
  <c r="AR224" i="11"/>
  <c r="AR212" i="11"/>
  <c r="AR200" i="11"/>
  <c r="AR180" i="11"/>
  <c r="AR168" i="11"/>
  <c r="AR292" i="11"/>
  <c r="AR276" i="11"/>
  <c r="AR260" i="11"/>
  <c r="AR240" i="11"/>
  <c r="AR228" i="11"/>
  <c r="AR204" i="11"/>
  <c r="AR192" i="11"/>
  <c r="AR176" i="11"/>
  <c r="AR285" i="11"/>
  <c r="AR277" i="11"/>
  <c r="AR269" i="11"/>
  <c r="AR261" i="11"/>
  <c r="AR253" i="11"/>
  <c r="AR245" i="11"/>
  <c r="AR237" i="11"/>
  <c r="AR229" i="11"/>
  <c r="AR221" i="11"/>
  <c r="AR213" i="11"/>
  <c r="AR205" i="11"/>
  <c r="AR197" i="11"/>
  <c r="AR189" i="11"/>
  <c r="AR181" i="11"/>
  <c r="AR173" i="11"/>
  <c r="AR160" i="11"/>
  <c r="AR315" i="11"/>
  <c r="AR307" i="11"/>
  <c r="AR299" i="11"/>
  <c r="AR143" i="11"/>
  <c r="AR195" i="11"/>
  <c r="AR187" i="11"/>
  <c r="AR179" i="11"/>
  <c r="AR171" i="11"/>
  <c r="AR165" i="11"/>
  <c r="AR149" i="11"/>
  <c r="AR316" i="11"/>
  <c r="AR300" i="11"/>
  <c r="AR159" i="11"/>
  <c r="AR259" i="11"/>
  <c r="AR227" i="11"/>
  <c r="AR306" i="11"/>
  <c r="AR290" i="11"/>
  <c r="AR274" i="11"/>
  <c r="AR258" i="11"/>
  <c r="AR242" i="11"/>
  <c r="AR226" i="11"/>
  <c r="AR210" i="11"/>
  <c r="AR194" i="11"/>
  <c r="AR178" i="11"/>
  <c r="AR146" i="11"/>
  <c r="AR219" i="11"/>
  <c r="AR163" i="11"/>
  <c r="AR289" i="11"/>
  <c r="AR281" i="11"/>
  <c r="AR273" i="11"/>
  <c r="AR265" i="11"/>
  <c r="AR257" i="11"/>
  <c r="AR249" i="11"/>
  <c r="AR241" i="11"/>
  <c r="AR233" i="11"/>
  <c r="AR225" i="11"/>
  <c r="AR217" i="11"/>
  <c r="AR209" i="11"/>
  <c r="AR201" i="11"/>
  <c r="AR193" i="11"/>
  <c r="AR185" i="11"/>
  <c r="AR177" i="11"/>
  <c r="AR267" i="11"/>
  <c r="AR235" i="11"/>
  <c r="AR203" i="11"/>
  <c r="AR314" i="11"/>
  <c r="AR298" i="11"/>
  <c r="AR282" i="11"/>
  <c r="AR266" i="11"/>
  <c r="AR250" i="11"/>
  <c r="AR218" i="11"/>
  <c r="AR186" i="11"/>
  <c r="AR251" i="11"/>
  <c r="AR158" i="11"/>
  <c r="AR145" i="11"/>
  <c r="AR152" i="11"/>
  <c r="AR312" i="11"/>
  <c r="AR295" i="11"/>
  <c r="AR313" i="11"/>
  <c r="AR305" i="11"/>
  <c r="AR275" i="11"/>
  <c r="AR243" i="11"/>
  <c r="AR211" i="11"/>
  <c r="AR155" i="11"/>
  <c r="AR234" i="11"/>
  <c r="AR202" i="11"/>
  <c r="AR170" i="11"/>
  <c r="AR283" i="11"/>
  <c r="AQ142" i="12"/>
  <c r="AR143" i="12"/>
  <c r="AR317" i="12"/>
  <c r="AR170" i="12"/>
  <c r="AR214" i="12"/>
  <c r="AR238" i="12"/>
  <c r="AR310" i="12"/>
  <c r="AR215" i="12"/>
  <c r="AR292" i="12"/>
  <c r="AR247" i="12"/>
  <c r="AR175" i="12"/>
  <c r="AR253" i="12"/>
  <c r="AR288" i="12"/>
  <c r="AR290" i="12"/>
  <c r="AR312" i="12"/>
  <c r="AR307" i="12"/>
  <c r="AR270" i="12"/>
  <c r="AR210" i="12"/>
  <c r="AR160" i="12"/>
  <c r="AR211" i="12"/>
  <c r="AR226" i="12"/>
  <c r="AR245" i="12"/>
  <c r="AR263" i="12"/>
  <c r="AR181" i="12"/>
  <c r="AR146" i="12"/>
  <c r="AR174" i="12"/>
  <c r="AR232" i="12"/>
  <c r="AR258" i="12"/>
  <c r="AR227" i="12"/>
  <c r="AR178" i="12"/>
  <c r="AR189" i="12"/>
  <c r="AR208" i="12"/>
  <c r="AR316" i="12"/>
  <c r="AR191" i="12"/>
  <c r="AR254" i="12"/>
  <c r="AR216" i="12"/>
  <c r="AR151" i="12"/>
  <c r="AR298" i="12"/>
  <c r="AR271" i="12"/>
  <c r="AR196" i="12"/>
  <c r="AR162" i="12"/>
  <c r="AR274" i="12"/>
  <c r="AR248" i="12"/>
  <c r="AR155" i="12"/>
  <c r="AR243" i="12"/>
  <c r="AR281" i="12"/>
  <c r="AR221" i="12"/>
  <c r="AR198" i="12"/>
  <c r="AR237" i="12"/>
  <c r="AR267" i="12"/>
  <c r="AR158" i="12"/>
  <c r="AR280" i="12"/>
  <c r="AR242" i="12"/>
  <c r="AR222" i="12"/>
  <c r="AR231" i="12"/>
  <c r="AR163" i="12"/>
  <c r="AR149" i="12"/>
  <c r="AR166" i="12"/>
  <c r="AR261" i="12"/>
  <c r="AR150" i="12"/>
  <c r="AR265" i="12"/>
  <c r="AR262" i="12"/>
  <c r="AR161" i="12"/>
  <c r="AR302" i="12"/>
  <c r="AR318" i="12"/>
  <c r="AR250" i="12"/>
  <c r="AR209" i="12"/>
  <c r="AR315" i="12"/>
  <c r="AR190" i="12"/>
  <c r="AR229" i="12"/>
  <c r="AR188" i="12"/>
  <c r="AR259" i="12"/>
  <c r="AR228" i="12"/>
  <c r="AR220" i="12"/>
  <c r="AR185" i="12"/>
  <c r="AR287" i="12"/>
  <c r="AR256" i="12"/>
  <c r="AR180" i="12"/>
  <c r="AR244" i="12"/>
  <c r="AR147" i="12"/>
  <c r="AR252" i="12"/>
  <c r="AR277" i="12"/>
  <c r="AR193" i="12"/>
  <c r="AR157" i="12"/>
  <c r="AR176" i="12"/>
  <c r="AR300" i="12"/>
  <c r="AR273" i="12"/>
  <c r="AR269" i="12"/>
  <c r="AR255" i="12"/>
  <c r="AR219" i="12"/>
  <c r="AR217" i="12"/>
  <c r="AR204" i="12"/>
  <c r="AR297" i="12"/>
  <c r="AR286" i="12"/>
  <c r="AR260" i="12"/>
  <c r="AR186" i="12"/>
  <c r="AR187" i="12"/>
  <c r="AR285" i="12"/>
  <c r="AR201" i="12"/>
  <c r="AR182" i="12"/>
  <c r="AR294" i="12"/>
  <c r="AR218" i="12"/>
  <c r="AR305" i="12"/>
  <c r="AR289" i="12"/>
  <c r="AR164" i="12"/>
  <c r="AR192" i="12"/>
  <c r="AR152" i="12"/>
  <c r="AR183" i="12"/>
  <c r="AR171" i="12"/>
  <c r="AR159" i="12"/>
  <c r="AR264" i="12"/>
  <c r="AR172" i="12"/>
  <c r="AR306" i="12"/>
  <c r="AR205" i="12"/>
  <c r="AR308" i="12"/>
  <c r="AR257" i="12"/>
  <c r="AR236" i="12"/>
  <c r="AR282" i="12"/>
  <c r="AR301" i="12"/>
  <c r="AR148" i="12"/>
  <c r="AR145" i="12"/>
  <c r="AR268" i="12"/>
  <c r="AR213" i="12"/>
  <c r="AR293" i="12"/>
  <c r="AR299" i="12"/>
  <c r="AR156" i="12"/>
  <c r="AR203" i="12"/>
  <c r="AR241" i="12"/>
  <c r="AR303" i="12"/>
  <c r="AR195" i="12"/>
  <c r="AR167" i="12"/>
  <c r="AR202" i="12"/>
  <c r="AR272" i="12"/>
  <c r="AR223" i="12"/>
  <c r="AR304" i="12"/>
  <c r="AR249" i="12"/>
  <c r="AR194" i="12"/>
  <c r="AR173" i="12"/>
  <c r="AR230" i="12"/>
  <c r="AR283" i="12"/>
  <c r="AR199" i="12"/>
  <c r="AR169" i="12"/>
  <c r="AR235" i="12"/>
  <c r="AR309" i="12"/>
  <c r="AR225" i="12"/>
  <c r="AR284" i="12"/>
  <c r="AR295" i="12"/>
  <c r="AR276" i="12"/>
  <c r="AR177" i="12"/>
  <c r="AR275" i="12"/>
  <c r="AR153" i="12"/>
  <c r="AR296" i="12"/>
  <c r="AR179" i="12"/>
  <c r="AR224" i="12"/>
  <c r="AR291" i="12"/>
  <c r="AR207" i="12"/>
  <c r="AR206" i="12"/>
  <c r="AR251" i="12"/>
  <c r="AR314" i="12"/>
  <c r="AR233" i="12"/>
  <c r="AR144" i="12"/>
  <c r="AR311" i="12"/>
  <c r="AR154" i="12"/>
  <c r="AR165" i="12"/>
  <c r="AR234" i="12"/>
  <c r="AR200" i="12"/>
  <c r="AR212" i="12"/>
  <c r="AR266" i="12"/>
  <c r="AR313" i="12"/>
  <c r="AR278" i="12"/>
  <c r="AR168" i="12"/>
  <c r="AR240" i="12"/>
  <c r="AR246" i="12"/>
  <c r="AR239" i="12"/>
  <c r="AR279" i="12"/>
  <c r="AR184" i="12"/>
  <c r="AR197" i="12"/>
  <c r="AA149" i="11"/>
  <c r="AA286" i="11"/>
  <c r="AA270" i="11"/>
  <c r="AA254" i="11"/>
  <c r="AA238" i="11"/>
  <c r="AA226" i="11"/>
  <c r="AA210" i="11"/>
  <c r="AA190" i="11"/>
  <c r="AA162" i="11"/>
  <c r="AA279" i="11"/>
  <c r="AA263" i="11"/>
  <c r="AA247" i="11"/>
  <c r="AA239" i="11"/>
  <c r="AA227" i="11"/>
  <c r="AA219" i="11"/>
  <c r="AA211" i="11"/>
  <c r="AA203" i="11"/>
  <c r="AA195" i="11"/>
  <c r="AA187" i="11"/>
  <c r="AA179" i="11"/>
  <c r="AA171" i="11"/>
  <c r="AA316" i="11"/>
  <c r="AA308" i="11"/>
  <c r="AA300" i="11"/>
  <c r="AA292" i="11"/>
  <c r="AA284" i="11"/>
  <c r="AA276" i="11"/>
  <c r="AA268" i="11"/>
  <c r="AA260" i="11"/>
  <c r="AA252" i="11"/>
  <c r="AA244" i="11"/>
  <c r="AA236" i="11"/>
  <c r="AA228" i="11"/>
  <c r="AA220" i="11"/>
  <c r="AA212" i="11"/>
  <c r="AA204" i="11"/>
  <c r="AA196" i="11"/>
  <c r="AA188" i="11"/>
  <c r="AA180" i="11"/>
  <c r="AA172" i="11"/>
  <c r="AA159" i="11"/>
  <c r="AA302" i="11"/>
  <c r="AA274" i="11"/>
  <c r="AA258" i="11"/>
  <c r="AA242" i="11"/>
  <c r="AA222" i="11"/>
  <c r="AA206" i="11"/>
  <c r="AA194" i="11"/>
  <c r="AA182" i="11"/>
  <c r="AA170" i="11"/>
  <c r="AA291" i="11"/>
  <c r="AA283" i="11"/>
  <c r="AA267" i="11"/>
  <c r="AA251" i="11"/>
  <c r="AA317" i="11"/>
  <c r="AA301" i="11"/>
  <c r="AA293" i="11"/>
  <c r="AA154" i="11"/>
  <c r="AA285" i="11"/>
  <c r="AA277" i="11"/>
  <c r="AA269" i="11"/>
  <c r="AA261" i="11"/>
  <c r="AA253" i="11"/>
  <c r="AA245" i="11"/>
  <c r="AA237" i="11"/>
  <c r="AA229" i="11"/>
  <c r="AA221" i="11"/>
  <c r="AA213" i="11"/>
  <c r="AA205" i="11"/>
  <c r="AA197" i="11"/>
  <c r="AA189" i="11"/>
  <c r="AA181" i="11"/>
  <c r="AA173" i="11"/>
  <c r="AA163" i="11"/>
  <c r="AA306" i="11"/>
  <c r="AA160" i="11"/>
  <c r="AA148" i="11"/>
  <c r="AA303" i="11"/>
  <c r="AA155" i="11"/>
  <c r="AA153" i="11"/>
  <c r="AA150" i="11"/>
  <c r="AA314" i="11"/>
  <c r="AA158" i="11"/>
  <c r="AA151" i="11"/>
  <c r="AA145" i="11"/>
  <c r="AA307" i="11"/>
  <c r="AA161" i="11"/>
  <c r="AA309" i="11"/>
  <c r="AA318" i="11"/>
  <c r="AA290" i="11"/>
  <c r="AA278" i="11"/>
  <c r="AA262" i="11"/>
  <c r="AA246" i="11"/>
  <c r="AA230" i="11"/>
  <c r="AA218" i="11"/>
  <c r="AA198" i="11"/>
  <c r="AA178" i="11"/>
  <c r="AA295" i="11"/>
  <c r="AA287" i="11"/>
  <c r="AA271" i="11"/>
  <c r="AA255" i="11"/>
  <c r="AA235" i="11"/>
  <c r="AA165" i="11"/>
  <c r="AA156" i="11"/>
  <c r="AA312" i="11"/>
  <c r="AA304" i="11"/>
  <c r="AA296" i="11"/>
  <c r="AA288" i="11"/>
  <c r="AA280" i="11"/>
  <c r="AA272" i="11"/>
  <c r="AA264" i="11"/>
  <c r="AA256" i="11"/>
  <c r="AA248" i="11"/>
  <c r="AA240" i="11"/>
  <c r="AA232" i="11"/>
  <c r="AA224" i="11"/>
  <c r="AA216" i="11"/>
  <c r="AA208" i="11"/>
  <c r="AA200" i="11"/>
  <c r="AA192" i="11"/>
  <c r="AA184" i="11"/>
  <c r="AA176" i="11"/>
  <c r="AA168" i="11"/>
  <c r="AA143" i="11"/>
  <c r="AA294" i="11"/>
  <c r="AA282" i="11"/>
  <c r="AA266" i="11"/>
  <c r="AA250" i="11"/>
  <c r="AA234" i="11"/>
  <c r="AA214" i="11"/>
  <c r="AA202" i="11"/>
  <c r="AA186" i="11"/>
  <c r="AA174" i="11"/>
  <c r="AA166" i="11"/>
  <c r="AA157" i="11"/>
  <c r="AA146" i="11"/>
  <c r="AA275" i="11"/>
  <c r="AA164" i="11"/>
  <c r="AA313" i="11"/>
  <c r="AA305" i="11"/>
  <c r="AA297" i="11"/>
  <c r="AA289" i="11"/>
  <c r="AA281" i="11"/>
  <c r="AA273" i="11"/>
  <c r="AA265" i="11"/>
  <c r="AA257" i="11"/>
  <c r="AA249" i="11"/>
  <c r="AA241" i="11"/>
  <c r="AA233" i="11"/>
  <c r="AA225" i="11"/>
  <c r="AA217" i="11"/>
  <c r="AA209" i="11"/>
  <c r="AA201" i="11"/>
  <c r="AA193" i="11"/>
  <c r="AA185" i="11"/>
  <c r="AA177" i="11"/>
  <c r="AA169" i="11"/>
  <c r="AA147" i="11"/>
  <c r="AA310" i="11"/>
  <c r="AA259" i="11"/>
  <c r="AA231" i="11"/>
  <c r="AA199" i="11"/>
  <c r="AA315" i="11"/>
  <c r="AA299" i="11"/>
  <c r="AA243" i="11"/>
  <c r="AA215" i="11"/>
  <c r="AA191" i="11"/>
  <c r="AA167" i="11"/>
  <c r="AA298" i="11"/>
  <c r="AA311" i="11"/>
  <c r="AA144" i="11"/>
  <c r="AA152" i="11"/>
  <c r="AA223" i="11"/>
  <c r="AA207" i="11"/>
  <c r="AA183" i="11"/>
  <c r="AA175" i="11"/>
  <c r="W180" i="10"/>
  <c r="W196" i="10"/>
  <c r="W212" i="10"/>
  <c r="W167" i="10"/>
  <c r="W183" i="10"/>
  <c r="W199" i="10"/>
  <c r="W215" i="10"/>
  <c r="W229" i="10"/>
  <c r="W237" i="10"/>
  <c r="W245" i="10"/>
  <c r="W253" i="10"/>
  <c r="W261" i="10"/>
  <c r="W269" i="10"/>
  <c r="W277" i="10"/>
  <c r="W285" i="10"/>
  <c r="W178" i="10"/>
  <c r="W194" i="10"/>
  <c r="W210" i="10"/>
  <c r="W226" i="10"/>
  <c r="W181" i="10"/>
  <c r="W197" i="10"/>
  <c r="W213" i="10"/>
  <c r="W228" i="10"/>
  <c r="W236" i="10"/>
  <c r="W244" i="10"/>
  <c r="W252" i="10"/>
  <c r="W260" i="10"/>
  <c r="W268" i="10"/>
  <c r="W276" i="10"/>
  <c r="W284" i="10"/>
  <c r="W143" i="10"/>
  <c r="W308" i="10"/>
  <c r="W291" i="10"/>
  <c r="W299" i="10"/>
  <c r="W307" i="10"/>
  <c r="W315" i="10"/>
  <c r="W294" i="10"/>
  <c r="W310" i="10"/>
  <c r="W159" i="10"/>
  <c r="W165" i="10"/>
  <c r="W150" i="10"/>
  <c r="W153" i="10"/>
  <c r="W160" i="10"/>
  <c r="W144" i="10"/>
  <c r="W184" i="10"/>
  <c r="W171" i="10"/>
  <c r="W219" i="10"/>
  <c r="W247" i="10"/>
  <c r="W271" i="10"/>
  <c r="W182" i="10"/>
  <c r="W169" i="10"/>
  <c r="W217" i="10"/>
  <c r="W246" i="10"/>
  <c r="W270" i="10"/>
  <c r="W296" i="10"/>
  <c r="W301" i="10"/>
  <c r="W298" i="10"/>
  <c r="W162" i="10"/>
  <c r="W156" i="10"/>
  <c r="W176" i="10"/>
  <c r="W192" i="10"/>
  <c r="W208" i="10"/>
  <c r="W224" i="10"/>
  <c r="W179" i="10"/>
  <c r="W195" i="10"/>
  <c r="W211" i="10"/>
  <c r="W227" i="10"/>
  <c r="W235" i="10"/>
  <c r="W243" i="10"/>
  <c r="W251" i="10"/>
  <c r="W259" i="10"/>
  <c r="W267" i="10"/>
  <c r="W275" i="10"/>
  <c r="W283" i="10"/>
  <c r="W174" i="10"/>
  <c r="W190" i="10"/>
  <c r="W206" i="10"/>
  <c r="W222" i="10"/>
  <c r="W177" i="10"/>
  <c r="W193" i="10"/>
  <c r="W209" i="10"/>
  <c r="W225" i="10"/>
  <c r="W234" i="10"/>
  <c r="W242" i="10"/>
  <c r="W250" i="10"/>
  <c r="W258" i="10"/>
  <c r="W266" i="10"/>
  <c r="W274" i="10"/>
  <c r="W282" i="10"/>
  <c r="W290" i="10"/>
  <c r="W306" i="10"/>
  <c r="W287" i="10"/>
  <c r="W297" i="10"/>
  <c r="W305" i="10"/>
  <c r="W313" i="10"/>
  <c r="W292" i="10"/>
  <c r="W304" i="10"/>
  <c r="W163" i="10"/>
  <c r="W147" i="10"/>
  <c r="W154" i="10"/>
  <c r="W157" i="10"/>
  <c r="W164" i="10"/>
  <c r="W148" i="10"/>
  <c r="W168" i="10"/>
  <c r="W216" i="10"/>
  <c r="W203" i="10"/>
  <c r="W239" i="10"/>
  <c r="W263" i="10"/>
  <c r="W166" i="10"/>
  <c r="W214" i="10"/>
  <c r="W201" i="10"/>
  <c r="W238" i="10"/>
  <c r="W262" i="10"/>
  <c r="W286" i="10"/>
  <c r="W293" i="10"/>
  <c r="W317" i="10"/>
  <c r="W155" i="10"/>
  <c r="W149" i="10"/>
  <c r="W172" i="10"/>
  <c r="W188" i="10"/>
  <c r="W204" i="10"/>
  <c r="W220" i="10"/>
  <c r="W175" i="10"/>
  <c r="W191" i="10"/>
  <c r="W207" i="10"/>
  <c r="W223" i="10"/>
  <c r="W233" i="10"/>
  <c r="W241" i="10"/>
  <c r="W249" i="10"/>
  <c r="W257" i="10"/>
  <c r="W265" i="10"/>
  <c r="W273" i="10"/>
  <c r="W281" i="10"/>
  <c r="W170" i="10"/>
  <c r="W186" i="10"/>
  <c r="W202" i="10"/>
  <c r="W218" i="10"/>
  <c r="W173" i="10"/>
  <c r="W189" i="10"/>
  <c r="W205" i="10"/>
  <c r="W221" i="10"/>
  <c r="W232" i="10"/>
  <c r="W240" i="10"/>
  <c r="W248" i="10"/>
  <c r="W256" i="10"/>
  <c r="W264" i="10"/>
  <c r="W272" i="10"/>
  <c r="W280" i="10"/>
  <c r="W288" i="10"/>
  <c r="W300" i="10"/>
  <c r="W316" i="10"/>
  <c r="W295" i="10"/>
  <c r="W303" i="10"/>
  <c r="W311" i="10"/>
  <c r="W289" i="10"/>
  <c r="W302" i="10"/>
  <c r="W318" i="10"/>
  <c r="W151" i="10"/>
  <c r="W158" i="10"/>
  <c r="W161" i="10"/>
  <c r="W145" i="10"/>
  <c r="W152" i="10"/>
  <c r="W200" i="10"/>
  <c r="W187" i="10"/>
  <c r="W231" i="10"/>
  <c r="W255" i="10"/>
  <c r="W279" i="10"/>
  <c r="W198" i="10"/>
  <c r="W185" i="10"/>
  <c r="W230" i="10"/>
  <c r="W254" i="10"/>
  <c r="W278" i="10"/>
  <c r="W314" i="10"/>
  <c r="W309" i="10"/>
  <c r="W312" i="10"/>
  <c r="W146" i="10"/>
  <c r="AQ142" i="13"/>
  <c r="AR143" i="13"/>
  <c r="AR316" i="13"/>
  <c r="AR255" i="13"/>
  <c r="AR275" i="13"/>
  <c r="AR200" i="13"/>
  <c r="AR282" i="13"/>
  <c r="AR300" i="13"/>
  <c r="AR203" i="13"/>
  <c r="AR218" i="13"/>
  <c r="AR272" i="13"/>
  <c r="AR174" i="13"/>
  <c r="AR177" i="13"/>
  <c r="AR237" i="13"/>
  <c r="AR285" i="13"/>
  <c r="AR220" i="13"/>
  <c r="AR212" i="13"/>
  <c r="AR240" i="13"/>
  <c r="AR195" i="13"/>
  <c r="AR289" i="13"/>
  <c r="AR279" i="13"/>
  <c r="AR166" i="13"/>
  <c r="AR223" i="13"/>
  <c r="AR183" i="13"/>
  <c r="AR189" i="13"/>
  <c r="AR274" i="13"/>
  <c r="AR153" i="13"/>
  <c r="AR172" i="13"/>
  <c r="AR234" i="13"/>
  <c r="AR187" i="13"/>
  <c r="AR268" i="13"/>
  <c r="AR238" i="13"/>
  <c r="AR252" i="13"/>
  <c r="AR278" i="13"/>
  <c r="AR158" i="13"/>
  <c r="AR216" i="13"/>
  <c r="AR241" i="13"/>
  <c r="AR193" i="13"/>
  <c r="AR309" i="13"/>
  <c r="AR256" i="13"/>
  <c r="AR207" i="13"/>
  <c r="AR209" i="13"/>
  <c r="AR159" i="13"/>
  <c r="AR231" i="13"/>
  <c r="AR175" i="13"/>
  <c r="AR315" i="13"/>
  <c r="AR199" i="13"/>
  <c r="AR265" i="13"/>
  <c r="AR163" i="13"/>
  <c r="AR162" i="13"/>
  <c r="AR181" i="13"/>
  <c r="AR303" i="13"/>
  <c r="AR201" i="13"/>
  <c r="AR173" i="13"/>
  <c r="AR188" i="13"/>
  <c r="AR232" i="13"/>
  <c r="AR291" i="13"/>
  <c r="AR210" i="13"/>
  <c r="AR155" i="13"/>
  <c r="AR191" i="13"/>
  <c r="AR161" i="13"/>
  <c r="AR304" i="13"/>
  <c r="AR283" i="13"/>
  <c r="AR213" i="13"/>
  <c r="AR276" i="13"/>
  <c r="AR196" i="13"/>
  <c r="AR245" i="13"/>
  <c r="AR152" i="13"/>
  <c r="AR287" i="13"/>
  <c r="AR273" i="13"/>
  <c r="AR235" i="13"/>
  <c r="AR148" i="13"/>
  <c r="AR145" i="13"/>
  <c r="AR225" i="13"/>
  <c r="AR253" i="13"/>
  <c r="AR204" i="13"/>
  <c r="AR242" i="13"/>
  <c r="AR308" i="13"/>
  <c r="AR215" i="13"/>
  <c r="AR227" i="13"/>
  <c r="AR298" i="13"/>
  <c r="AR281" i="13"/>
  <c r="AR221" i="13"/>
  <c r="AR192" i="13"/>
  <c r="AR185" i="13"/>
  <c r="AR270" i="13"/>
  <c r="AR230" i="13"/>
  <c r="AR236" i="13"/>
  <c r="AR190" i="13"/>
  <c r="AR284" i="13"/>
  <c r="AR269" i="13"/>
  <c r="AR197" i="13"/>
  <c r="AR249" i="13"/>
  <c r="AR146" i="13"/>
  <c r="AR176" i="13"/>
  <c r="AR293" i="13"/>
  <c r="AR206" i="13"/>
  <c r="AR250" i="13"/>
  <c r="AR180" i="13"/>
  <c r="AR271" i="13"/>
  <c r="AR266" i="13"/>
  <c r="AR258" i="13"/>
  <c r="AR149" i="13"/>
  <c r="AR168" i="13"/>
  <c r="AR226" i="13"/>
  <c r="AR179" i="13"/>
  <c r="AR260" i="13"/>
  <c r="AR261" i="13"/>
  <c r="AR294" i="13"/>
  <c r="AR222" i="13"/>
  <c r="AR165" i="13"/>
  <c r="AR167" i="13"/>
  <c r="AR244" i="13"/>
  <c r="AR198" i="13"/>
  <c r="AR263" i="13"/>
  <c r="AR251" i="13"/>
  <c r="AR144" i="13"/>
  <c r="AR239" i="13"/>
  <c r="AR262" i="13"/>
  <c r="AR154" i="13"/>
  <c r="AR312" i="13"/>
  <c r="AR202" i="13"/>
  <c r="AR150" i="13"/>
  <c r="AR267" i="13"/>
  <c r="AR184" i="13"/>
  <c r="AR296" i="13"/>
  <c r="AR259" i="13"/>
  <c r="AR318" i="13"/>
  <c r="AR171" i="13"/>
  <c r="AR229" i="13"/>
  <c r="AR151" i="13"/>
  <c r="AR224" i="13"/>
  <c r="AR302" i="13"/>
  <c r="AR186" i="13"/>
  <c r="AR257" i="13"/>
  <c r="AR290" i="13"/>
  <c r="AR317" i="13"/>
  <c r="AR310" i="13"/>
  <c r="AR246" i="13"/>
  <c r="AR264" i="13"/>
  <c r="AR160" i="13"/>
  <c r="AR178" i="13"/>
  <c r="AR214" i="13"/>
  <c r="AR286" i="13"/>
  <c r="AR169" i="13"/>
  <c r="AR280" i="13"/>
  <c r="AR219" i="13"/>
  <c r="AR170" i="13"/>
  <c r="AR297" i="13"/>
  <c r="AR243" i="13"/>
  <c r="AR306" i="13"/>
  <c r="AR157" i="13"/>
  <c r="AR248" i="13"/>
  <c r="AR208" i="13"/>
  <c r="AR301" i="13"/>
  <c r="AR233" i="13"/>
  <c r="AR182" i="13"/>
  <c r="AR288" i="13"/>
  <c r="AR247" i="13"/>
  <c r="AR205" i="13"/>
  <c r="AR254" i="13"/>
  <c r="AR295" i="13"/>
  <c r="AR277" i="13"/>
  <c r="AR164" i="13"/>
  <c r="AR292" i="13"/>
  <c r="AR156" i="13"/>
  <c r="AR314" i="13"/>
  <c r="AR307" i="13"/>
  <c r="AR217" i="13"/>
  <c r="AR311" i="13"/>
  <c r="AR313" i="13"/>
  <c r="AR305" i="13"/>
  <c r="AR147" i="13"/>
  <c r="AR299" i="13"/>
  <c r="AR211" i="13"/>
  <c r="AR194" i="13"/>
  <c r="AR228" i="13"/>
  <c r="G142" i="12"/>
  <c r="G143" i="12" s="1"/>
  <c r="F143" i="12"/>
  <c r="AU142" i="11"/>
  <c r="AT155" i="11"/>
  <c r="AT272" i="11"/>
  <c r="AT244" i="11"/>
  <c r="AT212" i="11"/>
  <c r="AT180" i="11"/>
  <c r="AT168" i="11"/>
  <c r="AT158" i="11"/>
  <c r="AT318" i="11"/>
  <c r="AT286" i="11"/>
  <c r="AT254" i="11"/>
  <c r="AT222" i="11"/>
  <c r="AT174" i="11"/>
  <c r="AT166" i="11"/>
  <c r="AT145" i="11"/>
  <c r="AT297" i="11"/>
  <c r="AT276" i="11"/>
  <c r="AT260" i="11"/>
  <c r="AT240" i="11"/>
  <c r="AT228" i="11"/>
  <c r="AT204" i="11"/>
  <c r="AT309" i="11"/>
  <c r="AT301" i="11"/>
  <c r="AT291" i="11"/>
  <c r="AT285" i="11"/>
  <c r="AT277" i="11"/>
  <c r="AT269" i="11"/>
  <c r="AT261" i="11"/>
  <c r="AT253" i="11"/>
  <c r="AT245" i="11"/>
  <c r="AT237" i="11"/>
  <c r="AT229" i="11"/>
  <c r="AT221" i="11"/>
  <c r="AT213" i="11"/>
  <c r="AT205" i="11"/>
  <c r="AT197" i="11"/>
  <c r="AT189" i="11"/>
  <c r="AT181" i="11"/>
  <c r="AT173" i="11"/>
  <c r="AT160" i="11"/>
  <c r="AT315" i="11"/>
  <c r="AT143" i="11"/>
  <c r="AT283" i="11"/>
  <c r="AT275" i="11"/>
  <c r="AT259" i="11"/>
  <c r="AT251" i="11"/>
  <c r="AT243" i="11"/>
  <c r="AT227" i="11"/>
  <c r="AT219" i="11"/>
  <c r="AT211" i="11"/>
  <c r="AT195" i="11"/>
  <c r="AT187" i="11"/>
  <c r="AT179" i="11"/>
  <c r="AT165" i="11"/>
  <c r="AT154" i="11"/>
  <c r="AT316" i="11"/>
  <c r="AT300" i="11"/>
  <c r="AT280" i="11"/>
  <c r="AT264" i="11"/>
  <c r="AT248" i="11"/>
  <c r="AT151" i="11"/>
  <c r="AT162" i="11"/>
  <c r="AT282" i="11"/>
  <c r="AT250" i="11"/>
  <c r="AT218" i="11"/>
  <c r="AT186" i="11"/>
  <c r="AT161" i="11"/>
  <c r="AT152" i="11"/>
  <c r="AT312" i="11"/>
  <c r="AT216" i="11"/>
  <c r="AT184" i="11"/>
  <c r="AT153" i="11"/>
  <c r="AT289" i="11"/>
  <c r="AT257" i="11"/>
  <c r="AT241" i="11"/>
  <c r="AT225" i="11"/>
  <c r="AT193" i="11"/>
  <c r="AT177" i="11"/>
  <c r="AT169" i="11"/>
  <c r="AT157" i="11"/>
  <c r="AT307" i="11"/>
  <c r="AT299" i="11"/>
  <c r="AT164" i="11"/>
  <c r="AT267" i="11"/>
  <c r="AT235" i="11"/>
  <c r="AT203" i="11"/>
  <c r="AT171" i="11"/>
  <c r="AT147" i="11"/>
  <c r="AT232" i="11"/>
  <c r="AT220" i="11"/>
  <c r="AT208" i="11"/>
  <c r="AT188" i="11"/>
  <c r="AT172" i="11"/>
  <c r="AT314" i="11"/>
  <c r="AT306" i="11"/>
  <c r="AT298" i="11"/>
  <c r="AT156" i="11"/>
  <c r="AT290" i="11"/>
  <c r="AT274" i="11"/>
  <c r="AT266" i="11"/>
  <c r="AT258" i="11"/>
  <c r="AT242" i="11"/>
  <c r="AT234" i="11"/>
  <c r="AT226" i="11"/>
  <c r="AT210" i="11"/>
  <c r="AT202" i="11"/>
  <c r="AT194" i="11"/>
  <c r="AT178" i="11"/>
  <c r="AT170" i="11"/>
  <c r="AT150" i="11"/>
  <c r="AT295" i="11"/>
  <c r="AT284" i="11"/>
  <c r="AT268" i="11"/>
  <c r="AT252" i="11"/>
  <c r="AT236" i="11"/>
  <c r="AT196" i="11"/>
  <c r="AT313" i="11"/>
  <c r="AT305" i="11"/>
  <c r="AT148" i="11"/>
  <c r="AT281" i="11"/>
  <c r="AT273" i="11"/>
  <c r="AT265" i="11"/>
  <c r="AT249" i="11"/>
  <c r="AT233" i="11"/>
  <c r="AT217" i="11"/>
  <c r="AT209" i="11"/>
  <c r="AT201" i="11"/>
  <c r="AT185" i="11"/>
  <c r="AT294" i="11"/>
  <c r="AT287" i="11"/>
  <c r="AT271" i="11"/>
  <c r="AT255" i="11"/>
  <c r="AT239" i="11"/>
  <c r="AT223" i="11"/>
  <c r="AT207" i="11"/>
  <c r="AT191" i="11"/>
  <c r="AT175" i="11"/>
  <c r="AT304" i="11"/>
  <c r="AT192" i="11"/>
  <c r="AT176" i="11"/>
  <c r="AT317" i="11"/>
  <c r="AT311" i="11"/>
  <c r="AT279" i="11"/>
  <c r="AT247" i="11"/>
  <c r="AT215" i="11"/>
  <c r="AT183" i="11"/>
  <c r="AT288" i="11"/>
  <c r="AT256" i="11"/>
  <c r="AT224" i="11"/>
  <c r="AT200" i="11"/>
  <c r="AT310" i="11"/>
  <c r="AT302" i="11"/>
  <c r="AT293" i="11"/>
  <c r="AT292" i="11"/>
  <c r="AT278" i="11"/>
  <c r="AT270" i="11"/>
  <c r="AT262" i="11"/>
  <c r="AT246" i="11"/>
  <c r="AT238" i="11"/>
  <c r="AT230" i="11"/>
  <c r="AT214" i="11"/>
  <c r="AT206" i="11"/>
  <c r="AT198" i="11"/>
  <c r="AT190" i="11"/>
  <c r="AT182" i="11"/>
  <c r="AT146" i="11"/>
  <c r="AT149" i="11"/>
  <c r="AT163" i="11"/>
  <c r="AT303" i="11"/>
  <c r="AT308" i="11"/>
  <c r="AT144" i="11"/>
  <c r="AT159" i="11"/>
  <c r="AT296" i="11"/>
  <c r="AT263" i="11"/>
  <c r="AT231" i="11"/>
  <c r="AT199" i="11"/>
  <c r="AT167" i="11"/>
  <c r="G142" i="13"/>
  <c r="G143" i="13" s="1"/>
  <c r="F143" i="13"/>
  <c r="D160" i="10"/>
  <c r="D149" i="10"/>
  <c r="D154" i="10"/>
  <c r="D159" i="10"/>
  <c r="D152" i="10"/>
  <c r="D167" i="10"/>
  <c r="D171" i="10"/>
  <c r="D175" i="10"/>
  <c r="D179" i="10"/>
  <c r="D183" i="10"/>
  <c r="D187" i="10"/>
  <c r="D191" i="10"/>
  <c r="D195" i="10"/>
  <c r="D199" i="10"/>
  <c r="D166" i="10"/>
  <c r="D170" i="10"/>
  <c r="D174" i="10"/>
  <c r="D178" i="10"/>
  <c r="D182" i="10"/>
  <c r="D186" i="10"/>
  <c r="D190" i="10"/>
  <c r="D194" i="10"/>
  <c r="D198" i="10"/>
  <c r="C142" i="10"/>
  <c r="D169" i="10"/>
  <c r="D173" i="10"/>
  <c r="D177" i="10"/>
  <c r="D181" i="10"/>
  <c r="D185" i="10"/>
  <c r="D189" i="10"/>
  <c r="D193" i="10"/>
  <c r="D197" i="10"/>
  <c r="D201" i="10"/>
  <c r="D176" i="10"/>
  <c r="D192" i="10"/>
  <c r="D203" i="10"/>
  <c r="D207" i="10"/>
  <c r="D211" i="10"/>
  <c r="D215" i="10"/>
  <c r="D219" i="10"/>
  <c r="D226" i="10"/>
  <c r="D234" i="10"/>
  <c r="D242" i="10"/>
  <c r="D250" i="10"/>
  <c r="D258" i="10"/>
  <c r="D266" i="10"/>
  <c r="D274" i="10"/>
  <c r="D282" i="10"/>
  <c r="D290" i="10"/>
  <c r="D304" i="10"/>
  <c r="D221" i="10"/>
  <c r="D253" i="10"/>
  <c r="D281" i="10"/>
  <c r="D317" i="10"/>
  <c r="D227" i="10"/>
  <c r="D243" i="10"/>
  <c r="D259" i="10"/>
  <c r="D275" i="10"/>
  <c r="D291" i="10"/>
  <c r="D307" i="10"/>
  <c r="D233" i="10"/>
  <c r="D265" i="10"/>
  <c r="D297" i="10"/>
  <c r="D298" i="10"/>
  <c r="D156" i="10"/>
  <c r="D146" i="10"/>
  <c r="D148" i="10"/>
  <c r="D144" i="10"/>
  <c r="D153" i="10"/>
  <c r="D196" i="10"/>
  <c r="D212" i="10"/>
  <c r="D228" i="10"/>
  <c r="D252" i="10"/>
  <c r="D276" i="10"/>
  <c r="D308" i="10"/>
  <c r="D285" i="10"/>
  <c r="D247" i="10"/>
  <c r="D295" i="10"/>
  <c r="D277" i="10"/>
  <c r="D143" i="10"/>
  <c r="D147" i="10"/>
  <c r="D172" i="10"/>
  <c r="D188" i="10"/>
  <c r="D202" i="10"/>
  <c r="D206" i="10"/>
  <c r="D210" i="10"/>
  <c r="D214" i="10"/>
  <c r="D218" i="10"/>
  <c r="D224" i="10"/>
  <c r="D232" i="10"/>
  <c r="D240" i="10"/>
  <c r="D248" i="10"/>
  <c r="D256" i="10"/>
  <c r="D264" i="10"/>
  <c r="D272" i="10"/>
  <c r="D280" i="10"/>
  <c r="D288" i="10"/>
  <c r="D300" i="10"/>
  <c r="D316" i="10"/>
  <c r="D241" i="10"/>
  <c r="D273" i="10"/>
  <c r="D313" i="10"/>
  <c r="D223" i="10"/>
  <c r="D239" i="10"/>
  <c r="D255" i="10"/>
  <c r="D271" i="10"/>
  <c r="D287" i="10"/>
  <c r="D303" i="10"/>
  <c r="D225" i="10"/>
  <c r="D257" i="10"/>
  <c r="D293" i="10"/>
  <c r="D294" i="10"/>
  <c r="D310" i="10"/>
  <c r="D155" i="10"/>
  <c r="D151" i="10"/>
  <c r="D161" i="10"/>
  <c r="D158" i="10"/>
  <c r="D164" i="10"/>
  <c r="D204" i="10"/>
  <c r="D216" i="10"/>
  <c r="D236" i="10"/>
  <c r="D260" i="10"/>
  <c r="D284" i="10"/>
  <c r="D229" i="10"/>
  <c r="D314" i="10"/>
  <c r="D263" i="10"/>
  <c r="D311" i="10"/>
  <c r="D301" i="10"/>
  <c r="D168" i="10"/>
  <c r="D184" i="10"/>
  <c r="D200" i="10"/>
  <c r="D205" i="10"/>
  <c r="D209" i="10"/>
  <c r="D213" i="10"/>
  <c r="D217" i="10"/>
  <c r="D222" i="10"/>
  <c r="D230" i="10"/>
  <c r="D238" i="10"/>
  <c r="D246" i="10"/>
  <c r="D254" i="10"/>
  <c r="D262" i="10"/>
  <c r="D270" i="10"/>
  <c r="D278" i="10"/>
  <c r="D286" i="10"/>
  <c r="D296" i="10"/>
  <c r="D312" i="10"/>
  <c r="D237" i="10"/>
  <c r="D269" i="10"/>
  <c r="D309" i="10"/>
  <c r="D318" i="10"/>
  <c r="D235" i="10"/>
  <c r="D251" i="10"/>
  <c r="D267" i="10"/>
  <c r="D283" i="10"/>
  <c r="D299" i="10"/>
  <c r="D315" i="10"/>
  <c r="D249" i="10"/>
  <c r="D289" i="10"/>
  <c r="D305" i="10"/>
  <c r="D306" i="10"/>
  <c r="D145" i="10"/>
  <c r="D165" i="10"/>
  <c r="D157" i="10"/>
  <c r="D150" i="10"/>
  <c r="D163" i="10"/>
  <c r="D180" i="10"/>
  <c r="D208" i="10"/>
  <c r="D220" i="10"/>
  <c r="D244" i="10"/>
  <c r="D268" i="10"/>
  <c r="D292" i="10"/>
  <c r="D261" i="10"/>
  <c r="D231" i="10"/>
  <c r="D279" i="10"/>
  <c r="D245" i="10"/>
  <c r="D302" i="10"/>
  <c r="D162" i="10"/>
  <c r="F159" i="10"/>
  <c r="F151" i="10"/>
  <c r="F163" i="10"/>
  <c r="F154" i="10"/>
  <c r="F150" i="10"/>
  <c r="F155" i="10"/>
  <c r="F146" i="10"/>
  <c r="F162" i="10"/>
  <c r="F165" i="10"/>
  <c r="F158" i="10"/>
  <c r="F147" i="10"/>
  <c r="G142" i="10"/>
  <c r="F181" i="10"/>
  <c r="F197" i="10"/>
  <c r="F213" i="10"/>
  <c r="F224" i="10"/>
  <c r="F232" i="10"/>
  <c r="F240" i="10"/>
  <c r="F248" i="10"/>
  <c r="F256" i="10"/>
  <c r="F264" i="10"/>
  <c r="F272" i="10"/>
  <c r="F280" i="10"/>
  <c r="F288" i="10"/>
  <c r="F239" i="10"/>
  <c r="F255" i="10"/>
  <c r="F273" i="10"/>
  <c r="F289" i="10"/>
  <c r="F182" i="10"/>
  <c r="F180" i="10"/>
  <c r="F196" i="10"/>
  <c r="F212" i="10"/>
  <c r="F293" i="10"/>
  <c r="F297" i="10"/>
  <c r="F301" i="10"/>
  <c r="F305" i="10"/>
  <c r="F309" i="10"/>
  <c r="F313" i="10"/>
  <c r="F317" i="10"/>
  <c r="F175" i="10"/>
  <c r="F191" i="10"/>
  <c r="F207" i="10"/>
  <c r="F221" i="10"/>
  <c r="F229" i="10"/>
  <c r="F245" i="10"/>
  <c r="F259" i="10"/>
  <c r="F277" i="10"/>
  <c r="F166" i="10"/>
  <c r="F186" i="10"/>
  <c r="F214" i="10"/>
  <c r="F149" i="10"/>
  <c r="F156" i="10"/>
  <c r="F169" i="10"/>
  <c r="F217" i="10"/>
  <c r="F242" i="10"/>
  <c r="F266" i="10"/>
  <c r="F290" i="10"/>
  <c r="F275" i="10"/>
  <c r="F184" i="10"/>
  <c r="F294" i="10"/>
  <c r="F306" i="10"/>
  <c r="F318" i="10"/>
  <c r="F211" i="10"/>
  <c r="F249" i="10"/>
  <c r="F194" i="10"/>
  <c r="F143" i="10"/>
  <c r="F177" i="10"/>
  <c r="F193" i="10"/>
  <c r="F209" i="10"/>
  <c r="F222" i="10"/>
  <c r="F230" i="10"/>
  <c r="F238" i="10"/>
  <c r="F246" i="10"/>
  <c r="F254" i="10"/>
  <c r="F262" i="10"/>
  <c r="F270" i="10"/>
  <c r="F278" i="10"/>
  <c r="F286" i="10"/>
  <c r="F233" i="10"/>
  <c r="F251" i="10"/>
  <c r="F267" i="10"/>
  <c r="F285" i="10"/>
  <c r="F178" i="10"/>
  <c r="F176" i="10"/>
  <c r="F192" i="10"/>
  <c r="F208" i="10"/>
  <c r="F292" i="10"/>
  <c r="F296" i="10"/>
  <c r="F300" i="10"/>
  <c r="F304" i="10"/>
  <c r="F308" i="10"/>
  <c r="F312" i="10"/>
  <c r="F316" i="10"/>
  <c r="F171" i="10"/>
  <c r="F187" i="10"/>
  <c r="F203" i="10"/>
  <c r="F219" i="10"/>
  <c r="F227" i="10"/>
  <c r="F241" i="10"/>
  <c r="F257" i="10"/>
  <c r="F271" i="10"/>
  <c r="F287" i="10"/>
  <c r="F198" i="10"/>
  <c r="F206" i="10"/>
  <c r="F145" i="10"/>
  <c r="F161" i="10"/>
  <c r="F152" i="10"/>
  <c r="F185" i="10"/>
  <c r="F226" i="10"/>
  <c r="F250" i="10"/>
  <c r="F274" i="10"/>
  <c r="F243" i="10"/>
  <c r="F170" i="10"/>
  <c r="F200" i="10"/>
  <c r="F298" i="10"/>
  <c r="F310" i="10"/>
  <c r="F179" i="10"/>
  <c r="F223" i="10"/>
  <c r="F265" i="10"/>
  <c r="F202" i="10"/>
  <c r="F153" i="10"/>
  <c r="F144" i="10"/>
  <c r="F173" i="10"/>
  <c r="F189" i="10"/>
  <c r="F205" i="10"/>
  <c r="F220" i="10"/>
  <c r="F228" i="10"/>
  <c r="F236" i="10"/>
  <c r="F244" i="10"/>
  <c r="F252" i="10"/>
  <c r="F260" i="10"/>
  <c r="F268" i="10"/>
  <c r="F276" i="10"/>
  <c r="F284" i="10"/>
  <c r="F231" i="10"/>
  <c r="F247" i="10"/>
  <c r="F263" i="10"/>
  <c r="F279" i="10"/>
  <c r="F174" i="10"/>
  <c r="F172" i="10"/>
  <c r="F188" i="10"/>
  <c r="F204" i="10"/>
  <c r="F291" i="10"/>
  <c r="F295" i="10"/>
  <c r="F299" i="10"/>
  <c r="F303" i="10"/>
  <c r="F307" i="10"/>
  <c r="F311" i="10"/>
  <c r="F315" i="10"/>
  <c r="F167" i="10"/>
  <c r="F183" i="10"/>
  <c r="F199" i="10"/>
  <c r="F215" i="10"/>
  <c r="F225" i="10"/>
  <c r="F237" i="10"/>
  <c r="F253" i="10"/>
  <c r="F269" i="10"/>
  <c r="F283" i="10"/>
  <c r="F210" i="10"/>
  <c r="F190" i="10"/>
  <c r="F157" i="10"/>
  <c r="F148" i="10"/>
  <c r="F164" i="10"/>
  <c r="F201" i="10"/>
  <c r="F234" i="10"/>
  <c r="F258" i="10"/>
  <c r="F282" i="10"/>
  <c r="F261" i="10"/>
  <c r="F168" i="10"/>
  <c r="F216" i="10"/>
  <c r="F302" i="10"/>
  <c r="F314" i="10"/>
  <c r="F195" i="10"/>
  <c r="F235" i="10"/>
  <c r="F281" i="10"/>
  <c r="F218" i="10"/>
  <c r="F160" i="10"/>
  <c r="C142" i="12"/>
  <c r="C143" i="12" s="1"/>
  <c r="D143" i="12"/>
  <c r="AR158" i="10"/>
  <c r="AR162" i="10"/>
  <c r="AR149" i="10"/>
  <c r="AR156" i="10"/>
  <c r="AR150" i="10"/>
  <c r="AR175" i="10"/>
  <c r="AR191" i="10"/>
  <c r="AR207" i="10"/>
  <c r="AR223" i="10"/>
  <c r="AR239" i="10"/>
  <c r="AR255" i="10"/>
  <c r="AR271" i="10"/>
  <c r="AR287" i="10"/>
  <c r="AR295" i="10"/>
  <c r="AR299" i="10"/>
  <c r="AR303" i="10"/>
  <c r="AR307" i="10"/>
  <c r="AR311" i="10"/>
  <c r="AR315" i="10"/>
  <c r="AR169" i="10"/>
  <c r="AR209" i="10"/>
  <c r="AR237" i="10"/>
  <c r="AR257" i="10"/>
  <c r="AR168" i="10"/>
  <c r="AR212" i="10"/>
  <c r="AR244" i="10"/>
  <c r="AR178" i="10"/>
  <c r="AR194" i="10"/>
  <c r="AR210" i="10"/>
  <c r="AR226" i="10"/>
  <c r="AR242" i="10"/>
  <c r="AR258" i="10"/>
  <c r="AR274" i="10"/>
  <c r="AR290" i="10"/>
  <c r="AR193" i="10"/>
  <c r="AR217" i="10"/>
  <c r="AR265" i="10"/>
  <c r="AR172" i="10"/>
  <c r="AR196" i="10"/>
  <c r="AR224" i="10"/>
  <c r="AR252" i="10"/>
  <c r="AR268" i="10"/>
  <c r="AR284" i="10"/>
  <c r="AR155" i="10"/>
  <c r="AR147" i="10"/>
  <c r="AR159" i="10"/>
  <c r="AR160" i="10"/>
  <c r="AR161" i="10"/>
  <c r="AR171" i="10"/>
  <c r="AR187" i="10"/>
  <c r="AR203" i="10"/>
  <c r="AR219" i="10"/>
  <c r="AR235" i="10"/>
  <c r="AR251" i="10"/>
  <c r="AR267" i="10"/>
  <c r="AR283" i="10"/>
  <c r="AR294" i="10"/>
  <c r="AR298" i="10"/>
  <c r="AR302" i="10"/>
  <c r="AR306" i="10"/>
  <c r="AR310" i="10"/>
  <c r="AR314" i="10"/>
  <c r="AR318" i="10"/>
  <c r="AR201" i="10"/>
  <c r="AR233" i="10"/>
  <c r="AR253" i="10"/>
  <c r="AR289" i="10"/>
  <c r="AR200" i="10"/>
  <c r="AR240" i="10"/>
  <c r="AR174" i="10"/>
  <c r="AR190" i="10"/>
  <c r="AR206" i="10"/>
  <c r="AR222" i="10"/>
  <c r="AR238" i="10"/>
  <c r="AR254" i="10"/>
  <c r="AR270" i="10"/>
  <c r="AR286" i="10"/>
  <c r="AR189" i="10"/>
  <c r="AR213" i="10"/>
  <c r="AR261" i="10"/>
  <c r="AR285" i="10"/>
  <c r="AR192" i="10"/>
  <c r="AR220" i="10"/>
  <c r="AR248" i="10"/>
  <c r="AR264" i="10"/>
  <c r="AR291" i="10"/>
  <c r="AR152" i="10"/>
  <c r="AR146" i="10"/>
  <c r="AR148" i="10"/>
  <c r="AR144" i="10"/>
  <c r="AR165" i="10"/>
  <c r="AR145" i="10"/>
  <c r="AR167" i="10"/>
  <c r="AR183" i="10"/>
  <c r="AR199" i="10"/>
  <c r="AR215" i="10"/>
  <c r="AR231" i="10"/>
  <c r="AR247" i="10"/>
  <c r="AR263" i="10"/>
  <c r="AR279" i="10"/>
  <c r="AR293" i="10"/>
  <c r="AR297" i="10"/>
  <c r="AR301" i="10"/>
  <c r="AR305" i="10"/>
  <c r="AR309" i="10"/>
  <c r="AR313" i="10"/>
  <c r="AR317" i="10"/>
  <c r="AR185" i="10"/>
  <c r="AR225" i="10"/>
  <c r="AR249" i="10"/>
  <c r="AR281" i="10"/>
  <c r="AR184" i="10"/>
  <c r="AR232" i="10"/>
  <c r="AR170" i="10"/>
  <c r="AR186" i="10"/>
  <c r="AR202" i="10"/>
  <c r="AR218" i="10"/>
  <c r="AR234" i="10"/>
  <c r="AR250" i="10"/>
  <c r="AR266" i="10"/>
  <c r="AR282" i="10"/>
  <c r="AR177" i="10"/>
  <c r="AR205" i="10"/>
  <c r="AR245" i="10"/>
  <c r="AR277" i="10"/>
  <c r="AR188" i="10"/>
  <c r="AR208" i="10"/>
  <c r="AR236" i="10"/>
  <c r="AR260" i="10"/>
  <c r="AR288" i="10"/>
  <c r="AR280" i="10"/>
  <c r="AR153" i="10"/>
  <c r="AR157" i="10"/>
  <c r="AR154" i="10"/>
  <c r="AR179" i="10"/>
  <c r="AR243" i="10"/>
  <c r="AR296" i="10"/>
  <c r="AR312" i="10"/>
  <c r="AR241" i="10"/>
  <c r="AR166" i="10"/>
  <c r="AR230" i="10"/>
  <c r="AR173" i="10"/>
  <c r="AR176" i="10"/>
  <c r="AR272" i="10"/>
  <c r="AR164" i="10"/>
  <c r="AR259" i="10"/>
  <c r="AR269" i="10"/>
  <c r="AR197" i="10"/>
  <c r="AQ142" i="10"/>
  <c r="AR227" i="10"/>
  <c r="AR292" i="10"/>
  <c r="AR308" i="10"/>
  <c r="AR221" i="10"/>
  <c r="AR216" i="10"/>
  <c r="AR214" i="10"/>
  <c r="AR278" i="10"/>
  <c r="AR273" i="10"/>
  <c r="AR256" i="10"/>
  <c r="AR163" i="10"/>
  <c r="AR195" i="10"/>
  <c r="AR316" i="10"/>
  <c r="AR246" i="10"/>
  <c r="AR276" i="10"/>
  <c r="AR151" i="10"/>
  <c r="AR211" i="10"/>
  <c r="AR275" i="10"/>
  <c r="AR304" i="10"/>
  <c r="AR181" i="10"/>
  <c r="AR180" i="10"/>
  <c r="AR198" i="10"/>
  <c r="AR262" i="10"/>
  <c r="AR229" i="10"/>
  <c r="AR228" i="10"/>
  <c r="AR300" i="10"/>
  <c r="AR182" i="10"/>
  <c r="AR204" i="10"/>
  <c r="AR143" i="10"/>
  <c r="C142" i="13"/>
  <c r="C143" i="13" s="1"/>
  <c r="D143" i="13"/>
  <c r="AR220" i="9"/>
  <c r="AR218" i="9"/>
  <c r="AR237" i="9"/>
  <c r="AR154" i="9"/>
  <c r="AR184" i="9"/>
  <c r="AR259" i="9"/>
  <c r="AR216" i="9"/>
  <c r="AR170" i="9"/>
  <c r="AR275" i="9"/>
  <c r="AR248" i="9"/>
  <c r="AR204" i="9"/>
  <c r="AR174" i="9"/>
  <c r="AR183" i="9"/>
  <c r="AR149" i="9"/>
  <c r="AR281" i="9"/>
  <c r="AR172" i="9"/>
  <c r="AR274" i="9"/>
  <c r="AR210" i="9"/>
  <c r="AR146" i="9"/>
  <c r="AR267" i="9"/>
  <c r="AR203" i="9"/>
  <c r="AR317" i="9"/>
  <c r="AR189" i="9"/>
  <c r="AR232" i="9"/>
  <c r="AR241" i="9"/>
  <c r="AR169" i="9"/>
  <c r="AR156" i="9"/>
  <c r="AR254" i="9"/>
  <c r="AR158" i="9"/>
  <c r="AR263" i="9"/>
  <c r="AR309" i="9"/>
  <c r="AR224" i="9"/>
  <c r="AR260" i="9"/>
  <c r="AR310" i="9"/>
  <c r="AR246" i="9"/>
  <c r="AR182" i="9"/>
  <c r="AR287" i="9"/>
  <c r="AR223" i="9"/>
  <c r="AR159" i="9"/>
  <c r="AR229" i="9"/>
  <c r="AR272" i="9"/>
  <c r="AR144" i="9"/>
  <c r="AR164" i="9"/>
  <c r="AR145" i="9"/>
  <c r="AR307" i="9"/>
  <c r="AR195" i="9"/>
  <c r="AR243" i="9"/>
  <c r="AR256" i="9"/>
  <c r="AR315" i="9"/>
  <c r="AR285" i="9"/>
  <c r="AR177" i="9"/>
  <c r="AR300" i="9"/>
  <c r="AR231" i="9"/>
  <c r="AR252" i="9"/>
  <c r="AR230" i="9"/>
  <c r="AR207" i="9"/>
  <c r="AR240" i="9"/>
  <c r="AR318" i="9"/>
  <c r="AR291" i="9"/>
  <c r="AR282" i="9"/>
  <c r="AR308" i="9"/>
  <c r="AR269" i="9"/>
  <c r="AR186" i="9"/>
  <c r="AR173" i="9"/>
  <c r="AR180" i="9"/>
  <c r="AR234" i="9"/>
  <c r="AR236" i="9"/>
  <c r="AR202" i="9"/>
  <c r="AR205" i="9"/>
  <c r="AR185" i="9"/>
  <c r="AR222" i="9"/>
  <c r="AR215" i="9"/>
  <c r="AR213" i="9"/>
  <c r="AR161" i="9"/>
  <c r="AR268" i="9"/>
  <c r="AR290" i="9"/>
  <c r="AR226" i="9"/>
  <c r="AR162" i="9"/>
  <c r="AR283" i="9"/>
  <c r="AR219" i="9"/>
  <c r="AR155" i="9"/>
  <c r="AR221" i="9"/>
  <c r="AR264" i="9"/>
  <c r="AR305" i="9"/>
  <c r="AR313" i="9"/>
  <c r="AR148" i="9"/>
  <c r="AR286" i="9"/>
  <c r="AR190" i="9"/>
  <c r="AR295" i="9"/>
  <c r="AR167" i="9"/>
  <c r="AR288" i="9"/>
  <c r="AR225" i="9"/>
  <c r="AR262" i="9"/>
  <c r="AR198" i="9"/>
  <c r="AR303" i="9"/>
  <c r="AR239" i="9"/>
  <c r="AR175" i="9"/>
  <c r="AR261" i="9"/>
  <c r="AR304" i="9"/>
  <c r="AR176" i="9"/>
  <c r="AR228" i="9"/>
  <c r="AR153" i="9"/>
  <c r="AR163" i="9"/>
  <c r="AR209" i="9"/>
  <c r="AR273" i="9"/>
  <c r="AR284" i="9"/>
  <c r="AR279" i="9"/>
  <c r="AR196" i="9"/>
  <c r="AR258" i="9"/>
  <c r="AR251" i="9"/>
  <c r="AR157" i="9"/>
  <c r="AR276" i="9"/>
  <c r="AR238" i="9"/>
  <c r="AR245" i="9"/>
  <c r="AR166" i="9"/>
  <c r="AR143" i="9"/>
  <c r="AR257" i="9"/>
  <c r="AR297" i="9"/>
  <c r="AR152" i="9"/>
  <c r="AR179" i="9"/>
  <c r="AR250" i="9"/>
  <c r="AR301" i="9"/>
  <c r="AR233" i="9"/>
  <c r="AR298" i="9"/>
  <c r="AR312" i="9"/>
  <c r="AR266" i="9"/>
  <c r="AR147" i="9"/>
  <c r="AR244" i="9"/>
  <c r="AR270" i="9"/>
  <c r="AR247" i="9"/>
  <c r="AR277" i="9"/>
  <c r="AR192" i="9"/>
  <c r="AR217" i="9"/>
  <c r="AR306" i="9"/>
  <c r="AR242" i="9"/>
  <c r="AR178" i="9"/>
  <c r="AR299" i="9"/>
  <c r="AR235" i="9"/>
  <c r="AR171" i="9"/>
  <c r="AR253" i="9"/>
  <c r="AR296" i="9"/>
  <c r="AR168" i="9"/>
  <c r="AR212" i="9"/>
  <c r="AR316" i="9"/>
  <c r="AR206" i="9"/>
  <c r="AR311" i="9"/>
  <c r="AR199" i="9"/>
  <c r="AR181" i="9"/>
  <c r="AR289" i="9"/>
  <c r="AR278" i="9"/>
  <c r="AR214" i="9"/>
  <c r="AR150" i="9"/>
  <c r="AR255" i="9"/>
  <c r="AR191" i="9"/>
  <c r="AR293" i="9"/>
  <c r="AR165" i="9"/>
  <c r="AR208" i="9"/>
  <c r="AR193" i="9"/>
  <c r="AR292" i="9"/>
  <c r="AR265" i="9"/>
  <c r="AR188" i="9"/>
  <c r="AR280" i="9"/>
  <c r="AR227" i="9"/>
  <c r="AR314" i="9"/>
  <c r="AR211" i="9"/>
  <c r="AR302" i="9"/>
  <c r="AR151" i="9"/>
  <c r="AR194" i="9"/>
  <c r="AR187" i="9"/>
  <c r="AR200" i="9"/>
  <c r="AR249" i="9"/>
  <c r="AQ142" i="9"/>
  <c r="AR160" i="9"/>
  <c r="AR294" i="9"/>
  <c r="AR271" i="9"/>
  <c r="AR197" i="9"/>
  <c r="AR201" i="9"/>
  <c r="D161" i="14"/>
  <c r="D159" i="14"/>
  <c r="W28" i="3"/>
  <c r="Y27" i="3"/>
  <c r="Y26" i="3"/>
  <c r="D63" i="14"/>
  <c r="D70" i="14" s="1"/>
  <c r="D65" i="14"/>
  <c r="D72" i="14" s="1"/>
  <c r="D66" i="14"/>
  <c r="D73" i="14" s="1"/>
  <c r="D62" i="14"/>
  <c r="D64" i="14"/>
  <c r="D71" i="14" s="1"/>
  <c r="Z209" i="13"/>
  <c r="Z259" i="13"/>
  <c r="Z304" i="13"/>
  <c r="Z245" i="13"/>
  <c r="Z216" i="13"/>
  <c r="Z218" i="13"/>
  <c r="Z244" i="13"/>
  <c r="Z283" i="13"/>
  <c r="Z169" i="13"/>
  <c r="Z274" i="13"/>
  <c r="Z257" i="13"/>
  <c r="X210" i="13"/>
  <c r="X247" i="13"/>
  <c r="Z262" i="13"/>
  <c r="Z176" i="13"/>
  <c r="Z204" i="13"/>
  <c r="Z184" i="13"/>
  <c r="Z172" i="13"/>
  <c r="Z163" i="13"/>
  <c r="Z298" i="13"/>
  <c r="Z158" i="13"/>
  <c r="Z222" i="13"/>
  <c r="Z147" i="13"/>
  <c r="Z288" i="13"/>
  <c r="X293" i="13"/>
  <c r="X211" i="13"/>
  <c r="F315" i="3"/>
  <c r="H315" i="3"/>
  <c r="X272" i="13"/>
  <c r="X251" i="13"/>
  <c r="X152" i="13"/>
  <c r="X309" i="13"/>
  <c r="X191" i="13"/>
  <c r="X182" i="13"/>
  <c r="X231" i="13"/>
  <c r="Z318" i="13"/>
  <c r="Z221" i="13"/>
  <c r="Z278" i="13"/>
  <c r="Z301" i="13"/>
  <c r="AA316" i="13"/>
  <c r="Z289" i="13"/>
  <c r="Z266" i="13"/>
  <c r="Z168" i="13"/>
  <c r="Z296" i="13"/>
  <c r="Z210" i="13"/>
  <c r="Z280" i="13"/>
  <c r="Z241" i="13"/>
  <c r="Z251" i="13"/>
  <c r="Z146" i="13"/>
  <c r="Z286" i="13"/>
  <c r="Z224" i="13"/>
  <c r="Z149" i="13"/>
  <c r="Z214" i="13"/>
  <c r="Z217" i="13"/>
  <c r="Z161" i="13"/>
  <c r="Z190" i="13"/>
  <c r="Z261" i="13"/>
  <c r="Z311" i="13"/>
  <c r="Z294" i="13"/>
  <c r="Z153" i="13"/>
  <c r="Z279" i="13"/>
  <c r="Z284" i="13"/>
  <c r="Z159" i="13"/>
  <c r="Z189" i="13"/>
  <c r="Z225" i="13"/>
  <c r="Z234" i="13"/>
  <c r="Z256" i="13"/>
  <c r="Z308" i="13"/>
  <c r="Z154" i="13"/>
  <c r="Z287" i="13"/>
  <c r="Z269" i="13"/>
  <c r="Z160" i="13"/>
  <c r="Z195" i="13"/>
  <c r="Z196" i="13"/>
  <c r="Z315" i="13"/>
  <c r="Z273" i="13"/>
  <c r="Z164" i="13"/>
  <c r="Z240" i="13"/>
  <c r="Z235" i="13"/>
  <c r="Z178" i="13"/>
  <c r="Z199" i="13"/>
  <c r="Z254" i="13"/>
  <c r="Z208" i="13"/>
  <c r="Z253" i="13"/>
  <c r="Z198" i="13"/>
  <c r="Z312" i="13"/>
  <c r="Z152" i="13"/>
  <c r="Z182" i="13"/>
  <c r="Z227" i="13"/>
  <c r="Z285" i="13"/>
  <c r="Z299" i="13"/>
  <c r="Z145" i="13"/>
  <c r="Z263" i="13"/>
  <c r="Z268" i="13"/>
  <c r="Z187" i="13"/>
  <c r="Z173" i="13"/>
  <c r="Z203" i="13"/>
  <c r="Z226" i="13"/>
  <c r="Z248" i="13"/>
  <c r="Z300" i="13"/>
  <c r="X252" i="13"/>
  <c r="X180" i="13"/>
  <c r="X281" i="13"/>
  <c r="X260" i="13"/>
  <c r="X183" i="13"/>
  <c r="X197" i="13"/>
  <c r="X208" i="13"/>
  <c r="X246" i="13"/>
  <c r="X166" i="13"/>
  <c r="X151" i="13"/>
  <c r="X271" i="13"/>
  <c r="X205" i="13"/>
  <c r="X316" i="13"/>
  <c r="X230" i="13"/>
  <c r="X145" i="13"/>
  <c r="X164" i="13"/>
  <c r="X278" i="13"/>
  <c r="X171" i="13"/>
  <c r="X287" i="13"/>
  <c r="X204" i="13"/>
  <c r="X207" i="13"/>
  <c r="X240" i="13"/>
  <c r="X174" i="13"/>
  <c r="X263" i="13"/>
  <c r="X242" i="13"/>
  <c r="X157" i="13"/>
  <c r="X305" i="13"/>
  <c r="X222" i="13"/>
  <c r="X212" i="13"/>
  <c r="X235" i="13"/>
  <c r="X310" i="13"/>
  <c r="X169" i="13"/>
  <c r="X274" i="13"/>
  <c r="X315" i="13"/>
  <c r="X31" i="3"/>
  <c r="Z160" i="12"/>
  <c r="Z151" i="12"/>
  <c r="Z317" i="12"/>
  <c r="X199" i="13"/>
  <c r="X291" i="13"/>
  <c r="X214" i="13"/>
  <c r="X154" i="13"/>
  <c r="X286" i="13"/>
  <c r="X233" i="13"/>
  <c r="X239" i="13"/>
  <c r="X307" i="13"/>
  <c r="X167" i="13"/>
  <c r="X273" i="13"/>
  <c r="X317" i="13"/>
  <c r="X188" i="13"/>
  <c r="X195" i="13"/>
  <c r="X266" i="13"/>
  <c r="X234" i="13"/>
  <c r="X289" i="13"/>
  <c r="X268" i="13"/>
  <c r="X161" i="13"/>
  <c r="X147" i="13"/>
  <c r="X253" i="13"/>
  <c r="X282" i="13"/>
  <c r="X160" i="13"/>
  <c r="X181" i="13"/>
  <c r="X209" i="13"/>
  <c r="X236" i="13"/>
  <c r="X290" i="13"/>
  <c r="X203" i="13"/>
  <c r="X159" i="13"/>
  <c r="X146" i="13"/>
  <c r="X245" i="13"/>
  <c r="X248" i="13"/>
  <c r="X306" i="13"/>
  <c r="X176" i="13"/>
  <c r="X189" i="13"/>
  <c r="X241" i="13"/>
  <c r="X228" i="13"/>
  <c r="X318" i="13"/>
  <c r="X186" i="13"/>
  <c r="X206" i="13"/>
  <c r="X280" i="13"/>
  <c r="X297" i="13"/>
  <c r="X298" i="13"/>
  <c r="X304" i="13"/>
  <c r="X225" i="13"/>
  <c r="X172" i="13"/>
  <c r="X155" i="13"/>
  <c r="X187" i="13"/>
  <c r="X144" i="13"/>
  <c r="X219" i="13"/>
  <c r="X259" i="13"/>
  <c r="X226" i="13"/>
  <c r="X302" i="13"/>
  <c r="X284" i="13"/>
  <c r="X312" i="13"/>
  <c r="X198" i="13"/>
  <c r="X168" i="13"/>
  <c r="W309" i="13"/>
  <c r="X185" i="13"/>
  <c r="X218" i="13"/>
  <c r="X217" i="13"/>
  <c r="X224" i="13"/>
  <c r="X301" i="13"/>
  <c r="X283" i="13"/>
  <c r="X311" i="13"/>
  <c r="Z197" i="13"/>
  <c r="Z200" i="13"/>
  <c r="Z270" i="13"/>
  <c r="Z237" i="13"/>
  <c r="Z255" i="13"/>
  <c r="Z314" i="13"/>
  <c r="Z170" i="13"/>
  <c r="Z249" i="13"/>
  <c r="Z155" i="13"/>
  <c r="Z194" i="13"/>
  <c r="Z246" i="13"/>
  <c r="Z191" i="13"/>
  <c r="Z207" i="13"/>
  <c r="Z243" i="13"/>
  <c r="Z230" i="13"/>
  <c r="Z276" i="13"/>
  <c r="Z175" i="13"/>
  <c r="Z148" i="13"/>
  <c r="Z193" i="13"/>
  <c r="Z174" i="13"/>
  <c r="Z233" i="13"/>
  <c r="Z219" i="13"/>
  <c r="Z236" i="13"/>
  <c r="Z265" i="13"/>
  <c r="Z258" i="13"/>
  <c r="Z290" i="13"/>
  <c r="Z310" i="13"/>
  <c r="Z215" i="13"/>
  <c r="Z201" i="13"/>
  <c r="Z206" i="13"/>
  <c r="Z277" i="13"/>
  <c r="Z260" i="13"/>
  <c r="Z307" i="13"/>
  <c r="Z171" i="13"/>
  <c r="Z213" i="13"/>
  <c r="Z157" i="13"/>
  <c r="Z156" i="13"/>
  <c r="Z188" i="13"/>
  <c r="Z202" i="13"/>
  <c r="Z239" i="13"/>
  <c r="Z247" i="13"/>
  <c r="Z293" i="13"/>
  <c r="Z272" i="13"/>
  <c r="Z292" i="13"/>
  <c r="X192" i="13"/>
  <c r="X223" i="13"/>
  <c r="X303" i="13"/>
  <c r="X175" i="13"/>
  <c r="X294" i="13"/>
  <c r="X170" i="13"/>
  <c r="X215" i="13"/>
  <c r="X257" i="13"/>
  <c r="X194" i="13"/>
  <c r="X150" i="13"/>
  <c r="X264" i="13"/>
  <c r="X162" i="13"/>
  <c r="X163" i="13"/>
  <c r="X148" i="13"/>
  <c r="X254" i="13"/>
  <c r="X256" i="13"/>
  <c r="X314" i="13"/>
  <c r="X184" i="13"/>
  <c r="X193" i="13"/>
  <c r="X249" i="13"/>
  <c r="X232" i="13"/>
  <c r="X255" i="13"/>
  <c r="X313" i="13"/>
  <c r="X178" i="13"/>
  <c r="X165" i="13"/>
  <c r="X149" i="13"/>
  <c r="X265" i="13"/>
  <c r="X277" i="13"/>
  <c r="X190" i="13"/>
  <c r="X243" i="13"/>
  <c r="X216" i="13"/>
  <c r="X261" i="13"/>
  <c r="X258" i="13"/>
  <c r="X308" i="13"/>
  <c r="X213" i="13"/>
  <c r="X173" i="13"/>
  <c r="X153" i="13"/>
  <c r="X288" i="13"/>
  <c r="X285" i="13"/>
  <c r="X220" i="13"/>
  <c r="X196" i="13"/>
  <c r="X200" i="13"/>
  <c r="X227" i="13"/>
  <c r="X238" i="13"/>
  <c r="X292" i="13"/>
  <c r="X158" i="13"/>
  <c r="X156" i="13"/>
  <c r="X267" i="13"/>
  <c r="X179" i="13"/>
  <c r="X237" i="13"/>
  <c r="X202" i="13"/>
  <c r="X279" i="13"/>
  <c r="X300" i="13"/>
  <c r="X276" i="13"/>
  <c r="X270" i="13"/>
  <c r="X296" i="13"/>
  <c r="X221" i="13"/>
  <c r="X250" i="13"/>
  <c r="X244" i="13"/>
  <c r="X177" i="13"/>
  <c r="X229" i="13"/>
  <c r="X201" i="13"/>
  <c r="X262" i="13"/>
  <c r="X299" i="13"/>
  <c r="X275" i="13"/>
  <c r="X269" i="13"/>
  <c r="Z167" i="13"/>
  <c r="Z186" i="13"/>
  <c r="Z291" i="13"/>
  <c r="Z150" i="13"/>
  <c r="Z281" i="13"/>
  <c r="Z305" i="13"/>
  <c r="Z185" i="13"/>
  <c r="Z232" i="13"/>
  <c r="Z306" i="13"/>
  <c r="Z162" i="13"/>
  <c r="Z303" i="13"/>
  <c r="Z229" i="13"/>
  <c r="Z165" i="13"/>
  <c r="Z192" i="13"/>
  <c r="Z231" i="13"/>
  <c r="Z309" i="13"/>
  <c r="Z205" i="13"/>
  <c r="Z144" i="13"/>
  <c r="Z177" i="13"/>
  <c r="Z166" i="13"/>
  <c r="Z211" i="13"/>
  <c r="Z212" i="13"/>
  <c r="Z228" i="13"/>
  <c r="Z242" i="13"/>
  <c r="Z250" i="13"/>
  <c r="Z282" i="13"/>
  <c r="Z302" i="13"/>
  <c r="Z183" i="13"/>
  <c r="Z181" i="13"/>
  <c r="Z220" i="13"/>
  <c r="Z238" i="13"/>
  <c r="Z252" i="13"/>
  <c r="Z297" i="13"/>
  <c r="Z317" i="13"/>
  <c r="Z179" i="13"/>
  <c r="Z151" i="13"/>
  <c r="Z295" i="13"/>
  <c r="Z180" i="13"/>
  <c r="Z267" i="13"/>
  <c r="Z223" i="13"/>
  <c r="Z275" i="13"/>
  <c r="Z271" i="13"/>
  <c r="Z264" i="13"/>
  <c r="Z313" i="13"/>
  <c r="Z258" i="12"/>
  <c r="Z260" i="12"/>
  <c r="Z251" i="12"/>
  <c r="X223" i="12"/>
  <c r="Z221" i="12"/>
  <c r="Z193" i="12"/>
  <c r="Z182" i="12"/>
  <c r="Z196" i="12"/>
  <c r="Z187" i="12"/>
  <c r="Z194" i="12"/>
  <c r="Z312" i="12"/>
  <c r="Z174" i="12"/>
  <c r="Z146" i="12"/>
  <c r="Z144" i="12"/>
  <c r="Z274" i="12"/>
  <c r="Z235" i="12"/>
  <c r="Z307" i="12"/>
  <c r="Z234" i="12"/>
  <c r="Z158" i="12"/>
  <c r="Z303" i="12"/>
  <c r="Z172" i="12"/>
  <c r="Z280" i="12"/>
  <c r="Z228" i="12"/>
  <c r="Z161" i="12"/>
  <c r="Z265" i="12"/>
  <c r="Z295" i="12"/>
  <c r="Z219" i="12"/>
  <c r="X187" i="12"/>
  <c r="X213" i="12"/>
  <c r="Z222" i="12"/>
  <c r="Z189" i="12"/>
  <c r="Z244" i="12"/>
  <c r="Z294" i="12"/>
  <c r="X173" i="12"/>
  <c r="Z292" i="12"/>
  <c r="Z246" i="12"/>
  <c r="Z149" i="12"/>
  <c r="Z249" i="12"/>
  <c r="Z181" i="12"/>
  <c r="Z212" i="12"/>
  <c r="Z318" i="12"/>
  <c r="Z225" i="12"/>
  <c r="Z167" i="12"/>
  <c r="Z203" i="12"/>
  <c r="Z267" i="12"/>
  <c r="X249" i="12"/>
  <c r="Z170" i="12"/>
  <c r="Z270" i="12"/>
  <c r="Z218" i="12"/>
  <c r="Z284" i="12"/>
  <c r="Z305" i="12"/>
  <c r="Z242" i="12"/>
  <c r="Z315" i="12"/>
  <c r="Z241" i="12"/>
  <c r="Z289" i="12"/>
  <c r="Z173" i="12"/>
  <c r="Z304" i="12"/>
  <c r="Z208" i="12"/>
  <c r="Z240" i="12"/>
  <c r="Z272" i="12"/>
  <c r="Z287" i="12"/>
  <c r="Z217" i="12"/>
  <c r="Z147" i="12"/>
  <c r="Z279" i="12"/>
  <c r="Z183" i="12"/>
  <c r="Z215" i="12"/>
  <c r="Z247" i="12"/>
  <c r="X259" i="12"/>
  <c r="X218" i="12"/>
  <c r="X198" i="12"/>
  <c r="Z154" i="12"/>
  <c r="Z190" i="12"/>
  <c r="Z254" i="12"/>
  <c r="Z166" i="12"/>
  <c r="Z202" i="12"/>
  <c r="Z266" i="12"/>
  <c r="Z275" i="12"/>
  <c r="Z214" i="12"/>
  <c r="Z301" i="12"/>
  <c r="Z276" i="12"/>
  <c r="Z226" i="12"/>
  <c r="Z309" i="12"/>
  <c r="Z165" i="12"/>
  <c r="Z298" i="12"/>
  <c r="Z205" i="12"/>
  <c r="Z237" i="12"/>
  <c r="Z261" i="12"/>
  <c r="Z178" i="12"/>
  <c r="Z152" i="12"/>
  <c r="Z168" i="12"/>
  <c r="Z299" i="12"/>
  <c r="Z296" i="12"/>
  <c r="Z188" i="12"/>
  <c r="Z204" i="12"/>
  <c r="Z220" i="12"/>
  <c r="Z236" i="12"/>
  <c r="Z252" i="12"/>
  <c r="Z268" i="12"/>
  <c r="Z145" i="12"/>
  <c r="Z175" i="12"/>
  <c r="Z306" i="12"/>
  <c r="Z209" i="12"/>
  <c r="Z245" i="12"/>
  <c r="Z285" i="12"/>
  <c r="Z159" i="12"/>
  <c r="Z179" i="12"/>
  <c r="Z278" i="12"/>
  <c r="Z310" i="12"/>
  <c r="Z195" i="12"/>
  <c r="Z211" i="12"/>
  <c r="Z227" i="12"/>
  <c r="Z243" i="12"/>
  <c r="Z259" i="12"/>
  <c r="X145" i="12"/>
  <c r="X293" i="12"/>
  <c r="X268" i="12"/>
  <c r="X305" i="12"/>
  <c r="X228" i="12"/>
  <c r="X295" i="12"/>
  <c r="Z206" i="12"/>
  <c r="Z291" i="12"/>
  <c r="Z176" i="12"/>
  <c r="Z230" i="12"/>
  <c r="Z308" i="12"/>
  <c r="Z297" i="12"/>
  <c r="Z314" i="12"/>
  <c r="Z213" i="12"/>
  <c r="Z269" i="12"/>
  <c r="Z156" i="12"/>
  <c r="Z313" i="12"/>
  <c r="Z192" i="12"/>
  <c r="Z224" i="12"/>
  <c r="Z256" i="12"/>
  <c r="Z153" i="12"/>
  <c r="Z185" i="12"/>
  <c r="Z257" i="12"/>
  <c r="Z277" i="12"/>
  <c r="Z163" i="12"/>
  <c r="Z286" i="12"/>
  <c r="Z199" i="12"/>
  <c r="Z231" i="12"/>
  <c r="Z263" i="12"/>
  <c r="X168" i="12"/>
  <c r="X144" i="12"/>
  <c r="Z273" i="12"/>
  <c r="Z300" i="12"/>
  <c r="Z238" i="12"/>
  <c r="Z150" i="12"/>
  <c r="Z186" i="12"/>
  <c r="Z250" i="12"/>
  <c r="Z162" i="12"/>
  <c r="Z198" i="12"/>
  <c r="Z262" i="12"/>
  <c r="Z177" i="12"/>
  <c r="Z210" i="12"/>
  <c r="Z180" i="12"/>
  <c r="Z157" i="12"/>
  <c r="Z282" i="12"/>
  <c r="Z197" i="12"/>
  <c r="Z229" i="12"/>
  <c r="Z253" i="12"/>
  <c r="Z293" i="12"/>
  <c r="Z148" i="12"/>
  <c r="Z164" i="12"/>
  <c r="Z283" i="12"/>
  <c r="Z288" i="12"/>
  <c r="Z184" i="12"/>
  <c r="Z200" i="12"/>
  <c r="Z216" i="12"/>
  <c r="Z232" i="12"/>
  <c r="Z248" i="12"/>
  <c r="Z264" i="12"/>
  <c r="AA305" i="12"/>
  <c r="Z169" i="12"/>
  <c r="Z290" i="12"/>
  <c r="Z201" i="12"/>
  <c r="Z233" i="12"/>
  <c r="Z316" i="12"/>
  <c r="Z281" i="12"/>
  <c r="Z155" i="12"/>
  <c r="Z171" i="12"/>
  <c r="Z311" i="12"/>
  <c r="Z302" i="12"/>
  <c r="Z191" i="12"/>
  <c r="Z207" i="12"/>
  <c r="Z223" i="12"/>
  <c r="Z239" i="12"/>
  <c r="Z255" i="12"/>
  <c r="X194" i="12"/>
  <c r="X248" i="12"/>
  <c r="X192" i="12"/>
  <c r="X278" i="12"/>
  <c r="X314" i="12"/>
  <c r="X269" i="12"/>
  <c r="X258" i="12"/>
  <c r="X174" i="12"/>
  <c r="X220" i="12"/>
  <c r="X206" i="12"/>
  <c r="X256" i="12"/>
  <c r="X234" i="12"/>
  <c r="X310" i="12"/>
  <c r="X160" i="12"/>
  <c r="X165" i="12"/>
  <c r="X214" i="12"/>
  <c r="X181" i="12"/>
  <c r="X149" i="12"/>
  <c r="X226" i="12"/>
  <c r="X292" i="12"/>
  <c r="X257" i="12"/>
  <c r="X236" i="12"/>
  <c r="X215" i="12"/>
  <c r="X297" i="12"/>
  <c r="X233" i="12"/>
  <c r="X196" i="12"/>
  <c r="X205" i="12"/>
  <c r="X287" i="12"/>
  <c r="H31" i="3"/>
  <c r="F31" i="3"/>
  <c r="G31" i="3" s="1"/>
  <c r="C31" i="3"/>
  <c r="D31" i="3" s="1"/>
  <c r="A32" i="3"/>
  <c r="X184" i="12"/>
  <c r="X276" i="12"/>
  <c r="X242" i="12"/>
  <c r="X147" i="12"/>
  <c r="X308" i="12"/>
  <c r="X211" i="12"/>
  <c r="X212" i="12"/>
  <c r="X209" i="12"/>
  <c r="X291" i="12"/>
  <c r="X155" i="12"/>
  <c r="X166" i="12"/>
  <c r="X191" i="12"/>
  <c r="X255" i="12"/>
  <c r="X273" i="12"/>
  <c r="X232" i="12"/>
  <c r="X185" i="12"/>
  <c r="X304" i="12"/>
  <c r="X264" i="12"/>
  <c r="X156" i="12"/>
  <c r="X298" i="12"/>
  <c r="X245" i="12"/>
  <c r="X296" i="12"/>
  <c r="X157" i="12"/>
  <c r="X267" i="12"/>
  <c r="X170" i="12"/>
  <c r="X224" i="12"/>
  <c r="X294" i="12"/>
  <c r="X282" i="12"/>
  <c r="X159" i="12"/>
  <c r="X193" i="12"/>
  <c r="X275" i="12"/>
  <c r="X274" i="12"/>
  <c r="X158" i="12"/>
  <c r="X183" i="12"/>
  <c r="X247" i="12"/>
  <c r="X300" i="12"/>
  <c r="X272" i="12"/>
  <c r="X254" i="12"/>
  <c r="X180" i="12"/>
  <c r="X200" i="12"/>
  <c r="X148" i="12"/>
  <c r="X262" i="12"/>
  <c r="X237" i="12"/>
  <c r="X280" i="12"/>
  <c r="X316" i="12"/>
  <c r="X146" i="12"/>
  <c r="X235" i="12"/>
  <c r="X315" i="12"/>
  <c r="X290" i="12"/>
  <c r="X227" i="12"/>
  <c r="X309" i="12"/>
  <c r="X162" i="12"/>
  <c r="X251" i="12"/>
  <c r="X208" i="12"/>
  <c r="X210" i="12"/>
  <c r="X177" i="12"/>
  <c r="X152" i="12"/>
  <c r="X270" i="12"/>
  <c r="X241" i="12"/>
  <c r="X288" i="12"/>
  <c r="X318" i="12"/>
  <c r="X216" i="12"/>
  <c r="X204" i="12"/>
  <c r="X150" i="12"/>
  <c r="X202" i="12"/>
  <c r="X266" i="12"/>
  <c r="X207" i="12"/>
  <c r="X239" i="12"/>
  <c r="X271" i="12"/>
  <c r="X284" i="12"/>
  <c r="X289" i="12"/>
  <c r="X317" i="12"/>
  <c r="X244" i="12"/>
  <c r="X222" i="12"/>
  <c r="X217" i="12"/>
  <c r="X286" i="12"/>
  <c r="X299" i="12"/>
  <c r="X153" i="12"/>
  <c r="X167" i="12"/>
  <c r="W306" i="12"/>
  <c r="X182" i="12"/>
  <c r="X246" i="12"/>
  <c r="X197" i="12"/>
  <c r="X229" i="12"/>
  <c r="X261" i="12"/>
  <c r="X176" i="12"/>
  <c r="X279" i="12"/>
  <c r="X311" i="12"/>
  <c r="X188" i="12"/>
  <c r="X203" i="12"/>
  <c r="X285" i="12"/>
  <c r="X163" i="12"/>
  <c r="X195" i="12"/>
  <c r="X277" i="12"/>
  <c r="X252" i="12"/>
  <c r="X219" i="12"/>
  <c r="X301" i="12"/>
  <c r="X154" i="12"/>
  <c r="X243" i="12"/>
  <c r="X169" i="12"/>
  <c r="X306" i="12"/>
  <c r="X238" i="12"/>
  <c r="X225" i="12"/>
  <c r="X172" i="12"/>
  <c r="X307" i="12"/>
  <c r="X161" i="12"/>
  <c r="X171" i="12"/>
  <c r="X179" i="12"/>
  <c r="X186" i="12"/>
  <c r="X250" i="12"/>
  <c r="X199" i="12"/>
  <c r="X231" i="12"/>
  <c r="X263" i="12"/>
  <c r="X178" i="12"/>
  <c r="X281" i="12"/>
  <c r="X313" i="12"/>
  <c r="X175" i="12"/>
  <c r="X190" i="12"/>
  <c r="X201" i="12"/>
  <c r="X265" i="12"/>
  <c r="X283" i="12"/>
  <c r="X240" i="12"/>
  <c r="X151" i="12"/>
  <c r="X260" i="12"/>
  <c r="X164" i="12"/>
  <c r="X230" i="12"/>
  <c r="X189" i="12"/>
  <c r="X221" i="12"/>
  <c r="X253" i="12"/>
  <c r="X302" i="12"/>
  <c r="X312" i="12"/>
  <c r="G45" i="14"/>
  <c r="H45" i="14" s="1"/>
  <c r="G138" i="14"/>
  <c r="H138" i="14" s="1"/>
  <c r="Q147" i="13"/>
  <c r="M300" i="9"/>
  <c r="G37" i="1"/>
  <c r="Q190" i="9"/>
  <c r="M266" i="9"/>
  <c r="Q222" i="9"/>
  <c r="M287" i="9"/>
  <c r="Q158" i="9"/>
  <c r="Q287" i="9"/>
  <c r="M199" i="9"/>
  <c r="Q255" i="9"/>
  <c r="M294" i="9"/>
  <c r="Q145" i="9"/>
  <c r="Q209" i="9"/>
  <c r="Q274" i="9"/>
  <c r="M206" i="9"/>
  <c r="M173" i="9"/>
  <c r="M261" i="9"/>
  <c r="Q161" i="9"/>
  <c r="Q193" i="9"/>
  <c r="Q225" i="9"/>
  <c r="Q258" i="9"/>
  <c r="Q290" i="9"/>
  <c r="M146" i="9"/>
  <c r="M144" i="9"/>
  <c r="M318" i="9"/>
  <c r="M205" i="9"/>
  <c r="M290" i="9"/>
  <c r="M293" i="9"/>
  <c r="M317" i="13"/>
  <c r="Q177" i="9"/>
  <c r="Q242" i="9"/>
  <c r="Q306" i="9"/>
  <c r="M212" i="9"/>
  <c r="M240" i="9"/>
  <c r="Q236" i="9"/>
  <c r="Q174" i="9"/>
  <c r="Q206" i="9"/>
  <c r="Q239" i="9"/>
  <c r="Q271" i="9"/>
  <c r="Q303" i="9"/>
  <c r="M198" i="9"/>
  <c r="M194" i="9"/>
  <c r="M167" i="9"/>
  <c r="M231" i="9"/>
  <c r="M255" i="9"/>
  <c r="M235" i="9"/>
  <c r="Q153" i="9"/>
  <c r="Q169" i="9"/>
  <c r="Q185" i="9"/>
  <c r="Q201" i="9"/>
  <c r="Q217" i="9"/>
  <c r="Q233" i="9"/>
  <c r="Q250" i="9"/>
  <c r="Q266" i="9"/>
  <c r="Q282" i="9"/>
  <c r="Q298" i="9"/>
  <c r="Q314" i="9"/>
  <c r="M180" i="9"/>
  <c r="M260" i="9"/>
  <c r="M176" i="9"/>
  <c r="M254" i="9"/>
  <c r="M157" i="9"/>
  <c r="M189" i="9"/>
  <c r="M221" i="9"/>
  <c r="M304" i="9"/>
  <c r="M245" i="9"/>
  <c r="M277" i="9"/>
  <c r="M309" i="9"/>
  <c r="Q150" i="9"/>
  <c r="Q166" i="9"/>
  <c r="Q182" i="9"/>
  <c r="Q198" i="9"/>
  <c r="Q214" i="9"/>
  <c r="Q230" i="9"/>
  <c r="Q247" i="9"/>
  <c r="Q263" i="9"/>
  <c r="Q279" i="9"/>
  <c r="Q295" i="9"/>
  <c r="Q311" i="9"/>
  <c r="M164" i="9"/>
  <c r="M230" i="9"/>
  <c r="M166" i="9"/>
  <c r="M228" i="9"/>
  <c r="M151" i="9"/>
  <c r="M183" i="9"/>
  <c r="M215" i="9"/>
  <c r="M280" i="9"/>
  <c r="M239" i="9"/>
  <c r="M271" i="9"/>
  <c r="M303" i="9"/>
  <c r="Q149" i="9"/>
  <c r="Q157" i="9"/>
  <c r="Q165" i="9"/>
  <c r="Q173" i="9"/>
  <c r="Q181" i="9"/>
  <c r="Q189" i="9"/>
  <c r="Q197" i="9"/>
  <c r="Q205" i="9"/>
  <c r="Q213" i="9"/>
  <c r="Q221" i="9"/>
  <c r="Q229" i="9"/>
  <c r="Q237" i="9"/>
  <c r="Q246" i="9"/>
  <c r="Q254" i="9"/>
  <c r="Q262" i="9"/>
  <c r="Q270" i="9"/>
  <c r="Q278" i="9"/>
  <c r="Q286" i="9"/>
  <c r="Q294" i="9"/>
  <c r="Q302" i="9"/>
  <c r="Q310" i="9"/>
  <c r="Q318" i="9"/>
  <c r="M160" i="9"/>
  <c r="M196" i="9"/>
  <c r="M224" i="9"/>
  <c r="M292" i="9"/>
  <c r="M162" i="9"/>
  <c r="M192" i="9"/>
  <c r="M226" i="9"/>
  <c r="M286" i="9"/>
  <c r="M149" i="9"/>
  <c r="M165" i="9"/>
  <c r="M181" i="9"/>
  <c r="M197" i="9"/>
  <c r="M213" i="9"/>
  <c r="M229" i="9"/>
  <c r="M272" i="9"/>
  <c r="M258" i="9"/>
  <c r="M237" i="9"/>
  <c r="M253" i="9"/>
  <c r="M269" i="9"/>
  <c r="M285" i="9"/>
  <c r="M301" i="9"/>
  <c r="M317" i="9"/>
  <c r="Q146" i="9"/>
  <c r="Q154" i="9"/>
  <c r="Q162" i="9"/>
  <c r="Q170" i="9"/>
  <c r="Q178" i="9"/>
  <c r="Q186" i="9"/>
  <c r="Q194" i="9"/>
  <c r="Q202" i="9"/>
  <c r="Q210" i="9"/>
  <c r="Q218" i="9"/>
  <c r="Q226" i="9"/>
  <c r="Q234" i="9"/>
  <c r="Q243" i="9"/>
  <c r="Q251" i="9"/>
  <c r="Q259" i="9"/>
  <c r="Q267" i="9"/>
  <c r="Q275" i="9"/>
  <c r="Q283" i="9"/>
  <c r="Q291" i="9"/>
  <c r="Q299" i="9"/>
  <c r="Q307" i="9"/>
  <c r="Q315" i="9"/>
  <c r="M150" i="9"/>
  <c r="M182" i="9"/>
  <c r="M208" i="9"/>
  <c r="M268" i="9"/>
  <c r="M148" i="9"/>
  <c r="M178" i="9"/>
  <c r="M216" i="9"/>
  <c r="M262" i="9"/>
  <c r="M143" i="9"/>
  <c r="M159" i="9"/>
  <c r="M175" i="9"/>
  <c r="M191" i="9"/>
  <c r="M207" i="9"/>
  <c r="M223" i="9"/>
  <c r="M248" i="9"/>
  <c r="M312" i="9"/>
  <c r="M298" i="9"/>
  <c r="M247" i="9"/>
  <c r="M263" i="9"/>
  <c r="M279" i="9"/>
  <c r="M295" i="9"/>
  <c r="M311" i="9"/>
  <c r="M156" i="13"/>
  <c r="Q144" i="9"/>
  <c r="Q148" i="9"/>
  <c r="Q152" i="9"/>
  <c r="Q156" i="9"/>
  <c r="Q160" i="9"/>
  <c r="Q164" i="9"/>
  <c r="Q168" i="9"/>
  <c r="Q172" i="9"/>
  <c r="Q176" i="9"/>
  <c r="Q180" i="9"/>
  <c r="Q184" i="9"/>
  <c r="Q188" i="9"/>
  <c r="Q192" i="9"/>
  <c r="Q196" i="9"/>
  <c r="Q200" i="9"/>
  <c r="Q204" i="9"/>
  <c r="Q208" i="9"/>
  <c r="Q212" i="9"/>
  <c r="Q216" i="9"/>
  <c r="Q220" i="9"/>
  <c r="Q224" i="9"/>
  <c r="Q228" i="9"/>
  <c r="Q232" i="9"/>
  <c r="Q235" i="9"/>
  <c r="Q241" i="9"/>
  <c r="Q245" i="9"/>
  <c r="Q249" i="9"/>
  <c r="Q253" i="9"/>
  <c r="Q257" i="9"/>
  <c r="Q261" i="9"/>
  <c r="Q265" i="9"/>
  <c r="Q269" i="9"/>
  <c r="Q273" i="9"/>
  <c r="Q277" i="9"/>
  <c r="Q281" i="9"/>
  <c r="Q285" i="9"/>
  <c r="Q289" i="9"/>
  <c r="Q293" i="9"/>
  <c r="Q297" i="9"/>
  <c r="Q301" i="9"/>
  <c r="Q305" i="9"/>
  <c r="Q309" i="9"/>
  <c r="Q313" i="9"/>
  <c r="Q317" i="9"/>
  <c r="Q249" i="13"/>
  <c r="M158" i="9"/>
  <c r="M174" i="9"/>
  <c r="M190" i="9"/>
  <c r="M204" i="9"/>
  <c r="M220" i="9"/>
  <c r="M252" i="9"/>
  <c r="M284" i="9"/>
  <c r="M316" i="9"/>
  <c r="M156" i="9"/>
  <c r="M172" i="9"/>
  <c r="M188" i="9"/>
  <c r="M210" i="9"/>
  <c r="M222" i="9"/>
  <c r="M246" i="9"/>
  <c r="M278" i="9"/>
  <c r="M310" i="9"/>
  <c r="M147" i="9"/>
  <c r="M155" i="9"/>
  <c r="M163" i="9"/>
  <c r="M171" i="9"/>
  <c r="M179" i="9"/>
  <c r="M187" i="9"/>
  <c r="M195" i="9"/>
  <c r="M203" i="9"/>
  <c r="M211" i="9"/>
  <c r="M219" i="9"/>
  <c r="M227" i="9"/>
  <c r="M234" i="9"/>
  <c r="M264" i="9"/>
  <c r="M296" i="9"/>
  <c r="M250" i="9"/>
  <c r="M282" i="9"/>
  <c r="M314" i="9"/>
  <c r="M243" i="9"/>
  <c r="M251" i="9"/>
  <c r="M259" i="9"/>
  <c r="M267" i="9"/>
  <c r="M275" i="9"/>
  <c r="M283" i="9"/>
  <c r="M291" i="9"/>
  <c r="M299" i="9"/>
  <c r="M307" i="9"/>
  <c r="M315" i="9"/>
  <c r="M238" i="9"/>
  <c r="Q143" i="9"/>
  <c r="Q147" i="9"/>
  <c r="Q151" i="9"/>
  <c r="Q155" i="9"/>
  <c r="Q159" i="9"/>
  <c r="Q163" i="9"/>
  <c r="Q167" i="9"/>
  <c r="Q171" i="9"/>
  <c r="Q175" i="9"/>
  <c r="Q179" i="9"/>
  <c r="Q183" i="9"/>
  <c r="Q187" i="9"/>
  <c r="Q191" i="9"/>
  <c r="Q195" i="9"/>
  <c r="Q199" i="9"/>
  <c r="Q203" i="9"/>
  <c r="Q207" i="9"/>
  <c r="Q211" i="9"/>
  <c r="Q215" i="9"/>
  <c r="Q219" i="9"/>
  <c r="Q223" i="9"/>
  <c r="Q227" i="9"/>
  <c r="Q231" i="9"/>
  <c r="Q238" i="9"/>
  <c r="Q240" i="9"/>
  <c r="Q244" i="9"/>
  <c r="Q248" i="9"/>
  <c r="Q252" i="9"/>
  <c r="Q256" i="9"/>
  <c r="Q260" i="9"/>
  <c r="Q264" i="9"/>
  <c r="Q268" i="9"/>
  <c r="Q272" i="9"/>
  <c r="Q276" i="9"/>
  <c r="Q280" i="9"/>
  <c r="Q284" i="9"/>
  <c r="Q288" i="9"/>
  <c r="Q292" i="9"/>
  <c r="Q296" i="9"/>
  <c r="Q300" i="9"/>
  <c r="Q304" i="9"/>
  <c r="Q308" i="9"/>
  <c r="Q312" i="9"/>
  <c r="Q193" i="13"/>
  <c r="M154" i="9"/>
  <c r="M170" i="9"/>
  <c r="M186" i="9"/>
  <c r="M202" i="9"/>
  <c r="M214" i="9"/>
  <c r="M232" i="9"/>
  <c r="M276" i="9"/>
  <c r="M308" i="9"/>
  <c r="M152" i="9"/>
  <c r="M168" i="9"/>
  <c r="M184" i="9"/>
  <c r="M200" i="9"/>
  <c r="M218" i="9"/>
  <c r="M244" i="9"/>
  <c r="M270" i="9"/>
  <c r="M302" i="9"/>
  <c r="M145" i="9"/>
  <c r="M153" i="9"/>
  <c r="M161" i="9"/>
  <c r="M169" i="9"/>
  <c r="M177" i="9"/>
  <c r="M185" i="9"/>
  <c r="M193" i="9"/>
  <c r="M201" i="9"/>
  <c r="M209" i="9"/>
  <c r="M217" i="9"/>
  <c r="M225" i="9"/>
  <c r="M233" i="9"/>
  <c r="M256" i="9"/>
  <c r="M288" i="9"/>
  <c r="M242" i="9"/>
  <c r="M274" i="9"/>
  <c r="M306" i="9"/>
  <c r="M241" i="9"/>
  <c r="M249" i="9"/>
  <c r="M257" i="9"/>
  <c r="M265" i="9"/>
  <c r="M273" i="9"/>
  <c r="M281" i="9"/>
  <c r="M289" i="9"/>
  <c r="M297" i="9"/>
  <c r="M305" i="9"/>
  <c r="M313" i="9"/>
  <c r="M208" i="13"/>
  <c r="M144" i="13"/>
  <c r="M266" i="13"/>
  <c r="M257" i="13"/>
  <c r="M191" i="13"/>
  <c r="M190" i="13"/>
  <c r="M249" i="13"/>
  <c r="M311" i="13"/>
  <c r="M169" i="13"/>
  <c r="M188" i="13"/>
  <c r="M239" i="13"/>
  <c r="M305" i="13"/>
  <c r="M303" i="13"/>
  <c r="M173" i="13"/>
  <c r="M279" i="13"/>
  <c r="M145" i="13"/>
  <c r="M158" i="13"/>
  <c r="M210" i="13"/>
  <c r="M281" i="13"/>
  <c r="M268" i="13"/>
  <c r="Q161" i="13"/>
  <c r="Q182" i="13"/>
  <c r="Q275" i="13"/>
  <c r="Q298" i="13"/>
  <c r="M183" i="13"/>
  <c r="M153" i="13"/>
  <c r="M259" i="13"/>
  <c r="M174" i="13"/>
  <c r="M289" i="13"/>
  <c r="M273" i="13"/>
  <c r="M236" i="13"/>
  <c r="M285" i="13"/>
  <c r="M252" i="13"/>
  <c r="M284" i="13"/>
  <c r="M304" i="13"/>
  <c r="Q228" i="13"/>
  <c r="Q146" i="13"/>
  <c r="Q219" i="13"/>
  <c r="Q272" i="13"/>
  <c r="M167" i="13"/>
  <c r="M152" i="13"/>
  <c r="M225" i="13"/>
  <c r="M172" i="13"/>
  <c r="M237" i="13"/>
  <c r="M251" i="13"/>
  <c r="M234" i="13"/>
  <c r="M277" i="13"/>
  <c r="M250" i="13"/>
  <c r="M282" i="13"/>
  <c r="M302" i="13"/>
  <c r="Q145" i="13"/>
  <c r="Q166" i="13"/>
  <c r="Q185" i="13"/>
  <c r="Q243" i="13"/>
  <c r="Q269" i="13"/>
  <c r="Q294" i="13"/>
  <c r="Q235" i="13"/>
  <c r="Q207" i="13"/>
  <c r="Q200" i="13"/>
  <c r="Q177" i="13"/>
  <c r="Q239" i="13"/>
  <c r="Q277" i="13"/>
  <c r="Q268" i="13"/>
  <c r="Q251" i="13"/>
  <c r="Q279" i="13"/>
  <c r="Q295" i="13"/>
  <c r="Q307" i="13"/>
  <c r="M163" i="13"/>
  <c r="M187" i="13"/>
  <c r="M149" i="13"/>
  <c r="M157" i="13"/>
  <c r="M189" i="13"/>
  <c r="M219" i="13"/>
  <c r="M166" i="13"/>
  <c r="M182" i="13"/>
  <c r="M207" i="13"/>
  <c r="M202" i="13"/>
  <c r="M218" i="13"/>
  <c r="M227" i="13"/>
  <c r="M228" i="13"/>
  <c r="M265" i="13"/>
  <c r="M253" i="13"/>
  <c r="M275" i="13"/>
  <c r="M318" i="13"/>
  <c r="M260" i="13"/>
  <c r="M276" i="13"/>
  <c r="M293" i="13"/>
  <c r="M296" i="13"/>
  <c r="M312" i="13"/>
  <c r="Q184" i="13"/>
  <c r="Q263" i="13"/>
  <c r="Q204" i="13"/>
  <c r="Q220" i="13"/>
  <c r="Q293" i="13"/>
  <c r="Q151" i="13"/>
  <c r="Q154" i="13"/>
  <c r="Q205" i="13"/>
  <c r="Q169" i="13"/>
  <c r="Q209" i="13"/>
  <c r="Q237" i="13"/>
  <c r="Q248" i="13"/>
  <c r="Q236" i="13"/>
  <c r="Q265" i="13"/>
  <c r="Q310" i="13"/>
  <c r="Q314" i="13"/>
  <c r="M175" i="13"/>
  <c r="M171" i="13"/>
  <c r="M148" i="13"/>
  <c r="M217" i="13"/>
  <c r="M185" i="13"/>
  <c r="M213" i="13"/>
  <c r="M164" i="13"/>
  <c r="M180" i="13"/>
  <c r="M199" i="13"/>
  <c r="M200" i="13"/>
  <c r="M216" i="13"/>
  <c r="M223" i="13"/>
  <c r="M226" i="13"/>
  <c r="M255" i="13"/>
  <c r="M244" i="13"/>
  <c r="M267" i="13"/>
  <c r="M313" i="13"/>
  <c r="M258" i="13"/>
  <c r="M274" i="13"/>
  <c r="M290" i="13"/>
  <c r="M294" i="13"/>
  <c r="M310" i="13"/>
  <c r="BK311" i="12"/>
  <c r="BK302" i="12"/>
  <c r="BK202" i="12"/>
  <c r="BK294" i="12"/>
  <c r="BK258" i="12"/>
  <c r="BK250" i="12"/>
  <c r="BK176" i="12"/>
  <c r="BK214" i="12"/>
  <c r="BK274" i="12"/>
  <c r="BK147" i="12"/>
  <c r="BK222" i="12"/>
  <c r="BK282" i="12"/>
  <c r="BK146" i="12"/>
  <c r="BK193" i="12"/>
  <c r="BK229" i="12"/>
  <c r="BK261" i="12"/>
  <c r="BK297" i="12"/>
  <c r="BK180" i="12"/>
  <c r="BK157" i="12"/>
  <c r="BK184" i="12"/>
  <c r="BK200" i="12"/>
  <c r="BK216" i="12"/>
  <c r="BK232" i="12"/>
  <c r="BK248" i="12"/>
  <c r="BK264" i="12"/>
  <c r="BK276" i="12"/>
  <c r="BK292" i="12"/>
  <c r="BK308" i="12"/>
  <c r="BK150" i="12"/>
  <c r="BK189" i="12"/>
  <c r="BK217" i="12"/>
  <c r="BK249" i="12"/>
  <c r="BK273" i="12"/>
  <c r="BK301" i="12"/>
  <c r="BK144" i="12"/>
  <c r="BK160" i="12"/>
  <c r="BK187" i="12"/>
  <c r="BK203" i="12"/>
  <c r="BK219" i="12"/>
  <c r="BK235" i="12"/>
  <c r="BK251" i="12"/>
  <c r="BK267" i="12"/>
  <c r="BK279" i="12"/>
  <c r="BK295" i="12"/>
  <c r="BK167" i="12"/>
  <c r="BK159" i="12"/>
  <c r="BK310" i="12"/>
  <c r="BK246" i="12"/>
  <c r="BK190" i="12"/>
  <c r="BK177" i="12"/>
  <c r="BK213" i="12"/>
  <c r="BK277" i="12"/>
  <c r="BK318" i="12"/>
  <c r="BK165" i="12"/>
  <c r="BK208" i="12"/>
  <c r="BK240" i="12"/>
  <c r="BK314" i="12"/>
  <c r="BK300" i="12"/>
  <c r="BK162" i="12"/>
  <c r="BK233" i="12"/>
  <c r="BK289" i="12"/>
  <c r="BK152" i="12"/>
  <c r="BK195" i="12"/>
  <c r="BK227" i="12"/>
  <c r="BK259" i="12"/>
  <c r="BK287" i="12"/>
  <c r="BK313" i="12"/>
  <c r="BK266" i="12"/>
  <c r="BK151" i="12"/>
  <c r="BK155" i="12"/>
  <c r="BK290" i="12"/>
  <c r="BK238" i="12"/>
  <c r="BK158" i="12"/>
  <c r="BK237" i="12"/>
  <c r="BK309" i="12"/>
  <c r="BK145" i="12"/>
  <c r="BK188" i="12"/>
  <c r="BK220" i="12"/>
  <c r="BK252" i="12"/>
  <c r="BK280" i="12"/>
  <c r="BK312" i="12"/>
  <c r="BK197" i="12"/>
  <c r="BK257" i="12"/>
  <c r="BK281" i="12"/>
  <c r="BK181" i="12"/>
  <c r="BK164" i="12"/>
  <c r="BK207" i="12"/>
  <c r="BK239" i="12"/>
  <c r="BK271" i="12"/>
  <c r="BK299" i="12"/>
  <c r="BK242" i="12"/>
  <c r="BK234" i="12"/>
  <c r="BK226" i="12"/>
  <c r="BK218" i="12"/>
  <c r="BK198" i="12"/>
  <c r="BK262" i="12"/>
  <c r="BK173" i="12"/>
  <c r="BK206" i="12"/>
  <c r="BK270" i="12"/>
  <c r="BK174" i="12"/>
  <c r="BK185" i="12"/>
  <c r="BK221" i="12"/>
  <c r="BK253" i="12"/>
  <c r="BK285" i="12"/>
  <c r="BK172" i="12"/>
  <c r="BK153" i="12"/>
  <c r="BK169" i="12"/>
  <c r="BK196" i="12"/>
  <c r="BK212" i="12"/>
  <c r="BK228" i="12"/>
  <c r="BK244" i="12"/>
  <c r="BK260" i="12"/>
  <c r="BK272" i="12"/>
  <c r="BK288" i="12"/>
  <c r="BK304" i="12"/>
  <c r="BK315" i="12"/>
  <c r="BK170" i="12"/>
  <c r="BK209" i="12"/>
  <c r="BK241" i="12"/>
  <c r="BK316" i="12"/>
  <c r="BK293" i="12"/>
  <c r="BK178" i="12"/>
  <c r="BK156" i="12"/>
  <c r="BK183" i="12"/>
  <c r="BK199" i="12"/>
  <c r="BK215" i="12"/>
  <c r="BK231" i="12"/>
  <c r="BK247" i="12"/>
  <c r="BK263" i="12"/>
  <c r="BK275" i="12"/>
  <c r="BK291" i="12"/>
  <c r="BK307" i="12"/>
  <c r="BK175" i="12"/>
  <c r="BK194" i="12"/>
  <c r="BK186" i="12"/>
  <c r="BK182" i="12"/>
  <c r="BK306" i="12"/>
  <c r="BK254" i="12"/>
  <c r="BK166" i="12"/>
  <c r="BK245" i="12"/>
  <c r="BK149" i="12"/>
  <c r="BK192" i="12"/>
  <c r="BK224" i="12"/>
  <c r="BK256" i="12"/>
  <c r="BK284" i="12"/>
  <c r="BK171" i="12"/>
  <c r="BK201" i="12"/>
  <c r="BK265" i="12"/>
  <c r="BK179" i="12"/>
  <c r="BK168" i="12"/>
  <c r="BK211" i="12"/>
  <c r="BK243" i="12"/>
  <c r="BK317" i="12"/>
  <c r="BK303" i="12"/>
  <c r="BK210" i="12"/>
  <c r="BK286" i="12"/>
  <c r="BK278" i="12"/>
  <c r="BK230" i="12"/>
  <c r="BK163" i="12"/>
  <c r="BK298" i="12"/>
  <c r="BK205" i="12"/>
  <c r="BK269" i="12"/>
  <c r="BK161" i="12"/>
  <c r="BK204" i="12"/>
  <c r="BK236" i="12"/>
  <c r="BK268" i="12"/>
  <c r="BK296" i="12"/>
  <c r="BK154" i="12"/>
  <c r="BK225" i="12"/>
  <c r="BK305" i="12"/>
  <c r="BK148" i="12"/>
  <c r="BK191" i="12"/>
  <c r="BK223" i="12"/>
  <c r="BK255" i="12"/>
  <c r="BK283" i="12"/>
  <c r="BO317" i="12"/>
  <c r="BO176" i="12"/>
  <c r="BO160" i="12"/>
  <c r="BO242" i="12"/>
  <c r="BO215" i="12"/>
  <c r="BO181" i="12"/>
  <c r="BO196" i="12"/>
  <c r="BO169" i="12"/>
  <c r="BO194" i="12"/>
  <c r="BO168" i="12"/>
  <c r="BO180" i="12"/>
  <c r="BO161" i="12"/>
  <c r="BO261" i="12"/>
  <c r="BO188" i="12"/>
  <c r="BO252" i="12"/>
  <c r="BO165" i="12"/>
  <c r="BO291" i="12"/>
  <c r="BO253" i="12"/>
  <c r="BO186" i="12"/>
  <c r="BO250" i="12"/>
  <c r="BO164" i="12"/>
  <c r="BO290" i="12"/>
  <c r="BO241" i="12"/>
  <c r="BO245" i="12"/>
  <c r="BO227" i="12"/>
  <c r="BO184" i="12"/>
  <c r="BO216" i="12"/>
  <c r="BO248" i="12"/>
  <c r="BO147" i="12"/>
  <c r="BO163" i="12"/>
  <c r="BO273" i="12"/>
  <c r="BO289" i="12"/>
  <c r="BO305" i="12"/>
  <c r="BO265" i="12"/>
  <c r="BO191" i="12"/>
  <c r="BO255" i="12"/>
  <c r="BO198" i="12"/>
  <c r="BO230" i="12"/>
  <c r="BO262" i="12"/>
  <c r="BO154" i="12"/>
  <c r="BO170" i="12"/>
  <c r="BO280" i="12"/>
  <c r="BO296" i="12"/>
  <c r="BO313" i="12"/>
  <c r="BO144" i="12"/>
  <c r="BO193" i="12"/>
  <c r="BO187" i="12"/>
  <c r="BO295" i="12"/>
  <c r="BO258" i="12"/>
  <c r="BO229" i="12"/>
  <c r="BO287" i="12"/>
  <c r="BO235" i="12"/>
  <c r="BO149" i="12"/>
  <c r="BO307" i="12"/>
  <c r="BO231" i="12"/>
  <c r="BO148" i="12"/>
  <c r="BO306" i="12"/>
  <c r="BO195" i="12"/>
  <c r="BO200" i="12"/>
  <c r="BO264" i="12"/>
  <c r="BO171" i="12"/>
  <c r="BO297" i="12"/>
  <c r="BO237" i="12"/>
  <c r="BO182" i="12"/>
  <c r="BO246" i="12"/>
  <c r="BO162" i="12"/>
  <c r="BO288" i="12"/>
  <c r="BO302" i="12"/>
  <c r="BO228" i="12"/>
  <c r="BO233" i="12"/>
  <c r="BO278" i="12"/>
  <c r="BO209" i="12"/>
  <c r="BO312" i="12"/>
  <c r="BO203" i="12"/>
  <c r="BO268" i="12"/>
  <c r="BO299" i="12"/>
  <c r="BO199" i="12"/>
  <c r="BO266" i="12"/>
  <c r="BO298" i="12"/>
  <c r="BO178" i="12"/>
  <c r="BO192" i="12"/>
  <c r="BO256" i="12"/>
  <c r="BO167" i="12"/>
  <c r="BO293" i="12"/>
  <c r="BO207" i="12"/>
  <c r="BO206" i="12"/>
  <c r="BO270" i="12"/>
  <c r="BO177" i="12"/>
  <c r="BO300" i="12"/>
  <c r="BO221" i="12"/>
  <c r="BO210" i="12"/>
  <c r="BO251" i="12"/>
  <c r="BO153" i="12"/>
  <c r="BO311" i="12"/>
  <c r="BO247" i="12"/>
  <c r="BO152" i="12"/>
  <c r="BO310" i="12"/>
  <c r="BO219" i="12"/>
  <c r="BO145" i="12"/>
  <c r="BO303" i="12"/>
  <c r="BO197" i="12"/>
  <c r="BO267" i="12"/>
  <c r="BO236" i="12"/>
  <c r="BO157" i="12"/>
  <c r="BO283" i="12"/>
  <c r="BO316" i="12"/>
  <c r="BO189" i="12"/>
  <c r="BO263" i="12"/>
  <c r="BO234" i="12"/>
  <c r="BO156" i="12"/>
  <c r="BO282" i="12"/>
  <c r="BO315" i="12"/>
  <c r="BO213" i="12"/>
  <c r="BO211" i="12"/>
  <c r="BO172" i="12"/>
  <c r="BO208" i="12"/>
  <c r="BO240" i="12"/>
  <c r="BO159" i="12"/>
  <c r="BO179" i="12"/>
  <c r="BO285" i="12"/>
  <c r="BO301" i="12"/>
  <c r="BO318" i="12"/>
  <c r="BO201" i="12"/>
  <c r="BO269" i="12"/>
  <c r="BO239" i="12"/>
  <c r="BO190" i="12"/>
  <c r="BO222" i="12"/>
  <c r="BO254" i="12"/>
  <c r="BO150" i="12"/>
  <c r="BO166" i="12"/>
  <c r="BO276" i="12"/>
  <c r="BO292" i="12"/>
  <c r="BO308" i="12"/>
  <c r="BO260" i="12"/>
  <c r="BO183" i="12"/>
  <c r="BO294" i="12"/>
  <c r="BO244" i="12"/>
  <c r="BO185" i="12"/>
  <c r="BO220" i="12"/>
  <c r="BO275" i="12"/>
  <c r="BO257" i="12"/>
  <c r="BO218" i="12"/>
  <c r="BO274" i="12"/>
  <c r="BO174" i="12"/>
  <c r="BO259" i="12"/>
  <c r="BO232" i="12"/>
  <c r="BO155" i="12"/>
  <c r="BO281" i="12"/>
  <c r="BO314" i="12"/>
  <c r="BO225" i="12"/>
  <c r="BO223" i="12"/>
  <c r="BO214" i="12"/>
  <c r="BO146" i="12"/>
  <c r="BO272" i="12"/>
  <c r="BO304" i="12"/>
  <c r="BO286" i="12"/>
  <c r="BO249" i="12"/>
  <c r="BO279" i="12"/>
  <c r="BO226" i="12"/>
  <c r="BO212" i="12"/>
  <c r="BO204" i="12"/>
  <c r="BO175" i="12"/>
  <c r="BO202" i="12"/>
  <c r="BO173" i="12"/>
  <c r="BO217" i="12"/>
  <c r="BO243" i="12"/>
  <c r="BO224" i="12"/>
  <c r="BO151" i="12"/>
  <c r="BO277" i="12"/>
  <c r="BO309" i="12"/>
  <c r="BO205" i="12"/>
  <c r="BO271" i="12"/>
  <c r="BO238" i="12"/>
  <c r="BO158" i="12"/>
  <c r="BO284" i="12"/>
  <c r="BK234" i="9"/>
  <c r="BK312" i="9"/>
  <c r="BK304" i="9"/>
  <c r="BK296" i="9"/>
  <c r="BK288" i="9"/>
  <c r="BK280" i="9"/>
  <c r="BK272" i="9"/>
  <c r="BK264" i="9"/>
  <c r="BK256" i="9"/>
  <c r="BK248" i="9"/>
  <c r="BK240" i="9"/>
  <c r="BK301" i="9"/>
  <c r="BK269" i="9"/>
  <c r="BK315" i="9"/>
  <c r="BK283" i="9"/>
  <c r="BK251" i="9"/>
  <c r="BK228" i="9"/>
  <c r="BK220" i="9"/>
  <c r="BK212" i="9"/>
  <c r="BK204" i="9"/>
  <c r="BK196" i="9"/>
  <c r="BK188" i="9"/>
  <c r="BK180" i="9"/>
  <c r="BK172" i="9"/>
  <c r="BK164" i="9"/>
  <c r="BK156" i="9"/>
  <c r="BK148" i="9"/>
  <c r="BK305" i="9"/>
  <c r="BK273" i="9"/>
  <c r="BK241" i="9"/>
  <c r="BK229" i="9"/>
  <c r="BK205" i="9"/>
  <c r="BK185" i="9"/>
  <c r="BK173" i="9"/>
  <c r="BK157" i="9"/>
  <c r="BK311" i="9"/>
  <c r="BK279" i="9"/>
  <c r="BK247" i="9"/>
  <c r="BK217" i="9"/>
  <c r="BK207" i="9"/>
  <c r="BK193" i="9"/>
  <c r="BK175" i="9"/>
  <c r="BK161" i="9"/>
  <c r="BK143" i="9"/>
  <c r="BK236" i="9"/>
  <c r="BK314" i="9"/>
  <c r="BK306" i="9"/>
  <c r="BK298" i="9"/>
  <c r="BK290" i="9"/>
  <c r="BK282" i="9"/>
  <c r="BK274" i="9"/>
  <c r="BK266" i="9"/>
  <c r="BK258" i="9"/>
  <c r="BK250" i="9"/>
  <c r="BK242" i="9"/>
  <c r="BK309" i="9"/>
  <c r="BK277" i="9"/>
  <c r="BK245" i="9"/>
  <c r="BK291" i="9"/>
  <c r="BK259" i="9"/>
  <c r="BK230" i="9"/>
  <c r="BK222" i="9"/>
  <c r="BK214" i="9"/>
  <c r="BK206" i="9"/>
  <c r="BK198" i="9"/>
  <c r="BK190" i="9"/>
  <c r="BK182" i="9"/>
  <c r="BK174" i="9"/>
  <c r="BK166" i="9"/>
  <c r="BK158" i="9"/>
  <c r="BK150" i="9"/>
  <c r="BK313" i="9"/>
  <c r="BK281" i="9"/>
  <c r="BK249" i="9"/>
  <c r="BK231" i="9"/>
  <c r="BK213" i="9"/>
  <c r="BK189" i="9"/>
  <c r="BK177" i="9"/>
  <c r="BK159" i="9"/>
  <c r="BK145" i="9"/>
  <c r="BK287" i="9"/>
  <c r="BK255" i="9"/>
  <c r="BK221" i="9"/>
  <c r="BK209" i="9"/>
  <c r="BK195" i="9"/>
  <c r="BK183" i="9"/>
  <c r="BK165" i="9"/>
  <c r="BK147" i="9"/>
  <c r="BK237" i="9"/>
  <c r="BK310" i="9"/>
  <c r="BK294" i="9"/>
  <c r="BK278" i="9"/>
  <c r="BK262" i="9"/>
  <c r="BK246" i="9"/>
  <c r="BK293" i="9"/>
  <c r="BK307" i="9"/>
  <c r="BK243" i="9"/>
  <c r="BK218" i="9"/>
  <c r="BK202" i="9"/>
  <c r="BK186" i="9"/>
  <c r="BK170" i="9"/>
  <c r="BK154" i="9"/>
  <c r="BK297" i="9"/>
  <c r="BK233" i="9"/>
  <c r="BK203" i="9"/>
  <c r="BK169" i="9"/>
  <c r="BK303" i="9"/>
  <c r="BK227" i="9"/>
  <c r="BK201" i="9"/>
  <c r="BK171" i="9"/>
  <c r="BK308" i="9"/>
  <c r="BK276" i="9"/>
  <c r="BK244" i="9"/>
  <c r="BK299" i="9"/>
  <c r="BK216" i="9"/>
  <c r="BK184" i="9"/>
  <c r="BK152" i="9"/>
  <c r="BK239" i="9"/>
  <c r="BK163" i="9"/>
  <c r="BK225" i="9"/>
  <c r="BK167" i="9"/>
  <c r="BK316" i="9"/>
  <c r="BK300" i="9"/>
  <c r="BK284" i="9"/>
  <c r="BK268" i="9"/>
  <c r="BK252" i="9"/>
  <c r="BK317" i="9"/>
  <c r="BK253" i="9"/>
  <c r="BK267" i="9"/>
  <c r="BK224" i="9"/>
  <c r="BK208" i="9"/>
  <c r="BK192" i="9"/>
  <c r="BK176" i="9"/>
  <c r="BK160" i="9"/>
  <c r="BK144" i="9"/>
  <c r="BK257" i="9"/>
  <c r="BK219" i="9"/>
  <c r="BK179" i="9"/>
  <c r="BK149" i="9"/>
  <c r="BK263" i="9"/>
  <c r="BK211" i="9"/>
  <c r="BK187" i="9"/>
  <c r="BK151" i="9"/>
  <c r="BK318" i="9"/>
  <c r="BK302" i="9"/>
  <c r="BK286" i="9"/>
  <c r="BK270" i="9"/>
  <c r="BK254" i="9"/>
  <c r="BK238" i="9"/>
  <c r="BK261" i="9"/>
  <c r="BK275" i="9"/>
  <c r="BK226" i="9"/>
  <c r="BK210" i="9"/>
  <c r="BK194" i="9"/>
  <c r="BK178" i="9"/>
  <c r="BK162" i="9"/>
  <c r="BK146" i="9"/>
  <c r="BK265" i="9"/>
  <c r="BK223" i="9"/>
  <c r="BK181" i="9"/>
  <c r="BK153" i="9"/>
  <c r="BK271" i="9"/>
  <c r="BK215" i="9"/>
  <c r="BK191" i="9"/>
  <c r="BK155" i="9"/>
  <c r="BK235" i="9"/>
  <c r="BK292" i="9"/>
  <c r="BK260" i="9"/>
  <c r="BK285" i="9"/>
  <c r="BK232" i="9"/>
  <c r="BK200" i="9"/>
  <c r="BK168" i="9"/>
  <c r="BK289" i="9"/>
  <c r="BK197" i="9"/>
  <c r="BK295" i="9"/>
  <c r="BK199" i="9"/>
  <c r="BK314" i="13"/>
  <c r="BK219" i="13"/>
  <c r="BK285" i="13"/>
  <c r="BK150" i="13"/>
  <c r="BK194" i="13"/>
  <c r="BK307" i="13"/>
  <c r="BK168" i="13"/>
  <c r="BK284" i="13"/>
  <c r="BK149" i="13"/>
  <c r="BK169" i="13"/>
  <c r="BK217" i="13"/>
  <c r="BK243" i="13"/>
  <c r="BK283" i="13"/>
  <c r="BK146" i="13"/>
  <c r="BK163" i="13"/>
  <c r="BK211" i="13"/>
  <c r="BK278" i="13"/>
  <c r="BK277" i="13"/>
  <c r="BK153" i="13"/>
  <c r="BK177" i="13"/>
  <c r="BK304" i="13"/>
  <c r="BK274" i="13"/>
  <c r="BK298" i="13"/>
  <c r="BK176" i="13"/>
  <c r="BK154" i="13"/>
  <c r="BK270" i="13"/>
  <c r="BK183" i="13"/>
  <c r="BK199" i="13"/>
  <c r="BK232" i="13"/>
  <c r="BK256" i="13"/>
  <c r="BK286" i="13"/>
  <c r="BK265" i="13"/>
  <c r="BK300" i="13"/>
  <c r="BK316" i="13"/>
  <c r="BK156" i="13"/>
  <c r="BK151" i="13"/>
  <c r="BK208" i="13"/>
  <c r="BK173" i="13"/>
  <c r="BK234" i="13"/>
  <c r="BK220" i="13"/>
  <c r="BK235" i="13"/>
  <c r="BK258" i="13"/>
  <c r="BK255" i="13"/>
  <c r="BK287" i="13"/>
  <c r="BK309" i="13"/>
  <c r="BK171" i="13"/>
  <c r="BK233" i="13"/>
  <c r="BK187" i="13"/>
  <c r="BK230" i="13"/>
  <c r="BK221" i="13"/>
  <c r="BK251" i="13"/>
  <c r="BK164" i="13"/>
  <c r="BK196" i="13"/>
  <c r="BK245" i="13"/>
  <c r="BK238" i="13"/>
  <c r="BK239" i="13"/>
  <c r="BK313" i="13"/>
  <c r="BK216" i="13"/>
  <c r="BK186" i="13"/>
  <c r="BK212" i="13"/>
  <c r="BK229" i="13"/>
  <c r="BK249" i="13"/>
  <c r="BK303" i="13"/>
  <c r="BK268" i="13"/>
  <c r="BK166" i="13"/>
  <c r="BK189" i="13"/>
  <c r="BK290" i="13"/>
  <c r="BK294" i="13"/>
  <c r="BK293" i="13"/>
  <c r="BK206" i="13"/>
  <c r="BK226" i="13"/>
  <c r="BK291" i="13"/>
  <c r="BK236" i="13"/>
  <c r="BK308" i="13"/>
  <c r="BK179" i="13"/>
  <c r="BK288" i="13"/>
  <c r="BK264" i="13"/>
  <c r="BK193" i="13"/>
  <c r="BK310" i="13"/>
  <c r="BK144" i="13"/>
  <c r="BK159" i="13"/>
  <c r="BK207" i="13"/>
  <c r="BK248" i="13"/>
  <c r="BK273" i="13"/>
  <c r="BK160" i="13"/>
  <c r="BK210" i="13"/>
  <c r="BK197" i="13"/>
  <c r="BK246" i="13"/>
  <c r="BK263" i="13"/>
  <c r="BK250" i="13"/>
  <c r="BK203" i="13"/>
  <c r="BK280" i="13"/>
  <c r="BK218" i="13"/>
  <c r="BK253" i="13"/>
  <c r="BK252" i="13"/>
  <c r="BK192" i="13"/>
  <c r="BK292" i="13"/>
  <c r="BK201" i="13"/>
  <c r="BK276" i="13"/>
  <c r="BK267" i="13"/>
  <c r="BK318" i="13"/>
  <c r="BK200" i="13"/>
  <c r="BK202" i="13"/>
  <c r="BK195" i="13"/>
  <c r="BK240" i="13"/>
  <c r="BK261" i="13"/>
  <c r="BK317" i="13"/>
  <c r="BK145" i="13"/>
  <c r="BK161" i="13"/>
  <c r="BK209" i="13"/>
  <c r="BK260" i="13"/>
  <c r="BK275" i="13"/>
  <c r="BK172" i="13"/>
  <c r="BK152" i="13"/>
  <c r="BK222" i="13"/>
  <c r="BK175" i="13"/>
  <c r="BK244" i="13"/>
  <c r="BK254" i="13"/>
  <c r="BK237" i="13"/>
  <c r="BK266" i="13"/>
  <c r="BK257" i="13"/>
  <c r="BK289" i="13"/>
  <c r="BK311" i="13"/>
  <c r="BK184" i="13"/>
  <c r="BK147" i="13"/>
  <c r="BK182" i="13"/>
  <c r="BK165" i="13"/>
  <c r="BK204" i="13"/>
  <c r="BK213" i="13"/>
  <c r="BK227" i="13"/>
  <c r="BK282" i="13"/>
  <c r="BK247" i="13"/>
  <c r="BK279" i="13"/>
  <c r="BK301" i="13"/>
  <c r="BK269" i="13"/>
  <c r="BK155" i="13"/>
  <c r="BK190" i="13"/>
  <c r="BK231" i="13"/>
  <c r="BK305" i="13"/>
  <c r="BK178" i="13"/>
  <c r="BK225" i="13"/>
  <c r="BK299" i="13"/>
  <c r="BK188" i="13"/>
  <c r="BK262" i="13"/>
  <c r="BK259" i="13"/>
  <c r="BK148" i="13"/>
  <c r="BK167" i="13"/>
  <c r="BK215" i="13"/>
  <c r="BK241" i="13"/>
  <c r="BK281" i="13"/>
  <c r="BK157" i="13"/>
  <c r="BK205" i="13"/>
  <c r="BK242" i="13"/>
  <c r="BK271" i="13"/>
  <c r="BK162" i="13"/>
  <c r="BK158" i="13"/>
  <c r="BK185" i="13"/>
  <c r="BK296" i="13"/>
  <c r="BK198" i="13"/>
  <c r="BK224" i="13"/>
  <c r="BK306" i="13"/>
  <c r="BK174" i="13"/>
  <c r="BK223" i="13"/>
  <c r="BK297" i="13"/>
  <c r="BK180" i="13"/>
  <c r="BK170" i="13"/>
  <c r="BK191" i="13"/>
  <c r="BK302" i="13"/>
  <c r="BK312" i="13"/>
  <c r="BK295" i="13"/>
  <c r="BK214" i="13"/>
  <c r="BK181" i="13"/>
  <c r="BK228" i="13"/>
  <c r="BK272" i="13"/>
  <c r="BK315" i="13"/>
  <c r="BO305" i="13"/>
  <c r="BO228" i="13"/>
  <c r="BO270" i="13"/>
  <c r="BO177" i="13"/>
  <c r="BO197" i="13"/>
  <c r="BO230" i="13"/>
  <c r="BO187" i="13"/>
  <c r="BO218" i="13"/>
  <c r="BO302" i="13"/>
  <c r="BO183" i="13"/>
  <c r="BO317" i="13"/>
  <c r="BO295" i="13"/>
  <c r="BO212" i="13"/>
  <c r="BO251" i="13"/>
  <c r="BO314" i="13"/>
  <c r="BO173" i="13"/>
  <c r="BO171" i="13"/>
  <c r="BO188" i="13"/>
  <c r="BO258" i="13"/>
  <c r="BO265" i="13"/>
  <c r="BO298" i="13"/>
  <c r="BO146" i="13"/>
  <c r="BO167" i="13"/>
  <c r="BO186" i="13"/>
  <c r="BO243" i="13"/>
  <c r="BO264" i="13"/>
  <c r="BO297" i="13"/>
  <c r="BO148" i="13"/>
  <c r="BO249" i="13"/>
  <c r="BO163" i="13"/>
  <c r="BO273" i="13"/>
  <c r="BO184" i="13"/>
  <c r="BO274" i="13"/>
  <c r="BO242" i="13"/>
  <c r="BO261" i="13"/>
  <c r="BO253" i="13"/>
  <c r="BO282" i="13"/>
  <c r="BO296" i="13"/>
  <c r="BO185" i="13"/>
  <c r="BO145" i="13"/>
  <c r="BO175" i="13"/>
  <c r="BO158" i="13"/>
  <c r="BO190" i="13"/>
  <c r="BO200" i="13"/>
  <c r="BO259" i="13"/>
  <c r="BO315" i="13"/>
  <c r="BO266" i="13"/>
  <c r="BO268" i="13"/>
  <c r="BO299" i="13"/>
  <c r="BO157" i="13"/>
  <c r="BO152" i="13"/>
  <c r="BO286" i="13"/>
  <c r="BO236" i="13"/>
  <c r="BO156" i="13"/>
  <c r="BO285" i="13"/>
  <c r="BO318" i="13"/>
  <c r="BO291" i="13"/>
  <c r="BO275" i="13"/>
  <c r="BO283" i="13"/>
  <c r="BO189" i="13"/>
  <c r="BO202" i="13"/>
  <c r="BO206" i="13"/>
  <c r="BO241" i="13"/>
  <c r="BO247" i="13"/>
  <c r="BO310" i="13"/>
  <c r="BO211" i="13"/>
  <c r="BO174" i="13"/>
  <c r="BO222" i="13"/>
  <c r="BO233" i="13"/>
  <c r="BO281" i="13"/>
  <c r="BO250" i="13"/>
  <c r="BO223" i="13"/>
  <c r="BO162" i="13"/>
  <c r="BO150" i="13"/>
  <c r="BO214" i="13"/>
  <c r="BO255" i="13"/>
  <c r="BO272" i="13"/>
  <c r="BO207" i="13"/>
  <c r="BO254" i="13"/>
  <c r="BO144" i="13"/>
  <c r="BO179" i="13"/>
  <c r="BO192" i="13"/>
  <c r="BO308" i="13"/>
  <c r="BO267" i="13"/>
  <c r="BO294" i="13"/>
  <c r="BO169" i="13"/>
  <c r="BO191" i="13"/>
  <c r="BO199" i="13"/>
  <c r="BO240" i="13"/>
  <c r="BO246" i="13"/>
  <c r="BO303" i="13"/>
  <c r="BO237" i="13"/>
  <c r="BO292" i="13"/>
  <c r="BO151" i="13"/>
  <c r="BO209" i="13"/>
  <c r="BO277" i="13"/>
  <c r="BO149" i="13"/>
  <c r="BO208" i="13"/>
  <c r="BO276" i="13"/>
  <c r="BO155" i="13"/>
  <c r="BO234" i="13"/>
  <c r="BO300" i="13"/>
  <c r="BO205" i="13"/>
  <c r="BO172" i="13"/>
  <c r="BO307" i="13"/>
  <c r="BO231" i="13"/>
  <c r="BO280" i="13"/>
  <c r="BO181" i="13"/>
  <c r="BO170" i="13"/>
  <c r="BO245" i="13"/>
  <c r="BO229" i="13"/>
  <c r="BO316" i="13"/>
  <c r="BO161" i="13"/>
  <c r="BO232" i="13"/>
  <c r="BO196" i="13"/>
  <c r="BO176" i="13"/>
  <c r="BO220" i="13"/>
  <c r="BO226" i="13"/>
  <c r="BO244" i="13"/>
  <c r="BO235" i="13"/>
  <c r="BO263" i="13"/>
  <c r="BO288" i="13"/>
  <c r="BO312" i="13"/>
  <c r="BO195" i="13"/>
  <c r="BO204" i="13"/>
  <c r="BO159" i="13"/>
  <c r="BO213" i="13"/>
  <c r="BO182" i="13"/>
  <c r="BO248" i="13"/>
  <c r="BO238" i="13"/>
  <c r="BO260" i="13"/>
  <c r="BO252" i="13"/>
  <c r="BO278" i="13"/>
  <c r="BO301" i="13"/>
  <c r="BO313" i="13"/>
  <c r="BO198" i="13"/>
  <c r="BO287" i="13"/>
  <c r="BO194" i="13"/>
  <c r="BO193" i="13"/>
  <c r="BO271" i="13"/>
  <c r="BO309" i="13"/>
  <c r="BO154" i="13"/>
  <c r="BO284" i="13"/>
  <c r="BO165" i="13"/>
  <c r="BO168" i="13"/>
  <c r="BO217" i="13"/>
  <c r="BO227" i="13"/>
  <c r="BO290" i="13"/>
  <c r="BO210" i="13"/>
  <c r="BO293" i="13"/>
  <c r="BO215" i="13"/>
  <c r="BO306" i="13"/>
  <c r="BO262" i="13"/>
  <c r="BO178" i="13"/>
  <c r="BO289" i="13"/>
  <c r="BO164" i="13"/>
  <c r="BO221" i="13"/>
  <c r="BO180" i="13"/>
  <c r="BO239" i="13"/>
  <c r="BO224" i="13"/>
  <c r="BO257" i="13"/>
  <c r="BO304" i="13"/>
  <c r="BO203" i="13"/>
  <c r="BO256" i="13"/>
  <c r="BO311" i="13"/>
  <c r="BO147" i="13"/>
  <c r="BO160" i="13"/>
  <c r="BO201" i="13"/>
  <c r="BO219" i="13"/>
  <c r="BO269" i="13"/>
  <c r="BO153" i="13"/>
  <c r="BO166" i="13"/>
  <c r="BO216" i="13"/>
  <c r="BO225" i="13"/>
  <c r="BO279" i="13"/>
  <c r="BO315" i="9"/>
  <c r="BO311" i="9"/>
  <c r="BO307" i="9"/>
  <c r="BO303" i="9"/>
  <c r="BO299" i="9"/>
  <c r="BO295" i="9"/>
  <c r="BO291" i="9"/>
  <c r="BO287" i="9"/>
  <c r="BO283" i="9"/>
  <c r="BO279" i="9"/>
  <c r="BO275" i="9"/>
  <c r="BO271" i="9"/>
  <c r="BO267" i="9"/>
  <c r="BO263" i="9"/>
  <c r="BO259" i="9"/>
  <c r="BO255" i="9"/>
  <c r="BO251" i="9"/>
  <c r="BO247" i="9"/>
  <c r="BO243" i="9"/>
  <c r="BO239" i="9"/>
  <c r="BO235" i="9"/>
  <c r="BO230" i="9"/>
  <c r="BO226" i="9"/>
  <c r="BO222" i="9"/>
  <c r="BO218" i="9"/>
  <c r="BO214" i="9"/>
  <c r="BO210" i="9"/>
  <c r="BO206" i="9"/>
  <c r="BO202" i="9"/>
  <c r="BO198" i="9"/>
  <c r="BO194" i="9"/>
  <c r="BO190" i="9"/>
  <c r="BO186" i="9"/>
  <c r="BO182" i="9"/>
  <c r="BO178" i="9"/>
  <c r="BO174" i="9"/>
  <c r="BO170" i="9"/>
  <c r="BO166" i="9"/>
  <c r="BO162" i="9"/>
  <c r="BO158" i="9"/>
  <c r="BO154" i="9"/>
  <c r="BO150" i="9"/>
  <c r="BO146" i="9"/>
  <c r="BO237" i="9"/>
  <c r="BO316" i="9"/>
  <c r="BO312" i="9"/>
  <c r="BO308" i="9"/>
  <c r="BO304" i="9"/>
  <c r="BO300" i="9"/>
  <c r="BO296" i="9"/>
  <c r="BO292" i="9"/>
  <c r="BO288" i="9"/>
  <c r="BO284" i="9"/>
  <c r="BO280" i="9"/>
  <c r="BO276" i="9"/>
  <c r="BO272" i="9"/>
  <c r="BO268" i="9"/>
  <c r="BO264" i="9"/>
  <c r="BO260" i="9"/>
  <c r="BO256" i="9"/>
  <c r="BO252" i="9"/>
  <c r="BO248" i="9"/>
  <c r="BO244" i="9"/>
  <c r="BO240" i="9"/>
  <c r="BO234" i="9"/>
  <c r="BO231" i="9"/>
  <c r="BO227" i="9"/>
  <c r="BO223" i="9"/>
  <c r="BO219" i="9"/>
  <c r="BO215" i="9"/>
  <c r="BO211" i="9"/>
  <c r="BO207" i="9"/>
  <c r="BO203" i="9"/>
  <c r="BO199" i="9"/>
  <c r="BO195" i="9"/>
  <c r="BO191" i="9"/>
  <c r="BO187" i="9"/>
  <c r="BO183" i="9"/>
  <c r="BO179" i="9"/>
  <c r="BO175" i="9"/>
  <c r="BO171" i="9"/>
  <c r="BO167" i="9"/>
  <c r="BO163" i="9"/>
  <c r="BO159" i="9"/>
  <c r="BO155" i="9"/>
  <c r="BO151" i="9"/>
  <c r="BO147" i="9"/>
  <c r="BO143" i="9"/>
  <c r="BO317" i="9"/>
  <c r="BO309" i="9"/>
  <c r="BO301" i="9"/>
  <c r="BO293" i="9"/>
  <c r="BO285" i="9"/>
  <c r="BO277" i="9"/>
  <c r="BO269" i="9"/>
  <c r="BO261" i="9"/>
  <c r="BO253" i="9"/>
  <c r="BO245" i="9"/>
  <c r="BO236" i="9"/>
  <c r="BO228" i="9"/>
  <c r="BO220" i="9"/>
  <c r="BO212" i="9"/>
  <c r="BO204" i="9"/>
  <c r="BO196" i="9"/>
  <c r="BO188" i="9"/>
  <c r="BO180" i="9"/>
  <c r="BO172" i="9"/>
  <c r="BO164" i="9"/>
  <c r="BO156" i="9"/>
  <c r="BO148" i="9"/>
  <c r="BO314" i="9"/>
  <c r="BO298" i="9"/>
  <c r="BO290" i="9"/>
  <c r="BO274" i="9"/>
  <c r="BO258" i="9"/>
  <c r="BO250" i="9"/>
  <c r="BO233" i="9"/>
  <c r="BO217" i="9"/>
  <c r="BO201" i="9"/>
  <c r="BO185" i="9"/>
  <c r="BO169" i="9"/>
  <c r="BO153" i="9"/>
  <c r="BO318" i="9"/>
  <c r="BO310" i="9"/>
  <c r="BO302" i="9"/>
  <c r="BO294" i="9"/>
  <c r="BO286" i="9"/>
  <c r="BO278" i="9"/>
  <c r="BO270" i="9"/>
  <c r="BO262" i="9"/>
  <c r="BO254" i="9"/>
  <c r="BO246" i="9"/>
  <c r="BO238" i="9"/>
  <c r="BO229" i="9"/>
  <c r="BO221" i="9"/>
  <c r="BO213" i="9"/>
  <c r="BO205" i="9"/>
  <c r="BO197" i="9"/>
  <c r="BO189" i="9"/>
  <c r="BO181" i="9"/>
  <c r="BO173" i="9"/>
  <c r="BO165" i="9"/>
  <c r="BO157" i="9"/>
  <c r="BO149" i="9"/>
  <c r="BO313" i="9"/>
  <c r="BO305" i="9"/>
  <c r="BO297" i="9"/>
  <c r="BO289" i="9"/>
  <c r="BO281" i="9"/>
  <c r="BO273" i="9"/>
  <c r="BO265" i="9"/>
  <c r="BO257" i="9"/>
  <c r="BO249" i="9"/>
  <c r="BO241" i="9"/>
  <c r="BO232" i="9"/>
  <c r="BO224" i="9"/>
  <c r="BO216" i="9"/>
  <c r="BO208" i="9"/>
  <c r="BO200" i="9"/>
  <c r="BO192" i="9"/>
  <c r="BO184" i="9"/>
  <c r="BO176" i="9"/>
  <c r="BO168" i="9"/>
  <c r="BO160" i="9"/>
  <c r="BO152" i="9"/>
  <c r="BO144" i="9"/>
  <c r="BO306" i="9"/>
  <c r="BO282" i="9"/>
  <c r="BO266" i="9"/>
  <c r="BO242" i="9"/>
  <c r="BO225" i="9"/>
  <c r="BO209" i="9"/>
  <c r="BO193" i="9"/>
  <c r="BO177" i="9"/>
  <c r="BO161" i="9"/>
  <c r="BO145" i="9"/>
  <c r="BA235" i="9"/>
  <c r="BA313" i="9"/>
  <c r="BA305" i="9"/>
  <c r="BA297" i="9"/>
  <c r="BA289" i="9"/>
  <c r="BA281" i="9"/>
  <c r="BA273" i="9"/>
  <c r="BA265" i="9"/>
  <c r="BA257" i="9"/>
  <c r="BA249" i="9"/>
  <c r="BA241" i="9"/>
  <c r="BA300" i="9"/>
  <c r="BA268" i="9"/>
  <c r="BA233" i="9"/>
  <c r="BA290" i="9"/>
  <c r="BA258" i="9"/>
  <c r="BA229" i="9"/>
  <c r="BA221" i="9"/>
  <c r="BA213" i="9"/>
  <c r="BA205" i="9"/>
  <c r="BA197" i="9"/>
  <c r="BA189" i="9"/>
  <c r="BA181" i="9"/>
  <c r="BA173" i="9"/>
  <c r="BA165" i="9"/>
  <c r="BA157" i="9"/>
  <c r="BA149" i="9"/>
  <c r="BA312" i="9"/>
  <c r="BA280" i="9"/>
  <c r="BA248" i="9"/>
  <c r="BA226" i="9"/>
  <c r="BA212" i="9"/>
  <c r="BA190" i="9"/>
  <c r="BA176" i="9"/>
  <c r="BA162" i="9"/>
  <c r="BA144" i="9"/>
  <c r="BA294" i="9"/>
  <c r="BA254" i="9"/>
  <c r="BA230" i="9"/>
  <c r="BA210" i="9"/>
  <c r="BA202" i="9"/>
  <c r="BA182" i="9"/>
  <c r="BA164" i="9"/>
  <c r="BA150" i="9"/>
  <c r="BA317" i="9"/>
  <c r="BA301" i="9"/>
  <c r="BA293" i="9"/>
  <c r="BA277" i="9"/>
  <c r="BA261" i="9"/>
  <c r="BA234" i="9"/>
  <c r="BA315" i="9"/>
  <c r="BA307" i="9"/>
  <c r="BA299" i="9"/>
  <c r="BA291" i="9"/>
  <c r="BA283" i="9"/>
  <c r="BA275" i="9"/>
  <c r="BA267" i="9"/>
  <c r="BA259" i="9"/>
  <c r="BA251" i="9"/>
  <c r="BA243" i="9"/>
  <c r="BA308" i="9"/>
  <c r="BA276" i="9"/>
  <c r="BA244" i="9"/>
  <c r="BA298" i="9"/>
  <c r="BA266" i="9"/>
  <c r="BA231" i="9"/>
  <c r="BA223" i="9"/>
  <c r="BA215" i="9"/>
  <c r="BA207" i="9"/>
  <c r="BA199" i="9"/>
  <c r="BA191" i="9"/>
  <c r="BA183" i="9"/>
  <c r="BA175" i="9"/>
  <c r="BA167" i="9"/>
  <c r="BA159" i="9"/>
  <c r="BA151" i="9"/>
  <c r="BA143" i="9"/>
  <c r="BA288" i="9"/>
  <c r="BA256" i="9"/>
  <c r="BA228" i="9"/>
  <c r="BA216" i="9"/>
  <c r="BA192" i="9"/>
  <c r="BA178" i="9"/>
  <c r="BA168" i="9"/>
  <c r="BA148" i="9"/>
  <c r="BA302" i="9"/>
  <c r="BA262" i="9"/>
  <c r="BA232" i="9"/>
  <c r="BA214" i="9"/>
  <c r="BA204" i="9"/>
  <c r="BA186" i="9"/>
  <c r="BA166" i="9"/>
  <c r="BA154" i="9"/>
  <c r="BA236" i="9"/>
  <c r="BA309" i="9"/>
  <c r="BA285" i="9"/>
  <c r="BA269" i="9"/>
  <c r="BA303" i="9"/>
  <c r="BA271" i="9"/>
  <c r="BA247" i="9"/>
  <c r="BA292" i="9"/>
  <c r="BA314" i="9"/>
  <c r="BA250" i="9"/>
  <c r="BA219" i="9"/>
  <c r="BA203" i="9"/>
  <c r="BA187" i="9"/>
  <c r="BA171" i="9"/>
  <c r="BA155" i="9"/>
  <c r="BA304" i="9"/>
  <c r="BA240" i="9"/>
  <c r="BA200" i="9"/>
  <c r="BA172" i="9"/>
  <c r="BA318" i="9"/>
  <c r="BA246" i="9"/>
  <c r="BA208" i="9"/>
  <c r="BA180" i="9"/>
  <c r="BA146" i="9"/>
  <c r="BA263" i="9"/>
  <c r="BA245" i="9"/>
  <c r="BA306" i="9"/>
  <c r="BA217" i="9"/>
  <c r="BA185" i="9"/>
  <c r="BA153" i="9"/>
  <c r="BA286" i="9"/>
  <c r="BA170" i="9"/>
  <c r="BA238" i="9"/>
  <c r="BA174" i="9"/>
  <c r="BA311" i="9"/>
  <c r="BA279" i="9"/>
  <c r="BA253" i="9"/>
  <c r="BA316" i="9"/>
  <c r="BA252" i="9"/>
  <c r="BA274" i="9"/>
  <c r="BA225" i="9"/>
  <c r="BA209" i="9"/>
  <c r="BA193" i="9"/>
  <c r="BA177" i="9"/>
  <c r="BA161" i="9"/>
  <c r="BA145" i="9"/>
  <c r="BA264" i="9"/>
  <c r="BA218" i="9"/>
  <c r="BA184" i="9"/>
  <c r="BA152" i="9"/>
  <c r="BA270" i="9"/>
  <c r="BA220" i="9"/>
  <c r="BA196" i="9"/>
  <c r="BA158" i="9"/>
  <c r="BA237" i="9"/>
  <c r="BA287" i="9"/>
  <c r="BA255" i="9"/>
  <c r="BA239" i="9"/>
  <c r="BA260" i="9"/>
  <c r="BA282" i="9"/>
  <c r="BA227" i="9"/>
  <c r="BA211" i="9"/>
  <c r="BA195" i="9"/>
  <c r="BA179" i="9"/>
  <c r="BA163" i="9"/>
  <c r="BA147" i="9"/>
  <c r="BA272" i="9"/>
  <c r="BA222" i="9"/>
  <c r="BA188" i="9"/>
  <c r="BA156" i="9"/>
  <c r="BA278" i="9"/>
  <c r="BA224" i="9"/>
  <c r="BA198" i="9"/>
  <c r="BA160" i="9"/>
  <c r="BA295" i="9"/>
  <c r="BA284" i="9"/>
  <c r="BA242" i="9"/>
  <c r="BA201" i="9"/>
  <c r="BA169" i="9"/>
  <c r="BA296" i="9"/>
  <c r="BA194" i="9"/>
  <c r="BA310" i="9"/>
  <c r="BA206" i="9"/>
  <c r="BE316" i="12"/>
  <c r="BE311" i="12"/>
  <c r="BE307" i="12"/>
  <c r="BE303" i="12"/>
  <c r="BE299" i="12"/>
  <c r="BE295" i="12"/>
  <c r="BE291" i="12"/>
  <c r="BE287" i="12"/>
  <c r="BE283" i="12"/>
  <c r="BE279" i="12"/>
  <c r="BE275" i="12"/>
  <c r="BE180" i="12"/>
  <c r="BE172" i="12"/>
  <c r="BE167" i="12"/>
  <c r="BE163" i="12"/>
  <c r="BE159" i="12"/>
  <c r="BE155" i="12"/>
  <c r="BE151" i="12"/>
  <c r="BE147" i="12"/>
  <c r="BE265" i="12"/>
  <c r="BE257" i="12"/>
  <c r="BE249" i="12"/>
  <c r="BE241" i="12"/>
  <c r="BE233" i="12"/>
  <c r="BE225" i="12"/>
  <c r="BE217" i="12"/>
  <c r="BE209" i="12"/>
  <c r="BE201" i="12"/>
  <c r="BE193" i="12"/>
  <c r="BE185" i="12"/>
  <c r="BE171" i="12"/>
  <c r="BE258" i="12"/>
  <c r="BE242" i="12"/>
  <c r="BE226" i="12"/>
  <c r="BE210" i="12"/>
  <c r="BE194" i="12"/>
  <c r="BE181" i="12"/>
  <c r="BE252" i="12"/>
  <c r="BE220" i="12"/>
  <c r="BE188" i="12"/>
  <c r="BE240" i="12"/>
  <c r="BE264" i="12"/>
  <c r="BE200" i="12"/>
  <c r="BE317" i="12"/>
  <c r="BE313" i="12"/>
  <c r="BE308" i="12"/>
  <c r="BE304" i="12"/>
  <c r="BE300" i="12"/>
  <c r="BE296" i="12"/>
  <c r="BE292" i="12"/>
  <c r="BE288" i="12"/>
  <c r="BE284" i="12"/>
  <c r="BE280" i="12"/>
  <c r="BE276" i="12"/>
  <c r="BE312" i="12"/>
  <c r="BE174" i="12"/>
  <c r="BE168" i="12"/>
  <c r="BE164" i="12"/>
  <c r="BE160" i="12"/>
  <c r="BE156" i="12"/>
  <c r="BE152" i="12"/>
  <c r="BE148" i="12"/>
  <c r="BE144" i="12"/>
  <c r="BE267" i="12"/>
  <c r="BE259" i="12"/>
  <c r="BE251" i="12"/>
  <c r="BE243" i="12"/>
  <c r="BE235" i="12"/>
  <c r="BE227" i="12"/>
  <c r="BE219" i="12"/>
  <c r="BE211" i="12"/>
  <c r="BE203" i="12"/>
  <c r="BE195" i="12"/>
  <c r="BE187" i="12"/>
  <c r="BE175" i="12"/>
  <c r="BE262" i="12"/>
  <c r="BE246" i="12"/>
  <c r="BE230" i="12"/>
  <c r="BE214" i="12"/>
  <c r="BE198" i="12"/>
  <c r="BE182" i="12"/>
  <c r="BE260" i="12"/>
  <c r="BE228" i="12"/>
  <c r="BE196" i="12"/>
  <c r="BE256" i="12"/>
  <c r="BE192" i="12"/>
  <c r="BE216" i="12"/>
  <c r="BE318" i="12"/>
  <c r="BE309" i="12"/>
  <c r="BE301" i="12"/>
  <c r="BE293" i="12"/>
  <c r="BE285" i="12"/>
  <c r="BE277" i="12"/>
  <c r="BE176" i="12"/>
  <c r="BE165" i="12"/>
  <c r="BE157" i="12"/>
  <c r="BE149" i="12"/>
  <c r="BE269" i="12"/>
  <c r="BE253" i="12"/>
  <c r="BE237" i="12"/>
  <c r="BE221" i="12"/>
  <c r="BE205" i="12"/>
  <c r="BE189" i="12"/>
  <c r="BE266" i="12"/>
  <c r="BE234" i="12"/>
  <c r="BE202" i="12"/>
  <c r="BE268" i="12"/>
  <c r="BE204" i="12"/>
  <c r="BE208" i="12"/>
  <c r="BE315" i="12"/>
  <c r="BE298" i="12"/>
  <c r="BE282" i="12"/>
  <c r="BE170" i="12"/>
  <c r="BE154" i="12"/>
  <c r="BE263" i="12"/>
  <c r="BE231" i="12"/>
  <c r="BE199" i="12"/>
  <c r="BE254" i="12"/>
  <c r="BE190" i="12"/>
  <c r="BE244" i="12"/>
  <c r="BE248" i="12"/>
  <c r="BE310" i="12"/>
  <c r="BE302" i="12"/>
  <c r="BE294" i="12"/>
  <c r="BE286" i="12"/>
  <c r="BE278" i="12"/>
  <c r="BE178" i="12"/>
  <c r="BE166" i="12"/>
  <c r="BE158" i="12"/>
  <c r="BE150" i="12"/>
  <c r="BE271" i="12"/>
  <c r="BE255" i="12"/>
  <c r="BE239" i="12"/>
  <c r="BE223" i="12"/>
  <c r="BE207" i="12"/>
  <c r="BE191" i="12"/>
  <c r="BE270" i="12"/>
  <c r="BE238" i="12"/>
  <c r="BE206" i="12"/>
  <c r="BE173" i="12"/>
  <c r="BE212" i="12"/>
  <c r="BE224" i="12"/>
  <c r="BE184" i="12"/>
  <c r="BE314" i="12"/>
  <c r="BE305" i="12"/>
  <c r="BE297" i="12"/>
  <c r="BE289" i="12"/>
  <c r="BE281" i="12"/>
  <c r="BE273" i="12"/>
  <c r="BE169" i="12"/>
  <c r="BE161" i="12"/>
  <c r="BE153" i="12"/>
  <c r="BE145" i="12"/>
  <c r="BE261" i="12"/>
  <c r="BE245" i="12"/>
  <c r="BE229" i="12"/>
  <c r="BE213" i="12"/>
  <c r="BE197" i="12"/>
  <c r="BE179" i="12"/>
  <c r="BE250" i="12"/>
  <c r="BE218" i="12"/>
  <c r="BE186" i="12"/>
  <c r="BE236" i="12"/>
  <c r="BE272" i="12"/>
  <c r="BE232" i="12"/>
  <c r="BE306" i="12"/>
  <c r="BE290" i="12"/>
  <c r="BE274" i="12"/>
  <c r="BE162" i="12"/>
  <c r="BE146" i="12"/>
  <c r="BE247" i="12"/>
  <c r="BE215" i="12"/>
  <c r="BE183" i="12"/>
  <c r="BE222" i="12"/>
  <c r="BE177" i="12"/>
  <c r="BA316" i="13"/>
  <c r="BA306" i="13"/>
  <c r="BA298" i="13"/>
  <c r="BA307" i="13"/>
  <c r="BA305" i="13"/>
  <c r="BA286" i="13"/>
  <c r="BA278" i="13"/>
  <c r="BA270" i="13"/>
  <c r="BA262" i="13"/>
  <c r="BA254" i="13"/>
  <c r="BA246" i="13"/>
  <c r="BA303" i="13"/>
  <c r="BA287" i="13"/>
  <c r="BA279" i="13"/>
  <c r="BA249" i="13"/>
  <c r="BA291" i="13"/>
  <c r="BA241" i="13"/>
  <c r="BA238" i="13"/>
  <c r="BA230" i="13"/>
  <c r="BA222" i="13"/>
  <c r="BA239" i="13"/>
  <c r="BA223" i="13"/>
  <c r="BA218" i="13"/>
  <c r="BA210" i="13"/>
  <c r="BA202" i="13"/>
  <c r="BA233" i="13"/>
  <c r="BA195" i="13"/>
  <c r="BA188" i="13"/>
  <c r="BA180" i="13"/>
  <c r="BA172" i="13"/>
  <c r="BA164" i="13"/>
  <c r="BA156" i="13"/>
  <c r="BA209" i="13"/>
  <c r="BA221" i="13"/>
  <c r="BA193" i="13"/>
  <c r="BA177" i="13"/>
  <c r="BA161" i="13"/>
  <c r="BA152" i="13"/>
  <c r="BA148" i="13"/>
  <c r="BA144" i="13"/>
  <c r="BA191" i="13"/>
  <c r="BA213" i="13"/>
  <c r="BA183" i="13"/>
  <c r="BA179" i="13"/>
  <c r="BA310" i="13"/>
  <c r="BA294" i="13"/>
  <c r="BA290" i="13"/>
  <c r="BA274" i="13"/>
  <c r="BA258" i="13"/>
  <c r="BA293" i="13"/>
  <c r="BA311" i="13"/>
  <c r="BA242" i="13"/>
  <c r="BA259" i="13"/>
  <c r="BA226" i="13"/>
  <c r="BA231" i="13"/>
  <c r="BA214" i="13"/>
  <c r="BA198" i="13"/>
  <c r="BA192" i="13"/>
  <c r="BA176" i="13"/>
  <c r="BA160" i="13"/>
  <c r="BA253" i="13"/>
  <c r="BA185" i="13"/>
  <c r="BA205" i="13"/>
  <c r="BA146" i="13"/>
  <c r="BA159" i="13"/>
  <c r="BA237" i="13"/>
  <c r="BA315" i="13"/>
  <c r="BA308" i="13"/>
  <c r="BA300" i="13"/>
  <c r="BA292" i="13"/>
  <c r="BA313" i="13"/>
  <c r="BA288" i="13"/>
  <c r="BA280" i="13"/>
  <c r="BA272" i="13"/>
  <c r="BA264" i="13"/>
  <c r="BA256" i="13"/>
  <c r="BA248" i="13"/>
  <c r="BA314" i="13"/>
  <c r="BA309" i="13"/>
  <c r="BA289" i="13"/>
  <c r="BA257" i="13"/>
  <c r="BA240" i="13"/>
  <c r="BA251" i="13"/>
  <c r="BA247" i="13"/>
  <c r="BA232" i="13"/>
  <c r="BA224" i="13"/>
  <c r="BA243" i="13"/>
  <c r="BA227" i="13"/>
  <c r="BA219" i="13"/>
  <c r="BA212" i="13"/>
  <c r="BA204" i="13"/>
  <c r="BA196" i="13"/>
  <c r="BA203" i="13"/>
  <c r="BA190" i="13"/>
  <c r="BA182" i="13"/>
  <c r="BA174" i="13"/>
  <c r="BA166" i="13"/>
  <c r="BA158" i="13"/>
  <c r="BA255" i="13"/>
  <c r="BA229" i="13"/>
  <c r="BA199" i="13"/>
  <c r="BA181" i="13"/>
  <c r="BA165" i="13"/>
  <c r="BA153" i="13"/>
  <c r="BA149" i="13"/>
  <c r="BA145" i="13"/>
  <c r="BA207" i="13"/>
  <c r="BA217" i="13"/>
  <c r="BA155" i="13"/>
  <c r="BA197" i="13"/>
  <c r="BA317" i="13"/>
  <c r="BA302" i="13"/>
  <c r="BA318" i="13"/>
  <c r="BA282" i="13"/>
  <c r="BA266" i="13"/>
  <c r="BA250" i="13"/>
  <c r="BA283" i="13"/>
  <c r="BA265" i="13"/>
  <c r="BA261" i="13"/>
  <c r="BA234" i="13"/>
  <c r="BA263" i="13"/>
  <c r="BA245" i="13"/>
  <c r="BA206" i="13"/>
  <c r="BA211" i="13"/>
  <c r="BA184" i="13"/>
  <c r="BA168" i="13"/>
  <c r="BA285" i="13"/>
  <c r="BA215" i="13"/>
  <c r="BA169" i="13"/>
  <c r="BA150" i="13"/>
  <c r="BA281" i="13"/>
  <c r="BA171" i="13"/>
  <c r="BA296" i="13"/>
  <c r="BA276" i="13"/>
  <c r="BA301" i="13"/>
  <c r="BA244" i="13"/>
  <c r="BA228" i="13"/>
  <c r="BA216" i="13"/>
  <c r="BA194" i="13"/>
  <c r="BA162" i="13"/>
  <c r="BA189" i="13"/>
  <c r="BA147" i="13"/>
  <c r="BA163" i="13"/>
  <c r="BA299" i="13"/>
  <c r="BA295" i="13"/>
  <c r="BA275" i="13"/>
  <c r="BA186" i="13"/>
  <c r="BA173" i="13"/>
  <c r="BA167" i="13"/>
  <c r="BA304" i="13"/>
  <c r="BA284" i="13"/>
  <c r="BA252" i="13"/>
  <c r="BA273" i="13"/>
  <c r="BA236" i="13"/>
  <c r="BA277" i="13"/>
  <c r="BA225" i="13"/>
  <c r="BA170" i="13"/>
  <c r="BA220" i="13"/>
  <c r="BA151" i="13"/>
  <c r="BA187" i="13"/>
  <c r="BA312" i="13"/>
  <c r="BA297" i="13"/>
  <c r="BA260" i="13"/>
  <c r="BA271" i="13"/>
  <c r="BA267" i="13"/>
  <c r="BA235" i="13"/>
  <c r="BA200" i="13"/>
  <c r="BA178" i="13"/>
  <c r="BA201" i="13"/>
  <c r="BA157" i="13"/>
  <c r="BA175" i="13"/>
  <c r="BA268" i="13"/>
  <c r="BA269" i="13"/>
  <c r="BA208" i="13"/>
  <c r="BA154" i="13"/>
  <c r="BA310" i="12"/>
  <c r="BA306" i="12"/>
  <c r="BA302" i="12"/>
  <c r="BA298" i="12"/>
  <c r="BA294" i="12"/>
  <c r="BA290" i="12"/>
  <c r="BA286" i="12"/>
  <c r="BA282" i="12"/>
  <c r="BA278" i="12"/>
  <c r="BA274" i="12"/>
  <c r="BA313" i="12"/>
  <c r="BA270" i="12"/>
  <c r="BA266" i="12"/>
  <c r="BA262" i="12"/>
  <c r="BA258" i="12"/>
  <c r="BA254" i="12"/>
  <c r="BA250" i="12"/>
  <c r="BA246" i="12"/>
  <c r="BA242" i="12"/>
  <c r="BA238" i="12"/>
  <c r="BA234" i="12"/>
  <c r="BA230" i="12"/>
  <c r="BA226" i="12"/>
  <c r="BA222" i="12"/>
  <c r="BA218" i="12"/>
  <c r="BA214" i="12"/>
  <c r="BA210" i="12"/>
  <c r="BA206" i="12"/>
  <c r="BA202" i="12"/>
  <c r="BA198" i="12"/>
  <c r="BA194" i="12"/>
  <c r="BA190" i="12"/>
  <c r="BA186" i="12"/>
  <c r="BA182" i="12"/>
  <c r="BA167" i="12"/>
  <c r="BA163" i="12"/>
  <c r="BA159" i="12"/>
  <c r="BA155" i="12"/>
  <c r="BA151" i="12"/>
  <c r="BA147" i="12"/>
  <c r="BA177" i="12"/>
  <c r="BA317" i="12"/>
  <c r="BA176" i="12"/>
  <c r="BA311" i="12"/>
  <c r="BA307" i="12"/>
  <c r="BA303" i="12"/>
  <c r="BA299" i="12"/>
  <c r="BA295" i="12"/>
  <c r="BA291" i="12"/>
  <c r="BA287" i="12"/>
  <c r="BA283" i="12"/>
  <c r="BA279" i="12"/>
  <c r="BA275" i="12"/>
  <c r="BA315" i="12"/>
  <c r="BA271" i="12"/>
  <c r="BA267" i="12"/>
  <c r="BA263" i="12"/>
  <c r="BA259" i="12"/>
  <c r="BA255" i="12"/>
  <c r="BA251" i="12"/>
  <c r="BA247" i="12"/>
  <c r="BA243" i="12"/>
  <c r="BA239" i="12"/>
  <c r="BA235" i="12"/>
  <c r="BA231" i="12"/>
  <c r="BA227" i="12"/>
  <c r="BA223" i="12"/>
  <c r="BA219" i="12"/>
  <c r="BA215" i="12"/>
  <c r="BA211" i="12"/>
  <c r="BA207" i="12"/>
  <c r="BA203" i="12"/>
  <c r="BA199" i="12"/>
  <c r="BA195" i="12"/>
  <c r="BA191" i="12"/>
  <c r="BA187" i="12"/>
  <c r="BA183" i="12"/>
  <c r="BA168" i="12"/>
  <c r="BA164" i="12"/>
  <c r="BA160" i="12"/>
  <c r="BA156" i="12"/>
  <c r="BA152" i="12"/>
  <c r="BA148" i="12"/>
  <c r="BA144" i="12"/>
  <c r="BA179" i="12"/>
  <c r="BA171" i="12"/>
  <c r="BA174" i="12"/>
  <c r="BA304" i="12"/>
  <c r="BA296" i="12"/>
  <c r="BA288" i="12"/>
  <c r="BA280" i="12"/>
  <c r="BA316" i="12"/>
  <c r="BA268" i="12"/>
  <c r="BA260" i="12"/>
  <c r="BA252" i="12"/>
  <c r="BA244" i="12"/>
  <c r="BA236" i="12"/>
  <c r="BA228" i="12"/>
  <c r="BA220" i="12"/>
  <c r="BA212" i="12"/>
  <c r="BA204" i="12"/>
  <c r="BA196" i="12"/>
  <c r="BA188" i="12"/>
  <c r="BA169" i="12"/>
  <c r="BA161" i="12"/>
  <c r="BA153" i="12"/>
  <c r="BA145" i="12"/>
  <c r="BA173" i="12"/>
  <c r="BA180" i="12"/>
  <c r="BA301" i="12"/>
  <c r="BA285" i="12"/>
  <c r="BA312" i="12"/>
  <c r="BA257" i="12"/>
  <c r="BA241" i="12"/>
  <c r="BA225" i="12"/>
  <c r="BA209" i="12"/>
  <c r="BA193" i="12"/>
  <c r="BA185" i="12"/>
  <c r="BA158" i="12"/>
  <c r="BA314" i="12"/>
  <c r="BA305" i="12"/>
  <c r="BA297" i="12"/>
  <c r="BA289" i="12"/>
  <c r="BA281" i="12"/>
  <c r="BA273" i="12"/>
  <c r="BA269" i="12"/>
  <c r="BA261" i="12"/>
  <c r="BA253" i="12"/>
  <c r="BA245" i="12"/>
  <c r="BA237" i="12"/>
  <c r="BA229" i="12"/>
  <c r="BA221" i="12"/>
  <c r="BA213" i="12"/>
  <c r="BA205" i="12"/>
  <c r="BA197" i="12"/>
  <c r="BA189" i="12"/>
  <c r="BA170" i="12"/>
  <c r="BA162" i="12"/>
  <c r="BA154" i="12"/>
  <c r="BA146" i="12"/>
  <c r="BA175" i="12"/>
  <c r="BA172" i="12"/>
  <c r="BA308" i="12"/>
  <c r="BA300" i="12"/>
  <c r="BA292" i="12"/>
  <c r="BA284" i="12"/>
  <c r="BA276" i="12"/>
  <c r="BA272" i="12"/>
  <c r="BA264" i="12"/>
  <c r="BA256" i="12"/>
  <c r="BA248" i="12"/>
  <c r="BA240" i="12"/>
  <c r="BA232" i="12"/>
  <c r="BA224" i="12"/>
  <c r="BA216" i="12"/>
  <c r="BA208" i="12"/>
  <c r="BA200" i="12"/>
  <c r="BA192" i="12"/>
  <c r="BA184" i="12"/>
  <c r="BA165" i="12"/>
  <c r="BA157" i="12"/>
  <c r="BA149" i="12"/>
  <c r="BA181" i="12"/>
  <c r="BA178" i="12"/>
  <c r="BA309" i="12"/>
  <c r="BA293" i="12"/>
  <c r="BA277" i="12"/>
  <c r="BA265" i="12"/>
  <c r="BA249" i="12"/>
  <c r="BA233" i="12"/>
  <c r="BA217" i="12"/>
  <c r="BA201" i="12"/>
  <c r="BA166" i="12"/>
  <c r="BA150" i="12"/>
  <c r="BA318" i="12"/>
  <c r="BE311" i="13"/>
  <c r="BE309" i="13"/>
  <c r="BE293" i="13"/>
  <c r="BE305" i="13"/>
  <c r="BE307" i="13"/>
  <c r="BE279" i="13"/>
  <c r="BE281" i="13"/>
  <c r="BE267" i="13"/>
  <c r="BE283" i="13"/>
  <c r="BE269" i="13"/>
  <c r="BE253" i="13"/>
  <c r="BE273" i="13"/>
  <c r="BE238" i="13"/>
  <c r="BE230" i="13"/>
  <c r="BE222" i="13"/>
  <c r="BE271" i="13"/>
  <c r="BE251" i="13"/>
  <c r="BE286" i="13"/>
  <c r="BE217" i="13"/>
  <c r="BE249" i="13"/>
  <c r="BE225" i="13"/>
  <c r="BE215" i="13"/>
  <c r="BE199" i="13"/>
  <c r="BE235" i="13"/>
  <c r="BE206" i="13"/>
  <c r="BE193" i="13"/>
  <c r="BE185" i="13"/>
  <c r="BE177" i="13"/>
  <c r="BE169" i="13"/>
  <c r="BE161" i="13"/>
  <c r="BE285" i="13"/>
  <c r="BE203" i="13"/>
  <c r="BE209" i="13"/>
  <c r="BE182" i="13"/>
  <c r="BE166" i="13"/>
  <c r="BE212" i="13"/>
  <c r="BE152" i="13"/>
  <c r="BE144" i="13"/>
  <c r="BE192" i="13"/>
  <c r="BE188" i="13"/>
  <c r="BE145" i="13"/>
  <c r="BE260" i="13"/>
  <c r="BE202" i="13"/>
  <c r="BE303" i="13"/>
  <c r="BE316" i="13"/>
  <c r="BE287" i="13"/>
  <c r="BE275" i="13"/>
  <c r="BE277" i="13"/>
  <c r="BE245" i="13"/>
  <c r="BE234" i="13"/>
  <c r="BE291" i="13"/>
  <c r="BE243" i="13"/>
  <c r="BE290" i="13"/>
  <c r="BE240" i="13"/>
  <c r="BE266" i="13"/>
  <c r="BE198" i="13"/>
  <c r="BE181" i="13"/>
  <c r="BE165" i="13"/>
  <c r="BE218" i="13"/>
  <c r="BE190" i="13"/>
  <c r="BE158" i="13"/>
  <c r="BE148" i="13"/>
  <c r="BE160" i="13"/>
  <c r="BE196" i="13"/>
  <c r="BE149" i="13"/>
  <c r="BE312" i="13"/>
  <c r="BE310" i="13"/>
  <c r="BE294" i="13"/>
  <c r="BE306" i="13"/>
  <c r="BE308" i="13"/>
  <c r="BE280" i="13"/>
  <c r="BE282" i="13"/>
  <c r="BE268" i="13"/>
  <c r="BE284" i="13"/>
  <c r="BE270" i="13"/>
  <c r="BE254" i="13"/>
  <c r="BE274" i="13"/>
  <c r="BE255" i="13"/>
  <c r="BE232" i="13"/>
  <c r="BE224" i="13"/>
  <c r="BE272" i="13"/>
  <c r="BE252" i="13"/>
  <c r="BE298" i="13"/>
  <c r="BE221" i="13"/>
  <c r="BE250" i="13"/>
  <c r="BE229" i="13"/>
  <c r="BE216" i="13"/>
  <c r="BE200" i="13"/>
  <c r="BE259" i="13"/>
  <c r="BE213" i="13"/>
  <c r="BE197" i="13"/>
  <c r="BE187" i="13"/>
  <c r="BE179" i="13"/>
  <c r="BE171" i="13"/>
  <c r="BE163" i="13"/>
  <c r="BE155" i="13"/>
  <c r="BE204" i="13"/>
  <c r="BE210" i="13"/>
  <c r="BE186" i="13"/>
  <c r="BE170" i="13"/>
  <c r="BE154" i="13"/>
  <c r="BE164" i="13"/>
  <c r="BE146" i="13"/>
  <c r="BE211" i="13"/>
  <c r="BE223" i="13"/>
  <c r="BE151" i="13"/>
  <c r="BE153" i="13"/>
  <c r="BE147" i="13"/>
  <c r="BE241" i="13"/>
  <c r="BE314" i="13"/>
  <c r="BE301" i="13"/>
  <c r="BE318" i="13"/>
  <c r="BE292" i="13"/>
  <c r="BE295" i="13"/>
  <c r="BE261" i="13"/>
  <c r="BE256" i="13"/>
  <c r="BE226" i="13"/>
  <c r="BE263" i="13"/>
  <c r="BE247" i="13"/>
  <c r="BE233" i="13"/>
  <c r="BE207" i="13"/>
  <c r="BE214" i="13"/>
  <c r="BE189" i="13"/>
  <c r="BE173" i="13"/>
  <c r="BE157" i="13"/>
  <c r="BE231" i="13"/>
  <c r="BE174" i="13"/>
  <c r="BE180" i="13"/>
  <c r="BE239" i="13"/>
  <c r="BE156" i="13"/>
  <c r="BE172" i="13"/>
  <c r="BE317" i="13"/>
  <c r="BE276" i="13"/>
  <c r="BE246" i="13"/>
  <c r="BE220" i="13"/>
  <c r="BE300" i="13"/>
  <c r="BE289" i="13"/>
  <c r="BE183" i="13"/>
  <c r="BE257" i="13"/>
  <c r="BE162" i="13"/>
  <c r="BE176" i="13"/>
  <c r="BE195" i="13"/>
  <c r="BE315" i="13"/>
  <c r="BE175" i="13"/>
  <c r="BE302" i="13"/>
  <c r="BE313" i="13"/>
  <c r="BE262" i="13"/>
  <c r="BE228" i="13"/>
  <c r="BE248" i="13"/>
  <c r="BE208" i="13"/>
  <c r="BE191" i="13"/>
  <c r="BE159" i="13"/>
  <c r="BE178" i="13"/>
  <c r="BE242" i="13"/>
  <c r="BE184" i="13"/>
  <c r="BE304" i="13"/>
  <c r="BE288" i="13"/>
  <c r="BE278" i="13"/>
  <c r="BE236" i="13"/>
  <c r="BE244" i="13"/>
  <c r="BE258" i="13"/>
  <c r="BE205" i="13"/>
  <c r="BE167" i="13"/>
  <c r="BE194" i="13"/>
  <c r="BE150" i="13"/>
  <c r="BE219" i="13"/>
  <c r="BE297" i="13"/>
  <c r="BE296" i="13"/>
  <c r="BE265" i="13"/>
  <c r="BE264" i="13"/>
  <c r="BE237" i="13"/>
  <c r="BE227" i="13"/>
  <c r="BE299" i="13"/>
  <c r="BE201" i="13"/>
  <c r="BE168" i="13"/>
  <c r="BE318" i="9"/>
  <c r="BE314" i="9"/>
  <c r="BE310" i="9"/>
  <c r="BE306" i="9"/>
  <c r="BE302" i="9"/>
  <c r="BE298" i="9"/>
  <c r="BE294" i="9"/>
  <c r="BE290" i="9"/>
  <c r="BE286" i="9"/>
  <c r="BE282" i="9"/>
  <c r="BE278" i="9"/>
  <c r="BE274" i="9"/>
  <c r="BE270" i="9"/>
  <c r="BE266" i="9"/>
  <c r="BE262" i="9"/>
  <c r="BE258" i="9"/>
  <c r="BE254" i="9"/>
  <c r="BE250" i="9"/>
  <c r="BE246" i="9"/>
  <c r="BE242" i="9"/>
  <c r="BE238" i="9"/>
  <c r="BE233" i="9"/>
  <c r="BE229" i="9"/>
  <c r="BE225" i="9"/>
  <c r="BE221" i="9"/>
  <c r="BE217" i="9"/>
  <c r="BE213" i="9"/>
  <c r="BE209" i="9"/>
  <c r="BE205" i="9"/>
  <c r="BE201" i="9"/>
  <c r="BE197" i="9"/>
  <c r="BE193" i="9"/>
  <c r="BE189" i="9"/>
  <c r="BE185" i="9"/>
  <c r="BE181" i="9"/>
  <c r="BE177" i="9"/>
  <c r="BE173" i="9"/>
  <c r="BE169" i="9"/>
  <c r="BE165" i="9"/>
  <c r="BE161" i="9"/>
  <c r="BE157" i="9"/>
  <c r="BE153" i="9"/>
  <c r="BE149" i="9"/>
  <c r="BE145" i="9"/>
  <c r="BE316" i="9"/>
  <c r="BE308" i="9"/>
  <c r="BE300" i="9"/>
  <c r="BE292" i="9"/>
  <c r="BE284" i="9"/>
  <c r="BE276" i="9"/>
  <c r="BE268" i="9"/>
  <c r="BE260" i="9"/>
  <c r="BE252" i="9"/>
  <c r="BE244" i="9"/>
  <c r="BE235" i="9"/>
  <c r="BE223" i="9"/>
  <c r="BE215" i="9"/>
  <c r="BE207" i="9"/>
  <c r="BE199" i="9"/>
  <c r="BE191" i="9"/>
  <c r="BE183" i="9"/>
  <c r="BE175" i="9"/>
  <c r="BE167" i="9"/>
  <c r="BE159" i="9"/>
  <c r="BE151" i="9"/>
  <c r="BE143" i="9"/>
  <c r="BE315" i="9"/>
  <c r="BE311" i="9"/>
  <c r="BE307" i="9"/>
  <c r="BE303" i="9"/>
  <c r="BE299" i="9"/>
  <c r="BE295" i="9"/>
  <c r="BE291" i="9"/>
  <c r="BE287" i="9"/>
  <c r="BE283" i="9"/>
  <c r="BE279" i="9"/>
  <c r="BE275" i="9"/>
  <c r="BE271" i="9"/>
  <c r="BE267" i="9"/>
  <c r="BE263" i="9"/>
  <c r="BE259" i="9"/>
  <c r="BE255" i="9"/>
  <c r="BE251" i="9"/>
  <c r="BE247" i="9"/>
  <c r="BE243" i="9"/>
  <c r="BE239" i="9"/>
  <c r="BE234" i="9"/>
  <c r="BE230" i="9"/>
  <c r="BE226" i="9"/>
  <c r="BE222" i="9"/>
  <c r="BE218" i="9"/>
  <c r="BE214" i="9"/>
  <c r="BE210" i="9"/>
  <c r="BE206" i="9"/>
  <c r="BE202" i="9"/>
  <c r="BE198" i="9"/>
  <c r="BE194" i="9"/>
  <c r="BE190" i="9"/>
  <c r="BE186" i="9"/>
  <c r="BE182" i="9"/>
  <c r="BE178" i="9"/>
  <c r="BE174" i="9"/>
  <c r="BE170" i="9"/>
  <c r="BE166" i="9"/>
  <c r="BE162" i="9"/>
  <c r="BE158" i="9"/>
  <c r="BE154" i="9"/>
  <c r="BE150" i="9"/>
  <c r="BE146" i="9"/>
  <c r="BE236" i="9"/>
  <c r="BE312" i="9"/>
  <c r="BE304" i="9"/>
  <c r="BE296" i="9"/>
  <c r="BE288" i="9"/>
  <c r="BE280" i="9"/>
  <c r="BE272" i="9"/>
  <c r="BE264" i="9"/>
  <c r="BE256" i="9"/>
  <c r="BE248" i="9"/>
  <c r="BE240" i="9"/>
  <c r="BE231" i="9"/>
  <c r="BE227" i="9"/>
  <c r="BE219" i="9"/>
  <c r="BE211" i="9"/>
  <c r="BE203" i="9"/>
  <c r="BE195" i="9"/>
  <c r="BE187" i="9"/>
  <c r="BE179" i="9"/>
  <c r="BE171" i="9"/>
  <c r="BE163" i="9"/>
  <c r="BE155" i="9"/>
  <c r="BE147" i="9"/>
  <c r="BE317" i="9"/>
  <c r="BE301" i="9"/>
  <c r="BE285" i="9"/>
  <c r="BE269" i="9"/>
  <c r="BE253" i="9"/>
  <c r="BE237" i="9"/>
  <c r="BE220" i="9"/>
  <c r="BE204" i="9"/>
  <c r="BE188" i="9"/>
  <c r="BE172" i="9"/>
  <c r="BE156" i="9"/>
  <c r="BE297" i="9"/>
  <c r="BE265" i="9"/>
  <c r="BE232" i="9"/>
  <c r="BE200" i="9"/>
  <c r="BE168" i="9"/>
  <c r="BE305" i="9"/>
  <c r="BE289" i="9"/>
  <c r="BE273" i="9"/>
  <c r="BE257" i="9"/>
  <c r="BE241" i="9"/>
  <c r="BE224" i="9"/>
  <c r="BE208" i="9"/>
  <c r="BE192" i="9"/>
  <c r="BE176" i="9"/>
  <c r="BE160" i="9"/>
  <c r="BE144" i="9"/>
  <c r="BE309" i="9"/>
  <c r="BE293" i="9"/>
  <c r="BE277" i="9"/>
  <c r="BE261" i="9"/>
  <c r="BE245" i="9"/>
  <c r="BE228" i="9"/>
  <c r="BE212" i="9"/>
  <c r="BE196" i="9"/>
  <c r="BE180" i="9"/>
  <c r="BE164" i="9"/>
  <c r="BE148" i="9"/>
  <c r="BE313" i="9"/>
  <c r="BE281" i="9"/>
  <c r="BE249" i="9"/>
  <c r="BE216" i="9"/>
  <c r="BE184" i="9"/>
  <c r="BE152" i="9"/>
  <c r="W235" i="9"/>
  <c r="W312" i="9"/>
  <c r="W222" i="9"/>
  <c r="W163" i="9"/>
  <c r="W248" i="9"/>
  <c r="W183" i="9"/>
  <c r="W289" i="9"/>
  <c r="W223" i="9"/>
  <c r="W158" i="9"/>
  <c r="W272" i="9"/>
  <c r="W182" i="9"/>
  <c r="W217" i="9"/>
  <c r="W165" i="9"/>
  <c r="W240" i="9"/>
  <c r="W247" i="9"/>
  <c r="W279" i="9"/>
  <c r="W275" i="9"/>
  <c r="W301" i="9"/>
  <c r="W206" i="9"/>
  <c r="W296" i="9"/>
  <c r="W293" i="9"/>
  <c r="W303" i="9"/>
  <c r="W204" i="9"/>
  <c r="W238" i="9"/>
  <c r="W310" i="9"/>
  <c r="W189" i="9"/>
  <c r="W253" i="9"/>
  <c r="W173" i="9"/>
  <c r="W263" i="9"/>
  <c r="W162" i="9"/>
  <c r="W194" i="9"/>
  <c r="W226" i="9"/>
  <c r="W259" i="9"/>
  <c r="W252" i="9"/>
  <c r="W284" i="9"/>
  <c r="W316" i="9"/>
  <c r="W193" i="9"/>
  <c r="W177" i="9"/>
  <c r="W164" i="9"/>
  <c r="W228" i="9"/>
  <c r="W246" i="9"/>
  <c r="W302" i="9"/>
  <c r="W187" i="9"/>
  <c r="W245" i="9"/>
  <c r="W169" i="9"/>
  <c r="W255" i="9"/>
  <c r="W160" i="9"/>
  <c r="W192" i="9"/>
  <c r="W224" i="9"/>
  <c r="W251" i="9"/>
  <c r="W250" i="9"/>
  <c r="W282" i="9"/>
  <c r="W314" i="9"/>
  <c r="W262" i="9"/>
  <c r="W295" i="9"/>
  <c r="W292" i="9"/>
  <c r="W254" i="9"/>
  <c r="W199" i="9"/>
  <c r="W200" i="9"/>
  <c r="W290" i="9"/>
  <c r="W214" i="9"/>
  <c r="W231" i="9"/>
  <c r="W280" i="9"/>
  <c r="W179" i="9"/>
  <c r="W230" i="9"/>
  <c r="W236" i="9"/>
  <c r="W207" i="9"/>
  <c r="W174" i="9"/>
  <c r="W264" i="9"/>
  <c r="W227" i="9"/>
  <c r="W239" i="9"/>
  <c r="W188" i="9"/>
  <c r="W267" i="9"/>
  <c r="W294" i="9"/>
  <c r="W171" i="9"/>
  <c r="W225" i="9"/>
  <c r="W157" i="9"/>
  <c r="W233" i="9"/>
  <c r="W154" i="9"/>
  <c r="W186" i="9"/>
  <c r="W218" i="9"/>
  <c r="W305" i="9"/>
  <c r="W244" i="9"/>
  <c r="W276" i="9"/>
  <c r="W308" i="9"/>
  <c r="W161" i="9"/>
  <c r="W145" i="9"/>
  <c r="W148" i="9"/>
  <c r="W212" i="9"/>
  <c r="W299" i="9"/>
  <c r="W286" i="9"/>
  <c r="W167" i="9"/>
  <c r="W221" i="9"/>
  <c r="W153" i="9"/>
  <c r="W229" i="9"/>
  <c r="W152" i="9"/>
  <c r="W184" i="9"/>
  <c r="W216" i="9"/>
  <c r="W297" i="9"/>
  <c r="W242" i="9"/>
  <c r="W274" i="9"/>
  <c r="W306" i="9"/>
  <c r="W304" i="9"/>
  <c r="W166" i="9"/>
  <c r="W197" i="9"/>
  <c r="W175" i="9"/>
  <c r="W285" i="9"/>
  <c r="W260" i="9"/>
  <c r="W219" i="9"/>
  <c r="W181" i="9"/>
  <c r="W283" i="9"/>
  <c r="W150" i="9"/>
  <c r="W243" i="9"/>
  <c r="W269" i="9"/>
  <c r="W198" i="9"/>
  <c r="W288" i="9"/>
  <c r="W147" i="9"/>
  <c r="W311" i="9"/>
  <c r="W307" i="9"/>
  <c r="W205" i="9"/>
  <c r="W191" i="9"/>
  <c r="W172" i="9"/>
  <c r="W249" i="9"/>
  <c r="W278" i="9"/>
  <c r="W155" i="9"/>
  <c r="W211" i="9"/>
  <c r="W317" i="9"/>
  <c r="W213" i="9"/>
  <c r="W146" i="9"/>
  <c r="W178" i="9"/>
  <c r="W210" i="9"/>
  <c r="W273" i="9"/>
  <c r="W234" i="9"/>
  <c r="W268" i="9"/>
  <c r="W300" i="9"/>
  <c r="W143" i="9"/>
  <c r="W261" i="9"/>
  <c r="W271" i="9"/>
  <c r="W196" i="9"/>
  <c r="W313" i="9"/>
  <c r="W270" i="9"/>
  <c r="W151" i="9"/>
  <c r="W209" i="9"/>
  <c r="W309" i="9"/>
  <c r="W203" i="9"/>
  <c r="W144" i="9"/>
  <c r="W176" i="9"/>
  <c r="W208" i="9"/>
  <c r="W265" i="9"/>
  <c r="W315" i="9"/>
  <c r="W266" i="9"/>
  <c r="W298" i="9"/>
  <c r="W149" i="9"/>
  <c r="W190" i="9"/>
  <c r="W195" i="9"/>
  <c r="W256" i="9"/>
  <c r="W257" i="9"/>
  <c r="W159" i="9"/>
  <c r="W156" i="9"/>
  <c r="W220" i="9"/>
  <c r="W201" i="9"/>
  <c r="W185" i="9"/>
  <c r="W170" i="9"/>
  <c r="W202" i="9"/>
  <c r="W241" i="9"/>
  <c r="W291" i="9"/>
  <c r="W237" i="9"/>
  <c r="W215" i="9"/>
  <c r="W180" i="9"/>
  <c r="W281" i="9"/>
  <c r="W318" i="9"/>
  <c r="W277" i="9"/>
  <c r="W287" i="9"/>
  <c r="W168" i="9"/>
  <c r="W232" i="9"/>
  <c r="W258" i="9"/>
  <c r="AA290" i="12"/>
  <c r="AA292" i="12"/>
  <c r="AA318" i="9"/>
  <c r="AA200" i="9"/>
  <c r="AA216" i="9"/>
  <c r="AA281" i="9"/>
  <c r="AA313" i="9"/>
  <c r="AA212" i="9"/>
  <c r="AA176" i="9"/>
  <c r="AA241" i="9"/>
  <c r="AA305" i="9"/>
  <c r="AA196" i="9"/>
  <c r="AA188" i="9"/>
  <c r="AA253" i="9"/>
  <c r="AA317" i="9"/>
  <c r="AA151" i="9"/>
  <c r="AA167" i="9"/>
  <c r="AA183" i="9"/>
  <c r="AA199" i="9"/>
  <c r="AA215" i="9"/>
  <c r="AA231" i="9"/>
  <c r="AA248" i="9"/>
  <c r="AA264" i="9"/>
  <c r="AA280" i="9"/>
  <c r="AA296" i="9"/>
  <c r="AA312" i="9"/>
  <c r="AA150" i="9"/>
  <c r="AA166" i="9"/>
  <c r="AA182" i="9"/>
  <c r="AA198" i="9"/>
  <c r="AA214" i="9"/>
  <c r="AA230" i="9"/>
  <c r="AA247" i="9"/>
  <c r="AA263" i="9"/>
  <c r="AA279" i="9"/>
  <c r="AA295" i="9"/>
  <c r="AA311" i="9"/>
  <c r="AA153" i="9"/>
  <c r="AA169" i="9"/>
  <c r="AA185" i="9"/>
  <c r="AA201" i="9"/>
  <c r="AA217" i="9"/>
  <c r="AA233" i="9"/>
  <c r="AA250" i="9"/>
  <c r="AA266" i="9"/>
  <c r="AA282" i="9"/>
  <c r="AA298" i="9"/>
  <c r="AA314" i="9"/>
  <c r="AA152" i="9"/>
  <c r="AA249" i="9"/>
  <c r="AA297" i="9"/>
  <c r="AA180" i="9"/>
  <c r="AA309" i="9"/>
  <c r="AA160" i="9"/>
  <c r="AA224" i="9"/>
  <c r="AA289" i="9"/>
  <c r="AA164" i="9"/>
  <c r="AA293" i="9"/>
  <c r="AA172" i="9"/>
  <c r="AA236" i="9"/>
  <c r="AA301" i="9"/>
  <c r="AA147" i="9"/>
  <c r="AA163" i="9"/>
  <c r="AA179" i="9"/>
  <c r="AA195" i="9"/>
  <c r="AA211" i="9"/>
  <c r="AA227" i="9"/>
  <c r="AA244" i="9"/>
  <c r="AA260" i="9"/>
  <c r="AA276" i="9"/>
  <c r="AA292" i="9"/>
  <c r="AA308" i="9"/>
  <c r="AA146" i="9"/>
  <c r="AA162" i="9"/>
  <c r="AA178" i="9"/>
  <c r="AA194" i="9"/>
  <c r="AA210" i="9"/>
  <c r="AA226" i="9"/>
  <c r="AA243" i="9"/>
  <c r="AA259" i="9"/>
  <c r="AA275" i="9"/>
  <c r="AA291" i="9"/>
  <c r="AA307" i="9"/>
  <c r="AA149" i="9"/>
  <c r="AA165" i="9"/>
  <c r="AA181" i="9"/>
  <c r="AA197" i="9"/>
  <c r="AA213" i="9"/>
  <c r="AA229" i="9"/>
  <c r="AA246" i="9"/>
  <c r="AA262" i="9"/>
  <c r="AA278" i="9"/>
  <c r="AA294" i="9"/>
  <c r="AA310" i="9"/>
  <c r="AA168" i="9"/>
  <c r="AA192" i="9"/>
  <c r="AA228" i="9"/>
  <c r="AA269" i="9"/>
  <c r="AA184" i="9"/>
  <c r="AA232" i="9"/>
  <c r="AA148" i="9"/>
  <c r="AA277" i="9"/>
  <c r="AA144" i="9"/>
  <c r="AA208" i="9"/>
  <c r="AA273" i="9"/>
  <c r="AA261" i="9"/>
  <c r="AA156" i="9"/>
  <c r="AA220" i="9"/>
  <c r="AA285" i="9"/>
  <c r="AA143" i="9"/>
  <c r="AA159" i="9"/>
  <c r="AA175" i="9"/>
  <c r="AA191" i="9"/>
  <c r="AA207" i="9"/>
  <c r="AA223" i="9"/>
  <c r="AA240" i="9"/>
  <c r="AA256" i="9"/>
  <c r="AA272" i="9"/>
  <c r="AA288" i="9"/>
  <c r="AA304" i="9"/>
  <c r="AA237" i="9"/>
  <c r="AA158" i="9"/>
  <c r="AA174" i="9"/>
  <c r="AA190" i="9"/>
  <c r="AA206" i="9"/>
  <c r="AA222" i="9"/>
  <c r="AA239" i="9"/>
  <c r="AA255" i="9"/>
  <c r="AA271" i="9"/>
  <c r="AA287" i="9"/>
  <c r="AA303" i="9"/>
  <c r="AA145" i="9"/>
  <c r="AA161" i="9"/>
  <c r="AA177" i="9"/>
  <c r="AA193" i="9"/>
  <c r="AA209" i="9"/>
  <c r="AA225" i="9"/>
  <c r="AA242" i="9"/>
  <c r="AA258" i="9"/>
  <c r="AA274" i="9"/>
  <c r="AA290" i="9"/>
  <c r="AA306" i="9"/>
  <c r="AA265" i="9"/>
  <c r="AA245" i="9"/>
  <c r="AA257" i="9"/>
  <c r="AA204" i="9"/>
  <c r="AA155" i="9"/>
  <c r="AA171" i="9"/>
  <c r="AA219" i="9"/>
  <c r="AA284" i="9"/>
  <c r="AA170" i="9"/>
  <c r="AA235" i="9"/>
  <c r="AA299" i="9"/>
  <c r="AA189" i="9"/>
  <c r="AA254" i="9"/>
  <c r="AA203" i="9"/>
  <c r="AA268" i="9"/>
  <c r="AA154" i="9"/>
  <c r="AA218" i="9"/>
  <c r="AA283" i="9"/>
  <c r="AA173" i="9"/>
  <c r="AA238" i="9"/>
  <c r="AA302" i="9"/>
  <c r="AA234" i="9"/>
  <c r="AA186" i="9"/>
  <c r="AA315" i="9"/>
  <c r="AA270" i="9"/>
  <c r="AA187" i="9"/>
  <c r="AA252" i="9"/>
  <c r="AA316" i="9"/>
  <c r="AA202" i="9"/>
  <c r="AA267" i="9"/>
  <c r="AA157" i="9"/>
  <c r="AA221" i="9"/>
  <c r="AA286" i="9"/>
  <c r="AA300" i="9"/>
  <c r="AA251" i="9"/>
  <c r="AA205" i="9"/>
  <c r="Q168" i="13"/>
  <c r="Q152" i="13"/>
  <c r="Q162" i="13"/>
  <c r="Q194" i="13"/>
  <c r="Q221" i="13"/>
  <c r="Q167" i="13"/>
  <c r="Q175" i="13"/>
  <c r="Q191" i="13"/>
  <c r="Q231" i="13"/>
  <c r="Q203" i="13"/>
  <c r="Q233" i="13"/>
  <c r="Q217" i="13"/>
  <c r="Q247" i="13"/>
  <c r="Q292" i="13"/>
  <c r="Q234" i="13"/>
  <c r="Q262" i="13"/>
  <c r="Q258" i="13"/>
  <c r="Q290" i="13"/>
  <c r="Q309" i="13"/>
  <c r="Q304" i="13"/>
  <c r="Q300" i="13"/>
  <c r="Q153" i="13"/>
  <c r="Q218" i="13"/>
  <c r="Q164" i="13"/>
  <c r="Q197" i="13"/>
  <c r="Q214" i="13"/>
  <c r="Q150" i="13"/>
  <c r="Q172" i="13"/>
  <c r="Q158" i="13"/>
  <c r="Q174" i="13"/>
  <c r="Q190" i="13"/>
  <c r="Q227" i="13"/>
  <c r="Q216" i="13"/>
  <c r="Q157" i="13"/>
  <c r="Q165" i="13"/>
  <c r="Q173" i="13"/>
  <c r="Q181" i="13"/>
  <c r="Q189" i="13"/>
  <c r="Q201" i="13"/>
  <c r="Q223" i="13"/>
  <c r="Q196" i="13"/>
  <c r="Q212" i="13"/>
  <c r="Q229" i="13"/>
  <c r="Q255" i="13"/>
  <c r="Q315" i="13"/>
  <c r="Q253" i="13"/>
  <c r="Q240" i="13"/>
  <c r="Q260" i="13"/>
  <c r="Q282" i="13"/>
  <c r="Q224" i="13"/>
  <c r="Q232" i="13"/>
  <c r="Q241" i="13"/>
  <c r="Q261" i="13"/>
  <c r="Q285" i="13"/>
  <c r="Q257" i="13"/>
  <c r="Q273" i="13"/>
  <c r="Q289" i="13"/>
  <c r="Q312" i="13"/>
  <c r="Q288" i="13"/>
  <c r="Q284" i="13"/>
  <c r="Q303" i="13"/>
  <c r="Q302" i="13"/>
  <c r="Q306" i="13"/>
  <c r="Q299" i="13"/>
  <c r="Q316" i="13"/>
  <c r="M159" i="13"/>
  <c r="M233" i="13"/>
  <c r="M155" i="13"/>
  <c r="M147" i="13"/>
  <c r="M151" i="13"/>
  <c r="M201" i="13"/>
  <c r="M165" i="13"/>
  <c r="M181" i="13"/>
  <c r="M211" i="13"/>
  <c r="M205" i="13"/>
  <c r="M291" i="13"/>
  <c r="M162" i="13"/>
  <c r="M170" i="13"/>
  <c r="M178" i="13"/>
  <c r="M186" i="13"/>
  <c r="M194" i="13"/>
  <c r="M229" i="13"/>
  <c r="M198" i="13"/>
  <c r="M206" i="13"/>
  <c r="M214" i="13"/>
  <c r="M241" i="13"/>
  <c r="M221" i="13"/>
  <c r="M235" i="13"/>
  <c r="M224" i="13"/>
  <c r="M232" i="13"/>
  <c r="M243" i="13"/>
  <c r="M247" i="13"/>
  <c r="M242" i="13"/>
  <c r="M269" i="13"/>
  <c r="M307" i="13"/>
  <c r="M295" i="13"/>
  <c r="M299" i="13"/>
  <c r="M248" i="13"/>
  <c r="M256" i="13"/>
  <c r="M264" i="13"/>
  <c r="M272" i="13"/>
  <c r="M280" i="13"/>
  <c r="M288" i="13"/>
  <c r="M309" i="13"/>
  <c r="M292" i="13"/>
  <c r="M300" i="13"/>
  <c r="M308" i="13"/>
  <c r="M315" i="13"/>
  <c r="Q198" i="13"/>
  <c r="Q192" i="13"/>
  <c r="Q144" i="13"/>
  <c r="Q188" i="13"/>
  <c r="Q178" i="13"/>
  <c r="Q199" i="13"/>
  <c r="Q159" i="13"/>
  <c r="Q183" i="13"/>
  <c r="Q202" i="13"/>
  <c r="Q264" i="13"/>
  <c r="Q256" i="13"/>
  <c r="Q254" i="13"/>
  <c r="Q267" i="13"/>
  <c r="Q226" i="13"/>
  <c r="Q242" i="13"/>
  <c r="Q286" i="13"/>
  <c r="Q274" i="13"/>
  <c r="Q271" i="13"/>
  <c r="Q291" i="13"/>
  <c r="Q297" i="13"/>
  <c r="Q313" i="13"/>
  <c r="Q317" i="13"/>
  <c r="Q180" i="13"/>
  <c r="Q176" i="13"/>
  <c r="Q160" i="13"/>
  <c r="Q149" i="13"/>
  <c r="Q213" i="13"/>
  <c r="Q148" i="13"/>
  <c r="Q156" i="13"/>
  <c r="Q208" i="13"/>
  <c r="Q170" i="13"/>
  <c r="Q186" i="13"/>
  <c r="Q206" i="13"/>
  <c r="Q215" i="13"/>
  <c r="Q155" i="13"/>
  <c r="Q163" i="13"/>
  <c r="Q171" i="13"/>
  <c r="Q179" i="13"/>
  <c r="Q187" i="13"/>
  <c r="Q195" i="13"/>
  <c r="Q210" i="13"/>
  <c r="Q246" i="13"/>
  <c r="Q211" i="13"/>
  <c r="Q225" i="13"/>
  <c r="Q245" i="13"/>
  <c r="Q278" i="13"/>
  <c r="Q244" i="13"/>
  <c r="Q276" i="13"/>
  <c r="Q259" i="13"/>
  <c r="Q281" i="13"/>
  <c r="Q222" i="13"/>
  <c r="Q230" i="13"/>
  <c r="Q238" i="13"/>
  <c r="Q252" i="13"/>
  <c r="Q270" i="13"/>
  <c r="Q250" i="13"/>
  <c r="Q266" i="13"/>
  <c r="Q280" i="13"/>
  <c r="Q311" i="13"/>
  <c r="Q287" i="13"/>
  <c r="Q283" i="13"/>
  <c r="Q296" i="13"/>
  <c r="Q301" i="13"/>
  <c r="Q305" i="13"/>
  <c r="Q318" i="13"/>
  <c r="M179" i="13"/>
  <c r="M195" i="13"/>
  <c r="M209" i="13"/>
  <c r="M203" i="13"/>
  <c r="M146" i="13"/>
  <c r="M150" i="13"/>
  <c r="M154" i="13"/>
  <c r="M161" i="13"/>
  <c r="M177" i="13"/>
  <c r="M193" i="13"/>
  <c r="M197" i="13"/>
  <c r="M263" i="13"/>
  <c r="M160" i="13"/>
  <c r="M168" i="13"/>
  <c r="M176" i="13"/>
  <c r="M184" i="13"/>
  <c r="M192" i="13"/>
  <c r="M215" i="13"/>
  <c r="M196" i="13"/>
  <c r="M204" i="13"/>
  <c r="M212" i="13"/>
  <c r="M222" i="13"/>
  <c r="M220" i="13"/>
  <c r="M231" i="13"/>
  <c r="M271" i="13"/>
  <c r="M230" i="13"/>
  <c r="M238" i="13"/>
  <c r="M245" i="13"/>
  <c r="M240" i="13"/>
  <c r="M261" i="13"/>
  <c r="M297" i="13"/>
  <c r="M283" i="13"/>
  <c r="M287" i="13"/>
  <c r="M246" i="13"/>
  <c r="M254" i="13"/>
  <c r="M262" i="13"/>
  <c r="M270" i="13"/>
  <c r="M278" i="13"/>
  <c r="M286" i="13"/>
  <c r="M301" i="13"/>
  <c r="M316" i="13"/>
  <c r="M298" i="13"/>
  <c r="M306" i="13"/>
  <c r="F318" i="9"/>
  <c r="F314" i="9"/>
  <c r="F310" i="9"/>
  <c r="F306" i="9"/>
  <c r="F302" i="9"/>
  <c r="F298" i="9"/>
  <c r="F294" i="9"/>
  <c r="F290" i="9"/>
  <c r="F286" i="9"/>
  <c r="F282" i="9"/>
  <c r="F278" i="9"/>
  <c r="F274" i="9"/>
  <c r="F270" i="9"/>
  <c r="F266" i="9"/>
  <c r="F262" i="9"/>
  <c r="F258" i="9"/>
  <c r="F254" i="9"/>
  <c r="F250" i="9"/>
  <c r="F246" i="9"/>
  <c r="F242" i="9"/>
  <c r="F238" i="9"/>
  <c r="F233" i="9"/>
  <c r="F229" i="9"/>
  <c r="F225" i="9"/>
  <c r="F221" i="9"/>
  <c r="F217" i="9"/>
  <c r="F213" i="9"/>
  <c r="F209" i="9"/>
  <c r="F205" i="9"/>
  <c r="F201" i="9"/>
  <c r="F197" i="9"/>
  <c r="F193" i="9"/>
  <c r="F189" i="9"/>
  <c r="F185" i="9"/>
  <c r="F181" i="9"/>
  <c r="F177" i="9"/>
  <c r="F173" i="9"/>
  <c r="F169" i="9"/>
  <c r="F165" i="9"/>
  <c r="F161" i="9"/>
  <c r="F157" i="9"/>
  <c r="F153" i="9"/>
  <c r="F149" i="9"/>
  <c r="F145" i="9"/>
  <c r="G142" i="9"/>
  <c r="F315" i="9"/>
  <c r="F311" i="9"/>
  <c r="F307" i="9"/>
  <c r="F303" i="9"/>
  <c r="F299" i="9"/>
  <c r="F295" i="9"/>
  <c r="F291" i="9"/>
  <c r="F287" i="9"/>
  <c r="F283" i="9"/>
  <c r="F279" i="9"/>
  <c r="F275" i="9"/>
  <c r="F271" i="9"/>
  <c r="F267" i="9"/>
  <c r="F263" i="9"/>
  <c r="F259" i="9"/>
  <c r="F255" i="9"/>
  <c r="F251" i="9"/>
  <c r="F247" i="9"/>
  <c r="F243" i="9"/>
  <c r="F239" i="9"/>
  <c r="F234" i="9"/>
  <c r="F230" i="9"/>
  <c r="F226" i="9"/>
  <c r="F222" i="9"/>
  <c r="F218" i="9"/>
  <c r="F214" i="9"/>
  <c r="F210" i="9"/>
  <c r="F206" i="9"/>
  <c r="F202" i="9"/>
  <c r="F198" i="9"/>
  <c r="F194" i="9"/>
  <c r="F190" i="9"/>
  <c r="F186" i="9"/>
  <c r="F182" i="9"/>
  <c r="F178" i="9"/>
  <c r="F174" i="9"/>
  <c r="F170" i="9"/>
  <c r="F166" i="9"/>
  <c r="F162" i="9"/>
  <c r="F158" i="9"/>
  <c r="F154" i="9"/>
  <c r="F150" i="9"/>
  <c r="F146" i="9"/>
  <c r="F235" i="9"/>
  <c r="F316" i="9"/>
  <c r="F312" i="9"/>
  <c r="F308" i="9"/>
  <c r="F304" i="9"/>
  <c r="F300" i="9"/>
  <c r="F296" i="9"/>
  <c r="F292" i="9"/>
  <c r="F288" i="9"/>
  <c r="F284" i="9"/>
  <c r="F280" i="9"/>
  <c r="F276" i="9"/>
  <c r="F272" i="9"/>
  <c r="F268" i="9"/>
  <c r="F264" i="9"/>
  <c r="F260" i="9"/>
  <c r="F256" i="9"/>
  <c r="F252" i="9"/>
  <c r="F248" i="9"/>
  <c r="F244" i="9"/>
  <c r="F240" i="9"/>
  <c r="F237" i="9"/>
  <c r="F231" i="9"/>
  <c r="F227" i="9"/>
  <c r="F223" i="9"/>
  <c r="F219" i="9"/>
  <c r="F215" i="9"/>
  <c r="F211" i="9"/>
  <c r="F207" i="9"/>
  <c r="F203" i="9"/>
  <c r="F199" i="9"/>
  <c r="F195" i="9"/>
  <c r="F191" i="9"/>
  <c r="F187" i="9"/>
  <c r="F183" i="9"/>
  <c r="F179" i="9"/>
  <c r="F175" i="9"/>
  <c r="F171" i="9"/>
  <c r="F167" i="9"/>
  <c r="F163" i="9"/>
  <c r="F159" i="9"/>
  <c r="F155" i="9"/>
  <c r="F151" i="9"/>
  <c r="F147" i="9"/>
  <c r="F143" i="9"/>
  <c r="F317" i="9"/>
  <c r="F301" i="9"/>
  <c r="F285" i="9"/>
  <c r="F269" i="9"/>
  <c r="F253" i="9"/>
  <c r="F236" i="9"/>
  <c r="F220" i="9"/>
  <c r="F204" i="9"/>
  <c r="F188" i="9"/>
  <c r="F172" i="9"/>
  <c r="F156" i="9"/>
  <c r="F297" i="9"/>
  <c r="F249" i="9"/>
  <c r="F216" i="9"/>
  <c r="F168" i="9"/>
  <c r="F305" i="9"/>
  <c r="F289" i="9"/>
  <c r="F273" i="9"/>
  <c r="F257" i="9"/>
  <c r="F241" i="9"/>
  <c r="F224" i="9"/>
  <c r="F208" i="9"/>
  <c r="F192" i="9"/>
  <c r="F176" i="9"/>
  <c r="F160" i="9"/>
  <c r="F144" i="9"/>
  <c r="F313" i="9"/>
  <c r="F281" i="9"/>
  <c r="F232" i="9"/>
  <c r="F184" i="9"/>
  <c r="F152" i="9"/>
  <c r="F309" i="9"/>
  <c r="F293" i="9"/>
  <c r="F277" i="9"/>
  <c r="F261" i="9"/>
  <c r="F245" i="9"/>
  <c r="F228" i="9"/>
  <c r="F212" i="9"/>
  <c r="F196" i="9"/>
  <c r="F180" i="9"/>
  <c r="F164" i="9"/>
  <c r="F148" i="9"/>
  <c r="F265" i="9"/>
  <c r="F200" i="9"/>
  <c r="F22" i="14"/>
  <c r="D16" i="14"/>
  <c r="D23" i="14" s="1"/>
  <c r="D19" i="14"/>
  <c r="D26" i="14" s="1"/>
  <c r="D18" i="14"/>
  <c r="D25" i="14" s="1"/>
  <c r="D15" i="14"/>
  <c r="D17" i="14"/>
  <c r="D24" i="14" s="1"/>
  <c r="F317" i="13"/>
  <c r="F310" i="13"/>
  <c r="F302" i="13"/>
  <c r="F294" i="13"/>
  <c r="F318" i="13"/>
  <c r="F290" i="13"/>
  <c r="F282" i="13"/>
  <c r="F274" i="13"/>
  <c r="F266" i="13"/>
  <c r="F258" i="13"/>
  <c r="F250" i="13"/>
  <c r="F314" i="13"/>
  <c r="F304" i="13"/>
  <c r="F292" i="13"/>
  <c r="F303" i="13"/>
  <c r="F284" i="13"/>
  <c r="F272" i="13"/>
  <c r="F262" i="13"/>
  <c r="F252" i="13"/>
  <c r="F316" i="13"/>
  <c r="F281" i="13"/>
  <c r="F277" i="13"/>
  <c r="F279" i="13"/>
  <c r="F247" i="13"/>
  <c r="F275" i="13"/>
  <c r="F259" i="13"/>
  <c r="F236" i="13"/>
  <c r="F228" i="13"/>
  <c r="F237" i="13"/>
  <c r="F222" i="13"/>
  <c r="F214" i="13"/>
  <c r="F206" i="13"/>
  <c r="F198" i="13"/>
  <c r="F223" i="13"/>
  <c r="F194" i="13"/>
  <c r="F186" i="13"/>
  <c r="F178" i="13"/>
  <c r="F170" i="13"/>
  <c r="F162" i="13"/>
  <c r="F257" i="13"/>
  <c r="F199" i="13"/>
  <c r="F195" i="13"/>
  <c r="F179" i="13"/>
  <c r="F163" i="13"/>
  <c r="F153" i="13"/>
  <c r="F149" i="13"/>
  <c r="F145" i="13"/>
  <c r="F221" i="13"/>
  <c r="F241" i="13"/>
  <c r="F165" i="13"/>
  <c r="F157" i="13"/>
  <c r="F189" i="13"/>
  <c r="F313" i="13"/>
  <c r="F270" i="13"/>
  <c r="F309" i="13"/>
  <c r="F271" i="13"/>
  <c r="F249" i="13"/>
  <c r="F233" i="13"/>
  <c r="F204" i="13"/>
  <c r="F192" i="13"/>
  <c r="F168" i="13"/>
  <c r="F191" i="13"/>
  <c r="F152" i="13"/>
  <c r="F220" i="13"/>
  <c r="F173" i="13"/>
  <c r="F315" i="13"/>
  <c r="F306" i="13"/>
  <c r="F296" i="13"/>
  <c r="F311" i="13"/>
  <c r="F286" i="13"/>
  <c r="F276" i="13"/>
  <c r="F264" i="13"/>
  <c r="F254" i="13"/>
  <c r="F307" i="13"/>
  <c r="F289" i="13"/>
  <c r="F287" i="13"/>
  <c r="F291" i="13"/>
  <c r="F255" i="13"/>
  <c r="F240" i="13"/>
  <c r="F273" i="13"/>
  <c r="F238" i="13"/>
  <c r="F230" i="13"/>
  <c r="F265" i="13"/>
  <c r="F225" i="13"/>
  <c r="F216" i="13"/>
  <c r="F208" i="13"/>
  <c r="F200" i="13"/>
  <c r="F231" i="13"/>
  <c r="F201" i="13"/>
  <c r="F188" i="13"/>
  <c r="F180" i="13"/>
  <c r="F172" i="13"/>
  <c r="F164" i="13"/>
  <c r="F156" i="13"/>
  <c r="F207" i="13"/>
  <c r="F205" i="13"/>
  <c r="F183" i="13"/>
  <c r="F167" i="13"/>
  <c r="F154" i="13"/>
  <c r="F150" i="13"/>
  <c r="F146" i="13"/>
  <c r="F285" i="13"/>
  <c r="F211" i="13"/>
  <c r="F169" i="13"/>
  <c r="F181" i="13"/>
  <c r="F161" i="13"/>
  <c r="F193" i="13"/>
  <c r="F300" i="13"/>
  <c r="F280" i="13"/>
  <c r="F248" i="13"/>
  <c r="F269" i="13"/>
  <c r="F261" i="13"/>
  <c r="F226" i="13"/>
  <c r="F212" i="13"/>
  <c r="F217" i="13"/>
  <c r="F176" i="13"/>
  <c r="F243" i="13"/>
  <c r="F175" i="13"/>
  <c r="F148" i="13"/>
  <c r="F197" i="13"/>
  <c r="F213" i="13"/>
  <c r="F308" i="13"/>
  <c r="F298" i="13"/>
  <c r="F305" i="13"/>
  <c r="F288" i="13"/>
  <c r="F278" i="13"/>
  <c r="F268" i="13"/>
  <c r="F256" i="13"/>
  <c r="F246" i="13"/>
  <c r="F297" i="13"/>
  <c r="F293" i="13"/>
  <c r="F301" i="13"/>
  <c r="F263" i="13"/>
  <c r="F242" i="13"/>
  <c r="F251" i="13"/>
  <c r="F245" i="13"/>
  <c r="F232" i="13"/>
  <c r="F224" i="13"/>
  <c r="F229" i="13"/>
  <c r="F218" i="13"/>
  <c r="F210" i="13"/>
  <c r="F202" i="13"/>
  <c r="F239" i="13"/>
  <c r="F209" i="13"/>
  <c r="F190" i="13"/>
  <c r="F182" i="13"/>
  <c r="F174" i="13"/>
  <c r="F166" i="13"/>
  <c r="F158" i="13"/>
  <c r="F215" i="13"/>
  <c r="F235" i="13"/>
  <c r="F187" i="13"/>
  <c r="F171" i="13"/>
  <c r="F155" i="13"/>
  <c r="F151" i="13"/>
  <c r="F147" i="13"/>
  <c r="F219" i="13"/>
  <c r="F185" i="13"/>
  <c r="F203" i="13"/>
  <c r="F177" i="13"/>
  <c r="F253" i="13"/>
  <c r="F312" i="13"/>
  <c r="F295" i="13"/>
  <c r="F260" i="13"/>
  <c r="F299" i="13"/>
  <c r="F244" i="13"/>
  <c r="F234" i="13"/>
  <c r="F267" i="13"/>
  <c r="F196" i="13"/>
  <c r="F184" i="13"/>
  <c r="F160" i="13"/>
  <c r="F283" i="13"/>
  <c r="F159" i="13"/>
  <c r="F144" i="13"/>
  <c r="F227" i="13"/>
  <c r="F272" i="12"/>
  <c r="F268" i="12"/>
  <c r="F264" i="12"/>
  <c r="F260" i="12"/>
  <c r="F256" i="12"/>
  <c r="F252" i="12"/>
  <c r="F248" i="12"/>
  <c r="F244" i="12"/>
  <c r="F240" i="12"/>
  <c r="F236" i="12"/>
  <c r="F232" i="12"/>
  <c r="F228" i="12"/>
  <c r="F224" i="12"/>
  <c r="F220" i="12"/>
  <c r="F216" i="12"/>
  <c r="F212" i="12"/>
  <c r="F208" i="12"/>
  <c r="F204" i="12"/>
  <c r="F200" i="12"/>
  <c r="F196" i="12"/>
  <c r="F192" i="12"/>
  <c r="F188" i="12"/>
  <c r="F184" i="12"/>
  <c r="F312" i="12"/>
  <c r="F304" i="12"/>
  <c r="F296" i="12"/>
  <c r="F288" i="12"/>
  <c r="F280" i="12"/>
  <c r="F309" i="12"/>
  <c r="F293" i="12"/>
  <c r="F277" i="12"/>
  <c r="F179" i="12"/>
  <c r="F171" i="12"/>
  <c r="F167" i="12"/>
  <c r="F163" i="12"/>
  <c r="F159" i="12"/>
  <c r="F155" i="12"/>
  <c r="F151" i="12"/>
  <c r="F147" i="12"/>
  <c r="F287" i="12"/>
  <c r="F172" i="12"/>
  <c r="F275" i="12"/>
  <c r="F182" i="12"/>
  <c r="F314" i="12"/>
  <c r="F269" i="12"/>
  <c r="F265" i="12"/>
  <c r="F261" i="12"/>
  <c r="F257" i="12"/>
  <c r="F253" i="12"/>
  <c r="F249" i="12"/>
  <c r="F245" i="12"/>
  <c r="F241" i="12"/>
  <c r="F237" i="12"/>
  <c r="F233" i="12"/>
  <c r="F229" i="12"/>
  <c r="F225" i="12"/>
  <c r="F221" i="12"/>
  <c r="F217" i="12"/>
  <c r="F213" i="12"/>
  <c r="F209" i="12"/>
  <c r="F205" i="12"/>
  <c r="F201" i="12"/>
  <c r="F197" i="12"/>
  <c r="F193" i="12"/>
  <c r="F189" i="12"/>
  <c r="F185" i="12"/>
  <c r="F313" i="12"/>
  <c r="F306" i="12"/>
  <c r="F298" i="12"/>
  <c r="F290" i="12"/>
  <c r="F282" i="12"/>
  <c r="F274" i="12"/>
  <c r="F297" i="12"/>
  <c r="F281" i="12"/>
  <c r="F181" i="12"/>
  <c r="F173" i="12"/>
  <c r="F168" i="12"/>
  <c r="F318" i="12"/>
  <c r="F270" i="12"/>
  <c r="F266" i="12"/>
  <c r="F262" i="12"/>
  <c r="F258" i="12"/>
  <c r="F254" i="12"/>
  <c r="F250" i="12"/>
  <c r="F246" i="12"/>
  <c r="F242" i="12"/>
  <c r="F238" i="12"/>
  <c r="F234" i="12"/>
  <c r="F230" i="12"/>
  <c r="F226" i="12"/>
  <c r="F222" i="12"/>
  <c r="F218" i="12"/>
  <c r="F214" i="12"/>
  <c r="F210" i="12"/>
  <c r="F206" i="12"/>
  <c r="F202" i="12"/>
  <c r="F198" i="12"/>
  <c r="F194" i="12"/>
  <c r="F190" i="12"/>
  <c r="F186" i="12"/>
  <c r="F317" i="12"/>
  <c r="F308" i="12"/>
  <c r="F300" i="12"/>
  <c r="F292" i="12"/>
  <c r="F284" i="12"/>
  <c r="F276" i="12"/>
  <c r="F301" i="12"/>
  <c r="F285" i="12"/>
  <c r="F175" i="12"/>
  <c r="F169" i="12"/>
  <c r="F165" i="12"/>
  <c r="F263" i="12"/>
  <c r="F247" i="12"/>
  <c r="F231" i="12"/>
  <c r="F215" i="12"/>
  <c r="F199" i="12"/>
  <c r="F183" i="12"/>
  <c r="F286" i="12"/>
  <c r="F273" i="12"/>
  <c r="F164" i="12"/>
  <c r="F158" i="12"/>
  <c r="F153" i="12"/>
  <c r="F148" i="12"/>
  <c r="F311" i="12"/>
  <c r="F180" i="12"/>
  <c r="F178" i="12"/>
  <c r="F315" i="12"/>
  <c r="F243" i="12"/>
  <c r="F310" i="12"/>
  <c r="F162" i="12"/>
  <c r="F146" i="12"/>
  <c r="F174" i="12"/>
  <c r="F267" i="12"/>
  <c r="F251" i="12"/>
  <c r="F235" i="12"/>
  <c r="F219" i="12"/>
  <c r="F203" i="12"/>
  <c r="F187" i="12"/>
  <c r="F294" i="12"/>
  <c r="F289" i="12"/>
  <c r="F166" i="12"/>
  <c r="F160" i="12"/>
  <c r="F154" i="12"/>
  <c r="F149" i="12"/>
  <c r="F144" i="12"/>
  <c r="F279" i="12"/>
  <c r="F283" i="12"/>
  <c r="F307" i="12"/>
  <c r="F211" i="12"/>
  <c r="F278" i="12"/>
  <c r="F157" i="12"/>
  <c r="F303" i="12"/>
  <c r="F291" i="12"/>
  <c r="F271" i="12"/>
  <c r="F255" i="12"/>
  <c r="F239" i="12"/>
  <c r="F223" i="12"/>
  <c r="F207" i="12"/>
  <c r="F191" i="12"/>
  <c r="F302" i="12"/>
  <c r="F305" i="12"/>
  <c r="F170" i="12"/>
  <c r="F161" i="12"/>
  <c r="F156" i="12"/>
  <c r="F150" i="12"/>
  <c r="F145" i="12"/>
  <c r="F295" i="12"/>
  <c r="F299" i="12"/>
  <c r="F316" i="12"/>
  <c r="F259" i="12"/>
  <c r="F227" i="12"/>
  <c r="F195" i="12"/>
  <c r="F177" i="12"/>
  <c r="F152" i="12"/>
  <c r="F176" i="12"/>
  <c r="D317" i="9"/>
  <c r="D313" i="9"/>
  <c r="D309" i="9"/>
  <c r="D305" i="9"/>
  <c r="D301" i="9"/>
  <c r="D297" i="9"/>
  <c r="D293" i="9"/>
  <c r="D289" i="9"/>
  <c r="D285" i="9"/>
  <c r="D281" i="9"/>
  <c r="D277" i="9"/>
  <c r="D273" i="9"/>
  <c r="D269" i="9"/>
  <c r="D265" i="9"/>
  <c r="D261" i="9"/>
  <c r="D257" i="9"/>
  <c r="D253" i="9"/>
  <c r="D249" i="9"/>
  <c r="D245" i="9"/>
  <c r="D241" i="9"/>
  <c r="D237" i="9"/>
  <c r="D233" i="9"/>
  <c r="D229" i="9"/>
  <c r="D225" i="9"/>
  <c r="D221" i="9"/>
  <c r="D217" i="9"/>
  <c r="D213" i="9"/>
  <c r="D209" i="9"/>
  <c r="D205" i="9"/>
  <c r="D201" i="9"/>
  <c r="D197" i="9"/>
  <c r="D193" i="9"/>
  <c r="D189" i="9"/>
  <c r="D185" i="9"/>
  <c r="D181" i="9"/>
  <c r="D177" i="9"/>
  <c r="D173" i="9"/>
  <c r="D169" i="9"/>
  <c r="D165" i="9"/>
  <c r="D161" i="9"/>
  <c r="D157" i="9"/>
  <c r="D153" i="9"/>
  <c r="D149" i="9"/>
  <c r="D145" i="9"/>
  <c r="D316" i="9"/>
  <c r="D308" i="9"/>
  <c r="D300" i="9"/>
  <c r="D288" i="9"/>
  <c r="D276" i="9"/>
  <c r="D264" i="9"/>
  <c r="D252" i="9"/>
  <c r="D240" i="9"/>
  <c r="D228" i="9"/>
  <c r="D212" i="9"/>
  <c r="D200" i="9"/>
  <c r="D188" i="9"/>
  <c r="D176" i="9"/>
  <c r="D168" i="9"/>
  <c r="D156" i="9"/>
  <c r="D144" i="9"/>
  <c r="D318" i="9"/>
  <c r="D314" i="9"/>
  <c r="D310" i="9"/>
  <c r="D306" i="9"/>
  <c r="D302" i="9"/>
  <c r="D298" i="9"/>
  <c r="D294" i="9"/>
  <c r="D290" i="9"/>
  <c r="D286" i="9"/>
  <c r="D282" i="9"/>
  <c r="D278" i="9"/>
  <c r="D274" i="9"/>
  <c r="D270" i="9"/>
  <c r="D266" i="9"/>
  <c r="D262" i="9"/>
  <c r="D258" i="9"/>
  <c r="D254" i="9"/>
  <c r="D250" i="9"/>
  <c r="D246" i="9"/>
  <c r="D242" i="9"/>
  <c r="D238" i="9"/>
  <c r="D234" i="9"/>
  <c r="D230" i="9"/>
  <c r="D226" i="9"/>
  <c r="D222" i="9"/>
  <c r="D218" i="9"/>
  <c r="D214" i="9"/>
  <c r="D210" i="9"/>
  <c r="D206" i="9"/>
  <c r="D202" i="9"/>
  <c r="D198" i="9"/>
  <c r="D194" i="9"/>
  <c r="D190" i="9"/>
  <c r="D186" i="9"/>
  <c r="D182" i="9"/>
  <c r="D178" i="9"/>
  <c r="D174" i="9"/>
  <c r="D170" i="9"/>
  <c r="D166" i="9"/>
  <c r="D162" i="9"/>
  <c r="D158" i="9"/>
  <c r="D154" i="9"/>
  <c r="D150" i="9"/>
  <c r="D146" i="9"/>
  <c r="C142" i="9"/>
  <c r="C143" i="9" s="1"/>
  <c r="D296" i="9"/>
  <c r="D280" i="9"/>
  <c r="D268" i="9"/>
  <c r="D256" i="9"/>
  <c r="D244" i="9"/>
  <c r="D232" i="9"/>
  <c r="D220" i="9"/>
  <c r="D208" i="9"/>
  <c r="D196" i="9"/>
  <c r="D184" i="9"/>
  <c r="D172" i="9"/>
  <c r="D160" i="9"/>
  <c r="D152" i="9"/>
  <c r="D315" i="9"/>
  <c r="D311" i="9"/>
  <c r="D307" i="9"/>
  <c r="D303" i="9"/>
  <c r="D299" i="9"/>
  <c r="D295" i="9"/>
  <c r="D291" i="9"/>
  <c r="D287" i="9"/>
  <c r="D283" i="9"/>
  <c r="D279" i="9"/>
  <c r="D275" i="9"/>
  <c r="D271" i="9"/>
  <c r="D267" i="9"/>
  <c r="D263" i="9"/>
  <c r="D259" i="9"/>
  <c r="D255" i="9"/>
  <c r="D251" i="9"/>
  <c r="D247" i="9"/>
  <c r="D243" i="9"/>
  <c r="D239" i="9"/>
  <c r="D235" i="9"/>
  <c r="D231" i="9"/>
  <c r="D227" i="9"/>
  <c r="D223" i="9"/>
  <c r="D219" i="9"/>
  <c r="D215" i="9"/>
  <c r="D211" i="9"/>
  <c r="D207" i="9"/>
  <c r="D203" i="9"/>
  <c r="D199" i="9"/>
  <c r="D195" i="9"/>
  <c r="D191" i="9"/>
  <c r="D187" i="9"/>
  <c r="D183" i="9"/>
  <c r="D179" i="9"/>
  <c r="D175" i="9"/>
  <c r="D171" i="9"/>
  <c r="D167" i="9"/>
  <c r="D163" i="9"/>
  <c r="D159" i="9"/>
  <c r="D155" i="9"/>
  <c r="D151" i="9"/>
  <c r="D147" i="9"/>
  <c r="D143" i="9"/>
  <c r="D312" i="9"/>
  <c r="D304" i="9"/>
  <c r="D292" i="9"/>
  <c r="D284" i="9"/>
  <c r="D272" i="9"/>
  <c r="D260" i="9"/>
  <c r="D248" i="9"/>
  <c r="D236" i="9"/>
  <c r="D224" i="9"/>
  <c r="D216" i="9"/>
  <c r="D204" i="9"/>
  <c r="D192" i="9"/>
  <c r="D180" i="9"/>
  <c r="D164" i="9"/>
  <c r="D148" i="9"/>
  <c r="D316" i="12"/>
  <c r="D311" i="12"/>
  <c r="D303" i="12"/>
  <c r="D295" i="12"/>
  <c r="D287" i="12"/>
  <c r="D279" i="12"/>
  <c r="D310" i="12"/>
  <c r="D294" i="12"/>
  <c r="D278" i="12"/>
  <c r="D178" i="12"/>
  <c r="D284" i="12"/>
  <c r="D271" i="12"/>
  <c r="D263" i="12"/>
  <c r="D255" i="12"/>
  <c r="D247" i="12"/>
  <c r="D239" i="12"/>
  <c r="D231" i="12"/>
  <c r="D223" i="12"/>
  <c r="D215" i="12"/>
  <c r="D207" i="12"/>
  <c r="D199" i="12"/>
  <c r="D191" i="12"/>
  <c r="D183" i="12"/>
  <c r="D268" i="12"/>
  <c r="D252" i="12"/>
  <c r="D236" i="12"/>
  <c r="D220" i="12"/>
  <c r="D204" i="12"/>
  <c r="D188" i="12"/>
  <c r="D166" i="12"/>
  <c r="D158" i="12"/>
  <c r="D150" i="12"/>
  <c r="D177" i="12"/>
  <c r="D258" i="12"/>
  <c r="D226" i="12"/>
  <c r="D194" i="12"/>
  <c r="D161" i="12"/>
  <c r="D145" i="12"/>
  <c r="D230" i="12"/>
  <c r="D159" i="12"/>
  <c r="D173" i="12"/>
  <c r="D222" i="12"/>
  <c r="D163" i="12"/>
  <c r="D301" i="12"/>
  <c r="D306" i="12"/>
  <c r="D308" i="12"/>
  <c r="D261" i="12"/>
  <c r="D237" i="12"/>
  <c r="D213" i="12"/>
  <c r="D189" i="12"/>
  <c r="D248" i="12"/>
  <c r="D200" i="12"/>
  <c r="D156" i="12"/>
  <c r="D250" i="12"/>
  <c r="D157" i="12"/>
  <c r="D151" i="12"/>
  <c r="D155" i="12"/>
  <c r="D317" i="12"/>
  <c r="D313" i="12"/>
  <c r="D305" i="12"/>
  <c r="D297" i="12"/>
  <c r="D289" i="12"/>
  <c r="D281" i="12"/>
  <c r="D273" i="12"/>
  <c r="D298" i="12"/>
  <c r="D282" i="12"/>
  <c r="D180" i="12"/>
  <c r="D172" i="12"/>
  <c r="D292" i="12"/>
  <c r="D175" i="12"/>
  <c r="D265" i="12"/>
  <c r="D257" i="12"/>
  <c r="D249" i="12"/>
  <c r="D241" i="12"/>
  <c r="D233" i="12"/>
  <c r="D225" i="12"/>
  <c r="D217" i="12"/>
  <c r="D209" i="12"/>
  <c r="D201" i="12"/>
  <c r="D193" i="12"/>
  <c r="D185" i="12"/>
  <c r="D272" i="12"/>
  <c r="D256" i="12"/>
  <c r="D240" i="12"/>
  <c r="D224" i="12"/>
  <c r="D208" i="12"/>
  <c r="D192" i="12"/>
  <c r="D168" i="12"/>
  <c r="D160" i="12"/>
  <c r="D152" i="12"/>
  <c r="D144" i="12"/>
  <c r="D266" i="12"/>
  <c r="D234" i="12"/>
  <c r="D202" i="12"/>
  <c r="D165" i="12"/>
  <c r="D149" i="12"/>
  <c r="D246" i="12"/>
  <c r="D167" i="12"/>
  <c r="D181" i="12"/>
  <c r="D238" i="12"/>
  <c r="D171" i="12"/>
  <c r="D315" i="12"/>
  <c r="D293" i="12"/>
  <c r="D277" i="12"/>
  <c r="D274" i="12"/>
  <c r="D269" i="12"/>
  <c r="D245" i="12"/>
  <c r="D221" i="12"/>
  <c r="D197" i="12"/>
  <c r="D264" i="12"/>
  <c r="D216" i="12"/>
  <c r="D164" i="12"/>
  <c r="D296" i="12"/>
  <c r="D186" i="12"/>
  <c r="D214" i="12"/>
  <c r="D206" i="12"/>
  <c r="D318" i="12"/>
  <c r="D314" i="12"/>
  <c r="D307" i="12"/>
  <c r="D299" i="12"/>
  <c r="D291" i="12"/>
  <c r="D283" i="12"/>
  <c r="D275" i="12"/>
  <c r="D302" i="12"/>
  <c r="D286" i="12"/>
  <c r="D182" i="12"/>
  <c r="D174" i="12"/>
  <c r="D300" i="12"/>
  <c r="D179" i="12"/>
  <c r="D267" i="12"/>
  <c r="D259" i="12"/>
  <c r="D251" i="12"/>
  <c r="D243" i="12"/>
  <c r="D235" i="12"/>
  <c r="D227" i="12"/>
  <c r="D219" i="12"/>
  <c r="D211" i="12"/>
  <c r="D203" i="12"/>
  <c r="D195" i="12"/>
  <c r="D187" i="12"/>
  <c r="D288" i="12"/>
  <c r="D260" i="12"/>
  <c r="D244" i="12"/>
  <c r="D228" i="12"/>
  <c r="D212" i="12"/>
  <c r="D196" i="12"/>
  <c r="D170" i="12"/>
  <c r="D162" i="12"/>
  <c r="D154" i="12"/>
  <c r="D146" i="12"/>
  <c r="D312" i="12"/>
  <c r="D242" i="12"/>
  <c r="D210" i="12"/>
  <c r="D169" i="12"/>
  <c r="D153" i="12"/>
  <c r="D262" i="12"/>
  <c r="D198" i="12"/>
  <c r="D254" i="12"/>
  <c r="D190" i="12"/>
  <c r="D147" i="12"/>
  <c r="D309" i="12"/>
  <c r="D285" i="12"/>
  <c r="D290" i="12"/>
  <c r="D176" i="12"/>
  <c r="D276" i="12"/>
  <c r="D253" i="12"/>
  <c r="D229" i="12"/>
  <c r="D205" i="12"/>
  <c r="D304" i="12"/>
  <c r="D232" i="12"/>
  <c r="D184" i="12"/>
  <c r="D148" i="12"/>
  <c r="D218" i="12"/>
  <c r="D280" i="12"/>
  <c r="D270" i="12"/>
  <c r="D304" i="13"/>
  <c r="D310" i="13"/>
  <c r="D294" i="13"/>
  <c r="D315" i="13"/>
  <c r="D295" i="13"/>
  <c r="D286" i="13"/>
  <c r="D268" i="13"/>
  <c r="D290" i="13"/>
  <c r="D270" i="13"/>
  <c r="D254" i="13"/>
  <c r="D273" i="13"/>
  <c r="D249" i="13"/>
  <c r="D234" i="13"/>
  <c r="D226" i="13"/>
  <c r="D297" i="13"/>
  <c r="D258" i="13"/>
  <c r="D244" i="13"/>
  <c r="D264" i="13"/>
  <c r="D284" i="13"/>
  <c r="D233" i="13"/>
  <c r="D281" i="13"/>
  <c r="D208" i="13"/>
  <c r="D154" i="13"/>
  <c r="D150" i="13"/>
  <c r="D146" i="13"/>
  <c r="D283" i="13"/>
  <c r="D235" i="13"/>
  <c r="D206" i="13"/>
  <c r="D195" i="13"/>
  <c r="D187" i="13"/>
  <c r="D179" i="13"/>
  <c r="D171" i="13"/>
  <c r="D163" i="13"/>
  <c r="D155" i="13"/>
  <c r="D203" i="13"/>
  <c r="D209" i="13"/>
  <c r="D182" i="13"/>
  <c r="D166" i="13"/>
  <c r="D239" i="13"/>
  <c r="D223" i="13"/>
  <c r="D192" i="13"/>
  <c r="D168" i="13"/>
  <c r="D212" i="13"/>
  <c r="D279" i="13"/>
  <c r="D311" i="13"/>
  <c r="D316" i="13"/>
  <c r="D301" i="13"/>
  <c r="D305" i="13"/>
  <c r="D296" i="13"/>
  <c r="D280" i="13"/>
  <c r="D275" i="13"/>
  <c r="D299" i="13"/>
  <c r="D277" i="13"/>
  <c r="D261" i="13"/>
  <c r="D274" i="13"/>
  <c r="D250" i="13"/>
  <c r="D236" i="13"/>
  <c r="D228" i="13"/>
  <c r="D220" i="13"/>
  <c r="D271" i="13"/>
  <c r="D247" i="13"/>
  <c r="D282" i="13"/>
  <c r="D219" i="13"/>
  <c r="D237" i="13"/>
  <c r="D292" i="13"/>
  <c r="D215" i="13"/>
  <c r="D199" i="13"/>
  <c r="D151" i="13"/>
  <c r="D147" i="13"/>
  <c r="D241" i="13"/>
  <c r="D213" i="13"/>
  <c r="D197" i="13"/>
  <c r="D189" i="13"/>
  <c r="D181" i="13"/>
  <c r="D173" i="13"/>
  <c r="D165" i="13"/>
  <c r="D157" i="13"/>
  <c r="D204" i="13"/>
  <c r="D210" i="13"/>
  <c r="D186" i="13"/>
  <c r="D170" i="13"/>
  <c r="D240" i="13"/>
  <c r="D314" i="13"/>
  <c r="D196" i="13"/>
  <c r="D188" i="13"/>
  <c r="D202" i="13"/>
  <c r="D298" i="13"/>
  <c r="D312" i="13"/>
  <c r="D317" i="13"/>
  <c r="D302" i="13"/>
  <c r="D306" i="13"/>
  <c r="D307" i="13"/>
  <c r="D287" i="13"/>
  <c r="D276" i="13"/>
  <c r="D300" i="13"/>
  <c r="D278" i="13"/>
  <c r="D262" i="13"/>
  <c r="D246" i="13"/>
  <c r="D259" i="13"/>
  <c r="D238" i="13"/>
  <c r="D230" i="13"/>
  <c r="D222" i="13"/>
  <c r="D272" i="13"/>
  <c r="D248" i="13"/>
  <c r="D313" i="13"/>
  <c r="D221" i="13"/>
  <c r="D265" i="13"/>
  <c r="D225" i="13"/>
  <c r="D216" i="13"/>
  <c r="D200" i="13"/>
  <c r="D152" i="13"/>
  <c r="D148" i="13"/>
  <c r="D144" i="13"/>
  <c r="D242" i="13"/>
  <c r="D214" i="13"/>
  <c r="D198" i="13"/>
  <c r="D191" i="13"/>
  <c r="D183" i="13"/>
  <c r="D175" i="13"/>
  <c r="D167" i="13"/>
  <c r="D159" i="13"/>
  <c r="D218" i="13"/>
  <c r="D231" i="13"/>
  <c r="D190" i="13"/>
  <c r="D174" i="13"/>
  <c r="D158" i="13"/>
  <c r="D164" i="13"/>
  <c r="D211" i="13"/>
  <c r="D160" i="13"/>
  <c r="D172" i="13"/>
  <c r="D318" i="13"/>
  <c r="D308" i="13"/>
  <c r="D289" i="13"/>
  <c r="D245" i="13"/>
  <c r="D257" i="13"/>
  <c r="D229" i="13"/>
  <c r="D149" i="13"/>
  <c r="D205" i="13"/>
  <c r="D169" i="13"/>
  <c r="D194" i="13"/>
  <c r="D217" i="13"/>
  <c r="D201" i="13"/>
  <c r="D288" i="13"/>
  <c r="D161" i="13"/>
  <c r="D293" i="13"/>
  <c r="D267" i="13"/>
  <c r="D260" i="13"/>
  <c r="D291" i="13"/>
  <c r="D266" i="13"/>
  <c r="D153" i="13"/>
  <c r="D227" i="13"/>
  <c r="D177" i="13"/>
  <c r="D256" i="13"/>
  <c r="D180" i="13"/>
  <c r="D184" i="13"/>
  <c r="D232" i="13"/>
  <c r="D193" i="13"/>
  <c r="D309" i="13"/>
  <c r="D285" i="13"/>
  <c r="D253" i="13"/>
  <c r="D224" i="13"/>
  <c r="D263" i="13"/>
  <c r="D207" i="13"/>
  <c r="D255" i="13"/>
  <c r="D185" i="13"/>
  <c r="D251" i="13"/>
  <c r="D162" i="13"/>
  <c r="D156" i="13"/>
  <c r="D303" i="13"/>
  <c r="D269" i="13"/>
  <c r="D243" i="13"/>
  <c r="D252" i="13"/>
  <c r="D145" i="13"/>
  <c r="D178" i="13"/>
  <c r="D176" i="13"/>
  <c r="G20" i="14"/>
  <c r="G38" i="1"/>
  <c r="G36" i="1"/>
  <c r="E20" i="4"/>
  <c r="E19" i="4"/>
  <c r="E11" i="4"/>
  <c r="D39" i="4"/>
  <c r="D19" i="4"/>
  <c r="D20" i="4"/>
  <c r="F37" i="1"/>
  <c r="F38" i="1"/>
  <c r="F36" i="1"/>
  <c r="F56" i="1"/>
  <c r="G315" i="3" l="1"/>
  <c r="H20" i="14"/>
  <c r="G63" i="14"/>
  <c r="G113" i="14"/>
  <c r="G64" i="14"/>
  <c r="G66" i="14"/>
  <c r="G73" i="14" s="1"/>
  <c r="G65" i="14"/>
  <c r="G72" i="14" s="1"/>
  <c r="E17" i="14"/>
  <c r="E18" i="14"/>
  <c r="E25" i="14" s="1"/>
  <c r="E15" i="14"/>
  <c r="E22" i="14" s="1"/>
  <c r="E19" i="14"/>
  <c r="E26" i="14" s="1"/>
  <c r="H66" i="14"/>
  <c r="H73" i="14" s="1"/>
  <c r="H64" i="14"/>
  <c r="H65" i="14"/>
  <c r="H72" i="14" s="1"/>
  <c r="H63" i="14"/>
  <c r="H62" i="14"/>
  <c r="E115" i="14"/>
  <c r="E113" i="14"/>
  <c r="F69" i="14"/>
  <c r="G69" i="14" s="1"/>
  <c r="H69" i="14" s="1"/>
  <c r="F67" i="14"/>
  <c r="E64" i="14"/>
  <c r="E71" i="14" s="1"/>
  <c r="E63" i="14"/>
  <c r="E70" i="14" s="1"/>
  <c r="E66" i="14"/>
  <c r="E73" i="14" s="1"/>
  <c r="E62" i="14"/>
  <c r="E65" i="14"/>
  <c r="E72" i="14" s="1"/>
  <c r="F20" i="14"/>
  <c r="AQ170" i="9"/>
  <c r="AQ204" i="9"/>
  <c r="AQ193" i="9"/>
  <c r="AQ167" i="9"/>
  <c r="AQ241" i="9"/>
  <c r="AQ197" i="9"/>
  <c r="AQ265" i="9"/>
  <c r="AQ298" i="9"/>
  <c r="AQ171" i="9"/>
  <c r="AQ176" i="9"/>
  <c r="AQ221" i="9"/>
  <c r="AQ269" i="9"/>
  <c r="AQ294" i="9"/>
  <c r="AQ250" i="9"/>
  <c r="AQ179" i="9"/>
  <c r="AQ261" i="9"/>
  <c r="AQ145" i="9"/>
  <c r="AQ185" i="9"/>
  <c r="AQ174" i="9"/>
  <c r="AQ313" i="9"/>
  <c r="AQ153" i="9"/>
  <c r="AQ180" i="9"/>
  <c r="AQ228" i="9"/>
  <c r="AQ306" i="9"/>
  <c r="AQ214" i="9"/>
  <c r="AQ189" i="9"/>
  <c r="AQ276" i="9"/>
  <c r="AQ184" i="9"/>
  <c r="AQ291" i="9"/>
  <c r="AQ220" i="9"/>
  <c r="AQ256" i="9"/>
  <c r="AQ271" i="9"/>
  <c r="AQ272" i="9"/>
  <c r="AQ299" i="9"/>
  <c r="AQ262" i="9"/>
  <c r="AQ230" i="9"/>
  <c r="AQ211" i="9"/>
  <c r="AQ292" i="9"/>
  <c r="AQ200" i="9"/>
  <c r="AQ161" i="9"/>
  <c r="AQ188" i="9"/>
  <c r="AQ212" i="9"/>
  <c r="AQ210" i="9"/>
  <c r="AQ279" i="9"/>
  <c r="AQ218" i="9"/>
  <c r="AQ238" i="9"/>
  <c r="AQ227" i="9"/>
  <c r="AQ222" i="9"/>
  <c r="AQ143" i="9"/>
  <c r="AQ286" i="9"/>
  <c r="AQ274" i="9"/>
  <c r="AQ182" i="9"/>
  <c r="AQ283" i="9"/>
  <c r="AQ244" i="9"/>
  <c r="AQ152" i="9"/>
  <c r="AQ169" i="9"/>
  <c r="AQ156" i="9"/>
  <c r="AQ196" i="9"/>
  <c r="AQ290" i="9"/>
  <c r="AQ260" i="9"/>
  <c r="AQ245" i="9"/>
  <c r="AQ277" i="9"/>
  <c r="AQ226" i="9"/>
  <c r="AQ252" i="9"/>
  <c r="AQ316" i="9"/>
  <c r="AQ224" i="9"/>
  <c r="AQ318" i="9"/>
  <c r="AQ160" i="9"/>
  <c r="AQ317" i="9"/>
  <c r="AQ263" i="9"/>
  <c r="AQ247" i="9"/>
  <c r="AQ257" i="9"/>
  <c r="AQ303" i="9"/>
  <c r="AQ314" i="9"/>
  <c r="AQ199" i="9"/>
  <c r="AQ192" i="9"/>
  <c r="AQ309" i="9"/>
  <c r="AQ162" i="9"/>
  <c r="AQ255" i="9"/>
  <c r="AQ300" i="9"/>
  <c r="AQ175" i="9"/>
  <c r="AQ219" i="9"/>
  <c r="AQ147" i="9"/>
  <c r="AQ287" i="9"/>
  <c r="AQ259" i="9"/>
  <c r="AQ308" i="9"/>
  <c r="AQ216" i="9"/>
  <c r="AQ191" i="9"/>
  <c r="AQ248" i="9"/>
  <c r="AQ177" i="9"/>
  <c r="AQ270" i="9"/>
  <c r="AQ243" i="9"/>
  <c r="AQ278" i="9"/>
  <c r="AQ154" i="9"/>
  <c r="AQ273" i="9"/>
  <c r="AQ285" i="9"/>
  <c r="AQ235" i="9"/>
  <c r="AQ232" i="9"/>
  <c r="AQ215" i="9"/>
  <c r="AQ311" i="9"/>
  <c r="AQ234" i="9"/>
  <c r="AQ236" i="9"/>
  <c r="AQ157" i="9"/>
  <c r="AQ301" i="9"/>
  <c r="AQ201" i="9"/>
  <c r="AQ240" i="9"/>
  <c r="AQ305" i="9"/>
  <c r="AQ149" i="9"/>
  <c r="AQ288" i="9"/>
  <c r="AQ304" i="9"/>
  <c r="AQ251" i="9"/>
  <c r="AQ225" i="9"/>
  <c r="AQ264" i="9"/>
  <c r="AQ148" i="9"/>
  <c r="AQ289" i="9"/>
  <c r="AQ155" i="9"/>
  <c r="AQ205" i="9"/>
  <c r="AQ146" i="9"/>
  <c r="AQ181" i="9"/>
  <c r="AQ190" i="9"/>
  <c r="AQ253" i="9"/>
  <c r="AQ202" i="9"/>
  <c r="AQ296" i="9"/>
  <c r="AQ315" i="9"/>
  <c r="AQ233" i="9"/>
  <c r="AQ206" i="9"/>
  <c r="AQ268" i="9"/>
  <c r="AQ229" i="9"/>
  <c r="AQ275" i="9"/>
  <c r="AQ209" i="9"/>
  <c r="AQ217" i="9"/>
  <c r="AQ158" i="9"/>
  <c r="AQ249" i="9"/>
  <c r="AQ297" i="9"/>
  <c r="AQ254" i="9"/>
  <c r="AQ237" i="9"/>
  <c r="AQ266" i="9"/>
  <c r="AQ223" i="9"/>
  <c r="AQ144" i="9"/>
  <c r="AQ172" i="9"/>
  <c r="AQ194" i="9"/>
  <c r="AQ246" i="9"/>
  <c r="AQ242" i="9"/>
  <c r="AQ150" i="9"/>
  <c r="AQ163" i="9"/>
  <c r="AQ295" i="9"/>
  <c r="AQ267" i="9"/>
  <c r="AQ312" i="9"/>
  <c r="AQ195" i="9"/>
  <c r="AQ159" i="9"/>
  <c r="AQ231" i="9"/>
  <c r="AQ151" i="9"/>
  <c r="AQ173" i="9"/>
  <c r="AQ258" i="9"/>
  <c r="AQ166" i="9"/>
  <c r="AQ203" i="9"/>
  <c r="AQ281" i="9"/>
  <c r="AQ293" i="9"/>
  <c r="AQ280" i="9"/>
  <c r="AQ307" i="9"/>
  <c r="AQ302" i="9"/>
  <c r="AQ183" i="9"/>
  <c r="AQ186" i="9"/>
  <c r="AQ207" i="9"/>
  <c r="AQ282" i="9"/>
  <c r="AQ310" i="9"/>
  <c r="AQ284" i="9"/>
  <c r="AQ164" i="9"/>
  <c r="AQ208" i="9"/>
  <c r="AQ165" i="9"/>
  <c r="AQ178" i="9"/>
  <c r="AQ198" i="9"/>
  <c r="AQ168" i="9"/>
  <c r="AQ187" i="9"/>
  <c r="AQ239" i="9"/>
  <c r="AQ213" i="9"/>
  <c r="AQ143" i="13"/>
  <c r="AQ318" i="13"/>
  <c r="AQ272" i="13"/>
  <c r="AQ153" i="13"/>
  <c r="AQ305" i="13"/>
  <c r="AQ174" i="13"/>
  <c r="AQ167" i="13"/>
  <c r="AQ239" i="13"/>
  <c r="AQ281" i="13"/>
  <c r="AQ251" i="13"/>
  <c r="AQ224" i="13"/>
  <c r="AQ226" i="13"/>
  <c r="AQ274" i="13"/>
  <c r="AQ151" i="13"/>
  <c r="AQ263" i="13"/>
  <c r="AQ245" i="13"/>
  <c r="AQ161" i="13"/>
  <c r="AQ299" i="13"/>
  <c r="AQ233" i="13"/>
  <c r="AQ180" i="13"/>
  <c r="AQ247" i="13"/>
  <c r="AQ170" i="13"/>
  <c r="AQ262" i="13"/>
  <c r="AQ255" i="13"/>
  <c r="AQ146" i="13"/>
  <c r="AQ313" i="13"/>
  <c r="AQ284" i="13"/>
  <c r="AQ200" i="13"/>
  <c r="AQ304" i="13"/>
  <c r="AQ238" i="13"/>
  <c r="AQ221" i="13"/>
  <c r="AQ217" i="13"/>
  <c r="AQ209" i="13"/>
  <c r="AQ183" i="13"/>
  <c r="AQ236" i="13"/>
  <c r="AQ191" i="13"/>
  <c r="AQ306" i="13"/>
  <c r="AQ223" i="13"/>
  <c r="AQ160" i="13"/>
  <c r="AQ286" i="13"/>
  <c r="AQ155" i="13"/>
  <c r="AQ312" i="13"/>
  <c r="AQ246" i="13"/>
  <c r="AQ249" i="13"/>
  <c r="AQ190" i="13"/>
  <c r="AQ295" i="13"/>
  <c r="AQ171" i="13"/>
  <c r="AQ314" i="13"/>
  <c r="AQ189" i="13"/>
  <c r="AQ216" i="13"/>
  <c r="AQ253" i="13"/>
  <c r="AQ290" i="13"/>
  <c r="AQ258" i="13"/>
  <c r="AQ268" i="13"/>
  <c r="AQ152" i="13"/>
  <c r="AQ175" i="13"/>
  <c r="AQ294" i="13"/>
  <c r="AQ193" i="13"/>
  <c r="AQ214" i="13"/>
  <c r="AQ248" i="13"/>
  <c r="AQ163" i="13"/>
  <c r="AQ301" i="13"/>
  <c r="AQ184" i="13"/>
  <c r="AQ265" i="13"/>
  <c r="AQ228" i="13"/>
  <c r="AQ273" i="13"/>
  <c r="AQ270" i="13"/>
  <c r="AQ177" i="13"/>
  <c r="AQ315" i="13"/>
  <c r="AQ240" i="13"/>
  <c r="AQ208" i="13"/>
  <c r="AQ256" i="13"/>
  <c r="AQ271" i="13"/>
  <c r="AQ266" i="13"/>
  <c r="AQ260" i="13"/>
  <c r="AQ230" i="13"/>
  <c r="AQ257" i="13"/>
  <c r="AQ276" i="13"/>
  <c r="AQ244" i="13"/>
  <c r="AQ282" i="13"/>
  <c r="AQ187" i="13"/>
  <c r="AQ154" i="13"/>
  <c r="AQ181" i="13"/>
  <c r="AQ168" i="13"/>
  <c r="AQ303" i="13"/>
  <c r="AQ188" i="13"/>
  <c r="AQ243" i="13"/>
  <c r="AQ201" i="13"/>
  <c r="AQ250" i="13"/>
  <c r="AQ280" i="13"/>
  <c r="AQ206" i="13"/>
  <c r="AQ311" i="13"/>
  <c r="AQ162" i="13"/>
  <c r="AQ252" i="13"/>
  <c r="AQ283" i="13"/>
  <c r="AQ222" i="13"/>
  <c r="AQ287" i="13"/>
  <c r="AQ275" i="13"/>
  <c r="AQ213" i="13"/>
  <c r="AQ147" i="13"/>
  <c r="AQ308" i="13"/>
  <c r="AQ202" i="13"/>
  <c r="AQ158" i="13"/>
  <c r="AQ210" i="13"/>
  <c r="AQ157" i="13"/>
  <c r="AQ316" i="13"/>
  <c r="AQ218" i="13"/>
  <c r="AQ194" i="13"/>
  <c r="AQ196" i="13"/>
  <c r="AQ166" i="13"/>
  <c r="AQ259" i="13"/>
  <c r="AQ197" i="13"/>
  <c r="AQ182" i="13"/>
  <c r="AQ278" i="13"/>
  <c r="AQ179" i="13"/>
  <c r="AQ279" i="13"/>
  <c r="AQ149" i="13"/>
  <c r="AQ292" i="13"/>
  <c r="AQ309" i="13"/>
  <c r="AQ229" i="13"/>
  <c r="AQ195" i="13"/>
  <c r="AQ300" i="13"/>
  <c r="AQ185" i="13"/>
  <c r="AQ269" i="13"/>
  <c r="AQ207" i="13"/>
  <c r="AQ144" i="13"/>
  <c r="AQ254" i="13"/>
  <c r="AQ227" i="13"/>
  <c r="AQ219" i="13"/>
  <c r="AQ173" i="13"/>
  <c r="AQ310" i="13"/>
  <c r="AQ159" i="13"/>
  <c r="AQ192" i="13"/>
  <c r="AQ150" i="13"/>
  <c r="AQ169" i="13"/>
  <c r="AQ307" i="13"/>
  <c r="AQ172" i="13"/>
  <c r="AQ220" i="13"/>
  <c r="AQ178" i="13"/>
  <c r="AQ186" i="13"/>
  <c r="AQ285" i="13"/>
  <c r="AQ204" i="13"/>
  <c r="AQ264" i="13"/>
  <c r="AQ297" i="13"/>
  <c r="AQ231" i="13"/>
  <c r="AQ176" i="13"/>
  <c r="AQ277" i="13"/>
  <c r="AQ215" i="13"/>
  <c r="AQ148" i="13"/>
  <c r="AQ235" i="13"/>
  <c r="AQ241" i="13"/>
  <c r="AQ203" i="13"/>
  <c r="AQ232" i="13"/>
  <c r="AQ289" i="13"/>
  <c r="AQ296" i="13"/>
  <c r="AQ234" i="13"/>
  <c r="AQ212" i="13"/>
  <c r="AQ261" i="13"/>
  <c r="AQ199" i="13"/>
  <c r="AQ198" i="13"/>
  <c r="AQ165" i="13"/>
  <c r="AQ145" i="13"/>
  <c r="AQ298" i="13"/>
  <c r="AQ156" i="13"/>
  <c r="AQ211" i="13"/>
  <c r="AQ267" i="13"/>
  <c r="AQ205" i="13"/>
  <c r="AQ291" i="13"/>
  <c r="AQ225" i="13"/>
  <c r="AQ164" i="13"/>
  <c r="AQ288" i="13"/>
  <c r="AQ293" i="13"/>
  <c r="AQ237" i="13"/>
  <c r="AQ302" i="13"/>
  <c r="AQ317" i="13"/>
  <c r="AQ242" i="13"/>
  <c r="C178" i="10"/>
  <c r="C194" i="10"/>
  <c r="C210" i="10"/>
  <c r="C223" i="10"/>
  <c r="C231" i="10"/>
  <c r="C239" i="10"/>
  <c r="C247" i="10"/>
  <c r="C255" i="10"/>
  <c r="C263" i="10"/>
  <c r="C271" i="10"/>
  <c r="C279" i="10"/>
  <c r="C287" i="10"/>
  <c r="C293" i="10"/>
  <c r="C297" i="10"/>
  <c r="C301" i="10"/>
  <c r="C305" i="10"/>
  <c r="C309" i="10"/>
  <c r="C313" i="10"/>
  <c r="C317" i="10"/>
  <c r="C232" i="10"/>
  <c r="C244" i="10"/>
  <c r="C262" i="10"/>
  <c r="C274" i="10"/>
  <c r="C290" i="10"/>
  <c r="C173" i="10"/>
  <c r="C189" i="10"/>
  <c r="C205" i="10"/>
  <c r="C168" i="10"/>
  <c r="C184" i="10"/>
  <c r="C200" i="10"/>
  <c r="C216" i="10"/>
  <c r="C228" i="10"/>
  <c r="C250" i="10"/>
  <c r="C270" i="10"/>
  <c r="C286" i="10"/>
  <c r="C191" i="10"/>
  <c r="C187" i="10"/>
  <c r="C183" i="10"/>
  <c r="C155" i="10"/>
  <c r="C157" i="10"/>
  <c r="C143" i="10"/>
  <c r="C162" i="10"/>
  <c r="C146" i="10"/>
  <c r="C148" i="10"/>
  <c r="C166" i="10"/>
  <c r="C198" i="10"/>
  <c r="C233" i="10"/>
  <c r="C257" i="10"/>
  <c r="C281" i="10"/>
  <c r="C298" i="10"/>
  <c r="C310" i="10"/>
  <c r="C234" i="10"/>
  <c r="C276" i="10"/>
  <c r="C193" i="10"/>
  <c r="C188" i="10"/>
  <c r="C236" i="10"/>
  <c r="C288" i="10"/>
  <c r="C199" i="10"/>
  <c r="C160" i="10"/>
  <c r="C174" i="10"/>
  <c r="C190" i="10"/>
  <c r="C206" i="10"/>
  <c r="C221" i="10"/>
  <c r="C229" i="10"/>
  <c r="C237" i="10"/>
  <c r="C245" i="10"/>
  <c r="C253" i="10"/>
  <c r="C261" i="10"/>
  <c r="C269" i="10"/>
  <c r="C277" i="10"/>
  <c r="C285" i="10"/>
  <c r="C292" i="10"/>
  <c r="C296" i="10"/>
  <c r="C300" i="10"/>
  <c r="C304" i="10"/>
  <c r="C308" i="10"/>
  <c r="C312" i="10"/>
  <c r="C316" i="10"/>
  <c r="C230" i="10"/>
  <c r="C240" i="10"/>
  <c r="C256" i="10"/>
  <c r="C268" i="10"/>
  <c r="C280" i="10"/>
  <c r="C169" i="10"/>
  <c r="C185" i="10"/>
  <c r="C201" i="10"/>
  <c r="C217" i="10"/>
  <c r="C180" i="10"/>
  <c r="C196" i="10"/>
  <c r="C212" i="10"/>
  <c r="C226" i="10"/>
  <c r="C246" i="10"/>
  <c r="C260" i="10"/>
  <c r="C284" i="10"/>
  <c r="C179" i="10"/>
  <c r="C215" i="10"/>
  <c r="C211" i="10"/>
  <c r="C159" i="10"/>
  <c r="C161" i="10"/>
  <c r="C145" i="10"/>
  <c r="C144" i="10"/>
  <c r="C150" i="10"/>
  <c r="C156" i="10"/>
  <c r="C182" i="10"/>
  <c r="C225" i="10"/>
  <c r="C249" i="10"/>
  <c r="C273" i="10"/>
  <c r="C294" i="10"/>
  <c r="C306" i="10"/>
  <c r="C318" i="10"/>
  <c r="C264" i="10"/>
  <c r="C177" i="10"/>
  <c r="C172" i="10"/>
  <c r="C220" i="10"/>
  <c r="C272" i="10"/>
  <c r="C203" i="10"/>
  <c r="C153" i="10"/>
  <c r="C165" i="10"/>
  <c r="C170" i="10"/>
  <c r="C186" i="10"/>
  <c r="C202" i="10"/>
  <c r="C218" i="10"/>
  <c r="C227" i="10"/>
  <c r="C235" i="10"/>
  <c r="C243" i="10"/>
  <c r="C251" i="10"/>
  <c r="C259" i="10"/>
  <c r="C267" i="10"/>
  <c r="C275" i="10"/>
  <c r="C283" i="10"/>
  <c r="C291" i="10"/>
  <c r="C295" i="10"/>
  <c r="C299" i="10"/>
  <c r="C303" i="10"/>
  <c r="C307" i="10"/>
  <c r="C311" i="10"/>
  <c r="C315" i="10"/>
  <c r="C224" i="10"/>
  <c r="C238" i="10"/>
  <c r="C252" i="10"/>
  <c r="C266" i="10"/>
  <c r="C278" i="10"/>
  <c r="C175" i="10"/>
  <c r="C181" i="10"/>
  <c r="C197" i="10"/>
  <c r="C213" i="10"/>
  <c r="C176" i="10"/>
  <c r="C192" i="10"/>
  <c r="C208" i="10"/>
  <c r="C222" i="10"/>
  <c r="C242" i="10"/>
  <c r="C258" i="10"/>
  <c r="C282" i="10"/>
  <c r="C171" i="10"/>
  <c r="C195" i="10"/>
  <c r="C219" i="10"/>
  <c r="C163" i="10"/>
  <c r="C147" i="10"/>
  <c r="C149" i="10"/>
  <c r="C152" i="10"/>
  <c r="C154" i="10"/>
  <c r="C164" i="10"/>
  <c r="C214" i="10"/>
  <c r="C241" i="10"/>
  <c r="C265" i="10"/>
  <c r="C289" i="10"/>
  <c r="C302" i="10"/>
  <c r="C314" i="10"/>
  <c r="C248" i="10"/>
  <c r="C167" i="10"/>
  <c r="C209" i="10"/>
  <c r="C204" i="10"/>
  <c r="C254" i="10"/>
  <c r="C207" i="10"/>
  <c r="C151" i="10"/>
  <c r="C158" i="10"/>
  <c r="AU169" i="10"/>
  <c r="AU173" i="10"/>
  <c r="AU177" i="10"/>
  <c r="AU181" i="10"/>
  <c r="AU185" i="10"/>
  <c r="AU189" i="10"/>
  <c r="AU193" i="10"/>
  <c r="AU197" i="10"/>
  <c r="AU201" i="10"/>
  <c r="AU205" i="10"/>
  <c r="AU209" i="10"/>
  <c r="AU213" i="10"/>
  <c r="AU217" i="10"/>
  <c r="AU221" i="10"/>
  <c r="AU225" i="10"/>
  <c r="AU229" i="10"/>
  <c r="AU233" i="10"/>
  <c r="AU237" i="10"/>
  <c r="AU241" i="10"/>
  <c r="AU245" i="10"/>
  <c r="AU249" i="10"/>
  <c r="AU253" i="10"/>
  <c r="AU257" i="10"/>
  <c r="AU261" i="10"/>
  <c r="AU265" i="10"/>
  <c r="AU269" i="10"/>
  <c r="AU273" i="10"/>
  <c r="AU277" i="10"/>
  <c r="AU281" i="10"/>
  <c r="AU285" i="10"/>
  <c r="AU289" i="10"/>
  <c r="AU293" i="10"/>
  <c r="AU297" i="10"/>
  <c r="AU301" i="10"/>
  <c r="AU305" i="10"/>
  <c r="AU309" i="10"/>
  <c r="AU313" i="10"/>
  <c r="AU317" i="10"/>
  <c r="AU157" i="10"/>
  <c r="AU155" i="10"/>
  <c r="AU154" i="10"/>
  <c r="AU156" i="10"/>
  <c r="AU163" i="10"/>
  <c r="AU146" i="10"/>
  <c r="AU174" i="10"/>
  <c r="AU186" i="10"/>
  <c r="AU198" i="10"/>
  <c r="AU202" i="10"/>
  <c r="AU214" i="10"/>
  <c r="AU226" i="10"/>
  <c r="AU238" i="10"/>
  <c r="AU250" i="10"/>
  <c r="AU262" i="10"/>
  <c r="AU274" i="10"/>
  <c r="AU286" i="10"/>
  <c r="AU298" i="10"/>
  <c r="AU310" i="10"/>
  <c r="AU153" i="10"/>
  <c r="AU152" i="10"/>
  <c r="AU168" i="10"/>
  <c r="AU172" i="10"/>
  <c r="AU176" i="10"/>
  <c r="AU180" i="10"/>
  <c r="AU184" i="10"/>
  <c r="AU188" i="10"/>
  <c r="AU192" i="10"/>
  <c r="AU196" i="10"/>
  <c r="AU200" i="10"/>
  <c r="AU204" i="10"/>
  <c r="AU208" i="10"/>
  <c r="AU212" i="10"/>
  <c r="AU216" i="10"/>
  <c r="AU220" i="10"/>
  <c r="AU224" i="10"/>
  <c r="AU228" i="10"/>
  <c r="AU232" i="10"/>
  <c r="AU236" i="10"/>
  <c r="AU240" i="10"/>
  <c r="AU244" i="10"/>
  <c r="AU248" i="10"/>
  <c r="AU252" i="10"/>
  <c r="AU256" i="10"/>
  <c r="AU260" i="10"/>
  <c r="AU264" i="10"/>
  <c r="AU268" i="10"/>
  <c r="AU272" i="10"/>
  <c r="AU276" i="10"/>
  <c r="AU280" i="10"/>
  <c r="AU284" i="10"/>
  <c r="AU288" i="10"/>
  <c r="AU292" i="10"/>
  <c r="AU296" i="10"/>
  <c r="AU300" i="10"/>
  <c r="AU304" i="10"/>
  <c r="AU308" i="10"/>
  <c r="AU312" i="10"/>
  <c r="AU316" i="10"/>
  <c r="AU161" i="10"/>
  <c r="AU145" i="10"/>
  <c r="AU158" i="10"/>
  <c r="AU160" i="10"/>
  <c r="AU144" i="10"/>
  <c r="AU143" i="10"/>
  <c r="AU166" i="10"/>
  <c r="AU178" i="10"/>
  <c r="AU190" i="10"/>
  <c r="AU206" i="10"/>
  <c r="AU218" i="10"/>
  <c r="AU230" i="10"/>
  <c r="AU242" i="10"/>
  <c r="AU258" i="10"/>
  <c r="AU270" i="10"/>
  <c r="AU282" i="10"/>
  <c r="AU294" i="10"/>
  <c r="AU306" i="10"/>
  <c r="AU318" i="10"/>
  <c r="AU150" i="10"/>
  <c r="AU167" i="10"/>
  <c r="AU171" i="10"/>
  <c r="AU175" i="10"/>
  <c r="AU179" i="10"/>
  <c r="AU183" i="10"/>
  <c r="AU187" i="10"/>
  <c r="AU191" i="10"/>
  <c r="AU195" i="10"/>
  <c r="AU199" i="10"/>
  <c r="AU203" i="10"/>
  <c r="AU207" i="10"/>
  <c r="AU211" i="10"/>
  <c r="AU215" i="10"/>
  <c r="AU219" i="10"/>
  <c r="AU223" i="10"/>
  <c r="AU227" i="10"/>
  <c r="AU231" i="10"/>
  <c r="AU235" i="10"/>
  <c r="AU239" i="10"/>
  <c r="AU243" i="10"/>
  <c r="AU247" i="10"/>
  <c r="AU251" i="10"/>
  <c r="AU255" i="10"/>
  <c r="AU259" i="10"/>
  <c r="AU263" i="10"/>
  <c r="AU267" i="10"/>
  <c r="AU271" i="10"/>
  <c r="AU275" i="10"/>
  <c r="AU279" i="10"/>
  <c r="AU283" i="10"/>
  <c r="AU287" i="10"/>
  <c r="AU291" i="10"/>
  <c r="AU295" i="10"/>
  <c r="AU299" i="10"/>
  <c r="AU303" i="10"/>
  <c r="AU307" i="10"/>
  <c r="AU311" i="10"/>
  <c r="AU315" i="10"/>
  <c r="AU165" i="10"/>
  <c r="AU149" i="10"/>
  <c r="AU162" i="10"/>
  <c r="AU164" i="10"/>
  <c r="AU148" i="10"/>
  <c r="AU151" i="10"/>
  <c r="AU170" i="10"/>
  <c r="AU182" i="10"/>
  <c r="AU194" i="10"/>
  <c r="AU210" i="10"/>
  <c r="AU222" i="10"/>
  <c r="AU234" i="10"/>
  <c r="AU246" i="10"/>
  <c r="AU254" i="10"/>
  <c r="AU266" i="10"/>
  <c r="AU278" i="10"/>
  <c r="AU290" i="10"/>
  <c r="AU302" i="10"/>
  <c r="AU314" i="10"/>
  <c r="AU147" i="10"/>
  <c r="AU159" i="10"/>
  <c r="AU143" i="12"/>
  <c r="AU304" i="12"/>
  <c r="AU178" i="12"/>
  <c r="AU151" i="12"/>
  <c r="AU281" i="12"/>
  <c r="AU156" i="12"/>
  <c r="AU241" i="12"/>
  <c r="AU157" i="12"/>
  <c r="AU260" i="12"/>
  <c r="AU200" i="12"/>
  <c r="AU258" i="12"/>
  <c r="AU236" i="12"/>
  <c r="AU313" i="12"/>
  <c r="AU312" i="12"/>
  <c r="AU184" i="12"/>
  <c r="AU242" i="12"/>
  <c r="AU317" i="12"/>
  <c r="AU211" i="12"/>
  <c r="AU305" i="12"/>
  <c r="AU221" i="12"/>
  <c r="AU210" i="12"/>
  <c r="AU268" i="12"/>
  <c r="AU187" i="12"/>
  <c r="AU215" i="12"/>
  <c r="AU166" i="12"/>
  <c r="AU192" i="12"/>
  <c r="AU315" i="12"/>
  <c r="AU155" i="12"/>
  <c r="AU257" i="12"/>
  <c r="AU275" i="12"/>
  <c r="AU271" i="12"/>
  <c r="AU190" i="12"/>
  <c r="AU185" i="12"/>
  <c r="AU160" i="12"/>
  <c r="AU217" i="12"/>
  <c r="AU158" i="12"/>
  <c r="AU269" i="12"/>
  <c r="AU290" i="12"/>
  <c r="AU250" i="12"/>
  <c r="AU235" i="12"/>
  <c r="AU252" i="12"/>
  <c r="AU276" i="12"/>
  <c r="AU180" i="12"/>
  <c r="AU212" i="12"/>
  <c r="AU182" i="12"/>
  <c r="AU144" i="12"/>
  <c r="AU153" i="12"/>
  <c r="AU154" i="12"/>
  <c r="AU226" i="12"/>
  <c r="AU199" i="12"/>
  <c r="AU310" i="12"/>
  <c r="AU204" i="12"/>
  <c r="AU207" i="12"/>
  <c r="AU264" i="12"/>
  <c r="AU167" i="12"/>
  <c r="AU283" i="12"/>
  <c r="AU206" i="12"/>
  <c r="AU161" i="12"/>
  <c r="AU248" i="12"/>
  <c r="AU159" i="12"/>
  <c r="AU173" i="12"/>
  <c r="AU213" i="12"/>
  <c r="AU216" i="12"/>
  <c r="AU179" i="12"/>
  <c r="AU299" i="12"/>
  <c r="AU238" i="12"/>
  <c r="AU223" i="12"/>
  <c r="AU196" i="12"/>
  <c r="AU277" i="12"/>
  <c r="AU224" i="12"/>
  <c r="AU183" i="12"/>
  <c r="AU171" i="12"/>
  <c r="AU202" i="12"/>
  <c r="AU307" i="12"/>
  <c r="AU229" i="12"/>
  <c r="AU254" i="12"/>
  <c r="AU262" i="12"/>
  <c r="AU303" i="12"/>
  <c r="AU244" i="12"/>
  <c r="AU177" i="12"/>
  <c r="AU208" i="12"/>
  <c r="AU306" i="12"/>
  <c r="AU147" i="12"/>
  <c r="AU225" i="12"/>
  <c r="AU164" i="12"/>
  <c r="AU308" i="12"/>
  <c r="AU233" i="12"/>
  <c r="AU288" i="12"/>
  <c r="AU214" i="12"/>
  <c r="AU287" i="12"/>
  <c r="AU232" i="12"/>
  <c r="AU278" i="12"/>
  <c r="AU253" i="12"/>
  <c r="AU270" i="12"/>
  <c r="AU289" i="12"/>
  <c r="AU311" i="12"/>
  <c r="AU170" i="12"/>
  <c r="AU294" i="12"/>
  <c r="AU267" i="12"/>
  <c r="AU175" i="12"/>
  <c r="AU245" i="12"/>
  <c r="AU162" i="12"/>
  <c r="AU286" i="12"/>
  <c r="AU203" i="12"/>
  <c r="AU231" i="12"/>
  <c r="AU146" i="12"/>
  <c r="AU302" i="12"/>
  <c r="AU191" i="12"/>
  <c r="AU284" i="12"/>
  <c r="AU246" i="12"/>
  <c r="AU318" i="12"/>
  <c r="AU293" i="12"/>
  <c r="AU256" i="12"/>
  <c r="AU259" i="12"/>
  <c r="AU282" i="12"/>
  <c r="AU234" i="12"/>
  <c r="AU263" i="12"/>
  <c r="AU220" i="12"/>
  <c r="AU165" i="12"/>
  <c r="AU296" i="12"/>
  <c r="AU219" i="12"/>
  <c r="AU279" i="12"/>
  <c r="AU285" i="12"/>
  <c r="AU240" i="12"/>
  <c r="AU195" i="12"/>
  <c r="AU163" i="12"/>
  <c r="AU186" i="12"/>
  <c r="AU291" i="12"/>
  <c r="AU243" i="12"/>
  <c r="AU222" i="12"/>
  <c r="AU198" i="12"/>
  <c r="AU295" i="12"/>
  <c r="AU181" i="12"/>
  <c r="AU261" i="12"/>
  <c r="AU300" i="12"/>
  <c r="AU247" i="12"/>
  <c r="AU201" i="12"/>
  <c r="AU314" i="12"/>
  <c r="AU316" i="12"/>
  <c r="AU280" i="12"/>
  <c r="AU297" i="12"/>
  <c r="AU189" i="12"/>
  <c r="AU194" i="12"/>
  <c r="AU172" i="12"/>
  <c r="AU249" i="12"/>
  <c r="AU168" i="12"/>
  <c r="AU227" i="12"/>
  <c r="AU174" i="12"/>
  <c r="AU265" i="12"/>
  <c r="AU273" i="12"/>
  <c r="AU239" i="12"/>
  <c r="AU209" i="12"/>
  <c r="AU197" i="12"/>
  <c r="AU230" i="12"/>
  <c r="AU309" i="12"/>
  <c r="AU150" i="12"/>
  <c r="AU237" i="12"/>
  <c r="AU298" i="12"/>
  <c r="AU266" i="12"/>
  <c r="AU193" i="12"/>
  <c r="AU148" i="12"/>
  <c r="AU292" i="12"/>
  <c r="AU251" i="12"/>
  <c r="AU152" i="12"/>
  <c r="AU176" i="12"/>
  <c r="AU301" i="12"/>
  <c r="AU272" i="12"/>
  <c r="AU205" i="12"/>
  <c r="AU274" i="12"/>
  <c r="AU218" i="12"/>
  <c r="AU255" i="12"/>
  <c r="AU188" i="12"/>
  <c r="AU149" i="12"/>
  <c r="AU169" i="12"/>
  <c r="AU228" i="12"/>
  <c r="AU145" i="12"/>
  <c r="C312" i="11"/>
  <c r="C316" i="11"/>
  <c r="C165" i="11"/>
  <c r="C296" i="11"/>
  <c r="C280" i="11"/>
  <c r="C264" i="11"/>
  <c r="C248" i="11"/>
  <c r="C232" i="11"/>
  <c r="C216" i="11"/>
  <c r="C200" i="11"/>
  <c r="C183" i="11"/>
  <c r="C167" i="11"/>
  <c r="C150" i="11"/>
  <c r="C298" i="11"/>
  <c r="C282" i="11"/>
  <c r="C258" i="11"/>
  <c r="C202" i="11"/>
  <c r="C301" i="11"/>
  <c r="C269" i="11"/>
  <c r="C237" i="11"/>
  <c r="C201" i="11"/>
  <c r="C163" i="11"/>
  <c r="C303" i="11"/>
  <c r="C287" i="11"/>
  <c r="C271" i="11"/>
  <c r="C255" i="11"/>
  <c r="C239" i="11"/>
  <c r="C223" i="11"/>
  <c r="C207" i="11"/>
  <c r="C191" i="11"/>
  <c r="C174" i="11"/>
  <c r="C157" i="11"/>
  <c r="C274" i="11"/>
  <c r="C238" i="11"/>
  <c r="C222" i="11"/>
  <c r="C198" i="11"/>
  <c r="C181" i="11"/>
  <c r="C160" i="11"/>
  <c r="C297" i="11"/>
  <c r="C265" i="11"/>
  <c r="C233" i="11"/>
  <c r="C205" i="11"/>
  <c r="C176" i="11"/>
  <c r="C147" i="11"/>
  <c r="C309" i="11"/>
  <c r="C313" i="11"/>
  <c r="C292" i="11"/>
  <c r="C260" i="11"/>
  <c r="C228" i="11"/>
  <c r="C196" i="11"/>
  <c r="C146" i="11"/>
  <c r="C278" i="11"/>
  <c r="C293" i="11"/>
  <c r="C189" i="11"/>
  <c r="C299" i="11"/>
  <c r="C267" i="11"/>
  <c r="C219" i="11"/>
  <c r="C170" i="11"/>
  <c r="C266" i="11"/>
  <c r="C218" i="11"/>
  <c r="C177" i="11"/>
  <c r="C257" i="11"/>
  <c r="C229" i="11"/>
  <c r="C311" i="11"/>
  <c r="C315" i="11"/>
  <c r="C143" i="11"/>
  <c r="C300" i="11"/>
  <c r="C284" i="11"/>
  <c r="C268" i="11"/>
  <c r="C252" i="11"/>
  <c r="C236" i="11"/>
  <c r="C220" i="11"/>
  <c r="C204" i="11"/>
  <c r="C188" i="11"/>
  <c r="C171" i="11"/>
  <c r="C154" i="11"/>
  <c r="C302" i="11"/>
  <c r="C286" i="11"/>
  <c r="C262" i="11"/>
  <c r="C210" i="11"/>
  <c r="C308" i="11"/>
  <c r="C277" i="11"/>
  <c r="C249" i="11"/>
  <c r="C209" i="11"/>
  <c r="C168" i="11"/>
  <c r="C307" i="11"/>
  <c r="C291" i="11"/>
  <c r="C275" i="11"/>
  <c r="C259" i="11"/>
  <c r="C243" i="11"/>
  <c r="C227" i="11"/>
  <c r="C211" i="11"/>
  <c r="C195" i="11"/>
  <c r="C178" i="11"/>
  <c r="C161" i="11"/>
  <c r="C145" i="11"/>
  <c r="C242" i="11"/>
  <c r="C226" i="11"/>
  <c r="C206" i="11"/>
  <c r="C186" i="11"/>
  <c r="C164" i="11"/>
  <c r="C305" i="11"/>
  <c r="C273" i="11"/>
  <c r="C241" i="11"/>
  <c r="C213" i="11"/>
  <c r="C184" i="11"/>
  <c r="C155" i="11"/>
  <c r="C317" i="11"/>
  <c r="C276" i="11"/>
  <c r="C212" i="11"/>
  <c r="C162" i="11"/>
  <c r="C254" i="11"/>
  <c r="C261" i="11"/>
  <c r="C151" i="11"/>
  <c r="C235" i="11"/>
  <c r="C187" i="11"/>
  <c r="C234" i="11"/>
  <c r="C152" i="11"/>
  <c r="C197" i="11"/>
  <c r="C310" i="11"/>
  <c r="C314" i="11"/>
  <c r="C318" i="11"/>
  <c r="C304" i="11"/>
  <c r="C288" i="11"/>
  <c r="C272" i="11"/>
  <c r="C256" i="11"/>
  <c r="C240" i="11"/>
  <c r="C224" i="11"/>
  <c r="C208" i="11"/>
  <c r="C192" i="11"/>
  <c r="C175" i="11"/>
  <c r="C158" i="11"/>
  <c r="C306" i="11"/>
  <c r="C290" i="11"/>
  <c r="C270" i="11"/>
  <c r="C250" i="11"/>
  <c r="C156" i="11"/>
  <c r="C285" i="11"/>
  <c r="C253" i="11"/>
  <c r="C221" i="11"/>
  <c r="C180" i="11"/>
  <c r="C185" i="11"/>
  <c r="C295" i="11"/>
  <c r="C279" i="11"/>
  <c r="C263" i="11"/>
  <c r="C247" i="11"/>
  <c r="C231" i="11"/>
  <c r="C215" i="11"/>
  <c r="C199" i="11"/>
  <c r="C182" i="11"/>
  <c r="C166" i="11"/>
  <c r="C149" i="11"/>
  <c r="C246" i="11"/>
  <c r="C230" i="11"/>
  <c r="C214" i="11"/>
  <c r="C190" i="11"/>
  <c r="C173" i="11"/>
  <c r="C148" i="11"/>
  <c r="C281" i="11"/>
  <c r="C245" i="11"/>
  <c r="C217" i="11"/>
  <c r="C193" i="11"/>
  <c r="C159" i="11"/>
  <c r="C144" i="11"/>
  <c r="C244" i="11"/>
  <c r="C179" i="11"/>
  <c r="C294" i="11"/>
  <c r="C169" i="11"/>
  <c r="C225" i="11"/>
  <c r="C283" i="11"/>
  <c r="C251" i="11"/>
  <c r="C203" i="11"/>
  <c r="C153" i="11"/>
  <c r="C194" i="11"/>
  <c r="C289" i="11"/>
  <c r="C172" i="11"/>
  <c r="AQ169" i="10"/>
  <c r="AQ173" i="10"/>
  <c r="AQ177" i="10"/>
  <c r="AQ181" i="10"/>
  <c r="AQ185" i="10"/>
  <c r="AQ189" i="10"/>
  <c r="AQ193" i="10"/>
  <c r="AQ197" i="10"/>
  <c r="AQ201" i="10"/>
  <c r="AQ205" i="10"/>
  <c r="AQ209" i="10"/>
  <c r="AQ213" i="10"/>
  <c r="AQ217" i="10"/>
  <c r="AQ221" i="10"/>
  <c r="AQ225" i="10"/>
  <c r="AQ229" i="10"/>
  <c r="AQ233" i="10"/>
  <c r="AQ237" i="10"/>
  <c r="AQ241" i="10"/>
  <c r="AQ245" i="10"/>
  <c r="AQ249" i="10"/>
  <c r="AQ253" i="10"/>
  <c r="AQ257" i="10"/>
  <c r="AQ261" i="10"/>
  <c r="AQ265" i="10"/>
  <c r="AQ269" i="10"/>
  <c r="AQ273" i="10"/>
  <c r="AQ277" i="10"/>
  <c r="AQ281" i="10"/>
  <c r="AQ285" i="10"/>
  <c r="AQ289" i="10"/>
  <c r="AQ293" i="10"/>
  <c r="AQ297" i="10"/>
  <c r="AQ301" i="10"/>
  <c r="AQ305" i="10"/>
  <c r="AQ309" i="10"/>
  <c r="AQ313" i="10"/>
  <c r="AQ317" i="10"/>
  <c r="AQ159" i="10"/>
  <c r="AQ149" i="10"/>
  <c r="AQ152" i="10"/>
  <c r="AQ150" i="10"/>
  <c r="AQ157" i="10"/>
  <c r="AQ144" i="10"/>
  <c r="AQ170" i="10"/>
  <c r="AQ182" i="10"/>
  <c r="AQ194" i="10"/>
  <c r="AQ206" i="10"/>
  <c r="AQ218" i="10"/>
  <c r="AQ230" i="10"/>
  <c r="AQ242" i="10"/>
  <c r="AQ254" i="10"/>
  <c r="AQ266" i="10"/>
  <c r="AQ278" i="10"/>
  <c r="AQ290" i="10"/>
  <c r="AQ302" i="10"/>
  <c r="AQ314" i="10"/>
  <c r="AQ164" i="10"/>
  <c r="AQ153" i="10"/>
  <c r="AQ168" i="10"/>
  <c r="AQ172" i="10"/>
  <c r="AQ176" i="10"/>
  <c r="AQ180" i="10"/>
  <c r="AQ184" i="10"/>
  <c r="AQ188" i="10"/>
  <c r="AQ192" i="10"/>
  <c r="AQ196" i="10"/>
  <c r="AQ200" i="10"/>
  <c r="AQ204" i="10"/>
  <c r="AQ208" i="10"/>
  <c r="AQ212" i="10"/>
  <c r="AQ216" i="10"/>
  <c r="AQ220" i="10"/>
  <c r="AQ224" i="10"/>
  <c r="AQ228" i="10"/>
  <c r="AQ232" i="10"/>
  <c r="AQ236" i="10"/>
  <c r="AQ240" i="10"/>
  <c r="AQ244" i="10"/>
  <c r="AQ248" i="10"/>
  <c r="AQ252" i="10"/>
  <c r="AQ256" i="10"/>
  <c r="AQ260" i="10"/>
  <c r="AQ264" i="10"/>
  <c r="AQ268" i="10"/>
  <c r="AQ272" i="10"/>
  <c r="AQ276" i="10"/>
  <c r="AQ280" i="10"/>
  <c r="AQ284" i="10"/>
  <c r="AQ288" i="10"/>
  <c r="AQ292" i="10"/>
  <c r="AQ296" i="10"/>
  <c r="AQ300" i="10"/>
  <c r="AQ304" i="10"/>
  <c r="AQ308" i="10"/>
  <c r="AQ312" i="10"/>
  <c r="AQ316" i="10"/>
  <c r="AQ163" i="10"/>
  <c r="AQ147" i="10"/>
  <c r="AQ156" i="10"/>
  <c r="AQ154" i="10"/>
  <c r="AQ161" i="10"/>
  <c r="AQ148" i="10"/>
  <c r="AQ166" i="10"/>
  <c r="AQ178" i="10"/>
  <c r="AQ190" i="10"/>
  <c r="AQ202" i="10"/>
  <c r="AQ214" i="10"/>
  <c r="AQ226" i="10"/>
  <c r="AQ238" i="10"/>
  <c r="AQ250" i="10"/>
  <c r="AQ262" i="10"/>
  <c r="AQ274" i="10"/>
  <c r="AQ286" i="10"/>
  <c r="AQ298" i="10"/>
  <c r="AQ310" i="10"/>
  <c r="AQ155" i="10"/>
  <c r="AQ146" i="10"/>
  <c r="AQ167" i="10"/>
  <c r="AQ171" i="10"/>
  <c r="AQ175" i="10"/>
  <c r="AQ179" i="10"/>
  <c r="AQ183" i="10"/>
  <c r="AQ187" i="10"/>
  <c r="AQ191" i="10"/>
  <c r="AQ195" i="10"/>
  <c r="AQ199" i="10"/>
  <c r="AQ203" i="10"/>
  <c r="AQ207" i="10"/>
  <c r="AQ211" i="10"/>
  <c r="AQ215" i="10"/>
  <c r="AQ219" i="10"/>
  <c r="AQ223" i="10"/>
  <c r="AQ227" i="10"/>
  <c r="AQ231" i="10"/>
  <c r="AQ235" i="10"/>
  <c r="AQ239" i="10"/>
  <c r="AQ243" i="10"/>
  <c r="AQ247" i="10"/>
  <c r="AQ251" i="10"/>
  <c r="AQ255" i="10"/>
  <c r="AQ259" i="10"/>
  <c r="AQ263" i="10"/>
  <c r="AQ267" i="10"/>
  <c r="AQ271" i="10"/>
  <c r="AQ275" i="10"/>
  <c r="AQ279" i="10"/>
  <c r="AQ283" i="10"/>
  <c r="AQ287" i="10"/>
  <c r="AQ291" i="10"/>
  <c r="AQ295" i="10"/>
  <c r="AQ299" i="10"/>
  <c r="AQ303" i="10"/>
  <c r="AQ307" i="10"/>
  <c r="AQ311" i="10"/>
  <c r="AQ315" i="10"/>
  <c r="AQ143" i="10"/>
  <c r="AQ151" i="10"/>
  <c r="AQ160" i="10"/>
  <c r="AQ158" i="10"/>
  <c r="AQ165" i="10"/>
  <c r="AQ145" i="10"/>
  <c r="AQ174" i="10"/>
  <c r="AQ186" i="10"/>
  <c r="AQ198" i="10"/>
  <c r="AQ210" i="10"/>
  <c r="AQ222" i="10"/>
  <c r="AQ234" i="10"/>
  <c r="AQ246" i="10"/>
  <c r="AQ258" i="10"/>
  <c r="AQ270" i="10"/>
  <c r="AQ282" i="10"/>
  <c r="AQ294" i="10"/>
  <c r="AQ306" i="10"/>
  <c r="AQ318" i="10"/>
  <c r="AQ162" i="10"/>
  <c r="G176" i="10"/>
  <c r="G192" i="10"/>
  <c r="G208" i="10"/>
  <c r="G292" i="10"/>
  <c r="G296" i="10"/>
  <c r="G300" i="10"/>
  <c r="G304" i="10"/>
  <c r="G308" i="10"/>
  <c r="G312" i="10"/>
  <c r="G316" i="10"/>
  <c r="G171" i="10"/>
  <c r="G187" i="10"/>
  <c r="G203" i="10"/>
  <c r="G219" i="10"/>
  <c r="G227" i="10"/>
  <c r="G235" i="10"/>
  <c r="G243" i="10"/>
  <c r="G251" i="10"/>
  <c r="G259" i="10"/>
  <c r="G267" i="10"/>
  <c r="G275" i="10"/>
  <c r="G283" i="10"/>
  <c r="G166" i="10"/>
  <c r="G182" i="10"/>
  <c r="G198" i="10"/>
  <c r="G214" i="10"/>
  <c r="G177" i="10"/>
  <c r="G220" i="10"/>
  <c r="G236" i="10"/>
  <c r="G252" i="10"/>
  <c r="G268" i="10"/>
  <c r="G284" i="10"/>
  <c r="G205" i="10"/>
  <c r="G250" i="10"/>
  <c r="G278" i="10"/>
  <c r="G185" i="10"/>
  <c r="G238" i="10"/>
  <c r="G270" i="10"/>
  <c r="G157" i="10"/>
  <c r="G163" i="10"/>
  <c r="G150" i="10"/>
  <c r="G152" i="10"/>
  <c r="G151" i="10"/>
  <c r="G146" i="10"/>
  <c r="G165" i="10"/>
  <c r="G212" i="10"/>
  <c r="G301" i="10"/>
  <c r="G313" i="10"/>
  <c r="G191" i="10"/>
  <c r="G229" i="10"/>
  <c r="G253" i="10"/>
  <c r="G277" i="10"/>
  <c r="G186" i="10"/>
  <c r="G181" i="10"/>
  <c r="G256" i="10"/>
  <c r="G222" i="10"/>
  <c r="G217" i="10"/>
  <c r="G153" i="10"/>
  <c r="G148" i="10"/>
  <c r="G172" i="10"/>
  <c r="G188" i="10"/>
  <c r="G204" i="10"/>
  <c r="G291" i="10"/>
  <c r="G295" i="10"/>
  <c r="G299" i="10"/>
  <c r="G303" i="10"/>
  <c r="G307" i="10"/>
  <c r="G311" i="10"/>
  <c r="G315" i="10"/>
  <c r="G167" i="10"/>
  <c r="G183" i="10"/>
  <c r="G199" i="10"/>
  <c r="G215" i="10"/>
  <c r="G225" i="10"/>
  <c r="G233" i="10"/>
  <c r="G241" i="10"/>
  <c r="G249" i="10"/>
  <c r="G257" i="10"/>
  <c r="G265" i="10"/>
  <c r="G273" i="10"/>
  <c r="G281" i="10"/>
  <c r="G289" i="10"/>
  <c r="G178" i="10"/>
  <c r="G194" i="10"/>
  <c r="G210" i="10"/>
  <c r="G173" i="10"/>
  <c r="G213" i="10"/>
  <c r="G232" i="10"/>
  <c r="G248" i="10"/>
  <c r="G264" i="10"/>
  <c r="G280" i="10"/>
  <c r="G189" i="10"/>
  <c r="G242" i="10"/>
  <c r="G274" i="10"/>
  <c r="G209" i="10"/>
  <c r="G230" i="10"/>
  <c r="G262" i="10"/>
  <c r="G161" i="10"/>
  <c r="G145" i="10"/>
  <c r="G158" i="10"/>
  <c r="G156" i="10"/>
  <c r="G143" i="10"/>
  <c r="G154" i="10"/>
  <c r="G196" i="10"/>
  <c r="G297" i="10"/>
  <c r="G309" i="10"/>
  <c r="G175" i="10"/>
  <c r="G221" i="10"/>
  <c r="G245" i="10"/>
  <c r="G269" i="10"/>
  <c r="G170" i="10"/>
  <c r="G218" i="10"/>
  <c r="G240" i="10"/>
  <c r="G288" i="10"/>
  <c r="G286" i="10"/>
  <c r="G282" i="10"/>
  <c r="G164" i="10"/>
  <c r="G168" i="10"/>
  <c r="G184" i="10"/>
  <c r="G200" i="10"/>
  <c r="G216" i="10"/>
  <c r="G294" i="10"/>
  <c r="G298" i="10"/>
  <c r="G302" i="10"/>
  <c r="G306" i="10"/>
  <c r="G310" i="10"/>
  <c r="G314" i="10"/>
  <c r="G318" i="10"/>
  <c r="G179" i="10"/>
  <c r="G195" i="10"/>
  <c r="G211" i="10"/>
  <c r="G223" i="10"/>
  <c r="G231" i="10"/>
  <c r="G239" i="10"/>
  <c r="G247" i="10"/>
  <c r="G255" i="10"/>
  <c r="G263" i="10"/>
  <c r="G271" i="10"/>
  <c r="G279" i="10"/>
  <c r="G287" i="10"/>
  <c r="G174" i="10"/>
  <c r="G190" i="10"/>
  <c r="G206" i="10"/>
  <c r="G169" i="10"/>
  <c r="G197" i="10"/>
  <c r="G228" i="10"/>
  <c r="G244" i="10"/>
  <c r="G260" i="10"/>
  <c r="G276" i="10"/>
  <c r="G201" i="10"/>
  <c r="G234" i="10"/>
  <c r="G266" i="10"/>
  <c r="G193" i="10"/>
  <c r="G226" i="10"/>
  <c r="G254" i="10"/>
  <c r="G290" i="10"/>
  <c r="G149" i="10"/>
  <c r="G155" i="10"/>
  <c r="G160" i="10"/>
  <c r="G144" i="10"/>
  <c r="G162" i="10"/>
  <c r="G180" i="10"/>
  <c r="G293" i="10"/>
  <c r="G305" i="10"/>
  <c r="G317" i="10"/>
  <c r="G207" i="10"/>
  <c r="G237" i="10"/>
  <c r="G261" i="10"/>
  <c r="G285" i="10"/>
  <c r="G202" i="10"/>
  <c r="G224" i="10"/>
  <c r="G272" i="10"/>
  <c r="G258" i="10"/>
  <c r="G246" i="10"/>
  <c r="G159" i="10"/>
  <c r="G147" i="10"/>
  <c r="AQ308" i="11"/>
  <c r="AQ288" i="11"/>
  <c r="AQ256" i="11"/>
  <c r="AQ224" i="11"/>
  <c r="AQ200" i="11"/>
  <c r="AQ310" i="11"/>
  <c r="AQ302" i="11"/>
  <c r="AQ293" i="11"/>
  <c r="AQ292" i="11"/>
  <c r="AQ278" i="11"/>
  <c r="AQ270" i="11"/>
  <c r="AQ262" i="11"/>
  <c r="AQ246" i="11"/>
  <c r="AQ238" i="11"/>
  <c r="AQ230" i="11"/>
  <c r="AQ214" i="11"/>
  <c r="AQ206" i="11"/>
  <c r="AQ198" i="11"/>
  <c r="AQ190" i="11"/>
  <c r="AQ182" i="11"/>
  <c r="AQ152" i="11"/>
  <c r="AQ304" i="11"/>
  <c r="AQ192" i="11"/>
  <c r="AQ176" i="11"/>
  <c r="AQ317" i="11"/>
  <c r="AQ163" i="11"/>
  <c r="AQ159" i="11"/>
  <c r="AQ146" i="11"/>
  <c r="AQ307" i="11"/>
  <c r="AQ299" i="11"/>
  <c r="AQ164" i="11"/>
  <c r="AQ267" i="11"/>
  <c r="AQ235" i="11"/>
  <c r="AQ203" i="11"/>
  <c r="AQ171" i="11"/>
  <c r="AQ165" i="11"/>
  <c r="AQ147" i="11"/>
  <c r="AQ232" i="11"/>
  <c r="AQ220" i="11"/>
  <c r="AQ208" i="11"/>
  <c r="AQ188" i="11"/>
  <c r="AQ172" i="11"/>
  <c r="AQ314" i="11"/>
  <c r="AQ306" i="11"/>
  <c r="AQ298" i="11"/>
  <c r="AQ156" i="11"/>
  <c r="AQ290" i="11"/>
  <c r="AQ274" i="11"/>
  <c r="AQ266" i="11"/>
  <c r="AQ258" i="11"/>
  <c r="AQ242" i="11"/>
  <c r="AQ234" i="11"/>
  <c r="AQ226" i="11"/>
  <c r="AQ210" i="11"/>
  <c r="AQ202" i="11"/>
  <c r="AQ194" i="11"/>
  <c r="AQ178" i="11"/>
  <c r="AQ170" i="11"/>
  <c r="AQ150" i="11"/>
  <c r="AQ295" i="11"/>
  <c r="AQ284" i="11"/>
  <c r="AQ268" i="11"/>
  <c r="AQ252" i="11"/>
  <c r="AQ236" i="11"/>
  <c r="AQ196" i="11"/>
  <c r="AQ313" i="11"/>
  <c r="AQ305" i="11"/>
  <c r="AQ148" i="11"/>
  <c r="AQ281" i="11"/>
  <c r="AQ273" i="11"/>
  <c r="AQ265" i="11"/>
  <c r="AQ249" i="11"/>
  <c r="AQ233" i="11"/>
  <c r="AQ217" i="11"/>
  <c r="AQ209" i="11"/>
  <c r="AQ201" i="11"/>
  <c r="AQ185" i="11"/>
  <c r="AQ315" i="11"/>
  <c r="AQ143" i="11"/>
  <c r="AQ283" i="11"/>
  <c r="AQ275" i="11"/>
  <c r="AQ259" i="11"/>
  <c r="AQ251" i="11"/>
  <c r="AQ243" i="11"/>
  <c r="AQ227" i="11"/>
  <c r="AQ219" i="11"/>
  <c r="AQ211" i="11"/>
  <c r="AQ195" i="11"/>
  <c r="AQ187" i="11"/>
  <c r="AQ179" i="11"/>
  <c r="AQ154" i="11"/>
  <c r="AQ316" i="11"/>
  <c r="AQ300" i="11"/>
  <c r="AQ280" i="11"/>
  <c r="AQ264" i="11"/>
  <c r="AQ248" i="11"/>
  <c r="AQ151" i="11"/>
  <c r="AQ162" i="11"/>
  <c r="AQ282" i="11"/>
  <c r="AQ250" i="11"/>
  <c r="AQ218" i="11"/>
  <c r="AQ186" i="11"/>
  <c r="AQ161" i="11"/>
  <c r="AQ312" i="11"/>
  <c r="AQ216" i="11"/>
  <c r="AQ184" i="11"/>
  <c r="AQ153" i="11"/>
  <c r="AQ144" i="11"/>
  <c r="AQ289" i="11"/>
  <c r="AQ257" i="11"/>
  <c r="AQ241" i="11"/>
  <c r="AQ225" i="11"/>
  <c r="AQ193" i="11"/>
  <c r="AQ177" i="11"/>
  <c r="AQ169" i="11"/>
  <c r="AQ157" i="11"/>
  <c r="AQ311" i="11"/>
  <c r="AQ303" i="11"/>
  <c r="AQ296" i="11"/>
  <c r="AQ279" i="11"/>
  <c r="AQ263" i="11"/>
  <c r="AQ247" i="11"/>
  <c r="AQ231" i="11"/>
  <c r="AQ215" i="11"/>
  <c r="AQ199" i="11"/>
  <c r="AQ183" i="11"/>
  <c r="AQ167" i="11"/>
  <c r="AQ149" i="11"/>
  <c r="AQ158" i="11"/>
  <c r="AQ145" i="11"/>
  <c r="AQ297" i="11"/>
  <c r="AQ276" i="11"/>
  <c r="AQ260" i="11"/>
  <c r="AQ240" i="11"/>
  <c r="AQ228" i="11"/>
  <c r="AQ204" i="11"/>
  <c r="AQ309" i="11"/>
  <c r="AQ301" i="11"/>
  <c r="AQ291" i="11"/>
  <c r="AQ285" i="11"/>
  <c r="AQ269" i="11"/>
  <c r="AQ253" i="11"/>
  <c r="AQ237" i="11"/>
  <c r="AQ213" i="11"/>
  <c r="AQ189" i="11"/>
  <c r="AQ181" i="11"/>
  <c r="AQ271" i="11"/>
  <c r="AQ239" i="11"/>
  <c r="AQ155" i="11"/>
  <c r="AQ272" i="11"/>
  <c r="AQ244" i="11"/>
  <c r="AQ212" i="11"/>
  <c r="AQ180" i="11"/>
  <c r="AQ168" i="11"/>
  <c r="AQ318" i="11"/>
  <c r="AQ286" i="11"/>
  <c r="AQ254" i="11"/>
  <c r="AQ222" i="11"/>
  <c r="AQ174" i="11"/>
  <c r="AQ166" i="11"/>
  <c r="AQ160" i="11"/>
  <c r="AQ287" i="11"/>
  <c r="AQ255" i="11"/>
  <c r="AQ223" i="11"/>
  <c r="AQ191" i="11"/>
  <c r="AQ245" i="11"/>
  <c r="AQ221" i="11"/>
  <c r="AQ197" i="11"/>
  <c r="AQ173" i="11"/>
  <c r="AQ294" i="11"/>
  <c r="AQ277" i="11"/>
  <c r="AQ261" i="11"/>
  <c r="AQ229" i="11"/>
  <c r="AQ205" i="11"/>
  <c r="AQ207" i="11"/>
  <c r="AQ175" i="11"/>
  <c r="G309" i="11"/>
  <c r="G313" i="11"/>
  <c r="G317" i="11"/>
  <c r="G302" i="11"/>
  <c r="G286" i="11"/>
  <c r="G270" i="11"/>
  <c r="G254" i="11"/>
  <c r="G238" i="11"/>
  <c r="G222" i="11"/>
  <c r="G206" i="11"/>
  <c r="G190" i="11"/>
  <c r="G173" i="11"/>
  <c r="G156" i="11"/>
  <c r="G280" i="11"/>
  <c r="G256" i="11"/>
  <c r="G167" i="11"/>
  <c r="G291" i="11"/>
  <c r="G259" i="11"/>
  <c r="G223" i="11"/>
  <c r="G187" i="11"/>
  <c r="G149" i="11"/>
  <c r="G293" i="11"/>
  <c r="G277" i="11"/>
  <c r="G261" i="11"/>
  <c r="G245" i="11"/>
  <c r="G229" i="11"/>
  <c r="G213" i="11"/>
  <c r="G197" i="11"/>
  <c r="G180" i="11"/>
  <c r="G163" i="11"/>
  <c r="G147" i="11"/>
  <c r="G288" i="11"/>
  <c r="G248" i="11"/>
  <c r="G232" i="11"/>
  <c r="G216" i="11"/>
  <c r="G192" i="11"/>
  <c r="G175" i="11"/>
  <c r="G150" i="11"/>
  <c r="G295" i="11"/>
  <c r="G263" i="11"/>
  <c r="G231" i="11"/>
  <c r="G203" i="11"/>
  <c r="G174" i="11"/>
  <c r="G145" i="11"/>
  <c r="G310" i="11"/>
  <c r="G318" i="11"/>
  <c r="G266" i="11"/>
  <c r="G218" i="11"/>
  <c r="G202" i="11"/>
  <c r="G152" i="11"/>
  <c r="G252" i="11"/>
  <c r="G251" i="11"/>
  <c r="G305" i="11"/>
  <c r="G273" i="11"/>
  <c r="G241" i="11"/>
  <c r="G209" i="11"/>
  <c r="G159" i="11"/>
  <c r="G284" i="11"/>
  <c r="G228" i="11"/>
  <c r="G171" i="11"/>
  <c r="G255" i="11"/>
  <c r="G227" i="11"/>
  <c r="G308" i="11"/>
  <c r="G312" i="11"/>
  <c r="G316" i="11"/>
  <c r="G306" i="11"/>
  <c r="G290" i="11"/>
  <c r="G274" i="11"/>
  <c r="G258" i="11"/>
  <c r="G242" i="11"/>
  <c r="G226" i="11"/>
  <c r="G210" i="11"/>
  <c r="G194" i="11"/>
  <c r="G177" i="11"/>
  <c r="G160" i="11"/>
  <c r="G300" i="11"/>
  <c r="G260" i="11"/>
  <c r="G200" i="11"/>
  <c r="G299" i="11"/>
  <c r="G267" i="11"/>
  <c r="G235" i="11"/>
  <c r="G199" i="11"/>
  <c r="G161" i="11"/>
  <c r="G297" i="11"/>
  <c r="G281" i="11"/>
  <c r="G265" i="11"/>
  <c r="G249" i="11"/>
  <c r="G233" i="11"/>
  <c r="G217" i="11"/>
  <c r="G201" i="11"/>
  <c r="G184" i="11"/>
  <c r="G168" i="11"/>
  <c r="G151" i="11"/>
  <c r="G292" i="11"/>
  <c r="G264" i="11"/>
  <c r="G236" i="11"/>
  <c r="G220" i="11"/>
  <c r="G196" i="11"/>
  <c r="G179" i="11"/>
  <c r="G158" i="11"/>
  <c r="G303" i="11"/>
  <c r="G271" i="11"/>
  <c r="G239" i="11"/>
  <c r="G211" i="11"/>
  <c r="G182" i="11"/>
  <c r="G153" i="11"/>
  <c r="G185" i="11"/>
  <c r="G298" i="11"/>
  <c r="G250" i="11"/>
  <c r="G186" i="11"/>
  <c r="G276" i="11"/>
  <c r="G283" i="11"/>
  <c r="G178" i="11"/>
  <c r="G257" i="11"/>
  <c r="G193" i="11"/>
  <c r="G304" i="11"/>
  <c r="G212" i="11"/>
  <c r="G146" i="11"/>
  <c r="G195" i="11"/>
  <c r="G143" i="11"/>
  <c r="G311" i="11"/>
  <c r="G315" i="11"/>
  <c r="G165" i="11"/>
  <c r="G294" i="11"/>
  <c r="G278" i="11"/>
  <c r="G262" i="11"/>
  <c r="G246" i="11"/>
  <c r="G230" i="11"/>
  <c r="G214" i="11"/>
  <c r="G198" i="11"/>
  <c r="G181" i="11"/>
  <c r="G164" i="11"/>
  <c r="G148" i="11"/>
  <c r="G268" i="11"/>
  <c r="G208" i="11"/>
  <c r="G144" i="11"/>
  <c r="G275" i="11"/>
  <c r="G247" i="11"/>
  <c r="G207" i="11"/>
  <c r="G166" i="11"/>
  <c r="G301" i="11"/>
  <c r="G285" i="11"/>
  <c r="G269" i="11"/>
  <c r="G253" i="11"/>
  <c r="G237" i="11"/>
  <c r="G221" i="11"/>
  <c r="G205" i="11"/>
  <c r="G189" i="11"/>
  <c r="G172" i="11"/>
  <c r="G155" i="11"/>
  <c r="G296" i="11"/>
  <c r="G272" i="11"/>
  <c r="G240" i="11"/>
  <c r="G224" i="11"/>
  <c r="G204" i="11"/>
  <c r="G183" i="11"/>
  <c r="G162" i="11"/>
  <c r="G307" i="11"/>
  <c r="G279" i="11"/>
  <c r="G243" i="11"/>
  <c r="G215" i="11"/>
  <c r="G191" i="11"/>
  <c r="G157" i="11"/>
  <c r="G314" i="11"/>
  <c r="G282" i="11"/>
  <c r="G234" i="11"/>
  <c r="G169" i="11"/>
  <c r="G154" i="11"/>
  <c r="G219" i="11"/>
  <c r="G289" i="11"/>
  <c r="G225" i="11"/>
  <c r="G176" i="11"/>
  <c r="G244" i="11"/>
  <c r="G188" i="11"/>
  <c r="G287" i="11"/>
  <c r="G170" i="11"/>
  <c r="AU174" i="9"/>
  <c r="AU305" i="9"/>
  <c r="AU259" i="9"/>
  <c r="AU273" i="9"/>
  <c r="AU145" i="9"/>
  <c r="AU255" i="9"/>
  <c r="AU257" i="9"/>
  <c r="AU190" i="9"/>
  <c r="AU304" i="9"/>
  <c r="AU224" i="9"/>
  <c r="AU226" i="9"/>
  <c r="AU292" i="9"/>
  <c r="AU227" i="9"/>
  <c r="AU163" i="9"/>
  <c r="AU277" i="9"/>
  <c r="AU212" i="9"/>
  <c r="AU148" i="9"/>
  <c r="AU217" i="9"/>
  <c r="AU267" i="9"/>
  <c r="AU311" i="9"/>
  <c r="AU254" i="9"/>
  <c r="AU235" i="9"/>
  <c r="AU264" i="9"/>
  <c r="AU199" i="9"/>
  <c r="AU313" i="9"/>
  <c r="AU249" i="9"/>
  <c r="AU184" i="9"/>
  <c r="AU258" i="9"/>
  <c r="AU307" i="9"/>
  <c r="AU178" i="9"/>
  <c r="AU270" i="9"/>
  <c r="AU158" i="9"/>
  <c r="AU284" i="9"/>
  <c r="AU219" i="9"/>
  <c r="AU155" i="9"/>
  <c r="AU269" i="9"/>
  <c r="AU204" i="9"/>
  <c r="AU298" i="9"/>
  <c r="AU169" i="9"/>
  <c r="AU218" i="9"/>
  <c r="AU214" i="9"/>
  <c r="AU157" i="9"/>
  <c r="AU316" i="9"/>
  <c r="AU149" i="9"/>
  <c r="AU213" i="9"/>
  <c r="AU209" i="9"/>
  <c r="AU194" i="9"/>
  <c r="AU160" i="9"/>
  <c r="AU211" i="9"/>
  <c r="AU196" i="9"/>
  <c r="AU237" i="9"/>
  <c r="AU297" i="9"/>
  <c r="AU225" i="9"/>
  <c r="AU205" i="9"/>
  <c r="AU203" i="9"/>
  <c r="AU188" i="9"/>
  <c r="AU186" i="9"/>
  <c r="AU294" i="9"/>
  <c r="AU302" i="9"/>
  <c r="AU241" i="9"/>
  <c r="AU295" i="9"/>
  <c r="AU176" i="9"/>
  <c r="AU291" i="9"/>
  <c r="AU159" i="9"/>
  <c r="AU274" i="9"/>
  <c r="AU173" i="9"/>
  <c r="AU272" i="9"/>
  <c r="AU162" i="9"/>
  <c r="AU289" i="9"/>
  <c r="AU177" i="9"/>
  <c r="AU308" i="9"/>
  <c r="AU244" i="9"/>
  <c r="AU179" i="9"/>
  <c r="AU293" i="9"/>
  <c r="AU228" i="9"/>
  <c r="AU164" i="9"/>
  <c r="AU250" i="9"/>
  <c r="AU299" i="9"/>
  <c r="AU170" i="9"/>
  <c r="AU318" i="9"/>
  <c r="AU206" i="9"/>
  <c r="AU280" i="9"/>
  <c r="AU215" i="9"/>
  <c r="AU151" i="9"/>
  <c r="AU265" i="9"/>
  <c r="AU200" i="9"/>
  <c r="AU290" i="9"/>
  <c r="AU161" i="9"/>
  <c r="AU210" i="9"/>
  <c r="AU198" i="9"/>
  <c r="AU222" i="9"/>
  <c r="AU300" i="9"/>
  <c r="AU234" i="9"/>
  <c r="AU171" i="9"/>
  <c r="AU285" i="9"/>
  <c r="AU220" i="9"/>
  <c r="AU156" i="9"/>
  <c r="AU201" i="9"/>
  <c r="AU251" i="9"/>
  <c r="AU279" i="9"/>
  <c r="AU221" i="9"/>
  <c r="AU165" i="9"/>
  <c r="AU181" i="9"/>
  <c r="AU278" i="9"/>
  <c r="AU207" i="9"/>
  <c r="AU288" i="9"/>
  <c r="AU240" i="9"/>
  <c r="AU276" i="9"/>
  <c r="AU261" i="9"/>
  <c r="AU185" i="9"/>
  <c r="AU189" i="9"/>
  <c r="AU248" i="9"/>
  <c r="AU232" i="9"/>
  <c r="AU275" i="9"/>
  <c r="AU317" i="9"/>
  <c r="AU266" i="9"/>
  <c r="AU150" i="9"/>
  <c r="AU262" i="9"/>
  <c r="AU191" i="9"/>
  <c r="AU256" i="9"/>
  <c r="AU143" i="9"/>
  <c r="AU223" i="9"/>
  <c r="AU144" i="9"/>
  <c r="AU166" i="9"/>
  <c r="AU242" i="9"/>
  <c r="AU175" i="9"/>
  <c r="AU306" i="9"/>
  <c r="AU238" i="9"/>
  <c r="AU260" i="9"/>
  <c r="AU195" i="9"/>
  <c r="AU309" i="9"/>
  <c r="AU245" i="9"/>
  <c r="AU180" i="9"/>
  <c r="AU282" i="9"/>
  <c r="AU153" i="9"/>
  <c r="AU202" i="9"/>
  <c r="AU182" i="9"/>
  <c r="AU271" i="9"/>
  <c r="AU296" i="9"/>
  <c r="AU231" i="9"/>
  <c r="AU167" i="9"/>
  <c r="AU281" i="9"/>
  <c r="AU216" i="9"/>
  <c r="AU152" i="9"/>
  <c r="AU193" i="9"/>
  <c r="AU243" i="9"/>
  <c r="AU263" i="9"/>
  <c r="AU287" i="9"/>
  <c r="AU252" i="9"/>
  <c r="AU187" i="9"/>
  <c r="AU301" i="9"/>
  <c r="AU236" i="9"/>
  <c r="AU172" i="9"/>
  <c r="AU233" i="9"/>
  <c r="AU283" i="9"/>
  <c r="AU154" i="9"/>
  <c r="AU286" i="9"/>
  <c r="AU239" i="9"/>
  <c r="AU229" i="9"/>
  <c r="AU246" i="9"/>
  <c r="AU197" i="9"/>
  <c r="AU208" i="9"/>
  <c r="AU192" i="9"/>
  <c r="AU230" i="9"/>
  <c r="AU147" i="9"/>
  <c r="AU314" i="9"/>
  <c r="AU247" i="9"/>
  <c r="AU312" i="9"/>
  <c r="AU183" i="9"/>
  <c r="AU168" i="9"/>
  <c r="AU146" i="9"/>
  <c r="AU268" i="9"/>
  <c r="AU253" i="9"/>
  <c r="AU315" i="9"/>
  <c r="AU303" i="9"/>
  <c r="AU310" i="9"/>
  <c r="AU316" i="11"/>
  <c r="AU300" i="11"/>
  <c r="AU147" i="11"/>
  <c r="AU280" i="11"/>
  <c r="AU264" i="11"/>
  <c r="AU248" i="11"/>
  <c r="AU232" i="11"/>
  <c r="AU220" i="11"/>
  <c r="AU208" i="11"/>
  <c r="AU188" i="11"/>
  <c r="AU172" i="11"/>
  <c r="AU151" i="11"/>
  <c r="AU162" i="11"/>
  <c r="AU314" i="11"/>
  <c r="AU306" i="11"/>
  <c r="AU298" i="11"/>
  <c r="AU156" i="11"/>
  <c r="AU290" i="11"/>
  <c r="AU282" i="11"/>
  <c r="AU274" i="11"/>
  <c r="AU266" i="11"/>
  <c r="AU258" i="11"/>
  <c r="AU250" i="11"/>
  <c r="AU242" i="11"/>
  <c r="AU234" i="11"/>
  <c r="AU226" i="11"/>
  <c r="AU218" i="11"/>
  <c r="AU210" i="11"/>
  <c r="AU202" i="11"/>
  <c r="AU194" i="11"/>
  <c r="AU186" i="11"/>
  <c r="AU178" i="11"/>
  <c r="AU170" i="11"/>
  <c r="AU161" i="11"/>
  <c r="AU150" i="11"/>
  <c r="AU312" i="11"/>
  <c r="AU295" i="11"/>
  <c r="AU284" i="11"/>
  <c r="AU268" i="11"/>
  <c r="AU252" i="11"/>
  <c r="AU236" i="11"/>
  <c r="AU216" i="11"/>
  <c r="AU196" i="11"/>
  <c r="AU184" i="11"/>
  <c r="AU153" i="11"/>
  <c r="AU313" i="11"/>
  <c r="AU305" i="11"/>
  <c r="AU144" i="11"/>
  <c r="AU148" i="11"/>
  <c r="AU289" i="11"/>
  <c r="AU281" i="11"/>
  <c r="AU273" i="11"/>
  <c r="AU265" i="11"/>
  <c r="AU257" i="11"/>
  <c r="AU249" i="11"/>
  <c r="AU241" i="11"/>
  <c r="AU233" i="11"/>
  <c r="AU225" i="11"/>
  <c r="AU217" i="11"/>
  <c r="AU209" i="11"/>
  <c r="AU201" i="11"/>
  <c r="AU193" i="11"/>
  <c r="AU185" i="11"/>
  <c r="AU177" i="11"/>
  <c r="AU169" i="11"/>
  <c r="AU157" i="11"/>
  <c r="AU160" i="11"/>
  <c r="AU311" i="11"/>
  <c r="AU303" i="11"/>
  <c r="AU294" i="11"/>
  <c r="AU296" i="11"/>
  <c r="AU287" i="11"/>
  <c r="AU279" i="11"/>
  <c r="AU271" i="11"/>
  <c r="AU263" i="11"/>
  <c r="AU255" i="11"/>
  <c r="AU247" i="11"/>
  <c r="AU239" i="11"/>
  <c r="AU231" i="11"/>
  <c r="AU223" i="11"/>
  <c r="AU215" i="11"/>
  <c r="AU207" i="11"/>
  <c r="AU199" i="11"/>
  <c r="AU191" i="11"/>
  <c r="AU183" i="11"/>
  <c r="AU175" i="11"/>
  <c r="AU167" i="11"/>
  <c r="AU149" i="11"/>
  <c r="AU308" i="11"/>
  <c r="AU155" i="11"/>
  <c r="AU288" i="11"/>
  <c r="AU272" i="11"/>
  <c r="AU256" i="11"/>
  <c r="AU244" i="11"/>
  <c r="AU224" i="11"/>
  <c r="AU212" i="11"/>
  <c r="AU200" i="11"/>
  <c r="AU180" i="11"/>
  <c r="AU168" i="11"/>
  <c r="AU158" i="11"/>
  <c r="AU318" i="11"/>
  <c r="AU310" i="11"/>
  <c r="AU302" i="11"/>
  <c r="AU293" i="11"/>
  <c r="AU292" i="11"/>
  <c r="AU286" i="11"/>
  <c r="AU278" i="11"/>
  <c r="AU270" i="11"/>
  <c r="AU262" i="11"/>
  <c r="AU254" i="11"/>
  <c r="AU246" i="11"/>
  <c r="AU238" i="11"/>
  <c r="AU230" i="11"/>
  <c r="AU222" i="11"/>
  <c r="AU214" i="11"/>
  <c r="AU206" i="11"/>
  <c r="AU198" i="11"/>
  <c r="AU190" i="11"/>
  <c r="AU182" i="11"/>
  <c r="AU174" i="11"/>
  <c r="AU166" i="11"/>
  <c r="AU145" i="11"/>
  <c r="AU152" i="11"/>
  <c r="AU304" i="11"/>
  <c r="AU297" i="11"/>
  <c r="AU276" i="11"/>
  <c r="AU260" i="11"/>
  <c r="AU240" i="11"/>
  <c r="AU228" i="11"/>
  <c r="AU204" i="11"/>
  <c r="AU192" i="11"/>
  <c r="AU176" i="11"/>
  <c r="AU317" i="11"/>
  <c r="AU309" i="11"/>
  <c r="AU301" i="11"/>
  <c r="AU291" i="11"/>
  <c r="AU163" i="11"/>
  <c r="AU285" i="11"/>
  <c r="AU277" i="11"/>
  <c r="AU269" i="11"/>
  <c r="AU261" i="11"/>
  <c r="AU253" i="11"/>
  <c r="AU245" i="11"/>
  <c r="AU237" i="11"/>
  <c r="AU229" i="11"/>
  <c r="AU221" i="11"/>
  <c r="AU213" i="11"/>
  <c r="AU205" i="11"/>
  <c r="AU197" i="11"/>
  <c r="AU189" i="11"/>
  <c r="AU181" i="11"/>
  <c r="AU173" i="11"/>
  <c r="AU159" i="11"/>
  <c r="AU146" i="11"/>
  <c r="AU299" i="11"/>
  <c r="AU164" i="11"/>
  <c r="AU267" i="11"/>
  <c r="AU235" i="11"/>
  <c r="AU203" i="11"/>
  <c r="AU171" i="11"/>
  <c r="AU143" i="11"/>
  <c r="AU195" i="11"/>
  <c r="AU307" i="11"/>
  <c r="AU275" i="11"/>
  <c r="AU243" i="11"/>
  <c r="AU211" i="11"/>
  <c r="AU179" i="11"/>
  <c r="AU165" i="11"/>
  <c r="AU315" i="11"/>
  <c r="AU283" i="11"/>
  <c r="AU251" i="11"/>
  <c r="AU219" i="11"/>
  <c r="AU187" i="11"/>
  <c r="AU154" i="11"/>
  <c r="AU259" i="11"/>
  <c r="AU227" i="11"/>
  <c r="AQ143" i="12"/>
  <c r="AQ311" i="12"/>
  <c r="AQ189" i="12"/>
  <c r="AQ208" i="12"/>
  <c r="AQ241" i="12"/>
  <c r="AQ223" i="12"/>
  <c r="AQ289" i="12"/>
  <c r="AQ279" i="12"/>
  <c r="AQ293" i="12"/>
  <c r="AQ160" i="12"/>
  <c r="AQ302" i="12"/>
  <c r="AQ155" i="12"/>
  <c r="AQ291" i="12"/>
  <c r="AQ230" i="12"/>
  <c r="AQ156" i="12"/>
  <c r="AQ276" i="12"/>
  <c r="AQ193" i="12"/>
  <c r="AQ288" i="12"/>
  <c r="AQ205" i="12"/>
  <c r="AQ280" i="12"/>
  <c r="AQ294" i="12"/>
  <c r="AQ296" i="12"/>
  <c r="AQ239" i="12"/>
  <c r="AQ270" i="12"/>
  <c r="AQ206" i="12"/>
  <c r="AQ179" i="12"/>
  <c r="AQ247" i="12"/>
  <c r="AQ151" i="12"/>
  <c r="AQ259" i="12"/>
  <c r="AQ163" i="12"/>
  <c r="AQ219" i="12"/>
  <c r="AQ233" i="12"/>
  <c r="AQ161" i="12"/>
  <c r="AQ285" i="12"/>
  <c r="AQ303" i="12"/>
  <c r="AQ242" i="12"/>
  <c r="AQ168" i="12"/>
  <c r="AQ314" i="12"/>
  <c r="AQ188" i="12"/>
  <c r="AQ282" i="12"/>
  <c r="AQ200" i="12"/>
  <c r="AQ272" i="12"/>
  <c r="AQ284" i="12"/>
  <c r="AQ274" i="12"/>
  <c r="AQ217" i="12"/>
  <c r="AQ154" i="12"/>
  <c r="AQ250" i="12"/>
  <c r="AQ186" i="12"/>
  <c r="AQ315" i="12"/>
  <c r="AQ235" i="12"/>
  <c r="AQ199" i="12"/>
  <c r="AQ305" i="12"/>
  <c r="AQ234" i="12"/>
  <c r="AQ172" i="12"/>
  <c r="AQ185" i="12"/>
  <c r="AQ307" i="12"/>
  <c r="AQ246" i="12"/>
  <c r="AQ182" i="12"/>
  <c r="AQ297" i="12"/>
  <c r="AQ215" i="12"/>
  <c r="AQ309" i="12"/>
  <c r="AQ227" i="12"/>
  <c r="AQ316" i="12"/>
  <c r="AQ145" i="12"/>
  <c r="AQ159" i="12"/>
  <c r="AQ171" i="12"/>
  <c r="AQ207" i="12"/>
  <c r="AQ283" i="12"/>
  <c r="AQ222" i="12"/>
  <c r="AQ148" i="12"/>
  <c r="AQ268" i="12"/>
  <c r="AQ183" i="12"/>
  <c r="AQ277" i="12"/>
  <c r="AQ195" i="12"/>
  <c r="AQ261" i="12"/>
  <c r="AQ273" i="12"/>
  <c r="AQ256" i="12"/>
  <c r="AQ196" i="12"/>
  <c r="AQ258" i="12"/>
  <c r="AQ194" i="12"/>
  <c r="AQ292" i="12"/>
  <c r="AQ209" i="12"/>
  <c r="AQ304" i="12"/>
  <c r="AQ221" i="12"/>
  <c r="AQ312" i="12"/>
  <c r="AQ173" i="12"/>
  <c r="AQ149" i="12"/>
  <c r="AQ300" i="12"/>
  <c r="AQ310" i="12"/>
  <c r="AQ165" i="12"/>
  <c r="AQ175" i="12"/>
  <c r="AQ167" i="12"/>
  <c r="AQ251" i="12"/>
  <c r="AQ263" i="12"/>
  <c r="AQ158" i="12"/>
  <c r="AQ144" i="12"/>
  <c r="AQ281" i="12"/>
  <c r="AQ290" i="12"/>
  <c r="AQ295" i="12"/>
  <c r="AQ232" i="12"/>
  <c r="AQ224" i="12"/>
  <c r="AQ262" i="12"/>
  <c r="AQ198" i="12"/>
  <c r="AQ236" i="12"/>
  <c r="AQ180" i="12"/>
  <c r="AQ248" i="12"/>
  <c r="AQ153" i="12"/>
  <c r="AQ197" i="12"/>
  <c r="AQ212" i="12"/>
  <c r="AQ249" i="12"/>
  <c r="AQ299" i="12"/>
  <c r="AQ238" i="12"/>
  <c r="AQ164" i="12"/>
  <c r="AQ286" i="12"/>
  <c r="AQ204" i="12"/>
  <c r="AQ298" i="12"/>
  <c r="AQ216" i="12"/>
  <c r="AQ301" i="12"/>
  <c r="AQ174" i="12"/>
  <c r="AQ278" i="12"/>
  <c r="AQ271" i="12"/>
  <c r="AQ318" i="12"/>
  <c r="AQ210" i="12"/>
  <c r="AQ181" i="12"/>
  <c r="AQ231" i="12"/>
  <c r="AQ177" i="12"/>
  <c r="AQ243" i="12"/>
  <c r="AQ147" i="12"/>
  <c r="AQ187" i="12"/>
  <c r="AQ201" i="12"/>
  <c r="AQ306" i="12"/>
  <c r="AQ150" i="12"/>
  <c r="AQ146" i="12"/>
  <c r="AQ265" i="12"/>
  <c r="AQ266" i="12"/>
  <c r="AQ253" i="12"/>
  <c r="AQ176" i="12"/>
  <c r="AQ202" i="12"/>
  <c r="AQ245" i="12"/>
  <c r="AQ218" i="12"/>
  <c r="AQ211" i="12"/>
  <c r="AQ260" i="12"/>
  <c r="AQ220" i="12"/>
  <c r="AQ170" i="12"/>
  <c r="AQ275" i="12"/>
  <c r="AQ214" i="12"/>
  <c r="AQ178" i="12"/>
  <c r="AQ257" i="12"/>
  <c r="AQ162" i="12"/>
  <c r="AQ269" i="12"/>
  <c r="AQ184" i="12"/>
  <c r="AQ240" i="12"/>
  <c r="AQ255" i="12"/>
  <c r="AQ213" i="12"/>
  <c r="AQ203" i="12"/>
  <c r="AQ254" i="12"/>
  <c r="AQ190" i="12"/>
  <c r="AQ308" i="12"/>
  <c r="AQ225" i="12"/>
  <c r="AQ317" i="12"/>
  <c r="AQ237" i="12"/>
  <c r="AQ313" i="12"/>
  <c r="AQ166" i="12"/>
  <c r="AQ191" i="12"/>
  <c r="AQ267" i="12"/>
  <c r="AQ228" i="12"/>
  <c r="AQ287" i="12"/>
  <c r="AQ226" i="12"/>
  <c r="AQ152" i="12"/>
  <c r="AQ252" i="12"/>
  <c r="AQ157" i="12"/>
  <c r="AQ264" i="12"/>
  <c r="AQ169" i="12"/>
  <c r="AQ229" i="12"/>
  <c r="AQ244" i="12"/>
  <c r="AQ192" i="12"/>
  <c r="AU143" i="13"/>
  <c r="AU315" i="13"/>
  <c r="AU185" i="13"/>
  <c r="AU159" i="13"/>
  <c r="AU239" i="13"/>
  <c r="AU262" i="13"/>
  <c r="AU258" i="13"/>
  <c r="AU207" i="13"/>
  <c r="AU187" i="13"/>
  <c r="AU170" i="13"/>
  <c r="AU310" i="13"/>
  <c r="AU229" i="13"/>
  <c r="AU167" i="13"/>
  <c r="AU243" i="13"/>
  <c r="AU193" i="13"/>
  <c r="AU282" i="13"/>
  <c r="AU224" i="13"/>
  <c r="AU153" i="13"/>
  <c r="AU253" i="13"/>
  <c r="AU204" i="13"/>
  <c r="AU146" i="13"/>
  <c r="AU196" i="13"/>
  <c r="AU295" i="13"/>
  <c r="AU246" i="13"/>
  <c r="AU296" i="13"/>
  <c r="AU259" i="13"/>
  <c r="AU302" i="13"/>
  <c r="AU254" i="13"/>
  <c r="AU250" i="13"/>
  <c r="AU279" i="13"/>
  <c r="AU241" i="13"/>
  <c r="AU157" i="13"/>
  <c r="AU265" i="13"/>
  <c r="AU305" i="13"/>
  <c r="AU202" i="13"/>
  <c r="AU205" i="13"/>
  <c r="AU286" i="13"/>
  <c r="AU276" i="13"/>
  <c r="AU291" i="13"/>
  <c r="AU272" i="13"/>
  <c r="AU169" i="13"/>
  <c r="AU285" i="13"/>
  <c r="AU198" i="13"/>
  <c r="AU208" i="13"/>
  <c r="AU164" i="13"/>
  <c r="AU218" i="13"/>
  <c r="AU306" i="13"/>
  <c r="AU209" i="13"/>
  <c r="AU149" i="13"/>
  <c r="AU232" i="13"/>
  <c r="AU267" i="13"/>
  <c r="AU147" i="13"/>
  <c r="AU314" i="13"/>
  <c r="AU158" i="13"/>
  <c r="AU212" i="13"/>
  <c r="AU266" i="13"/>
  <c r="AU192" i="13"/>
  <c r="AU183" i="13"/>
  <c r="AU287" i="13"/>
  <c r="AU190" i="13"/>
  <c r="AU180" i="13"/>
  <c r="AU301" i="13"/>
  <c r="AU271" i="13"/>
  <c r="AU201" i="13"/>
  <c r="AU283" i="13"/>
  <c r="AU228" i="13"/>
  <c r="AU163" i="13"/>
  <c r="AU270" i="13"/>
  <c r="AU307" i="13"/>
  <c r="AU299" i="13"/>
  <c r="AU177" i="13"/>
  <c r="AU215" i="13"/>
  <c r="AU293" i="13"/>
  <c r="AU233" i="13"/>
  <c r="AU174" i="13"/>
  <c r="AU303" i="13"/>
  <c r="AU255" i="13"/>
  <c r="AU195" i="13"/>
  <c r="AU277" i="13"/>
  <c r="AU175" i="13"/>
  <c r="AU172" i="13"/>
  <c r="AU242" i="13"/>
  <c r="AU278" i="13"/>
  <c r="AU217" i="13"/>
  <c r="AU298" i="13"/>
  <c r="AU273" i="13"/>
  <c r="AU173" i="13"/>
  <c r="AU248" i="13"/>
  <c r="AU247" i="13"/>
  <c r="AU148" i="13"/>
  <c r="AU154" i="13"/>
  <c r="AU274" i="13"/>
  <c r="AU178" i="13"/>
  <c r="AU210" i="13"/>
  <c r="AU238" i="13"/>
  <c r="AU214" i="13"/>
  <c r="AU165" i="13"/>
  <c r="AU257" i="13"/>
  <c r="AU261" i="13"/>
  <c r="AU194" i="13"/>
  <c r="AU292" i="13"/>
  <c r="AU256" i="13"/>
  <c r="AU160" i="13"/>
  <c r="AU179" i="13"/>
  <c r="AU225" i="13"/>
  <c r="AU166" i="13"/>
  <c r="AU308" i="13"/>
  <c r="AU294" i="13"/>
  <c r="AU216" i="13"/>
  <c r="AU297" i="13"/>
  <c r="AU150" i="13"/>
  <c r="AU156" i="13"/>
  <c r="AU186" i="13"/>
  <c r="AU237" i="13"/>
  <c r="AU264" i="13"/>
  <c r="AU268" i="13"/>
  <c r="AU213" i="13"/>
  <c r="AU144" i="13"/>
  <c r="AU235" i="13"/>
  <c r="AU176" i="13"/>
  <c r="AU311" i="13"/>
  <c r="AU211" i="13"/>
  <c r="AU236" i="13"/>
  <c r="AU260" i="13"/>
  <c r="AU171" i="13"/>
  <c r="AU290" i="13"/>
  <c r="AU244" i="13"/>
  <c r="AU182" i="13"/>
  <c r="AU316" i="13"/>
  <c r="AU288" i="13"/>
  <c r="AU249" i="13"/>
  <c r="AU223" i="13"/>
  <c r="AU312" i="13"/>
  <c r="AU181" i="13"/>
  <c r="AU199" i="13"/>
  <c r="AU234" i="13"/>
  <c r="AU220" i="13"/>
  <c r="AU313" i="13"/>
  <c r="AU189" i="13"/>
  <c r="AU145" i="13"/>
  <c r="AU263" i="13"/>
  <c r="AU162" i="13"/>
  <c r="AU318" i="13"/>
  <c r="AU219" i="13"/>
  <c r="AU304" i="13"/>
  <c r="AU252" i="13"/>
  <c r="AU197" i="13"/>
  <c r="AU155" i="13"/>
  <c r="AU227" i="13"/>
  <c r="AU168" i="13"/>
  <c r="AU300" i="13"/>
  <c r="AU200" i="13"/>
  <c r="AU206" i="13"/>
  <c r="AU280" i="13"/>
  <c r="AU317" i="13"/>
  <c r="AU240" i="13"/>
  <c r="AU203" i="13"/>
  <c r="AU269" i="13"/>
  <c r="AU226" i="13"/>
  <c r="AU152" i="13"/>
  <c r="AU251" i="13"/>
  <c r="AU231" i="13"/>
  <c r="AU309" i="13"/>
  <c r="AU222" i="13"/>
  <c r="AU221" i="13"/>
  <c r="AU161" i="13"/>
  <c r="AU284" i="13"/>
  <c r="AU281" i="13"/>
  <c r="AU191" i="13"/>
  <c r="AU245" i="13"/>
  <c r="AU184" i="13"/>
  <c r="AU275" i="13"/>
  <c r="AU151" i="13"/>
  <c r="AU188" i="13"/>
  <c r="AU289" i="13"/>
  <c r="AU230" i="13"/>
  <c r="D69" i="14"/>
  <c r="D67" i="14"/>
  <c r="Y29" i="3"/>
  <c r="W30" i="3"/>
  <c r="Y28" i="3"/>
  <c r="AA157" i="12"/>
  <c r="AA241" i="12"/>
  <c r="AA291" i="12"/>
  <c r="AA149" i="13"/>
  <c r="AA156" i="13"/>
  <c r="AA184" i="13"/>
  <c r="W315" i="13"/>
  <c r="AA172" i="13"/>
  <c r="AA280" i="13"/>
  <c r="AA289" i="13"/>
  <c r="W275" i="13"/>
  <c r="AA163" i="13"/>
  <c r="AA153" i="13"/>
  <c r="AA252" i="13"/>
  <c r="AA216" i="13"/>
  <c r="AA150" i="13"/>
  <c r="AA249" i="13"/>
  <c r="W278" i="13"/>
  <c r="W208" i="13"/>
  <c r="AA248" i="13"/>
  <c r="AA161" i="13"/>
  <c r="AA242" i="13"/>
  <c r="AA234" i="13"/>
  <c r="AA217" i="13"/>
  <c r="W218" i="13"/>
  <c r="W226" i="13"/>
  <c r="AA296" i="13"/>
  <c r="AA279" i="13"/>
  <c r="AA290" i="13"/>
  <c r="AA178" i="13"/>
  <c r="AA190" i="13"/>
  <c r="AA237" i="12"/>
  <c r="AA163" i="12"/>
  <c r="W220" i="13"/>
  <c r="W177" i="13"/>
  <c r="AA207" i="13"/>
  <c r="AA238" i="13"/>
  <c r="AA315" i="13"/>
  <c r="AA291" i="13"/>
  <c r="AA171" i="13"/>
  <c r="AA265" i="13"/>
  <c r="AA311" i="13"/>
  <c r="AA201" i="13"/>
  <c r="AA312" i="13"/>
  <c r="AA158" i="13"/>
  <c r="AA302" i="13"/>
  <c r="AA244" i="12"/>
  <c r="AA242" i="12"/>
  <c r="AA248" i="12"/>
  <c r="AA249" i="12"/>
  <c r="AA178" i="12"/>
  <c r="AA317" i="12"/>
  <c r="AA276" i="12"/>
  <c r="AA274" i="12"/>
  <c r="AA270" i="12"/>
  <c r="W171" i="13"/>
  <c r="W245" i="13"/>
  <c r="W249" i="13"/>
  <c r="AA202" i="13"/>
  <c r="AA286" i="13"/>
  <c r="AA212" i="13"/>
  <c r="AA205" i="13"/>
  <c r="AA275" i="13"/>
  <c r="AA267" i="13"/>
  <c r="AA235" i="13"/>
  <c r="AA183" i="13"/>
  <c r="AA262" i="13"/>
  <c r="AA306" i="13"/>
  <c r="AA204" i="12"/>
  <c r="AA176" i="12"/>
  <c r="AA216" i="12"/>
  <c r="AA156" i="12"/>
  <c r="AA211" i="12"/>
  <c r="AA301" i="12"/>
  <c r="F316" i="3"/>
  <c r="H316" i="3"/>
  <c r="AA255" i="12"/>
  <c r="AA164" i="12"/>
  <c r="AA217" i="12"/>
  <c r="AA287" i="12"/>
  <c r="AA184" i="12"/>
  <c r="AA162" i="12"/>
  <c r="AA225" i="12"/>
  <c r="AA250" i="12"/>
  <c r="AA201" i="12"/>
  <c r="AA238" i="12"/>
  <c r="AA285" i="12"/>
  <c r="AA257" i="12"/>
  <c r="AA144" i="12"/>
  <c r="AA312" i="12"/>
  <c r="AA159" i="12"/>
  <c r="AA231" i="12"/>
  <c r="AA146" i="12"/>
  <c r="AA306" i="12"/>
  <c r="AA186" i="12"/>
  <c r="AA314" i="12"/>
  <c r="AA206" i="12"/>
  <c r="AA175" i="12"/>
  <c r="W212" i="13"/>
  <c r="W151" i="13"/>
  <c r="W290" i="13"/>
  <c r="W215" i="13"/>
  <c r="W283" i="13"/>
  <c r="W254" i="13"/>
  <c r="AA193" i="13"/>
  <c r="AA157" i="13"/>
  <c r="AA188" i="13"/>
  <c r="AA246" i="13"/>
  <c r="AA288" i="13"/>
  <c r="AA200" i="13"/>
  <c r="AA241" i="13"/>
  <c r="AA301" i="13"/>
  <c r="AA155" i="13"/>
  <c r="AA176" i="13"/>
  <c r="AA256" i="13"/>
  <c r="AA259" i="13"/>
  <c r="AA317" i="13"/>
  <c r="AA145" i="13"/>
  <c r="AA244" i="13"/>
  <c r="AA273" i="13"/>
  <c r="AA167" i="13"/>
  <c r="AA182" i="13"/>
  <c r="AA264" i="13"/>
  <c r="AA239" i="13"/>
  <c r="AA310" i="13"/>
  <c r="W201" i="13"/>
  <c r="W307" i="13"/>
  <c r="W270" i="13"/>
  <c r="W205" i="13"/>
  <c r="W181" i="13"/>
  <c r="W163" i="13"/>
  <c r="W188" i="13"/>
  <c r="W262" i="13"/>
  <c r="W186" i="13"/>
  <c r="W239" i="13"/>
  <c r="W301" i="13"/>
  <c r="AA147" i="13"/>
  <c r="AA195" i="13"/>
  <c r="AA180" i="13"/>
  <c r="AA213" i="13"/>
  <c r="AA293" i="13"/>
  <c r="AA229" i="13"/>
  <c r="AA251" i="13"/>
  <c r="AA313" i="13"/>
  <c r="AA148" i="13"/>
  <c r="AA175" i="13"/>
  <c r="AA186" i="13"/>
  <c r="AA283" i="13"/>
  <c r="AA243" i="13"/>
  <c r="AA298" i="13"/>
  <c r="AA154" i="13"/>
  <c r="AA189" i="13"/>
  <c r="AA199" i="13"/>
  <c r="AA168" i="13"/>
  <c r="AA210" i="13"/>
  <c r="AA268" i="13"/>
  <c r="AA240" i="13"/>
  <c r="AA225" i="13"/>
  <c r="AA305" i="13"/>
  <c r="AA292" i="13"/>
  <c r="AA300" i="13"/>
  <c r="AA206" i="13"/>
  <c r="AA220" i="13"/>
  <c r="AA177" i="13"/>
  <c r="AA282" i="13"/>
  <c r="AA196" i="13"/>
  <c r="AA257" i="13"/>
  <c r="AA266" i="13"/>
  <c r="AA318" i="13"/>
  <c r="AA169" i="13"/>
  <c r="AA255" i="13"/>
  <c r="AA236" i="13"/>
  <c r="AA174" i="13"/>
  <c r="AA232" i="13"/>
  <c r="AA226" i="13"/>
  <c r="AA247" i="13"/>
  <c r="AA231" i="13"/>
  <c r="AA258" i="13"/>
  <c r="AA294" i="13"/>
  <c r="AA309" i="13"/>
  <c r="W229" i="13"/>
  <c r="W285" i="13"/>
  <c r="W300" i="13"/>
  <c r="W154" i="13"/>
  <c r="W167" i="13"/>
  <c r="AA208" i="13"/>
  <c r="AA245" i="13"/>
  <c r="AA237" i="13"/>
  <c r="AA299" i="13"/>
  <c r="AA214" i="13"/>
  <c r="AA211" i="13"/>
  <c r="AA250" i="13"/>
  <c r="AA185" i="13"/>
  <c r="AA271" i="13"/>
  <c r="AA254" i="13"/>
  <c r="AA230" i="13"/>
  <c r="AA233" i="13"/>
  <c r="AA295" i="13"/>
  <c r="AA215" i="13"/>
  <c r="AA276" i="13"/>
  <c r="AA162" i="13"/>
  <c r="AA219" i="13"/>
  <c r="AA144" i="13"/>
  <c r="AA270" i="13"/>
  <c r="AA209" i="13"/>
  <c r="AA204" i="13"/>
  <c r="AA277" i="13"/>
  <c r="AA274" i="13"/>
  <c r="W165" i="13"/>
  <c r="W271" i="13"/>
  <c r="W222" i="13"/>
  <c r="W250" i="13"/>
  <c r="W192" i="13"/>
  <c r="W147" i="13"/>
  <c r="W277" i="13"/>
  <c r="W232" i="13"/>
  <c r="W149" i="13"/>
  <c r="W260" i="13"/>
  <c r="W281" i="13"/>
  <c r="AA181" i="13"/>
  <c r="AA179" i="13"/>
  <c r="AA164" i="13"/>
  <c r="AA197" i="13"/>
  <c r="AA218" i="13"/>
  <c r="AA221" i="13"/>
  <c r="AA278" i="13"/>
  <c r="AA285" i="13"/>
  <c r="AA308" i="13"/>
  <c r="AA159" i="13"/>
  <c r="AA170" i="13"/>
  <c r="AA269" i="13"/>
  <c r="AA227" i="13"/>
  <c r="AA284" i="13"/>
  <c r="AA152" i="13"/>
  <c r="AA151" i="13"/>
  <c r="AA187" i="13"/>
  <c r="AA160" i="13"/>
  <c r="AA192" i="13"/>
  <c r="AA222" i="13"/>
  <c r="AA263" i="13"/>
  <c r="AA303" i="13"/>
  <c r="AA260" i="13"/>
  <c r="AA272" i="13"/>
  <c r="AA307" i="13"/>
  <c r="AA228" i="13"/>
  <c r="AA224" i="13"/>
  <c r="AA165" i="13"/>
  <c r="AA191" i="13"/>
  <c r="AA194" i="13"/>
  <c r="AA281" i="13"/>
  <c r="AA261" i="13"/>
  <c r="AA314" i="13"/>
  <c r="AA146" i="13"/>
  <c r="AA173" i="13"/>
  <c r="AA198" i="13"/>
  <c r="AA166" i="13"/>
  <c r="AA203" i="13"/>
  <c r="AA253" i="13"/>
  <c r="AA297" i="13"/>
  <c r="AA223" i="13"/>
  <c r="AA304" i="13"/>
  <c r="AA287" i="13"/>
  <c r="W176" i="13"/>
  <c r="W152" i="13"/>
  <c r="W157" i="13"/>
  <c r="W200" i="13"/>
  <c r="W258" i="13"/>
  <c r="W246" i="13"/>
  <c r="W263" i="13"/>
  <c r="W299" i="13"/>
  <c r="W155" i="13"/>
  <c r="W207" i="13"/>
  <c r="W296" i="13"/>
  <c r="W269" i="13"/>
  <c r="W196" i="13"/>
  <c r="W190" i="13"/>
  <c r="W216" i="13"/>
  <c r="W244" i="13"/>
  <c r="W259" i="13"/>
  <c r="W303" i="13"/>
  <c r="W206" i="13"/>
  <c r="W237" i="13"/>
  <c r="W279" i="13"/>
  <c r="W184" i="13"/>
  <c r="W198" i="13"/>
  <c r="W199" i="13"/>
  <c r="W317" i="13"/>
  <c r="W261" i="13"/>
  <c r="W313" i="13"/>
  <c r="W146" i="13"/>
  <c r="W161" i="13"/>
  <c r="W213" i="13"/>
  <c r="W243" i="13"/>
  <c r="W267" i="13"/>
  <c r="W172" i="13"/>
  <c r="W145" i="13"/>
  <c r="W170" i="13"/>
  <c r="W159" i="13"/>
  <c r="W191" i="13"/>
  <c r="W211" i="13"/>
  <c r="W231" i="13"/>
  <c r="W241" i="13"/>
  <c r="W308" i="13"/>
  <c r="W273" i="13"/>
  <c r="W293" i="13"/>
  <c r="W144" i="13"/>
  <c r="W204" i="13"/>
  <c r="W189" i="13"/>
  <c r="W217" i="13"/>
  <c r="W256" i="13"/>
  <c r="W247" i="13"/>
  <c r="W302" i="13"/>
  <c r="W180" i="13"/>
  <c r="W194" i="13"/>
  <c r="W230" i="13"/>
  <c r="W252" i="13"/>
  <c r="W253" i="13"/>
  <c r="W305" i="13"/>
  <c r="W158" i="13"/>
  <c r="W185" i="13"/>
  <c r="W225" i="13"/>
  <c r="W298" i="13"/>
  <c r="W295" i="13"/>
  <c r="W166" i="13"/>
  <c r="W224" i="13"/>
  <c r="W255" i="13"/>
  <c r="W160" i="13"/>
  <c r="W178" i="13"/>
  <c r="W195" i="13"/>
  <c r="W235" i="13"/>
  <c r="W306" i="13"/>
  <c r="W297" i="13"/>
  <c r="W168" i="13"/>
  <c r="W248" i="13"/>
  <c r="W197" i="13"/>
  <c r="W286" i="13"/>
  <c r="W251" i="13"/>
  <c r="W311" i="13"/>
  <c r="W219" i="13"/>
  <c r="W242" i="13"/>
  <c r="W214" i="13"/>
  <c r="W183" i="13"/>
  <c r="W203" i="13"/>
  <c r="W223" i="13"/>
  <c r="W274" i="13"/>
  <c r="W282" i="13"/>
  <c r="W265" i="13"/>
  <c r="W310" i="13"/>
  <c r="W318" i="13"/>
  <c r="W202" i="13"/>
  <c r="W182" i="13"/>
  <c r="W173" i="13"/>
  <c r="W209" i="13"/>
  <c r="W264" i="13"/>
  <c r="W288" i="13"/>
  <c r="W287" i="13"/>
  <c r="W156" i="13"/>
  <c r="W162" i="13"/>
  <c r="W187" i="13"/>
  <c r="W227" i="13"/>
  <c r="W280" i="13"/>
  <c r="W312" i="13"/>
  <c r="W150" i="13"/>
  <c r="W169" i="13"/>
  <c r="W221" i="13"/>
  <c r="W292" i="13"/>
  <c r="W291" i="13"/>
  <c r="W148" i="13"/>
  <c r="W238" i="13"/>
  <c r="W276" i="13"/>
  <c r="W316" i="13"/>
  <c r="W210" i="13"/>
  <c r="W179" i="13"/>
  <c r="W236" i="13"/>
  <c r="W268" i="13"/>
  <c r="W294" i="13"/>
  <c r="W164" i="13"/>
  <c r="W174" i="13"/>
  <c r="W193" i="13"/>
  <c r="W233" i="13"/>
  <c r="W314" i="13"/>
  <c r="W304" i="13"/>
  <c r="W266" i="13"/>
  <c r="W153" i="13"/>
  <c r="W234" i="13"/>
  <c r="W175" i="13"/>
  <c r="W240" i="13"/>
  <c r="W228" i="13"/>
  <c r="W272" i="13"/>
  <c r="W284" i="13"/>
  <c r="W257" i="13"/>
  <c r="W289" i="13"/>
  <c r="X32" i="3"/>
  <c r="X33" i="3" s="1"/>
  <c r="W284" i="12"/>
  <c r="W270" i="12"/>
  <c r="W155" i="12"/>
  <c r="W315" i="12"/>
  <c r="W172" i="12"/>
  <c r="W239" i="12"/>
  <c r="AA228" i="12"/>
  <c r="AA288" i="12"/>
  <c r="AA226" i="12"/>
  <c r="AA215" i="12"/>
  <c r="AA177" i="12"/>
  <c r="AA185" i="12"/>
  <c r="AA261" i="12"/>
  <c r="AA262" i="12"/>
  <c r="AA313" i="12"/>
  <c r="AA239" i="12"/>
  <c r="AA268" i="12"/>
  <c r="AA181" i="12"/>
  <c r="AA229" i="12"/>
  <c r="AA151" i="12"/>
  <c r="AA311" i="12"/>
  <c r="AA172" i="12"/>
  <c r="AA240" i="12"/>
  <c r="AA158" i="12"/>
  <c r="AA302" i="12"/>
  <c r="AA236" i="12"/>
  <c r="AA234" i="12"/>
  <c r="AA283" i="12"/>
  <c r="AA195" i="12"/>
  <c r="AA198" i="12"/>
  <c r="AA153" i="12"/>
  <c r="AA281" i="12"/>
  <c r="AA245" i="12"/>
  <c r="AA207" i="12"/>
  <c r="AA180" i="12"/>
  <c r="AA220" i="12"/>
  <c r="AA260" i="12"/>
  <c r="AA152" i="12"/>
  <c r="AA173" i="12"/>
  <c r="AA284" i="12"/>
  <c r="AA304" i="12"/>
  <c r="AA189" i="12"/>
  <c r="AA219" i="12"/>
  <c r="AA210" i="12"/>
  <c r="AA179" i="12"/>
  <c r="AA303" i="12"/>
  <c r="AA174" i="12"/>
  <c r="AA199" i="12"/>
  <c r="AA263" i="12"/>
  <c r="AA200" i="12"/>
  <c r="AA232" i="12"/>
  <c r="AA264" i="12"/>
  <c r="AA154" i="12"/>
  <c r="AA170" i="12"/>
  <c r="AA282" i="12"/>
  <c r="AA298" i="12"/>
  <c r="AA318" i="12"/>
  <c r="AA188" i="12"/>
  <c r="AA253" i="12"/>
  <c r="AA235" i="12"/>
  <c r="AA218" i="12"/>
  <c r="AA147" i="12"/>
  <c r="AA275" i="12"/>
  <c r="AA307" i="12"/>
  <c r="AA197" i="12"/>
  <c r="AA265" i="12"/>
  <c r="AA243" i="12"/>
  <c r="AA190" i="12"/>
  <c r="AA222" i="12"/>
  <c r="AA254" i="12"/>
  <c r="AA149" i="12"/>
  <c r="AA165" i="12"/>
  <c r="AA277" i="12"/>
  <c r="AA293" i="12"/>
  <c r="AA309" i="12"/>
  <c r="AA193" i="12"/>
  <c r="AA196" i="12"/>
  <c r="AA160" i="12"/>
  <c r="AA308" i="12"/>
  <c r="AA251" i="12"/>
  <c r="AA279" i="12"/>
  <c r="AA209" i="12"/>
  <c r="AA208" i="12"/>
  <c r="AA272" i="12"/>
  <c r="AA286" i="12"/>
  <c r="AA205" i="12"/>
  <c r="AA267" i="12"/>
  <c r="AA155" i="12"/>
  <c r="AA315" i="12"/>
  <c r="AA259" i="12"/>
  <c r="AA230" i="12"/>
  <c r="AA169" i="12"/>
  <c r="AA297" i="12"/>
  <c r="AA269" i="12"/>
  <c r="AA191" i="12"/>
  <c r="AA271" i="12"/>
  <c r="AA212" i="12"/>
  <c r="AA252" i="12"/>
  <c r="AA148" i="12"/>
  <c r="AA168" i="12"/>
  <c r="AA280" i="12"/>
  <c r="AA296" i="12"/>
  <c r="AA316" i="12"/>
  <c r="AA187" i="12"/>
  <c r="AA194" i="12"/>
  <c r="AA258" i="12"/>
  <c r="AA167" i="12"/>
  <c r="AA295" i="12"/>
  <c r="AA213" i="12"/>
  <c r="AA183" i="12"/>
  <c r="AA247" i="12"/>
  <c r="AA192" i="12"/>
  <c r="AA224" i="12"/>
  <c r="AA256" i="12"/>
  <c r="AA150" i="12"/>
  <c r="AA166" i="12"/>
  <c r="AA278" i="12"/>
  <c r="AA294" i="12"/>
  <c r="AA310" i="12"/>
  <c r="AA223" i="12"/>
  <c r="AA300" i="12"/>
  <c r="AA203" i="12"/>
  <c r="AA202" i="12"/>
  <c r="AA266" i="12"/>
  <c r="AA171" i="12"/>
  <c r="AA299" i="12"/>
  <c r="AA221" i="12"/>
  <c r="AA233" i="12"/>
  <c r="AA227" i="12"/>
  <c r="AA182" i="12"/>
  <c r="AA214" i="12"/>
  <c r="AA246" i="12"/>
  <c r="AA145" i="12"/>
  <c r="AA161" i="12"/>
  <c r="AA273" i="12"/>
  <c r="AA289" i="12"/>
  <c r="W281" i="12"/>
  <c r="W207" i="12"/>
  <c r="W238" i="12"/>
  <c r="W249" i="12"/>
  <c r="W220" i="12"/>
  <c r="W165" i="12"/>
  <c r="W299" i="12"/>
  <c r="W206" i="12"/>
  <c r="W256" i="12"/>
  <c r="W201" i="12"/>
  <c r="W209" i="12"/>
  <c r="W188" i="12"/>
  <c r="W181" i="12"/>
  <c r="W271" i="12"/>
  <c r="W164" i="12"/>
  <c r="W298" i="12"/>
  <c r="W193" i="12"/>
  <c r="W318" i="12"/>
  <c r="W162" i="12"/>
  <c r="W244" i="12"/>
  <c r="W304" i="12"/>
  <c r="W195" i="12"/>
  <c r="W259" i="12"/>
  <c r="W151" i="12"/>
  <c r="W152" i="12"/>
  <c r="W226" i="12"/>
  <c r="W286" i="12"/>
  <c r="W173" i="12"/>
  <c r="W189" i="12"/>
  <c r="W229" i="12"/>
  <c r="W269" i="12"/>
  <c r="W301" i="12"/>
  <c r="W158" i="12"/>
  <c r="W204" i="12"/>
  <c r="W240" i="12"/>
  <c r="W272" i="12"/>
  <c r="W300" i="12"/>
  <c r="W149" i="12"/>
  <c r="W191" i="12"/>
  <c r="W223" i="12"/>
  <c r="W255" i="12"/>
  <c r="W283" i="12"/>
  <c r="W174" i="12"/>
  <c r="W289" i="12"/>
  <c r="W148" i="12"/>
  <c r="W190" i="12"/>
  <c r="W222" i="12"/>
  <c r="W254" i="12"/>
  <c r="W282" i="12"/>
  <c r="W177" i="12"/>
  <c r="W233" i="12"/>
  <c r="W305" i="12"/>
  <c r="W208" i="12"/>
  <c r="W317" i="12"/>
  <c r="W153" i="12"/>
  <c r="W227" i="12"/>
  <c r="W287" i="12"/>
  <c r="W146" i="12"/>
  <c r="W194" i="12"/>
  <c r="W258" i="12"/>
  <c r="W159" i="12"/>
  <c r="W213" i="12"/>
  <c r="W253" i="12"/>
  <c r="W285" i="12"/>
  <c r="W180" i="12"/>
  <c r="W192" i="12"/>
  <c r="W224" i="12"/>
  <c r="W260" i="12"/>
  <c r="W288" i="12"/>
  <c r="W179" i="12"/>
  <c r="W169" i="12"/>
  <c r="W211" i="12"/>
  <c r="W243" i="12"/>
  <c r="W313" i="12"/>
  <c r="W303" i="12"/>
  <c r="W217" i="12"/>
  <c r="W175" i="12"/>
  <c r="W168" i="12"/>
  <c r="W210" i="12"/>
  <c r="W242" i="12"/>
  <c r="W316" i="12"/>
  <c r="W302" i="12"/>
  <c r="H32" i="3"/>
  <c r="F32" i="3"/>
  <c r="G32" i="3" s="1"/>
  <c r="A33" i="3"/>
  <c r="C32" i="3"/>
  <c r="D32" i="3" s="1"/>
  <c r="W147" i="12"/>
  <c r="W171" i="12"/>
  <c r="W205" i="12"/>
  <c r="W225" i="12"/>
  <c r="W245" i="12"/>
  <c r="W265" i="12"/>
  <c r="W277" i="12"/>
  <c r="W297" i="12"/>
  <c r="W314" i="12"/>
  <c r="W154" i="12"/>
  <c r="W170" i="12"/>
  <c r="W200" i="12"/>
  <c r="W216" i="12"/>
  <c r="W232" i="12"/>
  <c r="W252" i="12"/>
  <c r="W268" i="12"/>
  <c r="W280" i="12"/>
  <c r="W296" i="12"/>
  <c r="W312" i="12"/>
  <c r="W145" i="12"/>
  <c r="W161" i="12"/>
  <c r="W187" i="12"/>
  <c r="W203" i="12"/>
  <c r="W219" i="12"/>
  <c r="W235" i="12"/>
  <c r="W251" i="12"/>
  <c r="W267" i="12"/>
  <c r="W279" i="12"/>
  <c r="W295" i="12"/>
  <c r="W311" i="12"/>
  <c r="W185" i="12"/>
  <c r="W261" i="12"/>
  <c r="W236" i="12"/>
  <c r="W144" i="12"/>
  <c r="W160" i="12"/>
  <c r="W186" i="12"/>
  <c r="W202" i="12"/>
  <c r="W218" i="12"/>
  <c r="W234" i="12"/>
  <c r="W250" i="12"/>
  <c r="W266" i="12"/>
  <c r="W278" i="12"/>
  <c r="W294" i="12"/>
  <c r="W310" i="12"/>
  <c r="W167" i="12"/>
  <c r="W197" i="12"/>
  <c r="W221" i="12"/>
  <c r="W241" i="12"/>
  <c r="W257" i="12"/>
  <c r="W273" i="12"/>
  <c r="W293" i="12"/>
  <c r="W309" i="12"/>
  <c r="W150" i="12"/>
  <c r="W166" i="12"/>
  <c r="W196" i="12"/>
  <c r="W212" i="12"/>
  <c r="W228" i="12"/>
  <c r="W248" i="12"/>
  <c r="W264" i="12"/>
  <c r="W276" i="12"/>
  <c r="W292" i="12"/>
  <c r="W308" i="12"/>
  <c r="W178" i="12"/>
  <c r="W157" i="12"/>
  <c r="W183" i="12"/>
  <c r="W199" i="12"/>
  <c r="W215" i="12"/>
  <c r="W231" i="12"/>
  <c r="W247" i="12"/>
  <c r="W263" i="12"/>
  <c r="W275" i="12"/>
  <c r="W291" i="12"/>
  <c r="W307" i="12"/>
  <c r="W163" i="12"/>
  <c r="W237" i="12"/>
  <c r="W184" i="12"/>
  <c r="W176" i="12"/>
  <c r="W156" i="12"/>
  <c r="W182" i="12"/>
  <c r="W198" i="12"/>
  <c r="W214" i="12"/>
  <c r="W230" i="12"/>
  <c r="W246" i="12"/>
  <c r="W262" i="12"/>
  <c r="W274" i="12"/>
  <c r="W290" i="12"/>
  <c r="E23" i="14"/>
  <c r="G22" i="14"/>
  <c r="H22" i="14" s="1"/>
  <c r="G318" i="9"/>
  <c r="G314" i="9"/>
  <c r="G310" i="9"/>
  <c r="G306" i="9"/>
  <c r="G302" i="9"/>
  <c r="G298" i="9"/>
  <c r="G294" i="9"/>
  <c r="G290" i="9"/>
  <c r="G286" i="9"/>
  <c r="G282" i="9"/>
  <c r="G278" i="9"/>
  <c r="G274" i="9"/>
  <c r="G270" i="9"/>
  <c r="G266" i="9"/>
  <c r="G262" i="9"/>
  <c r="G258" i="9"/>
  <c r="G254" i="9"/>
  <c r="G250" i="9"/>
  <c r="G246" i="9"/>
  <c r="G242" i="9"/>
  <c r="G238" i="9"/>
  <c r="G233" i="9"/>
  <c r="G229" i="9"/>
  <c r="G225" i="9"/>
  <c r="G221" i="9"/>
  <c r="G217" i="9"/>
  <c r="G213" i="9"/>
  <c r="G209" i="9"/>
  <c r="G205" i="9"/>
  <c r="G201" i="9"/>
  <c r="G197" i="9"/>
  <c r="G193" i="9"/>
  <c r="G189" i="9"/>
  <c r="G185" i="9"/>
  <c r="G181" i="9"/>
  <c r="G177" i="9"/>
  <c r="G173" i="9"/>
  <c r="G169" i="9"/>
  <c r="G165" i="9"/>
  <c r="G161" i="9"/>
  <c r="G157" i="9"/>
  <c r="G153" i="9"/>
  <c r="G149" i="9"/>
  <c r="G145" i="9"/>
  <c r="G315" i="9"/>
  <c r="G311" i="9"/>
  <c r="G307" i="9"/>
  <c r="G303" i="9"/>
  <c r="G299" i="9"/>
  <c r="G295" i="9"/>
  <c r="G291" i="9"/>
  <c r="G287" i="9"/>
  <c r="G283" i="9"/>
  <c r="G279" i="9"/>
  <c r="G275" i="9"/>
  <c r="G271" i="9"/>
  <c r="G267" i="9"/>
  <c r="G263" i="9"/>
  <c r="G259" i="9"/>
  <c r="G255" i="9"/>
  <c r="G251" i="9"/>
  <c r="G247" i="9"/>
  <c r="G243" i="9"/>
  <c r="G239" i="9"/>
  <c r="G234" i="9"/>
  <c r="G230" i="9"/>
  <c r="G226" i="9"/>
  <c r="G222" i="9"/>
  <c r="G218" i="9"/>
  <c r="G214" i="9"/>
  <c r="G210" i="9"/>
  <c r="G206" i="9"/>
  <c r="G202" i="9"/>
  <c r="G198" i="9"/>
  <c r="G194" i="9"/>
  <c r="G190" i="9"/>
  <c r="G186" i="9"/>
  <c r="G182" i="9"/>
  <c r="G178" i="9"/>
  <c r="G174" i="9"/>
  <c r="G170" i="9"/>
  <c r="G166" i="9"/>
  <c r="G162" i="9"/>
  <c r="G158" i="9"/>
  <c r="G154" i="9"/>
  <c r="G150" i="9"/>
  <c r="G146" i="9"/>
  <c r="G235" i="9"/>
  <c r="G316" i="9"/>
  <c r="G312" i="9"/>
  <c r="G308" i="9"/>
  <c r="G304" i="9"/>
  <c r="G300" i="9"/>
  <c r="G296" i="9"/>
  <c r="G292" i="9"/>
  <c r="G288" i="9"/>
  <c r="G284" i="9"/>
  <c r="G280" i="9"/>
  <c r="G276" i="9"/>
  <c r="G272" i="9"/>
  <c r="G268" i="9"/>
  <c r="G264" i="9"/>
  <c r="G260" i="9"/>
  <c r="G256" i="9"/>
  <c r="G252" i="9"/>
  <c r="G248" i="9"/>
  <c r="G244" i="9"/>
  <c r="G240" i="9"/>
  <c r="G237" i="9"/>
  <c r="G231" i="9"/>
  <c r="G227" i="9"/>
  <c r="G223" i="9"/>
  <c r="G219" i="9"/>
  <c r="G215" i="9"/>
  <c r="G211" i="9"/>
  <c r="G207" i="9"/>
  <c r="G203" i="9"/>
  <c r="G199" i="9"/>
  <c r="G195" i="9"/>
  <c r="G191" i="9"/>
  <c r="G187" i="9"/>
  <c r="G183" i="9"/>
  <c r="G179" i="9"/>
  <c r="G175" i="9"/>
  <c r="G171" i="9"/>
  <c r="G167" i="9"/>
  <c r="G163" i="9"/>
  <c r="G159" i="9"/>
  <c r="G155" i="9"/>
  <c r="G151" i="9"/>
  <c r="G147" i="9"/>
  <c r="G143" i="9"/>
  <c r="G305" i="9"/>
  <c r="G289" i="9"/>
  <c r="G273" i="9"/>
  <c r="G257" i="9"/>
  <c r="G241" i="9"/>
  <c r="G224" i="9"/>
  <c r="G208" i="9"/>
  <c r="G192" i="9"/>
  <c r="G176" i="9"/>
  <c r="G160" i="9"/>
  <c r="G144" i="9"/>
  <c r="G301" i="9"/>
  <c r="G253" i="9"/>
  <c r="G204" i="9"/>
  <c r="G156" i="9"/>
  <c r="G309" i="9"/>
  <c r="G293" i="9"/>
  <c r="G277" i="9"/>
  <c r="G261" i="9"/>
  <c r="G245" i="9"/>
  <c r="G228" i="9"/>
  <c r="G212" i="9"/>
  <c r="G196" i="9"/>
  <c r="G180" i="9"/>
  <c r="G164" i="9"/>
  <c r="G148" i="9"/>
  <c r="G317" i="9"/>
  <c r="G269" i="9"/>
  <c r="G220" i="9"/>
  <c r="G172" i="9"/>
  <c r="G313" i="9"/>
  <c r="G297" i="9"/>
  <c r="G281" i="9"/>
  <c r="G265" i="9"/>
  <c r="G249" i="9"/>
  <c r="G232" i="9"/>
  <c r="G216" i="9"/>
  <c r="G200" i="9"/>
  <c r="G184" i="9"/>
  <c r="G168" i="9"/>
  <c r="G152" i="9"/>
  <c r="G285" i="9"/>
  <c r="G236" i="9"/>
  <c r="G188" i="9"/>
  <c r="G316" i="13"/>
  <c r="G306" i="13"/>
  <c r="G305" i="13"/>
  <c r="G309" i="13"/>
  <c r="G318" i="13"/>
  <c r="G298" i="13"/>
  <c r="G282" i="13"/>
  <c r="G288" i="13"/>
  <c r="G270" i="13"/>
  <c r="G281" i="13"/>
  <c r="G265" i="13"/>
  <c r="G249" i="13"/>
  <c r="G276" i="13"/>
  <c r="G252" i="13"/>
  <c r="G237" i="13"/>
  <c r="G229" i="13"/>
  <c r="G221" i="13"/>
  <c r="G260" i="13"/>
  <c r="G267" i="13"/>
  <c r="G269" i="13"/>
  <c r="G236" i="13"/>
  <c r="G285" i="13"/>
  <c r="G211" i="13"/>
  <c r="G287" i="13"/>
  <c r="G238" i="13"/>
  <c r="G209" i="13"/>
  <c r="G194" i="13"/>
  <c r="G186" i="13"/>
  <c r="G178" i="13"/>
  <c r="G170" i="13"/>
  <c r="G162" i="13"/>
  <c r="G255" i="13"/>
  <c r="G222" i="13"/>
  <c r="G196" i="13"/>
  <c r="G181" i="13"/>
  <c r="G165" i="13"/>
  <c r="G226" i="13"/>
  <c r="G191" i="13"/>
  <c r="G151" i="13"/>
  <c r="G155" i="13"/>
  <c r="G195" i="13"/>
  <c r="G144" i="13"/>
  <c r="G215" i="13"/>
  <c r="G307" i="13"/>
  <c r="G312" i="13"/>
  <c r="G296" i="13"/>
  <c r="G294" i="13"/>
  <c r="G310" i="13"/>
  <c r="G283" i="13"/>
  <c r="G289" i="13"/>
  <c r="G271" i="13"/>
  <c r="G292" i="13"/>
  <c r="G272" i="13"/>
  <c r="G256" i="13"/>
  <c r="G277" i="13"/>
  <c r="G253" i="13"/>
  <c r="G239" i="13"/>
  <c r="G231" i="13"/>
  <c r="G223" i="13"/>
  <c r="G261" i="13"/>
  <c r="G284" i="13"/>
  <c r="G286" i="13"/>
  <c r="G246" i="13"/>
  <c r="G224" i="13"/>
  <c r="G219" i="13"/>
  <c r="G202" i="13"/>
  <c r="G244" i="13"/>
  <c r="G216" i="13"/>
  <c r="G200" i="13"/>
  <c r="G188" i="13"/>
  <c r="G180" i="13"/>
  <c r="G172" i="13"/>
  <c r="G164" i="13"/>
  <c r="G156" i="13"/>
  <c r="G234" i="13"/>
  <c r="G197" i="13"/>
  <c r="G185" i="13"/>
  <c r="G169" i="13"/>
  <c r="G243" i="13"/>
  <c r="G198" i="13"/>
  <c r="G153" i="13"/>
  <c r="G145" i="13"/>
  <c r="G171" i="13"/>
  <c r="G242" i="13"/>
  <c r="G152" i="13"/>
  <c r="G154" i="13"/>
  <c r="G167" i="13"/>
  <c r="G314" i="13"/>
  <c r="G313" i="13"/>
  <c r="G297" i="13"/>
  <c r="G295" i="13"/>
  <c r="G311" i="13"/>
  <c r="G290" i="13"/>
  <c r="G300" i="13"/>
  <c r="G278" i="13"/>
  <c r="G302" i="13"/>
  <c r="G273" i="13"/>
  <c r="G257" i="13"/>
  <c r="G293" i="13"/>
  <c r="G262" i="13"/>
  <c r="G240" i="13"/>
  <c r="G233" i="13"/>
  <c r="G225" i="13"/>
  <c r="G274" i="13"/>
  <c r="G250" i="13"/>
  <c r="G218" i="13"/>
  <c r="G247" i="13"/>
  <c r="G228" i="13"/>
  <c r="G220" i="13"/>
  <c r="G203" i="13"/>
  <c r="G245" i="13"/>
  <c r="G217" i="13"/>
  <c r="G201" i="13"/>
  <c r="G190" i="13"/>
  <c r="G182" i="13"/>
  <c r="G174" i="13"/>
  <c r="G166" i="13"/>
  <c r="G158" i="13"/>
  <c r="G206" i="13"/>
  <c r="G212" i="13"/>
  <c r="G189" i="13"/>
  <c r="G173" i="13"/>
  <c r="G157" i="13"/>
  <c r="G199" i="13"/>
  <c r="G159" i="13"/>
  <c r="G147" i="13"/>
  <c r="G187" i="13"/>
  <c r="G258" i="13"/>
  <c r="G163" i="13"/>
  <c r="G179" i="13"/>
  <c r="G148" i="13"/>
  <c r="G308" i="13"/>
  <c r="G279" i="13"/>
  <c r="G248" i="13"/>
  <c r="G227" i="13"/>
  <c r="G268" i="13"/>
  <c r="G259" i="13"/>
  <c r="G184" i="13"/>
  <c r="G207" i="13"/>
  <c r="G161" i="13"/>
  <c r="G204" i="13"/>
  <c r="G214" i="13"/>
  <c r="G315" i="13"/>
  <c r="G317" i="13"/>
  <c r="G263" i="13"/>
  <c r="G275" i="13"/>
  <c r="G230" i="13"/>
  <c r="G213" i="13"/>
  <c r="G150" i="13"/>
  <c r="G304" i="13"/>
  <c r="G301" i="13"/>
  <c r="G264" i="13"/>
  <c r="G235" i="13"/>
  <c r="G266" i="13"/>
  <c r="G210" i="13"/>
  <c r="G192" i="13"/>
  <c r="G160" i="13"/>
  <c r="G177" i="13"/>
  <c r="G149" i="13"/>
  <c r="G146" i="13"/>
  <c r="G303" i="13"/>
  <c r="G176" i="13"/>
  <c r="G299" i="13"/>
  <c r="G291" i="13"/>
  <c r="G280" i="13"/>
  <c r="G241" i="13"/>
  <c r="G251" i="13"/>
  <c r="G254" i="13"/>
  <c r="G208" i="13"/>
  <c r="G168" i="13"/>
  <c r="G193" i="13"/>
  <c r="G175" i="13"/>
  <c r="G183" i="13"/>
  <c r="G232" i="13"/>
  <c r="G205" i="13"/>
  <c r="C318" i="13"/>
  <c r="C309" i="13"/>
  <c r="C301" i="13"/>
  <c r="C293" i="13"/>
  <c r="C315" i="13"/>
  <c r="C291" i="13"/>
  <c r="C283" i="13"/>
  <c r="C275" i="13"/>
  <c r="C267" i="13"/>
  <c r="C259" i="13"/>
  <c r="C251" i="13"/>
  <c r="C306" i="13"/>
  <c r="C274" i="13"/>
  <c r="C260" i="13"/>
  <c r="C241" i="13"/>
  <c r="C244" i="13"/>
  <c r="C256" i="13"/>
  <c r="C237" i="13"/>
  <c r="C229" i="13"/>
  <c r="C296" i="13"/>
  <c r="C234" i="13"/>
  <c r="C282" i="13"/>
  <c r="C219" i="13"/>
  <c r="C211" i="13"/>
  <c r="C203" i="13"/>
  <c r="C312" i="13"/>
  <c r="C214" i="13"/>
  <c r="C193" i="13"/>
  <c r="C185" i="13"/>
  <c r="C177" i="13"/>
  <c r="C169" i="13"/>
  <c r="C161" i="13"/>
  <c r="C314" i="13"/>
  <c r="C212" i="13"/>
  <c r="C232" i="13"/>
  <c r="C184" i="13"/>
  <c r="C168" i="13"/>
  <c r="C208" i="13"/>
  <c r="C151" i="13"/>
  <c r="C147" i="13"/>
  <c r="C162" i="13"/>
  <c r="C158" i="13"/>
  <c r="C216" i="13"/>
  <c r="C311" i="13"/>
  <c r="C303" i="13"/>
  <c r="C295" i="13"/>
  <c r="C302" i="13"/>
  <c r="C292" i="13"/>
  <c r="C285" i="13"/>
  <c r="C277" i="13"/>
  <c r="C269" i="13"/>
  <c r="C261" i="13"/>
  <c r="C253" i="13"/>
  <c r="C304" i="13"/>
  <c r="C284" i="13"/>
  <c r="C268" i="13"/>
  <c r="C243" i="13"/>
  <c r="C248" i="13"/>
  <c r="C266" i="13"/>
  <c r="C239" i="13"/>
  <c r="C231" i="13"/>
  <c r="C223" i="13"/>
  <c r="C238" i="13"/>
  <c r="C220" i="13"/>
  <c r="C221" i="13"/>
  <c r="C213" i="13"/>
  <c r="C205" i="13"/>
  <c r="C197" i="13"/>
  <c r="C228" i="13"/>
  <c r="C195" i="13"/>
  <c r="C187" i="13"/>
  <c r="C179" i="13"/>
  <c r="C171" i="13"/>
  <c r="C163" i="13"/>
  <c r="C155" i="13"/>
  <c r="C218" i="13"/>
  <c r="C278" i="13"/>
  <c r="C188" i="13"/>
  <c r="C172" i="13"/>
  <c r="C156" i="13"/>
  <c r="C152" i="13"/>
  <c r="C148" i="13"/>
  <c r="C144" i="13"/>
  <c r="C178" i="13"/>
  <c r="C174" i="13"/>
  <c r="C254" i="13"/>
  <c r="C186" i="13"/>
  <c r="C313" i="13"/>
  <c r="C305" i="13"/>
  <c r="C297" i="13"/>
  <c r="C310" i="13"/>
  <c r="C300" i="13"/>
  <c r="C287" i="13"/>
  <c r="C279" i="13"/>
  <c r="C271" i="13"/>
  <c r="C263" i="13"/>
  <c r="C255" i="13"/>
  <c r="C247" i="13"/>
  <c r="C286" i="13"/>
  <c r="C276" i="13"/>
  <c r="C245" i="13"/>
  <c r="C258" i="13"/>
  <c r="C270" i="13"/>
  <c r="C242" i="13"/>
  <c r="C233" i="13"/>
  <c r="C225" i="13"/>
  <c r="C262" i="13"/>
  <c r="C226" i="13"/>
  <c r="C222" i="13"/>
  <c r="C215" i="13"/>
  <c r="C207" i="13"/>
  <c r="C199" i="13"/>
  <c r="C236" i="13"/>
  <c r="C198" i="13"/>
  <c r="C189" i="13"/>
  <c r="C181" i="13"/>
  <c r="C173" i="13"/>
  <c r="C165" i="13"/>
  <c r="C157" i="13"/>
  <c r="C240" i="13"/>
  <c r="C196" i="13"/>
  <c r="C192" i="13"/>
  <c r="C176" i="13"/>
  <c r="C160" i="13"/>
  <c r="C153" i="13"/>
  <c r="C149" i="13"/>
  <c r="C145" i="13"/>
  <c r="C194" i="13"/>
  <c r="C190" i="13"/>
  <c r="C170" i="13"/>
  <c r="C166" i="13"/>
  <c r="C317" i="13"/>
  <c r="C273" i="13"/>
  <c r="C294" i="13"/>
  <c r="C290" i="13"/>
  <c r="C280" i="13"/>
  <c r="C209" i="13"/>
  <c r="C191" i="13"/>
  <c r="C159" i="13"/>
  <c r="C180" i="13"/>
  <c r="C146" i="13"/>
  <c r="C210" i="13"/>
  <c r="C316" i="13"/>
  <c r="C308" i="13"/>
  <c r="C265" i="13"/>
  <c r="C246" i="13"/>
  <c r="C230" i="13"/>
  <c r="C201" i="13"/>
  <c r="C183" i="13"/>
  <c r="C298" i="13"/>
  <c r="C164" i="13"/>
  <c r="C200" i="13"/>
  <c r="C299" i="13"/>
  <c r="C281" i="13"/>
  <c r="C249" i="13"/>
  <c r="C272" i="13"/>
  <c r="C227" i="13"/>
  <c r="C217" i="13"/>
  <c r="C206" i="13"/>
  <c r="C167" i="13"/>
  <c r="C202" i="13"/>
  <c r="C150" i="13"/>
  <c r="C182" i="13"/>
  <c r="C288" i="13"/>
  <c r="C307" i="13"/>
  <c r="C289" i="13"/>
  <c r="C257" i="13"/>
  <c r="C252" i="13"/>
  <c r="C235" i="13"/>
  <c r="C264" i="13"/>
  <c r="C250" i="13"/>
  <c r="C175" i="13"/>
  <c r="C204" i="13"/>
  <c r="C154" i="13"/>
  <c r="C224" i="13"/>
  <c r="C312" i="12"/>
  <c r="C308" i="12"/>
  <c r="C304" i="12"/>
  <c r="C300" i="12"/>
  <c r="C296" i="12"/>
  <c r="C292" i="12"/>
  <c r="C288" i="12"/>
  <c r="C284" i="12"/>
  <c r="C280" i="12"/>
  <c r="C276" i="12"/>
  <c r="C315" i="12"/>
  <c r="C272" i="12"/>
  <c r="C268" i="12"/>
  <c r="C264" i="12"/>
  <c r="C260" i="12"/>
  <c r="C256" i="12"/>
  <c r="C252" i="12"/>
  <c r="C248" i="12"/>
  <c r="C244" i="12"/>
  <c r="C240" i="12"/>
  <c r="C236" i="12"/>
  <c r="C232" i="12"/>
  <c r="C228" i="12"/>
  <c r="C224" i="12"/>
  <c r="C220" i="12"/>
  <c r="C216" i="12"/>
  <c r="C212" i="12"/>
  <c r="C208" i="12"/>
  <c r="C204" i="12"/>
  <c r="C200" i="12"/>
  <c r="C196" i="12"/>
  <c r="C192" i="12"/>
  <c r="C188" i="12"/>
  <c r="C184" i="12"/>
  <c r="C169" i="12"/>
  <c r="C165" i="12"/>
  <c r="C161" i="12"/>
  <c r="C157" i="12"/>
  <c r="C153" i="12"/>
  <c r="C149" i="12"/>
  <c r="C145" i="12"/>
  <c r="C182" i="12"/>
  <c r="C174" i="12"/>
  <c r="C173" i="12"/>
  <c r="C309" i="12"/>
  <c r="C305" i="12"/>
  <c r="C301" i="12"/>
  <c r="C297" i="12"/>
  <c r="C293" i="12"/>
  <c r="C289" i="12"/>
  <c r="C285" i="12"/>
  <c r="C281" i="12"/>
  <c r="C277" i="12"/>
  <c r="C273" i="12"/>
  <c r="C316" i="12"/>
  <c r="C269" i="12"/>
  <c r="C265" i="12"/>
  <c r="C261" i="12"/>
  <c r="C257" i="12"/>
  <c r="C253" i="12"/>
  <c r="C249" i="12"/>
  <c r="C245" i="12"/>
  <c r="C241" i="12"/>
  <c r="C237" i="12"/>
  <c r="C233" i="12"/>
  <c r="C229" i="12"/>
  <c r="C225" i="12"/>
  <c r="C221" i="12"/>
  <c r="C217" i="12"/>
  <c r="C213" i="12"/>
  <c r="C209" i="12"/>
  <c r="C205" i="12"/>
  <c r="C201" i="12"/>
  <c r="C197" i="12"/>
  <c r="C193" i="12"/>
  <c r="C189" i="12"/>
  <c r="C185" i="12"/>
  <c r="C170" i="12"/>
  <c r="C166" i="12"/>
  <c r="C162" i="12"/>
  <c r="C158" i="12"/>
  <c r="C154" i="12"/>
  <c r="C150" i="12"/>
  <c r="C146" i="12"/>
  <c r="C317" i="12"/>
  <c r="C176" i="12"/>
  <c r="C177" i="12"/>
  <c r="C175" i="12"/>
  <c r="C310" i="12"/>
  <c r="C306" i="12"/>
  <c r="C302" i="12"/>
  <c r="C298" i="12"/>
  <c r="C294" i="12"/>
  <c r="C290" i="12"/>
  <c r="C286" i="12"/>
  <c r="C282" i="12"/>
  <c r="C278" i="12"/>
  <c r="C274" i="12"/>
  <c r="C314" i="12"/>
  <c r="C270" i="12"/>
  <c r="C266" i="12"/>
  <c r="C262" i="12"/>
  <c r="C258" i="12"/>
  <c r="C254" i="12"/>
  <c r="C250" i="12"/>
  <c r="C246" i="12"/>
  <c r="C242" i="12"/>
  <c r="C238" i="12"/>
  <c r="C234" i="12"/>
  <c r="C230" i="12"/>
  <c r="C226" i="12"/>
  <c r="C222" i="12"/>
  <c r="C218" i="12"/>
  <c r="C214" i="12"/>
  <c r="C210" i="12"/>
  <c r="C206" i="12"/>
  <c r="C202" i="12"/>
  <c r="C198" i="12"/>
  <c r="C194" i="12"/>
  <c r="C190" i="12"/>
  <c r="C186" i="12"/>
  <c r="C171" i="12"/>
  <c r="C167" i="12"/>
  <c r="C163" i="12"/>
  <c r="C159" i="12"/>
  <c r="C155" i="12"/>
  <c r="C151" i="12"/>
  <c r="C147" i="12"/>
  <c r="C178" i="12"/>
  <c r="C181" i="12"/>
  <c r="C313" i="12"/>
  <c r="C299" i="12"/>
  <c r="C283" i="12"/>
  <c r="C271" i="12"/>
  <c r="C255" i="12"/>
  <c r="C239" i="12"/>
  <c r="C223" i="12"/>
  <c r="C207" i="12"/>
  <c r="C191" i="12"/>
  <c r="C164" i="12"/>
  <c r="C148" i="12"/>
  <c r="C179" i="12"/>
  <c r="C295" i="12"/>
  <c r="C279" i="12"/>
  <c r="C267" i="12"/>
  <c r="C251" i="12"/>
  <c r="C235" i="12"/>
  <c r="C203" i="12"/>
  <c r="C187" i="12"/>
  <c r="C160" i="12"/>
  <c r="C303" i="12"/>
  <c r="C287" i="12"/>
  <c r="C318" i="12"/>
  <c r="C259" i="12"/>
  <c r="C243" i="12"/>
  <c r="C227" i="12"/>
  <c r="C211" i="12"/>
  <c r="C195" i="12"/>
  <c r="C168" i="12"/>
  <c r="C152" i="12"/>
  <c r="C172" i="12"/>
  <c r="C219" i="12"/>
  <c r="C307" i="12"/>
  <c r="C291" i="12"/>
  <c r="C275" i="12"/>
  <c r="C263" i="12"/>
  <c r="C247" i="12"/>
  <c r="C231" i="12"/>
  <c r="C215" i="12"/>
  <c r="C199" i="12"/>
  <c r="C183" i="12"/>
  <c r="C156" i="12"/>
  <c r="C180" i="12"/>
  <c r="C311" i="12"/>
  <c r="C144" i="12"/>
  <c r="D20" i="14"/>
  <c r="D22" i="14"/>
  <c r="C237" i="9"/>
  <c r="C318" i="9"/>
  <c r="C310" i="9"/>
  <c r="C302" i="9"/>
  <c r="C294" i="9"/>
  <c r="C286" i="9"/>
  <c r="C278" i="9"/>
  <c r="C270" i="9"/>
  <c r="C262" i="9"/>
  <c r="C254" i="9"/>
  <c r="C246" i="9"/>
  <c r="C311" i="9"/>
  <c r="C279" i="9"/>
  <c r="C247" i="9"/>
  <c r="C301" i="9"/>
  <c r="C269" i="9"/>
  <c r="C232" i="9"/>
  <c r="C224" i="9"/>
  <c r="C216" i="9"/>
  <c r="C208" i="9"/>
  <c r="C200" i="9"/>
  <c r="C192" i="9"/>
  <c r="C184" i="9"/>
  <c r="C176" i="9"/>
  <c r="C168" i="9"/>
  <c r="C160" i="9"/>
  <c r="C152" i="9"/>
  <c r="C144" i="9"/>
  <c r="C291" i="9"/>
  <c r="C259" i="9"/>
  <c r="C234" i="9"/>
  <c r="C221" i="9"/>
  <c r="C207" i="9"/>
  <c r="C187" i="9"/>
  <c r="C165" i="9"/>
  <c r="C147" i="9"/>
  <c r="C297" i="9"/>
  <c r="C265" i="9"/>
  <c r="C227" i="9"/>
  <c r="C213" i="9"/>
  <c r="C195" i="9"/>
  <c r="C181" i="9"/>
  <c r="C171" i="9"/>
  <c r="C157" i="9"/>
  <c r="C236" i="9"/>
  <c r="C312" i="9"/>
  <c r="C296" i="9"/>
  <c r="C288" i="9"/>
  <c r="C280" i="9"/>
  <c r="C272" i="9"/>
  <c r="C256" i="9"/>
  <c r="C248" i="9"/>
  <c r="C240" i="9"/>
  <c r="C287" i="9"/>
  <c r="C255" i="9"/>
  <c r="C277" i="9"/>
  <c r="C245" i="9"/>
  <c r="C226" i="9"/>
  <c r="C218" i="9"/>
  <c r="C210" i="9"/>
  <c r="C202" i="9"/>
  <c r="C186" i="9"/>
  <c r="C178" i="9"/>
  <c r="C170" i="9"/>
  <c r="C162" i="9"/>
  <c r="C154" i="9"/>
  <c r="C146" i="9"/>
  <c r="C299" i="9"/>
  <c r="C241" i="9"/>
  <c r="C225" i="9"/>
  <c r="C209" i="9"/>
  <c r="C189" i="9"/>
  <c r="C167" i="9"/>
  <c r="C151" i="9"/>
  <c r="C305" i="9"/>
  <c r="C273" i="9"/>
  <c r="C217" i="9"/>
  <c r="C197" i="9"/>
  <c r="C185" i="9"/>
  <c r="C173" i="9"/>
  <c r="C159" i="9"/>
  <c r="C145" i="9"/>
  <c r="C304" i="9"/>
  <c r="C264" i="9"/>
  <c r="C309" i="9"/>
  <c r="C194" i="9"/>
  <c r="C267" i="9"/>
  <c r="C229" i="9"/>
  <c r="C238" i="9"/>
  <c r="C314" i="9"/>
  <c r="C306" i="9"/>
  <c r="C298" i="9"/>
  <c r="C290" i="9"/>
  <c r="C282" i="9"/>
  <c r="C274" i="9"/>
  <c r="C266" i="9"/>
  <c r="C258" i="9"/>
  <c r="C250" i="9"/>
  <c r="C242" i="9"/>
  <c r="C295" i="9"/>
  <c r="C263" i="9"/>
  <c r="C317" i="9"/>
  <c r="C285" i="9"/>
  <c r="C253" i="9"/>
  <c r="C228" i="9"/>
  <c r="C220" i="9"/>
  <c r="C212" i="9"/>
  <c r="C204" i="9"/>
  <c r="C196" i="9"/>
  <c r="C188" i="9"/>
  <c r="C180" i="9"/>
  <c r="C172" i="9"/>
  <c r="C164" i="9"/>
  <c r="C156" i="9"/>
  <c r="C148" i="9"/>
  <c r="C307" i="9"/>
  <c r="C275" i="9"/>
  <c r="C243" i="9"/>
  <c r="C231" i="9"/>
  <c r="C211" i="9"/>
  <c r="C199" i="9"/>
  <c r="C175" i="9"/>
  <c r="C155" i="9"/>
  <c r="C313" i="9"/>
  <c r="C281" i="9"/>
  <c r="C249" i="9"/>
  <c r="C219" i="9"/>
  <c r="C201" i="9"/>
  <c r="C191" i="9"/>
  <c r="C177" i="9"/>
  <c r="C163" i="9"/>
  <c r="C149" i="9"/>
  <c r="C300" i="9"/>
  <c r="C268" i="9"/>
  <c r="C303" i="9"/>
  <c r="C261" i="9"/>
  <c r="C206" i="9"/>
  <c r="C174" i="9"/>
  <c r="C315" i="9"/>
  <c r="C215" i="9"/>
  <c r="C203" i="9"/>
  <c r="C153" i="9"/>
  <c r="C235" i="9"/>
  <c r="C271" i="9"/>
  <c r="C230" i="9"/>
  <c r="C198" i="9"/>
  <c r="C166" i="9"/>
  <c r="C289" i="9"/>
  <c r="C193" i="9"/>
  <c r="C308" i="9"/>
  <c r="C276" i="9"/>
  <c r="C244" i="9"/>
  <c r="C293" i="9"/>
  <c r="C214" i="9"/>
  <c r="C182" i="9"/>
  <c r="C150" i="9"/>
  <c r="C233" i="9"/>
  <c r="C161" i="9"/>
  <c r="C223" i="9"/>
  <c r="C169" i="9"/>
  <c r="C257" i="9"/>
  <c r="C292" i="9"/>
  <c r="C205" i="9"/>
  <c r="C316" i="9"/>
  <c r="C284" i="9"/>
  <c r="C252" i="9"/>
  <c r="C239" i="9"/>
  <c r="C222" i="9"/>
  <c r="C190" i="9"/>
  <c r="C158" i="9"/>
  <c r="C251" i="9"/>
  <c r="C183" i="9"/>
  <c r="C179" i="9"/>
  <c r="C260" i="9"/>
  <c r="C283" i="9"/>
  <c r="G318" i="12"/>
  <c r="G314" i="12"/>
  <c r="G310" i="12"/>
  <c r="G306" i="12"/>
  <c r="G302" i="12"/>
  <c r="G298" i="12"/>
  <c r="G294" i="12"/>
  <c r="G290" i="12"/>
  <c r="G286" i="12"/>
  <c r="G282" i="12"/>
  <c r="G278" i="12"/>
  <c r="G274" i="12"/>
  <c r="G177" i="12"/>
  <c r="G170" i="12"/>
  <c r="G166" i="12"/>
  <c r="G162" i="12"/>
  <c r="G158" i="12"/>
  <c r="G154" i="12"/>
  <c r="G150" i="12"/>
  <c r="G146" i="12"/>
  <c r="G272" i="12"/>
  <c r="G264" i="12"/>
  <c r="G256" i="12"/>
  <c r="G248" i="12"/>
  <c r="G240" i="12"/>
  <c r="G232" i="12"/>
  <c r="G224" i="12"/>
  <c r="G216" i="12"/>
  <c r="G208" i="12"/>
  <c r="G200" i="12"/>
  <c r="G192" i="12"/>
  <c r="G184" i="12"/>
  <c r="G269" i="12"/>
  <c r="G253" i="12"/>
  <c r="G237" i="12"/>
  <c r="G221" i="12"/>
  <c r="G205" i="12"/>
  <c r="G189" i="12"/>
  <c r="G271" i="12"/>
  <c r="G239" i="12"/>
  <c r="G207" i="12"/>
  <c r="G176" i="12"/>
  <c r="G211" i="12"/>
  <c r="G235" i="12"/>
  <c r="G315" i="12"/>
  <c r="G311" i="12"/>
  <c r="G307" i="12"/>
  <c r="G303" i="12"/>
  <c r="G299" i="12"/>
  <c r="G295" i="12"/>
  <c r="G291" i="12"/>
  <c r="G287" i="12"/>
  <c r="G283" i="12"/>
  <c r="G279" i="12"/>
  <c r="G275" i="12"/>
  <c r="G179" i="12"/>
  <c r="G171" i="12"/>
  <c r="G167" i="12"/>
  <c r="G163" i="12"/>
  <c r="G159" i="12"/>
  <c r="G155" i="12"/>
  <c r="G151" i="12"/>
  <c r="G147" i="12"/>
  <c r="G266" i="12"/>
  <c r="G258" i="12"/>
  <c r="G250" i="12"/>
  <c r="G242" i="12"/>
  <c r="G234" i="12"/>
  <c r="G226" i="12"/>
  <c r="G218" i="12"/>
  <c r="G210" i="12"/>
  <c r="G202" i="12"/>
  <c r="G194" i="12"/>
  <c r="G186" i="12"/>
  <c r="G174" i="12"/>
  <c r="G257" i="12"/>
  <c r="G241" i="12"/>
  <c r="G225" i="12"/>
  <c r="G209" i="12"/>
  <c r="G193" i="12"/>
  <c r="G172" i="12"/>
  <c r="G247" i="12"/>
  <c r="G215" i="12"/>
  <c r="G183" i="12"/>
  <c r="G227" i="12"/>
  <c r="G251" i="12"/>
  <c r="G187" i="12"/>
  <c r="G316" i="12"/>
  <c r="G312" i="12"/>
  <c r="G308" i="12"/>
  <c r="G304" i="12"/>
  <c r="G300" i="12"/>
  <c r="G296" i="12"/>
  <c r="G292" i="12"/>
  <c r="G288" i="12"/>
  <c r="G284" i="12"/>
  <c r="G280" i="12"/>
  <c r="G276" i="12"/>
  <c r="G181" i="12"/>
  <c r="G173" i="12"/>
  <c r="G168" i="12"/>
  <c r="G164" i="12"/>
  <c r="G160" i="12"/>
  <c r="G156" i="12"/>
  <c r="G152" i="12"/>
  <c r="G148" i="12"/>
  <c r="G144" i="12"/>
  <c r="G268" i="12"/>
  <c r="G260" i="12"/>
  <c r="G252" i="12"/>
  <c r="G244" i="12"/>
  <c r="G236" i="12"/>
  <c r="G228" i="12"/>
  <c r="G220" i="12"/>
  <c r="G212" i="12"/>
  <c r="G204" i="12"/>
  <c r="G196" i="12"/>
  <c r="G188" i="12"/>
  <c r="G178" i="12"/>
  <c r="G261" i="12"/>
  <c r="G245" i="12"/>
  <c r="G229" i="12"/>
  <c r="G213" i="12"/>
  <c r="G197" i="12"/>
  <c r="G180" i="12"/>
  <c r="G255" i="12"/>
  <c r="G223" i="12"/>
  <c r="G191" i="12"/>
  <c r="G243" i="12"/>
  <c r="G267" i="12"/>
  <c r="G203" i="12"/>
  <c r="G305" i="12"/>
  <c r="G289" i="12"/>
  <c r="G273" i="12"/>
  <c r="G161" i="12"/>
  <c r="G145" i="12"/>
  <c r="G246" i="12"/>
  <c r="G214" i="12"/>
  <c r="G182" i="12"/>
  <c r="G217" i="12"/>
  <c r="G231" i="12"/>
  <c r="G219" i="12"/>
  <c r="G317" i="12"/>
  <c r="G301" i="12"/>
  <c r="G285" i="12"/>
  <c r="G175" i="12"/>
  <c r="G157" i="12"/>
  <c r="G238" i="12"/>
  <c r="G206" i="12"/>
  <c r="G265" i="12"/>
  <c r="G201" i="12"/>
  <c r="G199" i="12"/>
  <c r="G309" i="12"/>
  <c r="G293" i="12"/>
  <c r="G277" i="12"/>
  <c r="G165" i="12"/>
  <c r="G149" i="12"/>
  <c r="G254" i="12"/>
  <c r="G222" i="12"/>
  <c r="G190" i="12"/>
  <c r="G233" i="12"/>
  <c r="G263" i="12"/>
  <c r="G195" i="12"/>
  <c r="G270" i="12"/>
  <c r="G313" i="12"/>
  <c r="G297" i="12"/>
  <c r="G281" i="12"/>
  <c r="G169" i="12"/>
  <c r="G153" i="12"/>
  <c r="G262" i="12"/>
  <c r="G230" i="12"/>
  <c r="G198" i="12"/>
  <c r="G249" i="12"/>
  <c r="G185" i="12"/>
  <c r="G259" i="12"/>
  <c r="G35" i="1"/>
  <c r="F35" i="1"/>
  <c r="D18" i="4"/>
  <c r="E18" i="4"/>
  <c r="G316" i="3" l="1"/>
  <c r="E20" i="14"/>
  <c r="G67" i="14"/>
  <c r="H67" i="14"/>
  <c r="E24" i="14"/>
  <c r="E69" i="14"/>
  <c r="E67" i="14"/>
  <c r="Y31" i="3"/>
  <c r="Y30" i="3"/>
  <c r="W32" i="3"/>
  <c r="F317" i="3"/>
  <c r="H317" i="3"/>
  <c r="X34" i="3"/>
  <c r="X35" i="3" s="1"/>
  <c r="X36" i="3" s="1"/>
  <c r="X37" i="3" s="1"/>
  <c r="X38" i="3" s="1"/>
  <c r="X39" i="3" s="1"/>
  <c r="X40" i="3" s="1"/>
  <c r="X41" i="3" s="1"/>
  <c r="U2" i="3" s="1"/>
  <c r="A20" i="24" s="1"/>
  <c r="H33" i="3"/>
  <c r="F33" i="3"/>
  <c r="G33" i="3" s="1"/>
  <c r="C33" i="3"/>
  <c r="D33" i="3" s="1"/>
  <c r="B33" i="3"/>
  <c r="A34" i="3" s="1"/>
  <c r="B20" i="4"/>
  <c r="A21" i="24" l="1"/>
  <c r="A20" i="46"/>
  <c r="A20" i="47"/>
  <c r="A32" i="24"/>
  <c r="G317" i="3"/>
  <c r="Y33" i="3"/>
  <c r="Y32" i="3"/>
  <c r="W34" i="3"/>
  <c r="F318" i="3"/>
  <c r="H318" i="3"/>
  <c r="H34" i="3"/>
  <c r="F34" i="3"/>
  <c r="G34" i="3" s="1"/>
  <c r="A35" i="3"/>
  <c r="C34" i="3"/>
  <c r="D34" i="3" s="1"/>
  <c r="B19" i="4"/>
  <c r="A22" i="24" l="1"/>
  <c r="A21" i="47"/>
  <c r="A21" i="46"/>
  <c r="A32" i="46"/>
  <c r="A32" i="47"/>
  <c r="G318" i="3"/>
  <c r="Y35" i="3"/>
  <c r="Y34" i="3"/>
  <c r="W36" i="3"/>
  <c r="F319" i="3"/>
  <c r="H319" i="3"/>
  <c r="H35" i="3"/>
  <c r="F35" i="3"/>
  <c r="G35" i="3" s="1"/>
  <c r="C35" i="3"/>
  <c r="D35" i="3" s="1"/>
  <c r="A36" i="3"/>
  <c r="A22" i="46" l="1"/>
  <c r="A22" i="47"/>
  <c r="A23" i="24"/>
  <c r="G319" i="3"/>
  <c r="Y37" i="3"/>
  <c r="W38" i="3"/>
  <c r="Y36" i="3"/>
  <c r="F320" i="3"/>
  <c r="H320" i="3"/>
  <c r="H36" i="3"/>
  <c r="F36" i="3"/>
  <c r="G36" i="3" s="1"/>
  <c r="C36" i="3"/>
  <c r="D36" i="3" s="1"/>
  <c r="A37" i="3"/>
  <c r="A23" i="46" l="1"/>
  <c r="A23" i="47"/>
  <c r="A24" i="24"/>
  <c r="G320" i="3"/>
  <c r="W40" i="3"/>
  <c r="Y39" i="3"/>
  <c r="Y38" i="3"/>
  <c r="F321" i="3"/>
  <c r="H321" i="3"/>
  <c r="H37" i="3"/>
  <c r="F37" i="3"/>
  <c r="G37" i="3" s="1"/>
  <c r="A38" i="3"/>
  <c r="C37" i="3"/>
  <c r="D37" i="3" s="1"/>
  <c r="A24" i="46" l="1"/>
  <c r="A25" i="24"/>
  <c r="A24" i="47"/>
  <c r="G321" i="3"/>
  <c r="Y41" i="3"/>
  <c r="Y40" i="3"/>
  <c r="F322" i="3"/>
  <c r="G322" i="3" s="1"/>
  <c r="H322" i="3"/>
  <c r="H38" i="3"/>
  <c r="F38" i="3"/>
  <c r="G38" i="3" s="1"/>
  <c r="A39" i="3"/>
  <c r="C38" i="3"/>
  <c r="D38" i="3" s="1"/>
  <c r="A26" i="24" l="1"/>
  <c r="A25" i="46"/>
  <c r="A25" i="47"/>
  <c r="F323" i="3"/>
  <c r="G323" i="3" s="1"/>
  <c r="H323" i="3"/>
  <c r="H39" i="3"/>
  <c r="F39" i="3"/>
  <c r="G39" i="3" s="1"/>
  <c r="C39" i="3"/>
  <c r="D39" i="3" s="1"/>
  <c r="A40" i="3"/>
  <c r="A26" i="47" l="1"/>
  <c r="A27" i="24"/>
  <c r="A26" i="46"/>
  <c r="F324" i="3"/>
  <c r="G324" i="3" s="1"/>
  <c r="H324" i="3"/>
  <c r="H40" i="3"/>
  <c r="F40" i="3"/>
  <c r="G40" i="3" s="1"/>
  <c r="C40" i="3"/>
  <c r="D40" i="3" s="1"/>
  <c r="A41" i="3"/>
  <c r="A28" i="24" l="1"/>
  <c r="A27" i="46"/>
  <c r="A27" i="47"/>
  <c r="F325" i="3"/>
  <c r="G325" i="3" s="1"/>
  <c r="H325" i="3"/>
  <c r="H41" i="3"/>
  <c r="F41" i="3"/>
  <c r="G41" i="3" s="1"/>
  <c r="A42" i="3"/>
  <c r="C41" i="3"/>
  <c r="D41" i="3" s="1"/>
  <c r="A28" i="46" l="1"/>
  <c r="A29" i="24"/>
  <c r="A28" i="47"/>
  <c r="H326" i="3"/>
  <c r="F326" i="3"/>
  <c r="G326" i="3" s="1"/>
  <c r="H42" i="3"/>
  <c r="F42" i="3"/>
  <c r="G42" i="3" s="1"/>
  <c r="A43" i="3"/>
  <c r="C42" i="3"/>
  <c r="D42" i="3" s="1"/>
  <c r="A30" i="24" l="1"/>
  <c r="A29" i="47"/>
  <c r="A29" i="46"/>
  <c r="F327" i="3"/>
  <c r="G327" i="3" s="1"/>
  <c r="H327" i="3"/>
  <c r="H43" i="3"/>
  <c r="F43" i="3"/>
  <c r="G43" i="3" s="1"/>
  <c r="C43" i="3"/>
  <c r="D43" i="3" s="1"/>
  <c r="A44" i="3"/>
  <c r="A31" i="24" l="1"/>
  <c r="A30" i="46"/>
  <c r="A30" i="47"/>
  <c r="F328" i="3"/>
  <c r="G328" i="3" s="1"/>
  <c r="H328" i="3"/>
  <c r="H44" i="3"/>
  <c r="F44" i="3"/>
  <c r="G44" i="3" s="1"/>
  <c r="C44" i="3"/>
  <c r="D44" i="3" s="1"/>
  <c r="A45" i="3"/>
  <c r="A33" i="24" l="1"/>
  <c r="A31" i="46"/>
  <c r="A31" i="47"/>
  <c r="F329" i="3"/>
  <c r="G329" i="3" s="1"/>
  <c r="H329" i="3"/>
  <c r="H45" i="3"/>
  <c r="F45" i="3"/>
  <c r="G45" i="3" s="1"/>
  <c r="B45" i="3"/>
  <c r="A46" i="3" s="1"/>
  <c r="C45" i="3"/>
  <c r="D45" i="3" s="1"/>
  <c r="A45" i="24" l="1"/>
  <c r="A34" i="24"/>
  <c r="A33" i="47"/>
  <c r="A33" i="46"/>
  <c r="F330" i="3"/>
  <c r="G330" i="3" s="1"/>
  <c r="H330" i="3"/>
  <c r="H46" i="3"/>
  <c r="F46" i="3"/>
  <c r="G46" i="3" s="1"/>
  <c r="A47" i="3"/>
  <c r="C46" i="3"/>
  <c r="D46" i="3" s="1"/>
  <c r="A35" i="24" l="1"/>
  <c r="A34" i="46"/>
  <c r="A34" i="47"/>
  <c r="A45" i="47"/>
  <c r="A45" i="46"/>
  <c r="F331" i="3"/>
  <c r="G331" i="3" s="1"/>
  <c r="H331" i="3"/>
  <c r="H47" i="3"/>
  <c r="F47" i="3"/>
  <c r="G47" i="3" s="1"/>
  <c r="C47" i="3"/>
  <c r="D47" i="3" s="1"/>
  <c r="A48" i="3"/>
  <c r="A36" i="24" l="1"/>
  <c r="A35" i="47"/>
  <c r="A35" i="46"/>
  <c r="F332" i="3"/>
  <c r="G332" i="3" s="1"/>
  <c r="H332" i="3"/>
  <c r="H48" i="3"/>
  <c r="F48" i="3"/>
  <c r="G48" i="3" s="1"/>
  <c r="C48" i="3"/>
  <c r="D48" i="3" s="1"/>
  <c r="A49" i="3"/>
  <c r="A36" i="46" l="1"/>
  <c r="A37" i="24"/>
  <c r="A36" i="47"/>
  <c r="F333" i="3"/>
  <c r="G333" i="3" s="1"/>
  <c r="H333" i="3"/>
  <c r="H49" i="3"/>
  <c r="F49" i="3"/>
  <c r="G49" i="3" s="1"/>
  <c r="C49" i="3"/>
  <c r="D49" i="3" s="1"/>
  <c r="A50" i="3"/>
  <c r="A38" i="24" l="1"/>
  <c r="A37" i="47"/>
  <c r="A37" i="46"/>
  <c r="F334" i="3"/>
  <c r="G334" i="3" s="1"/>
  <c r="H334" i="3"/>
  <c r="H50" i="3"/>
  <c r="F50" i="3"/>
  <c r="G50" i="3" s="1"/>
  <c r="C50" i="3"/>
  <c r="D50" i="3" s="1"/>
  <c r="A51" i="3"/>
  <c r="A38" i="46" l="1"/>
  <c r="A39" i="24"/>
  <c r="A38" i="47"/>
  <c r="F335" i="3"/>
  <c r="G335" i="3" s="1"/>
  <c r="H335" i="3"/>
  <c r="H51" i="3"/>
  <c r="F51" i="3"/>
  <c r="G51" i="3" s="1"/>
  <c r="C51" i="3"/>
  <c r="D51" i="3" s="1"/>
  <c r="A52" i="3"/>
  <c r="A40" i="24" l="1"/>
  <c r="A39" i="46"/>
  <c r="A39" i="47"/>
  <c r="F336" i="3"/>
  <c r="G336" i="3" s="1"/>
  <c r="H336" i="3"/>
  <c r="H52" i="3"/>
  <c r="F52" i="3"/>
  <c r="G52" i="3" s="1"/>
  <c r="C52" i="3"/>
  <c r="D52" i="3" s="1"/>
  <c r="A53" i="3"/>
  <c r="A40" i="47" l="1"/>
  <c r="A40" i="46"/>
  <c r="A41" i="24"/>
  <c r="F337" i="3"/>
  <c r="G337" i="3" s="1"/>
  <c r="H337" i="3"/>
  <c r="H53" i="3"/>
  <c r="F53" i="3"/>
  <c r="G53" i="3" s="1"/>
  <c r="C53" i="3"/>
  <c r="D53" i="3" s="1"/>
  <c r="A54" i="3"/>
  <c r="A41" i="46" l="1"/>
  <c r="A42" i="24"/>
  <c r="A41" i="47"/>
  <c r="H338" i="3"/>
  <c r="F338" i="3"/>
  <c r="G338" i="3" s="1"/>
  <c r="H54" i="3"/>
  <c r="F54" i="3"/>
  <c r="G54" i="3" s="1"/>
  <c r="C54" i="3"/>
  <c r="D54" i="3" s="1"/>
  <c r="A55" i="3"/>
  <c r="A43" i="24" l="1"/>
  <c r="A42" i="47"/>
  <c r="A42" i="46"/>
  <c r="F339" i="3"/>
  <c r="G339" i="3" s="1"/>
  <c r="H339" i="3"/>
  <c r="H55" i="3"/>
  <c r="F55" i="3"/>
  <c r="G55" i="3" s="1"/>
  <c r="C55" i="3"/>
  <c r="D55" i="3" s="1"/>
  <c r="A56" i="3"/>
  <c r="A43" i="47" l="1"/>
  <c r="A43" i="46"/>
  <c r="A44" i="24"/>
  <c r="F340" i="3"/>
  <c r="G340" i="3" s="1"/>
  <c r="H340" i="3"/>
  <c r="H56" i="3"/>
  <c r="F56" i="3"/>
  <c r="G56" i="3" s="1"/>
  <c r="C56" i="3"/>
  <c r="D56" i="3" s="1"/>
  <c r="A57" i="3"/>
  <c r="A46" i="24" l="1"/>
  <c r="A44" i="47"/>
  <c r="A44" i="46"/>
  <c r="F341" i="3"/>
  <c r="G341" i="3" s="1"/>
  <c r="H341" i="3"/>
  <c r="H57" i="3"/>
  <c r="F57" i="3"/>
  <c r="G57" i="3" s="1"/>
  <c r="C57" i="3"/>
  <c r="D57" i="3" s="1"/>
  <c r="B57" i="3"/>
  <c r="A58" i="3" s="1"/>
  <c r="A46" i="47" l="1"/>
  <c r="A58" i="24"/>
  <c r="A47" i="24"/>
  <c r="A46" i="46"/>
  <c r="G342" i="3"/>
  <c r="F342" i="3"/>
  <c r="H342" i="3"/>
  <c r="H58" i="3"/>
  <c r="F58" i="3"/>
  <c r="G58" i="3" s="1"/>
  <c r="A59" i="3"/>
  <c r="C58" i="3"/>
  <c r="D58" i="3" s="1"/>
  <c r="A47" i="46" l="1"/>
  <c r="A47" i="47"/>
  <c r="A48" i="24"/>
  <c r="A58" i="46"/>
  <c r="A58" i="47"/>
  <c r="F343" i="3"/>
  <c r="G343" i="3" s="1"/>
  <c r="H343" i="3"/>
  <c r="H59" i="3"/>
  <c r="F59" i="3"/>
  <c r="G59" i="3" s="1"/>
  <c r="A60" i="3"/>
  <c r="C59" i="3"/>
  <c r="D59" i="3" s="1"/>
  <c r="A49" i="24" l="1"/>
  <c r="A48" i="46"/>
  <c r="A48" i="47"/>
  <c r="F344" i="3"/>
  <c r="G344" i="3" s="1"/>
  <c r="H344" i="3"/>
  <c r="H60" i="3"/>
  <c r="F60" i="3"/>
  <c r="G60" i="3" s="1"/>
  <c r="A61" i="3"/>
  <c r="C60" i="3"/>
  <c r="D60" i="3" s="1"/>
  <c r="A50" i="24" l="1"/>
  <c r="A49" i="46"/>
  <c r="A49" i="47"/>
  <c r="F345" i="3"/>
  <c r="G345" i="3" s="1"/>
  <c r="H345" i="3"/>
  <c r="H61" i="3"/>
  <c r="F61" i="3"/>
  <c r="G61" i="3" s="1"/>
  <c r="C61" i="3"/>
  <c r="D61" i="3" s="1"/>
  <c r="A62" i="3"/>
  <c r="A51" i="24" l="1"/>
  <c r="A50" i="47"/>
  <c r="A50" i="46"/>
  <c r="F346" i="3"/>
  <c r="G346" i="3" s="1"/>
  <c r="H346" i="3"/>
  <c r="H62" i="3"/>
  <c r="F62" i="3"/>
  <c r="G62" i="3" s="1"/>
  <c r="C62" i="3"/>
  <c r="D62" i="3" s="1"/>
  <c r="A63" i="3"/>
  <c r="A52" i="24" l="1"/>
  <c r="A51" i="46"/>
  <c r="A51" i="47"/>
  <c r="F347" i="3"/>
  <c r="G347" i="3" s="1"/>
  <c r="H347" i="3"/>
  <c r="H63" i="3"/>
  <c r="F63" i="3"/>
  <c r="G63" i="3" s="1"/>
  <c r="C63" i="3"/>
  <c r="D63" i="3" s="1"/>
  <c r="A64" i="3"/>
  <c r="A53" i="24" l="1"/>
  <c r="A52" i="46"/>
  <c r="A52" i="47"/>
  <c r="F348" i="3"/>
  <c r="G348" i="3" s="1"/>
  <c r="H348" i="3"/>
  <c r="H64" i="3"/>
  <c r="F64" i="3"/>
  <c r="G64" i="3" s="1"/>
  <c r="C64" i="3"/>
  <c r="D64" i="3" s="1"/>
  <c r="A65" i="3"/>
  <c r="A54" i="24" l="1"/>
  <c r="A53" i="46"/>
  <c r="A53" i="47"/>
  <c r="F349" i="3"/>
  <c r="G349" i="3" s="1"/>
  <c r="H349" i="3"/>
  <c r="H65" i="3"/>
  <c r="F65" i="3"/>
  <c r="G65" i="3" s="1"/>
  <c r="C65" i="3"/>
  <c r="D65" i="3" s="1"/>
  <c r="A66" i="3"/>
  <c r="A55" i="24" l="1"/>
  <c r="A54" i="47"/>
  <c r="A54" i="46"/>
  <c r="H350" i="3"/>
  <c r="F350" i="3"/>
  <c r="G350" i="3" s="1"/>
  <c r="H66" i="3"/>
  <c r="F66" i="3"/>
  <c r="G66" i="3" s="1"/>
  <c r="C66" i="3"/>
  <c r="D66" i="3" s="1"/>
  <c r="A67" i="3"/>
  <c r="A55" i="46" l="1"/>
  <c r="A55" i="47"/>
  <c r="A56" i="24"/>
  <c r="F351" i="3"/>
  <c r="G351" i="3" s="1"/>
  <c r="H351" i="3"/>
  <c r="H67" i="3"/>
  <c r="F67" i="3"/>
  <c r="G67" i="3" s="1"/>
  <c r="C67" i="3"/>
  <c r="D67" i="3" s="1"/>
  <c r="A68" i="3"/>
  <c r="A56" i="46" l="1"/>
  <c r="A56" i="47"/>
  <c r="A57" i="24"/>
  <c r="H352" i="3"/>
  <c r="F352" i="3"/>
  <c r="G352" i="3" s="1"/>
  <c r="H68" i="3"/>
  <c r="F68" i="3"/>
  <c r="G68" i="3" s="1"/>
  <c r="C68" i="3"/>
  <c r="D68" i="3" s="1"/>
  <c r="A69" i="3"/>
  <c r="A84" i="24" l="1"/>
  <c r="A57" i="46"/>
  <c r="A57" i="47"/>
  <c r="F353" i="3"/>
  <c r="G353" i="3" s="1"/>
  <c r="H353" i="3"/>
  <c r="H69" i="3"/>
  <c r="F69" i="3"/>
  <c r="G69" i="3" s="1"/>
  <c r="C69" i="3"/>
  <c r="D69" i="3" s="1"/>
  <c r="B69" i="3"/>
  <c r="A70" i="3" s="1"/>
  <c r="A84" i="47" l="1"/>
  <c r="A84" i="46"/>
  <c r="A96" i="24"/>
  <c r="A85" i="24"/>
  <c r="F354" i="3"/>
  <c r="G354" i="3" s="1"/>
  <c r="H354" i="3"/>
  <c r="H70" i="3"/>
  <c r="F70" i="3"/>
  <c r="G70" i="3" s="1"/>
  <c r="C70" i="3"/>
  <c r="D70" i="3" s="1"/>
  <c r="A71" i="3"/>
  <c r="A85" i="47" l="1"/>
  <c r="A86" i="24"/>
  <c r="A85" i="46"/>
  <c r="A96" i="46"/>
  <c r="A96" i="47"/>
  <c r="F355" i="3"/>
  <c r="G355" i="3" s="1"/>
  <c r="H355" i="3"/>
  <c r="H71" i="3"/>
  <c r="F71" i="3"/>
  <c r="G71" i="3" s="1"/>
  <c r="A72" i="3"/>
  <c r="C71" i="3"/>
  <c r="D71" i="3" s="1"/>
  <c r="A86" i="46" l="1"/>
  <c r="A87" i="24"/>
  <c r="A86" i="47"/>
  <c r="F356" i="3"/>
  <c r="H356" i="3"/>
  <c r="H72" i="3"/>
  <c r="F72" i="3"/>
  <c r="G72" i="3" s="1"/>
  <c r="C72" i="3"/>
  <c r="D72" i="3" s="1"/>
  <c r="A73" i="3"/>
  <c r="A87" i="46" l="1"/>
  <c r="A87" i="47"/>
  <c r="A88" i="24"/>
  <c r="F357" i="3"/>
  <c r="F358" i="3" s="1"/>
  <c r="H359" i="3" s="1"/>
  <c r="G356" i="3"/>
  <c r="H73" i="3"/>
  <c r="F73" i="3"/>
  <c r="G73" i="3" s="1"/>
  <c r="C73" i="3"/>
  <c r="D73" i="3" s="1"/>
  <c r="A74" i="3"/>
  <c r="A88" i="46" l="1"/>
  <c r="A89" i="24"/>
  <c r="A88" i="47"/>
  <c r="F359" i="3"/>
  <c r="H74" i="3"/>
  <c r="F74" i="3"/>
  <c r="G74" i="3" s="1"/>
  <c r="C74" i="3"/>
  <c r="D74" i="3" s="1"/>
  <c r="A75" i="3"/>
  <c r="A89" i="46" l="1"/>
  <c r="A90" i="24"/>
  <c r="A89" i="47"/>
  <c r="G359" i="3"/>
  <c r="H360" i="3"/>
  <c r="F360" i="3"/>
  <c r="H75" i="3"/>
  <c r="F75" i="3"/>
  <c r="G75" i="3" s="1"/>
  <c r="C75" i="3"/>
  <c r="D75" i="3" s="1"/>
  <c r="A76" i="3"/>
  <c r="A90" i="46" l="1"/>
  <c r="A90" i="47"/>
  <c r="A91" i="24"/>
  <c r="G360" i="3"/>
  <c r="F361" i="3"/>
  <c r="H361" i="3"/>
  <c r="H76" i="3"/>
  <c r="F76" i="3"/>
  <c r="G76" i="3" s="1"/>
  <c r="C76" i="3"/>
  <c r="D76" i="3" s="1"/>
  <c r="A77" i="3"/>
  <c r="A91" i="46" l="1"/>
  <c r="A92" i="24"/>
  <c r="A91" i="47"/>
  <c r="G361" i="3"/>
  <c r="H362" i="3"/>
  <c r="F362" i="3"/>
  <c r="H77" i="3"/>
  <c r="F77" i="3"/>
  <c r="G77" i="3" s="1"/>
  <c r="A78" i="3"/>
  <c r="C77" i="3"/>
  <c r="D77" i="3" s="1"/>
  <c r="A92" i="46" l="1"/>
  <c r="A93" i="24"/>
  <c r="A92" i="47"/>
  <c r="G362" i="3"/>
  <c r="F363" i="3"/>
  <c r="H363" i="3"/>
  <c r="H78" i="3"/>
  <c r="F78" i="3"/>
  <c r="G78" i="3" s="1"/>
  <c r="A79" i="3"/>
  <c r="C78" i="3"/>
  <c r="D78" i="3" s="1"/>
  <c r="A93" i="47" l="1"/>
  <c r="A93" i="46"/>
  <c r="A94" i="24"/>
  <c r="G363" i="3"/>
  <c r="F364" i="3"/>
  <c r="H364" i="3"/>
  <c r="H79" i="3"/>
  <c r="F79" i="3"/>
  <c r="G79" i="3" s="1"/>
  <c r="C79" i="3"/>
  <c r="D79" i="3" s="1"/>
  <c r="A80" i="3"/>
  <c r="A95" i="24" l="1"/>
  <c r="A94" i="47"/>
  <c r="A94" i="46"/>
  <c r="G364" i="3"/>
  <c r="F365" i="3"/>
  <c r="H365" i="3"/>
  <c r="H80" i="3"/>
  <c r="F80" i="3"/>
  <c r="G80" i="3" s="1"/>
  <c r="C80" i="3"/>
  <c r="D80" i="3" s="1"/>
  <c r="A81" i="3"/>
  <c r="A95" i="46" l="1"/>
  <c r="A97" i="24"/>
  <c r="A95" i="47"/>
  <c r="G365" i="3"/>
  <c r="G366" i="3" s="1"/>
  <c r="G367" i="3" s="1"/>
  <c r="G368" i="3" s="1"/>
  <c r="G369" i="3" s="1"/>
  <c r="G370" i="3" s="1"/>
  <c r="G371" i="3" s="1"/>
  <c r="G372" i="3" s="1"/>
  <c r="G373" i="3" s="1"/>
  <c r="G374" i="3" s="1"/>
  <c r="G375" i="3" s="1"/>
  <c r="G376" i="3" s="1"/>
  <c r="G377" i="3" s="1"/>
  <c r="G378" i="3" s="1"/>
  <c r="G379" i="3" s="1"/>
  <c r="G380" i="3" s="1"/>
  <c r="G381" i="3" s="1"/>
  <c r="G382" i="3" s="1"/>
  <c r="G383" i="3" s="1"/>
  <c r="G384" i="3" s="1"/>
  <c r="G385" i="3" s="1"/>
  <c r="G386" i="3" s="1"/>
  <c r="G387" i="3" s="1"/>
  <c r="G388" i="3" s="1"/>
  <c r="G389" i="3" s="1"/>
  <c r="G390" i="3" s="1"/>
  <c r="G391" i="3" s="1"/>
  <c r="G392" i="3" s="1"/>
  <c r="G393" i="3" s="1"/>
  <c r="G394" i="3" s="1"/>
  <c r="G395" i="3" s="1"/>
  <c r="G396" i="3" s="1"/>
  <c r="G397" i="3" s="1"/>
  <c r="G398" i="3" s="1"/>
  <c r="G399" i="3" s="1"/>
  <c r="G400" i="3" s="1"/>
  <c r="G401" i="3" s="1"/>
  <c r="G402" i="3" s="1"/>
  <c r="G403" i="3" s="1"/>
  <c r="G404" i="3" s="1"/>
  <c r="G405" i="3" s="1"/>
  <c r="G406" i="3" s="1"/>
  <c r="G407" i="3" s="1"/>
  <c r="G408" i="3" s="1"/>
  <c r="G409" i="3" s="1"/>
  <c r="G410" i="3" s="1"/>
  <c r="G411" i="3" s="1"/>
  <c r="G412" i="3" s="1"/>
  <c r="G413" i="3" s="1"/>
  <c r="G414" i="3" s="1"/>
  <c r="G415" i="3" s="1"/>
  <c r="G416" i="3" s="1"/>
  <c r="G417" i="3" s="1"/>
  <c r="G418" i="3" s="1"/>
  <c r="G419" i="3" s="1"/>
  <c r="G420" i="3" s="1"/>
  <c r="G421" i="3" s="1"/>
  <c r="G422" i="3" s="1"/>
  <c r="G423" i="3" s="1"/>
  <c r="G424" i="3" s="1"/>
  <c r="G425" i="3" s="1"/>
  <c r="G426" i="3" s="1"/>
  <c r="G427" i="3" s="1"/>
  <c r="G428" i="3" s="1"/>
  <c r="G429" i="3" s="1"/>
  <c r="G430" i="3" s="1"/>
  <c r="G431" i="3" s="1"/>
  <c r="G432" i="3" s="1"/>
  <c r="G433" i="3" s="1"/>
  <c r="G434" i="3" s="1"/>
  <c r="G435" i="3" s="1"/>
  <c r="G436" i="3" s="1"/>
  <c r="G437" i="3" s="1"/>
  <c r="G438" i="3" s="1"/>
  <c r="G439" i="3" s="1"/>
  <c r="G440" i="3" s="1"/>
  <c r="G441" i="3" s="1"/>
  <c r="G442" i="3" s="1"/>
  <c r="G443" i="3" s="1"/>
  <c r="G444" i="3" s="1"/>
  <c r="G445" i="3" s="1"/>
  <c r="G446" i="3" s="1"/>
  <c r="G447" i="3" s="1"/>
  <c r="G448" i="3" s="1"/>
  <c r="G449" i="3" s="1"/>
  <c r="G450" i="3" s="1"/>
  <c r="G451" i="3" s="1"/>
  <c r="G452" i="3" s="1"/>
  <c r="G453" i="3" s="1"/>
  <c r="G454" i="3" s="1"/>
  <c r="G455" i="3" s="1"/>
  <c r="G456" i="3" s="1"/>
  <c r="G457" i="3" s="1"/>
  <c r="G458" i="3" s="1"/>
  <c r="G459" i="3" s="1"/>
  <c r="G460" i="3" s="1"/>
  <c r="G461" i="3" s="1"/>
  <c r="G462" i="3" s="1"/>
  <c r="G463" i="3" s="1"/>
  <c r="G464" i="3" s="1"/>
  <c r="G465" i="3" s="1"/>
  <c r="G466" i="3" s="1"/>
  <c r="G467" i="3" s="1"/>
  <c r="G468" i="3" s="1"/>
  <c r="G469" i="3" s="1"/>
  <c r="G470" i="3" s="1"/>
  <c r="G471" i="3" s="1"/>
  <c r="G472" i="3" s="1"/>
  <c r="G473" i="3" s="1"/>
  <c r="G474" i="3" s="1"/>
  <c r="G475" i="3" s="1"/>
  <c r="G476" i="3" s="1"/>
  <c r="G477" i="3" s="1"/>
  <c r="G478" i="3" s="1"/>
  <c r="G479" i="3" s="1"/>
  <c r="G480" i="3" s="1"/>
  <c r="G481" i="3" s="1"/>
  <c r="G482" i="3" s="1"/>
  <c r="G483" i="3" s="1"/>
  <c r="G484" i="3" s="1"/>
  <c r="G485" i="3" s="1"/>
  <c r="G486" i="3" s="1"/>
  <c r="G487" i="3" s="1"/>
  <c r="G488" i="3" s="1"/>
  <c r="G489" i="3" s="1"/>
  <c r="G490" i="3" s="1"/>
  <c r="G491" i="3" s="1"/>
  <c r="G492" i="3" s="1"/>
  <c r="G493" i="3" s="1"/>
  <c r="G494" i="3" s="1"/>
  <c r="G495" i="3" s="1"/>
  <c r="G496" i="3" s="1"/>
  <c r="G497" i="3" s="1"/>
  <c r="G498" i="3" s="1"/>
  <c r="G499" i="3" s="1"/>
  <c r="G500" i="3" s="1"/>
  <c r="G501" i="3" s="1"/>
  <c r="G502" i="3" s="1"/>
  <c r="G503" i="3" s="1"/>
  <c r="G504" i="3" s="1"/>
  <c r="G505" i="3" s="1"/>
  <c r="H366" i="3"/>
  <c r="F366" i="3"/>
  <c r="H81" i="3"/>
  <c r="F81" i="3"/>
  <c r="G81" i="3" s="1"/>
  <c r="B81" i="3"/>
  <c r="A82" i="3" s="1"/>
  <c r="C81" i="3"/>
  <c r="D81" i="3" s="1"/>
  <c r="A98" i="24" l="1"/>
  <c r="A97" i="46"/>
  <c r="A109" i="24"/>
  <c r="A97" i="47"/>
  <c r="H367" i="3"/>
  <c r="F367" i="3"/>
  <c r="H82" i="3"/>
  <c r="F82" i="3"/>
  <c r="G82" i="3" s="1"/>
  <c r="A83" i="3"/>
  <c r="C82" i="3"/>
  <c r="D82" i="3" s="1"/>
  <c r="A109" i="47" l="1"/>
  <c r="A109" i="46"/>
  <c r="A98" i="47"/>
  <c r="A99" i="24"/>
  <c r="A98" i="46"/>
  <c r="H368" i="3"/>
  <c r="F368" i="3"/>
  <c r="H83" i="3"/>
  <c r="F83" i="3"/>
  <c r="G83" i="3" s="1"/>
  <c r="C83" i="3"/>
  <c r="D83" i="3" s="1"/>
  <c r="A84" i="3"/>
  <c r="A99" i="47" l="1"/>
  <c r="A100" i="24"/>
  <c r="A99" i="46"/>
  <c r="F369" i="3"/>
  <c r="H369" i="3"/>
  <c r="H84" i="3"/>
  <c r="F84" i="3"/>
  <c r="G84" i="3" s="1"/>
  <c r="C84" i="3"/>
  <c r="D84" i="3" s="1"/>
  <c r="A85" i="3"/>
  <c r="A100" i="47" l="1"/>
  <c r="A101" i="24"/>
  <c r="A100" i="46"/>
  <c r="F370" i="3"/>
  <c r="H370" i="3"/>
  <c r="H85" i="3"/>
  <c r="F85" i="3"/>
  <c r="G85" i="3" s="1"/>
  <c r="C85" i="3"/>
  <c r="D85" i="3" s="1"/>
  <c r="A86" i="3"/>
  <c r="A101" i="47" l="1"/>
  <c r="A101" i="46"/>
  <c r="A102" i="24"/>
  <c r="F371" i="3"/>
  <c r="H371" i="3"/>
  <c r="H86" i="3"/>
  <c r="F86" i="3"/>
  <c r="G86" i="3" s="1"/>
  <c r="C86" i="3"/>
  <c r="D86" i="3" s="1"/>
  <c r="A87" i="3"/>
  <c r="A102" i="47" l="1"/>
  <c r="A103" i="24"/>
  <c r="A102" i="46"/>
  <c r="H372" i="3"/>
  <c r="F372" i="3"/>
  <c r="H87" i="3"/>
  <c r="F87" i="3"/>
  <c r="G87" i="3" s="1"/>
  <c r="C87" i="3"/>
  <c r="D87" i="3" s="1"/>
  <c r="A88" i="3"/>
  <c r="A104" i="24" l="1"/>
  <c r="A103" i="46"/>
  <c r="A103" i="47"/>
  <c r="H373" i="3"/>
  <c r="F373" i="3"/>
  <c r="H88" i="3"/>
  <c r="F88" i="3"/>
  <c r="G88" i="3" s="1"/>
  <c r="C88" i="3"/>
  <c r="D88" i="3" s="1"/>
  <c r="A89" i="3"/>
  <c r="A105" i="24" l="1"/>
  <c r="A104" i="46"/>
  <c r="A104" i="47"/>
  <c r="H374" i="3"/>
  <c r="F374" i="3"/>
  <c r="H89" i="3"/>
  <c r="F89" i="3"/>
  <c r="G89" i="3" s="1"/>
  <c r="C89" i="3"/>
  <c r="D89" i="3" s="1"/>
  <c r="A90" i="3"/>
  <c r="A105" i="47" l="1"/>
  <c r="A105" i="46"/>
  <c r="A106" i="24"/>
  <c r="H375" i="3"/>
  <c r="F375" i="3"/>
  <c r="H90" i="3"/>
  <c r="F90" i="3"/>
  <c r="G90" i="3" s="1"/>
  <c r="C90" i="3"/>
  <c r="D90" i="3" s="1"/>
  <c r="A91" i="3"/>
  <c r="A106" i="47" l="1"/>
  <c r="A107" i="24"/>
  <c r="A106" i="46"/>
  <c r="H376" i="3"/>
  <c r="F376" i="3"/>
  <c r="H91" i="3"/>
  <c r="F91" i="3"/>
  <c r="G91" i="3" s="1"/>
  <c r="C91" i="3"/>
  <c r="D91" i="3" s="1"/>
  <c r="A92" i="3"/>
  <c r="A108" i="24" l="1"/>
  <c r="A107" i="47"/>
  <c r="A107" i="46"/>
  <c r="F377" i="3"/>
  <c r="H377" i="3"/>
  <c r="H92" i="3"/>
  <c r="F92" i="3"/>
  <c r="G92" i="3" s="1"/>
  <c r="C92" i="3"/>
  <c r="D92" i="3" s="1"/>
  <c r="A93" i="3"/>
  <c r="A108" i="46" l="1"/>
  <c r="A108" i="47"/>
  <c r="A110" i="24"/>
  <c r="F378" i="3"/>
  <c r="H378" i="3"/>
  <c r="H93" i="3"/>
  <c r="F93" i="3"/>
  <c r="G93" i="3" s="1"/>
  <c r="C93" i="3"/>
  <c r="D93" i="3" s="1"/>
  <c r="B93" i="3"/>
  <c r="A94" i="3" s="1"/>
  <c r="A110" i="47" l="1"/>
  <c r="A110" i="46"/>
  <c r="A122" i="24"/>
  <c r="A111" i="24"/>
  <c r="H379" i="3"/>
  <c r="F379" i="3"/>
  <c r="H94" i="3"/>
  <c r="F94" i="3"/>
  <c r="G94" i="3" s="1"/>
  <c r="C94" i="3"/>
  <c r="D94" i="3" s="1"/>
  <c r="A95" i="3"/>
  <c r="A122" i="47" l="1"/>
  <c r="A122" i="46"/>
  <c r="A111" i="47"/>
  <c r="A111" i="46"/>
  <c r="A112" i="24"/>
  <c r="F380" i="3"/>
  <c r="H380" i="3"/>
  <c r="H95" i="3"/>
  <c r="F95" i="3"/>
  <c r="G95" i="3" s="1"/>
  <c r="A96" i="3"/>
  <c r="C95" i="3"/>
  <c r="D95" i="3" s="1"/>
  <c r="A112" i="46" l="1"/>
  <c r="A112" i="47"/>
  <c r="A113" i="24"/>
  <c r="H381" i="3"/>
  <c r="F381" i="3"/>
  <c r="H96" i="3"/>
  <c r="F96" i="3"/>
  <c r="G96" i="3" s="1"/>
  <c r="C96" i="3"/>
  <c r="D96" i="3" s="1"/>
  <c r="A97" i="3"/>
  <c r="A113" i="46" l="1"/>
  <c r="A113" i="47"/>
  <c r="A114" i="24"/>
  <c r="H382" i="3"/>
  <c r="F382" i="3"/>
  <c r="H97" i="3"/>
  <c r="F97" i="3"/>
  <c r="G97" i="3" s="1"/>
  <c r="C97" i="3"/>
  <c r="D97" i="3" s="1"/>
  <c r="A98" i="3"/>
  <c r="A114" i="46" l="1"/>
  <c r="A114" i="47"/>
  <c r="A115" i="24"/>
  <c r="F383" i="3"/>
  <c r="H383" i="3"/>
  <c r="H98" i="3"/>
  <c r="F98" i="3"/>
  <c r="G98" i="3" s="1"/>
  <c r="A99" i="3"/>
  <c r="C98" i="3"/>
  <c r="D98" i="3" s="1"/>
  <c r="A115" i="46" l="1"/>
  <c r="A115" i="47"/>
  <c r="A116" i="24"/>
  <c r="H384" i="3"/>
  <c r="F384" i="3"/>
  <c r="H99" i="3"/>
  <c r="F99" i="3"/>
  <c r="G99" i="3" s="1"/>
  <c r="A100" i="3"/>
  <c r="C99" i="3"/>
  <c r="D99" i="3" s="1"/>
  <c r="A116" i="46" l="1"/>
  <c r="A117" i="24"/>
  <c r="A116" i="47"/>
  <c r="H385" i="3"/>
  <c r="F385" i="3"/>
  <c r="H100" i="3"/>
  <c r="F100" i="3"/>
  <c r="G100" i="3" s="1"/>
  <c r="C100" i="3"/>
  <c r="D100" i="3" s="1"/>
  <c r="A101" i="3"/>
  <c r="A117" i="46" l="1"/>
  <c r="A118" i="24"/>
  <c r="A117" i="47"/>
  <c r="F386" i="3"/>
  <c r="H386" i="3"/>
  <c r="H101" i="3"/>
  <c r="F101" i="3"/>
  <c r="G101" i="3" s="1"/>
  <c r="C101" i="3"/>
  <c r="D101" i="3" s="1"/>
  <c r="A102" i="3"/>
  <c r="A118" i="46" l="1"/>
  <c r="A119" i="24"/>
  <c r="A118" i="47"/>
  <c r="H387" i="3"/>
  <c r="F387" i="3"/>
  <c r="H102" i="3"/>
  <c r="F102" i="3"/>
  <c r="G102" i="3" s="1"/>
  <c r="A103" i="3"/>
  <c r="C102" i="3"/>
  <c r="D102" i="3" s="1"/>
  <c r="A120" i="24" l="1"/>
  <c r="A119" i="46"/>
  <c r="A119" i="47"/>
  <c r="H388" i="3"/>
  <c r="F388" i="3"/>
  <c r="H103" i="3"/>
  <c r="F103" i="3"/>
  <c r="G103" i="3" s="1"/>
  <c r="C103" i="3"/>
  <c r="D103" i="3" s="1"/>
  <c r="A104" i="3"/>
  <c r="A121" i="24" l="1"/>
  <c r="A120" i="47"/>
  <c r="A120" i="46"/>
  <c r="H389" i="3"/>
  <c r="F389" i="3"/>
  <c r="H104" i="3"/>
  <c r="F104" i="3"/>
  <c r="G104" i="3" s="1"/>
  <c r="C104" i="3"/>
  <c r="D104" i="3" s="1"/>
  <c r="A105" i="3"/>
  <c r="A121" i="46" l="1"/>
  <c r="A121" i="47"/>
  <c r="H390" i="3"/>
  <c r="F390" i="3"/>
  <c r="H105" i="3"/>
  <c r="F105" i="3"/>
  <c r="G105" i="3" s="1"/>
  <c r="C105" i="3"/>
  <c r="D105" i="3" s="1"/>
  <c r="B105" i="3"/>
  <c r="A106" i="3" s="1"/>
  <c r="F391" i="3" l="1"/>
  <c r="H391" i="3"/>
  <c r="H106" i="3"/>
  <c r="F106" i="3"/>
  <c r="G106" i="3" s="1"/>
  <c r="C106" i="3"/>
  <c r="D106" i="3" s="1"/>
  <c r="A107" i="3"/>
  <c r="F392" i="3" l="1"/>
  <c r="H392" i="3"/>
  <c r="H107" i="3"/>
  <c r="F107" i="3"/>
  <c r="G107" i="3" s="1"/>
  <c r="A108" i="3"/>
  <c r="C107" i="3"/>
  <c r="D107" i="3" s="1"/>
  <c r="H393" i="3" l="1"/>
  <c r="F393" i="3"/>
  <c r="H108" i="3"/>
  <c r="F108" i="3"/>
  <c r="G108" i="3" s="1"/>
  <c r="A109" i="3"/>
  <c r="C108" i="3"/>
  <c r="D108" i="3" s="1"/>
  <c r="H394" i="3" l="1"/>
  <c r="F394" i="3"/>
  <c r="H109" i="3"/>
  <c r="F109" i="3"/>
  <c r="G109" i="3" s="1"/>
  <c r="C109" i="3"/>
  <c r="D109" i="3" s="1"/>
  <c r="A110" i="3"/>
  <c r="H395" i="3" l="1"/>
  <c r="F395" i="3"/>
  <c r="H110" i="3"/>
  <c r="F110" i="3"/>
  <c r="G110" i="3" s="1"/>
  <c r="C110" i="3"/>
  <c r="D110" i="3" s="1"/>
  <c r="A111" i="3"/>
  <c r="H396" i="3" l="1"/>
  <c r="F396" i="3"/>
  <c r="H111" i="3"/>
  <c r="F111" i="3"/>
  <c r="G111" i="3" s="1"/>
  <c r="C111" i="3"/>
  <c r="D111" i="3" s="1"/>
  <c r="A112" i="3"/>
  <c r="H397" i="3" l="1"/>
  <c r="F397" i="3"/>
  <c r="H112" i="3"/>
  <c r="F112" i="3"/>
  <c r="G112" i="3" s="1"/>
  <c r="C112" i="3"/>
  <c r="D112" i="3" s="1"/>
  <c r="A113" i="3"/>
  <c r="F398" i="3" l="1"/>
  <c r="H398" i="3"/>
  <c r="H113" i="3"/>
  <c r="F113" i="3"/>
  <c r="G113" i="3" s="1"/>
  <c r="C113" i="3"/>
  <c r="D113" i="3" s="1"/>
  <c r="A114" i="3"/>
  <c r="H399" i="3" l="1"/>
  <c r="F399" i="3"/>
  <c r="H114" i="3"/>
  <c r="F114" i="3"/>
  <c r="G114" i="3" s="1"/>
  <c r="C114" i="3"/>
  <c r="D114" i="3" s="1"/>
  <c r="A115" i="3"/>
  <c r="H400" i="3" l="1"/>
  <c r="F400" i="3"/>
  <c r="H115" i="3"/>
  <c r="F115" i="3"/>
  <c r="G115" i="3" s="1"/>
  <c r="C115" i="3"/>
  <c r="D115" i="3" s="1"/>
  <c r="A116" i="3"/>
  <c r="H401" i="3" l="1"/>
  <c r="F401" i="3"/>
  <c r="H116" i="3"/>
  <c r="F116" i="3"/>
  <c r="G116" i="3" s="1"/>
  <c r="C116" i="3"/>
  <c r="D116" i="3" s="1"/>
  <c r="A117" i="3"/>
  <c r="H402" i="3" l="1"/>
  <c r="F402" i="3"/>
  <c r="H117" i="3"/>
  <c r="F117" i="3"/>
  <c r="G117" i="3" s="1"/>
  <c r="C117" i="3"/>
  <c r="D117" i="3" s="1"/>
  <c r="B117" i="3"/>
  <c r="A118" i="3" s="1"/>
  <c r="H403" i="3" l="1"/>
  <c r="F403" i="3"/>
  <c r="H118" i="3"/>
  <c r="F118" i="3"/>
  <c r="G118" i="3" s="1"/>
  <c r="C118" i="3"/>
  <c r="D118" i="3" s="1"/>
  <c r="A119" i="3"/>
  <c r="H404" i="3" l="1"/>
  <c r="F404" i="3"/>
  <c r="H119" i="3"/>
  <c r="F119" i="3"/>
  <c r="G119" i="3" s="1"/>
  <c r="A120" i="3"/>
  <c r="C119" i="3"/>
  <c r="D119" i="3" s="1"/>
  <c r="H405" i="3" l="1"/>
  <c r="F405" i="3"/>
  <c r="H120" i="3"/>
  <c r="F120" i="3"/>
  <c r="G120" i="3" s="1"/>
  <c r="C120" i="3"/>
  <c r="D120" i="3" s="1"/>
  <c r="A121" i="3"/>
  <c r="H406" i="3" l="1"/>
  <c r="F406" i="3"/>
  <c r="H121" i="3"/>
  <c r="F121" i="3"/>
  <c r="G121" i="3" s="1"/>
  <c r="C121" i="3"/>
  <c r="D121" i="3" s="1"/>
  <c r="A122" i="3"/>
  <c r="E121" i="3" l="1"/>
  <c r="F407" i="3"/>
  <c r="H407" i="3"/>
  <c r="H122" i="3"/>
  <c r="F122" i="3"/>
  <c r="G122" i="3" s="1"/>
  <c r="C122" i="3"/>
  <c r="D122" i="3" s="1"/>
  <c r="A123" i="3"/>
  <c r="E122" i="3" l="1"/>
  <c r="F408" i="3"/>
  <c r="H408" i="3"/>
  <c r="H123" i="3"/>
  <c r="F123" i="3"/>
  <c r="G123" i="3" s="1"/>
  <c r="C123" i="3"/>
  <c r="D123" i="3" s="1"/>
  <c r="A124" i="3"/>
  <c r="E123" i="3" l="1"/>
  <c r="H409" i="3"/>
  <c r="F409" i="3"/>
  <c r="H124" i="3"/>
  <c r="F124" i="3"/>
  <c r="G124" i="3" s="1"/>
  <c r="C124" i="3"/>
  <c r="D124" i="3" s="1"/>
  <c r="A125" i="3"/>
  <c r="E124" i="3" l="1"/>
  <c r="H410" i="3"/>
  <c r="F410" i="3"/>
  <c r="H125" i="3"/>
  <c r="F125" i="3"/>
  <c r="G125" i="3" s="1"/>
  <c r="C125" i="3"/>
  <c r="D125" i="3" s="1"/>
  <c r="A126" i="3"/>
  <c r="E125" i="3" l="1"/>
  <c r="H411" i="3"/>
  <c r="F411" i="3"/>
  <c r="H126" i="3"/>
  <c r="F126" i="3"/>
  <c r="G126" i="3" s="1"/>
  <c r="C126" i="3"/>
  <c r="D126" i="3" s="1"/>
  <c r="E126" i="3" s="1"/>
  <c r="A127" i="3"/>
  <c r="H412" i="3" l="1"/>
  <c r="F412" i="3"/>
  <c r="H127" i="3"/>
  <c r="F127" i="3"/>
  <c r="G127" i="3" s="1"/>
  <c r="C127" i="3"/>
  <c r="D127" i="3" s="1"/>
  <c r="A128" i="3"/>
  <c r="E127" i="3" l="1"/>
  <c r="H413" i="3"/>
  <c r="F413" i="3"/>
  <c r="H128" i="3"/>
  <c r="F128" i="3"/>
  <c r="G128" i="3" s="1"/>
  <c r="C128" i="3"/>
  <c r="D128" i="3" s="1"/>
  <c r="E128" i="3" s="1"/>
  <c r="A129" i="3"/>
  <c r="F414" i="3" l="1"/>
  <c r="H414" i="3"/>
  <c r="H129" i="3"/>
  <c r="F129" i="3"/>
  <c r="G129" i="3" s="1"/>
  <c r="C129" i="3"/>
  <c r="D129" i="3" s="1"/>
  <c r="E129" i="3" s="1"/>
  <c r="B129" i="3"/>
  <c r="A130" i="3" s="1"/>
  <c r="F415" i="3" l="1"/>
  <c r="H415" i="3"/>
  <c r="H130" i="3"/>
  <c r="F130" i="3"/>
  <c r="G130" i="3" s="1"/>
  <c r="C130" i="3"/>
  <c r="D130" i="3" s="1"/>
  <c r="E130" i="3" s="1"/>
  <c r="A131" i="3"/>
  <c r="H416" i="3" l="1"/>
  <c r="F416" i="3"/>
  <c r="H131" i="3"/>
  <c r="F131" i="3"/>
  <c r="G131" i="3" s="1"/>
  <c r="C131" i="3"/>
  <c r="D131" i="3" s="1"/>
  <c r="E131" i="3" s="1"/>
  <c r="A132" i="3"/>
  <c r="H417" i="3" l="1"/>
  <c r="F417" i="3"/>
  <c r="H132" i="3"/>
  <c r="F132" i="3"/>
  <c r="G132" i="3" s="1"/>
  <c r="C132" i="3"/>
  <c r="D132" i="3" s="1"/>
  <c r="E132" i="3" s="1"/>
  <c r="A133" i="3"/>
  <c r="H418" i="3" l="1"/>
  <c r="F418" i="3"/>
  <c r="H133" i="3"/>
  <c r="F133" i="3"/>
  <c r="G133" i="3" s="1"/>
  <c r="C133" i="3"/>
  <c r="D133" i="3" s="1"/>
  <c r="E133" i="3" s="1"/>
  <c r="A134" i="3"/>
  <c r="H419" i="3" l="1"/>
  <c r="F419" i="3"/>
  <c r="H134" i="3"/>
  <c r="F134" i="3"/>
  <c r="G134" i="3" s="1"/>
  <c r="A135" i="3"/>
  <c r="C134" i="3"/>
  <c r="D134" i="3" s="1"/>
  <c r="E134" i="3" s="1"/>
  <c r="H420" i="3" l="1"/>
  <c r="F420" i="3"/>
  <c r="H135" i="3"/>
  <c r="F135" i="3"/>
  <c r="G135" i="3" s="1"/>
  <c r="A136" i="3"/>
  <c r="C135" i="3"/>
  <c r="D135" i="3" s="1"/>
  <c r="E135" i="3" s="1"/>
  <c r="H421" i="3" l="1"/>
  <c r="F421" i="3"/>
  <c r="H136" i="3"/>
  <c r="F136" i="3"/>
  <c r="G136" i="3" s="1"/>
  <c r="C136" i="3"/>
  <c r="D136" i="3" s="1"/>
  <c r="E136" i="3" s="1"/>
  <c r="A137" i="3"/>
  <c r="H422" i="3" l="1"/>
  <c r="F422" i="3"/>
  <c r="H137" i="3"/>
  <c r="F137" i="3"/>
  <c r="G137" i="3" s="1"/>
  <c r="C137" i="3"/>
  <c r="D137" i="3" s="1"/>
  <c r="E137" i="3" s="1"/>
  <c r="A138" i="3"/>
  <c r="H423" i="3" l="1"/>
  <c r="F423" i="3"/>
  <c r="H138" i="3"/>
  <c r="F138" i="3"/>
  <c r="G138" i="3" s="1"/>
  <c r="C138" i="3"/>
  <c r="D138" i="3" s="1"/>
  <c r="E138" i="3" s="1"/>
  <c r="A139" i="3"/>
  <c r="H424" i="3" l="1"/>
  <c r="F424" i="3"/>
  <c r="H139" i="3"/>
  <c r="F139" i="3"/>
  <c r="G139" i="3" s="1"/>
  <c r="C139" i="3"/>
  <c r="D139" i="3" s="1"/>
  <c r="E139" i="3" s="1"/>
  <c r="A140" i="3"/>
  <c r="H425" i="3" l="1"/>
  <c r="F425" i="3"/>
  <c r="H140" i="3"/>
  <c r="F140" i="3"/>
  <c r="G140" i="3" s="1"/>
  <c r="C140" i="3"/>
  <c r="D140" i="3" s="1"/>
  <c r="E140" i="3" s="1"/>
  <c r="A141" i="3"/>
  <c r="H426" i="3" l="1"/>
  <c r="F426" i="3"/>
  <c r="H141" i="3"/>
  <c r="F141" i="3"/>
  <c r="G141" i="3" s="1"/>
  <c r="C141" i="3"/>
  <c r="D141" i="3" s="1"/>
  <c r="E141" i="3" s="1"/>
  <c r="B141" i="3"/>
  <c r="A142" i="3" s="1"/>
  <c r="H427" i="3" l="1"/>
  <c r="F427" i="3"/>
  <c r="H142" i="3"/>
  <c r="F142" i="3"/>
  <c r="G142" i="3" s="1"/>
  <c r="C142" i="3"/>
  <c r="D142" i="3" s="1"/>
  <c r="E142" i="3" s="1"/>
  <c r="A143" i="3"/>
  <c r="H428" i="3" l="1"/>
  <c r="F428" i="3"/>
  <c r="H143" i="3"/>
  <c r="F143" i="3"/>
  <c r="G143" i="3" s="1"/>
  <c r="A144" i="3"/>
  <c r="C143" i="3"/>
  <c r="D143" i="3" s="1"/>
  <c r="E143" i="3" s="1"/>
  <c r="H429" i="3" l="1"/>
  <c r="F429" i="3"/>
  <c r="H144" i="3"/>
  <c r="F144" i="3"/>
  <c r="G144" i="3" s="1"/>
  <c r="C144" i="3"/>
  <c r="D144" i="3" s="1"/>
  <c r="E144" i="3" s="1"/>
  <c r="A145" i="3"/>
  <c r="H430" i="3" l="1"/>
  <c r="F430" i="3"/>
  <c r="H145" i="3"/>
  <c r="F145" i="3"/>
  <c r="G145" i="3" s="1"/>
  <c r="C145" i="3"/>
  <c r="D145" i="3" s="1"/>
  <c r="E145" i="3" s="1"/>
  <c r="A146" i="3"/>
  <c r="H431" i="3" l="1"/>
  <c r="F431" i="3"/>
  <c r="H146" i="3"/>
  <c r="F146" i="3"/>
  <c r="G146" i="3" s="1"/>
  <c r="C146" i="3"/>
  <c r="D146" i="3" s="1"/>
  <c r="E146" i="3" s="1"/>
  <c r="A147" i="3"/>
  <c r="H432" i="3" l="1"/>
  <c r="F432" i="3"/>
  <c r="H147" i="3"/>
  <c r="F147" i="3"/>
  <c r="G147" i="3" s="1"/>
  <c r="C147" i="3"/>
  <c r="D147" i="3" s="1"/>
  <c r="E147" i="3" s="1"/>
  <c r="A148" i="3"/>
  <c r="H433" i="3" l="1"/>
  <c r="F433" i="3"/>
  <c r="H148" i="3"/>
  <c r="F148" i="3"/>
  <c r="G148" i="3" s="1"/>
  <c r="C148" i="3"/>
  <c r="D148" i="3" s="1"/>
  <c r="E148" i="3" s="1"/>
  <c r="A149" i="3"/>
  <c r="H434" i="3" l="1"/>
  <c r="F434" i="3"/>
  <c r="H149" i="3"/>
  <c r="F149" i="3"/>
  <c r="G149" i="3" s="1"/>
  <c r="A150" i="3"/>
  <c r="C149" i="3"/>
  <c r="D149" i="3" s="1"/>
  <c r="E149" i="3" s="1"/>
  <c r="H435" i="3" l="1"/>
  <c r="F435" i="3"/>
  <c r="H150" i="3"/>
  <c r="F150" i="3"/>
  <c r="G150" i="3" s="1"/>
  <c r="A151" i="3"/>
  <c r="C150" i="3"/>
  <c r="D150" i="3" s="1"/>
  <c r="E150" i="3" s="1"/>
  <c r="H436" i="3" l="1"/>
  <c r="F436" i="3"/>
  <c r="H151" i="3"/>
  <c r="F151" i="3"/>
  <c r="G151" i="3" s="1"/>
  <c r="C151" i="3"/>
  <c r="D151" i="3" s="1"/>
  <c r="E151" i="3" s="1"/>
  <c r="A152" i="3"/>
  <c r="H437" i="3" l="1"/>
  <c r="F437" i="3"/>
  <c r="H152" i="3"/>
  <c r="F152" i="3"/>
  <c r="G152" i="3" s="1"/>
  <c r="C152" i="3"/>
  <c r="D152" i="3" s="1"/>
  <c r="E152" i="3" s="1"/>
  <c r="A153" i="3"/>
  <c r="H438" i="3" l="1"/>
  <c r="F438" i="3"/>
  <c r="H153" i="3"/>
  <c r="F153" i="3"/>
  <c r="G153" i="3" s="1"/>
  <c r="B153" i="3"/>
  <c r="A154" i="3" s="1"/>
  <c r="C153" i="3"/>
  <c r="D153" i="3" s="1"/>
  <c r="E153" i="3" s="1"/>
  <c r="H439" i="3" l="1"/>
  <c r="F439" i="3"/>
  <c r="H154" i="3"/>
  <c r="F154" i="3"/>
  <c r="G154" i="3" s="1"/>
  <c r="A155" i="3"/>
  <c r="C154" i="3"/>
  <c r="D154" i="3" s="1"/>
  <c r="E154" i="3" s="1"/>
  <c r="H440" i="3" l="1"/>
  <c r="F440" i="3"/>
  <c r="H155" i="3"/>
  <c r="F155" i="3"/>
  <c r="G155" i="3" s="1"/>
  <c r="A156" i="3"/>
  <c r="C155" i="3"/>
  <c r="D155" i="3" s="1"/>
  <c r="E155" i="3" s="1"/>
  <c r="H441" i="3" l="1"/>
  <c r="F441" i="3"/>
  <c r="H156" i="3"/>
  <c r="F156" i="3"/>
  <c r="G156" i="3" s="1"/>
  <c r="C156" i="3"/>
  <c r="D156" i="3" s="1"/>
  <c r="E156" i="3" s="1"/>
  <c r="A157" i="3"/>
  <c r="H442" i="3" l="1"/>
  <c r="F442" i="3"/>
  <c r="H157" i="3"/>
  <c r="F157" i="3"/>
  <c r="G157" i="3" s="1"/>
  <c r="C157" i="3"/>
  <c r="D157" i="3" s="1"/>
  <c r="E157" i="3" s="1"/>
  <c r="A158" i="3"/>
  <c r="F443" i="3" l="1"/>
  <c r="H443" i="3"/>
  <c r="H158" i="3"/>
  <c r="F158" i="3"/>
  <c r="G158" i="3" s="1"/>
  <c r="A159" i="3"/>
  <c r="C158" i="3"/>
  <c r="D158" i="3" s="1"/>
  <c r="E158" i="3" s="1"/>
  <c r="H444" i="3" l="1"/>
  <c r="F444" i="3"/>
  <c r="H159" i="3"/>
  <c r="F159" i="3"/>
  <c r="G159" i="3" s="1"/>
  <c r="A160" i="3"/>
  <c r="C159" i="3"/>
  <c r="D159" i="3" s="1"/>
  <c r="E159" i="3" s="1"/>
  <c r="H445" i="3" l="1"/>
  <c r="F445" i="3"/>
  <c r="H160" i="3"/>
  <c r="F160" i="3"/>
  <c r="G160" i="3" s="1"/>
  <c r="C160" i="3"/>
  <c r="D160" i="3" s="1"/>
  <c r="E160" i="3" s="1"/>
  <c r="A161" i="3"/>
  <c r="H446" i="3" l="1"/>
  <c r="F446" i="3"/>
  <c r="H161" i="3"/>
  <c r="F161" i="3"/>
  <c r="G161" i="3" s="1"/>
  <c r="C161" i="3"/>
  <c r="D161" i="3" s="1"/>
  <c r="E161" i="3" s="1"/>
  <c r="A162" i="3"/>
  <c r="H447" i="3" l="1"/>
  <c r="F447" i="3"/>
  <c r="H162" i="3"/>
  <c r="F162" i="3"/>
  <c r="G162" i="3" s="1"/>
  <c r="A163" i="3"/>
  <c r="C162" i="3"/>
  <c r="D162" i="3" s="1"/>
  <c r="E162" i="3" s="1"/>
  <c r="H448" i="3" l="1"/>
  <c r="F448" i="3"/>
  <c r="H163" i="3"/>
  <c r="F163" i="3"/>
  <c r="G163" i="3" s="1"/>
  <c r="A164" i="3"/>
  <c r="C163" i="3"/>
  <c r="D163" i="3" s="1"/>
  <c r="E163" i="3" s="1"/>
  <c r="H449" i="3" l="1"/>
  <c r="F449" i="3"/>
  <c r="H164" i="3"/>
  <c r="F164" i="3"/>
  <c r="G164" i="3" s="1"/>
  <c r="C164" i="3"/>
  <c r="D164" i="3" s="1"/>
  <c r="E164" i="3" s="1"/>
  <c r="A165" i="3"/>
  <c r="H450" i="3" l="1"/>
  <c r="F450" i="3"/>
  <c r="H165" i="3"/>
  <c r="F165" i="3"/>
  <c r="G165" i="3" s="1"/>
  <c r="C165" i="3"/>
  <c r="D165" i="3" s="1"/>
  <c r="E165" i="3" s="1"/>
  <c r="B165" i="3"/>
  <c r="A166" i="3" s="1"/>
  <c r="H451" i="3" l="1"/>
  <c r="F451" i="3"/>
  <c r="H166" i="3"/>
  <c r="F166" i="3"/>
  <c r="G166" i="3" s="1"/>
  <c r="C166" i="3"/>
  <c r="D166" i="3" s="1"/>
  <c r="E166" i="3" s="1"/>
  <c r="A167" i="3"/>
  <c r="H452" i="3" l="1"/>
  <c r="F452" i="3"/>
  <c r="H167" i="3"/>
  <c r="F167" i="3"/>
  <c r="G167" i="3" s="1"/>
  <c r="A168" i="3"/>
  <c r="C167" i="3"/>
  <c r="D167" i="3" s="1"/>
  <c r="E167" i="3" s="1"/>
  <c r="F453" i="3" l="1"/>
  <c r="H453" i="3"/>
  <c r="H168" i="3"/>
  <c r="F168" i="3"/>
  <c r="G168" i="3" s="1"/>
  <c r="A169" i="3"/>
  <c r="C168" i="3"/>
  <c r="D168" i="3" s="1"/>
  <c r="E168" i="3" s="1"/>
  <c r="H454" i="3" l="1"/>
  <c r="F454" i="3"/>
  <c r="H169" i="3"/>
  <c r="F169" i="3"/>
  <c r="G169" i="3" s="1"/>
  <c r="C169" i="3"/>
  <c r="D169" i="3" s="1"/>
  <c r="E169" i="3" s="1"/>
  <c r="A170" i="3"/>
  <c r="H455" i="3" l="1"/>
  <c r="F455" i="3"/>
  <c r="H170" i="3"/>
  <c r="F170" i="3"/>
  <c r="G170" i="3" s="1"/>
  <c r="C170" i="3"/>
  <c r="D170" i="3" s="1"/>
  <c r="E170" i="3" s="1"/>
  <c r="A171" i="3"/>
  <c r="H456" i="3" l="1"/>
  <c r="F456" i="3"/>
  <c r="H171" i="3"/>
  <c r="F171" i="3"/>
  <c r="G171" i="3" s="1"/>
  <c r="A172" i="3"/>
  <c r="C171" i="3"/>
  <c r="D171" i="3" s="1"/>
  <c r="E171" i="3" s="1"/>
  <c r="H457" i="3" l="1"/>
  <c r="F457" i="3"/>
  <c r="H172" i="3"/>
  <c r="F172" i="3"/>
  <c r="G172" i="3" s="1"/>
  <c r="A173" i="3"/>
  <c r="C172" i="3"/>
  <c r="D172" i="3" s="1"/>
  <c r="E172" i="3" s="1"/>
  <c r="H458" i="3" l="1"/>
  <c r="F458" i="3"/>
  <c r="H173" i="3"/>
  <c r="F173" i="3"/>
  <c r="G173" i="3" s="1"/>
  <c r="C173" i="3"/>
  <c r="D173" i="3" s="1"/>
  <c r="E173" i="3" s="1"/>
  <c r="A174" i="3"/>
  <c r="F459" i="3" l="1"/>
  <c r="H459" i="3"/>
  <c r="H174" i="3"/>
  <c r="F174" i="3"/>
  <c r="G174" i="3" s="1"/>
  <c r="C174" i="3"/>
  <c r="D174" i="3" s="1"/>
  <c r="E174" i="3" s="1"/>
  <c r="A175" i="3"/>
  <c r="F460" i="3" l="1"/>
  <c r="H460" i="3"/>
  <c r="H175" i="3"/>
  <c r="F175" i="3"/>
  <c r="G175" i="3" s="1"/>
  <c r="C175" i="3"/>
  <c r="D175" i="3" s="1"/>
  <c r="E175" i="3" s="1"/>
  <c r="A176" i="3"/>
  <c r="F461" i="3" l="1"/>
  <c r="H461" i="3"/>
  <c r="H176" i="3"/>
  <c r="F176" i="3"/>
  <c r="G176" i="3" s="1"/>
  <c r="C176" i="3"/>
  <c r="D176" i="3" s="1"/>
  <c r="E176" i="3" s="1"/>
  <c r="A177" i="3"/>
  <c r="H462" i="3" l="1"/>
  <c r="F462" i="3"/>
  <c r="H177" i="3"/>
  <c r="F177" i="3"/>
  <c r="G177" i="3" s="1"/>
  <c r="C177" i="3"/>
  <c r="D177" i="3" s="1"/>
  <c r="E177" i="3" s="1"/>
  <c r="B177" i="3"/>
  <c r="A178" i="3" s="1"/>
  <c r="H463" i="3" l="1"/>
  <c r="F463" i="3"/>
  <c r="H178" i="3"/>
  <c r="F178" i="3"/>
  <c r="G178" i="3" s="1"/>
  <c r="C178" i="3"/>
  <c r="D178" i="3" s="1"/>
  <c r="E178" i="3" s="1"/>
  <c r="A179" i="3"/>
  <c r="H464" i="3" l="1"/>
  <c r="F464" i="3"/>
  <c r="H179" i="3"/>
  <c r="F179" i="3"/>
  <c r="G179" i="3" s="1"/>
  <c r="A180" i="3"/>
  <c r="C179" i="3"/>
  <c r="D179" i="3" s="1"/>
  <c r="E179" i="3" s="1"/>
  <c r="H465" i="3" l="1"/>
  <c r="F465" i="3"/>
  <c r="H180" i="3"/>
  <c r="F180" i="3"/>
  <c r="G180" i="3" s="1"/>
  <c r="C180" i="3"/>
  <c r="D180" i="3" s="1"/>
  <c r="E180" i="3" s="1"/>
  <c r="A181" i="3"/>
  <c r="H466" i="3" l="1"/>
  <c r="F466" i="3"/>
  <c r="H181" i="3"/>
  <c r="F181" i="3"/>
  <c r="G181" i="3" s="1"/>
  <c r="C181" i="3"/>
  <c r="D181" i="3" s="1"/>
  <c r="E181" i="3" s="1"/>
  <c r="A182" i="3"/>
  <c r="H467" i="3" l="1"/>
  <c r="F467" i="3"/>
  <c r="H182" i="3"/>
  <c r="F182" i="3"/>
  <c r="G182" i="3" s="1"/>
  <c r="C182" i="3"/>
  <c r="D182" i="3" s="1"/>
  <c r="E182" i="3" s="1"/>
  <c r="A183" i="3"/>
  <c r="H468" i="3" l="1"/>
  <c r="F468" i="3"/>
  <c r="H183" i="3"/>
  <c r="F183" i="3"/>
  <c r="G183" i="3" s="1"/>
  <c r="C183" i="3"/>
  <c r="D183" i="3" s="1"/>
  <c r="E183" i="3" s="1"/>
  <c r="A184" i="3"/>
  <c r="H469" i="3" l="1"/>
  <c r="F469" i="3"/>
  <c r="H184" i="3"/>
  <c r="F184" i="3"/>
  <c r="G184" i="3" s="1"/>
  <c r="C184" i="3"/>
  <c r="D184" i="3" s="1"/>
  <c r="E184" i="3" s="1"/>
  <c r="A185" i="3"/>
  <c r="H470" i="3" l="1"/>
  <c r="F470" i="3"/>
  <c r="H185" i="3"/>
  <c r="F185" i="3"/>
  <c r="G185" i="3" s="1"/>
  <c r="C185" i="3"/>
  <c r="D185" i="3" s="1"/>
  <c r="E185" i="3" s="1"/>
  <c r="A186" i="3"/>
  <c r="F471" i="3" l="1"/>
  <c r="H471" i="3"/>
  <c r="H186" i="3"/>
  <c r="F186" i="3"/>
  <c r="G186" i="3" s="1"/>
  <c r="C186" i="3"/>
  <c r="D186" i="3" s="1"/>
  <c r="E186" i="3" s="1"/>
  <c r="A187" i="3"/>
  <c r="H472" i="3" l="1"/>
  <c r="F472" i="3"/>
  <c r="H187" i="3"/>
  <c r="F187" i="3"/>
  <c r="G187" i="3" s="1"/>
  <c r="C187" i="3"/>
  <c r="D187" i="3" s="1"/>
  <c r="E187" i="3" s="1"/>
  <c r="A188" i="3"/>
  <c r="H473" i="3" l="1"/>
  <c r="F473" i="3"/>
  <c r="H188" i="3"/>
  <c r="F188" i="3"/>
  <c r="G188" i="3" s="1"/>
  <c r="C188" i="3"/>
  <c r="D188" i="3" s="1"/>
  <c r="E188" i="3" s="1"/>
  <c r="A189" i="3"/>
  <c r="H474" i="3" l="1"/>
  <c r="F474" i="3"/>
  <c r="H189" i="3"/>
  <c r="F189" i="3"/>
  <c r="G189" i="3" s="1"/>
  <c r="C189" i="3"/>
  <c r="D189" i="3" s="1"/>
  <c r="E189" i="3" s="1"/>
  <c r="B189" i="3"/>
  <c r="A190" i="3" s="1"/>
  <c r="H475" i="3" l="1"/>
  <c r="F475" i="3"/>
  <c r="H190" i="3"/>
  <c r="F190" i="3"/>
  <c r="G190" i="3" s="1"/>
  <c r="C190" i="3"/>
  <c r="D190" i="3" s="1"/>
  <c r="E190" i="3" s="1"/>
  <c r="A191" i="3"/>
  <c r="H476" i="3" l="1"/>
  <c r="F476" i="3"/>
  <c r="H191" i="3"/>
  <c r="F191" i="3"/>
  <c r="G191" i="3" s="1"/>
  <c r="A192" i="3"/>
  <c r="C191" i="3"/>
  <c r="D191" i="3" s="1"/>
  <c r="E191" i="3" s="1"/>
  <c r="H477" i="3" l="1"/>
  <c r="F477" i="3"/>
  <c r="H192" i="3"/>
  <c r="F192" i="3"/>
  <c r="G192" i="3" s="1"/>
  <c r="C192" i="3"/>
  <c r="D192" i="3" s="1"/>
  <c r="E192" i="3" s="1"/>
  <c r="A193" i="3"/>
  <c r="H478" i="3" l="1"/>
  <c r="F478" i="3"/>
  <c r="H193" i="3"/>
  <c r="F193" i="3"/>
  <c r="G193" i="3" s="1"/>
  <c r="C193" i="3"/>
  <c r="D193" i="3" s="1"/>
  <c r="E193" i="3" s="1"/>
  <c r="A194" i="3"/>
  <c r="H479" i="3" l="1"/>
  <c r="F479" i="3"/>
  <c r="H194" i="3"/>
  <c r="F194" i="3"/>
  <c r="G194" i="3" s="1"/>
  <c r="C194" i="3"/>
  <c r="D194" i="3" s="1"/>
  <c r="E194" i="3" s="1"/>
  <c r="A195" i="3"/>
  <c r="F480" i="3" l="1"/>
  <c r="H480" i="3"/>
  <c r="H195" i="3"/>
  <c r="F195" i="3"/>
  <c r="G195" i="3" s="1"/>
  <c r="C195" i="3"/>
  <c r="D195" i="3" s="1"/>
  <c r="E195" i="3" s="1"/>
  <c r="A196" i="3"/>
  <c r="F481" i="3" l="1"/>
  <c r="H481" i="3"/>
  <c r="H196" i="3"/>
  <c r="F196" i="3"/>
  <c r="G196" i="3" s="1"/>
  <c r="C196" i="3"/>
  <c r="D196" i="3" s="1"/>
  <c r="E196" i="3" s="1"/>
  <c r="A197" i="3"/>
  <c r="F482" i="3" l="1"/>
  <c r="H482" i="3"/>
  <c r="H197" i="3"/>
  <c r="F197" i="3"/>
  <c r="G197" i="3" s="1"/>
  <c r="C197" i="3"/>
  <c r="D197" i="3" s="1"/>
  <c r="E197" i="3" s="1"/>
  <c r="A198" i="3"/>
  <c r="H483" i="3" l="1"/>
  <c r="F483" i="3"/>
  <c r="H198" i="3"/>
  <c r="F198" i="3"/>
  <c r="G198" i="3" s="1"/>
  <c r="C198" i="3"/>
  <c r="D198" i="3" s="1"/>
  <c r="E198" i="3" s="1"/>
  <c r="A199" i="3"/>
  <c r="H484" i="3" l="1"/>
  <c r="F484" i="3"/>
  <c r="H199" i="3"/>
  <c r="F199" i="3"/>
  <c r="G199" i="3" s="1"/>
  <c r="C199" i="3"/>
  <c r="D199" i="3" s="1"/>
  <c r="E199" i="3" s="1"/>
  <c r="A200" i="3"/>
  <c r="H485" i="3" l="1"/>
  <c r="F485" i="3"/>
  <c r="H200" i="3"/>
  <c r="F200" i="3"/>
  <c r="G200" i="3" s="1"/>
  <c r="C200" i="3"/>
  <c r="D200" i="3" s="1"/>
  <c r="E200" i="3" s="1"/>
  <c r="A201" i="3"/>
  <c r="H486" i="3" l="1"/>
  <c r="F486" i="3"/>
  <c r="H201" i="3"/>
  <c r="F201" i="3"/>
  <c r="G201" i="3" s="1"/>
  <c r="C201" i="3"/>
  <c r="D201" i="3" s="1"/>
  <c r="E201" i="3" s="1"/>
  <c r="B201" i="3"/>
  <c r="A202" i="3" s="1"/>
  <c r="H487" i="3" l="1"/>
  <c r="F487" i="3"/>
  <c r="H202" i="3"/>
  <c r="F202" i="3"/>
  <c r="G202" i="3" s="1"/>
  <c r="C202" i="3"/>
  <c r="D202" i="3" s="1"/>
  <c r="E202" i="3" s="1"/>
  <c r="A203" i="3"/>
  <c r="F488" i="3" l="1"/>
  <c r="H488" i="3"/>
  <c r="H203" i="3"/>
  <c r="F203" i="3"/>
  <c r="G203" i="3" s="1"/>
  <c r="A204" i="3"/>
  <c r="C203" i="3"/>
  <c r="D203" i="3" s="1"/>
  <c r="E203" i="3" s="1"/>
  <c r="H489" i="3" l="1"/>
  <c r="F489" i="3"/>
  <c r="H204" i="3"/>
  <c r="F204" i="3"/>
  <c r="G204" i="3" s="1"/>
  <c r="C204" i="3"/>
  <c r="D204" i="3" s="1"/>
  <c r="E204" i="3" s="1"/>
  <c r="A205" i="3"/>
  <c r="H490" i="3" l="1"/>
  <c r="F490" i="3"/>
  <c r="H205" i="3"/>
  <c r="F205" i="3"/>
  <c r="G205" i="3" s="1"/>
  <c r="C205" i="3"/>
  <c r="D205" i="3" s="1"/>
  <c r="E205" i="3" s="1"/>
  <c r="A206" i="3"/>
  <c r="H491" i="3" l="1"/>
  <c r="F491" i="3"/>
  <c r="H206" i="3"/>
  <c r="F206" i="3"/>
  <c r="G206" i="3" s="1"/>
  <c r="C206" i="3"/>
  <c r="D206" i="3" s="1"/>
  <c r="E206" i="3" s="1"/>
  <c r="A207" i="3"/>
  <c r="H492" i="3" l="1"/>
  <c r="F492" i="3"/>
  <c r="H207" i="3"/>
  <c r="F207" i="3"/>
  <c r="G207" i="3" s="1"/>
  <c r="C207" i="3"/>
  <c r="D207" i="3" s="1"/>
  <c r="E207" i="3" s="1"/>
  <c r="A208" i="3"/>
  <c r="H493" i="3" l="1"/>
  <c r="F493" i="3"/>
  <c r="H208" i="3"/>
  <c r="F208" i="3"/>
  <c r="G208" i="3" s="1"/>
  <c r="C208" i="3"/>
  <c r="D208" i="3" s="1"/>
  <c r="E208" i="3" s="1"/>
  <c r="A209" i="3"/>
  <c r="F494" i="3" l="1"/>
  <c r="H494" i="3"/>
  <c r="H209" i="3"/>
  <c r="F209" i="3"/>
  <c r="G209" i="3" s="1"/>
  <c r="C209" i="3"/>
  <c r="D209" i="3" s="1"/>
  <c r="E209" i="3" s="1"/>
  <c r="A210" i="3"/>
  <c r="H495" i="3" l="1"/>
  <c r="F495" i="3"/>
  <c r="H210" i="3"/>
  <c r="F210" i="3"/>
  <c r="G210" i="3" s="1"/>
  <c r="C210" i="3"/>
  <c r="D210" i="3" s="1"/>
  <c r="E210" i="3" s="1"/>
  <c r="A211" i="3"/>
  <c r="H496" i="3" l="1"/>
  <c r="F496" i="3"/>
  <c r="H211" i="3"/>
  <c r="F211" i="3"/>
  <c r="G211" i="3" s="1"/>
  <c r="C211" i="3"/>
  <c r="D211" i="3" s="1"/>
  <c r="E211" i="3" s="1"/>
  <c r="A212" i="3"/>
  <c r="H497" i="3" l="1"/>
  <c r="F497" i="3"/>
  <c r="H212" i="3"/>
  <c r="F212" i="3"/>
  <c r="G212" i="3" s="1"/>
  <c r="C212" i="3"/>
  <c r="D212" i="3" s="1"/>
  <c r="E212" i="3" s="1"/>
  <c r="A213" i="3"/>
  <c r="L14" i="25"/>
  <c r="D9" i="27" s="1"/>
  <c r="H498" i="3" l="1"/>
  <c r="F498" i="3"/>
  <c r="H213" i="3"/>
  <c r="F213" i="3"/>
  <c r="G213" i="3" s="1"/>
  <c r="C213" i="3"/>
  <c r="D213" i="3" s="1"/>
  <c r="E213" i="3" s="1"/>
  <c r="B213" i="3"/>
  <c r="A214" i="3" s="1"/>
  <c r="H499" i="3" l="1"/>
  <c r="F499" i="3"/>
  <c r="H214" i="3"/>
  <c r="F214" i="3"/>
  <c r="G214" i="3" s="1"/>
  <c r="C214" i="3"/>
  <c r="D214" i="3" s="1"/>
  <c r="A215" i="3"/>
  <c r="A216" i="3" s="1"/>
  <c r="F500" i="3" l="1"/>
  <c r="H500" i="3"/>
  <c r="C216" i="3"/>
  <c r="D216" i="3" s="1"/>
  <c r="E216" i="3" s="1"/>
  <c r="H216" i="3"/>
  <c r="A217" i="3"/>
  <c r="F216" i="3"/>
  <c r="G216" i="3" s="1"/>
  <c r="E214" i="3"/>
  <c r="C215" i="3"/>
  <c r="D215" i="3" s="1"/>
  <c r="H215" i="3"/>
  <c r="F215" i="3"/>
  <c r="G215" i="3" s="1"/>
  <c r="E118" i="3" l="1"/>
  <c r="E116" i="3"/>
  <c r="E117" i="3"/>
  <c r="E119" i="3"/>
  <c r="E120" i="3"/>
  <c r="E114" i="3"/>
  <c r="E113" i="3"/>
  <c r="E115" i="3"/>
  <c r="E87" i="3"/>
  <c r="E88" i="3"/>
  <c r="E90" i="3"/>
  <c r="E91" i="3"/>
  <c r="E89" i="3"/>
  <c r="E92" i="3"/>
  <c r="E93" i="3"/>
  <c r="E94" i="3"/>
  <c r="E95" i="3"/>
  <c r="E96" i="3"/>
  <c r="E97" i="3"/>
  <c r="E99" i="3"/>
  <c r="E100" i="3"/>
  <c r="E98" i="3"/>
  <c r="E103" i="3"/>
  <c r="E102" i="3"/>
  <c r="E101" i="3"/>
  <c r="E104" i="3"/>
  <c r="E105" i="3"/>
  <c r="E106" i="3"/>
  <c r="E107" i="3"/>
  <c r="E108" i="3"/>
  <c r="E109" i="3"/>
  <c r="E111" i="3"/>
  <c r="E110" i="3"/>
  <c r="E112" i="3"/>
  <c r="C217" i="3"/>
  <c r="D217" i="3" s="1"/>
  <c r="E217" i="3" s="1"/>
  <c r="H217" i="3"/>
  <c r="A218" i="3"/>
  <c r="F217" i="3"/>
  <c r="G217" i="3" s="1"/>
  <c r="H501" i="3"/>
  <c r="F501" i="3"/>
  <c r="E75" i="3"/>
  <c r="E74" i="3"/>
  <c r="E76" i="3"/>
  <c r="E78" i="3"/>
  <c r="E80" i="3"/>
  <c r="E77" i="3"/>
  <c r="E82" i="3"/>
  <c r="E79" i="3"/>
  <c r="E81" i="3"/>
  <c r="E84" i="3"/>
  <c r="E83" i="3"/>
  <c r="E85" i="3"/>
  <c r="E86" i="3"/>
  <c r="E73" i="3"/>
  <c r="E72" i="3"/>
  <c r="E62" i="3"/>
  <c r="E60" i="3"/>
  <c r="E61" i="3"/>
  <c r="E65" i="3"/>
  <c r="E63" i="3"/>
  <c r="E64" i="3"/>
  <c r="E68" i="3"/>
  <c r="E67" i="3"/>
  <c r="E66" i="3"/>
  <c r="E71" i="3"/>
  <c r="E70" i="3"/>
  <c r="E69" i="3"/>
  <c r="E58" i="3"/>
  <c r="E57" i="3"/>
  <c r="E59" i="3"/>
  <c r="E50" i="3"/>
  <c r="E51" i="3"/>
  <c r="E53" i="3"/>
  <c r="E52" i="3"/>
  <c r="E54" i="3"/>
  <c r="E55" i="3"/>
  <c r="E56" i="3"/>
  <c r="E38" i="3"/>
  <c r="E40" i="3"/>
  <c r="E39" i="3"/>
  <c r="E41" i="3"/>
  <c r="E42" i="3"/>
  <c r="E45" i="3"/>
  <c r="E43" i="3"/>
  <c r="E44" i="3"/>
  <c r="E46" i="3"/>
  <c r="E47" i="3"/>
  <c r="E48" i="3"/>
  <c r="E49" i="3"/>
  <c r="E24" i="3"/>
  <c r="E26" i="3"/>
  <c r="E28" i="3"/>
  <c r="E27" i="3"/>
  <c r="E29" i="3"/>
  <c r="E30" i="3"/>
  <c r="E31" i="3"/>
  <c r="E33" i="3"/>
  <c r="E32" i="3"/>
  <c r="E36" i="3"/>
  <c r="E35" i="3"/>
  <c r="E37" i="3"/>
  <c r="E34" i="3"/>
  <c r="E25" i="3"/>
  <c r="E215" i="3"/>
  <c r="E20" i="3"/>
  <c r="E21" i="3"/>
  <c r="E22" i="3"/>
  <c r="E23" i="3"/>
  <c r="H218" i="3" l="1"/>
  <c r="A219" i="3"/>
  <c r="C218" i="3"/>
  <c r="D218" i="3" s="1"/>
  <c r="E218" i="3" s="1"/>
  <c r="F218" i="3"/>
  <c r="G218" i="3" s="1"/>
  <c r="F502" i="3"/>
  <c r="H502" i="3"/>
  <c r="M45" i="3"/>
  <c r="K44" i="3"/>
  <c r="N44" i="3"/>
  <c r="K45" i="3"/>
  <c r="N45" i="3"/>
  <c r="M44" i="3"/>
  <c r="H219" i="3" l="1"/>
  <c r="C219" i="3"/>
  <c r="D219" i="3" s="1"/>
  <c r="E219" i="3" s="1"/>
  <c r="A220" i="3"/>
  <c r="F219" i="3"/>
  <c r="G219" i="3" s="1"/>
  <c r="H503" i="3"/>
  <c r="F503" i="3"/>
  <c r="J154" i="14"/>
  <c r="J22" i="14"/>
  <c r="J92" i="14"/>
  <c r="J115" i="14"/>
  <c r="J15" i="14"/>
  <c r="J45" i="14"/>
  <c r="J62" i="14"/>
  <c r="J108" i="14"/>
  <c r="J138" i="14"/>
  <c r="J85" i="14"/>
  <c r="J161" i="14"/>
  <c r="J38" i="14"/>
  <c r="J69" i="14"/>
  <c r="J131" i="14"/>
  <c r="J8" i="14"/>
  <c r="J101" i="14"/>
  <c r="J31" i="14"/>
  <c r="J147" i="14"/>
  <c r="J124" i="14"/>
  <c r="J55" i="14"/>
  <c r="J78" i="14"/>
  <c r="H220" i="3" l="1"/>
  <c r="C220" i="3"/>
  <c r="D220" i="3" s="1"/>
  <c r="E220" i="3" s="1"/>
  <c r="A221" i="3"/>
  <c r="F220" i="3"/>
  <c r="G220" i="3" s="1"/>
  <c r="F504" i="3"/>
  <c r="H504" i="3"/>
  <c r="J80" i="14"/>
  <c r="J42" i="37" s="1"/>
  <c r="J81" i="14"/>
  <c r="J64" i="37" s="1"/>
  <c r="J79" i="14"/>
  <c r="J20" i="37" s="1"/>
  <c r="J82" i="14"/>
  <c r="J20" i="40" s="1"/>
  <c r="J83" i="14"/>
  <c r="J20" i="49" s="1"/>
  <c r="K78" i="14"/>
  <c r="J33" i="14"/>
  <c r="J36" i="37" s="1"/>
  <c r="J34" i="14"/>
  <c r="J58" i="37" s="1"/>
  <c r="J35" i="14"/>
  <c r="J14" i="40" s="1"/>
  <c r="J32" i="14"/>
  <c r="J14" i="37" s="1"/>
  <c r="K31" i="14"/>
  <c r="J36" i="14"/>
  <c r="J14" i="49" s="1"/>
  <c r="J19" i="14"/>
  <c r="K11" i="40" s="1"/>
  <c r="M11" i="40" s="1"/>
  <c r="J20" i="14"/>
  <c r="K11" i="49" s="1"/>
  <c r="M11" i="49" s="1"/>
  <c r="J18" i="14"/>
  <c r="K55" i="37" s="1"/>
  <c r="M55" i="37" s="1"/>
  <c r="J16" i="14"/>
  <c r="K11" i="37" s="1"/>
  <c r="K15" i="14"/>
  <c r="K22" i="14" s="1"/>
  <c r="J17" i="14"/>
  <c r="K33" i="37" s="1"/>
  <c r="M33" i="37" s="1"/>
  <c r="J155" i="14"/>
  <c r="K29" i="37" s="1"/>
  <c r="M29" i="37" s="1"/>
  <c r="J157" i="14"/>
  <c r="K73" i="37" s="1"/>
  <c r="M73" i="37" s="1"/>
  <c r="J158" i="14"/>
  <c r="K29" i="40" s="1"/>
  <c r="M29" i="40" s="1"/>
  <c r="J159" i="14"/>
  <c r="K29" i="49" s="1"/>
  <c r="M29" i="49" s="1"/>
  <c r="J156" i="14"/>
  <c r="K51" i="37" s="1"/>
  <c r="M51" i="37" s="1"/>
  <c r="K154" i="14"/>
  <c r="K161" i="14" s="1"/>
  <c r="J150" i="14"/>
  <c r="J73" i="37" s="1"/>
  <c r="J148" i="14"/>
  <c r="J29" i="37" s="1"/>
  <c r="J149" i="14"/>
  <c r="J51" i="37" s="1"/>
  <c r="K147" i="14"/>
  <c r="J152" i="14"/>
  <c r="J29" i="49" s="1"/>
  <c r="J151" i="14"/>
  <c r="J29" i="40" s="1"/>
  <c r="J133" i="14"/>
  <c r="K48" i="37" s="1"/>
  <c r="M48" i="37" s="1"/>
  <c r="J134" i="14"/>
  <c r="K70" i="37" s="1"/>
  <c r="M70" i="37" s="1"/>
  <c r="J135" i="14"/>
  <c r="K26" i="40" s="1"/>
  <c r="M26" i="40" s="1"/>
  <c r="J136" i="14"/>
  <c r="K26" i="49" s="1"/>
  <c r="M26" i="49" s="1"/>
  <c r="K131" i="14"/>
  <c r="K138" i="14" s="1"/>
  <c r="J132" i="14"/>
  <c r="K26" i="37" s="1"/>
  <c r="M26" i="37" s="1"/>
  <c r="J90" i="14"/>
  <c r="J88" i="14"/>
  <c r="K64" i="37" s="1"/>
  <c r="M64" i="37" s="1"/>
  <c r="K85" i="14"/>
  <c r="K92" i="14" s="1"/>
  <c r="J87" i="14"/>
  <c r="K42" i="37" s="1"/>
  <c r="M42" i="37" s="1"/>
  <c r="J89" i="14"/>
  <c r="K20" i="40" s="1"/>
  <c r="M20" i="40" s="1"/>
  <c r="J86" i="14"/>
  <c r="K20" i="37" s="1"/>
  <c r="M20" i="37" s="1"/>
  <c r="J126" i="14"/>
  <c r="J48" i="37" s="1"/>
  <c r="J129" i="14"/>
  <c r="J26" i="49" s="1"/>
  <c r="J125" i="14"/>
  <c r="J26" i="37" s="1"/>
  <c r="K124" i="14"/>
  <c r="J128" i="14"/>
  <c r="J26" i="40" s="1"/>
  <c r="J127" i="14"/>
  <c r="J70" i="37" s="1"/>
  <c r="J11" i="14"/>
  <c r="J55" i="37" s="1"/>
  <c r="J12" i="14"/>
  <c r="J11" i="40" s="1"/>
  <c r="J10" i="14"/>
  <c r="J33" i="37" s="1"/>
  <c r="J9" i="14"/>
  <c r="J11" i="37" s="1"/>
  <c r="K8" i="14"/>
  <c r="J13" i="14"/>
  <c r="J11" i="49" s="1"/>
  <c r="J66" i="14"/>
  <c r="K17" i="40" s="1"/>
  <c r="M17" i="40" s="1"/>
  <c r="J65" i="14"/>
  <c r="K61" i="37" s="1"/>
  <c r="M61" i="37" s="1"/>
  <c r="K62" i="14"/>
  <c r="K69" i="14" s="1"/>
  <c r="J67" i="14"/>
  <c r="K17" i="49" s="1"/>
  <c r="M17" i="49" s="1"/>
  <c r="J64" i="14"/>
  <c r="K39" i="37" s="1"/>
  <c r="M39" i="37" s="1"/>
  <c r="J63" i="14"/>
  <c r="K17" i="37" s="1"/>
  <c r="M17" i="37" s="1"/>
  <c r="J57" i="14"/>
  <c r="J39" i="37" s="1"/>
  <c r="J58" i="14"/>
  <c r="J61" i="37" s="1"/>
  <c r="K55" i="14"/>
  <c r="J60" i="14"/>
  <c r="J17" i="49" s="1"/>
  <c r="J56" i="14"/>
  <c r="J17" i="37" s="1"/>
  <c r="J59" i="14"/>
  <c r="J17" i="40" s="1"/>
  <c r="K101" i="14"/>
  <c r="J102" i="14"/>
  <c r="J23" i="37" s="1"/>
  <c r="J103" i="14"/>
  <c r="J45" i="37" s="1"/>
  <c r="J104" i="14"/>
  <c r="J67" i="37" s="1"/>
  <c r="J106" i="14"/>
  <c r="J23" i="49" s="1"/>
  <c r="J105" i="14"/>
  <c r="J23" i="40" s="1"/>
  <c r="J42" i="14"/>
  <c r="J39" i="14"/>
  <c r="K14" i="37" s="1"/>
  <c r="M14" i="37" s="1"/>
  <c r="J41" i="14"/>
  <c r="K58" i="37" s="1"/>
  <c r="M58" i="37" s="1"/>
  <c r="J40" i="14"/>
  <c r="K36" i="37" s="1"/>
  <c r="M36" i="37" s="1"/>
  <c r="J43" i="14"/>
  <c r="K14" i="49" s="1"/>
  <c r="M14" i="49" s="1"/>
  <c r="K38" i="14"/>
  <c r="K45" i="14" s="1"/>
  <c r="J113" i="14"/>
  <c r="J112" i="14"/>
  <c r="J109" i="14"/>
  <c r="K23" i="37" s="1"/>
  <c r="M23" i="37" s="1"/>
  <c r="K108" i="14"/>
  <c r="K115" i="14" s="1"/>
  <c r="J111" i="14"/>
  <c r="K67" i="37" s="1"/>
  <c r="M67" i="37" s="1"/>
  <c r="J110" i="14"/>
  <c r="K45" i="37" s="1"/>
  <c r="M45" i="37" s="1"/>
  <c r="N14" i="37" l="1"/>
  <c r="E30" i="7" s="1"/>
  <c r="N17" i="49"/>
  <c r="I31" i="7" s="1"/>
  <c r="N20" i="37"/>
  <c r="E32" i="7" s="1"/>
  <c r="N26" i="49"/>
  <c r="I34" i="7" s="1"/>
  <c r="N33" i="37"/>
  <c r="F29" i="7" s="1"/>
  <c r="N23" i="37"/>
  <c r="E33" i="7" s="1"/>
  <c r="N20" i="40"/>
  <c r="H32" i="7" s="1"/>
  <c r="N26" i="40"/>
  <c r="H34" i="7" s="1"/>
  <c r="N61" i="37"/>
  <c r="G31" i="7" s="1"/>
  <c r="N42" i="37"/>
  <c r="F32" i="7" s="1"/>
  <c r="N70" i="37"/>
  <c r="G34" i="7" s="1"/>
  <c r="N17" i="40"/>
  <c r="H31" i="7" s="1"/>
  <c r="N48" i="37"/>
  <c r="F34" i="7" s="1"/>
  <c r="N51" i="37"/>
  <c r="F35" i="7" s="1"/>
  <c r="N55" i="37"/>
  <c r="G29" i="7" s="1"/>
  <c r="N64" i="37"/>
  <c r="G32" i="7" s="1"/>
  <c r="N29" i="49"/>
  <c r="I35" i="7" s="1"/>
  <c r="N11" i="49"/>
  <c r="I29" i="7" s="1"/>
  <c r="N14" i="49"/>
  <c r="I30" i="7" s="1"/>
  <c r="N29" i="40"/>
  <c r="H35" i="7" s="1"/>
  <c r="N45" i="37"/>
  <c r="F33" i="7" s="1"/>
  <c r="N36" i="37"/>
  <c r="F30" i="7" s="1"/>
  <c r="N17" i="37"/>
  <c r="E31" i="7" s="1"/>
  <c r="N26" i="37"/>
  <c r="E34" i="7" s="1"/>
  <c r="K34" i="7" s="1"/>
  <c r="N73" i="37"/>
  <c r="G35" i="7" s="1"/>
  <c r="N67" i="37"/>
  <c r="G33" i="7" s="1"/>
  <c r="N58" i="37"/>
  <c r="G30" i="7" s="1"/>
  <c r="N39" i="37"/>
  <c r="F31" i="7" s="1"/>
  <c r="N29" i="37"/>
  <c r="E35" i="7" s="1"/>
  <c r="J73" i="40"/>
  <c r="H221" i="3"/>
  <c r="C221" i="3"/>
  <c r="D221" i="3" s="1"/>
  <c r="E221" i="3" s="1"/>
  <c r="A222" i="3"/>
  <c r="F221" i="3"/>
  <c r="G221" i="3" s="1"/>
  <c r="H505" i="3"/>
  <c r="C301" i="3" s="1"/>
  <c r="K48" i="25" s="1"/>
  <c r="F505" i="3"/>
  <c r="J159" i="37"/>
  <c r="J155" i="37"/>
  <c r="K159" i="37"/>
  <c r="K155" i="37"/>
  <c r="J69" i="40"/>
  <c r="J120" i="14"/>
  <c r="K23" i="49"/>
  <c r="M23" i="49" s="1"/>
  <c r="J97" i="14"/>
  <c r="K20" i="49"/>
  <c r="M20" i="49" s="1"/>
  <c r="J119" i="14"/>
  <c r="K23" i="40"/>
  <c r="M23" i="40" s="1"/>
  <c r="J49" i="14"/>
  <c r="K14" i="40"/>
  <c r="M14" i="40" s="1"/>
  <c r="J30" i="49"/>
  <c r="E17" i="27" s="1"/>
  <c r="G30" i="25" s="1"/>
  <c r="J34" i="49"/>
  <c r="J35" i="49" s="1"/>
  <c r="J95" i="14"/>
  <c r="J165" i="14"/>
  <c r="J50" i="14"/>
  <c r="J96" i="14"/>
  <c r="J48" i="14"/>
  <c r="J118" i="14"/>
  <c r="J71" i="14"/>
  <c r="J73" i="14"/>
  <c r="J72" i="14"/>
  <c r="K113" i="14"/>
  <c r="J116" i="14"/>
  <c r="K60" i="14"/>
  <c r="K129" i="14"/>
  <c r="J26" i="14"/>
  <c r="J46" i="14"/>
  <c r="K43" i="14"/>
  <c r="K90" i="14"/>
  <c r="J93" i="14"/>
  <c r="K152" i="14"/>
  <c r="J24" i="14"/>
  <c r="J27" i="14"/>
  <c r="K36" i="14"/>
  <c r="J142" i="14"/>
  <c r="J74" i="14"/>
  <c r="J143" i="14"/>
  <c r="J166" i="14"/>
  <c r="K159" i="14"/>
  <c r="J162" i="14"/>
  <c r="J25" i="14"/>
  <c r="K83" i="14"/>
  <c r="K106" i="14"/>
  <c r="K67" i="14"/>
  <c r="J70" i="14"/>
  <c r="K13" i="14"/>
  <c r="J139" i="14"/>
  <c r="K136" i="14"/>
  <c r="K20" i="14"/>
  <c r="J23" i="14"/>
  <c r="J140" i="14"/>
  <c r="J163" i="14"/>
  <c r="J117" i="14"/>
  <c r="J47" i="14"/>
  <c r="J94" i="14"/>
  <c r="J141" i="14"/>
  <c r="J164" i="14"/>
  <c r="K35" i="7" l="1"/>
  <c r="G37" i="7"/>
  <c r="K31" i="7"/>
  <c r="F37" i="7"/>
  <c r="N23" i="40"/>
  <c r="H33" i="7" s="1"/>
  <c r="N20" i="49"/>
  <c r="N23" i="49"/>
  <c r="N14" i="40"/>
  <c r="H30" i="7" s="1"/>
  <c r="K30" i="7" s="1"/>
  <c r="K73" i="40"/>
  <c r="H222" i="3"/>
  <c r="A223" i="3"/>
  <c r="C222" i="3"/>
  <c r="D222" i="3" s="1"/>
  <c r="E222" i="3" s="1"/>
  <c r="F222" i="3"/>
  <c r="G222" i="3" s="1"/>
  <c r="K69" i="40"/>
  <c r="N11" i="40"/>
  <c r="JC53" i="3"/>
  <c r="JA53" i="3"/>
  <c r="J74" i="40"/>
  <c r="E14" i="27"/>
  <c r="G24" i="25" s="1"/>
  <c r="E11" i="27"/>
  <c r="J160" i="37"/>
  <c r="K120" i="14"/>
  <c r="K27" i="14"/>
  <c r="K143" i="14"/>
  <c r="F382" i="8"/>
  <c r="F400" i="8" s="1"/>
  <c r="K166" i="14"/>
  <c r="G14" i="27"/>
  <c r="I24" i="25" s="1"/>
  <c r="L74" i="40"/>
  <c r="L30" i="49"/>
  <c r="G17" i="27" s="1"/>
  <c r="I30" i="25" s="1"/>
  <c r="L34" i="49"/>
  <c r="L35" i="49" s="1"/>
  <c r="K50" i="14"/>
  <c r="K74" i="14"/>
  <c r="K97" i="14"/>
  <c r="JD53" i="3" l="1"/>
  <c r="I33" i="7"/>
  <c r="K33" i="7" s="1"/>
  <c r="JB53" i="3"/>
  <c r="I32" i="7"/>
  <c r="H223" i="3"/>
  <c r="A224" i="3"/>
  <c r="C223" i="3"/>
  <c r="D223" i="3" s="1"/>
  <c r="E223" i="3" s="1"/>
  <c r="F223" i="3"/>
  <c r="G223" i="3" s="1"/>
  <c r="H29" i="7"/>
  <c r="H37" i="7" s="1"/>
  <c r="JH53" i="3"/>
  <c r="JG53" i="3"/>
  <c r="JF53" i="3"/>
  <c r="JE53" i="3"/>
  <c r="IZ53" i="3"/>
  <c r="IY53" i="3"/>
  <c r="IX53" i="3"/>
  <c r="IW53" i="3"/>
  <c r="IV53" i="3"/>
  <c r="IU53" i="3"/>
  <c r="IT53" i="3"/>
  <c r="IS53" i="3"/>
  <c r="IP53" i="3"/>
  <c r="IO53" i="3"/>
  <c r="IN53" i="3"/>
  <c r="IM53" i="3"/>
  <c r="IL53" i="3"/>
  <c r="IK53" i="3"/>
  <c r="IJ53" i="3"/>
  <c r="II53" i="3"/>
  <c r="IH53" i="3"/>
  <c r="IG53" i="3"/>
  <c r="HZ53" i="3"/>
  <c r="HY53" i="3"/>
  <c r="HX53" i="3"/>
  <c r="HW53" i="3"/>
  <c r="HV53" i="3"/>
  <c r="HU53" i="3"/>
  <c r="HT53" i="3"/>
  <c r="HS53" i="3"/>
  <c r="HJ53" i="3"/>
  <c r="HI53" i="3"/>
  <c r="HF53" i="3"/>
  <c r="HE53" i="3"/>
  <c r="M34" i="49"/>
  <c r="M35" i="49" s="1"/>
  <c r="M30" i="49"/>
  <c r="H17" i="27" s="1"/>
  <c r="G18" i="25"/>
  <c r="K30" i="49"/>
  <c r="F17" i="27" s="1"/>
  <c r="K34" i="49"/>
  <c r="K35" i="49" s="1"/>
  <c r="F14" i="27"/>
  <c r="K74" i="40"/>
  <c r="F394" i="8"/>
  <c r="F397" i="8"/>
  <c r="GQ53" i="3"/>
  <c r="K32" i="7" l="1"/>
  <c r="I37" i="7"/>
  <c r="A225" i="3"/>
  <c r="H224" i="3"/>
  <c r="C224" i="3"/>
  <c r="D224" i="3" s="1"/>
  <c r="E224" i="3" s="1"/>
  <c r="F224" i="3"/>
  <c r="G224" i="3" s="1"/>
  <c r="N34" i="49"/>
  <c r="N35" i="49" s="1"/>
  <c r="N30" i="49"/>
  <c r="I17" i="27" s="1"/>
  <c r="H30" i="25" s="1"/>
  <c r="K30" i="25" s="1"/>
  <c r="IR53" i="3"/>
  <c r="IQ53" i="3"/>
  <c r="IF53" i="3"/>
  <c r="IE53" i="3"/>
  <c r="ID53" i="3"/>
  <c r="IC53" i="3"/>
  <c r="IB53" i="3"/>
  <c r="IA53" i="3"/>
  <c r="HR53" i="3"/>
  <c r="HQ53" i="3"/>
  <c r="HP53" i="3"/>
  <c r="HO53" i="3"/>
  <c r="HN53" i="3"/>
  <c r="HM53" i="3"/>
  <c r="HL53" i="3"/>
  <c r="HK53" i="3"/>
  <c r="HH53" i="3"/>
  <c r="HG53" i="3"/>
  <c r="HD53" i="3"/>
  <c r="HC53" i="3"/>
  <c r="HB53" i="3"/>
  <c r="HA53" i="3"/>
  <c r="GZ53" i="3"/>
  <c r="GY53" i="3"/>
  <c r="GX53" i="3"/>
  <c r="GW53" i="3"/>
  <c r="GV53" i="3"/>
  <c r="GU53" i="3"/>
  <c r="GT53" i="3"/>
  <c r="GS53" i="3"/>
  <c r="K160" i="37"/>
  <c r="F11" i="27"/>
  <c r="C225" i="3" l="1"/>
  <c r="D225" i="3" s="1"/>
  <c r="E225" i="3" s="1"/>
  <c r="H225" i="3"/>
  <c r="B225" i="3"/>
  <c r="A226" i="3" s="1"/>
  <c r="F225" i="3"/>
  <c r="G225" i="3" s="1"/>
  <c r="J17" i="27"/>
  <c r="H226" i="3" l="1"/>
  <c r="A227" i="3"/>
  <c r="C226" i="3"/>
  <c r="D226" i="3" s="1"/>
  <c r="E226" i="3" s="1"/>
  <c r="F226" i="3"/>
  <c r="G226" i="3" s="1"/>
  <c r="L10" i="37"/>
  <c r="A228" i="3" l="1"/>
  <c r="H227" i="3"/>
  <c r="C227" i="3"/>
  <c r="D227" i="3" s="1"/>
  <c r="E227" i="3" s="1"/>
  <c r="F227" i="3"/>
  <c r="G227" i="3" s="1"/>
  <c r="N10" i="37"/>
  <c r="BW53" i="3"/>
  <c r="GR52" i="3"/>
  <c r="L11" i="37" s="1"/>
  <c r="L155" i="37" l="1"/>
  <c r="G11" i="27" s="1"/>
  <c r="M11" i="37"/>
  <c r="A229" i="3"/>
  <c r="C228" i="3"/>
  <c r="D228" i="3" s="1"/>
  <c r="E228" i="3" s="1"/>
  <c r="H228" i="3"/>
  <c r="F228" i="3"/>
  <c r="G228" i="3" s="1"/>
  <c r="L159" i="37"/>
  <c r="L160" i="37" s="1"/>
  <c r="M159" i="37"/>
  <c r="H229" i="3" l="1"/>
  <c r="C229" i="3"/>
  <c r="D229" i="3" s="1"/>
  <c r="E229" i="3" s="1"/>
  <c r="A230" i="3"/>
  <c r="F229" i="3"/>
  <c r="G229" i="3" s="1"/>
  <c r="M155" i="37"/>
  <c r="H11" i="27" s="1"/>
  <c r="N11" i="37"/>
  <c r="N159" i="37" s="1"/>
  <c r="G18" i="27"/>
  <c r="I18" i="25"/>
  <c r="I40" i="25" s="1"/>
  <c r="I42" i="25" s="1"/>
  <c r="M160" i="37"/>
  <c r="H230" i="3" l="1"/>
  <c r="A231" i="3"/>
  <c r="C230" i="3"/>
  <c r="D230" i="3" s="1"/>
  <c r="E230" i="3" s="1"/>
  <c r="F230" i="3"/>
  <c r="G230" i="3" s="1"/>
  <c r="GR53" i="3"/>
  <c r="N160" i="37"/>
  <c r="N155" i="37"/>
  <c r="I11" i="27" s="1"/>
  <c r="J11" i="27" s="1"/>
  <c r="E29" i="7"/>
  <c r="I44" i="25"/>
  <c r="A232" i="3" l="1"/>
  <c r="H231" i="3"/>
  <c r="C231" i="3"/>
  <c r="D231" i="3" s="1"/>
  <c r="E231" i="3" s="1"/>
  <c r="F231" i="3"/>
  <c r="G231" i="3" s="1"/>
  <c r="H18" i="25"/>
  <c r="K18" i="25" s="1"/>
  <c r="J19" i="27"/>
  <c r="H24" i="27" s="1"/>
  <c r="K29" i="7"/>
  <c r="K37" i="7" s="1"/>
  <c r="E37" i="7"/>
  <c r="J27" i="27" s="1"/>
  <c r="A233" i="3" l="1"/>
  <c r="H232" i="3"/>
  <c r="C232" i="3"/>
  <c r="D232" i="3" s="1"/>
  <c r="E232" i="3" s="1"/>
  <c r="F232" i="3"/>
  <c r="G232" i="3" s="1"/>
  <c r="H12" i="26"/>
  <c r="H15" i="26" s="1"/>
  <c r="H18" i="26" s="1"/>
  <c r="D38" i="7"/>
  <c r="K38" i="7"/>
  <c r="H28" i="27"/>
  <c r="S53" i="3" s="1"/>
  <c r="C233" i="3" l="1"/>
  <c r="D233" i="3" s="1"/>
  <c r="E233" i="3" s="1"/>
  <c r="A234" i="3"/>
  <c r="H233" i="3"/>
  <c r="F233" i="3"/>
  <c r="G233" i="3" s="1"/>
  <c r="H30" i="27"/>
  <c r="H20" i="26"/>
  <c r="C234" i="3" l="1"/>
  <c r="D234" i="3" s="1"/>
  <c r="E234" i="3" s="1"/>
  <c r="H234" i="3"/>
  <c r="A235" i="3"/>
  <c r="F234" i="3"/>
  <c r="G234" i="3" s="1"/>
  <c r="H21" i="26"/>
  <c r="H22" i="26" s="1"/>
  <c r="A236" i="3" l="1"/>
  <c r="C235" i="3"/>
  <c r="D235" i="3" s="1"/>
  <c r="E235" i="3" s="1"/>
  <c r="H235" i="3"/>
  <c r="F235" i="3"/>
  <c r="G235" i="3" s="1"/>
  <c r="H24" i="26"/>
  <c r="A237" i="3" l="1"/>
  <c r="H236" i="3"/>
  <c r="C236" i="3"/>
  <c r="D236" i="3" s="1"/>
  <c r="E236" i="3" s="1"/>
  <c r="F236" i="3"/>
  <c r="G236" i="3" s="1"/>
  <c r="Q53" i="3"/>
  <c r="H27" i="26"/>
  <c r="H28" i="26" l="1"/>
  <c r="H29" i="26" s="1"/>
  <c r="B237" i="3"/>
  <c r="A238" i="3" s="1"/>
  <c r="H237" i="3"/>
  <c r="C237" i="3"/>
  <c r="D237" i="3" s="1"/>
  <c r="E237" i="3" s="1"/>
  <c r="F237" i="3"/>
  <c r="G237" i="3" s="1"/>
  <c r="L445" i="29"/>
  <c r="K314" i="29"/>
  <c r="G59" i="40" s="1"/>
  <c r="C238" i="3" l="1"/>
  <c r="D238" i="3" s="1"/>
  <c r="E238" i="3" s="1"/>
  <c r="A239" i="3"/>
  <c r="H238" i="3"/>
  <c r="F238" i="3"/>
  <c r="G238" i="3" s="1"/>
  <c r="H59" i="40"/>
  <c r="M59" i="40"/>
  <c r="L446" i="29"/>
  <c r="I26" i="27"/>
  <c r="J26" i="27" s="1"/>
  <c r="L341" i="29"/>
  <c r="L350" i="29" s="1"/>
  <c r="L414" i="29" s="1"/>
  <c r="L423" i="29" s="1"/>
  <c r="A240" i="3" l="1"/>
  <c r="H239" i="3"/>
  <c r="C239" i="3"/>
  <c r="D239" i="3" s="1"/>
  <c r="E239" i="3" s="1"/>
  <c r="F239" i="3"/>
  <c r="G239" i="3" s="1"/>
  <c r="G60" i="40"/>
  <c r="N59" i="40"/>
  <c r="FQ53" i="3"/>
  <c r="C240" i="3" l="1"/>
  <c r="D240" i="3" s="1"/>
  <c r="E240" i="3" s="1"/>
  <c r="A241" i="3"/>
  <c r="H240" i="3"/>
  <c r="F240" i="3"/>
  <c r="G240" i="3" s="1"/>
  <c r="M60" i="40"/>
  <c r="M73" i="40" s="1"/>
  <c r="H60" i="40"/>
  <c r="N60" i="40" s="1"/>
  <c r="N73" i="40" s="1"/>
  <c r="A242" i="3" l="1"/>
  <c r="H241" i="3"/>
  <c r="C241" i="3"/>
  <c r="D241" i="3" s="1"/>
  <c r="E241" i="3" s="1"/>
  <c r="F241" i="3"/>
  <c r="G241" i="3" s="1"/>
  <c r="N69" i="40"/>
  <c r="I14" i="27" s="1"/>
  <c r="J20" i="27" s="1"/>
  <c r="M69" i="40"/>
  <c r="H14" i="27" s="1"/>
  <c r="H18" i="27" s="1"/>
  <c r="M74" i="40"/>
  <c r="N74" i="40"/>
  <c r="A243" i="3" l="1"/>
  <c r="H242" i="3"/>
  <c r="C242" i="3"/>
  <c r="D242" i="3" s="1"/>
  <c r="E242" i="3" s="1"/>
  <c r="F242" i="3"/>
  <c r="G242" i="3" s="1"/>
  <c r="H24" i="25"/>
  <c r="K24" i="25" s="1"/>
  <c r="I18" i="27"/>
  <c r="J18" i="27" s="1"/>
  <c r="J14" i="27"/>
  <c r="I24" i="27"/>
  <c r="I28" i="27" s="1"/>
  <c r="J12" i="26"/>
  <c r="A244" i="3" l="1"/>
  <c r="H243" i="3"/>
  <c r="C243" i="3"/>
  <c r="D243" i="3" s="1"/>
  <c r="E243" i="3" s="1"/>
  <c r="F243" i="3"/>
  <c r="G243" i="3" s="1"/>
  <c r="J24" i="27"/>
  <c r="J28" i="27" s="1"/>
  <c r="J30" i="27" s="1"/>
  <c r="J15" i="26"/>
  <c r="J18" i="26" s="1"/>
  <c r="L12" i="26"/>
  <c r="L15" i="26" s="1"/>
  <c r="L18" i="26" s="1"/>
  <c r="T53" i="3"/>
  <c r="I30" i="27"/>
  <c r="A245" i="3" l="1"/>
  <c r="C244" i="3"/>
  <c r="D244" i="3" s="1"/>
  <c r="E244" i="3" s="1"/>
  <c r="H244" i="3"/>
  <c r="F244" i="3"/>
  <c r="G244" i="3" s="1"/>
  <c r="J20" i="26"/>
  <c r="A246" i="3" l="1"/>
  <c r="C245" i="3"/>
  <c r="D245" i="3" s="1"/>
  <c r="E245" i="3" s="1"/>
  <c r="H245" i="3"/>
  <c r="F245" i="3"/>
  <c r="G245" i="3" s="1"/>
  <c r="J21" i="26"/>
  <c r="J22" i="26" s="1"/>
  <c r="L21" i="26"/>
  <c r="L22" i="26"/>
  <c r="A247" i="3" l="1"/>
  <c r="C246" i="3"/>
  <c r="D246" i="3" s="1"/>
  <c r="E246" i="3" s="1"/>
  <c r="H246" i="3"/>
  <c r="F246" i="3"/>
  <c r="G246" i="3" s="1"/>
  <c r="L20" i="26"/>
  <c r="L24" i="26" s="1"/>
  <c r="L27" i="26" s="1"/>
  <c r="L28" i="26" s="1"/>
  <c r="J24" i="26"/>
  <c r="A248" i="3" l="1"/>
  <c r="H247" i="3"/>
  <c r="C247" i="3"/>
  <c r="D247" i="3" s="1"/>
  <c r="E247" i="3" s="1"/>
  <c r="F247" i="3"/>
  <c r="G247" i="3" s="1"/>
  <c r="H38" i="25"/>
  <c r="K38" i="25" s="1"/>
  <c r="P53" i="3" s="1"/>
  <c r="J27" i="26"/>
  <c r="R53" i="3"/>
  <c r="C248" i="3" l="1"/>
  <c r="D248" i="3" s="1"/>
  <c r="E248" i="3" s="1"/>
  <c r="A249" i="3"/>
  <c r="H248" i="3"/>
  <c r="F248" i="3"/>
  <c r="G248" i="3" s="1"/>
  <c r="H40" i="25"/>
  <c r="H42" i="25" s="1"/>
  <c r="H44" i="25" s="1"/>
  <c r="L29" i="26"/>
  <c r="J28" i="26"/>
  <c r="J29" i="26" s="1"/>
  <c r="B249" i="3" l="1"/>
  <c r="A250" i="3" s="1"/>
  <c r="H249" i="3"/>
  <c r="C249" i="3"/>
  <c r="D249" i="3" s="1"/>
  <c r="E249" i="3" s="1"/>
  <c r="F249" i="3"/>
  <c r="G249" i="3" s="1"/>
  <c r="K40" i="25"/>
  <c r="K42" i="25" s="1"/>
  <c r="K44" i="25" s="1"/>
  <c r="K46" i="25" s="1"/>
  <c r="C250" i="3" l="1"/>
  <c r="D250" i="3" s="1"/>
  <c r="E250" i="3" s="1"/>
  <c r="H250" i="3"/>
  <c r="A251" i="3"/>
  <c r="F250" i="3"/>
  <c r="G250" i="3" s="1"/>
  <c r="A252" i="3" l="1"/>
  <c r="H251" i="3"/>
  <c r="C251" i="3"/>
  <c r="D251" i="3" s="1"/>
  <c r="E251" i="3" s="1"/>
  <c r="F251" i="3"/>
  <c r="G251" i="3" s="1"/>
  <c r="H252" i="3" l="1"/>
  <c r="C252" i="3"/>
  <c r="D252" i="3" s="1"/>
  <c r="E252" i="3" s="1"/>
  <c r="A253" i="3"/>
  <c r="F252" i="3"/>
  <c r="G252" i="3" s="1"/>
  <c r="C253" i="3" l="1"/>
  <c r="D253" i="3" s="1"/>
  <c r="E253" i="3" s="1"/>
  <c r="A254" i="3"/>
  <c r="H253" i="3"/>
  <c r="F253" i="3"/>
  <c r="G253" i="3" s="1"/>
  <c r="C254" i="3" l="1"/>
  <c r="D254" i="3" s="1"/>
  <c r="E254" i="3" s="1"/>
  <c r="A255" i="3"/>
  <c r="H254" i="3"/>
  <c r="F254" i="3"/>
  <c r="G254" i="3" s="1"/>
  <c r="C255" i="3" l="1"/>
  <c r="D255" i="3" s="1"/>
  <c r="E255" i="3" s="1"/>
  <c r="A256" i="3"/>
  <c r="H255" i="3"/>
  <c r="F255" i="3"/>
  <c r="G255" i="3" s="1"/>
  <c r="C256" i="3" l="1"/>
  <c r="D256" i="3" s="1"/>
  <c r="E256" i="3" s="1"/>
  <c r="A257" i="3"/>
  <c r="H256" i="3"/>
  <c r="F256" i="3"/>
  <c r="G256" i="3" s="1"/>
  <c r="A258" i="3" l="1"/>
  <c r="C257" i="3"/>
  <c r="D257" i="3" s="1"/>
  <c r="E257" i="3" s="1"/>
  <c r="H257" i="3"/>
  <c r="F257" i="3"/>
  <c r="G257" i="3" s="1"/>
  <c r="C258" i="3" l="1"/>
  <c r="D258" i="3" s="1"/>
  <c r="E258" i="3" s="1"/>
  <c r="H258" i="3"/>
  <c r="A259" i="3"/>
  <c r="F258" i="3"/>
  <c r="G258" i="3" s="1"/>
  <c r="C259" i="3" l="1"/>
  <c r="D259" i="3" s="1"/>
  <c r="E259" i="3" s="1"/>
  <c r="A260" i="3"/>
  <c r="H259" i="3"/>
  <c r="F259" i="3"/>
  <c r="G259" i="3" s="1"/>
  <c r="C260" i="3" l="1"/>
  <c r="D260" i="3" s="1"/>
  <c r="E260" i="3" s="1"/>
  <c r="A261" i="3"/>
  <c r="H260" i="3"/>
  <c r="F260" i="3"/>
  <c r="G260" i="3" s="1"/>
  <c r="C261" i="3" l="1"/>
  <c r="D261" i="3" s="1"/>
  <c r="E261" i="3" s="1"/>
  <c r="B261" i="3"/>
  <c r="A262" i="3" s="1"/>
  <c r="H261" i="3"/>
  <c r="F261" i="3"/>
  <c r="G261" i="3" s="1"/>
  <c r="A263" i="3" l="1"/>
  <c r="C262" i="3"/>
  <c r="D262" i="3" s="1"/>
  <c r="E262" i="3" s="1"/>
  <c r="H262" i="3"/>
  <c r="F262" i="3"/>
  <c r="G262" i="3" s="1"/>
  <c r="A264" i="3" l="1"/>
  <c r="C263" i="3"/>
  <c r="D263" i="3" s="1"/>
  <c r="E263" i="3" s="1"/>
  <c r="H263" i="3"/>
  <c r="F263" i="3"/>
  <c r="G263" i="3" s="1"/>
  <c r="C264" i="3" l="1"/>
  <c r="D264" i="3" s="1"/>
  <c r="E264" i="3" s="1"/>
  <c r="H264" i="3"/>
  <c r="A265" i="3"/>
  <c r="F264" i="3"/>
  <c r="G264" i="3" s="1"/>
  <c r="C265" i="3" l="1"/>
  <c r="D265" i="3" s="1"/>
  <c r="E265" i="3" s="1"/>
  <c r="A266" i="3"/>
  <c r="H265" i="3"/>
  <c r="F265" i="3"/>
  <c r="G265" i="3" s="1"/>
  <c r="H266" i="3" l="1"/>
  <c r="C266" i="3"/>
  <c r="D266" i="3" s="1"/>
  <c r="E266" i="3" s="1"/>
  <c r="A267" i="3"/>
  <c r="F266" i="3"/>
  <c r="G266" i="3" s="1"/>
  <c r="H267" i="3" l="1"/>
  <c r="C267" i="3"/>
  <c r="D267" i="3" s="1"/>
  <c r="E267" i="3" s="1"/>
  <c r="A268" i="3"/>
  <c r="F267" i="3"/>
  <c r="G267" i="3" s="1"/>
  <c r="H268" i="3" l="1"/>
  <c r="C268" i="3"/>
  <c r="D268" i="3" s="1"/>
  <c r="E268" i="3" s="1"/>
  <c r="A269" i="3"/>
  <c r="F268" i="3"/>
  <c r="G268" i="3" s="1"/>
  <c r="A270" i="3" l="1"/>
  <c r="C269" i="3"/>
  <c r="D269" i="3" s="1"/>
  <c r="E269" i="3" s="1"/>
  <c r="H269" i="3"/>
  <c r="F269" i="3"/>
  <c r="G269" i="3" s="1"/>
  <c r="H270" i="3" l="1"/>
  <c r="A271" i="3"/>
  <c r="C270" i="3"/>
  <c r="D270" i="3" s="1"/>
  <c r="E270" i="3" s="1"/>
  <c r="F270" i="3"/>
  <c r="G270" i="3" s="1"/>
  <c r="H271" i="3" l="1"/>
  <c r="C271" i="3"/>
  <c r="D271" i="3" s="1"/>
  <c r="E271" i="3" s="1"/>
  <c r="A272" i="3"/>
  <c r="F271" i="3"/>
  <c r="G271" i="3" s="1"/>
  <c r="H272" i="3" l="1"/>
  <c r="A273" i="3"/>
  <c r="C272" i="3"/>
  <c r="D272" i="3" s="1"/>
  <c r="E272" i="3" s="1"/>
  <c r="F272" i="3"/>
  <c r="G272" i="3" s="1"/>
  <c r="H273" i="3" l="1"/>
  <c r="C273" i="3"/>
  <c r="D273" i="3" s="1"/>
  <c r="E273" i="3" s="1"/>
  <c r="B273" i="3"/>
  <c r="A274" i="3" s="1"/>
  <c r="F273" i="3"/>
  <c r="G273" i="3" s="1"/>
  <c r="A275" i="3" l="1"/>
  <c r="H274" i="3"/>
  <c r="C274" i="3"/>
  <c r="D274" i="3" s="1"/>
  <c r="E274" i="3" s="1"/>
  <c r="F274" i="3"/>
  <c r="G274" i="3" s="1"/>
  <c r="A276" i="3" l="1"/>
  <c r="H275" i="3"/>
  <c r="C275" i="3"/>
  <c r="D275" i="3" s="1"/>
  <c r="E275" i="3" s="1"/>
  <c r="F275" i="3"/>
  <c r="G275" i="3" s="1"/>
  <c r="C276" i="3" l="1"/>
  <c r="D276" i="3" s="1"/>
  <c r="E276" i="3" s="1"/>
  <c r="A277" i="3"/>
  <c r="H276" i="3"/>
  <c r="F276" i="3"/>
  <c r="G276" i="3" s="1"/>
  <c r="A278" i="3" l="1"/>
  <c r="C277" i="3"/>
  <c r="D277" i="3" s="1"/>
  <c r="E277" i="3" s="1"/>
  <c r="H277" i="3"/>
  <c r="F277" i="3"/>
  <c r="G277" i="3" s="1"/>
  <c r="H278" i="3" l="1"/>
  <c r="C278" i="3"/>
  <c r="D278" i="3" s="1"/>
  <c r="E278" i="3" s="1"/>
  <c r="A279" i="3"/>
  <c r="F278" i="3"/>
  <c r="G278" i="3" s="1"/>
  <c r="A280" i="3" l="1"/>
  <c r="H279" i="3"/>
  <c r="C279" i="3"/>
  <c r="D279" i="3" s="1"/>
  <c r="E279" i="3" s="1"/>
  <c r="F279" i="3"/>
  <c r="G279" i="3" s="1"/>
  <c r="A281" i="3" l="1"/>
  <c r="H280" i="3"/>
  <c r="C280" i="3"/>
  <c r="D280" i="3" s="1"/>
  <c r="E280" i="3" s="1"/>
  <c r="F280" i="3"/>
  <c r="G280" i="3" s="1"/>
  <c r="C281" i="3" l="1"/>
  <c r="D281" i="3" s="1"/>
  <c r="E281" i="3" s="1"/>
  <c r="H281" i="3"/>
  <c r="A282" i="3"/>
  <c r="F281" i="3"/>
  <c r="G281" i="3" s="1"/>
  <c r="H282" i="3" l="1"/>
  <c r="C282" i="3"/>
  <c r="D282" i="3" s="1"/>
  <c r="E282" i="3" s="1"/>
  <c r="A283" i="3"/>
  <c r="F282" i="3"/>
  <c r="G282" i="3" s="1"/>
  <c r="A284" i="3" l="1"/>
  <c r="H283" i="3"/>
  <c r="C283" i="3"/>
  <c r="D283" i="3" s="1"/>
  <c r="E283" i="3" s="1"/>
  <c r="F283" i="3"/>
  <c r="G283" i="3" s="1"/>
  <c r="A285" i="3" l="1"/>
  <c r="C284" i="3"/>
  <c r="D284" i="3" s="1"/>
  <c r="E284" i="3" s="1"/>
  <c r="H284" i="3"/>
  <c r="F284" i="3"/>
  <c r="G284" i="3" s="1"/>
  <c r="B285" i="3" l="1"/>
  <c r="A286" i="3" s="1"/>
  <c r="C285" i="3"/>
  <c r="D285" i="3" s="1"/>
  <c r="E285" i="3" s="1"/>
  <c r="H285" i="3"/>
  <c r="F285" i="3"/>
  <c r="G285" i="3" s="1"/>
  <c r="C286" i="3" l="1"/>
  <c r="D286" i="3" s="1"/>
  <c r="E286" i="3" s="1"/>
  <c r="H286" i="3"/>
  <c r="A287" i="3"/>
  <c r="F286" i="3"/>
  <c r="G286" i="3" s="1"/>
  <c r="C287" i="3" l="1"/>
  <c r="D287" i="3" s="1"/>
  <c r="E287" i="3" s="1"/>
  <c r="H287" i="3"/>
  <c r="F287" i="3"/>
  <c r="G287" i="3" s="1"/>
  <c r="D33" i="36" l="1"/>
  <c r="J33" i="36" s="1"/>
  <c r="D45" i="36"/>
  <c r="J45" i="36" s="1"/>
  <c r="D38" i="36"/>
  <c r="E38" i="36" s="1"/>
  <c r="K38" i="36" s="1"/>
  <c r="D44" i="36"/>
  <c r="J44" i="36" s="1"/>
  <c r="D34" i="36"/>
  <c r="J34" i="36" s="1"/>
  <c r="D39" i="36"/>
  <c r="E39" i="36" s="1"/>
  <c r="K39" i="36" s="1"/>
  <c r="F60" i="8"/>
  <c r="F49" i="8"/>
  <c r="F53" i="8"/>
  <c r="F59" i="8"/>
  <c r="F48" i="8"/>
  <c r="F87" i="8" s="1"/>
  <c r="F393" i="8" s="1"/>
  <c r="F402" i="8" s="1"/>
  <c r="F54" i="8"/>
  <c r="J39" i="36" l="1"/>
  <c r="E45" i="36"/>
  <c r="K45" i="36" s="1"/>
  <c r="E34" i="36"/>
  <c r="K34" i="36" s="1"/>
  <c r="E44" i="36"/>
  <c r="K44" i="36" s="1"/>
  <c r="E33" i="36"/>
  <c r="K33" i="36" s="1"/>
  <c r="K72" i="36" s="1"/>
  <c r="F10" i="27" s="1"/>
  <c r="F18" i="27" s="1"/>
  <c r="F404" i="8"/>
  <c r="F406" i="8" s="1"/>
  <c r="B13" i="47" s="1"/>
  <c r="F388" i="8"/>
  <c r="K75" i="36"/>
  <c r="K77" i="36" s="1"/>
  <c r="J38" i="36"/>
  <c r="J72" i="36" s="1"/>
  <c r="E10" i="27" s="1"/>
  <c r="J75" i="36" l="1"/>
  <c r="J77" i="36" s="1"/>
  <c r="B13" i="24"/>
  <c r="B76" i="24" s="1"/>
  <c r="B76" i="47"/>
  <c r="B13" i="46"/>
  <c r="B76" i="46" s="1"/>
  <c r="G16" i="25"/>
  <c r="G40" i="25" s="1"/>
  <c r="G42" i="25" s="1"/>
  <c r="G44" i="25" s="1"/>
  <c r="E18" i="2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G21" authorId="0" shapeId="0" xr:uid="{00000000-0006-0000-1200-000001000000}">
      <text>
        <r>
          <rPr>
            <b/>
            <sz val="9"/>
            <color indexed="81"/>
            <rFont val="Tahoma"/>
            <family val="2"/>
          </rPr>
          <t>Insert % to Reduce Retention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2" authorId="0" shapeId="0" xr:uid="{00000000-0006-0000-1200-000002000000}">
      <text>
        <r>
          <rPr>
            <b/>
            <sz val="9"/>
            <color indexed="81"/>
            <rFont val="Tahoma"/>
            <family val="2"/>
          </rPr>
          <t>Insert % to Reduce Retention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tc={ADB35420-5DB8-4FC2-9A35-977AD3D7D3A9}</author>
    <author>tc={541CC28E-3585-48A6-985E-8F8693FACF42}</author>
  </authors>
  <commentList>
    <comment ref="F44" authorId="0" shapeId="0" xr:uid="{ADB35420-5DB8-4FC2-9A35-977AD3D7D3A9}">
      <text>
        <t>[Threaded comment]
Your version of Excel allows you to read this threaded comment; however, any edits to it will get removed if the file is opened in a newer version of Excel. Learn more: https://go.microsoft.com/fwlink/?linkid=870924
Comment:
    According to new recently received this is a bit on the low side. I suggest at least R 12 000 000.00</t>
      </text>
    </comment>
    <comment ref="F292" authorId="1" shapeId="0" xr:uid="{541CC28E-3585-48A6-985E-8F8693FACF42}">
      <text>
        <t>[Threaded comment]
Your version of Excel allows you to read this threaded comment; however, any edits to it will get removed if the file is opened in a newer version of Excel. Learn more: https://go.microsoft.com/fwlink/?linkid=870924
Comment:
    Looks too low. We are looking at least at R 850 000.00 per month current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J1009" authorId="0" shapeId="0" xr:uid="{00000000-0006-0000-2E00-000001000000}">
      <text>
        <r>
          <rPr>
            <sz val="9"/>
            <color indexed="81"/>
            <rFont val="Tahoma"/>
            <family val="2"/>
          </rPr>
          <t xml:space="preserve">This cost is a forecasted estimate at the planned commencement of the works contract (excluding contingencies, CPA during the construction period and VAT). </t>
        </r>
      </text>
    </comment>
  </commentList>
</comments>
</file>

<file path=xl/sharedStrings.xml><?xml version="1.0" encoding="utf-8"?>
<sst xmlns="http://schemas.openxmlformats.org/spreadsheetml/2006/main" count="4422" uniqueCount="997">
  <si>
    <t>Description</t>
  </si>
  <si>
    <t>Unit</t>
  </si>
  <si>
    <t>Quantity</t>
  </si>
  <si>
    <t>Rate</t>
  </si>
  <si>
    <t>Amount (R)</t>
  </si>
  <si>
    <t>% fee items; all appropriate stages</t>
  </si>
  <si>
    <t>LUMP SUM</t>
  </si>
  <si>
    <t xml:space="preserve">    (1)  Category A</t>
  </si>
  <si>
    <t>hour</t>
  </si>
  <si>
    <t>OTHER</t>
  </si>
  <si>
    <t xml:space="preserve">    (2)  Category B</t>
  </si>
  <si>
    <t xml:space="preserve">    (3)  Category C</t>
  </si>
  <si>
    <t xml:space="preserve">    (4)  Category D</t>
  </si>
  <si>
    <t>PL</t>
  </si>
  <si>
    <t>Project Leader</t>
  </si>
  <si>
    <t>CE</t>
  </si>
  <si>
    <t>RE</t>
  </si>
  <si>
    <t>DS1</t>
  </si>
  <si>
    <t>DS3</t>
  </si>
  <si>
    <t/>
  </si>
  <si>
    <t>Category</t>
  </si>
  <si>
    <t>A</t>
  </si>
  <si>
    <t>B</t>
  </si>
  <si>
    <t>C</t>
  </si>
  <si>
    <t>D</t>
  </si>
  <si>
    <t>RATE</t>
  </si>
  <si>
    <t>Various non-key personnel</t>
  </si>
  <si>
    <t>None</t>
  </si>
  <si>
    <t>SUMMARY OF ALL HOUR PAY ITEMS</t>
  </si>
  <si>
    <t>SUMMARY OF ALL NORMALISED HOUR PAY ITEMS</t>
  </si>
  <si>
    <t>ALL CATEGORIES</t>
  </si>
  <si>
    <t>NHT</t>
  </si>
  <si>
    <t>SUMMARY OF ALL KEY PERSONS NORMALISED HOURS</t>
  </si>
  <si>
    <t>% of Key Persons Only</t>
  </si>
  <si>
    <t>% of Total Hours</t>
  </si>
  <si>
    <t>NHT KEY ONLY</t>
  </si>
  <si>
    <t>SOUTH AFRICAN NATIONAL ROADS AGENCY SOC LTD</t>
  </si>
  <si>
    <t>SERVICE     PROVIDER</t>
  </si>
  <si>
    <t>Key Persons Listed for this Project</t>
  </si>
  <si>
    <t>% of Key Persons Hours Only</t>
  </si>
  <si>
    <t>NAME</t>
  </si>
  <si>
    <t>TOTAL KEY PERSONS NORMALISED HOURS ONLY</t>
  </si>
  <si>
    <t>TOTAL ALL NORMALISED HOURS</t>
  </si>
  <si>
    <t>RATIO</t>
  </si>
  <si>
    <t>TOTAL HOURS TENDERED FOR THE SERVICE PROVIDER (ALL CATEGORIES)</t>
  </si>
  <si>
    <t>Design Specialist 1 - Pavement and Materials</t>
  </si>
  <si>
    <t>Design Specialist 3 - Geometrics</t>
  </si>
  <si>
    <t>INSERT KEY PERSONS NAMES BELOW</t>
  </si>
  <si>
    <t>SERVICE PROVIDER TO COMPLETE ALL CELLS HIGHLIGHTED IN YELLOW</t>
  </si>
  <si>
    <t>DS</t>
  </si>
  <si>
    <t>TOTAL</t>
  </si>
  <si>
    <t>Project Details Input Sheet</t>
  </si>
  <si>
    <t>Note:</t>
  </si>
  <si>
    <t>Road works</t>
  </si>
  <si>
    <t xml:space="preserve">SANRAL INPUT </t>
  </si>
  <si>
    <t>light blue cells to be input by SANRAL</t>
  </si>
  <si>
    <t>Structures</t>
  </si>
  <si>
    <t xml:space="preserve">yellow cells to be input by service provider in tender stage </t>
  </si>
  <si>
    <t>Electrical</t>
  </si>
  <si>
    <t>Building</t>
  </si>
  <si>
    <t>Mechanical</t>
  </si>
  <si>
    <t>Electronic</t>
  </si>
  <si>
    <t>Proportion of fee to be paid under project phases</t>
  </si>
  <si>
    <t>Estimated cost of works</t>
  </si>
  <si>
    <t>Work Type Name</t>
  </si>
  <si>
    <t>Work type classification</t>
  </si>
  <si>
    <t>Project Phases Required</t>
  </si>
  <si>
    <t>Concept Design (CD)</t>
  </si>
  <si>
    <t>Preliminary Design (PD)</t>
  </si>
  <si>
    <t>Detailed Design (DD)</t>
  </si>
  <si>
    <t>Administration &amp; Monitoring (AMW)</t>
  </si>
  <si>
    <t>Close out (CO)</t>
  </si>
  <si>
    <t>EST (Excl. VAT)</t>
  </si>
  <si>
    <t>Full service</t>
  </si>
  <si>
    <t>DD, AMW, CO</t>
  </si>
  <si>
    <t>CD</t>
  </si>
  <si>
    <t>PD</t>
  </si>
  <si>
    <t>DD</t>
  </si>
  <si>
    <t>AMW</t>
  </si>
  <si>
    <t>CO</t>
  </si>
  <si>
    <t>Concept Design</t>
  </si>
  <si>
    <t>Preliminary Design</t>
  </si>
  <si>
    <t>Detailed Design</t>
  </si>
  <si>
    <t>Administration &amp; Monitoring of works contract</t>
  </si>
  <si>
    <t>Close out</t>
  </si>
  <si>
    <t xml:space="preserve">Building </t>
  </si>
  <si>
    <t>CD &amp; PD</t>
  </si>
  <si>
    <t>Other:</t>
  </si>
  <si>
    <t>CD ,PD&amp; DD</t>
  </si>
  <si>
    <t>PD &amp; DD</t>
  </si>
  <si>
    <t>PD, DD, AMW, CO</t>
  </si>
  <si>
    <t>AMW &amp; CO</t>
  </si>
  <si>
    <t>Mechanical, Electrical and Electronic</t>
  </si>
  <si>
    <t>Normalised hours</t>
  </si>
  <si>
    <t>Project:</t>
  </si>
  <si>
    <t>with rounding</t>
  </si>
  <si>
    <t>Work type</t>
  </si>
  <si>
    <t>Administration &amp; Monitoring</t>
  </si>
  <si>
    <t>Totals</t>
  </si>
  <si>
    <t>Adjustment</t>
  </si>
  <si>
    <t>Item No.</t>
  </si>
  <si>
    <t>Initial Assessment</t>
  </si>
  <si>
    <t>(a)   Initial Assessment</t>
  </si>
  <si>
    <t>lump sum (LS)</t>
  </si>
  <si>
    <t>lump</t>
  </si>
  <si>
    <t>sum</t>
  </si>
  <si>
    <t>(b)   Disbursements</t>
  </si>
  <si>
    <t>Visual Survey</t>
  </si>
  <si>
    <t>(a)   Visual survey</t>
  </si>
  <si>
    <t xml:space="preserve">(b)   Disbursements </t>
  </si>
  <si>
    <t>Project Assessment Report</t>
  </si>
  <si>
    <t>(a)   Project assessment report</t>
  </si>
  <si>
    <t>INVESTIGATIONS FOR DESIGN DEVELOPMENT</t>
  </si>
  <si>
    <t>Survey Services</t>
  </si>
  <si>
    <t>(a) Survey Services when procured by service provider</t>
  </si>
  <si>
    <t>prime cost (PC)</t>
  </si>
  <si>
    <t>prime</t>
  </si>
  <si>
    <t>cost</t>
  </si>
  <si>
    <t>(c) Cost when making use of SANRAL’s Property Service Providers</t>
  </si>
  <si>
    <t>Environmental  Services</t>
  </si>
  <si>
    <t>(a) Environmental services during design stage</t>
  </si>
  <si>
    <t>Geotechnical and Drilling Services</t>
  </si>
  <si>
    <t>month</t>
  </si>
  <si>
    <t>Field work for identification of material sources by service provider</t>
  </si>
  <si>
    <t>(a)  Personnel cost</t>
  </si>
  <si>
    <t>provisional sum (PS)</t>
  </si>
  <si>
    <t>prov</t>
  </si>
  <si>
    <t>(b)  Disbursements</t>
  </si>
  <si>
    <t>percentage  (%)</t>
  </si>
  <si>
    <t>DESIGN DEVELOPMENT STAGE</t>
  </si>
  <si>
    <t>*  Note to tenderer:  For tender purposes the rate for fee adjustment shall be zero. During the contract the applicable rate will be calculated i.t.o. fee adjustment specification.</t>
  </si>
  <si>
    <t>Concept design</t>
  </si>
  <si>
    <t xml:space="preserve">(a) Road works: </t>
  </si>
  <si>
    <t>(i)   Fee (based on Employer’s estimated cost of the works)</t>
  </si>
  <si>
    <t xml:space="preserve">(ii)  Fee adjustment* </t>
  </si>
  <si>
    <t xml:space="preserve">(b) Structures (bridges and other major structures): </t>
  </si>
  <si>
    <t>(c) Electrical:</t>
  </si>
  <si>
    <t>(d) Buildings:</t>
  </si>
  <si>
    <t>(e) Mechanical:</t>
  </si>
  <si>
    <t>(f) Electronic:</t>
  </si>
  <si>
    <t>(g) Other:</t>
  </si>
  <si>
    <t>(ii)  Fee adjustment*</t>
  </si>
  <si>
    <t>Preliminary design</t>
  </si>
  <si>
    <t>Detailed design</t>
  </si>
  <si>
    <t>Disbursements</t>
  </si>
  <si>
    <t>(a)   Concept design</t>
  </si>
  <si>
    <t>(b)   Preliminary design</t>
  </si>
  <si>
    <t>(c)   Detailed design</t>
  </si>
  <si>
    <t>(a) Road Safety Audit</t>
  </si>
  <si>
    <t>lump sum  (LS)</t>
  </si>
  <si>
    <t>(a)  Road Safety Audit</t>
  </si>
  <si>
    <t>Occupational Health and Safety requirements</t>
  </si>
  <si>
    <t>Training</t>
  </si>
  <si>
    <t>(a)   Employer’s candidate engineers</t>
  </si>
  <si>
    <t>person month</t>
  </si>
  <si>
    <t>(c)   Student stipend</t>
  </si>
  <si>
    <t>(b)   Review of tender documentation by original designer</t>
  </si>
  <si>
    <t>(c)   Visit to construction site by original designer</t>
  </si>
  <si>
    <t>percentage (%)</t>
  </si>
  <si>
    <t>Tender documentation</t>
  </si>
  <si>
    <t>(a)  Preparation of tender documentation</t>
  </si>
  <si>
    <t>(c)  Tender Documents on CD/DVD</t>
  </si>
  <si>
    <t>number (No)</t>
  </si>
  <si>
    <t>Clarification meeting and tender period</t>
  </si>
  <si>
    <t>(a)  Service Provider’s cost</t>
  </si>
  <si>
    <t>Tender evaluation</t>
  </si>
  <si>
    <t>(a)   Tender evaluation and report</t>
  </si>
  <si>
    <t>SUB-TOTAL</t>
  </si>
  <si>
    <t>TENDER SUM CARRIED FORWARD TO FORM OF OFFER  (C1.1.1)</t>
  </si>
  <si>
    <t xml:space="preserve"> Design stage Adjustment</t>
  </si>
  <si>
    <t>Adjustment applied on a possible updated COW during or at the end of the design stage</t>
  </si>
  <si>
    <t xml:space="preserve">Day </t>
  </si>
  <si>
    <t xml:space="preserve">Month </t>
  </si>
  <si>
    <t>Year</t>
  </si>
  <si>
    <t>Date code:</t>
  </si>
  <si>
    <t xml:space="preserve">Date </t>
  </si>
  <si>
    <t>to calulate this adjustment please insert the adjustment application date</t>
  </si>
  <si>
    <t>EST</t>
  </si>
  <si>
    <t>Tendered fee value</t>
  </si>
  <si>
    <t>Tendered %fee</t>
  </si>
  <si>
    <t>updated COW</t>
  </si>
  <si>
    <t>a</t>
  </si>
  <si>
    <t>Adjusted Rand Value ARV</t>
  </si>
  <si>
    <t>Adjustment Notes</t>
  </si>
  <si>
    <t>ARV</t>
  </si>
  <si>
    <t>COW</t>
  </si>
  <si>
    <t>COW fraction</t>
  </si>
  <si>
    <t>ARV Curve</t>
  </si>
  <si>
    <t>Delay Adjustment</t>
  </si>
  <si>
    <t>Adjustment based on a project delay arising from the Client or the Service provider</t>
  </si>
  <si>
    <t>Design COW</t>
  </si>
  <si>
    <t>Client Delay</t>
  </si>
  <si>
    <t xml:space="preserve">Service provider delay </t>
  </si>
  <si>
    <t>Tender Value Adjustment</t>
  </si>
  <si>
    <t xml:space="preserve">Adjustment based on the construction Tenderd COW </t>
  </si>
  <si>
    <t>Takeover Value Adjustment</t>
  </si>
  <si>
    <t>Adjustment based on the final COW at taking over cetificate</t>
  </si>
  <si>
    <t>Additional Adjustment based on the final COW or other changes arising during or at the end of the defects notification period.</t>
  </si>
  <si>
    <t>latest adjustment</t>
  </si>
  <si>
    <t>latest COW</t>
  </si>
  <si>
    <t>PROJECT ASSESSMENT STAGE</t>
  </si>
  <si>
    <t>TOTAL CARRIED FORWARD TO SUMMARY</t>
  </si>
  <si>
    <t>TENDER DOCUMENTATION</t>
  </si>
  <si>
    <t>CLARIFICATION MEETING, TENDER PERIOD AND TENDER EVALUATION</t>
  </si>
  <si>
    <t>ADMINISTRATION AND MONITORING OF THE WORKS CONTRACT</t>
  </si>
  <si>
    <t>CLOSE OUT</t>
  </si>
  <si>
    <t>Work Type</t>
  </si>
  <si>
    <t>Lump Sum</t>
  </si>
  <si>
    <t>ALL WORK TYPES</t>
  </si>
  <si>
    <t>INITIAL ASSESSMENT</t>
  </si>
  <si>
    <t>VISUAL SURVEY</t>
  </si>
  <si>
    <t>PROJECT ASSESSMENT REPORT</t>
  </si>
  <si>
    <t>35.01 (a)</t>
  </si>
  <si>
    <t>PREPARATION OF THE TENDER DOCUMENT</t>
  </si>
  <si>
    <t>SUMMARY FEE ITEMS</t>
  </si>
  <si>
    <t>SUMMARY NON FEE ITEMS</t>
  </si>
  <si>
    <t>ITEM No.</t>
  </si>
  <si>
    <t>TENDER EVALUATION</t>
  </si>
  <si>
    <t>Project Description:</t>
  </si>
  <si>
    <t>Fee Information sheet</t>
  </si>
  <si>
    <t>NON FEE BASED HOURS</t>
  </si>
  <si>
    <t>Project Number :</t>
  </si>
  <si>
    <t>Original</t>
  </si>
  <si>
    <t>Complete project Value Adjustment</t>
  </si>
  <si>
    <t>TENDERER NAME:</t>
  </si>
  <si>
    <t>TENDERER:</t>
  </si>
  <si>
    <t>NO</t>
  </si>
  <si>
    <t>YES</t>
  </si>
  <si>
    <t>Additional duties by Service Provider</t>
  </si>
  <si>
    <t>Hour</t>
  </si>
  <si>
    <t>Additional duties by the Employer</t>
  </si>
  <si>
    <t>RATE ONLY</t>
  </si>
  <si>
    <t>3.2.1</t>
  </si>
  <si>
    <t>3.2.2</t>
  </si>
  <si>
    <t>3.2.3</t>
  </si>
  <si>
    <t>3.3.1</t>
  </si>
  <si>
    <t>3.3.2</t>
  </si>
  <si>
    <t>3.3.3</t>
  </si>
  <si>
    <t>3.3.4</t>
  </si>
  <si>
    <t>3.4.1</t>
  </si>
  <si>
    <t>3.4.2</t>
  </si>
  <si>
    <t>3.4.3</t>
  </si>
  <si>
    <t>3.4.4</t>
  </si>
  <si>
    <t>3.4.5</t>
  </si>
  <si>
    <t>3.4.6</t>
  </si>
  <si>
    <t>3.4.7</t>
  </si>
  <si>
    <t>3.4.8</t>
  </si>
  <si>
    <t>3.4.9</t>
  </si>
  <si>
    <t>3.4.10</t>
  </si>
  <si>
    <t>3.5.1</t>
  </si>
  <si>
    <t>3.6.1</t>
  </si>
  <si>
    <t>3.6.2</t>
  </si>
  <si>
    <t>3.8.1</t>
  </si>
  <si>
    <t>3.8.2</t>
  </si>
  <si>
    <t>3.8.3</t>
  </si>
  <si>
    <t>3.8.4</t>
  </si>
  <si>
    <t>3.8.5</t>
  </si>
  <si>
    <t>(c)  Handling costs i.r.o. pay item 3.6.1(b)</t>
  </si>
  <si>
    <t xml:space="preserve">(i) Personnel - Category A </t>
  </si>
  <si>
    <t xml:space="preserve">(ii) Personnel - Category B </t>
  </si>
  <si>
    <t xml:space="preserve">(iii) Personnel - Category C </t>
  </si>
  <si>
    <t xml:space="preserve">(iv) Personnel - Category D </t>
  </si>
  <si>
    <t>(b) Service or advice procured by service provider</t>
  </si>
  <si>
    <t>Special Services and specialist advice</t>
  </si>
  <si>
    <t>(a) Special service or advice provided by the service provider</t>
  </si>
  <si>
    <t>(a) Personnel cost</t>
  </si>
  <si>
    <t xml:space="preserve">(i) Category A </t>
  </si>
  <si>
    <t xml:space="preserve">(ii) Category B </t>
  </si>
  <si>
    <t xml:space="preserve">(iii) Category C </t>
  </si>
  <si>
    <t xml:space="preserve">(iv) Category D </t>
  </si>
  <si>
    <t>(c)  Handling cost i.r.o. sub-item 3.8.1(b)</t>
  </si>
  <si>
    <t>Notes on completion</t>
  </si>
  <si>
    <t>Complete the light yellow shaded cells in the 1st claim</t>
  </si>
  <si>
    <t>Amend the light blue shaded cells with every claim</t>
  </si>
  <si>
    <t>F1 Cover</t>
  </si>
  <si>
    <t>Pg 2 Sum Scheduled &amp;</t>
  </si>
  <si>
    <t>Ensure references on Pg 2 Sum Schedule match relevant totals in Pricing schedule</t>
  </si>
  <si>
    <t>Pricing Schedules</t>
  </si>
  <si>
    <t>Pg 3 Travel</t>
  </si>
  <si>
    <t xml:space="preserve">Ensure the total of Pg 3 Travel is linked to the relevant item in the pricing schedule. This is required due to different rates for less and more than 3000km </t>
  </si>
  <si>
    <t xml:space="preserve"> SOUTH AFRICAN NATIONAL ROADS AGENCY LTD</t>
  </si>
  <si>
    <t>Consulting Engineers Fee Account</t>
  </si>
  <si>
    <t>SUMMARY FORM</t>
  </si>
  <si>
    <t>Safety Improvement</t>
  </si>
  <si>
    <t xml:space="preserve"> REGION:</t>
  </si>
  <si>
    <t>Contract No.:</t>
  </si>
  <si>
    <t>Account no.:</t>
  </si>
  <si>
    <t>CONTRACT No</t>
  </si>
  <si>
    <t>DESCRIPTION</t>
  </si>
  <si>
    <t>START DATE</t>
  </si>
  <si>
    <t>COMPLETION DATE</t>
  </si>
  <si>
    <t>CONSULTANT</t>
  </si>
  <si>
    <t>FEE BUDGET AMOUNT</t>
  </si>
  <si>
    <t>(VAT INCLUDED)</t>
  </si>
  <si>
    <t>CONTRACTOR</t>
  </si>
  <si>
    <t>CONSTRUCTION BUDGET AMOUNT</t>
  </si>
  <si>
    <t>MONTH</t>
  </si>
  <si>
    <t>ESTIMATED EXPENDITURE</t>
  </si>
  <si>
    <t>ACTUAL PAYMENT</t>
  </si>
  <si>
    <t>DESIGN &amp; DIVERSE SERVICES</t>
  </si>
  <si>
    <t>SUPERVISION</t>
  </si>
  <si>
    <t>CONSTRUCTION</t>
  </si>
  <si>
    <t>Sub-Total 2014/2015</t>
  </si>
  <si>
    <t>Sub-Total 2015/2016</t>
  </si>
  <si>
    <t>Sub-Total 2016/2017</t>
  </si>
  <si>
    <t>TOTALS</t>
  </si>
  <si>
    <r>
      <t xml:space="preserve">Actual - </t>
    </r>
    <r>
      <rPr>
        <b/>
        <sz val="12"/>
        <color indexed="10"/>
        <rFont val="Arial"/>
        <family val="2"/>
      </rPr>
      <t>Red</t>
    </r>
    <r>
      <rPr>
        <sz val="12"/>
        <rFont val="Arial"/>
        <family val="2"/>
      </rPr>
      <t xml:space="preserve"> or </t>
    </r>
    <r>
      <rPr>
        <b/>
        <sz val="12"/>
        <rFont val="Arial"/>
        <family val="2"/>
      </rPr>
      <t>Bold</t>
    </r>
  </si>
  <si>
    <t>Estimate - Black</t>
  </si>
  <si>
    <t xml:space="preserve">  SOUTH AFRICAN NATIONAL ROADS AGENCY LIMITED</t>
  </si>
  <si>
    <t xml:space="preserve">CLAIM:  Consulting Engineers Fees                                        </t>
  </si>
  <si>
    <t>Form 1</t>
  </si>
  <si>
    <t xml:space="preserve">  Payable to</t>
  </si>
  <si>
    <t xml:space="preserve">  File No:</t>
  </si>
  <si>
    <t>Address</t>
  </si>
  <si>
    <t xml:space="preserve">  Vat Registration No. :</t>
  </si>
  <si>
    <t>Consultants Ref.</t>
  </si>
  <si>
    <t>Contract no. :</t>
  </si>
  <si>
    <t xml:space="preserve">  Project Description</t>
  </si>
  <si>
    <t>Consultants Invoice No.</t>
  </si>
  <si>
    <t>Account no.</t>
  </si>
  <si>
    <t>ITEM</t>
  </si>
  <si>
    <t>TENDERED AMOUNT</t>
  </si>
  <si>
    <t xml:space="preserve">      TOTAL TO DATE</t>
  </si>
  <si>
    <t>TOTAL PREVIOUS PAYMENTS</t>
  </si>
  <si>
    <t>TOTAL NOW PAYABLE</t>
  </si>
  <si>
    <t>FORM</t>
  </si>
  <si>
    <t>APPOINTMENT APPROVED BY BOARD</t>
  </si>
  <si>
    <t xml:space="preserve">  Date:</t>
  </si>
  <si>
    <t>C3.2</t>
  </si>
  <si>
    <t xml:space="preserve">  Item No:</t>
  </si>
  <si>
    <t>C3.3</t>
  </si>
  <si>
    <t>C3.4</t>
  </si>
  <si>
    <t xml:space="preserve"> PAYMENT AUTHORISATION</t>
  </si>
  <si>
    <t>C3.5</t>
  </si>
  <si>
    <t>C3.6</t>
  </si>
  <si>
    <t>…………………………..</t>
  </si>
  <si>
    <t>C3.7</t>
  </si>
  <si>
    <t xml:space="preserve"> PROJECT MANAGER       </t>
  </si>
  <si>
    <t xml:space="preserve"> DATE</t>
  </si>
  <si>
    <t>C3.8</t>
  </si>
  <si>
    <t>C3.9</t>
  </si>
  <si>
    <t xml:space="preserve">Esc </t>
  </si>
  <si>
    <t xml:space="preserve">Escalation </t>
  </si>
  <si>
    <t>ESC2</t>
  </si>
  <si>
    <t>………………………</t>
  </si>
  <si>
    <t xml:space="preserve"> FINANCIAL MANAGER        </t>
  </si>
  <si>
    <t xml:space="preserve"> FINAL ACCOUNT:  APPROVED</t>
  </si>
  <si>
    <t>Retention @ 10%</t>
  </si>
  <si>
    <t>Sub-Total</t>
  </si>
  <si>
    <t>GRAND TOTAL:</t>
  </si>
  <si>
    <t xml:space="preserve"> REGIONAL MANAGER        </t>
  </si>
  <si>
    <t>AMOUNT PAYABLE</t>
  </si>
  <si>
    <t>BUDGET AMOUNT AS PER CASHFLOW</t>
  </si>
  <si>
    <t xml:space="preserve">  …………………………..</t>
  </si>
  <si>
    <t xml:space="preserve">   ……………….........</t>
  </si>
  <si>
    <t xml:space="preserve"> CONSULTING ENGINEER</t>
  </si>
  <si>
    <t xml:space="preserve">   DATE</t>
  </si>
  <si>
    <t>PAGE 1</t>
  </si>
  <si>
    <t xml:space="preserve">ACCOUNT NO </t>
  </si>
  <si>
    <t>PAYMENT CALCULATION FOR WORK DONE TO DATE</t>
  </si>
  <si>
    <t>FROM</t>
  </si>
  <si>
    <t>PAGE</t>
  </si>
  <si>
    <t>Design</t>
  </si>
  <si>
    <t>Supervision</t>
  </si>
  <si>
    <t>Actual</t>
  </si>
  <si>
    <t>Value of scheduled work to date</t>
  </si>
  <si>
    <t>Add: Value of Extra work (Variation Orders) - CPI Applic.</t>
  </si>
  <si>
    <t>Add: Value of Extra work (Variation Orders) - CPI not Applic.</t>
  </si>
  <si>
    <t>Sub-total</t>
  </si>
  <si>
    <t>Add: Total contract price adjustment</t>
  </si>
  <si>
    <t>Deduct: Penalties</t>
  </si>
  <si>
    <t>Sub-total (A)</t>
  </si>
  <si>
    <t>Deduct: Previous certificate (A)</t>
  </si>
  <si>
    <t>Total this certificate</t>
  </si>
  <si>
    <t>NET AMOUNT NOW DUE FOR PAYMENT</t>
  </si>
  <si>
    <t xml:space="preserve"> CONSULTING FIRM</t>
  </si>
  <si>
    <t>DATE</t>
  </si>
  <si>
    <t>SANRAL PROJECT MANAGER</t>
  </si>
  <si>
    <t>PAGE 2</t>
  </si>
  <si>
    <t>ACCOUNT NO</t>
  </si>
  <si>
    <t>SUMMARY OF SCHEDULED WORK</t>
  </si>
  <si>
    <t>Section</t>
  </si>
  <si>
    <t>From Page</t>
  </si>
  <si>
    <t>Scheduled</t>
  </si>
  <si>
    <t>Revised</t>
  </si>
  <si>
    <t>Previous</t>
  </si>
  <si>
    <t>This Month</t>
  </si>
  <si>
    <t>Total to Date</t>
  </si>
  <si>
    <t>Outstanding</t>
  </si>
  <si>
    <t>Total Scheduled work</t>
  </si>
  <si>
    <t>Total Scheduled Design (A) to Page 1</t>
  </si>
  <si>
    <t>Total Scheduled Supervision (B) to Page 1</t>
  </si>
  <si>
    <t>ESCALATABLE WORK</t>
  </si>
  <si>
    <t>Total</t>
  </si>
  <si>
    <t>Deduct: Provisional Sums and PC Sums and Mark-up from Page 4</t>
  </si>
  <si>
    <t xml:space="preserve">Subtotal Escalatable work (C) </t>
  </si>
  <si>
    <t>Deduct: Previous Certificate Escalatable work (C)</t>
  </si>
  <si>
    <t>Net amount of Work for current month C.P.A. to Page 9</t>
  </si>
  <si>
    <t>PAGE 3</t>
  </si>
  <si>
    <t xml:space="preserve">TRAVEL FOR SITE PERSONNEL </t>
  </si>
  <si>
    <t>Name</t>
  </si>
  <si>
    <t>Period</t>
  </si>
  <si>
    <t>Car Details</t>
  </si>
  <si>
    <t>Km</t>
  </si>
  <si>
    <t>Amount</t>
  </si>
  <si>
    <t>Total to date</t>
  </si>
  <si>
    <t>From</t>
  </si>
  <si>
    <t>To</t>
  </si>
  <si>
    <t>Make and Type</t>
  </si>
  <si>
    <t>cm3</t>
  </si>
  <si>
    <t>Per Km</t>
  </si>
  <si>
    <t>Site Travel</t>
  </si>
  <si>
    <t>Total km</t>
  </si>
  <si>
    <t>FIXED</t>
  </si>
  <si>
    <t>CHANGE</t>
  </si>
  <si>
    <t>PP</t>
  </si>
  <si>
    <t>&gt;3000</t>
  </si>
  <si>
    <t>SUB TOTAL</t>
  </si>
  <si>
    <t>PAGE 4.1</t>
  </si>
  <si>
    <t>PROVISIONAL SUM / PC SUM BREAKDOWN &amp; MARK-UP</t>
  </si>
  <si>
    <t>Carried forward to Page 4.2</t>
  </si>
  <si>
    <t>PAGE 4.2</t>
  </si>
  <si>
    <t>CONTRACT NO:</t>
  </si>
  <si>
    <t>Brought forward from Page 4.1</t>
  </si>
  <si>
    <t>Carried forward to Page 4.3</t>
  </si>
  <si>
    <t>PAGE 4.3</t>
  </si>
  <si>
    <t>Brought forward from Page 4.2</t>
  </si>
  <si>
    <t>PAGE 4.4</t>
  </si>
  <si>
    <t>Brought forward from Page 4.3</t>
  </si>
  <si>
    <t>Design phase: Total Provisional sums and PC Sums &amp; mark-up to Page 2</t>
  </si>
  <si>
    <t>Supervision phase: Total Provisional sums and PC Sums &amp; mark-up to Page 2</t>
  </si>
  <si>
    <t>Total Provisional Sums and PC Sum &amp; Mark-up</t>
  </si>
  <si>
    <t>PAGE 5</t>
  </si>
  <si>
    <t xml:space="preserve">ACCOUNT NO: </t>
  </si>
  <si>
    <t>ADDITIONAL DUTIES BREAKDOWN</t>
  </si>
  <si>
    <t>37.01 Additional duties</t>
  </si>
  <si>
    <t>A {type of additional duties}</t>
  </si>
  <si>
    <t>(a) Category A ________________________</t>
  </si>
  <si>
    <t>(b) Category B ________________________</t>
  </si>
  <si>
    <t>(c) Category C Daan de Winnaar</t>
  </si>
  <si>
    <t>hr</t>
  </si>
  <si>
    <t>(c) Category C ________________________</t>
  </si>
  <si>
    <t>(d) Category D ________________________</t>
  </si>
  <si>
    <t>i) Travelling , Daan de Winnaar</t>
  </si>
  <si>
    <t>km</t>
  </si>
  <si>
    <t>ii)</t>
  </si>
  <si>
    <t>B {type of additional duties}</t>
  </si>
  <si>
    <t>i)</t>
  </si>
  <si>
    <t>Total Additional Duties</t>
  </si>
  <si>
    <t>PAGE 6</t>
  </si>
  <si>
    <t>Design phase</t>
  </si>
  <si>
    <t>Design phase variation orders</t>
  </si>
  <si>
    <t>Supervision phase</t>
  </si>
  <si>
    <t>Supervision phase variation orders</t>
  </si>
  <si>
    <t>Design phase: Total Variation orders (CPI applicable) to Page 2 &amp; Page 1</t>
  </si>
  <si>
    <t>Supervision phase: Total Variation orders (CPI applicable) to Page 2 &amp; Page 1</t>
  </si>
  <si>
    <t>Total Variation Orders (CPI applicable)</t>
  </si>
  <si>
    <t>PAGE 7</t>
  </si>
  <si>
    <t>Design phase: Total Variation orders (CPI not applicable) to Page 1</t>
  </si>
  <si>
    <t>Supervision phase: Total Variation orders (CPI not applicable) to Page 1</t>
  </si>
  <si>
    <t>Total Variation Orders (CPI not applicable)</t>
  </si>
  <si>
    <t>PAGE 8</t>
  </si>
  <si>
    <t>PENALTIES</t>
  </si>
  <si>
    <t>Penalty</t>
  </si>
  <si>
    <t>Design phase penalties</t>
  </si>
  <si>
    <t>Supervision phase penalties</t>
  </si>
  <si>
    <t>Design phase: Total Penalties to Page 1</t>
  </si>
  <si>
    <t>Supervision phase: Total Penalties to Page 1</t>
  </si>
  <si>
    <t>Total Penalties</t>
  </si>
  <si>
    <t>PAGE 9</t>
  </si>
  <si>
    <t>CONTRACT PRICE ADJUSTMENT</t>
  </si>
  <si>
    <t xml:space="preserve">                          Ct   </t>
  </si>
  <si>
    <t>Base Date</t>
  </si>
  <si>
    <t>f = (1-x)  *  { a -------  -1 }</t>
  </si>
  <si>
    <t>Co = Lo</t>
  </si>
  <si>
    <t>Urban Area</t>
  </si>
  <si>
    <t xml:space="preserve">                          Co</t>
  </si>
  <si>
    <t>Ct = Lt</t>
  </si>
  <si>
    <t>x =</t>
  </si>
  <si>
    <t>a =</t>
  </si>
  <si>
    <t>* denotes provisional index</t>
  </si>
  <si>
    <t>No</t>
  </si>
  <si>
    <t>Month</t>
  </si>
  <si>
    <t>L</t>
  </si>
  <si>
    <t>Factor</t>
  </si>
  <si>
    <t>Work Done</t>
  </si>
  <si>
    <t>CPA</t>
  </si>
  <si>
    <t>BASE</t>
  </si>
  <si>
    <t>DESIGN</t>
  </si>
  <si>
    <t>*</t>
  </si>
  <si>
    <t>Total Design to Page 1</t>
  </si>
  <si>
    <t>Sub Total Supervision</t>
  </si>
  <si>
    <t>Total Supervision to Page 1</t>
  </si>
  <si>
    <r>
      <t xml:space="preserve">  </t>
    </r>
    <r>
      <rPr>
        <b/>
        <sz val="10"/>
        <rFont val="Arial"/>
        <family val="2"/>
      </rPr>
      <t>SOUTH AFRICAN NATIONAL ROADS AGENCY LIMITED</t>
    </r>
  </si>
  <si>
    <t xml:space="preserve">CLAIM:  Consulting Engineers Fees                                                                                                </t>
  </si>
  <si>
    <t xml:space="preserve"> Account No.</t>
  </si>
  <si>
    <t xml:space="preserve"> Contract No.</t>
  </si>
  <si>
    <t>PRICING SCHEDULE</t>
  </si>
  <si>
    <t>Sched. Quantity</t>
  </si>
  <si>
    <t>Fin. Est. Quantity</t>
  </si>
  <si>
    <t>Prev. Quantity</t>
  </si>
  <si>
    <t>This month Quantity</t>
  </si>
  <si>
    <t>Total current Quantity</t>
  </si>
  <si>
    <t>Sched. Amount</t>
  </si>
  <si>
    <t>Fin. Est. Amount</t>
  </si>
  <si>
    <t>Prev. Amount</t>
  </si>
  <si>
    <t>This month Amount</t>
  </si>
  <si>
    <t>Total current Amount (R)</t>
  </si>
  <si>
    <t>TOTAL CARRIED FORWARD TO PAGE 2</t>
  </si>
  <si>
    <r>
      <t xml:space="preserve">  </t>
    </r>
    <r>
      <rPr>
        <b/>
        <sz val="9"/>
        <rFont val="Arial"/>
        <family val="2"/>
      </rPr>
      <t>SOUTH AFRICAN NATIONAL ROADS AGENCY LIMITED</t>
    </r>
  </si>
  <si>
    <t xml:space="preserve">CLAIM:  Consulting Engineers Fees                                                                                               </t>
  </si>
  <si>
    <t>LOG SHEET FOR SITE PERSONNEL</t>
  </si>
  <si>
    <t>NAME :</t>
  </si>
  <si>
    <t>VEHICLE :</t>
  </si>
  <si>
    <t>MONTH :</t>
  </si>
  <si>
    <t>CAPACITY :</t>
  </si>
  <si>
    <t>SITE :</t>
  </si>
  <si>
    <t>REG. NO. :</t>
  </si>
  <si>
    <t>ODOMETER</t>
  </si>
  <si>
    <t>DISTANCE TRAVELLED</t>
  </si>
  <si>
    <t>DESTINATION</t>
  </si>
  <si>
    <t>PURPOSE</t>
  </si>
  <si>
    <t>TO/FROM SITE</t>
  </si>
  <si>
    <t>BUSINESS</t>
  </si>
  <si>
    <t>PRIVATE</t>
  </si>
  <si>
    <t>Opening</t>
  </si>
  <si>
    <t>SIGNATURE :</t>
  </si>
  <si>
    <t>DATE :</t>
  </si>
  <si>
    <t>(b) Handling costs i.r.o. sub item 3.4.6(a)</t>
  </si>
  <si>
    <t>(b)  Handling costs i.r.o. sub item 3.4.7(a)</t>
  </si>
  <si>
    <t>(d)   Handling cost i.r.o. sub-items 3.4.10(b) and 3.4.10(c)</t>
  </si>
  <si>
    <t>3.7.1</t>
  </si>
  <si>
    <t>3.7.2</t>
  </si>
  <si>
    <t>3.7.5</t>
  </si>
  <si>
    <t>(a) Continuous compliance and monthly internal audits</t>
  </si>
  <si>
    <t>(b) external site audits</t>
  </si>
  <si>
    <t>Occupational Health and Safety obligations</t>
  </si>
  <si>
    <t>(c)  Handling costs i.r.o. pay item 3.7.2 (b)</t>
  </si>
  <si>
    <t>3.7.3</t>
  </si>
  <si>
    <t>Establishment of supervisory personnel on site</t>
  </si>
  <si>
    <t>(a) Relocation costs of individual site personnel</t>
  </si>
  <si>
    <t>(b) Handling costs i.r.o. sub item 3.7.3(a)</t>
  </si>
  <si>
    <t>3.7.4</t>
  </si>
  <si>
    <t>(a) Site supervision staff</t>
  </si>
  <si>
    <t>(b) Mark up i.r.o sub item 3.7.4 (a)</t>
  </si>
  <si>
    <t>(c) Surveyor and assistants</t>
  </si>
  <si>
    <t>(e) Provision and monthly cost of office equipment</t>
  </si>
  <si>
    <t>(g) Mark up i.r.o sub item 3.7.4 (f)</t>
  </si>
  <si>
    <t>(i) Mark up i.r.o sub item 3.7.4 (h)</t>
  </si>
  <si>
    <t>Provision of Supervisory Staff and Equipment</t>
  </si>
  <si>
    <t>FULL PROJECT</t>
  </si>
  <si>
    <t>PAGE 10</t>
  </si>
  <si>
    <t>CALCULATION OF CURRENT COST OF WORKS</t>
  </si>
  <si>
    <t>DEDUCTIONS FOR % FEE CALCUALTION</t>
  </si>
  <si>
    <t>TOTAL DEDUCTIONS FOR % FEE CALCUALTION</t>
  </si>
  <si>
    <t>COW FOR % FEE CALCULATION</t>
  </si>
  <si>
    <t>TOTAL CURRENT COW</t>
  </si>
  <si>
    <t>CONTRACTOR ITEM</t>
  </si>
  <si>
    <t>3.7.6</t>
  </si>
  <si>
    <t>(a) Travelling to perform duties</t>
  </si>
  <si>
    <t>Transport for site supervisory staff and for additional services</t>
  </si>
  <si>
    <t>(b) Mark up i.r.o sub item 3.7.6 (a)</t>
  </si>
  <si>
    <t>Pavement investigation and sampling</t>
  </si>
  <si>
    <t>3.9.1</t>
  </si>
  <si>
    <t>3 X COW ON HIGH SIDE</t>
  </si>
  <si>
    <t>COW divided by 3 ON THE LOW SIDE</t>
  </si>
  <si>
    <t>HOUR CATEGORY</t>
  </si>
  <si>
    <t>Specify:</t>
  </si>
  <si>
    <t>Industrial</t>
  </si>
  <si>
    <t>Other: Industrial</t>
  </si>
  <si>
    <t>DROP-OFF % MULTIPLIER SET FOR THIS PROJECT:</t>
  </si>
  <si>
    <t>Limit of 20% above EST before % Increase</t>
  </si>
  <si>
    <t>Limit of 20% below EST before % decrease</t>
  </si>
  <si>
    <t>% of Project</t>
  </si>
  <si>
    <t>Road works, Structures, Building and Other</t>
  </si>
  <si>
    <t>Name for "Other" category:</t>
  </si>
  <si>
    <t>3.3.5</t>
  </si>
  <si>
    <t>(a) Establishment of personnel and equipment for test pitting</t>
  </si>
  <si>
    <t>(b) Pavement test pit, sampling &amp; profiling</t>
  </si>
  <si>
    <t>Laboratory testing and reporting</t>
  </si>
  <si>
    <t>(b) Laboratory Testing where no schedule is available, or specialised testing</t>
  </si>
  <si>
    <t>3.4.11</t>
  </si>
  <si>
    <t>Investigation and sampling for roadbed, borrow pits, quarries, structure founding materials and other areas, e.g. Cuttings</t>
  </si>
  <si>
    <r>
      <t>(a)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Establishment of personnel and equipment for test pitting</t>
    </r>
  </si>
  <si>
    <r>
      <t>(b)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Hire and operation of excavator</t>
    </r>
  </si>
  <si>
    <r>
      <t>(d)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Test pit excavation by hand</t>
    </r>
  </si>
  <si>
    <r>
      <t>(e)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Sampling and profiling of test pits</t>
    </r>
  </si>
  <si>
    <r>
      <t>(f)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DCP</t>
    </r>
  </si>
  <si>
    <r>
      <t>(g)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Transport of samples to laboratory</t>
    </r>
  </si>
  <si>
    <t>3.4.12</t>
  </si>
  <si>
    <r>
      <t>(b)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Laboratory Testing where no schedule is available, or specialised testing</t>
    </r>
  </si>
  <si>
    <t>(h) Accommodation for supervisory staff</t>
  </si>
  <si>
    <t>Laboratory testing</t>
  </si>
  <si>
    <t>(b) Handling cost i.r.o. sub item 3.9.1(a)</t>
  </si>
  <si>
    <t>(c) Off-site materials testing</t>
  </si>
  <si>
    <t>(a) Provision of a fully operational laboratory</t>
  </si>
  <si>
    <t>3.10.1</t>
  </si>
  <si>
    <t>Consultant Account no.:</t>
  </si>
  <si>
    <t>Contractor Account no.:</t>
  </si>
  <si>
    <t>C3.10</t>
  </si>
  <si>
    <t>INTERIM  ACCOUNT:  APPROVED</t>
  </si>
  <si>
    <t>INTERIM ACCOUNT:  RECOMMENDATION</t>
  </si>
  <si>
    <t xml:space="preserve"> NOM. PROJECT MAN.</t>
  </si>
  <si>
    <r>
      <t xml:space="preserve">  </t>
    </r>
    <r>
      <rPr>
        <b/>
        <sz val="11"/>
        <rFont val="Arial"/>
        <family val="2"/>
      </rPr>
      <t xml:space="preserve">REGION: </t>
    </r>
  </si>
  <si>
    <t>Western</t>
  </si>
  <si>
    <t>% OF VALUE OF WORK</t>
  </si>
  <si>
    <t>FINALIZED</t>
  </si>
  <si>
    <t>DATE OF TENDER CLOSE</t>
  </si>
  <si>
    <t>Leap Years</t>
  </si>
  <si>
    <t>Consultant Fee Claim Month:</t>
  </si>
  <si>
    <t>Previous adjustment</t>
  </si>
  <si>
    <t>Latest</t>
  </si>
  <si>
    <t>Actual adjustment</t>
  </si>
  <si>
    <t>CATEGORY OF PROJECT</t>
  </si>
  <si>
    <t>Related % of Project Phases</t>
  </si>
  <si>
    <r>
      <t>(c)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Dynamic Cone Penetration (DCP)</t>
    </r>
  </si>
  <si>
    <r>
      <t>(d)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Cores in asphalt layers (100/150mm dia)</t>
    </r>
  </si>
  <si>
    <r>
      <t>(e)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Cores in concrete layers (100/150mm dia)</t>
    </r>
  </si>
  <si>
    <r>
      <t>(f)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Transport of samples to laboratory:</t>
    </r>
  </si>
  <si>
    <r>
      <t>(i)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In-situ density</t>
    </r>
  </si>
  <si>
    <r>
      <t>(ii)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Moisture content</t>
    </r>
  </si>
  <si>
    <r>
      <t>(iii)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Sieve analysis</t>
    </r>
  </si>
  <si>
    <r>
      <t>(iv)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 xml:space="preserve">Atterberg limits </t>
    </r>
  </si>
  <si>
    <r>
      <t>(v)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M.D.D + OMC (Mod AASHTO) natural</t>
    </r>
  </si>
  <si>
    <r>
      <t>(vi)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M.D.D + OMC (Mod.AASHTO) stab.</t>
    </r>
  </si>
  <si>
    <r>
      <t>(vii)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CBR</t>
    </r>
  </si>
  <si>
    <r>
      <t>(viii)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ITS (stabilised) (set of 3)</t>
    </r>
  </si>
  <si>
    <r>
      <t>(ix)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UCS (stabilised) (set of 3)</t>
    </r>
  </si>
  <si>
    <r>
      <t>(x)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PH value</t>
    </r>
  </si>
  <si>
    <r>
      <t>(xi)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Wet/dry durability (150mm) (set of 3)</t>
    </r>
  </si>
  <si>
    <r>
      <t>(xii)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Initial consumption lime/cement (ICL)</t>
    </r>
  </si>
  <si>
    <r>
      <t>(xiii)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Ethylene glycol Durability Index</t>
    </r>
  </si>
  <si>
    <r>
      <t xml:space="preserve">(xiv) 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ACV</t>
    </r>
  </si>
  <si>
    <r>
      <t>(xv)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10% FACT (dry)</t>
    </r>
  </si>
  <si>
    <t>(xvi) 10% Fact (wet)</t>
  </si>
  <si>
    <r>
      <t xml:space="preserve">(xvii) 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10% Fact (ethylene glycol)</t>
    </r>
  </si>
  <si>
    <r>
      <t>(xviii)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Aggregate grading</t>
    </r>
  </si>
  <si>
    <r>
      <t>(xix)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Aggregate Flakiness Index</t>
    </r>
  </si>
  <si>
    <r>
      <t>(xx)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Aggregate Average Least Dimension</t>
    </r>
  </si>
  <si>
    <t>(xxi) Polished Stone Value</t>
  </si>
  <si>
    <r>
      <t>(xxii)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Sand Equivalent</t>
    </r>
  </si>
  <si>
    <r>
      <t>(xxiii)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content and grading</t>
    </r>
  </si>
  <si>
    <r>
      <t>(xxiv)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Asphalt void content (cores)</t>
    </r>
  </si>
  <si>
    <r>
      <t>(xxv)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Binder recovery (Absom)</t>
    </r>
  </si>
  <si>
    <r>
      <t>(xxvi)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penetration</t>
    </r>
  </si>
  <si>
    <r>
      <t>(xxvii)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softening point</t>
    </r>
  </si>
  <si>
    <r>
      <t>(xxviii)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 xml:space="preserve"> Sand Patch</t>
    </r>
  </si>
  <si>
    <r>
      <t>(a)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Standard tests</t>
    </r>
  </si>
  <si>
    <t>(c) Establishment of office equipment</t>
  </si>
  <si>
    <t>(d) Handling costs i.r.o. sub item 3.7.4(c)</t>
  </si>
  <si>
    <t>(d) Handling cost i.r.o. sub item 3.9.1(c)</t>
  </si>
  <si>
    <t>red cells are default values unless change approved by the D&amp;C Cluster</t>
  </si>
  <si>
    <t>THESE VALUES CAN ONLY BE CHANGED ON APPROVAL BY THE D&amp;C CLUSTER AND THE ADMINISTRATOR OF THE SPREADSHEET MUST BE CONTACTED TO MAKE THE APPROVED CHANGE</t>
  </si>
  <si>
    <t>INCL. IN CALCULATION FOR CPA</t>
  </si>
  <si>
    <t>TOTAL CHECK</t>
  </si>
  <si>
    <t>EXCL. IN CALCULATION FOR CPA</t>
  </si>
  <si>
    <t>Add: Extra work (WAFs) with CPI applicable from Page 6</t>
  </si>
  <si>
    <t>WORKS AUTHORISATION FORMS (NOT REFLECTED IN PRICING SCHEDULE) - CPI APPLICABLE</t>
  </si>
  <si>
    <t>WAF No. 1</t>
  </si>
  <si>
    <t>WAF No. __</t>
  </si>
  <si>
    <t>WORKS AUTHORISATION FORMS (NOT REFLECTED IN PRICING SCHEDULE) - CPI NOT APPLICABLE</t>
  </si>
  <si>
    <t>WAF No. ___</t>
  </si>
  <si>
    <t>LAST CERTIFICATE NUMBER</t>
  </si>
  <si>
    <t>THIS CERTIFICATE NUMBER</t>
  </si>
  <si>
    <t>CERTIFCATE</t>
  </si>
  <si>
    <t>From Page:</t>
  </si>
  <si>
    <t>Therefore Retention Limit of:</t>
  </si>
  <si>
    <t>Pg 1 Payment</t>
  </si>
  <si>
    <t>K8</t>
  </si>
  <si>
    <t>Pg 2 Sum Sch</t>
  </si>
  <si>
    <t>NEXT CERTIFICATE NUMBER</t>
  </si>
  <si>
    <t>Tender Close</t>
  </si>
  <si>
    <t>Sub-Total 2017/2018</t>
  </si>
  <si>
    <t>Sub-Total 2018/2019</t>
  </si>
  <si>
    <t>Sub-Total 2019/2020</t>
  </si>
  <si>
    <t>Sub-Total 2020/2021</t>
  </si>
  <si>
    <t>Sub-Total 2021/2022</t>
  </si>
  <si>
    <t>Sub-Total 2022/2023</t>
  </si>
  <si>
    <t>Sub-Total 2023/2024</t>
  </si>
  <si>
    <t>Sub-Total 2024/2025</t>
  </si>
  <si>
    <t>Sub-Total 2025/2026</t>
  </si>
  <si>
    <t>Sub-Total 2026/2027</t>
  </si>
  <si>
    <t>Sub-Total 2027/2028</t>
  </si>
  <si>
    <t>Sub-Total 2028/2029</t>
  </si>
  <si>
    <t>Sub-Total 2029/2030</t>
  </si>
  <si>
    <t>Sub-Total 2030/2031</t>
  </si>
  <si>
    <t>Sub-Total 2031/2032</t>
  </si>
  <si>
    <t>Sub-Total 2032/2033</t>
  </si>
  <si>
    <t>Sub-Total 2033/2034</t>
  </si>
  <si>
    <t>SUMMARY PAGE 1 (b)</t>
  </si>
  <si>
    <t>SUMMARY PAGE 1 (a)</t>
  </si>
  <si>
    <t>Brought Forward</t>
  </si>
  <si>
    <t>k32</t>
  </si>
  <si>
    <t>H22</t>
  </si>
  <si>
    <t>J22</t>
  </si>
  <si>
    <t>H27</t>
  </si>
  <si>
    <t>I27</t>
  </si>
  <si>
    <t>DATE INPUT=</t>
  </si>
  <si>
    <t>DATE USED =</t>
  </si>
  <si>
    <t>Total Travel For Site Personnel to calculate into Pricing Schedule item 3.7.6 (a)</t>
  </si>
  <si>
    <t>H9</t>
  </si>
  <si>
    <t>H10</t>
  </si>
  <si>
    <t>H12</t>
  </si>
  <si>
    <t>H13</t>
  </si>
  <si>
    <t>H15</t>
  </si>
  <si>
    <t>H16</t>
  </si>
  <si>
    <t>ORIG PROV OR PC SUM</t>
  </si>
  <si>
    <t>H11</t>
  </si>
  <si>
    <t>H14</t>
  </si>
  <si>
    <t>H18</t>
  </si>
  <si>
    <t>H20</t>
  </si>
  <si>
    <t>H21</t>
  </si>
  <si>
    <t>H23</t>
  </si>
  <si>
    <t>H28</t>
  </si>
  <si>
    <t>H29</t>
  </si>
  <si>
    <t>H30</t>
  </si>
  <si>
    <t>H33</t>
  </si>
  <si>
    <t>H34</t>
  </si>
  <si>
    <t>(a) Standard tests</t>
  </si>
  <si>
    <t>H40</t>
  </si>
  <si>
    <t>H38</t>
  </si>
  <si>
    <t>H39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</si>
  <si>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</si>
  <si>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</si>
  <si>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</si>
  <si>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</si>
  <si>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</si>
  <si>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</si>
  <si>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</si>
  <si>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</si>
  <si>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</si>
  <si>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</si>
  <si>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</si>
  <si>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</si>
  <si>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</si>
  <si>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</si>
  <si>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</si>
  <si>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</si>
  <si>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</si>
  <si>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</si>
  <si>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</si>
  <si>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</si>
  <si>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</si>
  <si>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</si>
  <si>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</si>
  <si>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</si>
  <si>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</si>
  <si>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r>
      <t xml:space="preserve">  </t>
    </r>
    <r>
      <rPr>
        <b/>
        <sz val="10"/>
        <rFont val="Arial"/>
        <family val="2"/>
      </rPr>
      <t xml:space="preserve">REGION: </t>
    </r>
  </si>
  <si>
    <r>
      <t xml:space="preserve">  </t>
    </r>
    <r>
      <rPr>
        <b/>
        <sz val="10"/>
        <rFont val="Arial"/>
        <family val="2"/>
      </rPr>
      <t>REGION:</t>
    </r>
  </si>
  <si>
    <t>H66</t>
  </si>
  <si>
    <t>H19</t>
  </si>
  <si>
    <t>H25</t>
  </si>
  <si>
    <t>H32</t>
  </si>
  <si>
    <t>H35</t>
  </si>
  <si>
    <t>H69</t>
  </si>
  <si>
    <t>H72</t>
  </si>
  <si>
    <t>H75</t>
  </si>
  <si>
    <t>H76</t>
  </si>
  <si>
    <t>H77</t>
  </si>
  <si>
    <t>H80</t>
  </si>
  <si>
    <t>H81</t>
  </si>
  <si>
    <t>H83</t>
  </si>
  <si>
    <t>H87</t>
  </si>
  <si>
    <t>H84</t>
  </si>
  <si>
    <t>H88</t>
  </si>
  <si>
    <t>H91</t>
  </si>
  <si>
    <t>H92</t>
  </si>
  <si>
    <t>H96</t>
  </si>
  <si>
    <t>H97</t>
  </si>
  <si>
    <t>H100</t>
  </si>
  <si>
    <t>H101</t>
  </si>
  <si>
    <t>H104</t>
  </si>
  <si>
    <t>H108</t>
  </si>
  <si>
    <t>H111</t>
  </si>
  <si>
    <t>H112</t>
  </si>
  <si>
    <t>H113</t>
  </si>
  <si>
    <t>H115</t>
  </si>
  <si>
    <t>H116</t>
  </si>
  <si>
    <t>H119</t>
  </si>
  <si>
    <t>H120</t>
  </si>
  <si>
    <t>H121</t>
  </si>
  <si>
    <t>H122</t>
  </si>
  <si>
    <t>H123</t>
  </si>
  <si>
    <t>H124</t>
  </si>
  <si>
    <t>H125</t>
  </si>
  <si>
    <t>H126</t>
  </si>
  <si>
    <t>H127</t>
  </si>
  <si>
    <t>H128</t>
  </si>
  <si>
    <t>H129</t>
  </si>
  <si>
    <t>H130</t>
  </si>
  <si>
    <t>H131</t>
  </si>
  <si>
    <t>H132</t>
  </si>
  <si>
    <t>H133</t>
  </si>
  <si>
    <t>H134</t>
  </si>
  <si>
    <t>green cells to be input by the preffered service provider during project</t>
  </si>
  <si>
    <t>H135</t>
  </si>
  <si>
    <t>Carried forward to Page 4.4</t>
  </si>
  <si>
    <t>Carried forward to Page 4.5</t>
  </si>
  <si>
    <t>PAGE 4.5</t>
  </si>
  <si>
    <t>Brought forward from Page 4.4</t>
  </si>
  <si>
    <t>PAGE 4.6</t>
  </si>
  <si>
    <t>Carried forward to Page 4.6</t>
  </si>
  <si>
    <t>Brought forward from Page 4.5</t>
  </si>
  <si>
    <t>H26</t>
  </si>
  <si>
    <t>s</t>
  </si>
  <si>
    <t>TF</t>
  </si>
  <si>
    <t>%</t>
  </si>
  <si>
    <t>Tendered fee value as %</t>
  </si>
  <si>
    <t>Adjusted  fee value as %</t>
  </si>
  <si>
    <t>3.4.13</t>
  </si>
  <si>
    <t>c3.4</t>
  </si>
  <si>
    <t>H105</t>
  </si>
  <si>
    <t>H136</t>
  </si>
  <si>
    <t>H137</t>
  </si>
  <si>
    <t>H138</t>
  </si>
  <si>
    <t>H139</t>
  </si>
  <si>
    <t>SUMMARY OF ALL HOURS TENDERED</t>
  </si>
  <si>
    <t>ADDITIONAL DUTIES, SPECIAL SERVICES AND SPECIALIST ADVICE</t>
  </si>
  <si>
    <t xml:space="preserve">C2.3: SUMMARY  OF  PRICING  SCHEDULE </t>
  </si>
  <si>
    <t>C 2.2: PRICING SCHEDULE (Incorporating SBD 3)</t>
  </si>
  <si>
    <t>Phase / Stage discontinuity</t>
  </si>
  <si>
    <t>(a)   Review of previous phase / stage</t>
  </si>
  <si>
    <t>(f) Project Liaison Officer (PLO)</t>
  </si>
  <si>
    <t>QUALITY CONTROL: WORKS CONTRACT</t>
  </si>
  <si>
    <t>TENDERER INPUT DATA</t>
  </si>
  <si>
    <t>SUMMARY OF KEY PERSONS</t>
  </si>
  <si>
    <t>TENDERER COMPANY NAME:</t>
  </si>
  <si>
    <t>Required (Y/N)</t>
  </si>
  <si>
    <t>y</t>
  </si>
  <si>
    <t xml:space="preserve">    (i) Large bags</t>
  </si>
  <si>
    <t xml:space="preserve">    (ii) Small bags/cores</t>
  </si>
  <si>
    <r>
      <t xml:space="preserve">  (i)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In-situ density</t>
    </r>
  </si>
  <si>
    <r>
      <t xml:space="preserve">  (ii)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Moisture content</t>
    </r>
  </si>
  <si>
    <r>
      <t xml:space="preserve">  (iii)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Sieve analysis</t>
    </r>
  </si>
  <si>
    <t xml:space="preserve">  (i) Large bags</t>
  </si>
  <si>
    <t xml:space="preserve">  (ii) Small bags</t>
  </si>
  <si>
    <t>FORM C2.4:   KEY PERSONS FOR THIS PROJECT AND SUMMARY OF NORMALIZED HOURS TENDERED</t>
  </si>
  <si>
    <t>Signed by Tenderer:</t>
  </si>
  <si>
    <t>KEY PERSONS NAMES</t>
  </si>
  <si>
    <t>Designation</t>
  </si>
  <si>
    <t>Fee items and work plan appropriateness</t>
  </si>
  <si>
    <t>Work plan appropriateness only</t>
  </si>
  <si>
    <t>NOTE TO TENDERER: 
THIS FORM IS TO BE COMPLETED, PRINTED AND INCLUDED IN THE TENDERER'S TECHNICAL PROPOSAL AS A HARD COPY AND FINANCIAL PROPOSAL ELECTRONICALLY. FAILURE TO INCLUDE THIS FORM IN THE TECHNICAL AND FINANCIAL PROPOSAL SHALL RESULT IN THE TENDERER BEING DEEMED NON-RESPONSIVE.
IF THE ELECTRONIC VERSION ATTACHED TO THE PRICING SCHEDULE SUBMITTED WITH THE FINANCIAL PROPOSAL DOES NOT MATCH THE HARD COPY SUBMITTED WITH THE TECHNICAL PROPOSAL, THE TENDERER WILL BE DEEMED NON-RESPONSIVE.</t>
  </si>
  <si>
    <t>I34</t>
  </si>
  <si>
    <t>I36</t>
  </si>
  <si>
    <t>WAF</t>
  </si>
  <si>
    <t>Pg 1</t>
  </si>
  <si>
    <t>PEN</t>
  </si>
  <si>
    <t>Penalties</t>
  </si>
  <si>
    <t>Pg1</t>
  </si>
  <si>
    <t>RET</t>
  </si>
  <si>
    <t>(c)  Handling cost i.r.o. sub-item 3.4.11(b)</t>
  </si>
  <si>
    <r>
      <t>(c)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Handling costs in respect of 3.4.12(b)</t>
    </r>
  </si>
  <si>
    <t>(c)   Handling costs i.r.o. pay item 3.4.13(b)</t>
  </si>
  <si>
    <t>(c)  Handling costs i.r.o. pay item 3.8.3(b)</t>
  </si>
  <si>
    <t>POSITION</t>
  </si>
  <si>
    <t>Training of Targeted Enterprise Understudy</t>
  </si>
  <si>
    <t>k38</t>
  </si>
  <si>
    <t>FOR SANRAL USE</t>
  </si>
  <si>
    <t>EDMS: 2087552</t>
  </si>
  <si>
    <t>Note : Values presented here are only based fee based items and do not represent total remuneration</t>
  </si>
  <si>
    <t>Tendered fee</t>
  </si>
  <si>
    <t>Tendered fee %</t>
  </si>
  <si>
    <t>(h) Disbursements</t>
  </si>
  <si>
    <t>Number</t>
  </si>
  <si>
    <t>amount</t>
  </si>
  <si>
    <t>H17</t>
  </si>
  <si>
    <t>H36</t>
  </si>
  <si>
    <t>H67</t>
  </si>
  <si>
    <t>H70</t>
  </si>
  <si>
    <t>H73</t>
  </si>
  <si>
    <t>(b)   Students (engineering or surveying) receiving experiential training</t>
  </si>
  <si>
    <t>To be updated monthly (DO NOT RUN THE MACRO FOR THE FIRST FEE CLAIM - RESAVE AND RUN MACRO FOR FEE CLAIM 2 AND ONWARDS)</t>
  </si>
  <si>
    <t xml:space="preserve">Original Est.
 (Excl. VAT) = </t>
  </si>
  <si>
    <t>(c) Toll fees</t>
  </si>
  <si>
    <t>Reduce Retention • 60% on receipt of approved draft Contract Report and As-built material records and drawings within 3 (three) months of issue of the Taking-over Certificates of the Works Contract.</t>
  </si>
  <si>
    <t>Reduce Retention • 40% on receipt of approved final copies of the above within 1 (one) month of the issue of the Performance Certificate for the Works Contract.</t>
  </si>
  <si>
    <t>TENDERED</t>
  </si>
  <si>
    <t>CLAIMED TO DATE (Incl. Adjustments)</t>
  </si>
  <si>
    <t>% Claimed to date</t>
  </si>
  <si>
    <t>Deduct: % Fee and Adjustment Value from Summary of Tendered Fee</t>
  </si>
  <si>
    <t>Tax Rate (VAT):</t>
  </si>
  <si>
    <t>3.4.14</t>
  </si>
  <si>
    <t>Protection, removal, realignment and replacement of services prior to construction phase</t>
  </si>
  <si>
    <t>(b)  Handling costs i.r.o. pay item 3.4.14(a)</t>
  </si>
  <si>
    <t>(a)  Services</t>
  </si>
  <si>
    <t>H142</t>
  </si>
  <si>
    <t>3.7.7</t>
  </si>
  <si>
    <t>Assistance at Clarification Meeting, Tender Period and Tender Evaluation of Sub-contract Packages</t>
  </si>
  <si>
    <t>(b)  Tender Evaluation</t>
  </si>
  <si>
    <t>(c)  Evaluation Report</t>
  </si>
  <si>
    <t>3.8.6</t>
  </si>
  <si>
    <t>Project Liaison Committee (PLC)</t>
  </si>
  <si>
    <t>(a) Establishment of PLC</t>
  </si>
  <si>
    <t>(b)   Liaison/Meetings with the PLC during design phase</t>
  </si>
  <si>
    <t>(c)   PLC stipend</t>
  </si>
  <si>
    <t>3.8.7</t>
  </si>
  <si>
    <t>NOTE: ONLY INITIAL KEY PERSONS HOURS WILL BE CAPTURED AS HOURS FOR ALTERNATE KEY PERSONS WILL INHERIT THE HOURS SHOULD THEY NEED TO REPLACE THE ORIGINAL KEY PERSON DUE TO OVER-COMMITMENT.</t>
  </si>
  <si>
    <t>ONLY INSERT KEY PERSONS HOURS, NOT ALTERNATES.</t>
  </si>
  <si>
    <t>(b) Cost for procuring and managing sub-service providerService Provider under sub-item 3.3.1(a)</t>
  </si>
  <si>
    <t>Traffic Monitoring Services</t>
  </si>
  <si>
    <t>(a) Traffic Monitoring Services when procured by Service Provider</t>
  </si>
  <si>
    <t>(b) Cost for procuring and managing sub-Service Provider under sub-item 3.3.2(a)</t>
  </si>
  <si>
    <t>(c) Cost when making use of SANRAL’s Traffic Monitoring Service Provider (TMSP)</t>
  </si>
  <si>
    <t>3.3.6</t>
  </si>
  <si>
    <t>(b) Cost for procuring and managing sub-service provider under sub-item 3.3.3(a)</t>
  </si>
  <si>
    <t>(c)  Administration and monitoring of the geotechnical and/or drilling contract by the engineer</t>
  </si>
  <si>
    <t>(d)  Supervision of the work:</t>
  </si>
  <si>
    <t>(ii)  Engineering Geologist for logging of cores and Profiling of test pits</t>
  </si>
  <si>
    <t xml:space="preserve">    (i)   Full time</t>
  </si>
  <si>
    <t xml:space="preserve">   (iii)  Accommodation costs</t>
  </si>
  <si>
    <t xml:space="preserve">   (iv)  Occupational Health and Safety obligations (continuous compliance and monthly audits)</t>
  </si>
  <si>
    <t>(i)  Geotechnical and Drilling contractor</t>
  </si>
  <si>
    <t>(c) Handling costs i.r.o. pay item 3.3.6(b)</t>
  </si>
  <si>
    <t>Land Requirements</t>
  </si>
  <si>
    <t>(a)   Compilation of Property Report for each individual property (or portion thereof) required</t>
  </si>
  <si>
    <t>(b)   Conclusion of SPLUMA Agreement with relevant Municipality(ies)</t>
  </si>
  <si>
    <t>(c)   Conclusion of addendums to the SPLUMA Agreement(s)</t>
  </si>
  <si>
    <t>Road Safety Audit:  Feasibility/Preliminary/Detail</t>
  </si>
  <si>
    <t>Road Safety Audit:  Construction/Pre-opening</t>
  </si>
  <si>
    <t>(i)   Assistant Project Leader (APL)</t>
  </si>
  <si>
    <t>(ii)  Assistant Design Specialist(s) (ADS)</t>
  </si>
  <si>
    <t>(iii)  Disbursements</t>
  </si>
  <si>
    <t>(b)   Employer’s Trainees:</t>
  </si>
  <si>
    <t>(a)   Service Provider’s staff and Targeted Enterprises:</t>
  </si>
  <si>
    <t>(i)   Candidate engineers</t>
  </si>
  <si>
    <t>(ii)  Students experiential training</t>
  </si>
  <si>
    <t>(iii)  Student stipend</t>
  </si>
  <si>
    <t>3.4.15</t>
  </si>
  <si>
    <t>Employer’s Gateway Review Process</t>
  </si>
  <si>
    <t>(a)   Regional Gateway Review</t>
  </si>
  <si>
    <t>(b)   National Gateway Review</t>
  </si>
  <si>
    <t>Preparation of Works contract documents</t>
  </si>
  <si>
    <t>3.6.3</t>
  </si>
  <si>
    <t>(i)  Administration and Monitoring of the Works Contract for extended Works Contract period from the original Employer’s estimate</t>
  </si>
  <si>
    <t>(j)  Administration and Monitoring of the Works Contract for prolonged site stoppages not under the control of the Employer</t>
  </si>
  <si>
    <t>(k)  Training of Service Provider’s staff and Targeted Enterprises:</t>
  </si>
  <si>
    <t>(i)   Assistant Contract Engineer</t>
  </si>
  <si>
    <t>(ii)  Disbursements</t>
  </si>
  <si>
    <t>3.7.8</t>
  </si>
  <si>
    <t>Environmental Services during Construction Phase</t>
  </si>
  <si>
    <t>(a)  Environmental services</t>
  </si>
  <si>
    <t>(b)  Cost for procuring and managing sub-service provider under sub-item 3.7.8(a)</t>
  </si>
  <si>
    <t>(d) Handling cost i.r.o. item 3.8.6 (c )</t>
  </si>
  <si>
    <t>(e) Training of PLC members</t>
  </si>
  <si>
    <t>(f) Handling cost i.r.o. item 3.8.6 (e )</t>
  </si>
  <si>
    <t>Market Analysis and Databases</t>
  </si>
  <si>
    <t>(a) Market analysis</t>
  </si>
  <si>
    <t>(b) Establishment and Maintenance of a Targeted Enterprise database</t>
  </si>
  <si>
    <t>(c) Establishment and Maintenance of a Targeted Labour database</t>
  </si>
  <si>
    <t>3.8.8</t>
  </si>
  <si>
    <t>Provision of Social Facilitation Services</t>
  </si>
  <si>
    <t>(a) Social Facilitator</t>
  </si>
  <si>
    <t>(b) Mark-up costs i.t.o. sub-item 3.8.8 (a)</t>
  </si>
  <si>
    <t>H24</t>
  </si>
  <si>
    <t>H68</t>
  </si>
  <si>
    <t>H79</t>
  </si>
  <si>
    <t>H86</t>
  </si>
  <si>
    <t>H90</t>
  </si>
  <si>
    <t>H95</t>
  </si>
  <si>
    <t>H99</t>
  </si>
  <si>
    <t>H109</t>
  </si>
  <si>
    <t>H140</t>
  </si>
  <si>
    <t>H141</t>
  </si>
  <si>
    <t>H143</t>
  </si>
  <si>
    <t>H144</t>
  </si>
  <si>
    <t>H145</t>
  </si>
  <si>
    <t>H146</t>
  </si>
  <si>
    <t>H147</t>
  </si>
  <si>
    <t>H150</t>
  </si>
  <si>
    <t>H153</t>
  </si>
  <si>
    <t>H154</t>
  </si>
  <si>
    <t>H37</t>
  </si>
  <si>
    <t>(b)  Provision for pre-recorded video</t>
  </si>
  <si>
    <t>Payment and Monthly Reporting cost</t>
  </si>
  <si>
    <t>* Rates Effective date April 2019</t>
  </si>
  <si>
    <t>H31</t>
  </si>
  <si>
    <t>Prime Cost (PC) and Provisional Sum (PS) sub-total</t>
  </si>
  <si>
    <t>NO INPUT REQUIRED ON THIS SHEET - WILL BE PROTECTED TO RUN MACROS - DO NOT ALTER OR DELETE THE SHEET</t>
  </si>
  <si>
    <t>Prime Cost (PC) and Provisional Sum (PS) sub-total including Handling &amp; Mark-Up Costs</t>
  </si>
  <si>
    <t>Handling Costs &amp; Mark-Up Costs on Prime Cost (PC) and Provisional Sum (PS) sub-total</t>
  </si>
  <si>
    <r>
      <rPr>
        <b/>
        <sz val="11"/>
        <color theme="1"/>
        <rFont val="Calibri"/>
        <family val="2"/>
        <scheme val="minor"/>
      </rPr>
      <t>Contract Price</t>
    </r>
    <r>
      <rPr>
        <sz val="11"/>
        <color theme="1"/>
        <rFont val="Calibri"/>
        <family val="2"/>
        <scheme val="minor"/>
      </rPr>
      <t xml:space="preserve"> (excl provisional &amp; prime cost sums and the respective tendered mark-up (if any)) but including provision for site supervision staff (payment item 3.7.4(a) and (b)) to be performed by this Targeted Enterprise
* Value used to calculate the subcontacting % on the </t>
    </r>
    <r>
      <rPr>
        <b/>
        <sz val="11"/>
        <color theme="1"/>
        <rFont val="Calibri"/>
        <family val="2"/>
        <scheme val="minor"/>
      </rPr>
      <t>B7 Returnable Form</t>
    </r>
  </si>
  <si>
    <t>(a) Professional Service for Geotechnical and/or Drilling services investigations</t>
  </si>
  <si>
    <t>(b) Handling costs for planning, procuring professional services for geotechnical and/or drilling investigations i.r.o. item 3.3.4(a)</t>
  </si>
  <si>
    <t>(e)  Contracting Services for Geotechnical and Drilling Works:</t>
  </si>
  <si>
    <t xml:space="preserve">  (ii)  Handling cost for planning, procuring Contracting Services for geotechnical and drilling Works i.r.o item 3.3.4(e)(i)</t>
  </si>
  <si>
    <t>CONTRACT PRICE</t>
  </si>
  <si>
    <t>LAST UPDATED 28/06/2022</t>
  </si>
  <si>
    <t>JUNE 2022 VERSION</t>
  </si>
  <si>
    <t>NOTE:</t>
  </si>
  <si>
    <t>INCLUDE ALL NON-LISTED KEY PERSONS HOURS UNDER OTHER</t>
  </si>
  <si>
    <t>n</t>
  </si>
  <si>
    <t>NRA.N.011-050-2012/1F</t>
  </si>
  <si>
    <t>CONSULTING ENGINEERING SERVICES FOR THE PRELIMINARY DESIGN REVIEW,DETAIL DESIGN, CONTRACT DOCUMENTATION AND CONSTRUCTION MONITORING OF THE ERMELO RING ROAD</t>
  </si>
  <si>
    <t>Nonto</t>
  </si>
  <si>
    <t>Naledi / Ockkie</t>
  </si>
  <si>
    <t>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</si>
</sst>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3" formatCode="_(* #,##0.00_);_(* \(#,##0.00\);_(* &quot;-&quot;??_);_(@_)"/>
    <numFmt numFmtId="164" formatCode="&quot;R&quot;\ #,##0.00;&quot;R&quot;\ \-#,##0.00"/>
    <numFmt numFmtId="165" formatCode="_ &quot;R&quot;\ * #,##0.00_ ;_ &quot;R&quot;\ * \-#,##0.00_ ;_ &quot;R&quot;\ * &quot;-&quot;??_ ;_ @_ "/>
    <numFmt numFmtId="166" formatCode="_ * #,##0.00_ ;_ * \-#,##0.00_ ;_ * &quot;-&quot;??_ ;_ @_ "/>
    <numFmt numFmtId="167" formatCode="_ &quot;R&quot;\ * #,##0_ ;_ &quot;R&quot;\ * \-#,##0_ ;_ &quot;R&quot;\ * &quot;-&quot;??_ ;_ @_ "/>
    <numFmt numFmtId="168" formatCode="0.0%"/>
    <numFmt numFmtId="169" formatCode="&quot;R&quot;\ #,##0.00"/>
    <numFmt numFmtId="170" formatCode="#,##0.000"/>
    <numFmt numFmtId="171" formatCode="0.0"/>
    <numFmt numFmtId="172" formatCode="yy/mm/dd;@"/>
    <numFmt numFmtId="173" formatCode="yyyy/mm/dd;@"/>
    <numFmt numFmtId="174" formatCode="[$-F800]dddd\,\ mmmm\ dd\,\ yyyy"/>
    <numFmt numFmtId="175" formatCode="_ [$R-1C09]\ * #,##0.00_ ;_ [$R-1C09]\ * \-#,##0.00_ ;_ [$R-1C09]\ * &quot;-&quot;??_ ;_ @_ "/>
    <numFmt numFmtId="176" formatCode="[$-1C09]dd\ mmmm\ yyyy;@"/>
    <numFmt numFmtId="177" formatCode="[$R-1C09]\ #,##0.00"/>
    <numFmt numFmtId="178" formatCode="[$R-1C09]\ #,##0.00;[Red][$R-1C09]\ #,##0.00"/>
    <numFmt numFmtId="179" formatCode="_(&quot;R&quot;* #,##0.00_);_(&quot;R&quot;* \(#,##0.00\);_(&quot;R&quot;* &quot;-&quot;??_);_(@_)"/>
    <numFmt numFmtId="180" formatCode="[$R-436]\ #,##0.00"/>
    <numFmt numFmtId="181" formatCode="[$R-436]\ #,##0.00;[$R-436]\ \-#,##0.00"/>
    <numFmt numFmtId="182" formatCode="#\ ###\ ##0.00"/>
    <numFmt numFmtId="183" formatCode="#,##0.000000"/>
    <numFmt numFmtId="184" formatCode="#,###,##0.00"/>
    <numFmt numFmtId="185" formatCode="0.0000"/>
    <numFmt numFmtId="186" formatCode="#,###"/>
    <numFmt numFmtId="187" formatCode="#\ \ ###\ ##0.00"/>
    <numFmt numFmtId="188" formatCode="#,###,###.00"/>
    <numFmt numFmtId="189" formatCode="#\ ###.00"/>
    <numFmt numFmtId="190" formatCode="mmmm\ yyyy"/>
    <numFmt numFmtId="191" formatCode="mmm\ yyyy"/>
    <numFmt numFmtId="192" formatCode="&quot;R&quot;#,##0.00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2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4"/>
      <color theme="1"/>
      <name val="Arial"/>
      <family val="2"/>
    </font>
    <font>
      <b/>
      <i/>
      <sz val="10"/>
      <color rgb="FFFF0000"/>
      <name val="Arial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b/>
      <sz val="16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color indexed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2"/>
      <color indexed="63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1"/>
      <color indexed="12"/>
      <name val="Arial"/>
      <family val="2"/>
    </font>
    <font>
      <b/>
      <sz val="14"/>
      <color indexed="12"/>
      <name val="Arial"/>
      <family val="2"/>
    </font>
    <font>
      <b/>
      <sz val="10"/>
      <name val="Arial Narrow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b/>
      <sz val="18"/>
      <name val="Arial"/>
      <family val="2"/>
    </font>
    <font>
      <sz val="7"/>
      <color theme="1"/>
      <name val="Times New Roman"/>
      <family val="1"/>
    </font>
    <font>
      <sz val="11"/>
      <color theme="0"/>
      <name val="Arial"/>
      <family val="2"/>
    </font>
    <font>
      <sz val="7"/>
      <color rgb="FF000000"/>
      <name val="Times New Roman"/>
      <family val="1"/>
    </font>
    <font>
      <sz val="9"/>
      <color indexed="81"/>
      <name val="Tahoma"/>
      <family val="2"/>
    </font>
    <font>
      <sz val="11"/>
      <color rgb="FFFF0000"/>
      <name val="Arial"/>
      <family val="2"/>
    </font>
    <font>
      <b/>
      <i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1"/>
      <color rgb="FFFFC000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color theme="1" tint="4.9989318521683403E-2"/>
      <name val="Arial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0"/>
      <color theme="0"/>
      <name val="Arial Unicode MS"/>
      <family val="2"/>
    </font>
    <font>
      <sz val="11"/>
      <color theme="0"/>
      <name val="Segoe UI"/>
      <family val="2"/>
    </font>
    <font>
      <sz val="9"/>
      <color theme="0"/>
      <name val="Courier New"/>
      <family val="3"/>
    </font>
    <font>
      <b/>
      <sz val="12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2007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66"/>
        <bgColor indexed="64"/>
      </patternFill>
    </fill>
  </fills>
  <borders count="1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9" fontId="3" fillId="0" borderId="0" applyFont="0" applyFill="0" applyBorder="0" applyAlignment="0" applyProtection="0"/>
    <xf numFmtId="0" fontId="1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Protection="0"/>
    <xf numFmtId="2" fontId="12" fillId="0" borderId="0" applyProtection="0"/>
    <xf numFmtId="0" fontId="35" fillId="0" borderId="0" applyProtection="0"/>
    <xf numFmtId="0" fontId="26" fillId="0" borderId="0" applyProtection="0"/>
    <xf numFmtId="0" fontId="1" fillId="0" borderId="0"/>
  </cellStyleXfs>
  <cellXfs count="1673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7" xfId="0" applyBorder="1" applyAlignment="1">
      <alignment horizontal="left" indent="2"/>
    </xf>
    <xf numFmtId="165" fontId="0" fillId="0" borderId="8" xfId="1" applyFont="1" applyBorder="1"/>
    <xf numFmtId="165" fontId="0" fillId="0" borderId="9" xfId="1" applyFont="1" applyBorder="1"/>
    <xf numFmtId="0" fontId="0" fillId="0" borderId="10" xfId="0" applyBorder="1" applyAlignment="1">
      <alignment horizontal="left" indent="2"/>
    </xf>
    <xf numFmtId="165" fontId="0" fillId="0" borderId="11" xfId="1" applyFont="1" applyBorder="1"/>
    <xf numFmtId="165" fontId="0" fillId="0" borderId="12" xfId="1" applyFont="1" applyBorder="1"/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67" fontId="2" fillId="0" borderId="0" xfId="1" applyNumberFormat="1" applyFont="1"/>
    <xf numFmtId="167" fontId="0" fillId="0" borderId="2" xfId="1" applyNumberFormat="1" applyFont="1" applyBorder="1"/>
    <xf numFmtId="167" fontId="0" fillId="0" borderId="7" xfId="1" applyNumberFormat="1" applyFont="1" applyBorder="1"/>
    <xf numFmtId="167" fontId="0" fillId="0" borderId="10" xfId="1" applyNumberFormat="1" applyFont="1" applyBorder="1"/>
    <xf numFmtId="167" fontId="0" fillId="0" borderId="0" xfId="1" applyNumberFormat="1" applyFont="1"/>
    <xf numFmtId="0" fontId="0" fillId="3" borderId="14" xfId="0" applyFill="1" applyBorder="1" applyAlignment="1">
      <alignment horizontal="left" indent="2"/>
    </xf>
    <xf numFmtId="0" fontId="0" fillId="3" borderId="4" xfId="0" applyFill="1" applyBorder="1" applyAlignment="1">
      <alignment horizontal="left" indent="2"/>
    </xf>
    <xf numFmtId="0" fontId="0" fillId="3" borderId="4" xfId="0" applyFill="1" applyBorder="1" applyAlignment="1">
      <alignment horizontal="center"/>
    </xf>
    <xf numFmtId="167" fontId="0" fillId="3" borderId="4" xfId="1" applyNumberFormat="1" applyFont="1" applyFill="1" applyBorder="1"/>
    <xf numFmtId="0" fontId="0" fillId="3" borderId="5" xfId="0" applyFill="1" applyBorder="1"/>
    <xf numFmtId="165" fontId="0" fillId="3" borderId="6" xfId="1" applyFont="1" applyFill="1" applyBorder="1"/>
    <xf numFmtId="0" fontId="2" fillId="4" borderId="13" xfId="0" applyFont="1" applyFill="1" applyBorder="1"/>
    <xf numFmtId="0" fontId="2" fillId="4" borderId="2" xfId="0" applyFont="1" applyFill="1" applyBorder="1"/>
    <xf numFmtId="0" fontId="0" fillId="4" borderId="2" xfId="0" applyFill="1" applyBorder="1" applyAlignment="1">
      <alignment horizontal="center"/>
    </xf>
    <xf numFmtId="167" fontId="0" fillId="4" borderId="2" xfId="1" applyNumberFormat="1" applyFont="1" applyFill="1" applyBorder="1"/>
    <xf numFmtId="165" fontId="0" fillId="4" borderId="3" xfId="0" applyNumberFormat="1" applyFill="1" applyBorder="1"/>
    <xf numFmtId="0" fontId="2" fillId="5" borderId="13" xfId="0" applyFont="1" applyFill="1" applyBorder="1"/>
    <xf numFmtId="0" fontId="2" fillId="5" borderId="2" xfId="0" applyFont="1" applyFill="1" applyBorder="1"/>
    <xf numFmtId="0" fontId="0" fillId="5" borderId="2" xfId="0" applyFill="1" applyBorder="1" applyAlignment="1">
      <alignment horizontal="center"/>
    </xf>
    <xf numFmtId="167" fontId="0" fillId="5" borderId="2" xfId="1" applyNumberFormat="1" applyFont="1" applyFill="1" applyBorder="1"/>
    <xf numFmtId="0" fontId="0" fillId="5" borderId="2" xfId="0" applyFill="1" applyBorder="1"/>
    <xf numFmtId="165" fontId="0" fillId="5" borderId="3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7" fontId="0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7" fontId="2" fillId="0" borderId="0" xfId="1" applyNumberFormat="1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167" fontId="0" fillId="0" borderId="2" xfId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2" fillId="7" borderId="13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0" fillId="7" borderId="2" xfId="0" applyFill="1" applyBorder="1" applyAlignment="1">
      <alignment horizontal="center" vertical="center"/>
    </xf>
    <xf numFmtId="167" fontId="0" fillId="7" borderId="2" xfId="1" applyNumberFormat="1" applyFont="1" applyFill="1" applyBorder="1" applyAlignment="1">
      <alignment vertical="center"/>
    </xf>
    <xf numFmtId="0" fontId="0" fillId="7" borderId="2" xfId="0" applyFill="1" applyBorder="1" applyAlignment="1">
      <alignment vertical="center"/>
    </xf>
    <xf numFmtId="165" fontId="0" fillId="7" borderId="3" xfId="0" applyNumberFormat="1" applyFill="1" applyBorder="1" applyAlignment="1">
      <alignment vertical="center"/>
    </xf>
    <xf numFmtId="0" fontId="0" fillId="3" borderId="14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167" fontId="0" fillId="3" borderId="4" xfId="1" applyNumberFormat="1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165" fontId="0" fillId="3" borderId="6" xfId="1" applyFont="1" applyFill="1" applyBorder="1" applyAlignment="1">
      <alignment vertical="center"/>
    </xf>
    <xf numFmtId="0" fontId="0" fillId="0" borderId="7" xfId="0" applyBorder="1" applyAlignment="1">
      <alignment horizontal="left" vertical="center"/>
    </xf>
    <xf numFmtId="168" fontId="0" fillId="0" borderId="7" xfId="2" applyNumberFormat="1" applyFont="1" applyBorder="1" applyAlignment="1">
      <alignment horizontal="center" vertical="center"/>
    </xf>
    <xf numFmtId="165" fontId="0" fillId="0" borderId="8" xfId="1" applyFont="1" applyBorder="1" applyAlignment="1">
      <alignment vertical="center"/>
    </xf>
    <xf numFmtId="165" fontId="0" fillId="0" borderId="9" xfId="1" applyFont="1" applyBorder="1" applyAlignment="1">
      <alignment vertical="center"/>
    </xf>
    <xf numFmtId="0" fontId="0" fillId="0" borderId="10" xfId="0" applyBorder="1" applyAlignment="1">
      <alignment horizontal="left" vertical="center"/>
    </xf>
    <xf numFmtId="167" fontId="0" fillId="0" borderId="10" xfId="1" applyNumberFormat="1" applyFont="1" applyBorder="1" applyAlignment="1">
      <alignment vertical="center"/>
    </xf>
    <xf numFmtId="165" fontId="0" fillId="0" borderId="10" xfId="1" applyFont="1" applyBorder="1" applyAlignment="1">
      <alignment vertical="center"/>
    </xf>
    <xf numFmtId="165" fontId="0" fillId="0" borderId="12" xfId="1" applyFon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1" applyNumberFormat="1" applyFont="1" applyBorder="1" applyAlignment="1">
      <alignment vertical="center"/>
    </xf>
    <xf numFmtId="165" fontId="0" fillId="0" borderId="0" xfId="1" applyFont="1" applyBorder="1" applyAlignment="1">
      <alignment vertical="center"/>
    </xf>
    <xf numFmtId="9" fontId="0" fillId="3" borderId="4" xfId="2" applyFont="1" applyFill="1" applyBorder="1" applyAlignment="1">
      <alignment horizontal="center" vertical="center"/>
    </xf>
    <xf numFmtId="9" fontId="0" fillId="3" borderId="5" xfId="2" applyFont="1" applyFill="1" applyBorder="1" applyAlignment="1">
      <alignment horizontal="center" vertical="center"/>
    </xf>
    <xf numFmtId="168" fontId="0" fillId="0" borderId="10" xfId="2" applyNumberFormat="1" applyFont="1" applyBorder="1" applyAlignment="1">
      <alignment horizontal="center" vertical="center"/>
    </xf>
    <xf numFmtId="168" fontId="0" fillId="0" borderId="11" xfId="2" applyNumberFormat="1" applyFont="1" applyBorder="1" applyAlignment="1">
      <alignment horizontal="center" vertical="center"/>
    </xf>
    <xf numFmtId="0" fontId="2" fillId="6" borderId="13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0" fillId="6" borderId="20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 wrapText="1"/>
    </xf>
    <xf numFmtId="165" fontId="0" fillId="6" borderId="3" xfId="0" applyNumberFormat="1" applyFill="1" applyBorder="1" applyAlignment="1">
      <alignment vertical="center"/>
    </xf>
    <xf numFmtId="167" fontId="0" fillId="6" borderId="18" xfId="1" applyNumberFormat="1" applyFont="1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3" fillId="0" borderId="0" xfId="3" applyFont="1" applyAlignment="1">
      <alignment vertical="center"/>
    </xf>
    <xf numFmtId="0" fontId="6" fillId="0" borderId="0" xfId="3" applyFont="1"/>
    <xf numFmtId="0" fontId="4" fillId="0" borderId="0" xfId="3" applyFont="1" applyAlignment="1">
      <alignment horizontal="right" vertical="center"/>
    </xf>
    <xf numFmtId="0" fontId="4" fillId="0" borderId="0" xfId="3" applyFont="1" applyAlignment="1">
      <alignment vertical="center"/>
    </xf>
    <xf numFmtId="0" fontId="4" fillId="0" borderId="0" xfId="3" applyFont="1" applyAlignment="1">
      <alignment horizontal="center" vertical="center" wrapText="1"/>
    </xf>
    <xf numFmtId="0" fontId="4" fillId="0" borderId="0" xfId="3" applyFont="1" applyAlignment="1">
      <alignment horizontal="center" vertical="center"/>
    </xf>
    <xf numFmtId="169" fontId="4" fillId="0" borderId="0" xfId="3" applyNumberFormat="1" applyFont="1" applyAlignment="1">
      <alignment horizontal="center" vertical="center"/>
    </xf>
    <xf numFmtId="0" fontId="6" fillId="0" borderId="2" xfId="3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4" fontId="6" fillId="0" borderId="2" xfId="3" applyNumberFormat="1" applyFont="1" applyBorder="1" applyAlignment="1">
      <alignment horizontal="center" vertical="center"/>
    </xf>
    <xf numFmtId="170" fontId="6" fillId="0" borderId="2" xfId="3" applyNumberFormat="1" applyFont="1" applyBorder="1" applyAlignment="1">
      <alignment horizontal="center" vertical="center"/>
    </xf>
    <xf numFmtId="3" fontId="6" fillId="0" borderId="2" xfId="3" applyNumberFormat="1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4" fontId="6" fillId="0" borderId="0" xfId="3" applyNumberFormat="1" applyFont="1" applyAlignment="1">
      <alignment horizontal="center" vertical="center"/>
    </xf>
    <xf numFmtId="170" fontId="6" fillId="0" borderId="0" xfId="3" applyNumberFormat="1" applyFont="1" applyAlignment="1">
      <alignment horizontal="center" vertical="center"/>
    </xf>
    <xf numFmtId="3" fontId="6" fillId="0" borderId="0" xfId="3" applyNumberFormat="1" applyFont="1" applyAlignment="1">
      <alignment horizontal="center" vertical="center"/>
    </xf>
    <xf numFmtId="0" fontId="7" fillId="0" borderId="0" xfId="3" applyFont="1" applyAlignment="1">
      <alignment horizontal="left" vertical="center"/>
    </xf>
    <xf numFmtId="3" fontId="7" fillId="0" borderId="0" xfId="3" applyNumberFormat="1" applyFont="1" applyAlignment="1">
      <alignment horizontal="center" vertical="center"/>
    </xf>
    <xf numFmtId="0" fontId="7" fillId="0" borderId="28" xfId="3" applyFont="1" applyBorder="1" applyAlignment="1">
      <alignment horizontal="left" vertical="center"/>
    </xf>
    <xf numFmtId="0" fontId="7" fillId="0" borderId="29" xfId="3" applyFont="1" applyBorder="1" applyAlignment="1">
      <alignment horizontal="left" vertical="center"/>
    </xf>
    <xf numFmtId="10" fontId="7" fillId="0" borderId="0" xfId="3" applyNumberFormat="1" applyFont="1" applyAlignment="1">
      <alignment horizontal="center" vertical="center"/>
    </xf>
    <xf numFmtId="0" fontId="7" fillId="0" borderId="31" xfId="3" applyFont="1" applyBorder="1" applyAlignment="1">
      <alignment horizontal="left" vertical="center"/>
    </xf>
    <xf numFmtId="0" fontId="7" fillId="0" borderId="32" xfId="3" applyFont="1" applyBorder="1" applyAlignment="1">
      <alignment horizontal="left" vertical="center"/>
    </xf>
    <xf numFmtId="0" fontId="6" fillId="0" borderId="0" xfId="3" applyFont="1" applyAlignment="1">
      <alignment horizontal="center" vertical="center" wrapText="1"/>
    </xf>
    <xf numFmtId="0" fontId="6" fillId="0" borderId="0" xfId="3" applyFont="1" applyAlignment="1">
      <alignment vertical="center"/>
    </xf>
    <xf numFmtId="169" fontId="6" fillId="0" borderId="0" xfId="3" applyNumberFormat="1" applyFont="1" applyAlignment="1">
      <alignment vertical="center"/>
    </xf>
    <xf numFmtId="0" fontId="9" fillId="0" borderId="0" xfId="3" applyFont="1" applyAlignment="1">
      <alignment vertical="top" wrapText="1"/>
    </xf>
    <xf numFmtId="2" fontId="0" fillId="3" borderId="4" xfId="0" applyNumberFormat="1" applyFill="1" applyBorder="1" applyAlignment="1">
      <alignment horizontal="center" vertical="center"/>
    </xf>
    <xf numFmtId="2" fontId="0" fillId="3" borderId="5" xfId="0" applyNumberFormat="1" applyFill="1" applyBorder="1" applyAlignment="1">
      <alignment horizontal="center" vertical="center"/>
    </xf>
    <xf numFmtId="2" fontId="7" fillId="0" borderId="30" xfId="3" applyNumberFormat="1" applyFont="1" applyBorder="1" applyAlignment="1">
      <alignment horizontal="center" vertical="center"/>
    </xf>
    <xf numFmtId="2" fontId="7" fillId="0" borderId="12" xfId="3" applyNumberFormat="1" applyFont="1" applyBorder="1" applyAlignment="1">
      <alignment horizontal="center" vertical="center"/>
    </xf>
    <xf numFmtId="0" fontId="0" fillId="3" borderId="4" xfId="0" applyFill="1" applyBorder="1" applyAlignment="1">
      <alignment horizontal="left" vertical="center" wrapText="1"/>
    </xf>
    <xf numFmtId="2" fontId="0" fillId="0" borderId="7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9" fontId="0" fillId="0" borderId="0" xfId="2" applyFont="1" applyBorder="1"/>
    <xf numFmtId="9" fontId="0" fillId="0" borderId="0" xfId="0" applyNumberFormat="1"/>
    <xf numFmtId="0" fontId="11" fillId="0" borderId="0" xfId="0" applyFont="1"/>
    <xf numFmtId="0" fontId="0" fillId="0" borderId="7" xfId="0" applyBorder="1"/>
    <xf numFmtId="0" fontId="0" fillId="0" borderId="7" xfId="0" applyBorder="1" applyAlignment="1">
      <alignment horizontal="right"/>
    </xf>
    <xf numFmtId="0" fontId="0" fillId="0" borderId="29" xfId="0" applyBorder="1"/>
    <xf numFmtId="9" fontId="0" fillId="0" borderId="7" xfId="2" applyFont="1" applyBorder="1"/>
    <xf numFmtId="0" fontId="0" fillId="11" borderId="7" xfId="0" applyFill="1" applyBorder="1"/>
    <xf numFmtId="0" fontId="0" fillId="0" borderId="52" xfId="0" applyBorder="1"/>
    <xf numFmtId="0" fontId="0" fillId="0" borderId="0" xfId="0" applyAlignment="1">
      <alignment wrapText="1"/>
    </xf>
    <xf numFmtId="10" fontId="0" fillId="0" borderId="0" xfId="2" applyNumberFormat="1" applyFont="1"/>
    <xf numFmtId="0" fontId="2" fillId="0" borderId="7" xfId="0" applyFont="1" applyBorder="1"/>
    <xf numFmtId="0" fontId="0" fillId="0" borderId="57" xfId="0" applyBorder="1"/>
    <xf numFmtId="165" fontId="0" fillId="0" borderId="0" xfId="1" applyFont="1" applyFill="1" applyBorder="1"/>
    <xf numFmtId="0" fontId="0" fillId="8" borderId="44" xfId="0" applyFill="1" applyBorder="1"/>
    <xf numFmtId="0" fontId="0" fillId="8" borderId="45" xfId="0" applyFill="1" applyBorder="1"/>
    <xf numFmtId="0" fontId="0" fillId="8" borderId="46" xfId="0" applyFill="1" applyBorder="1"/>
    <xf numFmtId="0" fontId="0" fillId="8" borderId="7" xfId="0" applyFill="1" applyBorder="1"/>
    <xf numFmtId="165" fontId="0" fillId="0" borderId="7" xfId="1" applyFont="1" applyFill="1" applyBorder="1"/>
    <xf numFmtId="165" fontId="0" fillId="0" borderId="0" xfId="0" applyNumberFormat="1"/>
    <xf numFmtId="0" fontId="0" fillId="8" borderId="8" xfId="0" applyFill="1" applyBorder="1"/>
    <xf numFmtId="0" fontId="0" fillId="0" borderId="8" xfId="0" applyBorder="1"/>
    <xf numFmtId="0" fontId="0" fillId="0" borderId="42" xfId="0" applyBorder="1"/>
    <xf numFmtId="0" fontId="0" fillId="8" borderId="57" xfId="0" applyFill="1" applyBorder="1"/>
    <xf numFmtId="0" fontId="0" fillId="8" borderId="40" xfId="0" applyFill="1" applyBorder="1"/>
    <xf numFmtId="0" fontId="0" fillId="8" borderId="51" xfId="0" applyFill="1" applyBorder="1" applyAlignment="1">
      <alignment wrapText="1"/>
    </xf>
    <xf numFmtId="0" fontId="0" fillId="8" borderId="53" xfId="0" applyFill="1" applyBorder="1" applyAlignment="1">
      <alignment wrapText="1"/>
    </xf>
    <xf numFmtId="0" fontId="0" fillId="8" borderId="47" xfId="0" applyFill="1" applyBorder="1"/>
    <xf numFmtId="0" fontId="0" fillId="8" borderId="0" xfId="0" applyFill="1" applyAlignment="1">
      <alignment wrapText="1"/>
    </xf>
    <xf numFmtId="0" fontId="0" fillId="8" borderId="7" xfId="0" applyFill="1" applyBorder="1" applyAlignment="1">
      <alignment wrapText="1"/>
    </xf>
    <xf numFmtId="9" fontId="0" fillId="0" borderId="42" xfId="2" applyFont="1" applyBorder="1"/>
    <xf numFmtId="165" fontId="0" fillId="0" borderId="7" xfId="0" applyNumberFormat="1" applyBorder="1"/>
    <xf numFmtId="10" fontId="0" fillId="0" borderId="7" xfId="2" applyNumberFormat="1" applyFont="1" applyBorder="1"/>
    <xf numFmtId="9" fontId="0" fillId="0" borderId="0" xfId="2" applyFont="1"/>
    <xf numFmtId="165" fontId="0" fillId="0" borderId="58" xfId="0" applyNumberFormat="1" applyBorder="1"/>
    <xf numFmtId="165" fontId="0" fillId="0" borderId="0" xfId="1" applyFont="1"/>
    <xf numFmtId="0" fontId="0" fillId="0" borderId="51" xfId="0" applyBorder="1"/>
    <xf numFmtId="165" fontId="0" fillId="0" borderId="7" xfId="1" applyFont="1" applyBorder="1"/>
    <xf numFmtId="165" fontId="0" fillId="0" borderId="0" xfId="1" applyFont="1" applyBorder="1"/>
    <xf numFmtId="0" fontId="0" fillId="0" borderId="0" xfId="0" applyAlignment="1">
      <alignment horizontal="left" vertical="top" wrapText="1"/>
    </xf>
    <xf numFmtId="9" fontId="2" fillId="0" borderId="7" xfId="0" applyNumberFormat="1" applyFont="1" applyBorder="1"/>
    <xf numFmtId="0" fontId="0" fillId="0" borderId="0" xfId="0" applyAlignment="1">
      <alignment vertical="top"/>
    </xf>
    <xf numFmtId="0" fontId="0" fillId="0" borderId="0" xfId="0" applyAlignment="1">
      <alignment horizontal="center" wrapText="1"/>
    </xf>
    <xf numFmtId="173" fontId="0" fillId="0" borderId="7" xfId="0" applyNumberFormat="1" applyBorder="1"/>
    <xf numFmtId="0" fontId="0" fillId="0" borderId="7" xfId="0" applyBorder="1" applyAlignment="1">
      <alignment horizontal="left" vertical="top" wrapText="1"/>
    </xf>
    <xf numFmtId="10" fontId="0" fillId="0" borderId="7" xfId="0" applyNumberFormat="1" applyBorder="1"/>
    <xf numFmtId="10" fontId="0" fillId="0" borderId="7" xfId="2" applyNumberFormat="1" applyFont="1" applyFill="1" applyBorder="1"/>
    <xf numFmtId="172" fontId="0" fillId="0" borderId="0" xfId="0" applyNumberFormat="1"/>
    <xf numFmtId="171" fontId="0" fillId="0" borderId="7" xfId="0" applyNumberFormat="1" applyBorder="1"/>
    <xf numFmtId="0" fontId="0" fillId="0" borderId="57" xfId="0" applyBorder="1" applyAlignment="1">
      <alignment vertical="top"/>
    </xf>
    <xf numFmtId="165" fontId="0" fillId="11" borderId="7" xfId="0" applyNumberFormat="1" applyFill="1" applyBorder="1"/>
    <xf numFmtId="0" fontId="2" fillId="0" borderId="7" xfId="0" applyFont="1" applyBorder="1" applyAlignment="1">
      <alignment vertical="top"/>
    </xf>
    <xf numFmtId="174" fontId="0" fillId="0" borderId="7" xfId="0" applyNumberFormat="1" applyBorder="1"/>
    <xf numFmtId="165" fontId="0" fillId="15" borderId="7" xfId="0" applyNumberFormat="1" applyFill="1" applyBorder="1"/>
    <xf numFmtId="0" fontId="0" fillId="0" borderId="7" xfId="0" applyBorder="1" applyAlignment="1">
      <alignment vertical="top" wrapText="1"/>
    </xf>
    <xf numFmtId="0" fontId="0" fillId="0" borderId="0" xfId="0" applyAlignment="1">
      <alignment vertical="top" wrapText="1"/>
    </xf>
    <xf numFmtId="0" fontId="10" fillId="0" borderId="0" xfId="0" applyFont="1"/>
    <xf numFmtId="0" fontId="0" fillId="12" borderId="0" xfId="0" applyFill="1"/>
    <xf numFmtId="0" fontId="0" fillId="13" borderId="0" xfId="0" applyFill="1"/>
    <xf numFmtId="0" fontId="0" fillId="14" borderId="0" xfId="0" applyFill="1"/>
    <xf numFmtId="165" fontId="0" fillId="0" borderId="0" xfId="1" applyFont="1" applyProtection="1"/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69" fontId="1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/>
    </xf>
    <xf numFmtId="0" fontId="0" fillId="0" borderId="60" xfId="0" applyBorder="1" applyAlignment="1">
      <alignment vertical="center" wrapText="1"/>
    </xf>
    <xf numFmtId="0" fontId="0" fillId="0" borderId="61" xfId="0" applyBorder="1" applyAlignment="1">
      <alignment vertical="center" wrapText="1"/>
    </xf>
    <xf numFmtId="0" fontId="0" fillId="0" borderId="62" xfId="0" applyBorder="1" applyAlignment="1">
      <alignment vertical="center" wrapText="1"/>
    </xf>
    <xf numFmtId="165" fontId="0" fillId="0" borderId="62" xfId="1" applyFont="1" applyBorder="1" applyAlignment="1" applyProtection="1">
      <alignment vertical="center" wrapText="1"/>
    </xf>
    <xf numFmtId="0" fontId="0" fillId="0" borderId="64" xfId="0" applyBorder="1" applyAlignment="1">
      <alignment vertical="center" wrapText="1"/>
    </xf>
    <xf numFmtId="0" fontId="0" fillId="0" borderId="65" xfId="0" applyBorder="1" applyAlignment="1">
      <alignment vertical="center" wrapText="1"/>
    </xf>
    <xf numFmtId="0" fontId="0" fillId="0" borderId="66" xfId="0" applyBorder="1" applyAlignment="1">
      <alignment vertical="center" wrapText="1"/>
    </xf>
    <xf numFmtId="165" fontId="0" fillId="0" borderId="66" xfId="1" applyFont="1" applyBorder="1" applyAlignment="1" applyProtection="1">
      <alignment vertical="center" wrapText="1"/>
    </xf>
    <xf numFmtId="0" fontId="0" fillId="0" borderId="72" xfId="0" applyBorder="1" applyAlignment="1">
      <alignment vertical="center" wrapText="1"/>
    </xf>
    <xf numFmtId="0" fontId="0" fillId="0" borderId="73" xfId="0" applyBorder="1" applyAlignment="1">
      <alignment vertical="center" wrapText="1"/>
    </xf>
    <xf numFmtId="0" fontId="0" fillId="0" borderId="74" xfId="0" applyBorder="1" applyAlignment="1">
      <alignment vertical="center" wrapText="1"/>
    </xf>
    <xf numFmtId="165" fontId="0" fillId="0" borderId="74" xfId="1" applyFont="1" applyBorder="1" applyAlignment="1" applyProtection="1">
      <alignment vertical="center" wrapText="1"/>
    </xf>
    <xf numFmtId="0" fontId="0" fillId="0" borderId="68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165" fontId="0" fillId="0" borderId="70" xfId="1" applyFont="1" applyBorder="1" applyAlignment="1" applyProtection="1">
      <alignment vertical="center" wrapText="1"/>
    </xf>
    <xf numFmtId="0" fontId="0" fillId="0" borderId="59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7" xfId="0" applyBorder="1" applyAlignment="1" applyProtection="1">
      <alignment horizontal="left" vertical="center"/>
      <protection locked="0"/>
    </xf>
    <xf numFmtId="0" fontId="0" fillId="4" borderId="2" xfId="0" applyFill="1" applyBorder="1" applyAlignment="1">
      <alignment horizontal="right"/>
    </xf>
    <xf numFmtId="0" fontId="0" fillId="8" borderId="45" xfId="0" applyFill="1" applyBorder="1" applyAlignment="1">
      <alignment horizontal="center" wrapText="1"/>
    </xf>
    <xf numFmtId="1" fontId="0" fillId="0" borderId="40" xfId="0" applyNumberFormat="1" applyBorder="1" applyAlignment="1">
      <alignment horizontal="center" wrapText="1"/>
    </xf>
    <xf numFmtId="0" fontId="14" fillId="0" borderId="0" xfId="0" applyFont="1"/>
    <xf numFmtId="0" fontId="0" fillId="5" borderId="2" xfId="0" applyFill="1" applyBorder="1" applyAlignment="1">
      <alignment horizontal="right"/>
    </xf>
    <xf numFmtId="167" fontId="2" fillId="0" borderId="0" xfId="1" applyNumberFormat="1" applyFont="1" applyAlignment="1">
      <alignment horizontal="center"/>
    </xf>
    <xf numFmtId="0" fontId="2" fillId="5" borderId="13" xfId="0" applyFont="1" applyFill="1" applyBorder="1" applyAlignment="1">
      <alignment horizontal="right"/>
    </xf>
    <xf numFmtId="0" fontId="0" fillId="8" borderId="5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1" fontId="2" fillId="0" borderId="7" xfId="0" applyNumberFormat="1" applyFont="1" applyBorder="1" applyAlignment="1">
      <alignment horizontal="center" wrapText="1"/>
    </xf>
    <xf numFmtId="165" fontId="2" fillId="0" borderId="7" xfId="0" applyNumberFormat="1" applyFont="1" applyBorder="1"/>
    <xf numFmtId="2" fontId="0" fillId="0" borderId="7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168" fontId="0" fillId="0" borderId="0" xfId="2" applyNumberFormat="1" applyFont="1" applyFill="1" applyBorder="1" applyAlignment="1">
      <alignment horizontal="center" vertical="center"/>
    </xf>
    <xf numFmtId="165" fontId="0" fillId="0" borderId="0" xfId="1" applyFont="1" applyFill="1" applyBorder="1" applyAlignment="1">
      <alignment vertical="center"/>
    </xf>
    <xf numFmtId="1" fontId="0" fillId="0" borderId="0" xfId="0" applyNumberFormat="1" applyAlignment="1">
      <alignment horizontal="center"/>
    </xf>
    <xf numFmtId="165" fontId="0" fillId="0" borderId="0" xfId="1" applyFont="1" applyFill="1" applyBorder="1" applyAlignment="1"/>
    <xf numFmtId="1" fontId="2" fillId="0" borderId="0" xfId="0" applyNumberFormat="1" applyFont="1" applyAlignment="1">
      <alignment horizontal="center"/>
    </xf>
    <xf numFmtId="165" fontId="2" fillId="0" borderId="0" xfId="0" applyNumberFormat="1" applyFon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8" borderId="42" xfId="0" applyFill="1" applyBorder="1" applyAlignment="1">
      <alignment horizontal="right" vertical="top"/>
    </xf>
    <xf numFmtId="0" fontId="4" fillId="0" borderId="0" xfId="3" applyFont="1" applyAlignment="1">
      <alignment horizontal="left" vertical="center"/>
    </xf>
    <xf numFmtId="0" fontId="6" fillId="0" borderId="0" xfId="3" applyFont="1" applyAlignment="1">
      <alignment horizontal="right"/>
    </xf>
    <xf numFmtId="3" fontId="7" fillId="0" borderId="19" xfId="3" applyNumberFormat="1" applyFont="1" applyBorder="1" applyAlignment="1">
      <alignment horizontal="center" vertical="center"/>
    </xf>
    <xf numFmtId="4" fontId="7" fillId="0" borderId="19" xfId="3" applyNumberFormat="1" applyFont="1" applyBorder="1" applyAlignment="1">
      <alignment horizontal="center" vertical="center"/>
    </xf>
    <xf numFmtId="0" fontId="2" fillId="0" borderId="0" xfId="4" applyFont="1" applyAlignment="1">
      <alignment vertical="center"/>
    </xf>
    <xf numFmtId="0" fontId="3" fillId="0" borderId="25" xfId="4" applyBorder="1" applyAlignment="1">
      <alignment vertical="center"/>
    </xf>
    <xf numFmtId="0" fontId="3" fillId="0" borderId="0" xfId="4" applyAlignment="1">
      <alignment vertical="center"/>
    </xf>
    <xf numFmtId="0" fontId="3" fillId="0" borderId="0" xfId="4" applyAlignment="1">
      <alignment horizontal="center" vertical="center"/>
    </xf>
    <xf numFmtId="167" fontId="0" fillId="0" borderId="0" xfId="5" applyNumberFormat="1" applyFont="1" applyBorder="1" applyAlignment="1" applyProtection="1">
      <alignment vertical="center"/>
    </xf>
    <xf numFmtId="0" fontId="3" fillId="6" borderId="26" xfId="4" applyFill="1" applyBorder="1" applyAlignment="1">
      <alignment horizontal="center" vertical="center"/>
    </xf>
    <xf numFmtId="167" fontId="0" fillId="6" borderId="13" xfId="5" applyNumberFormat="1" applyFont="1" applyFill="1" applyBorder="1" applyAlignment="1" applyProtection="1">
      <alignment horizontal="center" vertical="center" wrapText="1"/>
    </xf>
    <xf numFmtId="0" fontId="3" fillId="6" borderId="27" xfId="4" applyFill="1" applyBorder="1" applyAlignment="1">
      <alignment horizontal="center" vertical="center" wrapText="1"/>
    </xf>
    <xf numFmtId="0" fontId="3" fillId="3" borderId="14" xfId="4" applyFill="1" applyBorder="1" applyAlignment="1">
      <alignment horizontal="left" vertical="center"/>
    </xf>
    <xf numFmtId="0" fontId="3" fillId="3" borderId="4" xfId="4" applyFill="1" applyBorder="1" applyAlignment="1">
      <alignment horizontal="left" vertical="center"/>
    </xf>
    <xf numFmtId="0" fontId="3" fillId="3" borderId="5" xfId="4" applyFill="1" applyBorder="1" applyAlignment="1">
      <alignment horizontal="center" vertical="center"/>
    </xf>
    <xf numFmtId="9" fontId="4" fillId="3" borderId="14" xfId="6" applyFont="1" applyFill="1" applyBorder="1" applyAlignment="1" applyProtection="1">
      <alignment horizontal="center" vertical="center"/>
    </xf>
    <xf numFmtId="168" fontId="4" fillId="3" borderId="6" xfId="6" applyNumberFormat="1" applyFont="1" applyFill="1" applyBorder="1" applyAlignment="1" applyProtection="1">
      <alignment horizontal="center" vertical="center"/>
    </xf>
    <xf numFmtId="0" fontId="3" fillId="0" borderId="15" xfId="4" applyBorder="1" applyAlignment="1">
      <alignment horizontal="left" vertical="center"/>
    </xf>
    <xf numFmtId="0" fontId="3" fillId="0" borderId="7" xfId="4" applyBorder="1" applyAlignment="1">
      <alignment horizontal="left" vertical="center"/>
    </xf>
    <xf numFmtId="2" fontId="3" fillId="0" borderId="9" xfId="4" applyNumberFormat="1" applyBorder="1" applyAlignment="1">
      <alignment horizontal="center" vertical="center"/>
    </xf>
    <xf numFmtId="168" fontId="0" fillId="0" borderId="15" xfId="6" applyNumberFormat="1" applyFont="1" applyBorder="1" applyAlignment="1" applyProtection="1">
      <alignment horizontal="center" vertical="center"/>
    </xf>
    <xf numFmtId="168" fontId="0" fillId="0" borderId="9" xfId="6" applyNumberFormat="1" applyFont="1" applyBorder="1" applyAlignment="1" applyProtection="1">
      <alignment horizontal="center" vertical="center"/>
    </xf>
    <xf numFmtId="0" fontId="3" fillId="0" borderId="16" xfId="4" applyBorder="1" applyAlignment="1">
      <alignment horizontal="left" vertical="center"/>
    </xf>
    <xf numFmtId="0" fontId="3" fillId="0" borderId="10" xfId="4" applyBorder="1" applyAlignment="1">
      <alignment horizontal="left" vertical="center"/>
    </xf>
    <xf numFmtId="2" fontId="3" fillId="0" borderId="12" xfId="4" applyNumberFormat="1" applyBorder="1" applyAlignment="1">
      <alignment horizontal="center" vertical="center"/>
    </xf>
    <xf numFmtId="168" fontId="0" fillId="0" borderId="31" xfId="6" applyNumberFormat="1" applyFont="1" applyBorder="1" applyAlignment="1" applyProtection="1">
      <alignment horizontal="center" vertical="center"/>
    </xf>
    <xf numFmtId="168" fontId="0" fillId="0" borderId="1" xfId="6" applyNumberFormat="1" applyFont="1" applyFill="1" applyBorder="1" applyAlignment="1" applyProtection="1">
      <alignment horizontal="center" vertical="center"/>
    </xf>
    <xf numFmtId="165" fontId="0" fillId="0" borderId="0" xfId="0" applyNumberForma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0" fillId="16" borderId="0" xfId="0" applyFill="1" applyAlignment="1">
      <alignment horizontal="left" vertical="top"/>
    </xf>
    <xf numFmtId="0" fontId="0" fillId="0" borderId="0" xfId="0" applyAlignment="1">
      <alignment horizontal="left" vertical="top"/>
    </xf>
    <xf numFmtId="0" fontId="2" fillId="22" borderId="0" xfId="0" applyFont="1" applyFill="1" applyAlignment="1">
      <alignment vertical="top"/>
    </xf>
    <xf numFmtId="0" fontId="0" fillId="22" borderId="0" xfId="0" applyFill="1" applyAlignment="1">
      <alignment vertical="top"/>
    </xf>
    <xf numFmtId="0" fontId="0" fillId="17" borderId="0" xfId="0" applyFill="1" applyAlignment="1">
      <alignment horizontal="left" vertical="top"/>
    </xf>
    <xf numFmtId="0" fontId="0" fillId="0" borderId="7" xfId="1" applyNumberFormat="1" applyFont="1" applyBorder="1" applyAlignment="1">
      <alignment horizontal="left" vertical="top" wrapText="1"/>
    </xf>
    <xf numFmtId="0" fontId="0" fillId="0" borderId="7" xfId="1" applyNumberFormat="1" applyFont="1" applyFill="1" applyBorder="1" applyAlignment="1">
      <alignment horizontal="left" vertical="top" wrapText="1"/>
    </xf>
    <xf numFmtId="0" fontId="2" fillId="18" borderId="0" xfId="0" applyFont="1" applyFill="1" applyAlignment="1">
      <alignment horizontal="left" vertical="top"/>
    </xf>
    <xf numFmtId="0" fontId="2" fillId="19" borderId="0" xfId="0" applyFont="1" applyFill="1" applyAlignment="1">
      <alignment horizontal="left" vertical="top"/>
    </xf>
    <xf numFmtId="0" fontId="0" fillId="19" borderId="0" xfId="0" applyFill="1" applyAlignment="1">
      <alignment horizontal="left" vertical="top"/>
    </xf>
    <xf numFmtId="0" fontId="0" fillId="20" borderId="0" xfId="0" applyFill="1" applyAlignment="1">
      <alignment horizontal="left" vertical="top"/>
    </xf>
    <xf numFmtId="0" fontId="0" fillId="21" borderId="0" xfId="0" applyFill="1" applyAlignment="1">
      <alignment horizontal="left" vertical="top"/>
    </xf>
    <xf numFmtId="0" fontId="15" fillId="0" borderId="0" xfId="0" applyFont="1" applyAlignment="1">
      <alignment horizontal="right"/>
    </xf>
    <xf numFmtId="168" fontId="0" fillId="0" borderId="7" xfId="2" applyNumberFormat="1" applyFont="1" applyFill="1" applyBorder="1" applyAlignment="1">
      <alignment horizontal="center" vertical="center"/>
    </xf>
    <xf numFmtId="168" fontId="0" fillId="0" borderId="8" xfId="2" applyNumberFormat="1" applyFont="1" applyFill="1" applyBorder="1" applyAlignment="1">
      <alignment horizontal="center" vertical="center"/>
    </xf>
    <xf numFmtId="165" fontId="0" fillId="0" borderId="9" xfId="1" applyFont="1" applyFill="1" applyBorder="1" applyAlignment="1">
      <alignment vertical="center"/>
    </xf>
    <xf numFmtId="0" fontId="0" fillId="0" borderId="0" xfId="0" applyAlignment="1">
      <alignment horizontal="right"/>
    </xf>
    <xf numFmtId="0" fontId="16" fillId="0" borderId="0" xfId="0" applyFont="1" applyAlignment="1">
      <alignment vertical="center"/>
    </xf>
    <xf numFmtId="0" fontId="0" fillId="0" borderId="29" xfId="0" applyBorder="1" applyAlignment="1">
      <alignment horizontal="left" vertical="center"/>
    </xf>
    <xf numFmtId="0" fontId="6" fillId="0" borderId="0" xfId="3" applyFont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right" vertical="center"/>
    </xf>
    <xf numFmtId="0" fontId="0" fillId="13" borderId="7" xfId="0" applyFill="1" applyBorder="1" applyAlignment="1">
      <alignment vertical="center"/>
    </xf>
    <xf numFmtId="165" fontId="0" fillId="13" borderId="7" xfId="1" applyFont="1" applyFill="1" applyBorder="1" applyAlignment="1" applyProtection="1">
      <alignment vertical="center"/>
    </xf>
    <xf numFmtId="165" fontId="0" fillId="0" borderId="7" xfId="1" applyFont="1" applyBorder="1" applyAlignment="1" applyProtection="1">
      <alignment vertical="center"/>
    </xf>
    <xf numFmtId="0" fontId="2" fillId="0" borderId="8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0" borderId="40" xfId="0" applyBorder="1" applyAlignment="1">
      <alignment vertical="center" wrapText="1"/>
    </xf>
    <xf numFmtId="0" fontId="0" fillId="0" borderId="42" xfId="0" applyBorder="1" applyAlignment="1">
      <alignment vertical="center"/>
    </xf>
    <xf numFmtId="0" fontId="2" fillId="8" borderId="7" xfId="0" applyFont="1" applyFill="1" applyBorder="1" applyAlignment="1">
      <alignment horizontal="right" vertical="center"/>
    </xf>
    <xf numFmtId="0" fontId="2" fillId="8" borderId="7" xfId="0" applyFont="1" applyFill="1" applyBorder="1" applyAlignment="1">
      <alignment vertical="center"/>
    </xf>
    <xf numFmtId="0" fontId="0" fillId="8" borderId="7" xfId="0" applyFill="1" applyBorder="1" applyAlignment="1">
      <alignment vertical="center"/>
    </xf>
    <xf numFmtId="0" fontId="0" fillId="8" borderId="8" xfId="0" applyFill="1" applyBorder="1" applyAlignment="1">
      <alignment vertical="center"/>
    </xf>
    <xf numFmtId="0" fontId="0" fillId="12" borderId="7" xfId="0" applyFill="1" applyBorder="1" applyAlignment="1">
      <alignment horizontal="left" vertical="center"/>
    </xf>
    <xf numFmtId="165" fontId="0" fillId="0" borderId="7" xfId="0" applyNumberFormat="1" applyBorder="1" applyAlignment="1">
      <alignment vertical="center"/>
    </xf>
    <xf numFmtId="0" fontId="0" fillId="14" borderId="7" xfId="0" applyFill="1" applyBorder="1" applyAlignment="1">
      <alignment horizontal="left" vertical="center"/>
    </xf>
    <xf numFmtId="2" fontId="0" fillId="0" borderId="7" xfId="0" applyNumberFormat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7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17" fillId="0" borderId="7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165" fontId="0" fillId="2" borderId="8" xfId="5" applyFont="1" applyFill="1" applyBorder="1" applyAlignment="1" applyProtection="1">
      <alignment vertical="center"/>
    </xf>
    <xf numFmtId="165" fontId="0" fillId="0" borderId="7" xfId="1" applyFont="1" applyFill="1" applyBorder="1" applyAlignment="1" applyProtection="1">
      <alignment vertical="center"/>
    </xf>
    <xf numFmtId="0" fontId="4" fillId="0" borderId="0" xfId="7" applyFont="1"/>
    <xf numFmtId="0" fontId="3" fillId="0" borderId="0" xfId="7"/>
    <xf numFmtId="0" fontId="3" fillId="23" borderId="0" xfId="7" applyFill="1"/>
    <xf numFmtId="0" fontId="3" fillId="24" borderId="0" xfId="7" applyFill="1"/>
    <xf numFmtId="0" fontId="3" fillId="25" borderId="0" xfId="7" applyFill="1"/>
    <xf numFmtId="0" fontId="18" fillId="0" borderId="13" xfId="7" applyFont="1" applyBorder="1"/>
    <xf numFmtId="0" fontId="20" fillId="0" borderId="27" xfId="7" applyFont="1" applyBorder="1" applyAlignment="1">
      <alignment horizontal="center"/>
    </xf>
    <xf numFmtId="0" fontId="18" fillId="0" borderId="0" xfId="7" applyFont="1"/>
    <xf numFmtId="0" fontId="18" fillId="0" borderId="77" xfId="7" applyFont="1" applyBorder="1"/>
    <xf numFmtId="0" fontId="20" fillId="0" borderId="30" xfId="7" applyFont="1" applyBorder="1" applyAlignment="1">
      <alignment horizontal="center"/>
    </xf>
    <xf numFmtId="0" fontId="18" fillId="0" borderId="78" xfId="7" applyFont="1" applyBorder="1" applyAlignment="1">
      <alignment horizontal="center" vertical="center" wrapText="1"/>
    </xf>
    <xf numFmtId="0" fontId="18" fillId="0" borderId="80" xfId="7" applyFont="1" applyBorder="1"/>
    <xf numFmtId="0" fontId="18" fillId="0" borderId="80" xfId="7" applyFont="1" applyBorder="1" applyAlignment="1">
      <alignment horizontal="center" vertical="center"/>
    </xf>
    <xf numFmtId="0" fontId="21" fillId="2" borderId="82" xfId="7" applyFont="1" applyFill="1" applyBorder="1" applyAlignment="1">
      <alignment horizontal="center" vertical="center"/>
    </xf>
    <xf numFmtId="0" fontId="21" fillId="0" borderId="35" xfId="7" applyFont="1" applyBorder="1" applyAlignment="1">
      <alignment horizontal="center"/>
    </xf>
    <xf numFmtId="0" fontId="19" fillId="0" borderId="14" xfId="7" applyFont="1" applyBorder="1" applyAlignment="1">
      <alignment horizontal="left" vertical="center"/>
    </xf>
    <xf numFmtId="0" fontId="19" fillId="0" borderId="15" xfId="7" applyFont="1" applyBorder="1" applyAlignment="1">
      <alignment horizontal="left" vertical="center"/>
    </xf>
    <xf numFmtId="0" fontId="19" fillId="0" borderId="15" xfId="7" applyFont="1" applyBorder="1"/>
    <xf numFmtId="0" fontId="19" fillId="0" borderId="50" xfId="7" applyFont="1" applyBorder="1"/>
    <xf numFmtId="0" fontId="24" fillId="26" borderId="40" xfId="7" applyFont="1" applyFill="1" applyBorder="1"/>
    <xf numFmtId="0" fontId="24" fillId="26" borderId="41" xfId="7" applyFont="1" applyFill="1" applyBorder="1"/>
    <xf numFmtId="0" fontId="19" fillId="0" borderId="80" xfId="7" applyFont="1" applyBorder="1" applyAlignment="1">
      <alignment horizontal="left" vertical="center" wrapText="1"/>
    </xf>
    <xf numFmtId="178" fontId="19" fillId="26" borderId="11" xfId="7" applyNumberFormat="1" applyFont="1" applyFill="1" applyBorder="1" applyAlignment="1">
      <alignment horizontal="left" vertical="center"/>
    </xf>
    <xf numFmtId="178" fontId="19" fillId="26" borderId="32" xfId="7" applyNumberFormat="1" applyFont="1" applyFill="1" applyBorder="1" applyAlignment="1">
      <alignment horizontal="left" vertical="center"/>
    </xf>
    <xf numFmtId="0" fontId="25" fillId="0" borderId="27" xfId="7" applyFont="1" applyBorder="1" applyAlignment="1">
      <alignment horizontal="center"/>
    </xf>
    <xf numFmtId="0" fontId="25" fillId="0" borderId="84" xfId="7" applyFont="1" applyBorder="1" applyAlignment="1">
      <alignment horizontal="center"/>
    </xf>
    <xf numFmtId="0" fontId="25" fillId="0" borderId="81" xfId="7" applyFont="1" applyBorder="1" applyAlignment="1">
      <alignment horizontal="center"/>
    </xf>
    <xf numFmtId="0" fontId="25" fillId="0" borderId="10" xfId="7" applyFont="1" applyBorder="1" applyAlignment="1">
      <alignment horizontal="center"/>
    </xf>
    <xf numFmtId="0" fontId="25" fillId="0" borderId="25" xfId="7" applyFont="1" applyBorder="1" applyAlignment="1">
      <alignment horizontal="center"/>
    </xf>
    <xf numFmtId="0" fontId="25" fillId="0" borderId="85" xfId="7" applyFont="1" applyBorder="1"/>
    <xf numFmtId="17" fontId="12" fillId="0" borderId="77" xfId="7" applyNumberFormat="1" applyFont="1" applyBorder="1" applyAlignment="1">
      <alignment horizontal="center" vertical="center"/>
    </xf>
    <xf numFmtId="177" fontId="12" fillId="0" borderId="52" xfId="11" applyNumberFormat="1" applyFont="1" applyBorder="1" applyAlignment="1">
      <alignment vertical="center"/>
    </xf>
    <xf numFmtId="177" fontId="12" fillId="0" borderId="55" xfId="11" applyNumberFormat="1" applyFont="1" applyBorder="1" applyAlignment="1">
      <alignment vertical="center"/>
    </xf>
    <xf numFmtId="164" fontId="12" fillId="0" borderId="0" xfId="7" applyNumberFormat="1" applyFont="1" applyAlignment="1">
      <alignment vertical="center"/>
    </xf>
    <xf numFmtId="177" fontId="27" fillId="0" borderId="84" xfId="11" applyNumberFormat="1" applyFont="1" applyBorder="1" applyAlignment="1">
      <alignment vertical="center"/>
    </xf>
    <xf numFmtId="177" fontId="12" fillId="0" borderId="51" xfId="11" applyNumberFormat="1" applyFont="1" applyBorder="1" applyAlignment="1">
      <alignment vertical="center"/>
    </xf>
    <xf numFmtId="17" fontId="26" fillId="0" borderId="86" xfId="7" applyNumberFormat="1" applyFont="1" applyBorder="1" applyAlignment="1">
      <alignment vertical="center"/>
    </xf>
    <xf numFmtId="177" fontId="26" fillId="0" borderId="87" xfId="11" applyNumberFormat="1" applyFont="1" applyFill="1" applyBorder="1" applyAlignment="1">
      <alignment vertical="center"/>
    </xf>
    <xf numFmtId="177" fontId="27" fillId="0" borderId="88" xfId="11" applyNumberFormat="1" applyFont="1" applyFill="1" applyBorder="1" applyAlignment="1">
      <alignment horizontal="center" vertical="center"/>
    </xf>
    <xf numFmtId="177" fontId="12" fillId="0" borderId="54" xfId="11" applyNumberFormat="1" applyFont="1" applyBorder="1"/>
    <xf numFmtId="17" fontId="26" fillId="0" borderId="86" xfId="7" applyNumberFormat="1" applyFont="1" applyBorder="1"/>
    <xf numFmtId="177" fontId="26" fillId="0" borderId="87" xfId="11" applyNumberFormat="1" applyFont="1" applyFill="1" applyBorder="1"/>
    <xf numFmtId="177" fontId="27" fillId="0" borderId="88" xfId="11" applyNumberFormat="1" applyFont="1" applyFill="1" applyBorder="1" applyAlignment="1">
      <alignment horizontal="center"/>
    </xf>
    <xf numFmtId="0" fontId="26" fillId="0" borderId="80" xfId="7" applyFont="1" applyBorder="1" applyAlignment="1">
      <alignment vertical="center"/>
    </xf>
    <xf numFmtId="177" fontId="26" fillId="0" borderId="81" xfId="7" applyNumberFormat="1" applyFont="1" applyBorder="1" applyAlignment="1">
      <alignment vertical="center"/>
    </xf>
    <xf numFmtId="177" fontId="27" fillId="0" borderId="85" xfId="7" applyNumberFormat="1" applyFont="1" applyBorder="1" applyAlignment="1">
      <alignment horizontal="center" vertical="center"/>
    </xf>
    <xf numFmtId="0" fontId="12" fillId="0" borderId="0" xfId="7" applyFont="1"/>
    <xf numFmtId="177" fontId="18" fillId="0" borderId="0" xfId="7" applyNumberFormat="1" applyFont="1"/>
    <xf numFmtId="0" fontId="18" fillId="0" borderId="79" xfId="7" applyFont="1" applyBorder="1" applyAlignment="1">
      <alignment horizontal="center"/>
    </xf>
    <xf numFmtId="0" fontId="18" fillId="0" borderId="7" xfId="7" applyFont="1" applyBorder="1"/>
    <xf numFmtId="0" fontId="18" fillId="0" borderId="8" xfId="7" applyFont="1" applyBorder="1"/>
    <xf numFmtId="0" fontId="3" fillId="0" borderId="0" xfId="7" applyAlignment="1">
      <alignment horizontal="center" vertical="center"/>
    </xf>
    <xf numFmtId="0" fontId="18" fillId="0" borderId="52" xfId="7" applyFont="1" applyBorder="1" applyAlignment="1">
      <alignment horizontal="center"/>
    </xf>
    <xf numFmtId="0" fontId="18" fillId="0" borderId="52" xfId="7" applyFont="1" applyBorder="1"/>
    <xf numFmtId="0" fontId="18" fillId="0" borderId="78" xfId="7" applyFont="1" applyBorder="1"/>
    <xf numFmtId="0" fontId="18" fillId="0" borderId="33" xfId="7" applyFont="1" applyBorder="1"/>
    <xf numFmtId="0" fontId="18" fillId="0" borderId="77" xfId="7" applyFont="1" applyBorder="1" applyAlignment="1">
      <alignment horizontal="center" vertical="center"/>
    </xf>
    <xf numFmtId="180" fontId="21" fillId="0" borderId="55" xfId="7" applyNumberFormat="1" applyFont="1" applyBorder="1" applyAlignment="1">
      <alignment horizontal="right"/>
    </xf>
    <xf numFmtId="181" fontId="21" fillId="0" borderId="52" xfId="7" applyNumberFormat="1" applyFont="1" applyBorder="1" applyAlignment="1">
      <alignment horizontal="right"/>
    </xf>
    <xf numFmtId="0" fontId="18" fillId="0" borderId="17" xfId="7" applyFont="1" applyBorder="1"/>
    <xf numFmtId="180" fontId="18" fillId="0" borderId="55" xfId="7" applyNumberFormat="1" applyFont="1" applyBorder="1" applyAlignment="1">
      <alignment horizontal="right"/>
    </xf>
    <xf numFmtId="43" fontId="18" fillId="0" borderId="52" xfId="7" applyNumberFormat="1" applyFont="1" applyBorder="1" applyAlignment="1">
      <alignment horizontal="right"/>
    </xf>
    <xf numFmtId="43" fontId="21" fillId="0" borderId="52" xfId="7" applyNumberFormat="1" applyFont="1" applyBorder="1" applyAlignment="1">
      <alignment horizontal="right"/>
    </xf>
    <xf numFmtId="0" fontId="18" fillId="0" borderId="35" xfId="7" applyFont="1" applyBorder="1"/>
    <xf numFmtId="0" fontId="20" fillId="0" borderId="33" xfId="7" applyFont="1" applyBorder="1" applyAlignment="1">
      <alignment horizontal="left" vertical="center" wrapText="1"/>
    </xf>
    <xf numFmtId="0" fontId="20" fillId="0" borderId="0" xfId="7" applyFont="1" applyAlignment="1">
      <alignment horizontal="left" vertical="center" wrapText="1"/>
    </xf>
    <xf numFmtId="0" fontId="20" fillId="0" borderId="17" xfId="7" applyFont="1" applyBorder="1" applyAlignment="1">
      <alignment horizontal="left" vertical="center" wrapText="1"/>
    </xf>
    <xf numFmtId="0" fontId="20" fillId="0" borderId="28" xfId="7" applyFont="1" applyBorder="1"/>
    <xf numFmtId="0" fontId="20" fillId="0" borderId="29" xfId="7" applyFont="1" applyBorder="1"/>
    <xf numFmtId="0" fontId="20" fillId="0" borderId="83" xfId="7" applyFont="1" applyBorder="1"/>
    <xf numFmtId="0" fontId="18" fillId="0" borderId="50" xfId="7" applyFont="1" applyBorder="1"/>
    <xf numFmtId="43" fontId="18" fillId="0" borderId="51" xfId="7" applyNumberFormat="1" applyFont="1" applyBorder="1" applyAlignment="1">
      <alignment horizontal="right"/>
    </xf>
    <xf numFmtId="43" fontId="18" fillId="0" borderId="53" xfId="7" applyNumberFormat="1" applyFont="1" applyBorder="1" applyAlignment="1">
      <alignment horizontal="right"/>
    </xf>
    <xf numFmtId="0" fontId="18" fillId="0" borderId="89" xfId="7" applyFont="1" applyBorder="1"/>
    <xf numFmtId="0" fontId="18" fillId="0" borderId="45" xfId="7" applyFont="1" applyBorder="1"/>
    <xf numFmtId="0" fontId="18" fillId="0" borderId="79" xfId="7" applyFont="1" applyBorder="1"/>
    <xf numFmtId="0" fontId="18" fillId="0" borderId="93" xfId="7" applyFont="1" applyBorder="1"/>
    <xf numFmtId="0" fontId="18" fillId="0" borderId="1" xfId="7" applyFont="1" applyBorder="1"/>
    <xf numFmtId="0" fontId="18" fillId="0" borderId="2" xfId="7" applyFont="1" applyBorder="1"/>
    <xf numFmtId="0" fontId="18" fillId="0" borderId="3" xfId="7" applyFont="1" applyBorder="1"/>
    <xf numFmtId="0" fontId="18" fillId="0" borderId="25" xfId="7" applyFont="1" applyBorder="1"/>
    <xf numFmtId="0" fontId="20" fillId="0" borderId="25" xfId="7" applyFont="1" applyBorder="1" applyAlignment="1">
      <alignment horizontal="left"/>
    </xf>
    <xf numFmtId="0" fontId="20" fillId="0" borderId="35" xfId="7" applyFont="1" applyBorder="1" applyAlignment="1">
      <alignment horizontal="left"/>
    </xf>
    <xf numFmtId="181" fontId="18" fillId="0" borderId="0" xfId="7" applyNumberFormat="1" applyFont="1"/>
    <xf numFmtId="0" fontId="12" fillId="0" borderId="0" xfId="12"/>
    <xf numFmtId="0" fontId="26" fillId="0" borderId="7" xfId="12" applyFont="1" applyBorder="1" applyAlignment="1" applyProtection="1">
      <alignment horizontal="center" vertical="center"/>
      <protection locked="0"/>
    </xf>
    <xf numFmtId="0" fontId="26" fillId="0" borderId="0" xfId="12" applyFont="1" applyAlignment="1" applyProtection="1">
      <alignment horizontal="center" vertical="center"/>
      <protection locked="0"/>
    </xf>
    <xf numFmtId="0" fontId="4" fillId="0" borderId="8" xfId="7" applyFont="1" applyBorder="1" applyAlignment="1">
      <alignment vertical="center"/>
    </xf>
    <xf numFmtId="0" fontId="4" fillId="0" borderId="40" xfId="7" applyFont="1" applyBorder="1" applyAlignment="1">
      <alignment vertical="center"/>
    </xf>
    <xf numFmtId="0" fontId="4" fillId="0" borderId="40" xfId="7" applyFont="1" applyBorder="1" applyAlignment="1">
      <alignment horizontal="left" wrapText="1"/>
    </xf>
    <xf numFmtId="0" fontId="4" fillId="0" borderId="40" xfId="7" applyFont="1" applyBorder="1" applyAlignment="1">
      <alignment horizontal="left" vertical="center" wrapText="1"/>
    </xf>
    <xf numFmtId="0" fontId="26" fillId="0" borderId="0" xfId="12" applyFont="1"/>
    <xf numFmtId="0" fontId="26" fillId="0" borderId="0" xfId="12" applyFont="1" applyAlignment="1" applyProtection="1">
      <alignment horizontal="center"/>
      <protection locked="0"/>
    </xf>
    <xf numFmtId="183" fontId="12" fillId="0" borderId="0" xfId="12" applyNumberFormat="1" applyProtection="1">
      <protection locked="0"/>
    </xf>
    <xf numFmtId="0" fontId="12" fillId="0" borderId="0" xfId="12" applyProtection="1">
      <protection locked="0"/>
    </xf>
    <xf numFmtId="165" fontId="3" fillId="0" borderId="0" xfId="13" applyBorder="1" applyAlignment="1">
      <alignment horizontal="right"/>
    </xf>
    <xf numFmtId="165" fontId="26" fillId="0" borderId="7" xfId="13" applyFont="1" applyBorder="1" applyAlignment="1">
      <alignment horizontal="center"/>
    </xf>
    <xf numFmtId="0" fontId="4" fillId="0" borderId="40" xfId="7" applyFont="1" applyBorder="1" applyAlignment="1">
      <alignment horizontal="left"/>
    </xf>
    <xf numFmtId="10" fontId="3" fillId="0" borderId="0" xfId="7" applyNumberFormat="1"/>
    <xf numFmtId="0" fontId="4" fillId="0" borderId="1" xfId="7" applyFont="1" applyBorder="1" applyAlignment="1">
      <alignment horizontal="left" wrapText="1"/>
    </xf>
    <xf numFmtId="0" fontId="3" fillId="0" borderId="2" xfId="7" applyBorder="1" applyAlignment="1">
      <alignment horizontal="left"/>
    </xf>
    <xf numFmtId="0" fontId="3" fillId="0" borderId="3" xfId="7" applyBorder="1" applyAlignment="1">
      <alignment horizontal="left"/>
    </xf>
    <xf numFmtId="0" fontId="4" fillId="0" borderId="33" xfId="7" applyFont="1" applyBorder="1" applyAlignment="1">
      <alignment horizontal="left" wrapText="1"/>
    </xf>
    <xf numFmtId="0" fontId="3" fillId="0" borderId="0" xfId="7" applyAlignment="1">
      <alignment horizontal="left"/>
    </xf>
    <xf numFmtId="0" fontId="3" fillId="0" borderId="17" xfId="7" applyBorder="1" applyAlignment="1">
      <alignment horizontal="left"/>
    </xf>
    <xf numFmtId="0" fontId="4" fillId="0" borderId="14" xfId="7" applyFont="1" applyBorder="1" applyAlignment="1">
      <alignment horizontal="center" vertical="center"/>
    </xf>
    <xf numFmtId="0" fontId="4" fillId="0" borderId="4" xfId="7" applyFont="1" applyBorder="1" applyAlignment="1">
      <alignment horizontal="center" vertical="top" wrapText="1"/>
    </xf>
    <xf numFmtId="0" fontId="4" fillId="0" borderId="4" xfId="7" applyFont="1" applyBorder="1" applyAlignment="1">
      <alignment horizontal="center" vertical="center" wrapText="1"/>
    </xf>
    <xf numFmtId="165" fontId="4" fillId="0" borderId="4" xfId="13" applyFont="1" applyBorder="1" applyAlignment="1">
      <alignment horizontal="center" vertical="center"/>
    </xf>
    <xf numFmtId="0" fontId="4" fillId="0" borderId="6" xfId="7" applyFont="1" applyBorder="1" applyAlignment="1">
      <alignment horizontal="center" vertical="center"/>
    </xf>
    <xf numFmtId="0" fontId="3" fillId="0" borderId="7" xfId="7" applyBorder="1" applyAlignment="1">
      <alignment horizontal="center"/>
    </xf>
    <xf numFmtId="4" fontId="3" fillId="0" borderId="7" xfId="7" applyNumberFormat="1" applyBorder="1"/>
    <xf numFmtId="4" fontId="3" fillId="0" borderId="7" xfId="13" applyNumberFormat="1" applyFill="1" applyBorder="1"/>
    <xf numFmtId="10" fontId="3" fillId="25" borderId="9" xfId="13" applyNumberFormat="1" applyFill="1" applyBorder="1"/>
    <xf numFmtId="0" fontId="3" fillId="0" borderId="40" xfId="7" applyBorder="1" applyAlignment="1">
      <alignment horizontal="left"/>
    </xf>
    <xf numFmtId="4" fontId="3" fillId="0" borderId="7" xfId="6" applyNumberFormat="1" applyFill="1" applyBorder="1"/>
    <xf numFmtId="0" fontId="4" fillId="0" borderId="78" xfId="7" applyFont="1" applyBorder="1"/>
    <xf numFmtId="4" fontId="3" fillId="25" borderId="7" xfId="6" applyNumberFormat="1" applyFill="1" applyBorder="1" applyAlignment="1"/>
    <xf numFmtId="0" fontId="4" fillId="25" borderId="77" xfId="7" applyFont="1" applyFill="1" applyBorder="1" applyAlignment="1">
      <alignment vertical="center"/>
    </xf>
    <xf numFmtId="0" fontId="3" fillId="25" borderId="40" xfId="7" applyFill="1" applyBorder="1" applyAlignment="1">
      <alignment vertical="center"/>
    </xf>
    <xf numFmtId="165" fontId="3" fillId="25" borderId="42" xfId="13" applyFill="1" applyBorder="1" applyAlignment="1">
      <alignment vertical="center"/>
    </xf>
    <xf numFmtId="182" fontId="4" fillId="25" borderId="9" xfId="13" applyNumberFormat="1" applyFont="1" applyFill="1" applyBorder="1" applyAlignment="1">
      <alignment vertical="center"/>
    </xf>
    <xf numFmtId="0" fontId="4" fillId="25" borderId="80" xfId="7" applyFont="1" applyFill="1" applyBorder="1" applyAlignment="1">
      <alignment vertical="center"/>
    </xf>
    <xf numFmtId="0" fontId="3" fillId="25" borderId="32" xfId="7" applyFill="1" applyBorder="1" applyAlignment="1">
      <alignment vertical="center"/>
    </xf>
    <xf numFmtId="165" fontId="3" fillId="25" borderId="97" xfId="13" applyFill="1" applyBorder="1" applyAlignment="1">
      <alignment vertical="center"/>
    </xf>
    <xf numFmtId="182" fontId="4" fillId="25" borderId="12" xfId="13" applyNumberFormat="1" applyFont="1" applyFill="1" applyBorder="1" applyAlignment="1">
      <alignment vertical="center"/>
    </xf>
    <xf numFmtId="0" fontId="3" fillId="0" borderId="1" xfId="7" applyBorder="1"/>
    <xf numFmtId="0" fontId="3" fillId="0" borderId="2" xfId="7" applyBorder="1"/>
    <xf numFmtId="165" fontId="3" fillId="0" borderId="2" xfId="13" applyBorder="1"/>
    <xf numFmtId="182" fontId="3" fillId="0" borderId="3" xfId="7" applyNumberFormat="1" applyBorder="1"/>
    <xf numFmtId="0" fontId="20" fillId="0" borderId="33" xfId="7" applyFont="1" applyBorder="1" applyAlignment="1">
      <alignment horizontal="centerContinuous"/>
    </xf>
    <xf numFmtId="0" fontId="3" fillId="0" borderId="0" xfId="7" applyAlignment="1">
      <alignment horizontal="centerContinuous"/>
    </xf>
    <xf numFmtId="165" fontId="3" fillId="0" borderId="0" xfId="13" applyBorder="1" applyAlignment="1">
      <alignment horizontal="centerContinuous"/>
    </xf>
    <xf numFmtId="182" fontId="3" fillId="0" borderId="17" xfId="7" applyNumberFormat="1" applyBorder="1" applyAlignment="1">
      <alignment horizontal="centerContinuous"/>
    </xf>
    <xf numFmtId="0" fontId="3" fillId="0" borderId="34" xfId="7" applyBorder="1"/>
    <xf numFmtId="0" fontId="3" fillId="0" borderId="25" xfId="7" applyBorder="1"/>
    <xf numFmtId="0" fontId="4" fillId="0" borderId="10" xfId="7" applyFont="1" applyBorder="1" applyAlignment="1">
      <alignment horizontal="center"/>
    </xf>
    <xf numFmtId="165" fontId="4" fillId="0" borderId="10" xfId="13" applyFont="1" applyBorder="1" applyAlignment="1">
      <alignment horizontal="center"/>
    </xf>
    <xf numFmtId="182" fontId="4" fillId="0" borderId="12" xfId="7" applyNumberFormat="1" applyFont="1" applyBorder="1" applyAlignment="1">
      <alignment horizontal="center"/>
    </xf>
    <xf numFmtId="0" fontId="3" fillId="0" borderId="28" xfId="7" applyBorder="1" applyAlignment="1">
      <alignment horizontal="left"/>
    </xf>
    <xf numFmtId="0" fontId="3" fillId="0" borderId="29" xfId="7" applyBorder="1" applyAlignment="1">
      <alignment horizontal="left"/>
    </xf>
    <xf numFmtId="182" fontId="3" fillId="0" borderId="51" xfId="7" applyNumberFormat="1" applyBorder="1" applyAlignment="1">
      <alignment horizontal="center"/>
    </xf>
    <xf numFmtId="4" fontId="3" fillId="0" borderId="30" xfId="7" applyNumberFormat="1" applyBorder="1" applyAlignment="1">
      <alignment horizontal="center"/>
    </xf>
    <xf numFmtId="4" fontId="3" fillId="0" borderId="51" xfId="7" applyNumberFormat="1" applyBorder="1" applyAlignment="1">
      <alignment horizontal="center"/>
    </xf>
    <xf numFmtId="4" fontId="3" fillId="0" borderId="9" xfId="7" applyNumberFormat="1" applyBorder="1" applyAlignment="1">
      <alignment horizontal="center"/>
    </xf>
    <xf numFmtId="0" fontId="3" fillId="0" borderId="39" xfId="7" applyBorder="1" applyAlignment="1">
      <alignment horizontal="left"/>
    </xf>
    <xf numFmtId="0" fontId="3" fillId="0" borderId="31" xfId="7" applyBorder="1" applyAlignment="1">
      <alignment horizontal="left"/>
    </xf>
    <xf numFmtId="0" fontId="4" fillId="0" borderId="32" xfId="7" applyFont="1" applyBorder="1" applyAlignment="1">
      <alignment horizontal="left"/>
    </xf>
    <xf numFmtId="0" fontId="3" fillId="0" borderId="32" xfId="7" applyBorder="1" applyAlignment="1">
      <alignment horizontal="left"/>
    </xf>
    <xf numFmtId="4" fontId="3" fillId="0" borderId="10" xfId="7" applyNumberFormat="1" applyBorder="1" applyAlignment="1">
      <alignment horizontal="center"/>
    </xf>
    <xf numFmtId="4" fontId="4" fillId="0" borderId="12" xfId="7" applyNumberFormat="1" applyFont="1" applyBorder="1" applyAlignment="1">
      <alignment horizontal="right"/>
    </xf>
    <xf numFmtId="165" fontId="3" fillId="0" borderId="0" xfId="13"/>
    <xf numFmtId="185" fontId="3" fillId="0" borderId="0" xfId="7" applyNumberFormat="1"/>
    <xf numFmtId="0" fontId="4" fillId="0" borderId="8" xfId="7" applyFont="1" applyBorder="1" applyAlignment="1">
      <alignment horizontal="left" vertical="center"/>
    </xf>
    <xf numFmtId="185" fontId="4" fillId="0" borderId="40" xfId="7" applyNumberFormat="1" applyFont="1" applyBorder="1" applyAlignment="1">
      <alignment horizontal="left" wrapText="1"/>
    </xf>
    <xf numFmtId="0" fontId="4" fillId="0" borderId="40" xfId="7" applyFont="1" applyBorder="1" applyAlignment="1">
      <alignment horizontal="right" vertical="center"/>
    </xf>
    <xf numFmtId="0" fontId="4" fillId="0" borderId="0" xfId="7" applyFont="1" applyAlignment="1">
      <alignment horizontal="right" vertical="center"/>
    </xf>
    <xf numFmtId="0" fontId="4" fillId="0" borderId="0" xfId="7" applyFont="1" applyAlignment="1">
      <alignment horizontal="left" vertical="center" wrapText="1"/>
    </xf>
    <xf numFmtId="185" fontId="4" fillId="0" borderId="0" xfId="7" applyNumberFormat="1" applyFont="1" applyAlignment="1">
      <alignment horizontal="left" wrapText="1"/>
    </xf>
    <xf numFmtId="0" fontId="4" fillId="0" borderId="0" xfId="7" applyFont="1" applyAlignment="1">
      <alignment horizontal="left" wrapText="1"/>
    </xf>
    <xf numFmtId="0" fontId="4" fillId="0" borderId="0" xfId="7" applyFont="1" applyAlignment="1">
      <alignment horizontal="center" vertical="center" wrapText="1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2" xfId="7" applyFont="1" applyBorder="1" applyAlignment="1">
      <alignment horizontal="left" vertical="center" wrapText="1"/>
    </xf>
    <xf numFmtId="185" fontId="4" fillId="0" borderId="2" xfId="7" applyNumberFormat="1" applyFont="1" applyBorder="1" applyAlignment="1">
      <alignment horizontal="left" wrapText="1"/>
    </xf>
    <xf numFmtId="0" fontId="4" fillId="0" borderId="2" xfId="7" applyFont="1" applyBorder="1" applyAlignment="1">
      <alignment horizontal="left" wrapText="1"/>
    </xf>
    <xf numFmtId="0" fontId="4" fillId="0" borderId="2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185" fontId="20" fillId="0" borderId="0" xfId="7" applyNumberFormat="1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4" fillId="0" borderId="13" xfId="7" applyFont="1" applyBorder="1"/>
    <xf numFmtId="0" fontId="4" fillId="0" borderId="4" xfId="7" applyFont="1" applyBorder="1" applyAlignment="1">
      <alignment horizontal="center"/>
    </xf>
    <xf numFmtId="0" fontId="4" fillId="0" borderId="80" xfId="7" applyFont="1" applyBorder="1" applyAlignment="1">
      <alignment wrapText="1"/>
    </xf>
    <xf numFmtId="0" fontId="4" fillId="0" borderId="82" xfId="7" applyFont="1" applyBorder="1" applyAlignment="1">
      <alignment horizontal="center" wrapText="1"/>
    </xf>
    <xf numFmtId="0" fontId="4" fillId="0" borderId="96" xfId="7" applyFont="1" applyBorder="1" applyAlignment="1">
      <alignment horizontal="center" vertical="center" wrapText="1"/>
    </xf>
    <xf numFmtId="0" fontId="4" fillId="0" borderId="10" xfId="7" applyFont="1" applyBorder="1" applyAlignment="1">
      <alignment horizontal="center" vertical="center" wrapText="1"/>
    </xf>
    <xf numFmtId="185" fontId="4" fillId="0" borderId="10" xfId="7" applyNumberFormat="1" applyFont="1" applyBorder="1" applyAlignment="1">
      <alignment horizontal="center" vertical="center" wrapText="1"/>
    </xf>
    <xf numFmtId="0" fontId="4" fillId="0" borderId="96" xfId="7" applyFont="1" applyBorder="1" applyAlignment="1">
      <alignment horizontal="center" vertical="top" wrapText="1"/>
    </xf>
    <xf numFmtId="0" fontId="4" fillId="0" borderId="81" xfId="7" applyFont="1" applyBorder="1" applyAlignment="1">
      <alignment horizontal="center" wrapText="1"/>
    </xf>
    <xf numFmtId="0" fontId="4" fillId="0" borderId="10" xfId="7" applyFont="1" applyBorder="1" applyAlignment="1">
      <alignment horizontal="center" wrapText="1"/>
    </xf>
    <xf numFmtId="0" fontId="4" fillId="0" borderId="11" xfId="7" applyFont="1" applyBorder="1" applyAlignment="1">
      <alignment horizontal="center" wrapText="1"/>
    </xf>
    <xf numFmtId="2" fontId="4" fillId="0" borderId="12" xfId="7" applyNumberFormat="1" applyFont="1" applyBorder="1" applyAlignment="1">
      <alignment horizontal="center" wrapText="1"/>
    </xf>
    <xf numFmtId="0" fontId="3" fillId="0" borderId="0" xfId="7" applyAlignment="1">
      <alignment wrapText="1"/>
    </xf>
    <xf numFmtId="0" fontId="30" fillId="0" borderId="50" xfId="7" applyFont="1" applyBorder="1"/>
    <xf numFmtId="0" fontId="30" fillId="0" borderId="47" xfId="7" applyFont="1" applyBorder="1"/>
    <xf numFmtId="0" fontId="30" fillId="0" borderId="51" xfId="7" applyFont="1" applyBorder="1"/>
    <xf numFmtId="0" fontId="30" fillId="0" borderId="51" xfId="7" applyFont="1" applyBorder="1" applyAlignment="1">
      <alignment horizontal="center"/>
    </xf>
    <xf numFmtId="0" fontId="30" fillId="0" borderId="51" xfId="7" applyFont="1" applyBorder="1" applyAlignment="1">
      <alignment horizontal="center" vertical="center"/>
    </xf>
    <xf numFmtId="185" fontId="30" fillId="0" borderId="51" xfId="7" applyNumberFormat="1" applyFont="1" applyBorder="1"/>
    <xf numFmtId="1" fontId="30" fillId="0" borderId="51" xfId="7" applyNumberFormat="1" applyFont="1" applyBorder="1" applyAlignment="1">
      <alignment horizontal="center"/>
    </xf>
    <xf numFmtId="4" fontId="30" fillId="0" borderId="53" xfId="7" applyNumberFormat="1" applyFont="1" applyBorder="1" applyAlignment="1">
      <alignment horizontal="left" vertical="center" wrapText="1"/>
    </xf>
    <xf numFmtId="0" fontId="30" fillId="0" borderId="53" xfId="7" applyFont="1" applyBorder="1" applyAlignment="1">
      <alignment horizontal="center"/>
    </xf>
    <xf numFmtId="2" fontId="30" fillId="0" borderId="30" xfId="7" applyNumberFormat="1" applyFont="1" applyBorder="1" applyAlignment="1">
      <alignment horizontal="center"/>
    </xf>
    <xf numFmtId="0" fontId="3" fillId="23" borderId="15" xfId="7" applyFill="1" applyBorder="1"/>
    <xf numFmtId="15" fontId="3" fillId="27" borderId="42" xfId="7" applyNumberFormat="1" applyFill="1" applyBorder="1"/>
    <xf numFmtId="186" fontId="3" fillId="23" borderId="7" xfId="7" applyNumberFormat="1" applyFill="1" applyBorder="1" applyAlignment="1">
      <alignment horizontal="center"/>
    </xf>
    <xf numFmtId="43" fontId="3" fillId="27" borderId="8" xfId="7" applyNumberFormat="1" applyFill="1" applyBorder="1" applyAlignment="1">
      <alignment horizontal="right"/>
    </xf>
    <xf numFmtId="43" fontId="3" fillId="0" borderId="7" xfId="7" applyNumberFormat="1" applyBorder="1" applyAlignment="1">
      <alignment horizontal="right"/>
    </xf>
    <xf numFmtId="43" fontId="3" fillId="0" borderId="8" xfId="7" applyNumberFormat="1" applyBorder="1" applyAlignment="1">
      <alignment horizontal="right"/>
    </xf>
    <xf numFmtId="43" fontId="3" fillId="27" borderId="44" xfId="7" applyNumberFormat="1" applyFill="1" applyBorder="1" applyAlignment="1">
      <alignment horizontal="right"/>
    </xf>
    <xf numFmtId="43" fontId="3" fillId="0" borderId="10" xfId="7" applyNumberFormat="1" applyBorder="1" applyAlignment="1">
      <alignment horizontal="right"/>
    </xf>
    <xf numFmtId="43" fontId="3" fillId="0" borderId="5" xfId="7" applyNumberFormat="1" applyBorder="1" applyAlignment="1">
      <alignment horizontal="right"/>
    </xf>
    <xf numFmtId="43" fontId="3" fillId="0" borderId="6" xfId="7" applyNumberFormat="1" applyBorder="1" applyAlignment="1">
      <alignment horizontal="right"/>
    </xf>
    <xf numFmtId="185" fontId="3" fillId="0" borderId="7" xfId="7" applyNumberFormat="1" applyBorder="1" applyAlignment="1">
      <alignment horizontal="center"/>
    </xf>
    <xf numFmtId="43" fontId="4" fillId="0" borderId="5" xfId="7" applyNumberFormat="1" applyFont="1" applyBorder="1" applyAlignment="1">
      <alignment horizontal="right"/>
    </xf>
    <xf numFmtId="43" fontId="4" fillId="0" borderId="6" xfId="7" applyNumberFormat="1" applyFont="1" applyBorder="1" applyAlignment="1">
      <alignment horizontal="right"/>
    </xf>
    <xf numFmtId="0" fontId="4" fillId="0" borderId="0" xfId="7" applyFont="1" applyAlignment="1">
      <alignment horizontal="left" vertical="center"/>
    </xf>
    <xf numFmtId="0" fontId="3" fillId="0" borderId="0" xfId="7" applyAlignment="1">
      <alignment horizontal="left" vertical="center"/>
    </xf>
    <xf numFmtId="185" fontId="3" fillId="0" borderId="0" xfId="7" applyNumberFormat="1" applyAlignment="1">
      <alignment horizontal="left" vertical="center"/>
    </xf>
    <xf numFmtId="43" fontId="4" fillId="0" borderId="0" xfId="7" applyNumberFormat="1" applyFont="1" applyAlignment="1">
      <alignment horizontal="right"/>
    </xf>
    <xf numFmtId="0" fontId="26" fillId="0" borderId="7" xfId="12" applyFont="1" applyBorder="1" applyAlignment="1" applyProtection="1">
      <alignment horizontal="center"/>
      <protection locked="0"/>
    </xf>
    <xf numFmtId="0" fontId="4" fillId="0" borderId="40" xfId="7" applyFont="1" applyBorder="1" applyAlignment="1">
      <alignment horizontal="left" vertical="center"/>
    </xf>
    <xf numFmtId="0" fontId="3" fillId="0" borderId="3" xfId="7" applyBorder="1"/>
    <xf numFmtId="0" fontId="3" fillId="0" borderId="33" xfId="7" applyBorder="1"/>
    <xf numFmtId="0" fontId="3" fillId="0" borderId="17" xfId="7" applyBorder="1"/>
    <xf numFmtId="0" fontId="4" fillId="0" borderId="20" xfId="7" applyFont="1" applyBorder="1" applyAlignment="1">
      <alignment horizontal="center" vertical="center"/>
    </xf>
    <xf numFmtId="0" fontId="4" fillId="0" borderId="19" xfId="7" applyFont="1" applyBorder="1" applyAlignment="1">
      <alignment horizontal="center" vertical="center"/>
    </xf>
    <xf numFmtId="0" fontId="3" fillId="27" borderId="51" xfId="7" applyFill="1" applyBorder="1" applyAlignment="1">
      <alignment vertical="center"/>
    </xf>
    <xf numFmtId="4" fontId="3" fillId="27" borderId="30" xfId="7" applyNumberFormat="1" applyFill="1" applyBorder="1" applyAlignment="1">
      <alignment vertical="center"/>
    </xf>
    <xf numFmtId="0" fontId="3" fillId="0" borderId="7" xfId="7" applyBorder="1"/>
    <xf numFmtId="0" fontId="3" fillId="27" borderId="7" xfId="7" applyFill="1" applyBorder="1"/>
    <xf numFmtId="182" fontId="3" fillId="0" borderId="6" xfId="7" applyNumberFormat="1" applyBorder="1"/>
    <xf numFmtId="0" fontId="3" fillId="0" borderId="51" xfId="7" applyBorder="1" applyAlignment="1">
      <alignment vertical="center"/>
    </xf>
    <xf numFmtId="4" fontId="3" fillId="0" borderId="30" xfId="7" applyNumberFormat="1" applyBorder="1" applyAlignment="1">
      <alignment vertical="center"/>
    </xf>
    <xf numFmtId="182" fontId="3" fillId="27" borderId="9" xfId="7" applyNumberFormat="1" applyFill="1" applyBorder="1"/>
    <xf numFmtId="182" fontId="3" fillId="0" borderId="9" xfId="7" applyNumberFormat="1" applyBorder="1"/>
    <xf numFmtId="4" fontId="3" fillId="0" borderId="9" xfId="7" applyNumberFormat="1" applyBorder="1"/>
    <xf numFmtId="0" fontId="4" fillId="0" borderId="40" xfId="7" applyFont="1" applyBorder="1" applyAlignment="1">
      <alignment horizontal="center" vertical="center"/>
    </xf>
    <xf numFmtId="0" fontId="4" fillId="0" borderId="20" xfId="7" applyFont="1" applyBorder="1" applyAlignment="1">
      <alignment horizontal="center"/>
    </xf>
    <xf numFmtId="0" fontId="4" fillId="0" borderId="19" xfId="7" applyFont="1" applyBorder="1" applyAlignment="1">
      <alignment horizontal="center"/>
    </xf>
    <xf numFmtId="182" fontId="3" fillId="0" borderId="4" xfId="7" applyNumberFormat="1" applyBorder="1"/>
    <xf numFmtId="182" fontId="3" fillId="0" borderId="19" xfId="7" applyNumberFormat="1" applyBorder="1" applyAlignment="1">
      <alignment vertical="center"/>
    </xf>
    <xf numFmtId="4" fontId="3" fillId="0" borderId="19" xfId="7" applyNumberFormat="1" applyBorder="1" applyAlignment="1">
      <alignment vertical="center"/>
    </xf>
    <xf numFmtId="0" fontId="3" fillId="0" borderId="51" xfId="7" applyBorder="1"/>
    <xf numFmtId="0" fontId="3" fillId="0" borderId="30" xfId="7" applyBorder="1"/>
    <xf numFmtId="4" fontId="3" fillId="27" borderId="7" xfId="7" applyNumberFormat="1" applyFill="1" applyBorder="1"/>
    <xf numFmtId="182" fontId="3" fillId="27" borderId="7" xfId="7" applyNumberFormat="1" applyFill="1" applyBorder="1"/>
    <xf numFmtId="182" fontId="3" fillId="0" borderId="7" xfId="7" applyNumberFormat="1" applyBorder="1"/>
    <xf numFmtId="0" fontId="3" fillId="0" borderId="1" xfId="7" applyBorder="1" applyAlignment="1">
      <alignment horizontal="center"/>
    </xf>
    <xf numFmtId="0" fontId="3" fillId="0" borderId="2" xfId="7" applyBorder="1" applyAlignment="1">
      <alignment horizontal="center"/>
    </xf>
    <xf numFmtId="0" fontId="3" fillId="0" borderId="2" xfId="12" applyFont="1" applyBorder="1" applyAlignment="1">
      <alignment horizontal="left"/>
    </xf>
    <xf numFmtId="0" fontId="12" fillId="0" borderId="2" xfId="12" applyBorder="1"/>
    <xf numFmtId="0" fontId="12" fillId="0" borderId="0" xfId="12" applyAlignment="1">
      <alignment horizontal="left"/>
    </xf>
    <xf numFmtId="0" fontId="3" fillId="0" borderId="0" xfId="12" applyFont="1" applyAlignment="1">
      <alignment horizontal="left"/>
    </xf>
    <xf numFmtId="0" fontId="3" fillId="0" borderId="0" xfId="12" applyFont="1"/>
    <xf numFmtId="0" fontId="3" fillId="0" borderId="35" xfId="7" applyBorder="1"/>
    <xf numFmtId="0" fontId="3" fillId="23" borderId="25" xfId="7" applyFill="1" applyBorder="1"/>
    <xf numFmtId="0" fontId="4" fillId="0" borderId="56" xfId="7" applyFont="1" applyBorder="1" applyAlignment="1">
      <alignment horizontal="center"/>
    </xf>
    <xf numFmtId="0" fontId="4" fillId="0" borderId="26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3" fillId="0" borderId="50" xfId="7" applyBorder="1" applyAlignment="1">
      <alignment horizontal="center"/>
    </xf>
    <xf numFmtId="17" fontId="3" fillId="0" borderId="51" xfId="7" applyNumberFormat="1" applyBorder="1" applyAlignment="1">
      <alignment horizontal="right"/>
    </xf>
    <xf numFmtId="171" fontId="3" fillId="0" borderId="53" xfId="7" applyNumberFormat="1" applyBorder="1"/>
    <xf numFmtId="171" fontId="3" fillId="0" borderId="47" xfId="7" applyNumberFormat="1" applyBorder="1"/>
    <xf numFmtId="0" fontId="3" fillId="0" borderId="51" xfId="7" applyBorder="1" applyAlignment="1">
      <alignment horizontal="center"/>
    </xf>
    <xf numFmtId="0" fontId="3" fillId="28" borderId="53" xfId="7" applyFill="1" applyBorder="1"/>
    <xf numFmtId="0" fontId="3" fillId="28" borderId="38" xfId="7" applyFill="1" applyBorder="1"/>
    <xf numFmtId="0" fontId="3" fillId="28" borderId="29" xfId="7" applyFill="1" applyBorder="1"/>
    <xf numFmtId="0" fontId="3" fillId="28" borderId="83" xfId="7" applyFill="1" applyBorder="1"/>
    <xf numFmtId="0" fontId="4" fillId="0" borderId="50" xfId="7" applyFont="1" applyBorder="1" applyAlignment="1">
      <alignment horizontal="left"/>
    </xf>
    <xf numFmtId="0" fontId="3" fillId="0" borderId="15" xfId="7" applyBorder="1" applyAlignment="1">
      <alignment horizontal="center"/>
    </xf>
    <xf numFmtId="17" fontId="3" fillId="0" borderId="7" xfId="7" applyNumberFormat="1" applyBorder="1"/>
    <xf numFmtId="171" fontId="3" fillId="27" borderId="8" xfId="7" applyNumberFormat="1" applyFill="1" applyBorder="1"/>
    <xf numFmtId="171" fontId="3" fillId="0" borderId="42" xfId="7" applyNumberFormat="1" applyBorder="1" applyAlignment="1">
      <alignment horizontal="center"/>
    </xf>
    <xf numFmtId="189" fontId="3" fillId="27" borderId="7" xfId="7" applyNumberFormat="1" applyFill="1" applyBorder="1"/>
    <xf numFmtId="189" fontId="3" fillId="0" borderId="9" xfId="7" applyNumberFormat="1" applyBorder="1"/>
    <xf numFmtId="0" fontId="3" fillId="0" borderId="42" xfId="7" applyBorder="1" applyAlignment="1">
      <alignment horizontal="center"/>
    </xf>
    <xf numFmtId="171" fontId="3" fillId="0" borderId="42" xfId="7" applyNumberFormat="1" applyBorder="1"/>
    <xf numFmtId="0" fontId="3" fillId="0" borderId="16" xfId="7" applyBorder="1" applyAlignment="1">
      <alignment horizontal="center"/>
    </xf>
    <xf numFmtId="17" fontId="3" fillId="0" borderId="10" xfId="7" applyNumberFormat="1" applyBorder="1"/>
    <xf numFmtId="185" fontId="3" fillId="0" borderId="10" xfId="7" applyNumberFormat="1" applyBorder="1" applyAlignment="1">
      <alignment horizontal="center"/>
    </xf>
    <xf numFmtId="189" fontId="3" fillId="27" borderId="10" xfId="7" applyNumberFormat="1" applyFill="1" applyBorder="1"/>
    <xf numFmtId="189" fontId="3" fillId="0" borderId="12" xfId="7" applyNumberFormat="1" applyBorder="1"/>
    <xf numFmtId="189" fontId="3" fillId="0" borderId="20" xfId="7" applyNumberFormat="1" applyBorder="1"/>
    <xf numFmtId="189" fontId="4" fillId="0" borderId="19" xfId="7" applyNumberFormat="1" applyFont="1" applyBorder="1"/>
    <xf numFmtId="0" fontId="3" fillId="0" borderId="46" xfId="7" applyBorder="1" applyAlignment="1">
      <alignment horizontal="center"/>
    </xf>
    <xf numFmtId="17" fontId="3" fillId="0" borderId="57" xfId="7" applyNumberFormat="1" applyBorder="1"/>
    <xf numFmtId="171" fontId="3" fillId="27" borderId="44" xfId="7" applyNumberFormat="1" applyFill="1" applyBorder="1"/>
    <xf numFmtId="171" fontId="3" fillId="0" borderId="46" xfId="7" applyNumberFormat="1" applyBorder="1"/>
    <xf numFmtId="189" fontId="3" fillId="27" borderId="57" xfId="7" applyNumberFormat="1" applyFill="1" applyBorder="1"/>
    <xf numFmtId="189" fontId="3" fillId="0" borderId="75" xfId="7" applyNumberFormat="1" applyBorder="1"/>
    <xf numFmtId="171" fontId="3" fillId="0" borderId="46" xfId="7" applyNumberFormat="1" applyBorder="1" applyAlignment="1">
      <alignment horizontal="center"/>
    </xf>
    <xf numFmtId="185" fontId="3" fillId="0" borderId="57" xfId="7" applyNumberFormat="1" applyBorder="1" applyAlignment="1">
      <alignment horizontal="center"/>
    </xf>
    <xf numFmtId="189" fontId="3" fillId="0" borderId="19" xfId="7" applyNumberFormat="1" applyBorder="1"/>
    <xf numFmtId="189" fontId="3" fillId="0" borderId="0" xfId="7" applyNumberFormat="1"/>
    <xf numFmtId="2" fontId="3" fillId="0" borderId="0" xfId="7" applyNumberFormat="1"/>
    <xf numFmtId="0" fontId="4" fillId="0" borderId="21" xfId="7" applyFont="1" applyBorder="1"/>
    <xf numFmtId="0" fontId="3" fillId="0" borderId="22" xfId="7" applyBorder="1"/>
    <xf numFmtId="37" fontId="20" fillId="0" borderId="33" xfId="7" applyNumberFormat="1" applyFont="1" applyBorder="1"/>
    <xf numFmtId="0" fontId="20" fillId="0" borderId="0" xfId="7" applyFont="1"/>
    <xf numFmtId="0" fontId="20" fillId="0" borderId="17" xfId="7" applyFont="1" applyBorder="1"/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4" fillId="0" borderId="50" xfId="7" applyFont="1" applyBorder="1" applyAlignment="1">
      <alignment vertical="center"/>
    </xf>
    <xf numFmtId="0" fontId="4" fillId="0" borderId="15" xfId="7" applyFont="1" applyBorder="1" applyAlignment="1">
      <alignment vertical="center"/>
    </xf>
    <xf numFmtId="0" fontId="4" fillId="0" borderId="10" xfId="7" applyFont="1" applyBorder="1" applyAlignment="1">
      <alignment horizontal="center" vertical="top" wrapText="1"/>
    </xf>
    <xf numFmtId="0" fontId="4" fillId="0" borderId="10" xfId="7" applyFont="1" applyBorder="1" applyAlignment="1">
      <alignment horizontal="center" vertical="top"/>
    </xf>
    <xf numFmtId="0" fontId="3" fillId="28" borderId="51" xfId="7" applyFill="1" applyBorder="1"/>
    <xf numFmtId="0" fontId="3" fillId="28" borderId="30" xfId="7" applyFill="1" applyBorder="1" applyAlignment="1">
      <alignment horizontal="center"/>
    </xf>
    <xf numFmtId="0" fontId="3" fillId="27" borderId="7" xfId="7" applyFill="1" applyBorder="1" applyAlignment="1">
      <alignment horizontal="left"/>
    </xf>
    <xf numFmtId="0" fontId="3" fillId="27" borderId="7" xfId="7" applyFill="1" applyBorder="1" applyAlignment="1">
      <alignment horizontal="center"/>
    </xf>
    <xf numFmtId="0" fontId="3" fillId="27" borderId="9" xfId="7" applyFill="1" applyBorder="1" applyAlignment="1">
      <alignment horizontal="left"/>
    </xf>
    <xf numFmtId="0" fontId="3" fillId="27" borderId="57" xfId="7" applyFill="1" applyBorder="1" applyAlignment="1">
      <alignment horizontal="left"/>
    </xf>
    <xf numFmtId="0" fontId="3" fillId="27" borderId="57" xfId="7" applyFill="1" applyBorder="1" applyAlignment="1">
      <alignment horizontal="center"/>
    </xf>
    <xf numFmtId="0" fontId="3" fillId="27" borderId="75" xfId="7" applyFill="1" applyBorder="1" applyAlignment="1">
      <alignment horizontal="left"/>
    </xf>
    <xf numFmtId="0" fontId="34" fillId="0" borderId="98" xfId="7" applyFont="1" applyBorder="1"/>
    <xf numFmtId="0" fontId="12" fillId="0" borderId="0" xfId="7" applyFont="1" applyAlignment="1">
      <alignment horizontal="right"/>
    </xf>
    <xf numFmtId="0" fontId="12" fillId="27" borderId="83" xfId="7" applyFont="1" applyFill="1" applyBorder="1" applyAlignment="1">
      <alignment horizontal="right"/>
    </xf>
    <xf numFmtId="0" fontId="3" fillId="0" borderId="0" xfId="7" applyAlignment="1">
      <alignment vertical="center"/>
    </xf>
    <xf numFmtId="37" fontId="21" fillId="0" borderId="7" xfId="7" applyNumberFormat="1" applyFont="1" applyBorder="1" applyAlignment="1">
      <alignment horizontal="center" vertical="center"/>
    </xf>
    <xf numFmtId="0" fontId="4" fillId="0" borderId="14" xfId="7" applyFont="1" applyBorder="1" applyAlignment="1">
      <alignment vertical="center" wrapText="1"/>
    </xf>
    <xf numFmtId="0" fontId="4" fillId="0" borderId="4" xfId="7" applyFont="1" applyBorder="1" applyAlignment="1">
      <alignment vertical="center" wrapText="1"/>
    </xf>
    <xf numFmtId="0" fontId="3" fillId="0" borderId="4" xfId="7" applyBorder="1" applyAlignment="1">
      <alignment horizontal="center" vertical="center" wrapText="1"/>
    </xf>
    <xf numFmtId="4" fontId="3" fillId="0" borderId="4" xfId="7" applyNumberFormat="1" applyBorder="1" applyAlignment="1">
      <alignment horizontal="center" vertical="center" wrapText="1"/>
    </xf>
    <xf numFmtId="4" fontId="3" fillId="0" borderId="6" xfId="7" applyNumberFormat="1" applyBorder="1" applyAlignment="1">
      <alignment horizontal="center" vertical="center" wrapText="1"/>
    </xf>
    <xf numFmtId="0" fontId="3" fillId="0" borderId="15" xfId="7" applyBorder="1" applyAlignment="1">
      <alignment horizontal="right" vertical="center" wrapText="1"/>
    </xf>
    <xf numFmtId="0" fontId="3" fillId="0" borderId="7" xfId="7" applyBorder="1" applyAlignment="1">
      <alignment vertical="center" wrapText="1"/>
    </xf>
    <xf numFmtId="4" fontId="3" fillId="0" borderId="7" xfId="7" applyNumberFormat="1" applyBorder="1" applyAlignment="1">
      <alignment horizontal="center" vertical="center" wrapText="1"/>
    </xf>
    <xf numFmtId="4" fontId="3" fillId="0" borderId="9" xfId="7" applyNumberFormat="1" applyBorder="1" applyAlignment="1">
      <alignment horizontal="center" vertical="center" wrapText="1"/>
    </xf>
    <xf numFmtId="4" fontId="3" fillId="0" borderId="9" xfId="7" applyNumberFormat="1" applyBorder="1" applyAlignment="1">
      <alignment horizontal="center" vertical="center"/>
    </xf>
    <xf numFmtId="0" fontId="3" fillId="0" borderId="10" xfId="7" applyBorder="1" applyAlignment="1">
      <alignment vertical="center" wrapText="1"/>
    </xf>
    <xf numFmtId="4" fontId="3" fillId="0" borderId="10" xfId="7" applyNumberFormat="1" applyBorder="1" applyAlignment="1">
      <alignment horizontal="center" vertical="center" wrapText="1"/>
    </xf>
    <xf numFmtId="4" fontId="3" fillId="0" borderId="12" xfId="7" applyNumberFormat="1" applyBorder="1" applyAlignment="1">
      <alignment horizontal="center" vertical="center"/>
    </xf>
    <xf numFmtId="0" fontId="3" fillId="0" borderId="23" xfId="7" applyBorder="1"/>
    <xf numFmtId="0" fontId="4" fillId="0" borderId="56" xfId="7" applyFont="1" applyBorder="1" applyAlignment="1">
      <alignment vertical="top" wrapText="1"/>
    </xf>
    <xf numFmtId="0" fontId="4" fillId="0" borderId="20" xfId="7" applyFont="1" applyBorder="1" applyAlignment="1">
      <alignment vertical="top" wrapText="1"/>
    </xf>
    <xf numFmtId="0" fontId="4" fillId="0" borderId="19" xfId="7" applyFont="1" applyBorder="1" applyAlignment="1">
      <alignment horizontal="center" vertical="top" wrapText="1"/>
    </xf>
    <xf numFmtId="0" fontId="4" fillId="0" borderId="26" xfId="7" applyFont="1" applyBorder="1" applyAlignment="1">
      <alignment horizontal="center" vertical="top" wrapText="1"/>
    </xf>
    <xf numFmtId="0" fontId="4" fillId="0" borderId="5" xfId="7" applyFont="1" applyBorder="1" applyAlignment="1">
      <alignment vertical="center" wrapText="1"/>
    </xf>
    <xf numFmtId="0" fontId="3" fillId="0" borderId="8" xfId="7" applyBorder="1" applyAlignment="1">
      <alignment vertical="center" wrapText="1"/>
    </xf>
    <xf numFmtId="0" fontId="3" fillId="0" borderId="11" xfId="7" applyBorder="1" applyAlignment="1">
      <alignment vertical="center" wrapText="1"/>
    </xf>
    <xf numFmtId="0" fontId="3" fillId="0" borderId="49" xfId="7" applyBorder="1" applyAlignment="1">
      <alignment horizontal="center" vertical="center" wrapText="1"/>
    </xf>
    <xf numFmtId="0" fontId="3" fillId="0" borderId="42" xfId="7" applyBorder="1" applyAlignment="1">
      <alignment horizontal="center" vertical="center" wrapText="1"/>
    </xf>
    <xf numFmtId="0" fontId="4" fillId="0" borderId="56" xfId="7" applyFont="1" applyBorder="1" applyAlignment="1">
      <alignment horizontal="center" vertical="top" wrapText="1"/>
    </xf>
    <xf numFmtId="0" fontId="4" fillId="0" borderId="20" xfId="7" applyFont="1" applyBorder="1" applyAlignment="1">
      <alignment horizontal="center" vertical="top" wrapText="1"/>
    </xf>
    <xf numFmtId="0" fontId="3" fillId="0" borderId="14" xfId="7" applyBorder="1" applyAlignment="1">
      <alignment horizontal="center" vertical="center" wrapText="1"/>
    </xf>
    <xf numFmtId="0" fontId="3" fillId="0" borderId="6" xfId="7" applyBorder="1" applyAlignment="1">
      <alignment horizontal="center" vertical="center" wrapText="1"/>
    </xf>
    <xf numFmtId="4" fontId="3" fillId="0" borderId="15" xfId="7" applyNumberFormat="1" applyBorder="1" applyAlignment="1">
      <alignment horizontal="center" vertical="center" wrapText="1"/>
    </xf>
    <xf numFmtId="4" fontId="3" fillId="0" borderId="12" xfId="7" applyNumberFormat="1" applyBorder="1" applyAlignment="1">
      <alignment horizontal="center" vertical="center" wrapText="1"/>
    </xf>
    <xf numFmtId="165" fontId="0" fillId="0" borderId="7" xfId="1" applyFont="1" applyFill="1" applyBorder="1" applyAlignment="1" applyProtection="1">
      <alignment vertical="center"/>
      <protection locked="0"/>
    </xf>
    <xf numFmtId="17" fontId="25" fillId="0" borderId="10" xfId="7" applyNumberFormat="1" applyFont="1" applyBorder="1" applyAlignment="1">
      <alignment horizontal="center"/>
    </xf>
    <xf numFmtId="17" fontId="18" fillId="0" borderId="0" xfId="7" applyNumberFormat="1" applyFont="1"/>
    <xf numFmtId="0" fontId="24" fillId="0" borderId="40" xfId="7" applyFont="1" applyBorder="1"/>
    <xf numFmtId="0" fontId="24" fillId="0" borderId="41" xfId="7" applyFont="1" applyBorder="1"/>
    <xf numFmtId="177" fontId="19" fillId="0" borderId="8" xfId="7" applyNumberFormat="1" applyFont="1" applyBorder="1" applyAlignment="1">
      <alignment horizontal="left"/>
    </xf>
    <xf numFmtId="178" fontId="19" fillId="0" borderId="11" xfId="7" applyNumberFormat="1" applyFont="1" applyBorder="1" applyAlignment="1">
      <alignment horizontal="left" vertical="center"/>
    </xf>
    <xf numFmtId="178" fontId="19" fillId="0" borderId="32" xfId="7" applyNumberFormat="1" applyFont="1" applyBorder="1" applyAlignment="1">
      <alignment horizontal="left" vertical="center"/>
    </xf>
    <xf numFmtId="0" fontId="24" fillId="0" borderId="32" xfId="7" applyFont="1" applyBorder="1"/>
    <xf numFmtId="0" fontId="24" fillId="0" borderId="43" xfId="7" applyFont="1" applyBorder="1"/>
    <xf numFmtId="178" fontId="19" fillId="0" borderId="40" xfId="7" applyNumberFormat="1" applyFont="1" applyBorder="1" applyAlignment="1">
      <alignment horizontal="left"/>
    </xf>
    <xf numFmtId="37" fontId="19" fillId="0" borderId="5" xfId="7" applyNumberFormat="1" applyFont="1" applyBorder="1" applyAlignment="1">
      <alignment horizontal="left" vertical="center"/>
    </xf>
    <xf numFmtId="0" fontId="24" fillId="0" borderId="37" xfId="7" applyFont="1" applyBorder="1"/>
    <xf numFmtId="0" fontId="24" fillId="0" borderId="38" xfId="7" applyFont="1" applyBorder="1"/>
    <xf numFmtId="0" fontId="25" fillId="8" borderId="25" xfId="7" applyFont="1" applyFill="1" applyBorder="1" applyAlignment="1">
      <alignment horizontal="center"/>
    </xf>
    <xf numFmtId="177" fontId="26" fillId="8" borderId="87" xfId="11" applyNumberFormat="1" applyFont="1" applyFill="1" applyBorder="1" applyAlignment="1">
      <alignment vertical="center"/>
    </xf>
    <xf numFmtId="177" fontId="26" fillId="8" borderId="87" xfId="11" applyNumberFormat="1" applyFont="1" applyFill="1" applyBorder="1"/>
    <xf numFmtId="177" fontId="26" fillId="8" borderId="81" xfId="7" applyNumberFormat="1" applyFont="1" applyFill="1" applyBorder="1" applyAlignment="1">
      <alignment vertical="center"/>
    </xf>
    <xf numFmtId="0" fontId="25" fillId="8" borderId="81" xfId="7" applyFont="1" applyFill="1" applyBorder="1" applyAlignment="1">
      <alignment horizontal="center"/>
    </xf>
    <xf numFmtId="0" fontId="25" fillId="8" borderId="10" xfId="7" applyFont="1" applyFill="1" applyBorder="1" applyAlignment="1">
      <alignment horizontal="center"/>
    </xf>
    <xf numFmtId="177" fontId="12" fillId="8" borderId="52" xfId="11" applyNumberFormat="1" applyFont="1" applyFill="1" applyBorder="1" applyAlignment="1">
      <alignment vertical="center"/>
    </xf>
    <xf numFmtId="177" fontId="12" fillId="8" borderId="55" xfId="11" applyNumberFormat="1" applyFont="1" applyFill="1" applyBorder="1" applyAlignment="1">
      <alignment vertical="center"/>
    </xf>
    <xf numFmtId="177" fontId="27" fillId="8" borderId="52" xfId="11" applyNumberFormat="1" applyFont="1" applyFill="1" applyBorder="1" applyAlignment="1">
      <alignment vertical="center"/>
    </xf>
    <xf numFmtId="177" fontId="12" fillId="8" borderId="51" xfId="11" applyNumberFormat="1" applyFont="1" applyFill="1" applyBorder="1" applyAlignment="1">
      <alignment vertical="center"/>
    </xf>
    <xf numFmtId="177" fontId="12" fillId="8" borderId="52" xfId="11" applyNumberFormat="1" applyFont="1" applyFill="1" applyBorder="1"/>
    <xf numFmtId="177" fontId="12" fillId="8" borderId="55" xfId="11" applyNumberFormat="1" applyFont="1" applyFill="1" applyBorder="1"/>
    <xf numFmtId="177" fontId="26" fillId="0" borderId="102" xfId="11" applyNumberFormat="1" applyFont="1" applyFill="1" applyBorder="1"/>
    <xf numFmtId="177" fontId="26" fillId="0" borderId="25" xfId="7" applyNumberFormat="1" applyFont="1" applyBorder="1" applyAlignment="1">
      <alignment vertical="center"/>
    </xf>
    <xf numFmtId="164" fontId="12" fillId="0" borderId="95" xfId="7" applyNumberFormat="1" applyFont="1" applyBorder="1" applyAlignment="1">
      <alignment vertical="center"/>
    </xf>
    <xf numFmtId="164" fontId="12" fillId="0" borderId="55" xfId="7" applyNumberFormat="1" applyFont="1" applyBorder="1" applyAlignment="1">
      <alignment vertical="center"/>
    </xf>
    <xf numFmtId="177" fontId="26" fillId="0" borderId="58" xfId="11" applyNumberFormat="1" applyFont="1" applyFill="1" applyBorder="1"/>
    <xf numFmtId="177" fontId="26" fillId="0" borderId="103" xfId="11" applyNumberFormat="1" applyFont="1" applyBorder="1" applyAlignment="1">
      <alignment vertical="center"/>
    </xf>
    <xf numFmtId="164" fontId="26" fillId="0" borderId="103" xfId="7" applyNumberFormat="1" applyFont="1" applyBorder="1" applyAlignment="1">
      <alignment vertical="center"/>
    </xf>
    <xf numFmtId="165" fontId="3" fillId="0" borderId="9" xfId="1" applyFont="1" applyFill="1" applyBorder="1" applyAlignment="1">
      <alignment vertical="center"/>
    </xf>
    <xf numFmtId="0" fontId="3" fillId="2" borderId="15" xfId="7" applyFill="1" applyBorder="1" applyAlignment="1">
      <alignment horizontal="left"/>
    </xf>
    <xf numFmtId="165" fontId="3" fillId="2" borderId="9" xfId="1" applyFont="1" applyFill="1" applyBorder="1"/>
    <xf numFmtId="0" fontId="3" fillId="2" borderId="78" xfId="7" applyFill="1" applyBorder="1" applyAlignment="1">
      <alignment horizontal="left"/>
    </xf>
    <xf numFmtId="165" fontId="3" fillId="2" borderId="75" xfId="1" applyFont="1" applyFill="1" applyBorder="1"/>
    <xf numFmtId="0" fontId="3" fillId="8" borderId="15" xfId="7" applyFill="1" applyBorder="1" applyAlignment="1">
      <alignment horizontal="center" vertical="center" wrapText="1"/>
    </xf>
    <xf numFmtId="165" fontId="3" fillId="8" borderId="9" xfId="1" applyFont="1" applyFill="1" applyBorder="1" applyAlignment="1">
      <alignment horizontal="center" vertical="center"/>
    </xf>
    <xf numFmtId="2" fontId="0" fillId="3" borderId="4" xfId="0" applyNumberFormat="1" applyFill="1" applyBorder="1" applyAlignment="1">
      <alignment horizontal="center"/>
    </xf>
    <xf numFmtId="2" fontId="0" fillId="4" borderId="2" xfId="0" applyNumberFormat="1" applyFill="1" applyBorder="1" applyAlignment="1">
      <alignment horizontal="center"/>
    </xf>
    <xf numFmtId="0" fontId="0" fillId="8" borderId="51" xfId="0" applyFill="1" applyBorder="1"/>
    <xf numFmtId="0" fontId="0" fillId="0" borderId="8" xfId="0" applyBorder="1" applyAlignment="1">
      <alignment horizontal="left" vertical="center"/>
    </xf>
    <xf numFmtId="2" fontId="0" fillId="0" borderId="7" xfId="0" applyNumberFormat="1" applyBorder="1" applyAlignment="1">
      <alignment vertical="center"/>
    </xf>
    <xf numFmtId="2" fontId="2" fillId="8" borderId="7" xfId="0" applyNumberFormat="1" applyFont="1" applyFill="1" applyBorder="1" applyAlignment="1">
      <alignment horizontal="right" vertical="center"/>
    </xf>
    <xf numFmtId="2" fontId="0" fillId="0" borderId="67" xfId="0" applyNumberFormat="1" applyBorder="1" applyAlignment="1">
      <alignment horizontal="center" vertical="center"/>
    </xf>
    <xf numFmtId="0" fontId="26" fillId="0" borderId="82" xfId="7" applyFont="1" applyBorder="1" applyAlignment="1">
      <alignment horizontal="center" vertical="center"/>
    </xf>
    <xf numFmtId="0" fontId="26" fillId="0" borderId="35" xfId="7" applyFont="1" applyBorder="1" applyAlignment="1">
      <alignment horizontal="center"/>
    </xf>
    <xf numFmtId="2" fontId="18" fillId="0" borderId="77" xfId="7" applyNumberFormat="1" applyFont="1" applyBorder="1" applyAlignment="1">
      <alignment horizontal="center" vertical="center"/>
    </xf>
    <xf numFmtId="0" fontId="4" fillId="0" borderId="34" xfId="7" applyFont="1" applyBorder="1" applyAlignment="1">
      <alignment horizontal="left"/>
    </xf>
    <xf numFmtId="0" fontId="20" fillId="0" borderId="34" xfId="7" applyFont="1" applyBorder="1"/>
    <xf numFmtId="0" fontId="20" fillId="0" borderId="25" xfId="7" applyFont="1" applyBorder="1"/>
    <xf numFmtId="0" fontId="20" fillId="0" borderId="35" xfId="7" applyFont="1" applyBorder="1"/>
    <xf numFmtId="0" fontId="4" fillId="0" borderId="15" xfId="7" applyFont="1" applyBorder="1" applyAlignment="1">
      <alignment horizontal="center"/>
    </xf>
    <xf numFmtId="0" fontId="3" fillId="0" borderId="29" xfId="7" applyBorder="1" applyAlignment="1">
      <alignment vertical="center"/>
    </xf>
    <xf numFmtId="0" fontId="3" fillId="0" borderId="47" xfId="7" applyBorder="1" applyAlignment="1">
      <alignment vertical="center"/>
    </xf>
    <xf numFmtId="37" fontId="21" fillId="0" borderId="7" xfId="7" applyNumberFormat="1" applyFont="1" applyBorder="1" applyAlignment="1">
      <alignment horizontal="left" vertical="center"/>
    </xf>
    <xf numFmtId="0" fontId="18" fillId="0" borderId="0" xfId="7" applyFont="1" applyAlignment="1">
      <alignment horizontal="left"/>
    </xf>
    <xf numFmtId="180" fontId="18" fillId="0" borderId="54" xfId="7" applyNumberFormat="1" applyFont="1" applyBorder="1" applyAlignment="1">
      <alignment horizontal="right"/>
    </xf>
    <xf numFmtId="10" fontId="18" fillId="0" borderId="54" xfId="7" applyNumberFormat="1" applyFont="1" applyBorder="1" applyAlignment="1">
      <alignment horizontal="right"/>
    </xf>
    <xf numFmtId="0" fontId="18" fillId="0" borderId="47" xfId="7" applyFont="1" applyBorder="1" applyAlignment="1">
      <alignment horizontal="left"/>
    </xf>
    <xf numFmtId="2" fontId="4" fillId="0" borderId="15" xfId="7" applyNumberFormat="1" applyFont="1" applyBorder="1" applyAlignment="1">
      <alignment horizontal="center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19" xfId="7" applyFont="1" applyBorder="1" applyAlignment="1">
      <alignment horizontal="center" vertical="center" wrapText="1"/>
    </xf>
    <xf numFmtId="4" fontId="3" fillId="0" borderId="56" xfId="7" applyNumberFormat="1" applyBorder="1" applyAlignment="1">
      <alignment horizontal="center" vertical="center" wrapText="1"/>
    </xf>
    <xf numFmtId="4" fontId="3" fillId="0" borderId="20" xfId="7" applyNumberFormat="1" applyBorder="1" applyAlignment="1">
      <alignment horizontal="center" vertical="center" wrapText="1"/>
    </xf>
    <xf numFmtId="4" fontId="3" fillId="0" borderId="19" xfId="7" applyNumberFormat="1" applyBorder="1" applyAlignment="1">
      <alignment horizontal="center" vertical="center" wrapText="1"/>
    </xf>
    <xf numFmtId="4" fontId="3" fillId="27" borderId="7" xfId="7" applyNumberFormat="1" applyFill="1" applyBorder="1" applyAlignment="1" applyProtection="1">
      <alignment horizontal="center" vertical="center" wrapText="1"/>
      <protection locked="0"/>
    </xf>
    <xf numFmtId="4" fontId="3" fillId="27" borderId="10" xfId="7" applyNumberFormat="1" applyFill="1" applyBorder="1" applyAlignment="1" applyProtection="1">
      <alignment horizontal="center" vertical="center" wrapText="1"/>
      <protection locked="0"/>
    </xf>
    <xf numFmtId="0" fontId="4" fillId="0" borderId="56" xfId="7" applyFont="1" applyBorder="1" applyAlignment="1">
      <alignment vertical="center" wrapText="1"/>
    </xf>
    <xf numFmtId="0" fontId="4" fillId="0" borderId="20" xfId="7" applyFont="1" applyBorder="1" applyAlignment="1">
      <alignment vertical="center" wrapText="1"/>
    </xf>
    <xf numFmtId="0" fontId="3" fillId="0" borderId="6" xfId="7" applyBorder="1" applyAlignment="1">
      <alignment vertical="center"/>
    </xf>
    <xf numFmtId="0" fontId="4" fillId="0" borderId="21" xfId="7" applyFont="1" applyBorder="1" applyAlignment="1">
      <alignment vertical="center"/>
    </xf>
    <xf numFmtId="0" fontId="3" fillId="0" borderId="22" xfId="7" applyBorder="1" applyAlignment="1">
      <alignment vertical="center"/>
    </xf>
    <xf numFmtId="0" fontId="3" fillId="0" borderId="23" xfId="7" applyBorder="1" applyAlignment="1">
      <alignment vertical="center"/>
    </xf>
    <xf numFmtId="0" fontId="4" fillId="0" borderId="26" xfId="7" applyFont="1" applyBorder="1" applyAlignment="1">
      <alignment horizontal="center" vertical="center" wrapText="1"/>
    </xf>
    <xf numFmtId="4" fontId="4" fillId="0" borderId="24" xfId="7" applyNumberFormat="1" applyFont="1" applyBorder="1" applyAlignment="1">
      <alignment horizontal="center" vertical="center" wrapText="1"/>
    </xf>
    <xf numFmtId="4" fontId="3" fillId="0" borderId="49" xfId="7" applyNumberFormat="1" applyBorder="1" applyAlignment="1">
      <alignment horizontal="center" vertical="center" wrapText="1"/>
    </xf>
    <xf numFmtId="4" fontId="3" fillId="0" borderId="42" xfId="7" applyNumberFormat="1" applyBorder="1" applyAlignment="1">
      <alignment horizontal="center" vertical="center" wrapText="1"/>
    </xf>
    <xf numFmtId="4" fontId="3" fillId="0" borderId="24" xfId="7" applyNumberFormat="1" applyBorder="1" applyAlignment="1">
      <alignment horizontal="center" vertical="center" wrapText="1"/>
    </xf>
    <xf numFmtId="4" fontId="3" fillId="0" borderId="0" xfId="7" applyNumberFormat="1" applyAlignment="1">
      <alignment vertical="center"/>
    </xf>
    <xf numFmtId="191" fontId="0" fillId="0" borderId="0" xfId="0" applyNumberFormat="1" applyAlignment="1">
      <alignment horizontal="left"/>
    </xf>
    <xf numFmtId="0" fontId="20" fillId="0" borderId="33" xfId="7" applyFont="1" applyBorder="1" applyAlignment="1">
      <alignment horizontal="center" vertical="center"/>
    </xf>
    <xf numFmtId="0" fontId="20" fillId="0" borderId="17" xfId="7" applyFont="1" applyBorder="1" applyAlignment="1">
      <alignment horizontal="center" vertical="center"/>
    </xf>
    <xf numFmtId="0" fontId="4" fillId="0" borderId="5" xfId="7" applyFont="1" applyBorder="1" applyAlignment="1">
      <alignment horizontal="center"/>
    </xf>
    <xf numFmtId="0" fontId="3" fillId="0" borderId="8" xfId="7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3" fillId="0" borderId="0" xfId="7" applyAlignment="1">
      <alignment horizontal="center"/>
    </xf>
    <xf numFmtId="9" fontId="0" fillId="0" borderId="0" xfId="2" applyFont="1" applyFill="1" applyBorder="1" applyAlignment="1">
      <alignment horizontal="right"/>
    </xf>
    <xf numFmtId="165" fontId="0" fillId="0" borderId="0" xfId="0" applyNumberFormat="1" applyAlignment="1">
      <alignment horizontal="right"/>
    </xf>
    <xf numFmtId="2" fontId="0" fillId="0" borderId="0" xfId="0" applyNumberFormat="1"/>
    <xf numFmtId="14" fontId="0" fillId="0" borderId="7" xfId="0" applyNumberFormat="1" applyBorder="1"/>
    <xf numFmtId="10" fontId="3" fillId="0" borderId="42" xfId="2" applyNumberFormat="1" applyFont="1" applyFill="1" applyBorder="1" applyAlignment="1" applyProtection="1">
      <alignment horizontal="center" vertical="center" wrapText="1"/>
    </xf>
    <xf numFmtId="0" fontId="4" fillId="0" borderId="0" xfId="7" applyFont="1" applyAlignment="1">
      <alignment vertical="center"/>
    </xf>
    <xf numFmtId="0" fontId="3" fillId="0" borderId="33" xfId="7" applyBorder="1" applyAlignment="1">
      <alignment vertical="center"/>
    </xf>
    <xf numFmtId="4" fontId="3" fillId="0" borderId="50" xfId="7" applyNumberFormat="1" applyBorder="1" applyAlignment="1">
      <alignment horizontal="center" vertical="center" wrapText="1"/>
    </xf>
    <xf numFmtId="4" fontId="3" fillId="0" borderId="51" xfId="7" applyNumberFormat="1" applyBorder="1" applyAlignment="1">
      <alignment horizontal="center" vertical="center" wrapText="1"/>
    </xf>
    <xf numFmtId="4" fontId="3" fillId="0" borderId="30" xfId="7" applyNumberFormat="1" applyBorder="1" applyAlignment="1">
      <alignment horizontal="center" vertical="center" wrapText="1"/>
    </xf>
    <xf numFmtId="4" fontId="3" fillId="0" borderId="47" xfId="7" applyNumberFormat="1" applyBorder="1" applyAlignment="1">
      <alignment horizontal="center" vertical="center" wrapText="1"/>
    </xf>
    <xf numFmtId="0" fontId="3" fillId="0" borderId="15" xfId="7" applyBorder="1" applyAlignment="1">
      <alignment horizontal="center" vertical="center" wrapText="1"/>
    </xf>
    <xf numFmtId="0" fontId="4" fillId="0" borderId="6" xfId="7" applyFont="1" applyBorder="1" applyAlignment="1">
      <alignment horizontal="center" vertical="center" wrapText="1"/>
    </xf>
    <xf numFmtId="0" fontId="4" fillId="0" borderId="14" xfId="7" applyFont="1" applyBorder="1" applyAlignment="1">
      <alignment horizontal="center" vertical="center" wrapText="1"/>
    </xf>
    <xf numFmtId="0" fontId="4" fillId="0" borderId="26" xfId="7" applyFont="1" applyBorder="1" applyAlignment="1">
      <alignment vertical="center" wrapText="1"/>
    </xf>
    <xf numFmtId="0" fontId="3" fillId="0" borderId="15" xfId="7" applyBorder="1" applyAlignment="1">
      <alignment horizontal="center" vertical="center"/>
    </xf>
    <xf numFmtId="0" fontId="3" fillId="0" borderId="7" xfId="7" applyBorder="1" applyAlignment="1">
      <alignment horizontal="center" vertical="center"/>
    </xf>
    <xf numFmtId="0" fontId="3" fillId="0" borderId="9" xfId="7" applyBorder="1" applyAlignment="1">
      <alignment horizontal="center" vertical="center"/>
    </xf>
    <xf numFmtId="0" fontId="3" fillId="0" borderId="6" xfId="7" applyBorder="1" applyAlignment="1">
      <alignment horizontal="center" vertical="center"/>
    </xf>
    <xf numFmtId="0" fontId="3" fillId="0" borderId="14" xfId="7" applyBorder="1" applyAlignment="1">
      <alignment horizontal="center" vertical="center"/>
    </xf>
    <xf numFmtId="0" fontId="3" fillId="0" borderId="4" xfId="7" applyBorder="1" applyAlignment="1">
      <alignment horizontal="center" vertical="center"/>
    </xf>
    <xf numFmtId="0" fontId="3" fillId="0" borderId="7" xfId="7" applyBorder="1" applyAlignment="1">
      <alignment horizontal="center" vertical="center" wrapText="1"/>
    </xf>
    <xf numFmtId="0" fontId="3" fillId="0" borderId="9" xfId="7" applyBorder="1" applyAlignment="1">
      <alignment vertical="center"/>
    </xf>
    <xf numFmtId="0" fontId="4" fillId="0" borderId="13" xfId="7" applyFont="1" applyBorder="1" applyAlignment="1">
      <alignment horizontal="center" vertical="center" wrapText="1"/>
    </xf>
    <xf numFmtId="0" fontId="4" fillId="0" borderId="18" xfId="7" applyFont="1" applyBorder="1" applyAlignment="1">
      <alignment horizontal="center" vertical="center" wrapText="1"/>
    </xf>
    <xf numFmtId="0" fontId="4" fillId="0" borderId="27" xfId="7" applyFont="1" applyBorder="1" applyAlignment="1">
      <alignment horizontal="center" vertical="center" wrapText="1"/>
    </xf>
    <xf numFmtId="2" fontId="4" fillId="0" borderId="14" xfId="7" applyNumberFormat="1" applyFont="1" applyBorder="1" applyAlignment="1">
      <alignment vertical="center" wrapText="1"/>
    </xf>
    <xf numFmtId="2" fontId="3" fillId="0" borderId="15" xfId="7" applyNumberFormat="1" applyBorder="1" applyAlignment="1">
      <alignment horizontal="right" vertical="center" wrapText="1"/>
    </xf>
    <xf numFmtId="0" fontId="3" fillId="0" borderId="47" xfId="7" applyBorder="1" applyAlignment="1">
      <alignment horizontal="left"/>
    </xf>
    <xf numFmtId="0" fontId="3" fillId="27" borderId="42" xfId="7" applyFill="1" applyBorder="1" applyAlignment="1">
      <alignment horizontal="left"/>
    </xf>
    <xf numFmtId="0" fontId="3" fillId="27" borderId="46" xfId="7" applyFill="1" applyBorder="1" applyAlignment="1">
      <alignment horizontal="left"/>
    </xf>
    <xf numFmtId="0" fontId="34" fillId="0" borderId="105" xfId="7" applyFont="1" applyBorder="1"/>
    <xf numFmtId="0" fontId="3" fillId="0" borderId="106" xfId="7" applyBorder="1" applyAlignment="1">
      <alignment horizontal="center"/>
    </xf>
    <xf numFmtId="0" fontId="3" fillId="0" borderId="108" xfId="7" applyBorder="1" applyAlignment="1">
      <alignment horizontal="center"/>
    </xf>
    <xf numFmtId="0" fontId="3" fillId="28" borderId="22" xfId="7" applyFill="1" applyBorder="1"/>
    <xf numFmtId="0" fontId="3" fillId="0" borderId="20" xfId="7" applyBorder="1" applyAlignment="1">
      <alignment horizontal="center"/>
    </xf>
    <xf numFmtId="171" fontId="3" fillId="0" borderId="97" xfId="7" applyNumberFormat="1" applyBorder="1" applyAlignment="1">
      <alignment horizontal="center"/>
    </xf>
    <xf numFmtId="171" fontId="3" fillId="27" borderId="11" xfId="7" applyNumberFormat="1" applyFill="1" applyBorder="1"/>
    <xf numFmtId="0" fontId="0" fillId="0" borderId="7" xfId="0" applyBorder="1" applyAlignment="1">
      <alignment vertical="center" wrapText="1"/>
    </xf>
    <xf numFmtId="0" fontId="3" fillId="31" borderId="15" xfId="7" applyFill="1" applyBorder="1" applyAlignment="1">
      <alignment vertical="center" wrapText="1"/>
    </xf>
    <xf numFmtId="0" fontId="3" fillId="31" borderId="16" xfId="7" applyFill="1" applyBorder="1" applyAlignment="1">
      <alignment vertical="center" wrapText="1"/>
    </xf>
    <xf numFmtId="0" fontId="3" fillId="31" borderId="15" xfId="7" applyFill="1" applyBorder="1" applyAlignment="1">
      <alignment horizontal="right" vertical="center" wrapText="1"/>
    </xf>
    <xf numFmtId="4" fontId="3" fillId="0" borderId="102" xfId="7" applyNumberFormat="1" applyBorder="1" applyAlignment="1">
      <alignment vertical="center"/>
    </xf>
    <xf numFmtId="4" fontId="3" fillId="0" borderId="40" xfId="7" applyNumberFormat="1" applyBorder="1" applyAlignment="1">
      <alignment horizontal="center"/>
    </xf>
    <xf numFmtId="182" fontId="3" fillId="0" borderId="42" xfId="7" applyNumberFormat="1" applyBorder="1" applyAlignment="1">
      <alignment horizontal="center"/>
    </xf>
    <xf numFmtId="187" fontId="3" fillId="0" borderId="7" xfId="7" applyNumberFormat="1" applyBorder="1"/>
    <xf numFmtId="0" fontId="3" fillId="23" borderId="7" xfId="7" applyFill="1" applyBorder="1" applyAlignment="1">
      <alignment vertical="center"/>
    </xf>
    <xf numFmtId="0" fontId="3" fillId="32" borderId="7" xfId="7" applyFill="1" applyBorder="1" applyAlignment="1">
      <alignment horizontal="center"/>
    </xf>
    <xf numFmtId="0" fontId="3" fillId="23" borderId="16" xfId="7" applyFill="1" applyBorder="1"/>
    <xf numFmtId="15" fontId="3" fillId="27" borderId="97" xfId="7" applyNumberFormat="1" applyFill="1" applyBorder="1"/>
    <xf numFmtId="0" fontId="3" fillId="23" borderId="10" xfId="7" applyFill="1" applyBorder="1" applyAlignment="1">
      <alignment vertical="center"/>
    </xf>
    <xf numFmtId="186" fontId="3" fillId="23" borderId="10" xfId="7" applyNumberFormat="1" applyFill="1" applyBorder="1" applyAlignment="1">
      <alignment horizontal="center"/>
    </xf>
    <xf numFmtId="0" fontId="3" fillId="0" borderId="10" xfId="7" applyBorder="1" applyAlignment="1">
      <alignment horizontal="center"/>
    </xf>
    <xf numFmtId="0" fontId="3" fillId="32" borderId="10" xfId="7" applyFill="1" applyBorder="1" applyAlignment="1">
      <alignment horizontal="center"/>
    </xf>
    <xf numFmtId="43" fontId="3" fillId="27" borderId="11" xfId="7" applyNumberFormat="1" applyFill="1" applyBorder="1" applyAlignment="1">
      <alignment horizontal="right"/>
    </xf>
    <xf numFmtId="43" fontId="3" fillId="0" borderId="11" xfId="7" applyNumberFormat="1" applyBorder="1" applyAlignment="1">
      <alignment horizontal="right"/>
    </xf>
    <xf numFmtId="43" fontId="3" fillId="0" borderId="9" xfId="7" applyNumberFormat="1" applyBorder="1" applyAlignment="1">
      <alignment horizontal="right"/>
    </xf>
    <xf numFmtId="43" fontId="3" fillId="0" borderId="12" xfId="7" applyNumberFormat="1" applyBorder="1" applyAlignment="1">
      <alignment horizontal="right"/>
    </xf>
    <xf numFmtId="43" fontId="3" fillId="32" borderId="8" xfId="7" applyNumberFormat="1" applyFill="1" applyBorder="1" applyAlignment="1">
      <alignment horizontal="right"/>
    </xf>
    <xf numFmtId="43" fontId="3" fillId="32" borderId="44" xfId="7" applyNumberFormat="1" applyFill="1" applyBorder="1" applyAlignment="1">
      <alignment horizontal="right"/>
    </xf>
    <xf numFmtId="43" fontId="3" fillId="32" borderId="11" xfId="7" applyNumberFormat="1" applyFill="1" applyBorder="1" applyAlignment="1">
      <alignment horizontal="right"/>
    </xf>
    <xf numFmtId="186" fontId="3" fillId="0" borderId="0" xfId="7" applyNumberFormat="1" applyAlignment="1">
      <alignment horizontal="center"/>
    </xf>
    <xf numFmtId="185" fontId="3" fillId="0" borderId="0" xfId="7" applyNumberFormat="1" applyAlignment="1">
      <alignment horizontal="center"/>
    </xf>
    <xf numFmtId="43" fontId="3" fillId="0" borderId="0" xfId="7" applyNumberFormat="1" applyAlignment="1">
      <alignment horizontal="right"/>
    </xf>
    <xf numFmtId="43" fontId="3" fillId="0" borderId="81" xfId="7" applyNumberFormat="1" applyBorder="1" applyAlignment="1">
      <alignment horizontal="right"/>
    </xf>
    <xf numFmtId="43" fontId="3" fillId="0" borderId="85" xfId="7" applyNumberFormat="1" applyBorder="1" applyAlignment="1">
      <alignment horizontal="right"/>
    </xf>
    <xf numFmtId="43" fontId="4" fillId="0" borderId="81" xfId="7" applyNumberFormat="1" applyFont="1" applyBorder="1" applyAlignment="1">
      <alignment horizontal="right"/>
    </xf>
    <xf numFmtId="43" fontId="4" fillId="0" borderId="85" xfId="7" applyNumberFormat="1" applyFont="1" applyBorder="1" applyAlignment="1">
      <alignment horizontal="right"/>
    </xf>
    <xf numFmtId="0" fontId="4" fillId="0" borderId="22" xfId="7" applyFont="1" applyBorder="1" applyAlignment="1">
      <alignment horizontal="right" vertical="center"/>
    </xf>
    <xf numFmtId="43" fontId="3" fillId="0" borderId="22" xfId="7" applyNumberFormat="1" applyBorder="1" applyAlignment="1">
      <alignment horizontal="right"/>
    </xf>
    <xf numFmtId="166" fontId="4" fillId="0" borderId="4" xfId="7" applyNumberFormat="1" applyFont="1" applyBorder="1" applyAlignment="1">
      <alignment vertical="center"/>
    </xf>
    <xf numFmtId="166" fontId="4" fillId="0" borderId="6" xfId="7" applyNumberFormat="1" applyFont="1" applyBorder="1" applyAlignment="1">
      <alignment vertical="center"/>
    </xf>
    <xf numFmtId="43" fontId="4" fillId="0" borderId="10" xfId="7" applyNumberFormat="1" applyFont="1" applyBorder="1" applyAlignment="1">
      <alignment horizontal="right" vertical="center"/>
    </xf>
    <xf numFmtId="43" fontId="4" fillId="0" borderId="12" xfId="7" applyNumberFormat="1" applyFont="1" applyBorder="1" applyAlignment="1">
      <alignment horizontal="right" vertical="center"/>
    </xf>
    <xf numFmtId="0" fontId="3" fillId="31" borderId="0" xfId="7" applyFill="1" applyAlignment="1">
      <alignment vertical="center"/>
    </xf>
    <xf numFmtId="1" fontId="21" fillId="29" borderId="82" xfId="7" applyNumberFormat="1" applyFont="1" applyFill="1" applyBorder="1" applyAlignment="1">
      <alignment horizontal="center" vertical="center"/>
    </xf>
    <xf numFmtId="177" fontId="19" fillId="0" borderId="8" xfId="7" applyNumberFormat="1" applyFont="1" applyBorder="1" applyAlignment="1">
      <alignment horizontal="center"/>
    </xf>
    <xf numFmtId="37" fontId="26" fillId="0" borderId="7" xfId="7" applyNumberFormat="1" applyFont="1" applyBorder="1" applyAlignment="1">
      <alignment horizontal="center" vertical="center" shrinkToFit="1"/>
    </xf>
    <xf numFmtId="0" fontId="3" fillId="0" borderId="109" xfId="7" applyBorder="1" applyAlignment="1">
      <alignment horizontal="center" vertical="center"/>
    </xf>
    <xf numFmtId="177" fontId="25" fillId="0" borderId="110" xfId="7" applyNumberFormat="1" applyFont="1" applyBorder="1" applyAlignment="1">
      <alignment horizontal="right"/>
    </xf>
    <xf numFmtId="177" fontId="25" fillId="0" borderId="111" xfId="7" applyNumberFormat="1" applyFont="1" applyBorder="1" applyAlignment="1">
      <alignment horizontal="right"/>
    </xf>
    <xf numFmtId="164" fontId="25" fillId="0" borderId="112" xfId="7" applyNumberFormat="1" applyFont="1" applyBorder="1" applyAlignment="1">
      <alignment horizontal="right"/>
    </xf>
    <xf numFmtId="1" fontId="21" fillId="0" borderId="82" xfId="7" applyNumberFormat="1" applyFont="1" applyBorder="1" applyAlignment="1">
      <alignment horizontal="center" vertical="center"/>
    </xf>
    <xf numFmtId="17" fontId="12" fillId="0" borderId="109" xfId="7" applyNumberFormat="1" applyFont="1" applyBorder="1" applyAlignment="1">
      <alignment horizontal="center" vertical="center"/>
    </xf>
    <xf numFmtId="17" fontId="26" fillId="0" borderId="86" xfId="7" applyNumberFormat="1" applyFont="1" applyBorder="1" applyAlignment="1">
      <alignment horizontal="center" vertical="center"/>
    </xf>
    <xf numFmtId="177" fontId="25" fillId="8" borderId="112" xfId="7" applyNumberFormat="1" applyFont="1" applyFill="1" applyBorder="1" applyAlignment="1">
      <alignment horizontal="right"/>
    </xf>
    <xf numFmtId="177" fontId="12" fillId="2" borderId="52" xfId="11" applyNumberFormat="1" applyFont="1" applyFill="1" applyBorder="1" applyAlignment="1">
      <alignment horizontal="right" vertical="center"/>
    </xf>
    <xf numFmtId="177" fontId="12" fillId="2" borderId="55" xfId="11" applyNumberFormat="1" applyFont="1" applyFill="1" applyBorder="1" applyAlignment="1">
      <alignment horizontal="right" vertical="center"/>
    </xf>
    <xf numFmtId="164" fontId="12" fillId="8" borderId="0" xfId="7" applyNumberFormat="1" applyFont="1" applyFill="1" applyAlignment="1">
      <alignment horizontal="right" vertical="center"/>
    </xf>
    <xf numFmtId="177" fontId="12" fillId="2" borderId="51" xfId="11" applyNumberFormat="1" applyFont="1" applyFill="1" applyBorder="1" applyAlignment="1">
      <alignment horizontal="right" vertical="center"/>
    </xf>
    <xf numFmtId="177" fontId="12" fillId="2" borderId="52" xfId="11" applyNumberFormat="1" applyFont="1" applyFill="1" applyBorder="1" applyAlignment="1">
      <alignment horizontal="right"/>
    </xf>
    <xf numFmtId="177" fontId="12" fillId="2" borderId="55" xfId="11" applyNumberFormat="1" applyFont="1" applyFill="1" applyBorder="1" applyAlignment="1">
      <alignment horizontal="right"/>
    </xf>
    <xf numFmtId="164" fontId="12" fillId="8" borderId="55" xfId="7" applyNumberFormat="1" applyFont="1" applyFill="1" applyBorder="1" applyAlignment="1">
      <alignment horizontal="right"/>
    </xf>
    <xf numFmtId="177" fontId="26" fillId="0" borderId="87" xfId="11" applyNumberFormat="1" applyFont="1" applyBorder="1" applyAlignment="1">
      <alignment vertical="center"/>
    </xf>
    <xf numFmtId="177" fontId="26" fillId="0" borderId="58" xfId="11" applyNumberFormat="1" applyFont="1" applyBorder="1" applyAlignment="1">
      <alignment vertical="center"/>
    </xf>
    <xf numFmtId="177" fontId="12" fillId="0" borderId="18" xfId="11" applyNumberFormat="1" applyFont="1" applyBorder="1" applyAlignment="1">
      <alignment vertical="center"/>
    </xf>
    <xf numFmtId="177" fontId="12" fillId="0" borderId="76" xfId="11" applyNumberFormat="1" applyFont="1" applyBorder="1" applyAlignment="1">
      <alignment vertical="center"/>
    </xf>
    <xf numFmtId="177" fontId="12" fillId="0" borderId="53" xfId="11" applyNumberFormat="1" applyFont="1" applyBorder="1" applyAlignment="1">
      <alignment vertical="center"/>
    </xf>
    <xf numFmtId="177" fontId="12" fillId="0" borderId="113" xfId="11" applyNumberFormat="1" applyFont="1" applyBorder="1" applyAlignment="1">
      <alignment vertical="center"/>
    </xf>
    <xf numFmtId="177" fontId="12" fillId="0" borderId="95" xfId="11" applyNumberFormat="1" applyFont="1" applyBorder="1" applyAlignment="1">
      <alignment vertical="center"/>
    </xf>
    <xf numFmtId="164" fontId="12" fillId="33" borderId="0" xfId="7" applyNumberFormat="1" applyFont="1" applyFill="1" applyAlignment="1">
      <alignment vertical="center"/>
    </xf>
    <xf numFmtId="164" fontId="12" fillId="33" borderId="55" xfId="7" applyNumberFormat="1" applyFont="1" applyFill="1" applyBorder="1"/>
    <xf numFmtId="0" fontId="21" fillId="0" borderId="82" xfId="7" applyFont="1" applyBorder="1" applyAlignment="1">
      <alignment horizontal="center" vertical="center"/>
    </xf>
    <xf numFmtId="17" fontId="12" fillId="0" borderId="114" xfId="7" applyNumberFormat="1" applyFont="1" applyBorder="1" applyAlignment="1">
      <alignment horizontal="center" vertical="center"/>
    </xf>
    <xf numFmtId="177" fontId="25" fillId="8" borderId="115" xfId="7" applyNumberFormat="1" applyFont="1" applyFill="1" applyBorder="1" applyAlignment="1">
      <alignment horizontal="center"/>
    </xf>
    <xf numFmtId="177" fontId="25" fillId="8" borderId="90" xfId="7" applyNumberFormat="1" applyFont="1" applyFill="1" applyBorder="1" applyAlignment="1">
      <alignment horizontal="center"/>
    </xf>
    <xf numFmtId="177" fontId="25" fillId="0" borderId="116" xfId="7" applyNumberFormat="1" applyFont="1" applyBorder="1" applyAlignment="1">
      <alignment horizontal="center"/>
    </xf>
    <xf numFmtId="177" fontId="25" fillId="0" borderId="90" xfId="7" applyNumberFormat="1" applyFont="1" applyBorder="1" applyAlignment="1">
      <alignment horizontal="center"/>
    </xf>
    <xf numFmtId="164" fontId="12" fillId="0" borderId="51" xfId="7" applyNumberFormat="1" applyFont="1" applyBorder="1" applyAlignment="1">
      <alignment vertical="center"/>
    </xf>
    <xf numFmtId="4" fontId="3" fillId="14" borderId="7" xfId="7" applyNumberFormat="1" applyFill="1" applyBorder="1" applyAlignment="1">
      <alignment horizontal="center"/>
    </xf>
    <xf numFmtId="191" fontId="4" fillId="0" borderId="40" xfId="7" applyNumberFormat="1" applyFont="1" applyBorder="1" applyAlignment="1">
      <alignment horizontal="left" vertical="center" wrapText="1"/>
    </xf>
    <xf numFmtId="4" fontId="3" fillId="34" borderId="7" xfId="7" applyNumberFormat="1" applyFill="1" applyBorder="1" applyAlignment="1">
      <alignment horizontal="center" vertical="center" wrapText="1"/>
    </xf>
    <xf numFmtId="4" fontId="3" fillId="14" borderId="7" xfId="7" applyNumberFormat="1" applyFill="1" applyBorder="1" applyAlignment="1">
      <alignment horizontal="center" vertical="center" wrapText="1"/>
    </xf>
    <xf numFmtId="171" fontId="3" fillId="32" borderId="53" xfId="7" applyNumberFormat="1" applyFill="1" applyBorder="1"/>
    <xf numFmtId="0" fontId="26" fillId="0" borderId="7" xfId="12" applyFont="1" applyBorder="1" applyAlignment="1">
      <alignment horizontal="center"/>
    </xf>
    <xf numFmtId="0" fontId="26" fillId="0" borderId="0" xfId="12" applyFont="1" applyAlignment="1">
      <alignment horizontal="center" vertical="center"/>
    </xf>
    <xf numFmtId="0" fontId="3" fillId="0" borderId="40" xfId="7" applyBorder="1"/>
    <xf numFmtId="165" fontId="3" fillId="0" borderId="4" xfId="7" applyNumberFormat="1" applyBorder="1" applyAlignment="1">
      <alignment vertical="center"/>
    </xf>
    <xf numFmtId="165" fontId="3" fillId="0" borderId="7" xfId="7" applyNumberFormat="1" applyBorder="1" applyAlignment="1">
      <alignment vertical="center"/>
    </xf>
    <xf numFmtId="1" fontId="0" fillId="0" borderId="7" xfId="6" applyNumberFormat="1" applyFont="1" applyFill="1" applyBorder="1" applyProtection="1"/>
    <xf numFmtId="166" fontId="3" fillId="0" borderId="9" xfId="7" applyNumberFormat="1" applyBorder="1"/>
    <xf numFmtId="168" fontId="3" fillId="0" borderId="0" xfId="2" applyNumberFormat="1" applyFont="1" applyProtection="1"/>
    <xf numFmtId="166" fontId="3" fillId="0" borderId="41" xfId="7" applyNumberFormat="1" applyBorder="1"/>
    <xf numFmtId="0" fontId="3" fillId="0" borderId="5" xfId="7" applyBorder="1"/>
    <xf numFmtId="0" fontId="3" fillId="0" borderId="5" xfId="7" applyBorder="1" applyAlignment="1">
      <alignment horizontal="right"/>
    </xf>
    <xf numFmtId="0" fontId="3" fillId="0" borderId="49" xfId="7" applyBorder="1" applyAlignment="1">
      <alignment horizontal="center"/>
    </xf>
    <xf numFmtId="0" fontId="3" fillId="0" borderId="57" xfId="7" applyBorder="1"/>
    <xf numFmtId="187" fontId="3" fillId="0" borderId="57" xfId="7" applyNumberFormat="1" applyBorder="1"/>
    <xf numFmtId="188" fontId="3" fillId="0" borderId="75" xfId="7" applyNumberFormat="1" applyBorder="1"/>
    <xf numFmtId="4" fontId="3" fillId="0" borderId="19" xfId="7" applyNumberFormat="1" applyBorder="1"/>
    <xf numFmtId="188" fontId="3" fillId="0" borderId="19" xfId="7" applyNumberFormat="1" applyBorder="1"/>
    <xf numFmtId="0" fontId="3" fillId="0" borderId="10" xfId="7" applyBorder="1"/>
    <xf numFmtId="187" fontId="3" fillId="0" borderId="10" xfId="7" applyNumberFormat="1" applyBorder="1"/>
    <xf numFmtId="188" fontId="3" fillId="0" borderId="12" xfId="7" applyNumberFormat="1" applyBorder="1"/>
    <xf numFmtId="165" fontId="3" fillId="32" borderId="7" xfId="7" applyNumberFormat="1" applyFill="1" applyBorder="1" applyAlignment="1" applyProtection="1">
      <alignment vertical="center"/>
      <protection locked="0"/>
    </xf>
    <xf numFmtId="0" fontId="3" fillId="27" borderId="7" xfId="7" applyFill="1" applyBorder="1" applyProtection="1">
      <protection locked="0"/>
    </xf>
    <xf numFmtId="2" fontId="3" fillId="27" borderId="7" xfId="7" applyNumberFormat="1" applyFill="1" applyBorder="1" applyAlignment="1" applyProtection="1">
      <alignment horizontal="center"/>
      <protection locked="0"/>
    </xf>
    <xf numFmtId="166" fontId="3" fillId="32" borderId="7" xfId="7" applyNumberFormat="1" applyFill="1" applyBorder="1" applyProtection="1">
      <protection locked="0"/>
    </xf>
    <xf numFmtId="2" fontId="0" fillId="0" borderId="7" xfId="0" applyNumberFormat="1" applyBorder="1"/>
    <xf numFmtId="10" fontId="3" fillId="0" borderId="47" xfId="2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>
      <alignment horizontal="right"/>
    </xf>
    <xf numFmtId="167" fontId="2" fillId="0" borderId="0" xfId="1" applyNumberFormat="1" applyFont="1" applyFill="1" applyBorder="1" applyAlignment="1">
      <alignment vertical="center"/>
    </xf>
    <xf numFmtId="167" fontId="0" fillId="0" borderId="0" xfId="1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29" xfId="0" applyBorder="1" applyAlignment="1">
      <alignment horizontal="center"/>
    </xf>
    <xf numFmtId="167" fontId="0" fillId="0" borderId="29" xfId="1" applyNumberFormat="1" applyFont="1" applyFill="1" applyBorder="1"/>
    <xf numFmtId="0" fontId="41" fillId="0" borderId="0" xfId="0" applyFont="1" applyAlignment="1">
      <alignment vertical="center"/>
    </xf>
    <xf numFmtId="0" fontId="15" fillId="0" borderId="29" xfId="0" applyFont="1" applyBorder="1" applyAlignment="1">
      <alignment horizontal="left"/>
    </xf>
    <xf numFmtId="0" fontId="42" fillId="0" borderId="0" xfId="0" applyFont="1"/>
    <xf numFmtId="165" fontId="0" fillId="2" borderId="7" xfId="1" applyFont="1" applyFill="1" applyBorder="1" applyAlignment="1" applyProtection="1">
      <alignment vertical="center"/>
      <protection locked="0"/>
    </xf>
    <xf numFmtId="165" fontId="0" fillId="2" borderId="7" xfId="1" applyFont="1" applyFill="1" applyBorder="1" applyAlignment="1" applyProtection="1">
      <alignment vertical="center"/>
    </xf>
    <xf numFmtId="0" fontId="43" fillId="0" borderId="25" xfId="0" applyFont="1" applyBorder="1" applyProtection="1">
      <protection locked="0"/>
    </xf>
    <xf numFmtId="2" fontId="0" fillId="35" borderId="7" xfId="0" applyNumberFormat="1" applyFill="1" applyBorder="1" applyAlignment="1" applyProtection="1">
      <alignment horizontal="center" vertical="center"/>
      <protection locked="0"/>
    </xf>
    <xf numFmtId="2" fontId="0" fillId="35" borderId="10" xfId="0" applyNumberFormat="1" applyFill="1" applyBorder="1" applyAlignment="1" applyProtection="1">
      <alignment horizontal="center" vertical="center"/>
      <protection locked="0"/>
    </xf>
    <xf numFmtId="0" fontId="15" fillId="35" borderId="29" xfId="0" applyFont="1" applyFill="1" applyBorder="1" applyAlignment="1" applyProtection="1">
      <alignment horizontal="left"/>
      <protection locked="0"/>
    </xf>
    <xf numFmtId="0" fontId="0" fillId="35" borderId="8" xfId="0" applyFill="1" applyBorder="1" applyAlignment="1" applyProtection="1">
      <alignment horizontal="left" vertical="center"/>
      <protection locked="0"/>
    </xf>
    <xf numFmtId="2" fontId="0" fillId="35" borderId="7" xfId="0" applyNumberFormat="1" applyFill="1" applyBorder="1" applyAlignment="1" applyProtection="1">
      <alignment horizontal="center"/>
      <protection locked="0"/>
    </xf>
    <xf numFmtId="2" fontId="0" fillId="35" borderId="10" xfId="0" applyNumberFormat="1" applyFill="1" applyBorder="1" applyAlignment="1" applyProtection="1">
      <alignment horizontal="center"/>
      <protection locked="0"/>
    </xf>
    <xf numFmtId="0" fontId="0" fillId="35" borderId="7" xfId="0" applyFill="1" applyBorder="1" applyAlignment="1" applyProtection="1">
      <alignment horizontal="center"/>
      <protection locked="0"/>
    </xf>
    <xf numFmtId="165" fontId="0" fillId="35" borderId="7" xfId="1" applyFont="1" applyFill="1" applyBorder="1" applyAlignment="1" applyProtection="1">
      <alignment vertical="center"/>
      <protection locked="0"/>
    </xf>
    <xf numFmtId="10" fontId="0" fillId="35" borderId="7" xfId="2" applyNumberFormat="1" applyFont="1" applyFill="1" applyBorder="1" applyAlignment="1" applyProtection="1">
      <alignment horizontal="center" vertical="center"/>
      <protection locked="0"/>
    </xf>
    <xf numFmtId="0" fontId="18" fillId="0" borderId="33" xfId="7" applyFont="1" applyBorder="1" applyAlignment="1">
      <alignment horizontal="left"/>
    </xf>
    <xf numFmtId="0" fontId="20" fillId="0" borderId="33" xfId="7" applyFont="1" applyBorder="1" applyAlignment="1">
      <alignment horizontal="left" wrapText="1"/>
    </xf>
    <xf numFmtId="0" fontId="20" fillId="0" borderId="0" xfId="7" applyFont="1" applyAlignment="1">
      <alignment horizontal="left" wrapText="1"/>
    </xf>
    <xf numFmtId="0" fontId="18" fillId="0" borderId="17" xfId="7" applyFont="1" applyBorder="1" applyAlignment="1">
      <alignment horizontal="left"/>
    </xf>
    <xf numFmtId="165" fontId="0" fillId="10" borderId="7" xfId="1" applyFont="1" applyFill="1" applyBorder="1" applyProtection="1">
      <protection locked="0"/>
    </xf>
    <xf numFmtId="0" fontId="0" fillId="10" borderId="7" xfId="0" applyFill="1" applyBorder="1" applyProtection="1">
      <protection locked="0"/>
    </xf>
    <xf numFmtId="165" fontId="0" fillId="10" borderId="7" xfId="0" applyNumberFormat="1" applyFill="1" applyBorder="1" applyProtection="1">
      <protection locked="0"/>
    </xf>
    <xf numFmtId="0" fontId="18" fillId="0" borderId="77" xfId="7" applyFont="1" applyBorder="1" applyAlignment="1">
      <alignment horizontal="center"/>
    </xf>
    <xf numFmtId="0" fontId="20" fillId="0" borderId="17" xfId="7" applyFont="1" applyBorder="1" applyAlignment="1">
      <alignment horizontal="left" wrapText="1"/>
    </xf>
    <xf numFmtId="0" fontId="45" fillId="4" borderId="2" xfId="0" applyFont="1" applyFill="1" applyBorder="1" applyAlignment="1">
      <alignment horizontal="center"/>
    </xf>
    <xf numFmtId="0" fontId="3" fillId="11" borderId="104" xfId="0" applyFont="1" applyFill="1" applyBorder="1" applyAlignment="1">
      <alignment horizontal="center"/>
    </xf>
    <xf numFmtId="0" fontId="3" fillId="8" borderId="106" xfId="0" applyFont="1" applyFill="1" applyBorder="1" applyAlignment="1">
      <alignment horizontal="center"/>
    </xf>
    <xf numFmtId="0" fontId="3" fillId="8" borderId="107" xfId="0" applyFont="1" applyFill="1" applyBorder="1" applyAlignment="1">
      <alignment horizontal="center"/>
    </xf>
    <xf numFmtId="0" fontId="0" fillId="35" borderId="29" xfId="0" applyFill="1" applyBorder="1" applyAlignment="1">
      <alignment horizontal="center"/>
    </xf>
    <xf numFmtId="167" fontId="0" fillId="35" borderId="29" xfId="1" applyNumberFormat="1" applyFont="1" applyFill="1" applyBorder="1"/>
    <xf numFmtId="0" fontId="0" fillId="35" borderId="29" xfId="0" applyFill="1" applyBorder="1"/>
    <xf numFmtId="0" fontId="46" fillId="0" borderId="0" xfId="0" applyFont="1" applyAlignment="1">
      <alignment horizontal="left"/>
    </xf>
    <xf numFmtId="0" fontId="19" fillId="0" borderId="80" xfId="7" applyFont="1" applyBorder="1" applyAlignment="1">
      <alignment horizontal="right" vertical="center" wrapText="1"/>
    </xf>
    <xf numFmtId="0" fontId="20" fillId="0" borderId="0" xfId="7" applyFont="1" applyAlignment="1">
      <alignment horizontal="right"/>
    </xf>
    <xf numFmtId="165" fontId="4" fillId="0" borderId="19" xfId="1" applyFont="1" applyBorder="1" applyAlignment="1">
      <alignment vertical="center"/>
    </xf>
    <xf numFmtId="169" fontId="4" fillId="0" borderId="30" xfId="1" applyNumberFormat="1" applyFont="1" applyFill="1" applyBorder="1"/>
    <xf numFmtId="0" fontId="0" fillId="0" borderId="80" xfId="0" applyBorder="1" applyAlignment="1">
      <alignment horizontal="center" vertical="center"/>
    </xf>
    <xf numFmtId="0" fontId="0" fillId="0" borderId="85" xfId="0" applyBorder="1" applyAlignment="1">
      <alignment horizontal="left" vertical="center"/>
    </xf>
    <xf numFmtId="0" fontId="0" fillId="35" borderId="11" xfId="0" applyFill="1" applyBorder="1" applyAlignment="1" applyProtection="1">
      <alignment horizontal="left" vertical="center"/>
      <protection locked="0"/>
    </xf>
    <xf numFmtId="0" fontId="18" fillId="0" borderId="78" xfId="12" applyFont="1" applyBorder="1" applyAlignment="1">
      <alignment horizontal="center"/>
    </xf>
    <xf numFmtId="9" fontId="47" fillId="0" borderId="57" xfId="2" applyFont="1" applyFill="1" applyBorder="1" applyAlignment="1" applyProtection="1">
      <alignment horizontal="center"/>
    </xf>
    <xf numFmtId="9" fontId="47" fillId="35" borderId="57" xfId="2" applyFont="1" applyFill="1" applyBorder="1" applyAlignment="1" applyProtection="1">
      <alignment horizontal="center" vertical="center"/>
      <protection locked="0"/>
    </xf>
    <xf numFmtId="182" fontId="37" fillId="0" borderId="53" xfId="12" applyNumberFormat="1" applyFont="1" applyBorder="1"/>
    <xf numFmtId="4" fontId="18" fillId="0" borderId="105" xfId="12" applyNumberFormat="1" applyFont="1" applyBorder="1" applyAlignment="1">
      <alignment vertical="center"/>
    </xf>
    <xf numFmtId="9" fontId="48" fillId="35" borderId="57" xfId="2" applyFont="1" applyFill="1" applyBorder="1" applyAlignment="1" applyProtection="1">
      <alignment horizontal="center" vertical="center"/>
      <protection locked="0"/>
    </xf>
    <xf numFmtId="4" fontId="18" fillId="0" borderId="57" xfId="12" applyNumberFormat="1" applyFont="1" applyBorder="1" applyAlignment="1">
      <alignment vertical="center"/>
    </xf>
    <xf numFmtId="182" fontId="40" fillId="0" borderId="57" xfId="12" applyNumberFormat="1" applyFont="1" applyBorder="1" applyAlignment="1">
      <alignment vertical="center"/>
    </xf>
    <xf numFmtId="10" fontId="0" fillId="0" borderId="0" xfId="2" applyNumberFormat="1" applyFont="1" applyFill="1" applyBorder="1" applyAlignment="1">
      <alignment horizontal="center"/>
    </xf>
    <xf numFmtId="168" fontId="0" fillId="0" borderId="0" xfId="2" applyNumberFormat="1" applyFont="1" applyAlignment="1">
      <alignment horizontal="center"/>
    </xf>
    <xf numFmtId="192" fontId="18" fillId="0" borderId="0" xfId="7" applyNumberFormat="1" applyFont="1"/>
    <xf numFmtId="4" fontId="3" fillId="0" borderId="77" xfId="7" applyNumberFormat="1" applyBorder="1" applyAlignment="1">
      <alignment horizontal="center" vertical="center" wrapText="1"/>
    </xf>
    <xf numFmtId="4" fontId="3" fillId="0" borderId="55" xfId="7" applyNumberFormat="1" applyBorder="1" applyAlignment="1">
      <alignment horizontal="center" vertical="center" wrapText="1"/>
    </xf>
    <xf numFmtId="4" fontId="3" fillId="0" borderId="84" xfId="7" applyNumberFormat="1" applyBorder="1" applyAlignment="1">
      <alignment horizontal="center" vertical="center" wrapText="1"/>
    </xf>
    <xf numFmtId="10" fontId="3" fillId="0" borderId="54" xfId="2" applyNumberFormat="1" applyFont="1" applyFill="1" applyBorder="1" applyAlignment="1" applyProtection="1">
      <alignment horizontal="center" vertical="center" wrapText="1"/>
    </xf>
    <xf numFmtId="0" fontId="3" fillId="0" borderId="9" xfId="7" applyBorder="1" applyAlignment="1">
      <alignment vertical="center" wrapText="1"/>
    </xf>
    <xf numFmtId="0" fontId="3" fillId="0" borderId="15" xfId="7" applyBorder="1" applyAlignment="1">
      <alignment vertical="center" wrapText="1"/>
    </xf>
    <xf numFmtId="4" fontId="3" fillId="0" borderId="54" xfId="7" applyNumberFormat="1" applyBorder="1" applyAlignment="1">
      <alignment horizontal="center" vertical="center" wrapText="1"/>
    </xf>
    <xf numFmtId="4" fontId="3" fillId="0" borderId="55" xfId="7" applyNumberFormat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wrapText="1"/>
    </xf>
    <xf numFmtId="0" fontId="0" fillId="0" borderId="7" xfId="0" applyBorder="1" applyAlignment="1">
      <alignment horizontal="left" vertical="center" wrapText="1" indent="1"/>
    </xf>
    <xf numFmtId="0" fontId="0" fillId="0" borderId="7" xfId="0" applyBorder="1" applyAlignment="1">
      <alignment horizontal="left" vertical="center" inden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64" xfId="0" applyBorder="1" applyAlignment="1">
      <alignment vertical="center"/>
    </xf>
    <xf numFmtId="0" fontId="3" fillId="0" borderId="7" xfId="7" applyBorder="1" applyAlignment="1">
      <alignment horizontal="left" vertical="center" wrapText="1" indent="1"/>
    </xf>
    <xf numFmtId="4" fontId="3" fillId="27" borderId="51" xfId="7" applyNumberFormat="1" applyFill="1" applyBorder="1" applyAlignment="1" applyProtection="1">
      <alignment horizontal="center" vertical="center" wrapText="1"/>
      <protection locked="0"/>
    </xf>
    <xf numFmtId="4" fontId="3" fillId="27" borderId="55" xfId="7" applyNumberFormat="1" applyFill="1" applyBorder="1" applyAlignment="1" applyProtection="1">
      <alignment horizontal="center" vertical="center" wrapText="1"/>
      <protection locked="0"/>
    </xf>
    <xf numFmtId="0" fontId="3" fillId="31" borderId="33" xfId="7" applyFill="1" applyBorder="1" applyAlignment="1">
      <alignment horizontal="right" vertical="center" wrapText="1"/>
    </xf>
    <xf numFmtId="0" fontId="3" fillId="0" borderId="16" xfId="7" applyBorder="1" applyAlignment="1">
      <alignment horizontal="right" vertical="center" wrapText="1"/>
    </xf>
    <xf numFmtId="9" fontId="10" fillId="0" borderId="0" xfId="2" applyFont="1" applyFill="1" applyBorder="1"/>
    <xf numFmtId="2" fontId="10" fillId="0" borderId="0" xfId="2" applyNumberFormat="1" applyFont="1" applyFill="1" applyBorder="1"/>
    <xf numFmtId="165" fontId="10" fillId="0" borderId="0" xfId="1" applyFont="1" applyFill="1" applyBorder="1"/>
    <xf numFmtId="169" fontId="10" fillId="0" borderId="0" xfId="1" applyNumberFormat="1" applyFont="1" applyFill="1" applyBorder="1" applyAlignment="1">
      <alignment horizontal="center"/>
    </xf>
    <xf numFmtId="165" fontId="10" fillId="0" borderId="0" xfId="1" applyFont="1" applyFill="1" applyBorder="1" applyProtection="1">
      <protection locked="0"/>
    </xf>
    <xf numFmtId="9" fontId="10" fillId="0" borderId="0" xfId="2" applyFont="1" applyFill="1" applyBorder="1" applyAlignment="1">
      <alignment horizontal="center"/>
    </xf>
    <xf numFmtId="10" fontId="10" fillId="0" borderId="0" xfId="2" applyNumberFormat="1" applyFont="1" applyFill="1" applyBorder="1"/>
    <xf numFmtId="175" fontId="10" fillId="0" borderId="0" xfId="1" applyNumberFormat="1" applyFont="1" applyFill="1" applyBorder="1" applyAlignment="1" applyProtection="1">
      <alignment horizontal="center"/>
    </xf>
    <xf numFmtId="9" fontId="10" fillId="0" borderId="0" xfId="2" applyFont="1" applyFill="1" applyBorder="1" applyAlignment="1">
      <alignment horizontal="center" vertical="center"/>
    </xf>
    <xf numFmtId="165" fontId="0" fillId="2" borderId="7" xfId="5" applyFont="1" applyFill="1" applyBorder="1" applyAlignment="1" applyProtection="1">
      <alignment vertical="center"/>
    </xf>
    <xf numFmtId="0" fontId="4" fillId="0" borderId="40" xfId="7" applyFont="1" applyBorder="1" applyAlignment="1">
      <alignment horizontal="right" vertical="center" wrapText="1"/>
    </xf>
    <xf numFmtId="0" fontId="26" fillId="0" borderId="7" xfId="12" applyFont="1" applyBorder="1" applyAlignment="1">
      <alignment horizontal="center" vertical="center"/>
    </xf>
    <xf numFmtId="0" fontId="26" fillId="0" borderId="0" xfId="12" quotePrefix="1" applyFont="1" applyAlignment="1">
      <alignment horizontal="left"/>
    </xf>
    <xf numFmtId="0" fontId="26" fillId="0" borderId="0" xfId="12" applyFont="1" applyAlignment="1">
      <alignment horizontal="center"/>
    </xf>
    <xf numFmtId="0" fontId="26" fillId="0" borderId="1" xfId="12" quotePrefix="1" applyFont="1" applyBorder="1" applyAlignment="1">
      <alignment horizontal="left"/>
    </xf>
    <xf numFmtId="0" fontId="26" fillId="0" borderId="2" xfId="12" applyFont="1" applyBorder="1"/>
    <xf numFmtId="0" fontId="26" fillId="0" borderId="2" xfId="12" applyFont="1" applyBorder="1" applyAlignment="1">
      <alignment horizontal="center"/>
    </xf>
    <xf numFmtId="0" fontId="26" fillId="0" borderId="3" xfId="12" applyFont="1" applyBorder="1" applyAlignment="1">
      <alignment horizontal="center"/>
    </xf>
    <xf numFmtId="0" fontId="26" fillId="0" borderId="33" xfId="12" applyFont="1" applyBorder="1"/>
    <xf numFmtId="0" fontId="26" fillId="0" borderId="17" xfId="12" applyFont="1" applyBorder="1"/>
    <xf numFmtId="0" fontId="20" fillId="0" borderId="1" xfId="12" applyFont="1" applyBorder="1" applyAlignment="1">
      <alignment horizontal="center"/>
    </xf>
    <xf numFmtId="0" fontId="20" fillId="0" borderId="2" xfId="12" applyFont="1" applyBorder="1" applyAlignment="1">
      <alignment horizontal="center"/>
    </xf>
    <xf numFmtId="0" fontId="20" fillId="0" borderId="18" xfId="12" applyFont="1" applyBorder="1" applyAlignment="1">
      <alignment horizontal="center" vertical="top" wrapText="1"/>
    </xf>
    <xf numFmtId="0" fontId="20" fillId="0" borderId="18" xfId="12" applyFont="1" applyBorder="1" applyAlignment="1">
      <alignment horizontal="center"/>
    </xf>
    <xf numFmtId="0" fontId="20" fillId="0" borderId="76" xfId="12" applyFont="1" applyBorder="1" applyAlignment="1">
      <alignment horizontal="center"/>
    </xf>
    <xf numFmtId="0" fontId="20" fillId="0" borderId="100" xfId="12" applyFont="1" applyBorder="1" applyAlignment="1">
      <alignment horizontal="center"/>
    </xf>
    <xf numFmtId="0" fontId="20" fillId="0" borderId="33" xfId="12" applyFont="1" applyBorder="1" applyAlignment="1">
      <alignment horizontal="center"/>
    </xf>
    <xf numFmtId="0" fontId="20" fillId="0" borderId="0" xfId="12" applyFont="1" applyAlignment="1">
      <alignment horizontal="center"/>
    </xf>
    <xf numFmtId="0" fontId="20" fillId="0" borderId="55" xfId="12" applyFont="1" applyBorder="1" applyAlignment="1">
      <alignment horizontal="center" vertical="top" wrapText="1"/>
    </xf>
    <xf numFmtId="0" fontId="3" fillId="0" borderId="55" xfId="7" applyBorder="1" applyAlignment="1">
      <alignment horizontal="center"/>
    </xf>
    <xf numFmtId="0" fontId="3" fillId="0" borderId="52" xfId="7" applyBorder="1" applyAlignment="1">
      <alignment horizontal="center"/>
    </xf>
    <xf numFmtId="0" fontId="20" fillId="0" borderId="101" xfId="12" applyFont="1" applyBorder="1" applyAlignment="1">
      <alignment horizontal="center"/>
    </xf>
    <xf numFmtId="0" fontId="20" fillId="0" borderId="55" xfId="7" applyFont="1" applyBorder="1" applyAlignment="1">
      <alignment horizontal="center" vertical="top" wrapText="1"/>
    </xf>
    <xf numFmtId="0" fontId="18" fillId="0" borderId="55" xfId="7" applyFont="1" applyBorder="1" applyAlignment="1">
      <alignment horizontal="center"/>
    </xf>
    <xf numFmtId="0" fontId="20" fillId="0" borderId="55" xfId="7" applyFont="1" applyBorder="1" applyAlignment="1">
      <alignment horizontal="center"/>
    </xf>
    <xf numFmtId="0" fontId="20" fillId="0" borderId="34" xfId="12" applyFont="1" applyBorder="1" applyAlignment="1">
      <alignment horizontal="center"/>
    </xf>
    <xf numFmtId="0" fontId="20" fillId="0" borderId="25" xfId="12" applyFont="1" applyBorder="1" applyAlignment="1">
      <alignment horizontal="center"/>
    </xf>
    <xf numFmtId="0" fontId="18" fillId="0" borderId="96" xfId="7" applyFont="1" applyBorder="1" applyAlignment="1">
      <alignment horizontal="center" vertical="top" wrapText="1"/>
    </xf>
    <xf numFmtId="0" fontId="18" fillId="0" borderId="96" xfId="7" applyFont="1" applyBorder="1" applyAlignment="1">
      <alignment horizontal="center"/>
    </xf>
    <xf numFmtId="0" fontId="20" fillId="0" borderId="96" xfId="7" applyFont="1" applyBorder="1" applyAlignment="1">
      <alignment horizontal="center"/>
    </xf>
    <xf numFmtId="0" fontId="18" fillId="0" borderId="81" xfId="7" applyFont="1" applyBorder="1" applyAlignment="1">
      <alignment horizontal="center"/>
    </xf>
    <xf numFmtId="0" fontId="20" fillId="0" borderId="99" xfId="12" applyFont="1" applyBorder="1" applyAlignment="1">
      <alignment horizontal="center"/>
    </xf>
    <xf numFmtId="0" fontId="18" fillId="0" borderId="50" xfId="12" applyFont="1" applyBorder="1" applyAlignment="1">
      <alignment horizontal="center"/>
    </xf>
    <xf numFmtId="0" fontId="18" fillId="0" borderId="29" xfId="12" applyFont="1" applyBorder="1"/>
    <xf numFmtId="0" fontId="18" fillId="0" borderId="51" xfId="12" applyFont="1" applyBorder="1" applyAlignment="1">
      <alignment horizontal="center"/>
    </xf>
    <xf numFmtId="182" fontId="18" fillId="0" borderId="51" xfId="12" applyNumberFormat="1" applyFont="1" applyBorder="1"/>
    <xf numFmtId="4" fontId="18" fillId="0" borderId="51" xfId="12" applyNumberFormat="1" applyFont="1" applyBorder="1"/>
    <xf numFmtId="182" fontId="18" fillId="0" borderId="53" xfId="12" applyNumberFormat="1" applyFont="1" applyBorder="1"/>
    <xf numFmtId="4" fontId="18" fillId="0" borderId="104" xfId="12" applyNumberFormat="1" applyFont="1" applyBorder="1"/>
    <xf numFmtId="0" fontId="18" fillId="0" borderId="15" xfId="12" applyFont="1" applyBorder="1" applyAlignment="1">
      <alignment horizontal="center"/>
    </xf>
    <xf numFmtId="0" fontId="18" fillId="0" borderId="40" xfId="12" applyFont="1" applyBorder="1"/>
    <xf numFmtId="0" fontId="18" fillId="0" borderId="7" xfId="12" applyFont="1" applyBorder="1" applyAlignment="1">
      <alignment horizontal="center"/>
    </xf>
    <xf numFmtId="4" fontId="18" fillId="0" borderId="105" xfId="12" applyNumberFormat="1" applyFont="1" applyBorder="1"/>
    <xf numFmtId="182" fontId="18" fillId="0" borderId="7" xfId="12" applyNumberFormat="1" applyFont="1" applyBorder="1"/>
    <xf numFmtId="4" fontId="18" fillId="0" borderId="7" xfId="12" applyNumberFormat="1" applyFont="1" applyBorder="1"/>
    <xf numFmtId="182" fontId="40" fillId="0" borderId="7" xfId="12" applyNumberFormat="1" applyFont="1" applyBorder="1"/>
    <xf numFmtId="182" fontId="40" fillId="0" borderId="8" xfId="12" applyNumberFormat="1" applyFont="1" applyBorder="1"/>
    <xf numFmtId="4" fontId="18" fillId="0" borderId="106" xfId="12" applyNumberFormat="1" applyFont="1" applyBorder="1"/>
    <xf numFmtId="182" fontId="37" fillId="0" borderId="7" xfId="12" applyNumberFormat="1" applyFont="1" applyBorder="1"/>
    <xf numFmtId="182" fontId="37" fillId="0" borderId="8" xfId="12" applyNumberFormat="1" applyFont="1" applyBorder="1"/>
    <xf numFmtId="168" fontId="37" fillId="0" borderId="7" xfId="2" applyNumberFormat="1" applyFont="1" applyFill="1" applyBorder="1" applyAlignment="1" applyProtection="1">
      <alignment horizontal="center"/>
    </xf>
    <xf numFmtId="168" fontId="37" fillId="0" borderId="8" xfId="2" applyNumberFormat="1" applyFont="1" applyBorder="1" applyAlignment="1" applyProtection="1">
      <alignment horizontal="center"/>
    </xf>
    <xf numFmtId="4" fontId="37" fillId="0" borderId="7" xfId="12" applyNumberFormat="1" applyFont="1" applyBorder="1"/>
    <xf numFmtId="0" fontId="18" fillId="0" borderId="45" xfId="12" applyFont="1" applyBorder="1"/>
    <xf numFmtId="0" fontId="18" fillId="0" borderId="57" xfId="12" applyFont="1" applyBorder="1" applyAlignment="1">
      <alignment horizontal="center"/>
    </xf>
    <xf numFmtId="182" fontId="37" fillId="0" borderId="57" xfId="12" applyNumberFormat="1" applyFont="1" applyBorder="1"/>
    <xf numFmtId="4" fontId="18" fillId="0" borderId="57" xfId="12" applyNumberFormat="1" applyFont="1" applyBorder="1"/>
    <xf numFmtId="182" fontId="18" fillId="0" borderId="57" xfId="12" applyNumberFormat="1" applyFont="1" applyBorder="1"/>
    <xf numFmtId="182" fontId="40" fillId="0" borderId="57" xfId="12" applyNumberFormat="1" applyFont="1" applyBorder="1"/>
    <xf numFmtId="182" fontId="18" fillId="0" borderId="44" xfId="12" applyNumberFormat="1" applyFont="1" applyBorder="1"/>
    <xf numFmtId="4" fontId="18" fillId="0" borderId="101" xfId="12" applyNumberFormat="1" applyFont="1" applyBorder="1"/>
    <xf numFmtId="4" fontId="18" fillId="14" borderId="57" xfId="12" applyNumberFormat="1" applyFont="1" applyFill="1" applyBorder="1"/>
    <xf numFmtId="4" fontId="18" fillId="0" borderId="108" xfId="12" applyNumberFormat="1" applyFont="1" applyBorder="1"/>
    <xf numFmtId="0" fontId="18" fillId="0" borderId="14" xfId="12" applyFont="1" applyBorder="1" applyAlignment="1">
      <alignment horizontal="center"/>
    </xf>
    <xf numFmtId="0" fontId="18" fillId="0" borderId="37" xfId="12" applyFont="1" applyBorder="1"/>
    <xf numFmtId="0" fontId="18" fillId="0" borderId="4" xfId="12" applyFont="1" applyBorder="1" applyAlignment="1">
      <alignment horizontal="center"/>
    </xf>
    <xf numFmtId="182" fontId="18" fillId="0" borderId="4" xfId="12" applyNumberFormat="1" applyFont="1" applyBorder="1"/>
    <xf numFmtId="4" fontId="18" fillId="0" borderId="4" xfId="12" applyNumberFormat="1" applyFont="1" applyBorder="1"/>
    <xf numFmtId="182" fontId="18" fillId="0" borderId="5" xfId="12" applyNumberFormat="1" applyFont="1" applyBorder="1"/>
    <xf numFmtId="4" fontId="18" fillId="0" borderId="107" xfId="12" applyNumberFormat="1" applyFont="1" applyBorder="1"/>
    <xf numFmtId="0" fontId="18" fillId="0" borderId="56" xfId="12" applyFont="1" applyBorder="1" applyAlignment="1">
      <alignment horizontal="center" vertical="center"/>
    </xf>
    <xf numFmtId="0" fontId="20" fillId="0" borderId="26" xfId="12" applyFont="1" applyBorder="1" applyAlignment="1">
      <alignment vertical="center"/>
    </xf>
    <xf numFmtId="0" fontId="18" fillId="0" borderId="22" xfId="12" applyFont="1" applyBorder="1" applyAlignment="1">
      <alignment vertical="center"/>
    </xf>
    <xf numFmtId="0" fontId="18" fillId="0" borderId="24" xfId="12" applyFont="1" applyBorder="1" applyAlignment="1">
      <alignment vertical="center"/>
    </xf>
    <xf numFmtId="182" fontId="18" fillId="0" borderId="20" xfId="12" applyNumberFormat="1" applyFont="1" applyBorder="1" applyAlignment="1">
      <alignment vertical="center"/>
    </xf>
    <xf numFmtId="4" fontId="20" fillId="0" borderId="20" xfId="12" applyNumberFormat="1" applyFont="1" applyBorder="1" applyAlignment="1">
      <alignment vertical="center"/>
    </xf>
    <xf numFmtId="182" fontId="20" fillId="0" borderId="20" xfId="12" applyNumberFormat="1" applyFont="1" applyBorder="1" applyAlignment="1">
      <alignment vertical="center"/>
    </xf>
    <xf numFmtId="182" fontId="20" fillId="0" borderId="26" xfId="12" applyNumberFormat="1" applyFont="1" applyBorder="1" applyAlignment="1">
      <alignment vertical="center"/>
    </xf>
    <xf numFmtId="4" fontId="20" fillId="0" borderId="98" xfId="12" applyNumberFormat="1" applyFont="1" applyBorder="1" applyAlignment="1">
      <alignment vertical="center"/>
    </xf>
    <xf numFmtId="0" fontId="18" fillId="0" borderId="33" xfId="12" applyFont="1" applyBorder="1"/>
    <xf numFmtId="0" fontId="18" fillId="0" borderId="0" xfId="12" applyFont="1"/>
    <xf numFmtId="0" fontId="18" fillId="0" borderId="17" xfId="12" applyFont="1" applyBorder="1"/>
    <xf numFmtId="184" fontId="18" fillId="0" borderId="0" xfId="12" applyNumberFormat="1" applyFont="1"/>
    <xf numFmtId="184" fontId="18" fillId="0" borderId="17" xfId="12" applyNumberFormat="1" applyFont="1" applyBorder="1"/>
    <xf numFmtId="0" fontId="18" fillId="27" borderId="33" xfId="12" applyFont="1" applyFill="1" applyBorder="1"/>
    <xf numFmtId="0" fontId="18" fillId="27" borderId="0" xfId="12" applyFont="1" applyFill="1"/>
    <xf numFmtId="0" fontId="18" fillId="0" borderId="0" xfId="12" applyFont="1" applyAlignment="1">
      <alignment horizontal="right"/>
    </xf>
    <xf numFmtId="0" fontId="18" fillId="0" borderId="34" xfId="12" applyFont="1" applyBorder="1"/>
    <xf numFmtId="0" fontId="18" fillId="0" borderId="25" xfId="12" applyFont="1" applyBorder="1"/>
    <xf numFmtId="0" fontId="18" fillId="0" borderId="35" xfId="12" applyFont="1" applyBorder="1"/>
    <xf numFmtId="4" fontId="3" fillId="0" borderId="7" xfId="7" applyNumberFormat="1" applyBorder="1" applyAlignment="1" applyProtection="1">
      <alignment horizontal="center" vertical="center" wrapText="1"/>
      <protection locked="0"/>
    </xf>
    <xf numFmtId="4" fontId="3" fillId="32" borderId="7" xfId="7" applyNumberFormat="1" applyFill="1" applyBorder="1" applyAlignment="1">
      <alignment horizontal="center" vertical="center" wrapText="1"/>
    </xf>
    <xf numFmtId="43" fontId="0" fillId="0" borderId="0" xfId="0" applyNumberFormat="1"/>
    <xf numFmtId="0" fontId="0" fillId="0" borderId="102" xfId="0" applyBorder="1"/>
    <xf numFmtId="165" fontId="0" fillId="0" borderId="0" xfId="1" applyFont="1" applyBorder="1" applyAlignment="1" applyProtection="1">
      <alignment vertical="center"/>
    </xf>
    <xf numFmtId="165" fontId="2" fillId="0" borderId="0" xfId="1" applyFont="1" applyBorder="1" applyAlignment="1" applyProtection="1">
      <alignment vertical="center"/>
    </xf>
    <xf numFmtId="165" fontId="0" fillId="0" borderId="102" xfId="1" applyFont="1" applyBorder="1" applyAlignment="1" applyProtection="1">
      <alignment vertical="center"/>
    </xf>
    <xf numFmtId="0" fontId="4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left" vertical="center"/>
    </xf>
    <xf numFmtId="0" fontId="2" fillId="7" borderId="22" xfId="0" applyFont="1" applyFill="1" applyBorder="1" applyAlignment="1">
      <alignment horizontal="left" vertical="center"/>
    </xf>
    <xf numFmtId="0" fontId="2" fillId="7" borderId="23" xfId="0" applyFont="1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0" fillId="0" borderId="7" xfId="0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42" xfId="0" applyFont="1" applyBorder="1" applyAlignment="1">
      <alignment horizontal="left"/>
    </xf>
    <xf numFmtId="0" fontId="0" fillId="8" borderId="7" xfId="0" applyFill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9" fillId="0" borderId="0" xfId="3" applyFont="1" applyAlignment="1">
      <alignment horizontal="left" vertical="top" wrapText="1"/>
    </xf>
    <xf numFmtId="0" fontId="3" fillId="0" borderId="0" xfId="3" applyFont="1" applyAlignment="1">
      <alignment horizontal="left" vertical="center"/>
    </xf>
    <xf numFmtId="0" fontId="4" fillId="0" borderId="21" xfId="3" applyFont="1" applyBorder="1" applyAlignment="1">
      <alignment horizontal="center" vertical="center" wrapText="1"/>
    </xf>
    <xf numFmtId="0" fontId="4" fillId="0" borderId="22" xfId="3" applyFont="1" applyBorder="1" applyAlignment="1">
      <alignment horizontal="center" vertical="center" wrapText="1"/>
    </xf>
    <xf numFmtId="0" fontId="4" fillId="0" borderId="23" xfId="3" applyFont="1" applyBorder="1" applyAlignment="1">
      <alignment horizontal="center" vertical="center" wrapText="1"/>
    </xf>
    <xf numFmtId="0" fontId="7" fillId="0" borderId="21" xfId="3" applyFont="1" applyBorder="1" applyAlignment="1">
      <alignment horizontal="left" vertical="center" wrapText="1"/>
    </xf>
    <xf numFmtId="0" fontId="7" fillId="0" borderId="22" xfId="3" applyFont="1" applyBorder="1" applyAlignment="1">
      <alignment horizontal="left" vertical="center" wrapText="1"/>
    </xf>
    <xf numFmtId="0" fontId="7" fillId="0" borderId="24" xfId="3" applyFont="1" applyBorder="1" applyAlignment="1">
      <alignment horizontal="left" vertical="center" wrapText="1"/>
    </xf>
    <xf numFmtId="0" fontId="8" fillId="0" borderId="0" xfId="3" applyFont="1" applyAlignment="1">
      <alignment horizontal="center" vertical="center"/>
    </xf>
    <xf numFmtId="0" fontId="2" fillId="6" borderId="21" xfId="4" applyFont="1" applyFill="1" applyBorder="1" applyAlignment="1">
      <alignment horizontal="center" vertical="center" wrapText="1"/>
    </xf>
    <xf numFmtId="0" fontId="2" fillId="6" borderId="24" xfId="4" applyFont="1" applyFill="1" applyBorder="1" applyAlignment="1">
      <alignment horizontal="center" vertical="center" wrapText="1"/>
    </xf>
    <xf numFmtId="0" fontId="6" fillId="0" borderId="0" xfId="3" applyFont="1" applyAlignment="1">
      <alignment horizontal="left" vertical="top"/>
    </xf>
    <xf numFmtId="0" fontId="19" fillId="0" borderId="8" xfId="7" applyFont="1" applyBorder="1" applyAlignment="1">
      <alignment horizontal="left" wrapText="1"/>
    </xf>
    <xf numFmtId="0" fontId="19" fillId="0" borderId="40" xfId="7" applyFont="1" applyBorder="1" applyAlignment="1">
      <alignment horizontal="left" wrapText="1"/>
    </xf>
    <xf numFmtId="0" fontId="19" fillId="0" borderId="41" xfId="7" applyFont="1" applyBorder="1" applyAlignment="1">
      <alignment horizontal="left" wrapText="1"/>
    </xf>
    <xf numFmtId="0" fontId="19" fillId="0" borderId="8" xfId="7" applyFont="1" applyBorder="1" applyAlignment="1">
      <alignment horizontal="left"/>
    </xf>
    <xf numFmtId="0" fontId="19" fillId="0" borderId="29" xfId="7" applyFont="1" applyBorder="1" applyAlignment="1">
      <alignment horizontal="left"/>
    </xf>
    <xf numFmtId="0" fontId="24" fillId="0" borderId="40" xfId="7" applyFont="1" applyBorder="1"/>
    <xf numFmtId="176" fontId="24" fillId="0" borderId="8" xfId="7" applyNumberFormat="1" applyFont="1" applyBorder="1" applyAlignment="1">
      <alignment horizontal="left"/>
    </xf>
    <xf numFmtId="176" fontId="24" fillId="0" borderId="41" xfId="7" applyNumberFormat="1" applyFont="1" applyBorder="1" applyAlignment="1">
      <alignment horizontal="left"/>
    </xf>
    <xf numFmtId="0" fontId="25" fillId="0" borderId="13" xfId="7" applyFont="1" applyBorder="1" applyAlignment="1">
      <alignment horizontal="center" vertical="center"/>
    </xf>
    <xf numFmtId="0" fontId="3" fillId="0" borderId="77" xfId="7" applyBorder="1" applyAlignment="1">
      <alignment horizontal="center" vertical="center"/>
    </xf>
    <xf numFmtId="0" fontId="3" fillId="0" borderId="80" xfId="7" applyBorder="1" applyAlignment="1">
      <alignment horizontal="center" vertical="center"/>
    </xf>
    <xf numFmtId="0" fontId="25" fillId="0" borderId="76" xfId="7" applyFont="1" applyBorder="1" applyAlignment="1">
      <alignment horizontal="center" vertical="center"/>
    </xf>
    <xf numFmtId="0" fontId="3" fillId="0" borderId="2" xfId="7" applyBorder="1" applyAlignment="1">
      <alignment horizontal="center" vertical="center"/>
    </xf>
    <xf numFmtId="0" fontId="3" fillId="0" borderId="48" xfId="7" applyBorder="1" applyAlignment="1">
      <alignment horizontal="center" vertical="center"/>
    </xf>
    <xf numFmtId="0" fontId="26" fillId="0" borderId="53" xfId="7" applyFont="1" applyBorder="1" applyAlignment="1">
      <alignment horizontal="center" vertical="center"/>
    </xf>
    <xf numFmtId="0" fontId="26" fillId="0" borderId="29" xfId="7" applyFont="1" applyBorder="1" applyAlignment="1">
      <alignment horizontal="center" vertical="center"/>
    </xf>
    <xf numFmtId="0" fontId="26" fillId="0" borderId="47" xfId="7" applyFont="1" applyBorder="1" applyAlignment="1">
      <alignment horizontal="center" vertical="center"/>
    </xf>
    <xf numFmtId="177" fontId="19" fillId="0" borderId="8" xfId="7" applyNumberFormat="1" applyFont="1" applyBorder="1" applyAlignment="1">
      <alignment horizontal="left"/>
    </xf>
    <xf numFmtId="177" fontId="19" fillId="0" borderId="41" xfId="7" applyNumberFormat="1" applyFont="1" applyBorder="1" applyAlignment="1">
      <alignment horizontal="left"/>
    </xf>
    <xf numFmtId="0" fontId="22" fillId="0" borderId="1" xfId="7" applyFont="1" applyBorder="1" applyAlignment="1">
      <alignment horizontal="center" vertical="center"/>
    </xf>
    <xf numFmtId="0" fontId="23" fillId="0" borderId="2" xfId="7" applyFont="1" applyBorder="1" applyAlignment="1">
      <alignment horizontal="center" vertical="center"/>
    </xf>
    <xf numFmtId="0" fontId="23" fillId="0" borderId="3" xfId="7" applyFont="1" applyBorder="1" applyAlignment="1">
      <alignment horizontal="center" vertical="center"/>
    </xf>
    <xf numFmtId="0" fontId="23" fillId="0" borderId="33" xfId="7" applyFont="1" applyBorder="1" applyAlignment="1">
      <alignment horizontal="center" vertical="center"/>
    </xf>
    <xf numFmtId="0" fontId="23" fillId="0" borderId="0" xfId="7" applyFont="1" applyAlignment="1">
      <alignment horizontal="center" vertical="center"/>
    </xf>
    <xf numFmtId="0" fontId="23" fillId="0" borderId="17" xfId="7" applyFont="1" applyBorder="1" applyAlignment="1">
      <alignment horizontal="center" vertical="center"/>
    </xf>
    <xf numFmtId="0" fontId="23" fillId="0" borderId="34" xfId="7" applyFont="1" applyBorder="1" applyAlignment="1">
      <alignment horizontal="center" vertical="center"/>
    </xf>
    <xf numFmtId="0" fontId="23" fillId="0" borderId="25" xfId="7" applyFont="1" applyBorder="1" applyAlignment="1">
      <alignment horizontal="center" vertical="center"/>
    </xf>
    <xf numFmtId="0" fontId="23" fillId="0" borderId="35" xfId="7" applyFont="1" applyBorder="1" applyAlignment="1">
      <alignment horizontal="center" vertical="center"/>
    </xf>
    <xf numFmtId="0" fontId="19" fillId="0" borderId="77" xfId="7" applyFont="1" applyBorder="1" applyAlignment="1">
      <alignment horizontal="left" vertical="center"/>
    </xf>
    <xf numFmtId="0" fontId="24" fillId="0" borderId="50" xfId="7" applyFont="1" applyBorder="1" applyAlignment="1">
      <alignment horizontal="left" vertical="center"/>
    </xf>
    <xf numFmtId="0" fontId="19" fillId="0" borderId="44" xfId="7" applyFont="1" applyBorder="1" applyAlignment="1">
      <alignment horizontal="left" vertical="top" wrapText="1"/>
    </xf>
    <xf numFmtId="0" fontId="24" fillId="0" borderId="45" xfId="7" applyFont="1" applyBorder="1" applyAlignment="1">
      <alignment horizontal="left" vertical="top" wrapText="1"/>
    </xf>
    <xf numFmtId="0" fontId="24" fillId="0" borderId="79" xfId="7" applyFont="1" applyBorder="1" applyAlignment="1">
      <alignment horizontal="left" vertical="top" wrapText="1"/>
    </xf>
    <xf numFmtId="0" fontId="24" fillId="0" borderId="53" xfId="7" applyFont="1" applyBorder="1" applyAlignment="1">
      <alignment horizontal="left" vertical="top" wrapText="1"/>
    </xf>
    <xf numFmtId="0" fontId="24" fillId="0" borderId="29" xfId="7" applyFont="1" applyBorder="1" applyAlignment="1">
      <alignment horizontal="left" vertical="top" wrapText="1"/>
    </xf>
    <xf numFmtId="0" fontId="24" fillId="0" borderId="83" xfId="7" applyFont="1" applyBorder="1" applyAlignment="1">
      <alignment horizontal="left" vertical="top" wrapText="1"/>
    </xf>
    <xf numFmtId="176" fontId="19" fillId="0" borderId="8" xfId="7" quotePrefix="1" applyNumberFormat="1" applyFont="1" applyBorder="1" applyAlignment="1">
      <alignment horizontal="left" vertical="center"/>
    </xf>
    <xf numFmtId="176" fontId="19" fillId="0" borderId="40" xfId="7" applyNumberFormat="1" applyFont="1" applyBorder="1" applyAlignment="1">
      <alignment horizontal="left" vertical="center"/>
    </xf>
    <xf numFmtId="176" fontId="19" fillId="0" borderId="8" xfId="7" quotePrefix="1" applyNumberFormat="1" applyFont="1" applyBorder="1" applyAlignment="1">
      <alignment horizontal="left"/>
    </xf>
    <xf numFmtId="176" fontId="19" fillId="0" borderId="41" xfId="7" applyNumberFormat="1" applyFont="1" applyBorder="1" applyAlignment="1">
      <alignment horizontal="left"/>
    </xf>
    <xf numFmtId="0" fontId="19" fillId="0" borderId="76" xfId="7" applyFont="1" applyBorder="1" applyAlignment="1">
      <alignment horizontal="center" wrapText="1"/>
    </xf>
    <xf numFmtId="0" fontId="19" fillId="0" borderId="2" xfId="7" applyFont="1" applyBorder="1" applyAlignment="1">
      <alignment horizontal="center" wrapText="1"/>
    </xf>
    <xf numFmtId="0" fontId="19" fillId="0" borderId="52" xfId="7" applyFont="1" applyBorder="1" applyAlignment="1">
      <alignment horizontal="center" wrapText="1"/>
    </xf>
    <xf numFmtId="0" fontId="19" fillId="0" borderId="0" xfId="7" applyFont="1" applyAlignment="1">
      <alignment horizontal="center" wrapText="1"/>
    </xf>
    <xf numFmtId="0" fontId="20" fillId="0" borderId="1" xfId="7" applyFont="1" applyBorder="1" applyAlignment="1">
      <alignment horizontal="center"/>
    </xf>
    <xf numFmtId="0" fontId="3" fillId="0" borderId="48" xfId="7" applyBorder="1" applyAlignment="1">
      <alignment horizontal="center"/>
    </xf>
    <xf numFmtId="0" fontId="20" fillId="0" borderId="28" xfId="7" applyFont="1" applyBorder="1" applyAlignment="1">
      <alignment horizontal="center"/>
    </xf>
    <xf numFmtId="0" fontId="3" fillId="0" borderId="47" xfId="7" applyBorder="1" applyAlignment="1">
      <alignment horizontal="center"/>
    </xf>
    <xf numFmtId="0" fontId="19" fillId="0" borderId="52" xfId="7" applyFont="1" applyBorder="1" applyAlignment="1">
      <alignment horizontal="center" vertical="center"/>
    </xf>
    <xf numFmtId="0" fontId="19" fillId="0" borderId="81" xfId="7" applyFont="1" applyBorder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19" fillId="0" borderId="25" xfId="7" applyFont="1" applyBorder="1" applyAlignment="1">
      <alignment horizontal="center" vertical="center"/>
    </xf>
    <xf numFmtId="14" fontId="19" fillId="0" borderId="8" xfId="7" applyNumberFormat="1" applyFont="1" applyBorder="1" applyAlignment="1">
      <alignment horizontal="left"/>
    </xf>
    <xf numFmtId="14" fontId="19" fillId="0" borderId="41" xfId="7" applyNumberFormat="1" applyFont="1" applyBorder="1" applyAlignment="1">
      <alignment horizontal="left"/>
    </xf>
    <xf numFmtId="0" fontId="20" fillId="29" borderId="28" xfId="7" applyFont="1" applyFill="1" applyBorder="1" applyAlignment="1">
      <alignment horizontal="center"/>
    </xf>
    <xf numFmtId="0" fontId="3" fillId="29" borderId="47" xfId="7" applyFill="1" applyBorder="1" applyAlignment="1">
      <alignment horizontal="center"/>
    </xf>
    <xf numFmtId="0" fontId="19" fillId="29" borderId="0" xfId="7" applyFont="1" applyFill="1" applyAlignment="1">
      <alignment horizontal="center" vertical="center"/>
    </xf>
    <xf numFmtId="0" fontId="19" fillId="29" borderId="25" xfId="7" applyFont="1" applyFill="1" applyBorder="1" applyAlignment="1">
      <alignment horizontal="center" vertical="center"/>
    </xf>
    <xf numFmtId="176" fontId="19" fillId="9" borderId="8" xfId="7" quotePrefix="1" applyNumberFormat="1" applyFont="1" applyFill="1" applyBorder="1" applyAlignment="1">
      <alignment horizontal="left" vertical="center"/>
    </xf>
    <xf numFmtId="176" fontId="19" fillId="9" borderId="40" xfId="7" applyNumberFormat="1" applyFont="1" applyFill="1" applyBorder="1" applyAlignment="1">
      <alignment horizontal="left" vertical="center"/>
    </xf>
    <xf numFmtId="176" fontId="19" fillId="29" borderId="8" xfId="7" quotePrefix="1" applyNumberFormat="1" applyFont="1" applyFill="1" applyBorder="1" applyAlignment="1">
      <alignment horizontal="left"/>
    </xf>
    <xf numFmtId="176" fontId="19" fillId="29" borderId="41" xfId="7" applyNumberFormat="1" applyFont="1" applyFill="1" applyBorder="1" applyAlignment="1">
      <alignment horizontal="left"/>
    </xf>
    <xf numFmtId="176" fontId="24" fillId="26" borderId="8" xfId="7" applyNumberFormat="1" applyFont="1" applyFill="1" applyBorder="1" applyAlignment="1">
      <alignment horizontal="left"/>
    </xf>
    <xf numFmtId="176" fontId="24" fillId="26" borderId="41" xfId="7" applyNumberFormat="1" applyFont="1" applyFill="1" applyBorder="1" applyAlignment="1">
      <alignment horizontal="left"/>
    </xf>
    <xf numFmtId="0" fontId="19" fillId="26" borderId="8" xfId="7" applyFont="1" applyFill="1" applyBorder="1" applyAlignment="1">
      <alignment horizontal="left"/>
    </xf>
    <xf numFmtId="0" fontId="19" fillId="26" borderId="29" xfId="7" applyFont="1" applyFill="1" applyBorder="1" applyAlignment="1">
      <alignment horizontal="left"/>
    </xf>
    <xf numFmtId="0" fontId="24" fillId="26" borderId="40" xfId="7" applyFont="1" applyFill="1" applyBorder="1"/>
    <xf numFmtId="14" fontId="19" fillId="26" borderId="8" xfId="7" applyNumberFormat="1" applyFont="1" applyFill="1" applyBorder="1" applyAlignment="1">
      <alignment horizontal="left"/>
    </xf>
    <xf numFmtId="14" fontId="19" fillId="26" borderId="41" xfId="7" applyNumberFormat="1" applyFont="1" applyFill="1" applyBorder="1" applyAlignment="1">
      <alignment horizontal="left"/>
    </xf>
    <xf numFmtId="169" fontId="19" fillId="26" borderId="11" xfId="7" applyNumberFormat="1" applyFont="1" applyFill="1" applyBorder="1" applyAlignment="1">
      <alignment horizontal="center" vertical="center"/>
    </xf>
    <xf numFmtId="169" fontId="19" fillId="26" borderId="43" xfId="7" applyNumberFormat="1" applyFont="1" applyFill="1" applyBorder="1" applyAlignment="1">
      <alignment horizontal="center" vertical="center"/>
    </xf>
    <xf numFmtId="0" fontId="18" fillId="0" borderId="33" xfId="7" applyFont="1" applyBorder="1" applyAlignment="1">
      <alignment horizontal="left" vertical="center" wrapText="1"/>
    </xf>
    <xf numFmtId="0" fontId="3" fillId="0" borderId="0" xfId="7"/>
    <xf numFmtId="0" fontId="3" fillId="0" borderId="54" xfId="7" applyBorder="1"/>
    <xf numFmtId="0" fontId="3" fillId="0" borderId="34" xfId="7" applyBorder="1"/>
    <xf numFmtId="0" fontId="3" fillId="0" borderId="25" xfId="7" applyBorder="1"/>
    <xf numFmtId="0" fontId="3" fillId="0" borderId="82" xfId="7" applyBorder="1"/>
    <xf numFmtId="169" fontId="21" fillId="14" borderId="95" xfId="7" applyNumberFormat="1" applyFont="1" applyFill="1" applyBorder="1" applyAlignment="1">
      <alignment horizontal="right" vertical="center" wrapText="1"/>
    </xf>
    <xf numFmtId="169" fontId="21" fillId="14" borderId="96" xfId="7" applyNumberFormat="1" applyFont="1" applyFill="1" applyBorder="1" applyAlignment="1">
      <alignment horizontal="right" vertical="center" wrapText="1"/>
    </xf>
    <xf numFmtId="0" fontId="18" fillId="0" borderId="33" xfId="7" applyFont="1" applyBorder="1" applyAlignment="1">
      <alignment horizontal="left"/>
    </xf>
    <xf numFmtId="0" fontId="18" fillId="0" borderId="0" xfId="7" applyFont="1" applyAlignment="1">
      <alignment horizontal="left"/>
    </xf>
    <xf numFmtId="0" fontId="3" fillId="0" borderId="33" xfId="7" applyBorder="1"/>
    <xf numFmtId="180" fontId="18" fillId="0" borderId="57" xfId="7" applyNumberFormat="1" applyFont="1" applyBorder="1" applyAlignment="1">
      <alignment horizontal="right" vertical="center"/>
    </xf>
    <xf numFmtId="180" fontId="3" fillId="0" borderId="51" xfId="7" applyNumberFormat="1" applyBorder="1" applyAlignment="1">
      <alignment horizontal="right" vertical="center"/>
    </xf>
    <xf numFmtId="169" fontId="21" fillId="0" borderId="57" xfId="7" applyNumberFormat="1" applyFont="1" applyBorder="1" applyAlignment="1">
      <alignment horizontal="right" vertical="center"/>
    </xf>
    <xf numFmtId="169" fontId="21" fillId="0" borderId="51" xfId="7" applyNumberFormat="1" applyFont="1" applyBorder="1" applyAlignment="1">
      <alignment horizontal="right" vertical="center"/>
    </xf>
    <xf numFmtId="169" fontId="12" fillId="0" borderId="44" xfId="7" applyNumberFormat="1" applyFont="1" applyBorder="1" applyAlignment="1">
      <alignment horizontal="center" vertical="center"/>
    </xf>
    <xf numFmtId="169" fontId="12" fillId="0" borderId="46" xfId="7" applyNumberFormat="1" applyFont="1" applyBorder="1" applyAlignment="1">
      <alignment horizontal="center" vertical="center"/>
    </xf>
    <xf numFmtId="169" fontId="12" fillId="0" borderId="53" xfId="7" applyNumberFormat="1" applyFont="1" applyBorder="1" applyAlignment="1">
      <alignment horizontal="center" vertical="center"/>
    </xf>
    <xf numFmtId="169" fontId="12" fillId="0" borderId="47" xfId="7" applyNumberFormat="1" applyFont="1" applyBorder="1" applyAlignment="1">
      <alignment horizontal="center" vertical="center"/>
    </xf>
    <xf numFmtId="169" fontId="21" fillId="0" borderId="90" xfId="7" applyNumberFormat="1" applyFont="1" applyBorder="1" applyAlignment="1">
      <alignment horizontal="right" vertical="center"/>
    </xf>
    <xf numFmtId="0" fontId="3" fillId="0" borderId="91" xfId="7" applyBorder="1"/>
    <xf numFmtId="169" fontId="29" fillId="0" borderId="92" xfId="7" applyNumberFormat="1" applyFont="1" applyBorder="1" applyAlignment="1">
      <alignment horizontal="right" vertical="center" wrapText="1"/>
    </xf>
    <xf numFmtId="169" fontId="29" fillId="0" borderId="94" xfId="7" applyNumberFormat="1" applyFont="1" applyBorder="1" applyAlignment="1">
      <alignment horizontal="right" vertical="center" wrapText="1"/>
    </xf>
    <xf numFmtId="0" fontId="18" fillId="0" borderId="29" xfId="7" applyFont="1" applyBorder="1" applyAlignment="1">
      <alignment horizontal="left"/>
    </xf>
    <xf numFmtId="0" fontId="18" fillId="0" borderId="47" xfId="7" applyFont="1" applyBorder="1" applyAlignment="1">
      <alignment horizontal="left"/>
    </xf>
    <xf numFmtId="169" fontId="18" fillId="0" borderId="53" xfId="7" applyNumberFormat="1" applyFont="1" applyBorder="1" applyAlignment="1">
      <alignment horizontal="right"/>
    </xf>
    <xf numFmtId="169" fontId="18" fillId="0" borderId="47" xfId="7" applyNumberFormat="1" applyFont="1" applyBorder="1" applyAlignment="1">
      <alignment horizontal="right"/>
    </xf>
    <xf numFmtId="0" fontId="18" fillId="0" borderId="0" xfId="7" applyFont="1"/>
    <xf numFmtId="169" fontId="18" fillId="4" borderId="52" xfId="7" applyNumberFormat="1" applyFont="1" applyFill="1" applyBorder="1" applyAlignment="1">
      <alignment horizontal="right"/>
    </xf>
    <xf numFmtId="169" fontId="18" fillId="4" borderId="54" xfId="7" applyNumberFormat="1" applyFont="1" applyFill="1" applyBorder="1" applyAlignment="1">
      <alignment horizontal="right"/>
    </xf>
    <xf numFmtId="169" fontId="18" fillId="0" borderId="52" xfId="7" applyNumberFormat="1" applyFont="1" applyBorder="1" applyAlignment="1">
      <alignment horizontal="right"/>
    </xf>
    <xf numFmtId="169" fontId="18" fillId="0" borderId="54" xfId="7" applyNumberFormat="1" applyFont="1" applyBorder="1" applyAlignment="1">
      <alignment horizontal="right"/>
    </xf>
    <xf numFmtId="169" fontId="18" fillId="14" borderId="52" xfId="7" applyNumberFormat="1" applyFont="1" applyFill="1" applyBorder="1" applyAlignment="1">
      <alignment horizontal="right"/>
    </xf>
    <xf numFmtId="169" fontId="18" fillId="14" borderId="54" xfId="7" applyNumberFormat="1" applyFont="1" applyFill="1" applyBorder="1" applyAlignment="1">
      <alignment horizontal="right"/>
    </xf>
    <xf numFmtId="0" fontId="20" fillId="0" borderId="89" xfId="7" applyFont="1" applyBorder="1" applyAlignment="1">
      <alignment horizontal="left" wrapText="1"/>
    </xf>
    <xf numFmtId="0" fontId="20" fillId="0" borderId="45" xfId="7" applyFont="1" applyBorder="1" applyAlignment="1">
      <alignment horizontal="left" wrapText="1"/>
    </xf>
    <xf numFmtId="0" fontId="20" fillId="0" borderId="79" xfId="7" applyFont="1" applyBorder="1" applyAlignment="1">
      <alignment horizontal="left" wrapText="1"/>
    </xf>
    <xf numFmtId="0" fontId="20" fillId="0" borderId="28" xfId="7" applyFont="1" applyBorder="1" applyAlignment="1">
      <alignment horizontal="left" wrapText="1"/>
    </xf>
    <xf numFmtId="0" fontId="20" fillId="0" borderId="29" xfId="7" applyFont="1" applyBorder="1" applyAlignment="1">
      <alignment horizontal="left" wrapText="1"/>
    </xf>
    <xf numFmtId="0" fontId="20" fillId="0" borderId="83" xfId="7" applyFont="1" applyBorder="1" applyAlignment="1">
      <alignment horizontal="left" wrapText="1"/>
    </xf>
    <xf numFmtId="0" fontId="20" fillId="0" borderId="33" xfId="7" applyFont="1" applyBorder="1" applyAlignment="1">
      <alignment horizontal="left" wrapText="1"/>
    </xf>
    <xf numFmtId="0" fontId="20" fillId="0" borderId="0" xfId="7" applyFont="1" applyAlignment="1">
      <alignment horizontal="left" wrapText="1"/>
    </xf>
    <xf numFmtId="0" fontId="20" fillId="0" borderId="0" xfId="7" applyFont="1" applyAlignment="1">
      <alignment horizontal="left"/>
    </xf>
    <xf numFmtId="0" fontId="20" fillId="0" borderId="17" xfId="7" applyFont="1" applyBorder="1" applyAlignment="1">
      <alignment horizontal="left"/>
    </xf>
    <xf numFmtId="0" fontId="18" fillId="0" borderId="54" xfId="7" applyFont="1" applyBorder="1" applyAlignment="1">
      <alignment horizontal="left"/>
    </xf>
    <xf numFmtId="0" fontId="18" fillId="0" borderId="33" xfId="7" applyFont="1" applyBorder="1" applyAlignment="1">
      <alignment horizontal="center"/>
    </xf>
    <xf numFmtId="0" fontId="18" fillId="0" borderId="0" xfId="7" applyFont="1" applyAlignment="1">
      <alignment horizontal="center"/>
    </xf>
    <xf numFmtId="0" fontId="18" fillId="0" borderId="45" xfId="7" applyFont="1" applyBorder="1" applyAlignment="1">
      <alignment horizontal="center"/>
    </xf>
    <xf numFmtId="0" fontId="18" fillId="0" borderId="79" xfId="7" applyFont="1" applyBorder="1" applyAlignment="1">
      <alignment horizontal="center"/>
    </xf>
    <xf numFmtId="0" fontId="18" fillId="0" borderId="17" xfId="7" applyFont="1" applyBorder="1" applyAlignment="1">
      <alignment horizontal="left"/>
    </xf>
    <xf numFmtId="0" fontId="20" fillId="0" borderId="33" xfId="7" applyFont="1" applyBorder="1" applyAlignment="1">
      <alignment horizontal="left"/>
    </xf>
    <xf numFmtId="0" fontId="18" fillId="0" borderId="45" xfId="7" applyFont="1" applyBorder="1" applyAlignment="1">
      <alignment horizontal="left" wrapText="1"/>
    </xf>
    <xf numFmtId="0" fontId="18" fillId="0" borderId="79" xfId="7" applyFont="1" applyBorder="1" applyAlignment="1">
      <alignment horizontal="left" wrapText="1"/>
    </xf>
    <xf numFmtId="0" fontId="18" fillId="0" borderId="28" xfId="7" applyFont="1" applyBorder="1" applyAlignment="1">
      <alignment horizontal="left" wrapText="1"/>
    </xf>
    <xf numFmtId="0" fontId="18" fillId="0" borderId="29" xfId="7" applyFont="1" applyBorder="1" applyAlignment="1">
      <alignment horizontal="left" wrapText="1"/>
    </xf>
    <xf numFmtId="0" fontId="18" fillId="0" borderId="83" xfId="7" applyFont="1" applyBorder="1" applyAlignment="1">
      <alignment horizontal="left" wrapText="1"/>
    </xf>
    <xf numFmtId="0" fontId="18" fillId="0" borderId="89" xfId="7" applyFont="1" applyBorder="1" applyAlignment="1">
      <alignment horizontal="right"/>
    </xf>
    <xf numFmtId="0" fontId="18" fillId="0" borderId="45" xfId="7" applyFont="1" applyBorder="1" applyAlignment="1">
      <alignment horizontal="right"/>
    </xf>
    <xf numFmtId="0" fontId="18" fillId="0" borderId="79" xfId="7" applyFont="1" applyBorder="1" applyAlignment="1">
      <alignment horizontal="right"/>
    </xf>
    <xf numFmtId="0" fontId="20" fillId="0" borderId="1" xfId="7" applyFont="1" applyBorder="1" applyAlignment="1">
      <alignment horizontal="left" vertical="center"/>
    </xf>
    <xf numFmtId="0" fontId="20" fillId="0" borderId="2" xfId="7" applyFont="1" applyBorder="1" applyAlignment="1">
      <alignment horizontal="left" vertical="center"/>
    </xf>
    <xf numFmtId="0" fontId="20" fillId="0" borderId="3" xfId="7" applyFont="1" applyBorder="1" applyAlignment="1">
      <alignment horizontal="left" vertical="center"/>
    </xf>
    <xf numFmtId="0" fontId="20" fillId="0" borderId="33" xfId="7" applyFont="1" applyBorder="1" applyAlignment="1">
      <alignment horizontal="left" vertical="center"/>
    </xf>
    <xf numFmtId="0" fontId="20" fillId="0" borderId="0" xfId="7" applyFont="1" applyAlignment="1">
      <alignment horizontal="left" vertical="center"/>
    </xf>
    <xf numFmtId="0" fontId="20" fillId="0" borderId="17" xfId="7" applyFont="1" applyBorder="1" applyAlignment="1">
      <alignment horizontal="left" vertical="center"/>
    </xf>
    <xf numFmtId="0" fontId="20" fillId="0" borderId="89" xfId="7" applyFont="1" applyBorder="1" applyAlignment="1">
      <alignment horizontal="left" vertical="center" wrapText="1"/>
    </xf>
    <xf numFmtId="0" fontId="18" fillId="0" borderId="45" xfId="7" applyFont="1" applyBorder="1" applyAlignment="1">
      <alignment horizontal="left" vertical="center" wrapText="1"/>
    </xf>
    <xf numFmtId="0" fontId="18" fillId="0" borderId="79" xfId="7" applyFont="1" applyBorder="1" applyAlignment="1">
      <alignment horizontal="left" vertical="center" wrapText="1"/>
    </xf>
    <xf numFmtId="0" fontId="18" fillId="0" borderId="28" xfId="7" applyFont="1" applyBorder="1" applyAlignment="1">
      <alignment horizontal="left" vertical="center" wrapText="1"/>
    </xf>
    <xf numFmtId="0" fontId="18" fillId="0" borderId="29" xfId="7" applyFont="1" applyBorder="1" applyAlignment="1">
      <alignment horizontal="left" vertical="center" wrapText="1"/>
    </xf>
    <xf numFmtId="0" fontId="18" fillId="0" borderId="83" xfId="7" applyFont="1" applyBorder="1" applyAlignment="1">
      <alignment horizontal="left" vertical="center" wrapText="1"/>
    </xf>
    <xf numFmtId="0" fontId="18" fillId="0" borderId="34" xfId="7" applyFont="1" applyBorder="1" applyAlignment="1">
      <alignment horizontal="center"/>
    </xf>
    <xf numFmtId="0" fontId="18" fillId="0" borderId="25" xfId="7" applyFont="1" applyBorder="1" applyAlignment="1">
      <alignment horizontal="center"/>
    </xf>
    <xf numFmtId="16" fontId="18" fillId="0" borderId="0" xfId="7" applyNumberFormat="1" applyFont="1" applyAlignment="1">
      <alignment horizontal="center"/>
    </xf>
    <xf numFmtId="0" fontId="18" fillId="0" borderId="17" xfId="7" applyFont="1" applyBorder="1" applyAlignment="1">
      <alignment horizontal="center"/>
    </xf>
    <xf numFmtId="0" fontId="18" fillId="0" borderId="44" xfId="7" applyFont="1" applyBorder="1" applyAlignment="1">
      <alignment horizontal="center"/>
    </xf>
    <xf numFmtId="0" fontId="18" fillId="0" borderId="46" xfId="7" applyFont="1" applyBorder="1" applyAlignment="1">
      <alignment horizontal="center"/>
    </xf>
    <xf numFmtId="16" fontId="18" fillId="0" borderId="0" xfId="7" quotePrefix="1" applyNumberFormat="1" applyFont="1" applyAlignment="1">
      <alignment horizontal="center"/>
    </xf>
    <xf numFmtId="191" fontId="21" fillId="30" borderId="52" xfId="7" applyNumberFormat="1" applyFont="1" applyFill="1" applyBorder="1" applyAlignment="1">
      <alignment horizontal="center" vertical="center"/>
    </xf>
    <xf numFmtId="191" fontId="21" fillId="30" borderId="54" xfId="7" applyNumberFormat="1" applyFont="1" applyFill="1" applyBorder="1" applyAlignment="1">
      <alignment horizontal="center" vertical="center"/>
    </xf>
    <xf numFmtId="191" fontId="21" fillId="30" borderId="81" xfId="7" applyNumberFormat="1" applyFont="1" applyFill="1" applyBorder="1" applyAlignment="1">
      <alignment horizontal="center" vertical="center"/>
    </xf>
    <xf numFmtId="191" fontId="21" fillId="30" borderId="82" xfId="7" applyNumberFormat="1" applyFont="1" applyFill="1" applyBorder="1" applyAlignment="1">
      <alignment horizontal="center" vertical="center"/>
    </xf>
    <xf numFmtId="0" fontId="21" fillId="0" borderId="52" xfId="7" applyFont="1" applyBorder="1" applyAlignment="1">
      <alignment horizontal="center" vertical="center"/>
    </xf>
    <xf numFmtId="0" fontId="3" fillId="0" borderId="0" xfId="7" applyAlignment="1">
      <alignment horizontal="center" vertical="center"/>
    </xf>
    <xf numFmtId="0" fontId="3" fillId="0" borderId="17" xfId="7" applyBorder="1" applyAlignment="1">
      <alignment horizontal="center" vertical="center"/>
    </xf>
    <xf numFmtId="0" fontId="3" fillId="0" borderId="81" xfId="7" applyBorder="1" applyAlignment="1">
      <alignment horizontal="center" vertical="center"/>
    </xf>
    <xf numFmtId="0" fontId="3" fillId="0" borderId="25" xfId="7" applyBorder="1" applyAlignment="1">
      <alignment horizontal="center" vertical="center"/>
    </xf>
    <xf numFmtId="0" fontId="3" fillId="0" borderId="35" xfId="7" applyBorder="1" applyAlignment="1">
      <alignment horizontal="center" vertical="center"/>
    </xf>
    <xf numFmtId="0" fontId="20" fillId="0" borderId="13" xfId="7" applyFont="1" applyBorder="1" applyAlignment="1">
      <alignment horizontal="center" vertical="center"/>
    </xf>
    <xf numFmtId="0" fontId="4" fillId="0" borderId="77" xfId="7" applyFont="1" applyBorder="1" applyAlignment="1">
      <alignment horizontal="center" vertical="center"/>
    </xf>
    <xf numFmtId="0" fontId="4" fillId="0" borderId="50" xfId="7" applyFont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20" fillId="0" borderId="54" xfId="7" applyFont="1" applyBorder="1" applyAlignment="1">
      <alignment horizontal="center" vertical="center"/>
    </xf>
    <xf numFmtId="0" fontId="3" fillId="0" borderId="54" xfId="7" applyBorder="1" applyAlignment="1">
      <alignment horizontal="center" vertical="center"/>
    </xf>
    <xf numFmtId="0" fontId="3" fillId="0" borderId="29" xfId="7" applyBorder="1" applyAlignment="1">
      <alignment horizontal="center" vertical="center"/>
    </xf>
    <xf numFmtId="0" fontId="3" fillId="0" borderId="47" xfId="7" applyBorder="1" applyAlignment="1">
      <alignment horizontal="center" vertical="center"/>
    </xf>
    <xf numFmtId="0" fontId="20" fillId="0" borderId="55" xfId="7" applyFont="1" applyBorder="1" applyAlignment="1">
      <alignment horizontal="center" vertical="center" wrapText="1"/>
    </xf>
    <xf numFmtId="0" fontId="20" fillId="0" borderId="51" xfId="7" applyFont="1" applyBorder="1" applyAlignment="1">
      <alignment horizontal="center" vertical="center" wrapText="1"/>
    </xf>
    <xf numFmtId="0" fontId="18" fillId="0" borderId="55" xfId="7" applyFont="1" applyBorder="1" applyAlignment="1">
      <alignment horizontal="center" wrapText="1"/>
    </xf>
    <xf numFmtId="0" fontId="18" fillId="0" borderId="51" xfId="7" applyFont="1" applyBorder="1" applyAlignment="1">
      <alignment horizontal="center" wrapText="1"/>
    </xf>
    <xf numFmtId="0" fontId="18" fillId="0" borderId="52" xfId="7" applyFont="1" applyBorder="1" applyAlignment="1">
      <alignment horizontal="center" wrapText="1"/>
    </xf>
    <xf numFmtId="0" fontId="3" fillId="0" borderId="54" xfId="7" applyBorder="1" applyAlignment="1">
      <alignment horizontal="center" wrapText="1"/>
    </xf>
    <xf numFmtId="0" fontId="3" fillId="0" borderId="52" xfId="7" applyBorder="1" applyAlignment="1">
      <alignment horizontal="center" wrapText="1"/>
    </xf>
    <xf numFmtId="0" fontId="3" fillId="0" borderId="53" xfId="7" applyBorder="1" applyAlignment="1">
      <alignment horizontal="center" wrapText="1"/>
    </xf>
    <xf numFmtId="0" fontId="3" fillId="0" borderId="47" xfId="7" applyBorder="1" applyAlignment="1">
      <alignment horizontal="center" wrapText="1"/>
    </xf>
    <xf numFmtId="0" fontId="3" fillId="0" borderId="55" xfId="7" applyBorder="1" applyAlignment="1">
      <alignment horizontal="center" wrapText="1"/>
    </xf>
    <xf numFmtId="0" fontId="3" fillId="0" borderId="51" xfId="7" applyBorder="1" applyAlignment="1">
      <alignment horizontal="center" wrapText="1"/>
    </xf>
    <xf numFmtId="0" fontId="18" fillId="0" borderId="89" xfId="7" applyFont="1" applyBorder="1" applyAlignment="1">
      <alignment horizontal="left" vertical="center"/>
    </xf>
    <xf numFmtId="0" fontId="3" fillId="0" borderId="45" xfId="7" applyBorder="1" applyAlignment="1">
      <alignment horizontal="left" vertical="center"/>
    </xf>
    <xf numFmtId="0" fontId="3" fillId="0" borderId="28" xfId="7" applyBorder="1" applyAlignment="1">
      <alignment horizontal="left" vertical="center"/>
    </xf>
    <xf numFmtId="0" fontId="3" fillId="0" borderId="29" xfId="7" applyBorder="1" applyAlignment="1">
      <alignment horizontal="left" vertical="center"/>
    </xf>
    <xf numFmtId="0" fontId="28" fillId="2" borderId="0" xfId="7" applyFont="1" applyFill="1" applyAlignment="1">
      <alignment horizontal="left"/>
    </xf>
    <xf numFmtId="0" fontId="28" fillId="2" borderId="54" xfId="7" applyFont="1" applyFill="1" applyBorder="1" applyAlignment="1">
      <alignment horizontal="left"/>
    </xf>
    <xf numFmtId="0" fontId="21" fillId="26" borderId="8" xfId="7" applyFont="1" applyFill="1" applyBorder="1" applyAlignment="1">
      <alignment horizontal="center"/>
    </xf>
    <xf numFmtId="0" fontId="21" fillId="26" borderId="42" xfId="7" applyFont="1" applyFill="1" applyBorder="1" applyAlignment="1">
      <alignment horizontal="center"/>
    </xf>
    <xf numFmtId="0" fontId="18" fillId="0" borderId="36" xfId="7" applyFont="1" applyBorder="1" applyAlignment="1">
      <alignment horizontal="center"/>
    </xf>
    <xf numFmtId="0" fontId="18" fillId="0" borderId="37" xfId="7" applyFont="1" applyBorder="1" applyAlignment="1">
      <alignment horizontal="center"/>
    </xf>
    <xf numFmtId="0" fontId="18" fillId="0" borderId="38" xfId="7" applyFont="1" applyBorder="1" applyAlignment="1">
      <alignment horizontal="center"/>
    </xf>
    <xf numFmtId="0" fontId="18" fillId="0" borderId="52" xfId="7" applyFont="1" applyBorder="1" applyAlignment="1">
      <alignment horizontal="center"/>
    </xf>
    <xf numFmtId="0" fontId="21" fillId="0" borderId="52" xfId="7" applyFont="1" applyBorder="1" applyAlignment="1">
      <alignment horizontal="center"/>
    </xf>
    <xf numFmtId="0" fontId="21" fillId="0" borderId="0" xfId="7" applyFont="1" applyAlignment="1">
      <alignment horizontal="center"/>
    </xf>
    <xf numFmtId="0" fontId="21" fillId="0" borderId="17" xfId="7" applyFont="1" applyBorder="1" applyAlignment="1">
      <alignment horizontal="center"/>
    </xf>
    <xf numFmtId="0" fontId="3" fillId="0" borderId="33" xfId="7" applyBorder="1" applyAlignment="1">
      <alignment horizontal="left" vertical="center"/>
    </xf>
    <xf numFmtId="0" fontId="3" fillId="0" borderId="0" xfId="7" applyAlignment="1">
      <alignment horizontal="left" vertical="center"/>
    </xf>
    <xf numFmtId="0" fontId="3" fillId="0" borderId="34" xfId="7" applyBorder="1" applyAlignment="1">
      <alignment horizontal="left" vertical="center"/>
    </xf>
    <xf numFmtId="0" fontId="3" fillId="0" borderId="25" xfId="7" applyBorder="1" applyAlignment="1">
      <alignment horizontal="left" vertical="center"/>
    </xf>
    <xf numFmtId="0" fontId="28" fillId="0" borderId="45" xfId="7" applyFont="1" applyBorder="1" applyAlignment="1">
      <alignment horizontal="left" vertical="center" wrapText="1"/>
    </xf>
    <xf numFmtId="0" fontId="3" fillId="0" borderId="45" xfId="7" applyBorder="1" applyAlignment="1">
      <alignment horizontal="left" vertical="center" wrapText="1"/>
    </xf>
    <xf numFmtId="0" fontId="3" fillId="0" borderId="46" xfId="7" applyBorder="1" applyAlignment="1">
      <alignment horizontal="left" vertical="center" wrapText="1"/>
    </xf>
    <xf numFmtId="0" fontId="3" fillId="0" borderId="0" xfId="7" applyAlignment="1">
      <alignment horizontal="left" vertical="center" wrapText="1"/>
    </xf>
    <xf numFmtId="0" fontId="3" fillId="0" borderId="54" xfId="7" applyBorder="1" applyAlignment="1">
      <alignment horizontal="left" vertical="center" wrapText="1"/>
    </xf>
    <xf numFmtId="0" fontId="3" fillId="0" borderId="25" xfId="7" applyBorder="1" applyAlignment="1">
      <alignment horizontal="left" vertical="center" wrapText="1"/>
    </xf>
    <xf numFmtId="0" fontId="3" fillId="0" borderId="82" xfId="7" applyBorder="1" applyAlignment="1">
      <alignment horizontal="left" vertical="center" wrapText="1"/>
    </xf>
    <xf numFmtId="0" fontId="18" fillId="0" borderId="44" xfId="7" applyFont="1" applyBorder="1" applyAlignment="1">
      <alignment horizontal="center" vertical="center"/>
    </xf>
    <xf numFmtId="0" fontId="18" fillId="0" borderId="53" xfId="7" applyFont="1" applyBorder="1" applyAlignment="1">
      <alignment horizontal="center" vertical="center"/>
    </xf>
    <xf numFmtId="37" fontId="28" fillId="0" borderId="45" xfId="7" applyNumberFormat="1" applyFont="1" applyBorder="1" applyAlignment="1">
      <alignment horizontal="center" vertical="center" shrinkToFit="1"/>
    </xf>
    <xf numFmtId="37" fontId="28" fillId="0" borderId="46" xfId="7" applyNumberFormat="1" applyFont="1" applyBorder="1" applyAlignment="1">
      <alignment horizontal="center" vertical="center" shrinkToFit="1"/>
    </xf>
    <xf numFmtId="37" fontId="28" fillId="0" borderId="29" xfId="7" applyNumberFormat="1" applyFont="1" applyBorder="1" applyAlignment="1">
      <alignment horizontal="center" vertical="center" shrinkToFit="1"/>
    </xf>
    <xf numFmtId="37" fontId="28" fillId="0" borderId="47" xfId="7" applyNumberFormat="1" applyFont="1" applyBorder="1" applyAlignment="1">
      <alignment horizontal="center" vertical="center" shrinkToFit="1"/>
    </xf>
    <xf numFmtId="0" fontId="18" fillId="0" borderId="81" xfId="7" applyFont="1" applyBorder="1" applyAlignment="1">
      <alignment horizontal="center" vertical="center"/>
    </xf>
    <xf numFmtId="1" fontId="21" fillId="0" borderId="57" xfId="7" applyNumberFormat="1" applyFont="1" applyBorder="1" applyAlignment="1">
      <alignment horizontal="center" vertical="center"/>
    </xf>
    <xf numFmtId="1" fontId="21" fillId="0" borderId="96" xfId="7" applyNumberFormat="1" applyFont="1" applyBorder="1" applyAlignment="1">
      <alignment horizontal="center" vertical="center"/>
    </xf>
    <xf numFmtId="0" fontId="3" fillId="0" borderId="2" xfId="7" applyBorder="1" applyAlignment="1">
      <alignment horizontal="left" vertical="center"/>
    </xf>
    <xf numFmtId="0" fontId="3" fillId="0" borderId="48" xfId="7" applyBorder="1" applyAlignment="1">
      <alignment horizontal="left" vertical="center"/>
    </xf>
    <xf numFmtId="0" fontId="20" fillId="0" borderId="76" xfId="7" applyFont="1" applyBorder="1" applyAlignment="1">
      <alignment horizontal="center" vertical="center" wrapText="1"/>
    </xf>
    <xf numFmtId="0" fontId="20" fillId="0" borderId="2" xfId="7" applyFont="1" applyBorder="1" applyAlignment="1">
      <alignment horizontal="center" vertical="center" wrapText="1"/>
    </xf>
    <xf numFmtId="0" fontId="20" fillId="0" borderId="48" xfId="7" applyFont="1" applyBorder="1" applyAlignment="1">
      <alignment horizontal="center" vertical="center" wrapText="1"/>
    </xf>
    <xf numFmtId="0" fontId="20" fillId="0" borderId="52" xfId="7" applyFont="1" applyBorder="1" applyAlignment="1">
      <alignment horizontal="center" vertical="center" wrapText="1"/>
    </xf>
    <xf numFmtId="0" fontId="20" fillId="0" borderId="0" xfId="7" applyFont="1" applyAlignment="1">
      <alignment horizontal="center" vertical="center" wrapText="1"/>
    </xf>
    <xf numFmtId="0" fontId="20" fillId="0" borderId="54" xfId="7" applyFont="1" applyBorder="1" applyAlignment="1">
      <alignment horizontal="center" vertical="center" wrapText="1"/>
    </xf>
    <xf numFmtId="0" fontId="20" fillId="0" borderId="3" xfId="7" applyFont="1" applyBorder="1" applyAlignment="1">
      <alignment horizontal="center" vertical="center" wrapText="1"/>
    </xf>
    <xf numFmtId="0" fontId="20" fillId="0" borderId="17" xfId="7" applyFont="1" applyBorder="1" applyAlignment="1">
      <alignment horizontal="center" vertical="center" wrapText="1"/>
    </xf>
    <xf numFmtId="0" fontId="28" fillId="0" borderId="45" xfId="7" applyFont="1" applyBorder="1" applyAlignment="1">
      <alignment horizontal="left" vertical="center"/>
    </xf>
    <xf numFmtId="0" fontId="3" fillId="0" borderId="46" xfId="7" applyBorder="1" applyAlignment="1">
      <alignment horizontal="left" vertical="center"/>
    </xf>
    <xf numFmtId="0" fontId="3" fillId="0" borderId="47" xfId="7" applyBorder="1" applyAlignment="1">
      <alignment horizontal="left" vertical="center"/>
    </xf>
    <xf numFmtId="0" fontId="18" fillId="0" borderId="44" xfId="7" applyFont="1" applyBorder="1" applyAlignment="1">
      <alignment horizontal="left" vertical="center" wrapText="1"/>
    </xf>
    <xf numFmtId="0" fontId="18" fillId="0" borderId="53" xfId="7" applyFont="1" applyBorder="1" applyAlignment="1">
      <alignment horizontal="left" vertical="center" wrapText="1"/>
    </xf>
    <xf numFmtId="0" fontId="18" fillId="0" borderId="44" xfId="7" applyFont="1" applyBorder="1" applyAlignment="1">
      <alignment horizontal="center" vertical="center" wrapText="1"/>
    </xf>
    <xf numFmtId="0" fontId="18" fillId="0" borderId="46" xfId="7" applyFont="1" applyBorder="1" applyAlignment="1">
      <alignment horizontal="center" vertical="center" wrapText="1"/>
    </xf>
    <xf numFmtId="0" fontId="18" fillId="0" borderId="53" xfId="7" applyFont="1" applyBorder="1" applyAlignment="1">
      <alignment horizontal="center" vertical="center" wrapText="1"/>
    </xf>
    <xf numFmtId="0" fontId="18" fillId="0" borderId="47" xfId="7" applyFont="1" applyBorder="1" applyAlignment="1">
      <alignment horizontal="center" vertical="center" wrapText="1"/>
    </xf>
    <xf numFmtId="0" fontId="18" fillId="0" borderId="28" xfId="7" applyFont="1" applyBorder="1" applyAlignment="1">
      <alignment horizontal="right" vertical="center"/>
    </xf>
    <xf numFmtId="0" fontId="18" fillId="0" borderId="29" xfId="7" applyFont="1" applyBorder="1" applyAlignment="1">
      <alignment horizontal="right" vertical="center"/>
    </xf>
    <xf numFmtId="0" fontId="20" fillId="0" borderId="29" xfId="7" applyFont="1" applyBorder="1" applyAlignment="1">
      <alignment horizontal="left" vertical="center"/>
    </xf>
    <xf numFmtId="0" fontId="18" fillId="0" borderId="53" xfId="7" applyFont="1" applyBorder="1" applyAlignment="1">
      <alignment horizontal="center"/>
    </xf>
    <xf numFmtId="0" fontId="18" fillId="0" borderId="29" xfId="7" applyFont="1" applyBorder="1" applyAlignment="1">
      <alignment horizontal="center"/>
    </xf>
    <xf numFmtId="0" fontId="18" fillId="0" borderId="83" xfId="7" applyFont="1" applyBorder="1" applyAlignment="1">
      <alignment horizontal="center"/>
    </xf>
    <xf numFmtId="0" fontId="18" fillId="0" borderId="8" xfId="12" applyFont="1" applyBorder="1" applyAlignment="1">
      <alignment horizontal="left" vertical="center" wrapText="1"/>
    </xf>
    <xf numFmtId="0" fontId="18" fillId="0" borderId="40" xfId="12" applyFont="1" applyBorder="1" applyAlignment="1">
      <alignment horizontal="left" vertical="center" wrapText="1"/>
    </xf>
    <xf numFmtId="0" fontId="18" fillId="0" borderId="42" xfId="12" applyFont="1" applyBorder="1" applyAlignment="1">
      <alignment horizontal="left" vertical="center" wrapText="1"/>
    </xf>
    <xf numFmtId="37" fontId="4" fillId="0" borderId="40" xfId="7" applyNumberFormat="1" applyFont="1" applyBorder="1" applyAlignment="1">
      <alignment horizontal="left" vertical="center" wrapText="1"/>
    </xf>
    <xf numFmtId="0" fontId="4" fillId="0" borderId="40" xfId="7" applyFont="1" applyBorder="1" applyAlignment="1">
      <alignment horizontal="left" vertical="center" wrapText="1"/>
    </xf>
    <xf numFmtId="0" fontId="4" fillId="0" borderId="40" xfId="7" applyFont="1" applyBorder="1" applyAlignment="1">
      <alignment horizontal="left" wrapText="1"/>
    </xf>
    <xf numFmtId="1" fontId="4" fillId="0" borderId="40" xfId="7" applyNumberFormat="1" applyFont="1" applyBorder="1" applyAlignment="1">
      <alignment horizontal="left" vertical="center" wrapText="1"/>
    </xf>
    <xf numFmtId="0" fontId="4" fillId="0" borderId="42" xfId="7" applyFont="1" applyBorder="1" applyAlignment="1">
      <alignment horizontal="left" vertical="center" wrapText="1"/>
    </xf>
    <xf numFmtId="0" fontId="20" fillId="0" borderId="33" xfId="12" applyFont="1" applyBorder="1" applyAlignment="1">
      <alignment horizontal="center"/>
    </xf>
    <xf numFmtId="0" fontId="20" fillId="0" borderId="0" xfId="12" applyFont="1" applyAlignment="1">
      <alignment horizontal="center"/>
    </xf>
    <xf numFmtId="0" fontId="20" fillId="0" borderId="17" xfId="12" applyFont="1" applyBorder="1" applyAlignment="1">
      <alignment horizontal="center"/>
    </xf>
    <xf numFmtId="0" fontId="18" fillId="0" borderId="8" xfId="12" applyFont="1" applyBorder="1" applyAlignment="1">
      <alignment horizontal="left" vertical="top" wrapText="1"/>
    </xf>
    <xf numFmtId="0" fontId="18" fillId="0" borderId="40" xfId="12" applyFont="1" applyBorder="1" applyAlignment="1">
      <alignment horizontal="left" vertical="top" wrapText="1"/>
    </xf>
    <xf numFmtId="0" fontId="18" fillId="0" borderId="42" xfId="12" applyFont="1" applyBorder="1" applyAlignment="1">
      <alignment horizontal="left" vertical="top" wrapText="1"/>
    </xf>
    <xf numFmtId="0" fontId="3" fillId="0" borderId="8" xfId="7" applyBorder="1" applyAlignment="1">
      <alignment horizontal="left"/>
    </xf>
    <xf numFmtId="0" fontId="3" fillId="0" borderId="40" xfId="7" applyBorder="1" applyAlignment="1">
      <alignment horizontal="left"/>
    </xf>
    <xf numFmtId="0" fontId="3" fillId="0" borderId="7" xfId="7" applyBorder="1" applyAlignment="1">
      <alignment horizontal="left"/>
    </xf>
    <xf numFmtId="0" fontId="4" fillId="25" borderId="7" xfId="7" applyFont="1" applyFill="1" applyBorder="1" applyAlignment="1">
      <alignment horizontal="left" vertical="center"/>
    </xf>
    <xf numFmtId="0" fontId="4" fillId="25" borderId="8" xfId="7" applyFont="1" applyFill="1" applyBorder="1" applyAlignment="1">
      <alignment horizontal="left" vertical="center"/>
    </xf>
    <xf numFmtId="0" fontId="4" fillId="25" borderId="10" xfId="7" applyFont="1" applyFill="1" applyBorder="1" applyAlignment="1">
      <alignment horizontal="left" vertical="center"/>
    </xf>
    <xf numFmtId="0" fontId="4" fillId="25" borderId="11" xfId="7" applyFont="1" applyFill="1" applyBorder="1" applyAlignment="1">
      <alignment horizontal="left" vertical="center"/>
    </xf>
    <xf numFmtId="0" fontId="4" fillId="0" borderId="5" xfId="7" applyFont="1" applyBorder="1" applyAlignment="1">
      <alignment horizontal="left" vertical="center"/>
    </xf>
    <xf numFmtId="0" fontId="4" fillId="0" borderId="49" xfId="7" applyFont="1" applyBorder="1" applyAlignment="1">
      <alignment horizontal="left" vertical="center"/>
    </xf>
    <xf numFmtId="0" fontId="20" fillId="0" borderId="33" xfId="7" applyFont="1" applyBorder="1" applyAlignment="1">
      <alignment horizontal="center"/>
    </xf>
    <xf numFmtId="0" fontId="20" fillId="0" borderId="0" xfId="7" applyFont="1" applyAlignment="1">
      <alignment horizontal="center"/>
    </xf>
    <xf numFmtId="0" fontId="20" fillId="0" borderId="17" xfId="7" applyFont="1" applyBorder="1" applyAlignment="1">
      <alignment horizontal="center"/>
    </xf>
    <xf numFmtId="0" fontId="4" fillId="0" borderId="0" xfId="7" applyFont="1" applyAlignment="1">
      <alignment horizontal="center" wrapText="1"/>
    </xf>
    <xf numFmtId="0" fontId="3" fillId="0" borderId="0" xfId="7" applyAlignment="1">
      <alignment wrapText="1"/>
    </xf>
    <xf numFmtId="37" fontId="4" fillId="0" borderId="8" xfId="7" applyNumberFormat="1" applyFont="1" applyBorder="1" applyAlignment="1">
      <alignment horizontal="left" vertical="center"/>
    </xf>
    <xf numFmtId="0" fontId="4" fillId="0" borderId="40" xfId="7" applyFont="1" applyBorder="1" applyAlignment="1">
      <alignment horizontal="left" vertical="center"/>
    </xf>
    <xf numFmtId="0" fontId="4" fillId="0" borderId="40" xfId="7" applyFont="1" applyBorder="1" applyAlignment="1">
      <alignment horizontal="right" vertical="center"/>
    </xf>
    <xf numFmtId="0" fontId="3" fillId="0" borderId="42" xfId="7" applyBorder="1"/>
    <xf numFmtId="0" fontId="4" fillId="0" borderId="0" xfId="7" applyFont="1" applyAlignment="1">
      <alignment horizontal="left" wrapText="1"/>
    </xf>
    <xf numFmtId="0" fontId="3" fillId="0" borderId="0" xfId="7" applyAlignment="1">
      <alignment horizontal="left"/>
    </xf>
    <xf numFmtId="0" fontId="4" fillId="0" borderId="31" xfId="7" applyFont="1" applyBorder="1" applyAlignment="1">
      <alignment horizontal="center" vertical="center" wrapText="1"/>
    </xf>
    <xf numFmtId="0" fontId="4" fillId="0" borderId="32" xfId="7" applyFont="1" applyBorder="1" applyAlignment="1">
      <alignment horizontal="center" vertical="center" wrapText="1"/>
    </xf>
    <xf numFmtId="0" fontId="4" fillId="0" borderId="97" xfId="7" applyFont="1" applyBorder="1" applyAlignment="1">
      <alignment horizontal="center" vertical="center" wrapText="1"/>
    </xf>
    <xf numFmtId="0" fontId="4" fillId="0" borderId="11" xfId="7" applyFont="1" applyBorder="1" applyAlignment="1">
      <alignment horizontal="center" vertical="center"/>
    </xf>
    <xf numFmtId="0" fontId="4" fillId="0" borderId="32" xfId="7" applyFont="1" applyBorder="1" applyAlignment="1">
      <alignment horizontal="center" vertical="center"/>
    </xf>
    <xf numFmtId="0" fontId="4" fillId="0" borderId="97" xfId="7" applyFont="1" applyBorder="1" applyAlignment="1">
      <alignment horizontal="center" vertical="center"/>
    </xf>
    <xf numFmtId="4" fontId="30" fillId="0" borderId="53" xfId="7" applyNumberFormat="1" applyFont="1" applyBorder="1" applyAlignment="1">
      <alignment horizontal="center" vertical="center"/>
    </xf>
    <xf numFmtId="4" fontId="30" fillId="0" borderId="29" xfId="7" applyNumberFormat="1" applyFont="1" applyBorder="1" applyAlignment="1">
      <alignment horizontal="center" vertical="center"/>
    </xf>
    <xf numFmtId="4" fontId="30" fillId="0" borderId="47" xfId="7" applyNumberFormat="1" applyFont="1" applyBorder="1" applyAlignment="1">
      <alignment horizontal="center" vertical="center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48" xfId="7" applyFont="1" applyBorder="1" applyAlignment="1">
      <alignment horizontal="right" vertical="center"/>
    </xf>
    <xf numFmtId="0" fontId="4" fillId="0" borderId="34" xfId="7" applyFont="1" applyBorder="1" applyAlignment="1">
      <alignment horizontal="right" vertical="center"/>
    </xf>
    <xf numFmtId="0" fontId="4" fillId="0" borderId="25" xfId="7" applyFont="1" applyBorder="1" applyAlignment="1">
      <alignment horizontal="right" vertical="center"/>
    </xf>
    <xf numFmtId="0" fontId="4" fillId="0" borderId="82" xfId="7" applyFont="1" applyBorder="1" applyAlignment="1">
      <alignment horizontal="right" vertical="center"/>
    </xf>
    <xf numFmtId="0" fontId="4" fillId="0" borderId="5" xfId="7" applyFont="1" applyBorder="1" applyAlignment="1">
      <alignment horizontal="center"/>
    </xf>
    <xf numFmtId="0" fontId="4" fillId="0" borderId="37" xfId="7" applyFont="1" applyBorder="1" applyAlignment="1">
      <alignment horizontal="center"/>
    </xf>
    <xf numFmtId="0" fontId="4" fillId="0" borderId="49" xfId="7" applyFont="1" applyBorder="1" applyAlignment="1">
      <alignment horizontal="center"/>
    </xf>
    <xf numFmtId="0" fontId="4" fillId="0" borderId="11" xfId="7" applyFont="1" applyBorder="1" applyAlignment="1">
      <alignment horizontal="center"/>
    </xf>
    <xf numFmtId="0" fontId="4" fillId="0" borderId="32" xfId="7" applyFont="1" applyBorder="1" applyAlignment="1">
      <alignment horizontal="center"/>
    </xf>
    <xf numFmtId="0" fontId="4" fillId="0" borderId="97" xfId="7" applyFont="1" applyBorder="1" applyAlignment="1">
      <alignment horizontal="center"/>
    </xf>
    <xf numFmtId="0" fontId="4" fillId="0" borderId="5" xfId="7" applyFont="1" applyBorder="1" applyAlignment="1">
      <alignment horizontal="center" vertical="center"/>
    </xf>
    <xf numFmtId="0" fontId="4" fillId="0" borderId="37" xfId="7" applyFont="1" applyBorder="1" applyAlignment="1">
      <alignment horizontal="center" vertical="center"/>
    </xf>
    <xf numFmtId="0" fontId="4" fillId="0" borderId="49" xfId="7" applyFont="1" applyBorder="1" applyAlignment="1">
      <alignment horizontal="center" vertical="center"/>
    </xf>
    <xf numFmtId="0" fontId="4" fillId="0" borderId="36" xfId="7" applyFont="1" applyBorder="1" applyAlignment="1">
      <alignment horizontal="center" vertical="center" wrapText="1"/>
    </xf>
    <xf numFmtId="0" fontId="4" fillId="0" borderId="37" xfId="7" applyFont="1" applyBorder="1" applyAlignment="1">
      <alignment horizontal="center" vertical="center" wrapText="1"/>
    </xf>
    <xf numFmtId="0" fontId="4" fillId="0" borderId="49" xfId="7" applyFont="1" applyBorder="1" applyAlignment="1">
      <alignment horizontal="center" vertical="center" wrapText="1"/>
    </xf>
    <xf numFmtId="0" fontId="20" fillId="0" borderId="33" xfId="7" applyFont="1" applyBorder="1" applyAlignment="1">
      <alignment horizontal="center" vertical="center"/>
    </xf>
    <xf numFmtId="0" fontId="20" fillId="0" borderId="17" xfId="7" applyFont="1" applyBorder="1" applyAlignment="1">
      <alignment horizontal="center" vertical="center"/>
    </xf>
    <xf numFmtId="0" fontId="4" fillId="0" borderId="4" xfId="7" applyFont="1" applyBorder="1" applyAlignment="1">
      <alignment horizontal="center" vertical="center"/>
    </xf>
    <xf numFmtId="0" fontId="4" fillId="0" borderId="2" xfId="7" applyFont="1" applyBorder="1" applyAlignment="1">
      <alignment horizontal="center"/>
    </xf>
    <xf numFmtId="0" fontId="4" fillId="0" borderId="38" xfId="7" applyFont="1" applyBorder="1" applyAlignment="1">
      <alignment horizontal="center"/>
    </xf>
    <xf numFmtId="191" fontId="4" fillId="0" borderId="40" xfId="7" applyNumberFormat="1" applyFont="1" applyBorder="1" applyAlignment="1">
      <alignment horizontal="center" vertical="center"/>
    </xf>
    <xf numFmtId="4" fontId="30" fillId="0" borderId="5" xfId="7" applyNumberFormat="1" applyFont="1" applyBorder="1" applyAlignment="1">
      <alignment horizontal="center" vertical="center"/>
    </xf>
    <xf numFmtId="4" fontId="30" fillId="0" borderId="37" xfId="7" applyNumberFormat="1" applyFont="1" applyBorder="1" applyAlignment="1">
      <alignment horizontal="center" vertical="center"/>
    </xf>
    <xf numFmtId="4" fontId="30" fillId="0" borderId="49" xfId="7" applyNumberFormat="1" applyFont="1" applyBorder="1" applyAlignment="1">
      <alignment horizontal="center" vertical="center"/>
    </xf>
    <xf numFmtId="0" fontId="3" fillId="32" borderId="15" xfId="7" applyFill="1" applyBorder="1" applyAlignment="1" applyProtection="1">
      <alignment horizontal="left" vertical="center"/>
      <protection locked="0"/>
    </xf>
    <xf numFmtId="0" fontId="3" fillId="32" borderId="7" xfId="7" applyFill="1" applyBorder="1" applyAlignment="1" applyProtection="1">
      <alignment horizontal="left" vertical="center"/>
      <protection locked="0"/>
    </xf>
    <xf numFmtId="0" fontId="3" fillId="0" borderId="15" xfId="7" applyBorder="1" applyAlignment="1">
      <alignment horizontal="left" vertical="center"/>
    </xf>
    <xf numFmtId="0" fontId="3" fillId="0" borderId="7" xfId="7" applyBorder="1" applyAlignment="1">
      <alignment horizontal="left" vertical="center"/>
    </xf>
    <xf numFmtId="0" fontId="4" fillId="0" borderId="21" xfId="7" applyFont="1" applyBorder="1" applyAlignment="1">
      <alignment horizontal="left" vertical="center"/>
    </xf>
    <xf numFmtId="0" fontId="4" fillId="0" borderId="22" xfId="7" applyFont="1" applyBorder="1" applyAlignment="1">
      <alignment horizontal="left" vertical="center"/>
    </xf>
    <xf numFmtId="0" fontId="4" fillId="0" borderId="24" xfId="7" applyFont="1" applyBorder="1" applyAlignment="1">
      <alignment horizontal="left" vertical="center"/>
    </xf>
    <xf numFmtId="0" fontId="3" fillId="0" borderId="36" xfId="7" applyBorder="1" applyAlignment="1">
      <alignment horizontal="left" indent="2"/>
    </xf>
    <xf numFmtId="0" fontId="3" fillId="0" borderId="37" xfId="7" applyBorder="1" applyAlignment="1">
      <alignment horizontal="left" indent="2"/>
    </xf>
    <xf numFmtId="0" fontId="3" fillId="0" borderId="49" xfId="7" applyBorder="1" applyAlignment="1">
      <alignment horizontal="left" indent="2"/>
    </xf>
    <xf numFmtId="0" fontId="3" fillId="0" borderId="31" xfId="7" applyBorder="1" applyAlignment="1">
      <alignment horizontal="center"/>
    </xf>
    <xf numFmtId="0" fontId="3" fillId="0" borderId="32" xfId="7" applyBorder="1" applyAlignment="1">
      <alignment horizontal="center"/>
    </xf>
    <xf numFmtId="0" fontId="3" fillId="0" borderId="97" xfId="7" applyBorder="1" applyAlignment="1">
      <alignment horizontal="center"/>
    </xf>
    <xf numFmtId="0" fontId="4" fillId="0" borderId="36" xfId="7" applyFont="1" applyBorder="1" applyAlignment="1">
      <alignment horizontal="left" vertical="center"/>
    </xf>
    <xf numFmtId="0" fontId="4" fillId="0" borderId="37" xfId="7" applyFont="1" applyBorder="1" applyAlignment="1">
      <alignment horizontal="left" vertical="center"/>
    </xf>
    <xf numFmtId="0" fontId="3" fillId="0" borderId="89" xfId="7" applyBorder="1" applyAlignment="1">
      <alignment horizontal="center"/>
    </xf>
    <xf numFmtId="0" fontId="3" fillId="0" borderId="45" xfId="7" applyBorder="1" applyAlignment="1">
      <alignment horizontal="center"/>
    </xf>
    <xf numFmtId="0" fontId="3" fillId="0" borderId="46" xfId="7" applyBorder="1" applyAlignment="1">
      <alignment horizontal="center"/>
    </xf>
    <xf numFmtId="1" fontId="4" fillId="0" borderId="40" xfId="7" applyNumberFormat="1" applyFont="1" applyBorder="1" applyAlignment="1">
      <alignment horizontal="left" vertical="center"/>
    </xf>
    <xf numFmtId="0" fontId="4" fillId="0" borderId="40" xfId="7" applyFont="1" applyBorder="1" applyAlignment="1">
      <alignment horizontal="right" vertical="center" wrapText="1"/>
    </xf>
    <xf numFmtId="0" fontId="4" fillId="0" borderId="21" xfId="7" applyFont="1" applyBorder="1" applyAlignment="1">
      <alignment horizontal="center" vertical="center"/>
    </xf>
    <xf numFmtId="0" fontId="4" fillId="0" borderId="22" xfId="7" applyFont="1" applyBorder="1" applyAlignment="1">
      <alignment horizontal="center" vertical="center"/>
    </xf>
    <xf numFmtId="0" fontId="4" fillId="0" borderId="24" xfId="7" applyFont="1" applyBorder="1" applyAlignment="1">
      <alignment horizontal="center" vertical="center"/>
    </xf>
    <xf numFmtId="191" fontId="4" fillId="0" borderId="40" xfId="7" applyNumberFormat="1" applyFont="1" applyBorder="1" applyAlignment="1">
      <alignment horizontal="center" vertical="center" wrapText="1"/>
    </xf>
    <xf numFmtId="0" fontId="3" fillId="0" borderId="39" xfId="7" applyBorder="1" applyAlignment="1">
      <alignment horizontal="left" vertical="center"/>
    </xf>
    <xf numFmtId="0" fontId="0" fillId="0" borderId="40" xfId="0" applyBorder="1"/>
    <xf numFmtId="0" fontId="0" fillId="0" borderId="42" xfId="0" applyBorder="1"/>
    <xf numFmtId="0" fontId="4" fillId="0" borderId="8" xfId="7" applyFont="1" applyBorder="1" applyAlignment="1">
      <alignment horizontal="left" vertical="center"/>
    </xf>
    <xf numFmtId="0" fontId="4" fillId="0" borderId="14" xfId="7" applyFont="1" applyBorder="1" applyAlignment="1">
      <alignment horizontal="left" vertical="center"/>
    </xf>
    <xf numFmtId="0" fontId="4" fillId="0" borderId="4" xfId="7" applyFont="1" applyBorder="1" applyAlignment="1">
      <alignment horizontal="left" vertical="center"/>
    </xf>
    <xf numFmtId="0" fontId="4" fillId="0" borderId="28" xfId="7" applyFont="1" applyBorder="1" applyAlignment="1">
      <alignment horizontal="left" indent="2"/>
    </xf>
    <xf numFmtId="0" fontId="4" fillId="0" borderId="29" xfId="7" applyFont="1" applyBorder="1" applyAlignment="1">
      <alignment horizontal="left" indent="2"/>
    </xf>
    <xf numFmtId="0" fontId="4" fillId="0" borderId="47" xfId="7" applyFont="1" applyBorder="1" applyAlignment="1">
      <alignment horizontal="left" indent="2"/>
    </xf>
    <xf numFmtId="0" fontId="3" fillId="0" borderId="8" xfId="7" applyBorder="1" applyAlignment="1">
      <alignment horizontal="center"/>
    </xf>
    <xf numFmtId="0" fontId="3" fillId="0" borderId="40" xfId="7" applyBorder="1" applyAlignment="1">
      <alignment horizontal="center"/>
    </xf>
    <xf numFmtId="0" fontId="3" fillId="0" borderId="42" xfId="7" applyBorder="1" applyAlignment="1">
      <alignment horizontal="center"/>
    </xf>
    <xf numFmtId="0" fontId="3" fillId="27" borderId="28" xfId="7" applyFill="1" applyBorder="1" applyAlignment="1">
      <alignment horizontal="left" indent="1"/>
    </xf>
    <xf numFmtId="0" fontId="3" fillId="27" borderId="29" xfId="7" applyFill="1" applyBorder="1" applyAlignment="1">
      <alignment horizontal="left" indent="1"/>
    </xf>
    <xf numFmtId="0" fontId="3" fillId="27" borderId="47" xfId="7" applyFill="1" applyBorder="1" applyAlignment="1">
      <alignment horizontal="left" indent="1"/>
    </xf>
    <xf numFmtId="0" fontId="3" fillId="27" borderId="28" xfId="7" applyFill="1" applyBorder="1" applyAlignment="1">
      <alignment horizontal="left" indent="2"/>
    </xf>
    <xf numFmtId="0" fontId="3" fillId="27" borderId="29" xfId="7" applyFill="1" applyBorder="1" applyAlignment="1">
      <alignment horizontal="left" indent="2"/>
    </xf>
    <xf numFmtId="0" fontId="3" fillId="27" borderId="47" xfId="7" applyFill="1" applyBorder="1" applyAlignment="1">
      <alignment horizontal="left" indent="2"/>
    </xf>
    <xf numFmtId="0" fontId="3" fillId="27" borderId="39" xfId="7" applyFill="1" applyBorder="1" applyAlignment="1">
      <alignment horizontal="left" indent="2"/>
    </xf>
    <xf numFmtId="0" fontId="3" fillId="27" borderId="40" xfId="7" applyFill="1" applyBorder="1" applyAlignment="1">
      <alignment horizontal="left" indent="2"/>
    </xf>
    <xf numFmtId="0" fontId="3" fillId="27" borderId="42" xfId="7" applyFill="1" applyBorder="1" applyAlignment="1">
      <alignment horizontal="left" indent="2"/>
    </xf>
    <xf numFmtId="0" fontId="3" fillId="0" borderId="11" xfId="7" applyBorder="1" applyAlignment="1">
      <alignment horizontal="center"/>
    </xf>
    <xf numFmtId="0" fontId="4" fillId="0" borderId="42" xfId="7" applyFont="1" applyBorder="1" applyAlignment="1">
      <alignment horizontal="left" vertical="center"/>
    </xf>
    <xf numFmtId="0" fontId="4" fillId="0" borderId="21" xfId="7" applyFont="1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4" fillId="27" borderId="28" xfId="7" applyFont="1" applyFill="1" applyBorder="1" applyAlignment="1">
      <alignment horizontal="left" vertical="center"/>
    </xf>
    <xf numFmtId="0" fontId="4" fillId="27" borderId="29" xfId="7" applyFont="1" applyFill="1" applyBorder="1" applyAlignment="1">
      <alignment horizontal="left" vertical="center"/>
    </xf>
    <xf numFmtId="0" fontId="4" fillId="27" borderId="47" xfId="7" applyFont="1" applyFill="1" applyBorder="1" applyAlignment="1">
      <alignment horizontal="left" vertical="center"/>
    </xf>
    <xf numFmtId="0" fontId="3" fillId="0" borderId="28" xfId="7" applyBorder="1" applyAlignment="1">
      <alignment horizontal="left" indent="2"/>
    </xf>
    <xf numFmtId="0" fontId="3" fillId="0" borderId="29" xfId="7" applyBorder="1" applyAlignment="1">
      <alignment horizontal="left" indent="2"/>
    </xf>
    <xf numFmtId="0" fontId="3" fillId="0" borderId="47" xfId="7" applyBorder="1" applyAlignment="1">
      <alignment horizontal="left" indent="2"/>
    </xf>
    <xf numFmtId="0" fontId="4" fillId="0" borderId="28" xfId="7" applyFont="1" applyBorder="1" applyAlignment="1">
      <alignment horizontal="left"/>
    </xf>
    <xf numFmtId="0" fontId="4" fillId="0" borderId="29" xfId="7" applyFont="1" applyBorder="1" applyAlignment="1">
      <alignment horizontal="left"/>
    </xf>
    <xf numFmtId="0" fontId="4" fillId="0" borderId="47" xfId="7" applyFont="1" applyBorder="1" applyAlignment="1">
      <alignment horizontal="left"/>
    </xf>
    <xf numFmtId="0" fontId="4" fillId="27" borderId="28" xfId="7" applyFont="1" applyFill="1" applyBorder="1" applyAlignment="1">
      <alignment horizontal="left"/>
    </xf>
    <xf numFmtId="0" fontId="4" fillId="27" borderId="29" xfId="7" applyFont="1" applyFill="1" applyBorder="1" applyAlignment="1">
      <alignment horizontal="left"/>
    </xf>
    <xf numFmtId="0" fontId="4" fillId="27" borderId="47" xfId="7" applyFont="1" applyFill="1" applyBorder="1" applyAlignment="1">
      <alignment horizontal="left"/>
    </xf>
    <xf numFmtId="0" fontId="4" fillId="0" borderId="28" xfId="7" applyFont="1" applyBorder="1" applyAlignment="1">
      <alignment horizontal="left" vertical="center"/>
    </xf>
    <xf numFmtId="0" fontId="4" fillId="0" borderId="29" xfId="7" applyFont="1" applyBorder="1" applyAlignment="1">
      <alignment horizontal="left" vertical="center"/>
    </xf>
    <xf numFmtId="0" fontId="4" fillId="0" borderId="47" xfId="7" applyFont="1" applyBorder="1" applyAlignment="1">
      <alignment horizontal="left" vertical="center"/>
    </xf>
    <xf numFmtId="0" fontId="3" fillId="27" borderId="39" xfId="7" applyFill="1" applyBorder="1" applyAlignment="1">
      <alignment horizontal="center"/>
    </xf>
    <xf numFmtId="0" fontId="3" fillId="27" borderId="40" xfId="7" applyFill="1" applyBorder="1" applyAlignment="1">
      <alignment horizontal="center"/>
    </xf>
    <xf numFmtId="0" fontId="3" fillId="27" borderId="42" xfId="7" applyFill="1" applyBorder="1" applyAlignment="1">
      <alignment horizontal="center"/>
    </xf>
    <xf numFmtId="0" fontId="3" fillId="27" borderId="15" xfId="7" applyFill="1" applyBorder="1" applyAlignment="1">
      <alignment horizontal="left" indent="2"/>
    </xf>
    <xf numFmtId="0" fontId="3" fillId="27" borderId="7" xfId="7" applyFill="1" applyBorder="1" applyAlignment="1">
      <alignment horizontal="left" indent="2"/>
    </xf>
    <xf numFmtId="0" fontId="3" fillId="0" borderId="15" xfId="7" applyBorder="1" applyAlignment="1">
      <alignment horizontal="left" indent="2"/>
    </xf>
    <xf numFmtId="0" fontId="3" fillId="0" borderId="7" xfId="7" applyBorder="1" applyAlignment="1">
      <alignment horizontal="left" indent="2"/>
    </xf>
    <xf numFmtId="0" fontId="4" fillId="0" borderId="15" xfId="7" applyFont="1" applyBorder="1" applyAlignment="1">
      <alignment horizontal="left"/>
    </xf>
    <xf numFmtId="0" fontId="4" fillId="0" borderId="7" xfId="7" applyFont="1" applyBorder="1" applyAlignment="1">
      <alignment horizontal="left"/>
    </xf>
    <xf numFmtId="0" fontId="4" fillId="0" borderId="50" xfId="7" applyFont="1" applyBorder="1" applyAlignment="1">
      <alignment horizontal="left"/>
    </xf>
    <xf numFmtId="0" fontId="4" fillId="0" borderId="51" xfId="7" applyFont="1" applyBorder="1" applyAlignment="1">
      <alignment horizontal="left"/>
    </xf>
    <xf numFmtId="0" fontId="4" fillId="25" borderId="21" xfId="7" applyFont="1" applyFill="1" applyBorder="1" applyAlignment="1">
      <alignment horizontal="center"/>
    </xf>
    <xf numFmtId="0" fontId="4" fillId="25" borderId="22" xfId="7" applyFont="1" applyFill="1" applyBorder="1" applyAlignment="1">
      <alignment horizontal="center"/>
    </xf>
    <xf numFmtId="0" fontId="4" fillId="25" borderId="24" xfId="7" applyFont="1" applyFill="1" applyBorder="1" applyAlignment="1">
      <alignment horizontal="center"/>
    </xf>
    <xf numFmtId="0" fontId="3" fillId="25" borderId="21" xfId="7" applyFill="1" applyBorder="1" applyAlignment="1">
      <alignment horizontal="center"/>
    </xf>
    <xf numFmtId="0" fontId="3" fillId="25" borderId="22" xfId="7" applyFill="1" applyBorder="1" applyAlignment="1">
      <alignment horizontal="center"/>
    </xf>
    <xf numFmtId="0" fontId="3" fillId="25" borderId="24" xfId="7" applyFill="1" applyBorder="1" applyAlignment="1">
      <alignment horizontal="center"/>
    </xf>
    <xf numFmtId="0" fontId="3" fillId="0" borderId="2" xfId="7" applyBorder="1" applyAlignment="1">
      <alignment horizontal="center"/>
    </xf>
    <xf numFmtId="17" fontId="3" fillId="0" borderId="2" xfId="7" applyNumberFormat="1" applyBorder="1" applyAlignment="1">
      <alignment horizontal="left"/>
    </xf>
    <xf numFmtId="0" fontId="3" fillId="0" borderId="0" xfId="7" applyAlignment="1">
      <alignment horizontal="center"/>
    </xf>
    <xf numFmtId="0" fontId="3" fillId="23" borderId="0" xfId="7" applyFill="1" applyAlignment="1">
      <alignment horizontal="left"/>
    </xf>
    <xf numFmtId="0" fontId="3" fillId="0" borderId="0" xfId="7" applyAlignment="1">
      <alignment horizontal="right"/>
    </xf>
    <xf numFmtId="0" fontId="3" fillId="0" borderId="25" xfId="7" applyBorder="1" applyAlignment="1">
      <alignment horizontal="right"/>
    </xf>
    <xf numFmtId="0" fontId="4" fillId="0" borderId="36" xfId="7" applyFont="1" applyBorder="1" applyAlignment="1">
      <alignment horizontal="left"/>
    </xf>
    <xf numFmtId="0" fontId="4" fillId="0" borderId="37" xfId="7" applyFont="1" applyBorder="1" applyAlignment="1">
      <alignment horizontal="left"/>
    </xf>
    <xf numFmtId="0" fontId="4" fillId="0" borderId="49" xfId="7" applyFont="1" applyBorder="1" applyAlignment="1">
      <alignment horizontal="left"/>
    </xf>
    <xf numFmtId="0" fontId="4" fillId="0" borderId="39" xfId="7" applyFont="1" applyBorder="1" applyAlignment="1">
      <alignment horizontal="left"/>
    </xf>
    <xf numFmtId="0" fontId="4" fillId="0" borderId="40" xfId="7" applyFont="1" applyBorder="1" applyAlignment="1">
      <alignment horizontal="left"/>
    </xf>
    <xf numFmtId="0" fontId="4" fillId="0" borderId="42" xfId="7" applyFont="1" applyBorder="1" applyAlignment="1">
      <alignment horizontal="left"/>
    </xf>
    <xf numFmtId="0" fontId="4" fillId="0" borderId="39" xfId="7" applyFont="1" applyBorder="1" applyAlignment="1">
      <alignment horizontal="center"/>
    </xf>
    <xf numFmtId="0" fontId="4" fillId="0" borderId="40" xfId="7" applyFont="1" applyBorder="1" applyAlignment="1">
      <alignment horizontal="center"/>
    </xf>
    <xf numFmtId="0" fontId="4" fillId="0" borderId="42" xfId="7" applyFont="1" applyBorder="1" applyAlignment="1">
      <alignment horizontal="center"/>
    </xf>
    <xf numFmtId="0" fontId="3" fillId="8" borderId="8" xfId="7" applyFill="1" applyBorder="1" applyAlignment="1">
      <alignment horizontal="center" vertical="center"/>
    </xf>
    <xf numFmtId="0" fontId="3" fillId="8" borderId="40" xfId="7" applyFill="1" applyBorder="1" applyAlignment="1">
      <alignment horizontal="center" vertical="center"/>
    </xf>
    <xf numFmtId="0" fontId="3" fillId="8" borderId="42" xfId="7" applyFill="1" applyBorder="1" applyAlignment="1">
      <alignment horizontal="center" vertical="center"/>
    </xf>
    <xf numFmtId="0" fontId="3" fillId="2" borderId="8" xfId="7" applyFill="1" applyBorder="1" applyAlignment="1">
      <alignment horizontal="left"/>
    </xf>
    <xf numFmtId="0" fontId="3" fillId="2" borderId="40" xfId="7" applyFill="1" applyBorder="1" applyAlignment="1">
      <alignment horizontal="left"/>
    </xf>
    <xf numFmtId="0" fontId="3" fillId="2" borderId="42" xfId="7" applyFill="1" applyBorder="1" applyAlignment="1">
      <alignment horizontal="left"/>
    </xf>
    <xf numFmtId="0" fontId="3" fillId="2" borderId="44" xfId="7" applyFill="1" applyBorder="1" applyAlignment="1">
      <alignment horizontal="left"/>
    </xf>
    <xf numFmtId="0" fontId="3" fillId="2" borderId="45" xfId="7" applyFill="1" applyBorder="1" applyAlignment="1">
      <alignment horizontal="left"/>
    </xf>
    <xf numFmtId="0" fontId="3" fillId="2" borderId="46" xfId="7" applyFill="1" applyBorder="1" applyAlignment="1">
      <alignment horizontal="left"/>
    </xf>
    <xf numFmtId="0" fontId="4" fillId="0" borderId="39" xfId="7" applyFont="1" applyBorder="1" applyAlignment="1">
      <alignment horizontal="left" vertical="center"/>
    </xf>
    <xf numFmtId="169" fontId="20" fillId="0" borderId="0" xfId="7" applyNumberFormat="1" applyFont="1" applyAlignment="1">
      <alignment horizontal="center"/>
    </xf>
    <xf numFmtId="169" fontId="20" fillId="0" borderId="17" xfId="7" applyNumberFormat="1" applyFont="1" applyBorder="1" applyAlignment="1">
      <alignment horizontal="center"/>
    </xf>
    <xf numFmtId="0" fontId="4" fillId="0" borderId="98" xfId="7" applyFont="1" applyBorder="1" applyAlignment="1">
      <alignment horizontal="center" vertical="center" wrapText="1"/>
    </xf>
    <xf numFmtId="0" fontId="4" fillId="0" borderId="21" xfId="7" applyFont="1" applyBorder="1" applyAlignment="1">
      <alignment horizontal="center" vertical="center" wrapText="1"/>
    </xf>
    <xf numFmtId="0" fontId="3" fillId="0" borderId="35" xfId="7" applyBorder="1"/>
    <xf numFmtId="0" fontId="4" fillId="0" borderId="46" xfId="7" applyFont="1" applyBorder="1" applyAlignment="1">
      <alignment horizontal="center" vertical="center"/>
    </xf>
    <xf numFmtId="0" fontId="4" fillId="0" borderId="57" xfId="7" applyFont="1" applyBorder="1" applyAlignment="1">
      <alignment horizontal="center" vertical="center"/>
    </xf>
    <xf numFmtId="37" fontId="31" fillId="0" borderId="57" xfId="7" applyNumberFormat="1" applyFont="1" applyBorder="1" applyAlignment="1">
      <alignment horizontal="center" vertical="center"/>
    </xf>
    <xf numFmtId="37" fontId="31" fillId="0" borderId="75" xfId="7" applyNumberFormat="1" applyFont="1" applyBorder="1" applyAlignment="1">
      <alignment horizontal="center" vertical="center"/>
    </xf>
    <xf numFmtId="0" fontId="3" fillId="0" borderId="1" xfId="7" applyBorder="1" applyAlignment="1">
      <alignment horizontal="left" vertical="center"/>
    </xf>
    <xf numFmtId="0" fontId="3" fillId="0" borderId="3" xfId="7" applyBorder="1"/>
    <xf numFmtId="0" fontId="4" fillId="0" borderId="2" xfId="7" applyFont="1" applyBorder="1" applyAlignment="1">
      <alignment horizontal="center" vertical="center" wrapText="1"/>
    </xf>
    <xf numFmtId="0" fontId="4" fillId="0" borderId="48" xfId="7" applyFont="1" applyBorder="1" applyAlignment="1">
      <alignment horizontal="center" vertical="center" wrapText="1"/>
    </xf>
    <xf numFmtId="0" fontId="4" fillId="0" borderId="29" xfId="7" applyFont="1" applyBorder="1" applyAlignment="1">
      <alignment horizontal="center" vertical="center" wrapText="1"/>
    </xf>
    <xf numFmtId="0" fontId="4" fillId="0" borderId="47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0" fontId="4" fillId="0" borderId="83" xfId="7" applyFont="1" applyBorder="1" applyAlignment="1">
      <alignment horizontal="center" vertical="center" wrapText="1"/>
    </xf>
    <xf numFmtId="0" fontId="3" fillId="0" borderId="17" xfId="7" applyBorder="1"/>
    <xf numFmtId="0" fontId="4" fillId="0" borderId="42" xfId="7" applyFont="1" applyBorder="1" applyAlignment="1">
      <alignment horizontal="center" vertical="center"/>
    </xf>
    <xf numFmtId="0" fontId="4" fillId="0" borderId="7" xfId="7" applyFont="1" applyBorder="1" applyAlignment="1">
      <alignment horizontal="center" vertical="center"/>
    </xf>
    <xf numFmtId="1" fontId="31" fillId="25" borderId="7" xfId="7" applyNumberFormat="1" applyFont="1" applyFill="1" applyBorder="1" applyAlignment="1">
      <alignment horizontal="center" vertical="center"/>
    </xf>
    <xf numFmtId="0" fontId="31" fillId="25" borderId="7" xfId="7" applyFont="1" applyFill="1" applyBorder="1" applyAlignment="1">
      <alignment horizontal="center" vertical="center"/>
    </xf>
    <xf numFmtId="0" fontId="31" fillId="25" borderId="9" xfId="7" applyFont="1" applyFill="1" applyBorder="1" applyAlignment="1">
      <alignment horizontal="center" vertical="center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26" xfId="7" applyFont="1" applyBorder="1" applyAlignment="1">
      <alignment horizontal="center" vertical="center" wrapText="1"/>
    </xf>
    <xf numFmtId="0" fontId="32" fillId="0" borderId="76" xfId="7" applyFont="1" applyBorder="1" applyAlignment="1">
      <alignment horizontal="left" vertical="center"/>
    </xf>
    <xf numFmtId="0" fontId="32" fillId="0" borderId="2" xfId="7" applyFont="1" applyBorder="1" applyAlignment="1">
      <alignment horizontal="left" vertical="center"/>
    </xf>
    <xf numFmtId="0" fontId="32" fillId="0" borderId="2" xfId="7" applyFont="1" applyBorder="1" applyAlignment="1">
      <alignment vertical="center"/>
    </xf>
    <xf numFmtId="0" fontId="33" fillId="0" borderId="1" xfId="7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33" fillId="0" borderId="28" xfId="7" applyFont="1" applyBorder="1" applyAlignment="1">
      <alignment horizontal="center" vertical="center" wrapText="1"/>
    </xf>
    <xf numFmtId="0" fontId="33" fillId="0" borderId="29" xfId="7" applyFont="1" applyBorder="1" applyAlignment="1">
      <alignment horizontal="center" vertical="center" wrapText="1"/>
    </xf>
    <xf numFmtId="0" fontId="33" fillId="0" borderId="3" xfId="7" applyFont="1" applyBorder="1" applyAlignment="1">
      <alignment horizontal="center" vertical="center" wrapText="1"/>
    </xf>
    <xf numFmtId="0" fontId="33" fillId="0" borderId="83" xfId="7" applyFont="1" applyBorder="1" applyAlignment="1">
      <alignment horizontal="center" vertical="center" wrapText="1"/>
    </xf>
    <xf numFmtId="0" fontId="32" fillId="0" borderId="52" xfId="7" applyFont="1" applyBorder="1" applyAlignment="1">
      <alignment vertical="center"/>
    </xf>
    <xf numFmtId="0" fontId="32" fillId="0" borderId="0" xfId="7" applyFont="1" applyAlignment="1">
      <alignment vertical="center"/>
    </xf>
    <xf numFmtId="0" fontId="33" fillId="0" borderId="15" xfId="7" applyFont="1" applyBorder="1" applyAlignment="1">
      <alignment horizontal="center" vertical="center"/>
    </xf>
    <xf numFmtId="0" fontId="33" fillId="0" borderId="7" xfId="7" applyFont="1" applyBorder="1" applyAlignment="1">
      <alignment horizontal="center" vertical="center"/>
    </xf>
    <xf numFmtId="0" fontId="32" fillId="0" borderId="53" xfId="7" applyFont="1" applyBorder="1" applyAlignment="1">
      <alignment vertical="center"/>
    </xf>
    <xf numFmtId="0" fontId="32" fillId="0" borderId="29" xfId="7" applyFont="1" applyBorder="1" applyAlignment="1">
      <alignment vertical="center"/>
    </xf>
    <xf numFmtId="0" fontId="33" fillId="0" borderId="16" xfId="7" applyFont="1" applyBorder="1" applyAlignment="1">
      <alignment horizontal="center" vertical="center"/>
    </xf>
    <xf numFmtId="0" fontId="33" fillId="0" borderId="10" xfId="7" applyFont="1" applyBorder="1" applyAlignment="1">
      <alignment horizontal="center" vertical="center"/>
    </xf>
    <xf numFmtId="37" fontId="31" fillId="0" borderId="10" xfId="7" applyNumberFormat="1" applyFont="1" applyBorder="1" applyAlignment="1">
      <alignment horizontal="center" vertical="center"/>
    </xf>
    <xf numFmtId="37" fontId="31" fillId="0" borderId="12" xfId="7" applyNumberFormat="1" applyFont="1" applyBorder="1" applyAlignment="1">
      <alignment horizontal="center" vertical="center"/>
    </xf>
    <xf numFmtId="0" fontId="32" fillId="0" borderId="44" xfId="7" applyFont="1" applyBorder="1" applyAlignment="1">
      <alignment horizontal="left" vertical="center"/>
    </xf>
    <xf numFmtId="0" fontId="32" fillId="0" borderId="45" xfId="7" applyFont="1" applyBorder="1" applyAlignment="1">
      <alignment horizontal="left" vertical="center"/>
    </xf>
    <xf numFmtId="0" fontId="32" fillId="0" borderId="45" xfId="7" applyFont="1" applyBorder="1" applyAlignment="1">
      <alignment vertical="center"/>
    </xf>
    <xf numFmtId="0" fontId="32" fillId="0" borderId="1" xfId="7" applyFont="1" applyBorder="1" applyAlignment="1">
      <alignment horizontal="left" vertical="center"/>
    </xf>
    <xf numFmtId="0" fontId="32" fillId="0" borderId="33" xfId="7" applyFont="1" applyBorder="1" applyAlignment="1">
      <alignment vertical="center"/>
    </xf>
    <xf numFmtId="0" fontId="32" fillId="0" borderId="28" xfId="7" applyFont="1" applyBorder="1" applyAlignment="1">
      <alignment vertical="center"/>
    </xf>
    <xf numFmtId="0" fontId="3" fillId="0" borderId="53" xfId="7" applyBorder="1" applyAlignment="1">
      <alignment vertical="center"/>
    </xf>
    <xf numFmtId="0" fontId="3" fillId="0" borderId="29" xfId="7" applyBorder="1" applyAlignment="1">
      <alignment vertical="center"/>
    </xf>
    <xf numFmtId="0" fontId="4" fillId="0" borderId="16" xfId="7" applyFont="1" applyBorder="1" applyAlignment="1">
      <alignment horizontal="center" vertical="center"/>
    </xf>
    <xf numFmtId="0" fontId="4" fillId="0" borderId="10" xfId="7" applyFont="1" applyBorder="1" applyAlignment="1">
      <alignment horizontal="center" vertical="center"/>
    </xf>
    <xf numFmtId="0" fontId="3" fillId="0" borderId="76" xfId="7" applyBorder="1" applyAlignment="1">
      <alignment horizontal="left" vertical="center"/>
    </xf>
    <xf numFmtId="0" fontId="3" fillId="0" borderId="2" xfId="7" applyBorder="1" applyAlignment="1">
      <alignment vertical="center"/>
    </xf>
    <xf numFmtId="0" fontId="4" fillId="0" borderId="1" xfId="7" applyFont="1" applyBorder="1" applyAlignment="1">
      <alignment horizontal="center" vertical="center" wrapText="1"/>
    </xf>
    <xf numFmtId="0" fontId="4" fillId="0" borderId="28" xfId="7" applyFont="1" applyBorder="1" applyAlignment="1">
      <alignment horizontal="center" vertical="center" wrapText="1"/>
    </xf>
    <xf numFmtId="0" fontId="3" fillId="0" borderId="52" xfId="7" applyBorder="1" applyAlignment="1">
      <alignment vertical="center"/>
    </xf>
    <xf numFmtId="0" fontId="3" fillId="0" borderId="0" xfId="7" applyAlignment="1">
      <alignment vertical="center"/>
    </xf>
    <xf numFmtId="0" fontId="4" fillId="0" borderId="15" xfId="7" applyFont="1" applyBorder="1" applyAlignment="1">
      <alignment horizontal="center" vertical="center"/>
    </xf>
    <xf numFmtId="0" fontId="3" fillId="0" borderId="28" xfId="7" applyBorder="1" applyAlignment="1">
      <alignment vertical="center"/>
    </xf>
    <xf numFmtId="0" fontId="3" fillId="0" borderId="33" xfId="7" applyBorder="1" applyAlignment="1">
      <alignment vertical="center"/>
    </xf>
    <xf numFmtId="0" fontId="3" fillId="0" borderId="44" xfId="7" applyBorder="1" applyAlignment="1">
      <alignment horizontal="left" vertical="center"/>
    </xf>
    <xf numFmtId="0" fontId="3" fillId="0" borderId="45" xfId="7" applyBorder="1" applyAlignment="1">
      <alignment vertical="center"/>
    </xf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3" fillId="27" borderId="7" xfId="7" applyFill="1" applyBorder="1" applyAlignment="1">
      <alignment horizontal="center"/>
    </xf>
    <xf numFmtId="0" fontId="3" fillId="27" borderId="57" xfId="7" applyFill="1" applyBorder="1" applyAlignment="1">
      <alignment horizontal="center"/>
    </xf>
    <xf numFmtId="0" fontId="3" fillId="0" borderId="20" xfId="7" applyBorder="1" applyAlignment="1">
      <alignment horizontal="center"/>
    </xf>
    <xf numFmtId="0" fontId="3" fillId="28" borderId="23" xfId="7" applyFill="1" applyBorder="1" applyAlignment="1">
      <alignment horizontal="center"/>
    </xf>
    <xf numFmtId="0" fontId="3" fillId="28" borderId="98" xfId="7" applyFill="1" applyBorder="1" applyAlignment="1">
      <alignment horizontal="center"/>
    </xf>
    <xf numFmtId="0" fontId="3" fillId="0" borderId="1" xfId="7" applyBorder="1" applyAlignment="1">
      <alignment horizontal="center"/>
    </xf>
    <xf numFmtId="0" fontId="3" fillId="0" borderId="3" xfId="7" applyBorder="1" applyAlignment="1">
      <alignment horizontal="center"/>
    </xf>
    <xf numFmtId="0" fontId="12" fillId="0" borderId="33" xfId="7" applyFont="1" applyBorder="1" applyAlignment="1">
      <alignment horizontal="right"/>
    </xf>
    <xf numFmtId="0" fontId="12" fillId="0" borderId="0" xfId="7" applyFont="1" applyAlignment="1">
      <alignment horizontal="right"/>
    </xf>
    <xf numFmtId="0" fontId="3" fillId="27" borderId="29" xfId="7" applyFill="1" applyBorder="1" applyAlignment="1">
      <alignment horizontal="center"/>
    </xf>
    <xf numFmtId="0" fontId="12" fillId="27" borderId="29" xfId="7" applyFont="1" applyFill="1" applyBorder="1" applyAlignment="1">
      <alignment horizontal="right"/>
    </xf>
    <xf numFmtId="0" fontId="3" fillId="23" borderId="7" xfId="7" applyFill="1" applyBorder="1" applyAlignment="1">
      <alignment horizontal="center" vertical="center"/>
    </xf>
    <xf numFmtId="0" fontId="3" fillId="23" borderId="8" xfId="7" applyFill="1" applyBorder="1" applyAlignment="1">
      <alignment horizontal="center" vertical="center"/>
    </xf>
    <xf numFmtId="0" fontId="3" fillId="23" borderId="41" xfId="7" applyFill="1" applyBorder="1" applyAlignment="1">
      <alignment horizontal="center" vertical="center"/>
    </xf>
    <xf numFmtId="0" fontId="4" fillId="0" borderId="100" xfId="7" applyFont="1" applyBorder="1" applyAlignment="1">
      <alignment horizontal="center" vertical="center"/>
    </xf>
    <xf numFmtId="0" fontId="4" fillId="0" borderId="99" xfId="7" applyFont="1" applyBorder="1" applyAlignment="1">
      <alignment horizontal="center" vertical="center"/>
    </xf>
    <xf numFmtId="0" fontId="4" fillId="0" borderId="48" xfId="7" applyFont="1" applyBorder="1" applyAlignment="1">
      <alignment horizontal="center" vertical="center"/>
    </xf>
    <xf numFmtId="0" fontId="4" fillId="0" borderId="82" xfId="7" applyFont="1" applyBorder="1" applyAlignment="1">
      <alignment horizontal="center" vertical="center"/>
    </xf>
    <xf numFmtId="0" fontId="4" fillId="0" borderId="18" xfId="7" applyFont="1" applyBorder="1" applyAlignment="1">
      <alignment horizontal="center" vertical="center"/>
    </xf>
    <xf numFmtId="0" fontId="4" fillId="0" borderId="96" xfId="7" applyFont="1" applyBorder="1" applyAlignment="1">
      <alignment horizontal="center" vertical="center"/>
    </xf>
    <xf numFmtId="0" fontId="4" fillId="0" borderId="27" xfId="7" applyFont="1" applyBorder="1" applyAlignment="1">
      <alignment horizontal="center" vertical="center"/>
    </xf>
    <xf numFmtId="0" fontId="3" fillId="0" borderId="85" xfId="7" applyBorder="1" applyAlignment="1">
      <alignment horizontal="center" vertical="center"/>
    </xf>
    <xf numFmtId="0" fontId="4" fillId="0" borderId="10" xfId="7" applyFont="1" applyBorder="1" applyAlignment="1">
      <alignment horizontal="center" vertical="top"/>
    </xf>
    <xf numFmtId="0" fontId="3" fillId="28" borderId="51" xfId="7" applyFill="1" applyBorder="1" applyAlignment="1">
      <alignment horizontal="center"/>
    </xf>
    <xf numFmtId="0" fontId="20" fillId="0" borderId="2" xfId="7" applyFont="1" applyBorder="1" applyAlignment="1">
      <alignment horizontal="center"/>
    </xf>
    <xf numFmtId="0" fontId="20" fillId="0" borderId="3" xfId="7" applyFont="1" applyBorder="1" applyAlignment="1">
      <alignment horizontal="center"/>
    </xf>
    <xf numFmtId="0" fontId="3" fillId="23" borderId="51" xfId="7" applyFill="1" applyBorder="1" applyAlignment="1">
      <alignment horizontal="center" vertical="center"/>
    </xf>
    <xf numFmtId="0" fontId="4" fillId="0" borderId="53" xfId="7" applyFont="1" applyBorder="1" applyAlignment="1">
      <alignment horizontal="left" vertical="center"/>
    </xf>
    <xf numFmtId="0" fontId="3" fillId="23" borderId="53" xfId="7" applyFill="1" applyBorder="1" applyAlignment="1">
      <alignment horizontal="center" vertical="center"/>
    </xf>
    <xf numFmtId="0" fontId="3" fillId="23" borderId="83" xfId="7" applyFill="1" applyBorder="1" applyAlignment="1">
      <alignment horizontal="center" vertical="center"/>
    </xf>
    <xf numFmtId="0" fontId="3" fillId="27" borderId="7" xfId="7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10" borderId="44" xfId="0" applyFill="1" applyBorder="1" applyAlignment="1" applyProtection="1">
      <alignment horizontal="left" vertical="top" wrapText="1"/>
      <protection locked="0"/>
    </xf>
    <xf numFmtId="0" fontId="0" fillId="10" borderId="46" xfId="0" applyFill="1" applyBorder="1" applyAlignment="1" applyProtection="1">
      <alignment horizontal="left" vertical="top" wrapText="1"/>
      <protection locked="0"/>
    </xf>
    <xf numFmtId="0" fontId="0" fillId="10" borderId="52" xfId="0" applyFill="1" applyBorder="1" applyAlignment="1" applyProtection="1">
      <alignment horizontal="left" vertical="top" wrapText="1"/>
      <protection locked="0"/>
    </xf>
    <xf numFmtId="0" fontId="0" fillId="10" borderId="54" xfId="0" applyFill="1" applyBorder="1" applyAlignment="1" applyProtection="1">
      <alignment horizontal="left" vertical="top" wrapText="1"/>
      <protection locked="0"/>
    </xf>
    <xf numFmtId="0" fontId="0" fillId="10" borderId="53" xfId="0" applyFill="1" applyBorder="1" applyAlignment="1" applyProtection="1">
      <alignment horizontal="left" vertical="top" wrapText="1"/>
      <protection locked="0"/>
    </xf>
    <xf numFmtId="0" fontId="0" fillId="10" borderId="47" xfId="0" applyFill="1" applyBorder="1" applyAlignment="1" applyProtection="1">
      <alignment horizontal="left" vertical="top" wrapText="1"/>
      <protection locked="0"/>
    </xf>
    <xf numFmtId="0" fontId="0" fillId="10" borderId="44" xfId="0" applyFill="1" applyBorder="1" applyAlignment="1" applyProtection="1">
      <alignment horizontal="center" wrapText="1"/>
      <protection locked="0"/>
    </xf>
    <xf numFmtId="0" fontId="0" fillId="10" borderId="46" xfId="0" applyFill="1" applyBorder="1" applyAlignment="1" applyProtection="1">
      <alignment horizontal="center" wrapText="1"/>
      <protection locked="0"/>
    </xf>
    <xf numFmtId="0" fontId="0" fillId="10" borderId="52" xfId="0" applyFill="1" applyBorder="1" applyAlignment="1" applyProtection="1">
      <alignment horizontal="center" wrapText="1"/>
      <protection locked="0"/>
    </xf>
    <xf numFmtId="0" fontId="0" fillId="10" borderId="54" xfId="0" applyFill="1" applyBorder="1" applyAlignment="1" applyProtection="1">
      <alignment horizontal="center" wrapText="1"/>
      <protection locked="0"/>
    </xf>
    <xf numFmtId="0" fontId="0" fillId="10" borderId="53" xfId="0" applyFill="1" applyBorder="1" applyAlignment="1" applyProtection="1">
      <alignment horizontal="center" wrapText="1"/>
      <protection locked="0"/>
    </xf>
    <xf numFmtId="0" fontId="0" fillId="10" borderId="47" xfId="0" applyFill="1" applyBorder="1" applyAlignment="1" applyProtection="1">
      <alignment horizontal="center" wrapText="1"/>
      <protection locked="0"/>
    </xf>
    <xf numFmtId="0" fontId="0" fillId="0" borderId="40" xfId="0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8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8" xfId="0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10" fillId="0" borderId="0" xfId="0" applyFont="1" applyFill="1"/>
    <xf numFmtId="0" fontId="10" fillId="0" borderId="0" xfId="0" applyFont="1" applyFill="1" applyBorder="1"/>
    <xf numFmtId="0" fontId="55" fillId="0" borderId="0" xfId="0" applyFont="1" applyFill="1" applyBorder="1"/>
    <xf numFmtId="14" fontId="10" fillId="0" borderId="0" xfId="0" applyNumberFormat="1" applyFont="1" applyFill="1" applyBorder="1"/>
    <xf numFmtId="9" fontId="10" fillId="0" borderId="0" xfId="0" applyNumberFormat="1" applyFont="1" applyFill="1" applyBorder="1"/>
    <xf numFmtId="175" fontId="10" fillId="0" borderId="0" xfId="0" applyNumberFormat="1" applyFont="1" applyFill="1" applyBorder="1"/>
    <xf numFmtId="0" fontId="10" fillId="0" borderId="0" xfId="0" applyFont="1" applyFill="1" applyBorder="1" applyAlignment="1">
      <alignment horizontal="center"/>
    </xf>
    <xf numFmtId="9" fontId="10" fillId="0" borderId="0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 applyProtection="1">
      <alignment horizontal="center"/>
      <protection locked="0"/>
    </xf>
    <xf numFmtId="190" fontId="10" fillId="0" borderId="0" xfId="0" applyNumberFormat="1" applyFont="1" applyFill="1" applyBorder="1"/>
    <xf numFmtId="0" fontId="10" fillId="0" borderId="0" xfId="0" applyFont="1" applyFill="1" applyBorder="1" applyAlignment="1">
      <alignment horizontal="right"/>
    </xf>
    <xf numFmtId="191" fontId="10" fillId="0" borderId="0" xfId="0" applyNumberFormat="1" applyFont="1" applyFill="1" applyBorder="1" applyAlignment="1">
      <alignment horizontal="left"/>
    </xf>
    <xf numFmtId="0" fontId="10" fillId="0" borderId="0" xfId="0" applyFont="1" applyFill="1" applyBorder="1" applyAlignment="1">
      <alignment horizontal="center" wrapText="1"/>
    </xf>
    <xf numFmtId="165" fontId="10" fillId="0" borderId="0" xfId="0" applyNumberFormat="1" applyFont="1" applyFill="1" applyBorder="1" applyAlignment="1">
      <alignment horizontal="center" wrapText="1"/>
    </xf>
    <xf numFmtId="2" fontId="10" fillId="0" borderId="0" xfId="0" applyNumberFormat="1" applyFont="1" applyFill="1" applyBorder="1"/>
    <xf numFmtId="0" fontId="51" fillId="0" borderId="0" xfId="0" applyFont="1" applyFill="1" applyBorder="1" applyAlignment="1">
      <alignment horizontal="left" indent="1"/>
    </xf>
    <xf numFmtId="172" fontId="10" fillId="0" borderId="0" xfId="0" applyNumberFormat="1" applyFont="1" applyFill="1" applyBorder="1"/>
    <xf numFmtId="0" fontId="52" fillId="0" borderId="0" xfId="0" applyFont="1" applyFill="1" applyBorder="1" applyAlignment="1">
      <alignment horizontal="left" indent="4"/>
    </xf>
    <xf numFmtId="0" fontId="53" fillId="0" borderId="0" xfId="0" applyFont="1" applyFill="1" applyBorder="1"/>
    <xf numFmtId="14" fontId="10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190" fontId="10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vertical="center" wrapText="1"/>
    </xf>
    <xf numFmtId="15" fontId="10" fillId="0" borderId="0" xfId="0" applyNumberFormat="1" applyFont="1" applyFill="1" applyBorder="1" applyAlignment="1">
      <alignment horizontal="center"/>
    </xf>
    <xf numFmtId="165" fontId="10" fillId="0" borderId="0" xfId="0" applyNumberFormat="1" applyFont="1" applyFill="1" applyBorder="1"/>
    <xf numFmtId="1" fontId="10" fillId="0" borderId="0" xfId="0" applyNumberFormat="1" applyFont="1" applyFill="1" applyBorder="1" applyAlignment="1">
      <alignment horizontal="center"/>
    </xf>
    <xf numFmtId="4" fontId="10" fillId="0" borderId="0" xfId="0" applyNumberFormat="1" applyFont="1" applyFill="1" applyBorder="1" applyAlignment="1">
      <alignment horizontal="center"/>
    </xf>
    <xf numFmtId="2" fontId="10" fillId="0" borderId="0" xfId="0" applyNumberFormat="1" applyFont="1" applyFill="1" applyBorder="1" applyAlignment="1">
      <alignment horizontal="center"/>
    </xf>
    <xf numFmtId="0" fontId="54" fillId="0" borderId="0" xfId="0" applyFont="1" applyFill="1" applyBorder="1"/>
    <xf numFmtId="0" fontId="10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vertical="top"/>
      <protection locked="0"/>
    </xf>
    <xf numFmtId="0" fontId="10" fillId="0" borderId="0" xfId="0" applyFont="1" applyFill="1" applyBorder="1" applyAlignment="1">
      <alignment wrapText="1"/>
    </xf>
    <xf numFmtId="0" fontId="50" fillId="0" borderId="0" xfId="0" applyFont="1" applyFill="1" applyBorder="1" applyAlignment="1">
      <alignment horizontal="center"/>
    </xf>
    <xf numFmtId="171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top" wrapText="1"/>
    </xf>
    <xf numFmtId="0" fontId="50" fillId="0" borderId="0" xfId="0" applyFont="1" applyFill="1" applyBorder="1"/>
    <xf numFmtId="0" fontId="50" fillId="0" borderId="52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</cellXfs>
  <cellStyles count="20">
    <cellStyle name="Comma 2" xfId="14" xr:uid="{00000000-0005-0000-0000-000000000000}"/>
    <cellStyle name="Currency" xfId="1" builtinId="4"/>
    <cellStyle name="Currency 2" xfId="5" xr:uid="{00000000-0005-0000-0000-000002000000}"/>
    <cellStyle name="Currency 3" xfId="11" xr:uid="{00000000-0005-0000-0000-000003000000}"/>
    <cellStyle name="Currency_01 01 RRM Consultant Tender Evaluations N1 South" xfId="13" xr:uid="{00000000-0005-0000-0000-000004000000}"/>
    <cellStyle name="Date" xfId="15" xr:uid="{00000000-0005-0000-0000-000005000000}"/>
    <cellStyle name="Fixed" xfId="16" xr:uid="{00000000-0005-0000-0000-000006000000}"/>
    <cellStyle name="HEADING1" xfId="17" xr:uid="{00000000-0005-0000-0000-000007000000}"/>
    <cellStyle name="HEADING2" xfId="18" xr:uid="{00000000-0005-0000-0000-000008000000}"/>
    <cellStyle name="Normal" xfId="0" builtinId="0"/>
    <cellStyle name="Normal 10 2" xfId="7" xr:uid="{00000000-0005-0000-0000-00000A000000}"/>
    <cellStyle name="Normal 2" xfId="4" xr:uid="{00000000-0005-0000-0000-00000B000000}"/>
    <cellStyle name="Normal 3" xfId="8" xr:uid="{00000000-0005-0000-0000-00000C000000}"/>
    <cellStyle name="Normal 4" xfId="9" xr:uid="{00000000-0005-0000-0000-00000D000000}"/>
    <cellStyle name="Normal 5" xfId="3" xr:uid="{00000000-0005-0000-0000-00000E000000}"/>
    <cellStyle name="Normal 6" xfId="10" xr:uid="{00000000-0005-0000-0000-00000F000000}"/>
    <cellStyle name="Normal 60" xfId="19" xr:uid="{00000000-0005-0000-0000-000010000000}"/>
    <cellStyle name="Normal_Payment Certificate Proforma" xfId="12" xr:uid="{00000000-0005-0000-0000-000011000000}"/>
    <cellStyle name="Percent" xfId="2" builtinId="5"/>
    <cellStyle name="Percent 2" xfId="6" xr:uid="{00000000-0005-0000-0000-000013000000}"/>
  </cellStyles>
  <dxfs count="13500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color theme="0"/>
      </font>
    </dxf>
    <dxf>
      <font>
        <strike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CCFFFF"/>
      <color rgb="FF00FF00"/>
      <color rgb="FFF20079"/>
      <color rgb="FFFFFF66"/>
      <color rgb="FFFFCC00"/>
      <color rgb="FFFFFF99"/>
      <color rgb="FFCCCCFF"/>
      <color rgb="FFCCECFF"/>
      <color rgb="FF9A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microsoft.com/office/2017/10/relationships/person" Target="persons/perso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AA3-42C2-B409-2DCC20318AF7}"/>
            </c:ext>
          </c:extLst>
        </c:ser>
        <c:ser>
          <c:idx val="1"/>
          <c:order val="1"/>
          <c:tx>
            <c:strRef>
              <c:f>'ADJ-1'!$D$142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AA3-42C2-B409-2DCC20318AF7}"/>
            </c:ext>
          </c:extLst>
        </c:ser>
        <c:ser>
          <c:idx val="2"/>
          <c:order val="2"/>
          <c:tx>
            <c:strRef>
              <c:f>'ADJ-1'!$E$142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AA3-42C2-B409-2DCC20318AF7}"/>
            </c:ext>
          </c:extLst>
        </c:ser>
        <c:ser>
          <c:idx val="3"/>
          <c:order val="3"/>
          <c:tx>
            <c:strRef>
              <c:f>'ADJ-1'!$F$142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AA3-42C2-B409-2DCC20318AF7}"/>
            </c:ext>
          </c:extLst>
        </c:ser>
        <c:ser>
          <c:idx val="4"/>
          <c:order val="4"/>
          <c:tx>
            <c:strRef>
              <c:f>'ADJ-1'!$G$142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AA3-42C2-B409-2DCC20318AF7}"/>
            </c:ext>
          </c:extLst>
        </c:ser>
        <c:ser>
          <c:idx val="5"/>
          <c:order val="5"/>
          <c:tx>
            <c:strRef>
              <c:f>'ADJ-1'!$I$142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AA3-42C2-B409-2DCC20318AF7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AA3-42C2-B409-2DCC20318A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5570432"/>
        <c:axId val="365570992"/>
      </c:scatterChart>
      <c:valAx>
        <c:axId val="36557043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65570992"/>
        <c:crosses val="autoZero"/>
        <c:crossBetween val="midCat"/>
      </c:valAx>
      <c:valAx>
        <c:axId val="36557099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655704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E7E-4C23-862F-5FEB19212C5B}"/>
            </c:ext>
          </c:extLst>
        </c:ser>
        <c:ser>
          <c:idx val="1"/>
          <c:order val="1"/>
          <c:tx>
            <c:strRef>
              <c:f>'ADJ-1'!$N$142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E7E-4C23-862F-5FEB19212C5B}"/>
            </c:ext>
          </c:extLst>
        </c:ser>
        <c:ser>
          <c:idx val="2"/>
          <c:order val="2"/>
          <c:tx>
            <c:strRef>
              <c:f>'ADJ-1'!$O$142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E7E-4C23-862F-5FEB19212C5B}"/>
            </c:ext>
          </c:extLst>
        </c:ser>
        <c:ser>
          <c:idx val="3"/>
          <c:order val="3"/>
          <c:tx>
            <c:strRef>
              <c:f>'ADJ-1'!$P$142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E7E-4C23-862F-5FEB19212C5B}"/>
            </c:ext>
          </c:extLst>
        </c:ser>
        <c:ser>
          <c:idx val="4"/>
          <c:order val="4"/>
          <c:tx>
            <c:strRef>
              <c:f>'ADJ-1'!$Q$142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E7E-4C23-862F-5FEB19212C5B}"/>
            </c:ext>
          </c:extLst>
        </c:ser>
        <c:ser>
          <c:idx val="5"/>
          <c:order val="5"/>
          <c:tx>
            <c:strRef>
              <c:f>'ADJ-1'!$S$142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E7E-4C23-862F-5FEB19212C5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E7E-4C23-862F-5FEB19212C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477888"/>
        <c:axId val="373478448"/>
      </c:scatterChart>
      <c:valAx>
        <c:axId val="37347788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478448"/>
        <c:crosses val="autoZero"/>
        <c:crossBetween val="midCat"/>
      </c:valAx>
      <c:valAx>
        <c:axId val="373478448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477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CE-4A21-8731-D0C2CD6FD995}"/>
            </c:ext>
          </c:extLst>
        </c:ser>
        <c:ser>
          <c:idx val="1"/>
          <c:order val="1"/>
          <c:tx>
            <c:strRef>
              <c:f>'ADJ-1'!$X$142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CE-4A21-8731-D0C2CD6FD995}"/>
            </c:ext>
          </c:extLst>
        </c:ser>
        <c:ser>
          <c:idx val="2"/>
          <c:order val="2"/>
          <c:tx>
            <c:strRef>
              <c:f>'ADJ-1'!$Y$142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CE-4A21-8731-D0C2CD6FD995}"/>
            </c:ext>
          </c:extLst>
        </c:ser>
        <c:ser>
          <c:idx val="3"/>
          <c:order val="3"/>
          <c:tx>
            <c:strRef>
              <c:f>'ADJ-1'!$Z$142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CE-4A21-8731-D0C2CD6FD995}"/>
            </c:ext>
          </c:extLst>
        </c:ser>
        <c:ser>
          <c:idx val="4"/>
          <c:order val="4"/>
          <c:tx>
            <c:strRef>
              <c:f>'ADJ-1'!$AA$142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CE-4A21-8731-D0C2CD6FD995}"/>
            </c:ext>
          </c:extLst>
        </c:ser>
        <c:ser>
          <c:idx val="5"/>
          <c:order val="5"/>
          <c:tx>
            <c:strRef>
              <c:f>'ADJ-1'!$AC$142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CE-4A21-8731-D0C2CD6FD995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'ADJ-1'!$V$133</c:f>
              <c:numCache>
                <c:formatCode>_ "R"\ * #,##0.00_ ;_ "R"\ * \-#,##0.00_ ;_ "R"\ * "-"??_ ;_ @_ </c:formatCode>
                <c:ptCount val="1"/>
                <c:pt idx="0">
                  <c:v>100000000</c:v>
                </c:pt>
              </c:numCache>
            </c:numRef>
          </c:xVal>
          <c:yVal>
            <c:numRef>
              <c:f>'ADJ-1'!$V$139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CE-4A21-8731-D0C2CD6FD9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99648"/>
        <c:axId val="373600208"/>
      </c:scatterChart>
      <c:valAx>
        <c:axId val="37359964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00208"/>
        <c:crosses val="autoZero"/>
        <c:crossBetween val="midCat"/>
      </c:valAx>
      <c:valAx>
        <c:axId val="373600208"/>
        <c:scaling>
          <c:logBase val="10"/>
          <c:orientation val="minMax"/>
          <c:max val="10000000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5996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7024961315755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2E-4EBA-942E-0E20900B43D6}"/>
            </c:ext>
          </c:extLst>
        </c:ser>
        <c:ser>
          <c:idx val="1"/>
          <c:order val="1"/>
          <c:tx>
            <c:strRef>
              <c:f>'ADJ-1'!$AH$142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72E-4EBA-942E-0E20900B43D6}"/>
            </c:ext>
          </c:extLst>
        </c:ser>
        <c:ser>
          <c:idx val="2"/>
          <c:order val="2"/>
          <c:tx>
            <c:strRef>
              <c:f>'ADJ-1'!$AI$142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72E-4EBA-942E-0E20900B43D6}"/>
            </c:ext>
          </c:extLst>
        </c:ser>
        <c:ser>
          <c:idx val="3"/>
          <c:order val="3"/>
          <c:tx>
            <c:strRef>
              <c:f>'ADJ-1'!$AJ$142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72E-4EBA-942E-0E20900B43D6}"/>
            </c:ext>
          </c:extLst>
        </c:ser>
        <c:ser>
          <c:idx val="4"/>
          <c:order val="4"/>
          <c:tx>
            <c:strRef>
              <c:f>'ADJ-1'!$AK$142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72E-4EBA-942E-0E20900B43D6}"/>
            </c:ext>
          </c:extLst>
        </c:ser>
        <c:ser>
          <c:idx val="5"/>
          <c:order val="5"/>
          <c:tx>
            <c:strRef>
              <c:f>'ADJ-1'!$AM$142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72E-4EBA-942E-0E20900B43D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72E-4EBA-942E-0E20900B43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23072"/>
        <c:axId val="373923632"/>
      </c:scatterChart>
      <c:valAx>
        <c:axId val="373923072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3632"/>
        <c:crosses val="autoZero"/>
        <c:crossBetween val="midCat"/>
      </c:valAx>
      <c:valAx>
        <c:axId val="373923632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307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7024961315755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8A2-47A7-81C4-1B1E92C7C4EB}"/>
            </c:ext>
          </c:extLst>
        </c:ser>
        <c:ser>
          <c:idx val="1"/>
          <c:order val="1"/>
          <c:tx>
            <c:strRef>
              <c:f>'ADJ-1'!$AR$142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8A2-47A7-81C4-1B1E92C7C4EB}"/>
            </c:ext>
          </c:extLst>
        </c:ser>
        <c:ser>
          <c:idx val="2"/>
          <c:order val="2"/>
          <c:tx>
            <c:strRef>
              <c:f>'ADJ-1'!$AS$142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8A2-47A7-81C4-1B1E92C7C4EB}"/>
            </c:ext>
          </c:extLst>
        </c:ser>
        <c:ser>
          <c:idx val="3"/>
          <c:order val="3"/>
          <c:tx>
            <c:strRef>
              <c:f>'ADJ-1'!$AT$142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8A2-47A7-81C4-1B1E92C7C4EB}"/>
            </c:ext>
          </c:extLst>
        </c:ser>
        <c:ser>
          <c:idx val="4"/>
          <c:order val="4"/>
          <c:tx>
            <c:strRef>
              <c:f>'ADJ-1'!$AU$142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8A2-47A7-81C4-1B1E92C7C4EB}"/>
            </c:ext>
          </c:extLst>
        </c:ser>
        <c:ser>
          <c:idx val="5"/>
          <c:order val="5"/>
          <c:tx>
            <c:strRef>
              <c:f>'ADJ-1'!$AW$142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8A2-47A7-81C4-1B1E92C7C4E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8A2-47A7-81C4-1B1E92C7C4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29792"/>
        <c:axId val="373930352"/>
      </c:scatterChart>
      <c:valAx>
        <c:axId val="373929792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30352"/>
        <c:crosses val="autoZero"/>
        <c:crossBetween val="midCat"/>
      </c:valAx>
      <c:valAx>
        <c:axId val="373930352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97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925739108056707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F0B-449F-AAE0-B04658ACF49B}"/>
            </c:ext>
          </c:extLst>
        </c:ser>
        <c:ser>
          <c:idx val="1"/>
          <c:order val="1"/>
          <c:tx>
            <c:strRef>
              <c:f>'ADJ-1'!$BB$142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F0B-449F-AAE0-B04658ACF49B}"/>
            </c:ext>
          </c:extLst>
        </c:ser>
        <c:ser>
          <c:idx val="2"/>
          <c:order val="2"/>
          <c:tx>
            <c:strRef>
              <c:f>'ADJ-1'!$BC$142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F0B-449F-AAE0-B04658ACF49B}"/>
            </c:ext>
          </c:extLst>
        </c:ser>
        <c:ser>
          <c:idx val="3"/>
          <c:order val="3"/>
          <c:tx>
            <c:strRef>
              <c:f>'ADJ-1'!$BD$142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F0B-449F-AAE0-B04658ACF49B}"/>
            </c:ext>
          </c:extLst>
        </c:ser>
        <c:ser>
          <c:idx val="4"/>
          <c:order val="4"/>
          <c:tx>
            <c:strRef>
              <c:f>'ADJ-1'!$BE$142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F0B-449F-AAE0-B04658ACF49B}"/>
            </c:ext>
          </c:extLst>
        </c:ser>
        <c:ser>
          <c:idx val="5"/>
          <c:order val="5"/>
          <c:tx>
            <c:strRef>
              <c:f>'ADJ-1'!$BG$142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F0B-449F-AAE0-B04658ACF49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F0B-449F-AAE0-B04658ACF4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690144"/>
        <c:axId val="373690704"/>
      </c:scatterChart>
      <c:valAx>
        <c:axId val="373690144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90704"/>
        <c:crosses val="autoZero"/>
        <c:crossBetween val="midCat"/>
      </c:valAx>
      <c:valAx>
        <c:axId val="373690704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9014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50240594926565"/>
          <c:y val="5.1400554097404488E-2"/>
          <c:w val="0.5114142607173949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19-437D-B1DC-07BEED47C7E2}"/>
            </c:ext>
          </c:extLst>
        </c:ser>
        <c:ser>
          <c:idx val="1"/>
          <c:order val="1"/>
          <c:tx>
            <c:strRef>
              <c:f>'ADJ-1'!$BL$142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19-437D-B1DC-07BEED47C7E2}"/>
            </c:ext>
          </c:extLst>
        </c:ser>
        <c:ser>
          <c:idx val="2"/>
          <c:order val="2"/>
          <c:tx>
            <c:strRef>
              <c:f>'ADJ-1'!$BM$142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19-437D-B1DC-07BEED47C7E2}"/>
            </c:ext>
          </c:extLst>
        </c:ser>
        <c:ser>
          <c:idx val="3"/>
          <c:order val="3"/>
          <c:tx>
            <c:strRef>
              <c:f>'ADJ-1'!$BN$142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19-437D-B1DC-07BEED47C7E2}"/>
            </c:ext>
          </c:extLst>
        </c:ser>
        <c:ser>
          <c:idx val="4"/>
          <c:order val="4"/>
          <c:tx>
            <c:strRef>
              <c:f>'ADJ-1'!$BO$142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19-437D-B1DC-07BEED47C7E2}"/>
            </c:ext>
          </c:extLst>
        </c:ser>
        <c:ser>
          <c:idx val="5"/>
          <c:order val="5"/>
          <c:tx>
            <c:strRef>
              <c:f>'ADJ-1'!$BQ$142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19-437D-B1DC-07BEED47C7E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19-437D-B1DC-07BEED47C7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72608"/>
        <c:axId val="373973168"/>
      </c:scatterChart>
      <c:valAx>
        <c:axId val="37397260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73168"/>
        <c:crosses val="autoZero"/>
        <c:crossBetween val="midCat"/>
      </c:valAx>
      <c:valAx>
        <c:axId val="373973168"/>
        <c:scaling>
          <c:logBase val="10"/>
          <c:orientation val="minMax"/>
          <c:max val="10000000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72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A67-4C7B-AA1C-6C3505528B81}"/>
            </c:ext>
          </c:extLst>
        </c:ser>
        <c:ser>
          <c:idx val="1"/>
          <c:order val="1"/>
          <c:tx>
            <c:strRef>
              <c:f>'ADJ-2'!$D$142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A67-4C7B-AA1C-6C3505528B81}"/>
            </c:ext>
          </c:extLst>
        </c:ser>
        <c:ser>
          <c:idx val="2"/>
          <c:order val="2"/>
          <c:tx>
            <c:strRef>
              <c:f>'ADJ-2'!$E$142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A67-4C7B-AA1C-6C3505528B81}"/>
            </c:ext>
          </c:extLst>
        </c:ser>
        <c:ser>
          <c:idx val="3"/>
          <c:order val="3"/>
          <c:tx>
            <c:strRef>
              <c:f>'ADJ-2'!$F$142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A67-4C7B-AA1C-6C3505528B81}"/>
            </c:ext>
          </c:extLst>
        </c:ser>
        <c:ser>
          <c:idx val="4"/>
          <c:order val="4"/>
          <c:tx>
            <c:strRef>
              <c:f>'ADJ-2'!$G$142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A67-4C7B-AA1C-6C3505528B81}"/>
            </c:ext>
          </c:extLst>
        </c:ser>
        <c:ser>
          <c:idx val="5"/>
          <c:order val="5"/>
          <c:tx>
            <c:strRef>
              <c:f>'ADJ-2'!$I$142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A67-4C7B-AA1C-6C3505528B81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A67-4C7B-AA1C-6C3505528B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80448"/>
        <c:axId val="373981008"/>
      </c:scatterChart>
      <c:valAx>
        <c:axId val="3739804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81008"/>
        <c:crosses val="autoZero"/>
        <c:crossBetween val="midCat"/>
      </c:valAx>
      <c:valAx>
        <c:axId val="3739810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804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CC-4E00-8810-1D3BA4AD7770}"/>
            </c:ext>
          </c:extLst>
        </c:ser>
        <c:ser>
          <c:idx val="1"/>
          <c:order val="1"/>
          <c:tx>
            <c:strRef>
              <c:f>'ADJ-2'!$N$142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CC-4E00-8810-1D3BA4AD7770}"/>
            </c:ext>
          </c:extLst>
        </c:ser>
        <c:ser>
          <c:idx val="2"/>
          <c:order val="2"/>
          <c:tx>
            <c:strRef>
              <c:f>'ADJ-2'!$O$142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CC-4E00-8810-1D3BA4AD7770}"/>
            </c:ext>
          </c:extLst>
        </c:ser>
        <c:ser>
          <c:idx val="3"/>
          <c:order val="3"/>
          <c:tx>
            <c:strRef>
              <c:f>'ADJ-2'!$P$142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CC-4E00-8810-1D3BA4AD7770}"/>
            </c:ext>
          </c:extLst>
        </c:ser>
        <c:ser>
          <c:idx val="4"/>
          <c:order val="4"/>
          <c:tx>
            <c:strRef>
              <c:f>'ADJ-2'!$Q$142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CC-4E00-8810-1D3BA4AD7770}"/>
            </c:ext>
          </c:extLst>
        </c:ser>
        <c:ser>
          <c:idx val="5"/>
          <c:order val="5"/>
          <c:tx>
            <c:strRef>
              <c:f>'ADJ-2'!$S$142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CC-4E00-8810-1D3BA4AD7770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9CC-4E00-8810-1D3BA4AD77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789456"/>
        <c:axId val="375790016"/>
      </c:scatterChart>
      <c:valAx>
        <c:axId val="37578945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0016"/>
        <c:crosses val="autoZero"/>
        <c:crossBetween val="midCat"/>
      </c:valAx>
      <c:valAx>
        <c:axId val="37579001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894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F5-477F-9B75-3417E1F4E3C8}"/>
            </c:ext>
          </c:extLst>
        </c:ser>
        <c:ser>
          <c:idx val="1"/>
          <c:order val="1"/>
          <c:tx>
            <c:strRef>
              <c:f>'ADJ-2'!$X$142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F5-477F-9B75-3417E1F4E3C8}"/>
            </c:ext>
          </c:extLst>
        </c:ser>
        <c:ser>
          <c:idx val="2"/>
          <c:order val="2"/>
          <c:tx>
            <c:strRef>
              <c:f>'ADJ-2'!$Y$142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FF5-477F-9B75-3417E1F4E3C8}"/>
            </c:ext>
          </c:extLst>
        </c:ser>
        <c:ser>
          <c:idx val="3"/>
          <c:order val="3"/>
          <c:tx>
            <c:strRef>
              <c:f>'ADJ-2'!$Z$142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FF5-477F-9B75-3417E1F4E3C8}"/>
            </c:ext>
          </c:extLst>
        </c:ser>
        <c:ser>
          <c:idx val="4"/>
          <c:order val="4"/>
          <c:tx>
            <c:strRef>
              <c:f>'ADJ-2'!$AA$142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FF5-477F-9B75-3417E1F4E3C8}"/>
            </c:ext>
          </c:extLst>
        </c:ser>
        <c:ser>
          <c:idx val="5"/>
          <c:order val="5"/>
          <c:tx>
            <c:strRef>
              <c:f>'ADJ-2'!$AC$142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FF5-477F-9B75-3417E1F4E3C8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FF5-477F-9B75-3417E1F4E3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796176"/>
        <c:axId val="375796736"/>
      </c:scatterChart>
      <c:valAx>
        <c:axId val="37579617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6736"/>
        <c:crosses val="autoZero"/>
        <c:crossBetween val="midCat"/>
      </c:valAx>
      <c:valAx>
        <c:axId val="37579673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61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7024961315756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D51-46F8-892A-FF6FACF1E539}"/>
            </c:ext>
          </c:extLst>
        </c:ser>
        <c:ser>
          <c:idx val="1"/>
          <c:order val="1"/>
          <c:tx>
            <c:strRef>
              <c:f>'ADJ-2'!$AH$142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D51-46F8-892A-FF6FACF1E539}"/>
            </c:ext>
          </c:extLst>
        </c:ser>
        <c:ser>
          <c:idx val="2"/>
          <c:order val="2"/>
          <c:tx>
            <c:strRef>
              <c:f>'ADJ-2'!$AI$142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D51-46F8-892A-FF6FACF1E539}"/>
            </c:ext>
          </c:extLst>
        </c:ser>
        <c:ser>
          <c:idx val="3"/>
          <c:order val="3"/>
          <c:tx>
            <c:strRef>
              <c:f>'ADJ-2'!$AJ$142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D51-46F8-892A-FF6FACF1E539}"/>
            </c:ext>
          </c:extLst>
        </c:ser>
        <c:ser>
          <c:idx val="4"/>
          <c:order val="4"/>
          <c:tx>
            <c:strRef>
              <c:f>'ADJ-2'!$AK$142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D51-46F8-892A-FF6FACF1E539}"/>
            </c:ext>
          </c:extLst>
        </c:ser>
        <c:ser>
          <c:idx val="5"/>
          <c:order val="5"/>
          <c:tx>
            <c:strRef>
              <c:f>'ADJ-2'!$AM$142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D51-46F8-892A-FF6FACF1E539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D51-46F8-892A-FF6FACF1E5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07136"/>
        <c:axId val="375807696"/>
      </c:scatterChart>
      <c:valAx>
        <c:axId val="37580713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07696"/>
        <c:crosses val="autoZero"/>
        <c:crossBetween val="midCat"/>
      </c:valAx>
      <c:valAx>
        <c:axId val="37580769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07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7024961315756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0D9-4A03-A5F9-3E11AA197F8D}"/>
            </c:ext>
          </c:extLst>
        </c:ser>
        <c:ser>
          <c:idx val="1"/>
          <c:order val="1"/>
          <c:tx>
            <c:strRef>
              <c:f>'ADJ-2'!$AR$142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0D9-4A03-A5F9-3E11AA197F8D}"/>
            </c:ext>
          </c:extLst>
        </c:ser>
        <c:ser>
          <c:idx val="2"/>
          <c:order val="2"/>
          <c:tx>
            <c:strRef>
              <c:f>'ADJ-2'!$AS$142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0D9-4A03-A5F9-3E11AA197F8D}"/>
            </c:ext>
          </c:extLst>
        </c:ser>
        <c:ser>
          <c:idx val="3"/>
          <c:order val="3"/>
          <c:tx>
            <c:strRef>
              <c:f>'ADJ-2'!$AT$142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0D9-4A03-A5F9-3E11AA197F8D}"/>
            </c:ext>
          </c:extLst>
        </c:ser>
        <c:ser>
          <c:idx val="4"/>
          <c:order val="4"/>
          <c:tx>
            <c:strRef>
              <c:f>'ADJ-2'!$AU$142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0D9-4A03-A5F9-3E11AA197F8D}"/>
            </c:ext>
          </c:extLst>
        </c:ser>
        <c:ser>
          <c:idx val="5"/>
          <c:order val="5"/>
          <c:tx>
            <c:strRef>
              <c:f>'ADJ-2'!$AW$142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0D9-4A03-A5F9-3E11AA197F8D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0D9-4A03-A5F9-3E11AA197F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13856"/>
        <c:axId val="375814416"/>
      </c:scatterChart>
      <c:valAx>
        <c:axId val="37581385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14416"/>
        <c:crosses val="autoZero"/>
        <c:crossBetween val="midCat"/>
      </c:valAx>
      <c:valAx>
        <c:axId val="37581441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138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9257391080567092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7E-417B-8663-D7210ED415D3}"/>
            </c:ext>
          </c:extLst>
        </c:ser>
        <c:ser>
          <c:idx val="1"/>
          <c:order val="1"/>
          <c:tx>
            <c:strRef>
              <c:f>'ADJ-2'!$BB$142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7E-417B-8663-D7210ED415D3}"/>
            </c:ext>
          </c:extLst>
        </c:ser>
        <c:ser>
          <c:idx val="2"/>
          <c:order val="2"/>
          <c:tx>
            <c:strRef>
              <c:f>'ADJ-2'!$BC$142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7E-417B-8663-D7210ED415D3}"/>
            </c:ext>
          </c:extLst>
        </c:ser>
        <c:ser>
          <c:idx val="3"/>
          <c:order val="3"/>
          <c:tx>
            <c:strRef>
              <c:f>'ADJ-2'!$BD$142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7E-417B-8663-D7210ED415D3}"/>
            </c:ext>
          </c:extLst>
        </c:ser>
        <c:ser>
          <c:idx val="4"/>
          <c:order val="4"/>
          <c:tx>
            <c:strRef>
              <c:f>'ADJ-2'!$BE$142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7E-417B-8663-D7210ED415D3}"/>
            </c:ext>
          </c:extLst>
        </c:ser>
        <c:ser>
          <c:idx val="5"/>
          <c:order val="5"/>
          <c:tx>
            <c:strRef>
              <c:f>'ADJ-2'!$BG$142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7E-417B-8663-D7210ED415D3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7E-417B-8663-D7210ED41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20576"/>
        <c:axId val="375821136"/>
      </c:scatterChart>
      <c:valAx>
        <c:axId val="37582057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21136"/>
        <c:crosses val="autoZero"/>
        <c:crossBetween val="midCat"/>
      </c:valAx>
      <c:valAx>
        <c:axId val="37582113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205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50240594926588"/>
          <c:y val="5.1400554097404488E-2"/>
          <c:w val="0.51141426071739449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CB-44CF-913C-A0F1391A3FB6}"/>
            </c:ext>
          </c:extLst>
        </c:ser>
        <c:ser>
          <c:idx val="1"/>
          <c:order val="1"/>
          <c:tx>
            <c:strRef>
              <c:f>'ADJ-2'!$BL$142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CB-44CF-913C-A0F1391A3FB6}"/>
            </c:ext>
          </c:extLst>
        </c:ser>
        <c:ser>
          <c:idx val="2"/>
          <c:order val="2"/>
          <c:tx>
            <c:strRef>
              <c:f>'ADJ-2'!$BM$142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CB-44CF-913C-A0F1391A3FB6}"/>
            </c:ext>
          </c:extLst>
        </c:ser>
        <c:ser>
          <c:idx val="3"/>
          <c:order val="3"/>
          <c:tx>
            <c:strRef>
              <c:f>'ADJ-2'!$BN$142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CB-44CF-913C-A0F1391A3FB6}"/>
            </c:ext>
          </c:extLst>
        </c:ser>
        <c:ser>
          <c:idx val="4"/>
          <c:order val="4"/>
          <c:tx>
            <c:strRef>
              <c:f>'ADJ-2'!$BO$142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CB-44CF-913C-A0F1391A3FB6}"/>
            </c:ext>
          </c:extLst>
        </c:ser>
        <c:ser>
          <c:idx val="5"/>
          <c:order val="5"/>
          <c:tx>
            <c:strRef>
              <c:f>'ADJ-2'!$BQ$142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CB-44CF-913C-A0F1391A3FB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CB-44CF-913C-A0F1391A3F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708992"/>
        <c:axId val="376709552"/>
      </c:scatterChart>
      <c:valAx>
        <c:axId val="376708992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09552"/>
        <c:crosses val="autoZero"/>
        <c:crossBetween val="midCat"/>
      </c:valAx>
      <c:valAx>
        <c:axId val="376709552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089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B1-4F4A-9DB4-6135D3973DDB}"/>
            </c:ext>
          </c:extLst>
        </c:ser>
        <c:ser>
          <c:idx val="1"/>
          <c:order val="1"/>
          <c:tx>
            <c:strRef>
              <c:f>'ADJ-3'!$D$142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B1-4F4A-9DB4-6135D3973DDB}"/>
            </c:ext>
          </c:extLst>
        </c:ser>
        <c:ser>
          <c:idx val="2"/>
          <c:order val="2"/>
          <c:tx>
            <c:strRef>
              <c:f>'ADJ-3'!$E$142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B1-4F4A-9DB4-6135D3973DDB}"/>
            </c:ext>
          </c:extLst>
        </c:ser>
        <c:ser>
          <c:idx val="3"/>
          <c:order val="3"/>
          <c:tx>
            <c:strRef>
              <c:f>'ADJ-3'!$F$142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B1-4F4A-9DB4-6135D3973DDB}"/>
            </c:ext>
          </c:extLst>
        </c:ser>
        <c:ser>
          <c:idx val="4"/>
          <c:order val="4"/>
          <c:tx>
            <c:strRef>
              <c:f>'ADJ-3'!$G$142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B1-4F4A-9DB4-6135D3973DDB}"/>
            </c:ext>
          </c:extLst>
        </c:ser>
        <c:ser>
          <c:idx val="5"/>
          <c:order val="5"/>
          <c:tx>
            <c:strRef>
              <c:f>'ADJ-3'!$I$142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B1-4F4A-9DB4-6135D3973DD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9B1-4F4A-9DB4-6135D3973D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716832"/>
        <c:axId val="376717392"/>
      </c:scatterChart>
      <c:valAx>
        <c:axId val="37671683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17392"/>
        <c:crosses val="autoZero"/>
        <c:crossBetween val="midCat"/>
      </c:valAx>
      <c:valAx>
        <c:axId val="37671739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16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A9-48C0-93EA-EDAFB4CEAF32}"/>
            </c:ext>
          </c:extLst>
        </c:ser>
        <c:ser>
          <c:idx val="1"/>
          <c:order val="1"/>
          <c:tx>
            <c:strRef>
              <c:f>'ADJ-3'!$N$142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A9-48C0-93EA-EDAFB4CEAF32}"/>
            </c:ext>
          </c:extLst>
        </c:ser>
        <c:ser>
          <c:idx val="2"/>
          <c:order val="2"/>
          <c:tx>
            <c:strRef>
              <c:f>'ADJ-3'!$O$142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A9-48C0-93EA-EDAFB4CEAF32}"/>
            </c:ext>
          </c:extLst>
        </c:ser>
        <c:ser>
          <c:idx val="3"/>
          <c:order val="3"/>
          <c:tx>
            <c:strRef>
              <c:f>'ADJ-3'!$P$142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5A9-48C0-93EA-EDAFB4CEAF32}"/>
            </c:ext>
          </c:extLst>
        </c:ser>
        <c:ser>
          <c:idx val="4"/>
          <c:order val="4"/>
          <c:tx>
            <c:strRef>
              <c:f>'ADJ-3'!$Q$142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5A9-48C0-93EA-EDAFB4CEAF32}"/>
            </c:ext>
          </c:extLst>
        </c:ser>
        <c:ser>
          <c:idx val="5"/>
          <c:order val="5"/>
          <c:tx>
            <c:strRef>
              <c:f>'ADJ-3'!$S$142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5A9-48C0-93EA-EDAFB4CEAF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5A9-48C0-93EA-EDAFB4CEAF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25952"/>
        <c:axId val="378126512"/>
      </c:scatterChart>
      <c:valAx>
        <c:axId val="37812595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26512"/>
        <c:crosses val="autoZero"/>
        <c:crossBetween val="midCat"/>
      </c:valAx>
      <c:valAx>
        <c:axId val="37812651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259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758-40A8-BECF-70F36707B832}"/>
            </c:ext>
          </c:extLst>
        </c:ser>
        <c:ser>
          <c:idx val="1"/>
          <c:order val="1"/>
          <c:tx>
            <c:strRef>
              <c:f>'ADJ-3'!$X$142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758-40A8-BECF-70F36707B832}"/>
            </c:ext>
          </c:extLst>
        </c:ser>
        <c:ser>
          <c:idx val="2"/>
          <c:order val="2"/>
          <c:tx>
            <c:strRef>
              <c:f>'ADJ-3'!$Y$142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758-40A8-BECF-70F36707B832}"/>
            </c:ext>
          </c:extLst>
        </c:ser>
        <c:ser>
          <c:idx val="3"/>
          <c:order val="3"/>
          <c:tx>
            <c:strRef>
              <c:f>'ADJ-3'!$Z$142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758-40A8-BECF-70F36707B832}"/>
            </c:ext>
          </c:extLst>
        </c:ser>
        <c:ser>
          <c:idx val="4"/>
          <c:order val="4"/>
          <c:tx>
            <c:strRef>
              <c:f>'ADJ-3'!$AA$142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758-40A8-BECF-70F36707B832}"/>
            </c:ext>
          </c:extLst>
        </c:ser>
        <c:ser>
          <c:idx val="5"/>
          <c:order val="5"/>
          <c:tx>
            <c:strRef>
              <c:f>'ADJ-3'!$AC$142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758-40A8-BECF-70F36707B8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758-40A8-BECF-70F36707B8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34352"/>
        <c:axId val="378134912"/>
      </c:scatterChart>
      <c:valAx>
        <c:axId val="37813435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34912"/>
        <c:crosses val="autoZero"/>
        <c:crossBetween val="midCat"/>
      </c:valAx>
      <c:valAx>
        <c:axId val="37813491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343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7024961315756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B4D-4D5F-87C0-D0606B43CF47}"/>
            </c:ext>
          </c:extLst>
        </c:ser>
        <c:ser>
          <c:idx val="1"/>
          <c:order val="1"/>
          <c:tx>
            <c:strRef>
              <c:f>'ADJ-3'!$AH$142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B4D-4D5F-87C0-D0606B43CF47}"/>
            </c:ext>
          </c:extLst>
        </c:ser>
        <c:ser>
          <c:idx val="2"/>
          <c:order val="2"/>
          <c:tx>
            <c:strRef>
              <c:f>'ADJ-3'!$AI$142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B4D-4D5F-87C0-D0606B43CF47}"/>
            </c:ext>
          </c:extLst>
        </c:ser>
        <c:ser>
          <c:idx val="3"/>
          <c:order val="3"/>
          <c:tx>
            <c:strRef>
              <c:f>'ADJ-3'!$AJ$142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B4D-4D5F-87C0-D0606B43CF47}"/>
            </c:ext>
          </c:extLst>
        </c:ser>
        <c:ser>
          <c:idx val="4"/>
          <c:order val="4"/>
          <c:tx>
            <c:strRef>
              <c:f>'ADJ-3'!$AK$142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B4D-4D5F-87C0-D0606B43CF47}"/>
            </c:ext>
          </c:extLst>
        </c:ser>
        <c:ser>
          <c:idx val="5"/>
          <c:order val="5"/>
          <c:tx>
            <c:strRef>
              <c:f>'ADJ-3'!$AM$142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B4D-4D5F-87C0-D0606B43CF47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B4D-4D5F-87C0-D0606B43C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38080"/>
        <c:axId val="377838640"/>
      </c:scatterChart>
      <c:valAx>
        <c:axId val="37783808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38640"/>
        <c:crosses val="autoZero"/>
        <c:crossBetween val="midCat"/>
      </c:valAx>
      <c:valAx>
        <c:axId val="37783864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3808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7024961315756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51-4772-A26C-AA0728DE38BA}"/>
            </c:ext>
          </c:extLst>
        </c:ser>
        <c:ser>
          <c:idx val="1"/>
          <c:order val="1"/>
          <c:tx>
            <c:strRef>
              <c:f>'ADJ-3'!$AR$142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251-4772-A26C-AA0728DE38BA}"/>
            </c:ext>
          </c:extLst>
        </c:ser>
        <c:ser>
          <c:idx val="2"/>
          <c:order val="2"/>
          <c:tx>
            <c:strRef>
              <c:f>'ADJ-3'!$AS$142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251-4772-A26C-AA0728DE38BA}"/>
            </c:ext>
          </c:extLst>
        </c:ser>
        <c:ser>
          <c:idx val="3"/>
          <c:order val="3"/>
          <c:tx>
            <c:strRef>
              <c:f>'ADJ-3'!$AT$142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251-4772-A26C-AA0728DE38BA}"/>
            </c:ext>
          </c:extLst>
        </c:ser>
        <c:ser>
          <c:idx val="4"/>
          <c:order val="4"/>
          <c:tx>
            <c:strRef>
              <c:f>'ADJ-3'!$AU$142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251-4772-A26C-AA0728DE38BA}"/>
            </c:ext>
          </c:extLst>
        </c:ser>
        <c:ser>
          <c:idx val="5"/>
          <c:order val="5"/>
          <c:tx>
            <c:strRef>
              <c:f>'ADJ-3'!$AW$142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251-4772-A26C-AA0728DE38B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251-4772-A26C-AA0728DE38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44800"/>
        <c:axId val="377845360"/>
      </c:scatterChart>
      <c:valAx>
        <c:axId val="37784480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45360"/>
        <c:crosses val="autoZero"/>
        <c:crossBetween val="midCat"/>
      </c:valAx>
      <c:valAx>
        <c:axId val="37784536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4480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925739108056712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05-499B-A52B-669CB135217A}"/>
            </c:ext>
          </c:extLst>
        </c:ser>
        <c:ser>
          <c:idx val="1"/>
          <c:order val="1"/>
          <c:tx>
            <c:strRef>
              <c:f>'ADJ-3'!$BB$142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05-499B-A52B-669CB135217A}"/>
            </c:ext>
          </c:extLst>
        </c:ser>
        <c:ser>
          <c:idx val="2"/>
          <c:order val="2"/>
          <c:tx>
            <c:strRef>
              <c:f>'ADJ-3'!$BC$142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A05-499B-A52B-669CB135217A}"/>
            </c:ext>
          </c:extLst>
        </c:ser>
        <c:ser>
          <c:idx val="3"/>
          <c:order val="3"/>
          <c:tx>
            <c:strRef>
              <c:f>'ADJ-3'!$BD$142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A05-499B-A52B-669CB135217A}"/>
            </c:ext>
          </c:extLst>
        </c:ser>
        <c:ser>
          <c:idx val="4"/>
          <c:order val="4"/>
          <c:tx>
            <c:strRef>
              <c:f>'ADJ-3'!$BE$142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A05-499B-A52B-669CB135217A}"/>
            </c:ext>
          </c:extLst>
        </c:ser>
        <c:ser>
          <c:idx val="5"/>
          <c:order val="5"/>
          <c:tx>
            <c:strRef>
              <c:f>'ADJ-3'!$BG$142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A05-499B-A52B-669CB135217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A05-499B-A52B-669CB13521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51520"/>
        <c:axId val="377852080"/>
      </c:scatterChart>
      <c:valAx>
        <c:axId val="37785152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52080"/>
        <c:crosses val="autoZero"/>
        <c:crossBetween val="midCat"/>
      </c:valAx>
      <c:valAx>
        <c:axId val="37785208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5152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094685039370085"/>
          <c:y val="5.1400554097404488E-2"/>
          <c:w val="0.5225253718285214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B64-4DF5-A680-C64A41F566AB}"/>
            </c:ext>
          </c:extLst>
        </c:ser>
        <c:ser>
          <c:idx val="1"/>
          <c:order val="1"/>
          <c:tx>
            <c:strRef>
              <c:f>'ADJ-3'!$BL$142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B64-4DF5-A680-C64A41F566AB}"/>
            </c:ext>
          </c:extLst>
        </c:ser>
        <c:ser>
          <c:idx val="2"/>
          <c:order val="2"/>
          <c:tx>
            <c:strRef>
              <c:f>'ADJ-3'!$BM$142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B64-4DF5-A680-C64A41F566AB}"/>
            </c:ext>
          </c:extLst>
        </c:ser>
        <c:ser>
          <c:idx val="3"/>
          <c:order val="3"/>
          <c:tx>
            <c:strRef>
              <c:f>'ADJ-3'!$BN$142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B64-4DF5-A680-C64A41F566AB}"/>
            </c:ext>
          </c:extLst>
        </c:ser>
        <c:ser>
          <c:idx val="4"/>
          <c:order val="4"/>
          <c:tx>
            <c:strRef>
              <c:f>'ADJ-3'!$BO$142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B64-4DF5-A680-C64A41F566AB}"/>
            </c:ext>
          </c:extLst>
        </c:ser>
        <c:ser>
          <c:idx val="5"/>
          <c:order val="5"/>
          <c:tx>
            <c:strRef>
              <c:f>'ADJ-3'!$BQ$142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B64-4DF5-A680-C64A41F566A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B64-4DF5-A680-C64A41F566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91152"/>
        <c:axId val="377891712"/>
      </c:scatterChart>
      <c:valAx>
        <c:axId val="377891152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91712"/>
        <c:crosses val="autoZero"/>
        <c:crossBetween val="midCat"/>
      </c:valAx>
      <c:valAx>
        <c:axId val="377891712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911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2B1-45E0-87DD-A6012D2654E4}"/>
            </c:ext>
          </c:extLst>
        </c:ser>
        <c:ser>
          <c:idx val="1"/>
          <c:order val="1"/>
          <c:tx>
            <c:strRef>
              <c:f>'ADJ-4'!$D$142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2B1-45E0-87DD-A6012D2654E4}"/>
            </c:ext>
          </c:extLst>
        </c:ser>
        <c:ser>
          <c:idx val="2"/>
          <c:order val="2"/>
          <c:tx>
            <c:strRef>
              <c:f>'ADJ-4'!$E$142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2B1-45E0-87DD-A6012D2654E4}"/>
            </c:ext>
          </c:extLst>
        </c:ser>
        <c:ser>
          <c:idx val="3"/>
          <c:order val="3"/>
          <c:tx>
            <c:strRef>
              <c:f>'ADJ-4'!$F$142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2B1-45E0-87DD-A6012D2654E4}"/>
            </c:ext>
          </c:extLst>
        </c:ser>
        <c:ser>
          <c:idx val="4"/>
          <c:order val="4"/>
          <c:tx>
            <c:strRef>
              <c:f>'ADJ-4'!$G$142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2B1-45E0-87DD-A6012D2654E4}"/>
            </c:ext>
          </c:extLst>
        </c:ser>
        <c:ser>
          <c:idx val="5"/>
          <c:order val="5"/>
          <c:tx>
            <c:strRef>
              <c:f>'ADJ-4'!$I$142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2B1-45E0-87DD-A6012D2654E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2B1-45E0-87DD-A6012D2654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902192"/>
        <c:axId val="379902752"/>
      </c:scatterChart>
      <c:valAx>
        <c:axId val="37990219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2752"/>
        <c:crosses val="autoZero"/>
        <c:crossBetween val="midCat"/>
      </c:valAx>
      <c:valAx>
        <c:axId val="37990275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21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F6-45C5-B754-0EFF92D7611E}"/>
            </c:ext>
          </c:extLst>
        </c:ser>
        <c:ser>
          <c:idx val="1"/>
          <c:order val="1"/>
          <c:tx>
            <c:strRef>
              <c:f>'ADJ-4'!$N$142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F6-45C5-B754-0EFF92D7611E}"/>
            </c:ext>
          </c:extLst>
        </c:ser>
        <c:ser>
          <c:idx val="2"/>
          <c:order val="2"/>
          <c:tx>
            <c:strRef>
              <c:f>'ADJ-4'!$O$142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F6-45C5-B754-0EFF92D7611E}"/>
            </c:ext>
          </c:extLst>
        </c:ser>
        <c:ser>
          <c:idx val="3"/>
          <c:order val="3"/>
          <c:tx>
            <c:strRef>
              <c:f>'ADJ-4'!$P$142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F6-45C5-B754-0EFF92D7611E}"/>
            </c:ext>
          </c:extLst>
        </c:ser>
        <c:ser>
          <c:idx val="4"/>
          <c:order val="4"/>
          <c:tx>
            <c:strRef>
              <c:f>'ADJ-4'!$Q$142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F6-45C5-B754-0EFF92D7611E}"/>
            </c:ext>
          </c:extLst>
        </c:ser>
        <c:ser>
          <c:idx val="5"/>
          <c:order val="5"/>
          <c:tx>
            <c:strRef>
              <c:f>'ADJ-4'!$S$142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F6-45C5-B754-0EFF92D7611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FF6-45C5-B754-0EFF92D761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908912"/>
        <c:axId val="379909472"/>
      </c:scatterChart>
      <c:valAx>
        <c:axId val="37990891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9472"/>
        <c:crosses val="autoZero"/>
        <c:crossBetween val="midCat"/>
      </c:valAx>
      <c:valAx>
        <c:axId val="37990947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891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F8-4C35-A742-CADE0BD20105}"/>
            </c:ext>
          </c:extLst>
        </c:ser>
        <c:ser>
          <c:idx val="1"/>
          <c:order val="1"/>
          <c:tx>
            <c:strRef>
              <c:f>'ADJ-4'!$X$142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F8-4C35-A742-CADE0BD20105}"/>
            </c:ext>
          </c:extLst>
        </c:ser>
        <c:ser>
          <c:idx val="2"/>
          <c:order val="2"/>
          <c:tx>
            <c:strRef>
              <c:f>'ADJ-4'!$Y$142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4F8-4C35-A742-CADE0BD20105}"/>
            </c:ext>
          </c:extLst>
        </c:ser>
        <c:ser>
          <c:idx val="3"/>
          <c:order val="3"/>
          <c:tx>
            <c:strRef>
              <c:f>'ADJ-4'!$Z$142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4F8-4C35-A742-CADE0BD20105}"/>
            </c:ext>
          </c:extLst>
        </c:ser>
        <c:ser>
          <c:idx val="4"/>
          <c:order val="4"/>
          <c:tx>
            <c:strRef>
              <c:f>'ADJ-4'!$AA$142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4F8-4C35-A742-CADE0BD20105}"/>
            </c:ext>
          </c:extLst>
        </c:ser>
        <c:ser>
          <c:idx val="5"/>
          <c:order val="5"/>
          <c:tx>
            <c:strRef>
              <c:f>'ADJ-4'!$AC$142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4F8-4C35-A742-CADE0BD20105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4F8-4C35-A742-CADE0BD201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25696"/>
        <c:axId val="380426256"/>
      </c:scatterChart>
      <c:valAx>
        <c:axId val="38042569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26256"/>
        <c:crosses val="autoZero"/>
        <c:crossBetween val="midCat"/>
      </c:valAx>
      <c:valAx>
        <c:axId val="38042625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2569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7024961315757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80D-46F4-B7D4-7C66048FDC3F}"/>
            </c:ext>
          </c:extLst>
        </c:ser>
        <c:ser>
          <c:idx val="1"/>
          <c:order val="1"/>
          <c:tx>
            <c:strRef>
              <c:f>'ADJ-4'!$AH$142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80D-46F4-B7D4-7C66048FDC3F}"/>
            </c:ext>
          </c:extLst>
        </c:ser>
        <c:ser>
          <c:idx val="2"/>
          <c:order val="2"/>
          <c:tx>
            <c:strRef>
              <c:f>'ADJ-4'!$AI$142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80D-46F4-B7D4-7C66048FDC3F}"/>
            </c:ext>
          </c:extLst>
        </c:ser>
        <c:ser>
          <c:idx val="3"/>
          <c:order val="3"/>
          <c:tx>
            <c:strRef>
              <c:f>'ADJ-4'!$AJ$142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80D-46F4-B7D4-7C66048FDC3F}"/>
            </c:ext>
          </c:extLst>
        </c:ser>
        <c:ser>
          <c:idx val="4"/>
          <c:order val="4"/>
          <c:tx>
            <c:strRef>
              <c:f>'ADJ-4'!$AK$142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80D-46F4-B7D4-7C66048FDC3F}"/>
            </c:ext>
          </c:extLst>
        </c:ser>
        <c:ser>
          <c:idx val="5"/>
          <c:order val="5"/>
          <c:tx>
            <c:strRef>
              <c:f>'ADJ-4'!$AM$142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80D-46F4-B7D4-7C66048FDC3F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80D-46F4-B7D4-7C66048FDC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32416"/>
        <c:axId val="380432976"/>
      </c:scatterChart>
      <c:valAx>
        <c:axId val="38043241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2976"/>
        <c:crosses val="autoZero"/>
        <c:crossBetween val="midCat"/>
      </c:valAx>
      <c:valAx>
        <c:axId val="38043297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241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7024961315757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B15-48EA-832C-7B5C071634FC}"/>
            </c:ext>
          </c:extLst>
        </c:ser>
        <c:ser>
          <c:idx val="1"/>
          <c:order val="1"/>
          <c:tx>
            <c:strRef>
              <c:f>'ADJ-4'!$AR$142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B15-48EA-832C-7B5C071634FC}"/>
            </c:ext>
          </c:extLst>
        </c:ser>
        <c:ser>
          <c:idx val="2"/>
          <c:order val="2"/>
          <c:tx>
            <c:strRef>
              <c:f>'ADJ-4'!$AS$142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B15-48EA-832C-7B5C071634FC}"/>
            </c:ext>
          </c:extLst>
        </c:ser>
        <c:ser>
          <c:idx val="3"/>
          <c:order val="3"/>
          <c:tx>
            <c:strRef>
              <c:f>'ADJ-4'!$AT$142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B15-48EA-832C-7B5C071634FC}"/>
            </c:ext>
          </c:extLst>
        </c:ser>
        <c:ser>
          <c:idx val="4"/>
          <c:order val="4"/>
          <c:tx>
            <c:strRef>
              <c:f>'ADJ-4'!$AU$142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B15-48EA-832C-7B5C071634FC}"/>
            </c:ext>
          </c:extLst>
        </c:ser>
        <c:ser>
          <c:idx val="5"/>
          <c:order val="5"/>
          <c:tx>
            <c:strRef>
              <c:f>'ADJ-4'!$AW$142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B15-48EA-832C-7B5C071634FC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B15-48EA-832C-7B5C071634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39136"/>
        <c:axId val="380230128"/>
      </c:scatterChart>
      <c:valAx>
        <c:axId val="38043913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0128"/>
        <c:crosses val="autoZero"/>
        <c:crossBetween val="midCat"/>
      </c:valAx>
      <c:valAx>
        <c:axId val="3802301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9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9257391080567142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EEA-4FA0-BC09-817260E8E632}"/>
            </c:ext>
          </c:extLst>
        </c:ser>
        <c:ser>
          <c:idx val="1"/>
          <c:order val="1"/>
          <c:tx>
            <c:strRef>
              <c:f>'ADJ-4'!$BB$142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EEA-4FA0-BC09-817260E8E632}"/>
            </c:ext>
          </c:extLst>
        </c:ser>
        <c:ser>
          <c:idx val="2"/>
          <c:order val="2"/>
          <c:tx>
            <c:strRef>
              <c:f>'ADJ-4'!$BC$142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EEA-4FA0-BC09-817260E8E632}"/>
            </c:ext>
          </c:extLst>
        </c:ser>
        <c:ser>
          <c:idx val="3"/>
          <c:order val="3"/>
          <c:tx>
            <c:strRef>
              <c:f>'ADJ-4'!$BD$142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EEA-4FA0-BC09-817260E8E632}"/>
            </c:ext>
          </c:extLst>
        </c:ser>
        <c:ser>
          <c:idx val="4"/>
          <c:order val="4"/>
          <c:tx>
            <c:strRef>
              <c:f>'ADJ-4'!$BE$142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EEA-4FA0-BC09-817260E8E632}"/>
            </c:ext>
          </c:extLst>
        </c:ser>
        <c:ser>
          <c:idx val="5"/>
          <c:order val="5"/>
          <c:tx>
            <c:strRef>
              <c:f>'ADJ-4'!$BG$142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EEA-4FA0-BC09-817260E8E6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EEA-4FA0-BC09-817260E8E6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36288"/>
        <c:axId val="380236848"/>
      </c:scatterChart>
      <c:valAx>
        <c:axId val="38023628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6848"/>
        <c:crosses val="autoZero"/>
        <c:crossBetween val="midCat"/>
      </c:valAx>
      <c:valAx>
        <c:axId val="38023684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62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370579615048119"/>
          <c:y val="5.1400554097404488E-2"/>
          <c:w val="0.54474759405074369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B7-4DF3-A00C-EBCD374BD63D}"/>
            </c:ext>
          </c:extLst>
        </c:ser>
        <c:ser>
          <c:idx val="1"/>
          <c:order val="1"/>
          <c:tx>
            <c:strRef>
              <c:f>'ADJ-4'!$BL$142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B7-4DF3-A00C-EBCD374BD63D}"/>
            </c:ext>
          </c:extLst>
        </c:ser>
        <c:ser>
          <c:idx val="2"/>
          <c:order val="2"/>
          <c:tx>
            <c:strRef>
              <c:f>'ADJ-4'!$BM$142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6B7-4DF3-A00C-EBCD374BD63D}"/>
            </c:ext>
          </c:extLst>
        </c:ser>
        <c:ser>
          <c:idx val="3"/>
          <c:order val="3"/>
          <c:tx>
            <c:strRef>
              <c:f>'ADJ-4'!$BN$142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6B7-4DF3-A00C-EBCD374BD63D}"/>
            </c:ext>
          </c:extLst>
        </c:ser>
        <c:ser>
          <c:idx val="4"/>
          <c:order val="4"/>
          <c:tx>
            <c:strRef>
              <c:f>'ADJ-4'!$BO$142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6B7-4DF3-A00C-EBCD374BD63D}"/>
            </c:ext>
          </c:extLst>
        </c:ser>
        <c:ser>
          <c:idx val="5"/>
          <c:order val="5"/>
          <c:tx>
            <c:strRef>
              <c:f>'ADJ-4'!$BQ$142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6B7-4DF3-A00C-EBCD374BD63D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6B7-4DF3-A00C-EBCD374BD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43008"/>
        <c:axId val="380243568"/>
      </c:scatterChart>
      <c:valAx>
        <c:axId val="380243008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43568"/>
        <c:crosses val="autoZero"/>
        <c:crossBetween val="midCat"/>
      </c:valAx>
      <c:valAx>
        <c:axId val="380243568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430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C1F-44CF-8AC6-AB7855F2B0CE}"/>
            </c:ext>
          </c:extLst>
        </c:ser>
        <c:ser>
          <c:idx val="1"/>
          <c:order val="1"/>
          <c:tx>
            <c:strRef>
              <c:f>'ADJ-5'!$D$142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C1F-44CF-8AC6-AB7855F2B0CE}"/>
            </c:ext>
          </c:extLst>
        </c:ser>
        <c:ser>
          <c:idx val="2"/>
          <c:order val="2"/>
          <c:tx>
            <c:strRef>
              <c:f>'ADJ-5'!$E$142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C1F-44CF-8AC6-AB7855F2B0CE}"/>
            </c:ext>
          </c:extLst>
        </c:ser>
        <c:ser>
          <c:idx val="3"/>
          <c:order val="3"/>
          <c:tx>
            <c:strRef>
              <c:f>'ADJ-5'!$F$142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C1F-44CF-8AC6-AB7855F2B0CE}"/>
            </c:ext>
          </c:extLst>
        </c:ser>
        <c:ser>
          <c:idx val="4"/>
          <c:order val="4"/>
          <c:tx>
            <c:strRef>
              <c:f>'ADJ-5'!$G$142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C1F-44CF-8AC6-AB7855F2B0CE}"/>
            </c:ext>
          </c:extLst>
        </c:ser>
        <c:ser>
          <c:idx val="5"/>
          <c:order val="5"/>
          <c:tx>
            <c:strRef>
              <c:f>'ADJ-5'!$I$142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C1F-44CF-8AC6-AB7855F2B0C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C1F-44CF-8AC6-AB7855F2B0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50848"/>
        <c:axId val="380251408"/>
      </c:scatterChart>
      <c:valAx>
        <c:axId val="3802508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1408"/>
        <c:crosses val="autoZero"/>
        <c:crossBetween val="midCat"/>
      </c:valAx>
      <c:valAx>
        <c:axId val="3802514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08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2B-4646-80D7-7DCD8F43BA46}"/>
            </c:ext>
          </c:extLst>
        </c:ser>
        <c:ser>
          <c:idx val="1"/>
          <c:order val="1"/>
          <c:tx>
            <c:strRef>
              <c:f>'ADJ-5'!$N$142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C2B-4646-80D7-7DCD8F43BA46}"/>
            </c:ext>
          </c:extLst>
        </c:ser>
        <c:ser>
          <c:idx val="2"/>
          <c:order val="2"/>
          <c:tx>
            <c:strRef>
              <c:f>'ADJ-5'!$O$142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C2B-4646-80D7-7DCD8F43BA46}"/>
            </c:ext>
          </c:extLst>
        </c:ser>
        <c:ser>
          <c:idx val="3"/>
          <c:order val="3"/>
          <c:tx>
            <c:strRef>
              <c:f>'ADJ-5'!$P$142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C2B-4646-80D7-7DCD8F43BA46}"/>
            </c:ext>
          </c:extLst>
        </c:ser>
        <c:ser>
          <c:idx val="4"/>
          <c:order val="4"/>
          <c:tx>
            <c:strRef>
              <c:f>'ADJ-5'!$Q$142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C2B-4646-80D7-7DCD8F43BA46}"/>
            </c:ext>
          </c:extLst>
        </c:ser>
        <c:ser>
          <c:idx val="5"/>
          <c:order val="5"/>
          <c:tx>
            <c:strRef>
              <c:f>'ADJ-5'!$S$142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C2B-4646-80D7-7DCD8F43BA4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C2B-4646-80D7-7DCD8F43BA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57568"/>
        <c:axId val="380258128"/>
      </c:scatterChart>
      <c:valAx>
        <c:axId val="38025756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8128"/>
        <c:crosses val="autoZero"/>
        <c:crossBetween val="midCat"/>
      </c:valAx>
      <c:valAx>
        <c:axId val="3802581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75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4F4-40C7-9F47-252895CB20D4}"/>
            </c:ext>
          </c:extLst>
        </c:ser>
        <c:ser>
          <c:idx val="1"/>
          <c:order val="1"/>
          <c:tx>
            <c:strRef>
              <c:f>'ADJ-5'!$X$142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4F4-40C7-9F47-252895CB20D4}"/>
            </c:ext>
          </c:extLst>
        </c:ser>
        <c:ser>
          <c:idx val="2"/>
          <c:order val="2"/>
          <c:tx>
            <c:strRef>
              <c:f>'ADJ-5'!$Y$142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4F4-40C7-9F47-252895CB20D4}"/>
            </c:ext>
          </c:extLst>
        </c:ser>
        <c:ser>
          <c:idx val="3"/>
          <c:order val="3"/>
          <c:tx>
            <c:strRef>
              <c:f>'ADJ-5'!$Z$142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4F4-40C7-9F47-252895CB20D4}"/>
            </c:ext>
          </c:extLst>
        </c:ser>
        <c:ser>
          <c:idx val="4"/>
          <c:order val="4"/>
          <c:tx>
            <c:strRef>
              <c:f>'ADJ-5'!$AA$142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4F4-40C7-9F47-252895CB20D4}"/>
            </c:ext>
          </c:extLst>
        </c:ser>
        <c:ser>
          <c:idx val="5"/>
          <c:order val="5"/>
          <c:tx>
            <c:strRef>
              <c:f>'ADJ-5'!$AC$142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4F4-40C7-9F47-252895CB20D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4F4-40C7-9F47-252895CB20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43728"/>
        <c:axId val="382344288"/>
      </c:scatterChart>
      <c:valAx>
        <c:axId val="38234372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44288"/>
        <c:crosses val="autoZero"/>
        <c:crossBetween val="midCat"/>
      </c:valAx>
      <c:valAx>
        <c:axId val="38234428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4372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702496131575734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49-4077-AA54-D3D4611F38B4}"/>
            </c:ext>
          </c:extLst>
        </c:ser>
        <c:ser>
          <c:idx val="1"/>
          <c:order val="1"/>
          <c:tx>
            <c:strRef>
              <c:f>'ADJ-5'!$AH$142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49-4077-AA54-D3D4611F38B4}"/>
            </c:ext>
          </c:extLst>
        </c:ser>
        <c:ser>
          <c:idx val="2"/>
          <c:order val="2"/>
          <c:tx>
            <c:strRef>
              <c:f>'ADJ-5'!$AI$142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49-4077-AA54-D3D4611F38B4}"/>
            </c:ext>
          </c:extLst>
        </c:ser>
        <c:ser>
          <c:idx val="3"/>
          <c:order val="3"/>
          <c:tx>
            <c:strRef>
              <c:f>'ADJ-5'!$AJ$142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49-4077-AA54-D3D4611F38B4}"/>
            </c:ext>
          </c:extLst>
        </c:ser>
        <c:ser>
          <c:idx val="4"/>
          <c:order val="4"/>
          <c:tx>
            <c:strRef>
              <c:f>'ADJ-5'!$AK$142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49-4077-AA54-D3D4611F38B4}"/>
            </c:ext>
          </c:extLst>
        </c:ser>
        <c:ser>
          <c:idx val="5"/>
          <c:order val="5"/>
          <c:tx>
            <c:strRef>
              <c:f>'ADJ-5'!$AM$142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49-4077-AA54-D3D4611F38B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F49-4077-AA54-D3D4611F38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50448"/>
        <c:axId val="382351008"/>
      </c:scatterChart>
      <c:valAx>
        <c:axId val="3823504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1008"/>
        <c:crosses val="autoZero"/>
        <c:crossBetween val="midCat"/>
      </c:valAx>
      <c:valAx>
        <c:axId val="3823510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04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702496131575734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54C-4523-B3BA-631AA0C6B62A}"/>
            </c:ext>
          </c:extLst>
        </c:ser>
        <c:ser>
          <c:idx val="1"/>
          <c:order val="1"/>
          <c:tx>
            <c:strRef>
              <c:f>'ADJ-5'!$AR$142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54C-4523-B3BA-631AA0C6B62A}"/>
            </c:ext>
          </c:extLst>
        </c:ser>
        <c:ser>
          <c:idx val="2"/>
          <c:order val="2"/>
          <c:tx>
            <c:strRef>
              <c:f>'ADJ-5'!$AS$142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54C-4523-B3BA-631AA0C6B62A}"/>
            </c:ext>
          </c:extLst>
        </c:ser>
        <c:ser>
          <c:idx val="3"/>
          <c:order val="3"/>
          <c:tx>
            <c:strRef>
              <c:f>'ADJ-5'!$AT$142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54C-4523-B3BA-631AA0C6B62A}"/>
            </c:ext>
          </c:extLst>
        </c:ser>
        <c:ser>
          <c:idx val="4"/>
          <c:order val="4"/>
          <c:tx>
            <c:strRef>
              <c:f>'ADJ-5'!$AU$142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54C-4523-B3BA-631AA0C6B62A}"/>
            </c:ext>
          </c:extLst>
        </c:ser>
        <c:ser>
          <c:idx val="5"/>
          <c:order val="5"/>
          <c:tx>
            <c:strRef>
              <c:f>'ADJ-5'!$AW$142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54C-4523-B3BA-631AA0C6B62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54C-4523-B3BA-631AA0C6B6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57168"/>
        <c:axId val="382357728"/>
      </c:scatterChart>
      <c:valAx>
        <c:axId val="38235716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7728"/>
        <c:crosses val="autoZero"/>
        <c:crossBetween val="midCat"/>
      </c:valAx>
      <c:valAx>
        <c:axId val="3823577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71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925739108056715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AD-4ECB-871D-65F999BBCFAE}"/>
            </c:ext>
          </c:extLst>
        </c:ser>
        <c:ser>
          <c:idx val="1"/>
          <c:order val="1"/>
          <c:tx>
            <c:strRef>
              <c:f>'ADJ-5'!$BB$142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AD-4ECB-871D-65F999BBCFAE}"/>
            </c:ext>
          </c:extLst>
        </c:ser>
        <c:ser>
          <c:idx val="2"/>
          <c:order val="2"/>
          <c:tx>
            <c:strRef>
              <c:f>'ADJ-5'!$BC$142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AD-4ECB-871D-65F999BBCFAE}"/>
            </c:ext>
          </c:extLst>
        </c:ser>
        <c:ser>
          <c:idx val="3"/>
          <c:order val="3"/>
          <c:tx>
            <c:strRef>
              <c:f>'ADJ-5'!$BD$142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5AD-4ECB-871D-65F999BBCFAE}"/>
            </c:ext>
          </c:extLst>
        </c:ser>
        <c:ser>
          <c:idx val="4"/>
          <c:order val="4"/>
          <c:tx>
            <c:strRef>
              <c:f>'ADJ-5'!$BE$142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5AD-4ECB-871D-65F999BBCFAE}"/>
            </c:ext>
          </c:extLst>
        </c:ser>
        <c:ser>
          <c:idx val="5"/>
          <c:order val="5"/>
          <c:tx>
            <c:strRef>
              <c:f>'ADJ-5'!$BG$142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5AD-4ECB-871D-65F999BBCFA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5AD-4ECB-871D-65F999BBCF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63888"/>
        <c:axId val="382364448"/>
      </c:scatterChart>
      <c:valAx>
        <c:axId val="38236388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64448"/>
        <c:crosses val="autoZero"/>
        <c:crossBetween val="midCat"/>
      </c:valAx>
      <c:valAx>
        <c:axId val="38236444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63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316907261592298"/>
          <c:y val="5.1400554097404488E-2"/>
          <c:w val="0.5530809273840826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A8-459B-A8AC-190FC231EB66}"/>
            </c:ext>
          </c:extLst>
        </c:ser>
        <c:ser>
          <c:idx val="1"/>
          <c:order val="1"/>
          <c:tx>
            <c:strRef>
              <c:f>'ADJ-5'!$BL$142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EA8-459B-A8AC-190FC231EB66}"/>
            </c:ext>
          </c:extLst>
        </c:ser>
        <c:ser>
          <c:idx val="2"/>
          <c:order val="2"/>
          <c:tx>
            <c:strRef>
              <c:f>'ADJ-5'!$BM$142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EA8-459B-A8AC-190FC231EB66}"/>
            </c:ext>
          </c:extLst>
        </c:ser>
        <c:ser>
          <c:idx val="3"/>
          <c:order val="3"/>
          <c:tx>
            <c:strRef>
              <c:f>'ADJ-5'!$BN$142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EA8-459B-A8AC-190FC231EB66}"/>
            </c:ext>
          </c:extLst>
        </c:ser>
        <c:ser>
          <c:idx val="4"/>
          <c:order val="4"/>
          <c:tx>
            <c:strRef>
              <c:f>'ADJ-5'!$BO$142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EA8-459B-A8AC-190FC231EB66}"/>
            </c:ext>
          </c:extLst>
        </c:ser>
        <c:ser>
          <c:idx val="5"/>
          <c:order val="5"/>
          <c:tx>
            <c:strRef>
              <c:f>'ADJ-5'!$BQ$142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EA8-459B-A8AC-190FC231EB6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EA8-459B-A8AC-190FC231EB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70608"/>
        <c:axId val="382371168"/>
      </c:scatterChart>
      <c:valAx>
        <c:axId val="382370608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71168"/>
        <c:crosses val="autoZero"/>
        <c:crossBetween val="midCat"/>
      </c:valAx>
      <c:valAx>
        <c:axId val="382371168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70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4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7" Type="http://schemas.openxmlformats.org/officeDocument/2006/relationships/chart" Target="../charts/chart21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7" Type="http://schemas.openxmlformats.org/officeDocument/2006/relationships/chart" Target="../charts/chart28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6" Type="http://schemas.openxmlformats.org/officeDocument/2006/relationships/chart" Target="../charts/chart27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1.xml"/><Relationship Id="rId7" Type="http://schemas.openxmlformats.org/officeDocument/2006/relationships/chart" Target="../charts/chart35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6" Type="http://schemas.openxmlformats.org/officeDocument/2006/relationships/chart" Target="../charts/chart34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308084</xdr:colOff>
      <xdr:row>0</xdr:row>
      <xdr:rowOff>19050</xdr:rowOff>
    </xdr:from>
    <xdr:ext cx="2917722" cy="468013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3737084" y="19050"/>
          <a:ext cx="2917722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NORMALISED HOURS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3" name="Picture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6" name="Picture 4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248953</xdr:colOff>
      <xdr:row>0</xdr:row>
      <xdr:rowOff>40820</xdr:rowOff>
    </xdr:from>
    <xdr:to>
      <xdr:col>0</xdr:col>
      <xdr:colOff>1670232</xdr:colOff>
      <xdr:row>3</xdr:row>
      <xdr:rowOff>225591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8953" y="40820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272143</xdr:colOff>
      <xdr:row>63</xdr:row>
      <xdr:rowOff>27214</xdr:rowOff>
    </xdr:from>
    <xdr:to>
      <xdr:col>0</xdr:col>
      <xdr:colOff>1679452</xdr:colOff>
      <xdr:row>66</xdr:row>
      <xdr:rowOff>195475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143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2" name="Picture 2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3" name="Picture 4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258533</xdr:colOff>
      <xdr:row>0</xdr:row>
      <xdr:rowOff>40821</xdr:rowOff>
    </xdr:from>
    <xdr:to>
      <xdr:col>0</xdr:col>
      <xdr:colOff>1669652</xdr:colOff>
      <xdr:row>3</xdr:row>
      <xdr:rowOff>217972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8533" y="40821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244932</xdr:colOff>
      <xdr:row>63</xdr:row>
      <xdr:rowOff>27214</xdr:rowOff>
    </xdr:from>
    <xdr:to>
      <xdr:col>0</xdr:col>
      <xdr:colOff>1656051</xdr:colOff>
      <xdr:row>66</xdr:row>
      <xdr:rowOff>204365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4932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10" name="Picture 4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6" name="Picture 2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8" name="Picture 4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9" name="Picture 4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20" name="Picture 4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21" name="Picture 4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22" name="Picture 4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23" name="Picture 4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299357</xdr:colOff>
      <xdr:row>0</xdr:row>
      <xdr:rowOff>27214</xdr:rowOff>
    </xdr:from>
    <xdr:to>
      <xdr:col>0</xdr:col>
      <xdr:colOff>1710476</xdr:colOff>
      <xdr:row>3</xdr:row>
      <xdr:rowOff>204365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9357" y="27214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285747</xdr:colOff>
      <xdr:row>63</xdr:row>
      <xdr:rowOff>27214</xdr:rowOff>
    </xdr:from>
    <xdr:to>
      <xdr:col>0</xdr:col>
      <xdr:colOff>1696866</xdr:colOff>
      <xdr:row>66</xdr:row>
      <xdr:rowOff>204365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1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47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180975</xdr:colOff>
          <xdr:row>0</xdr:row>
          <xdr:rowOff>152400</xdr:rowOff>
        </xdr:from>
        <xdr:to>
          <xdr:col>20</xdr:col>
          <xdr:colOff>219075</xdr:colOff>
          <xdr:row>2</xdr:row>
          <xdr:rowOff>85725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1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RUN SETUP FOR NEXT MONTH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36</xdr:row>
      <xdr:rowOff>152400</xdr:rowOff>
    </xdr:from>
    <xdr:to>
      <xdr:col>2</xdr:col>
      <xdr:colOff>104775</xdr:colOff>
      <xdr:row>36</xdr:row>
      <xdr:rowOff>152400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>
          <a:spLocks noChangeShapeType="1"/>
        </xdr:cNvSpPr>
      </xdr:nvSpPr>
      <xdr:spPr bwMode="auto">
        <a:xfrm>
          <a:off x="66675" y="69818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676275</xdr:colOff>
      <xdr:row>36</xdr:row>
      <xdr:rowOff>142875</xdr:rowOff>
    </xdr:from>
    <xdr:to>
      <xdr:col>3</xdr:col>
      <xdr:colOff>619125</xdr:colOff>
      <xdr:row>36</xdr:row>
      <xdr:rowOff>142875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>
          <a:spLocks noChangeShapeType="1"/>
        </xdr:cNvSpPr>
      </xdr:nvSpPr>
      <xdr:spPr bwMode="auto">
        <a:xfrm>
          <a:off x="2581275" y="697230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1104900</xdr:colOff>
      <xdr:row>36</xdr:row>
      <xdr:rowOff>142875</xdr:rowOff>
    </xdr:from>
    <xdr:to>
      <xdr:col>11</xdr:col>
      <xdr:colOff>1057275</xdr:colOff>
      <xdr:row>36</xdr:row>
      <xdr:rowOff>142875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>
          <a:spLocks noChangeShapeType="1"/>
        </xdr:cNvSpPr>
      </xdr:nvSpPr>
      <xdr:spPr bwMode="auto">
        <a:xfrm>
          <a:off x="10325100" y="6972300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47624</xdr:colOff>
      <xdr:row>36</xdr:row>
      <xdr:rowOff>142875</xdr:rowOff>
    </xdr:from>
    <xdr:to>
      <xdr:col>10</xdr:col>
      <xdr:colOff>720924</xdr:colOff>
      <xdr:row>36</xdr:row>
      <xdr:rowOff>142875</xdr:rowOff>
    </xdr:to>
    <xdr:sp macro="" textlink="">
      <xdr:nvSpPr>
        <xdr:cNvPr id="5" name="Line 7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>
          <a:spLocks noChangeShapeType="1"/>
        </xdr:cNvSpPr>
      </xdr:nvSpPr>
      <xdr:spPr bwMode="auto">
        <a:xfrm>
          <a:off x="8175624" y="7077075"/>
          <a:ext cx="1803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0</xdr:rowOff>
    </xdr:from>
    <xdr:to>
      <xdr:col>9</xdr:col>
      <xdr:colOff>542925</xdr:colOff>
      <xdr:row>22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9525</xdr:rowOff>
    </xdr:from>
    <xdr:to>
      <xdr:col>9</xdr:col>
      <xdr:colOff>533400</xdr:colOff>
      <xdr:row>38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9525</xdr:rowOff>
    </xdr:from>
    <xdr:to>
      <xdr:col>9</xdr:col>
      <xdr:colOff>514350</xdr:colOff>
      <xdr:row>54</xdr:row>
      <xdr:rowOff>85725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0</xdr:colOff>
      <xdr:row>56</xdr:row>
      <xdr:rowOff>9525</xdr:rowOff>
    </xdr:from>
    <xdr:to>
      <xdr:col>9</xdr:col>
      <xdr:colOff>514350</xdr:colOff>
      <xdr:row>70</xdr:row>
      <xdr:rowOff>85725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72</xdr:row>
      <xdr:rowOff>19050</xdr:rowOff>
    </xdr:from>
    <xdr:to>
      <xdr:col>9</xdr:col>
      <xdr:colOff>533400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19050</xdr:colOff>
      <xdr:row>88</xdr:row>
      <xdr:rowOff>19050</xdr:rowOff>
    </xdr:from>
    <xdr:to>
      <xdr:col>9</xdr:col>
      <xdr:colOff>533400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7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36739</xdr:colOff>
      <xdr:row>104</xdr:row>
      <xdr:rowOff>21771</xdr:rowOff>
    </xdr:from>
    <xdr:to>
      <xdr:col>9</xdr:col>
      <xdr:colOff>551089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7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19050</xdr:rowOff>
    </xdr:from>
    <xdr:to>
      <xdr:col>9</xdr:col>
      <xdr:colOff>485775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</xdr:colOff>
      <xdr:row>24</xdr:row>
      <xdr:rowOff>28575</xdr:rowOff>
    </xdr:from>
    <xdr:to>
      <xdr:col>9</xdr:col>
      <xdr:colOff>514350</xdr:colOff>
      <xdr:row>38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19050</xdr:rowOff>
    </xdr:from>
    <xdr:to>
      <xdr:col>9</xdr:col>
      <xdr:colOff>485775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8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28575</xdr:colOff>
      <xdr:row>56</xdr:row>
      <xdr:rowOff>28575</xdr:rowOff>
    </xdr:from>
    <xdr:to>
      <xdr:col>9</xdr:col>
      <xdr:colOff>514350</xdr:colOff>
      <xdr:row>70</xdr:row>
      <xdr:rowOff>104775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8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19050</xdr:rowOff>
    </xdr:from>
    <xdr:to>
      <xdr:col>9</xdr:col>
      <xdr:colOff>514350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8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9525</xdr:colOff>
      <xdr:row>88</xdr:row>
      <xdr:rowOff>28575</xdr:rowOff>
    </xdr:from>
    <xdr:to>
      <xdr:col>9</xdr:col>
      <xdr:colOff>495300</xdr:colOff>
      <xdr:row>102</xdr:row>
      <xdr:rowOff>104775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8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8164</xdr:colOff>
      <xdr:row>104</xdr:row>
      <xdr:rowOff>21771</xdr:rowOff>
    </xdr:from>
    <xdr:to>
      <xdr:col>9</xdr:col>
      <xdr:colOff>493939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8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9525</xdr:rowOff>
    </xdr:from>
    <xdr:to>
      <xdr:col>9</xdr:col>
      <xdr:colOff>542925</xdr:colOff>
      <xdr:row>22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19050</xdr:rowOff>
    </xdr:from>
    <xdr:to>
      <xdr:col>9</xdr:col>
      <xdr:colOff>533400</xdr:colOff>
      <xdr:row>38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28575</xdr:colOff>
      <xdr:row>40</xdr:row>
      <xdr:rowOff>19050</xdr:rowOff>
    </xdr:from>
    <xdr:to>
      <xdr:col>9</xdr:col>
      <xdr:colOff>542925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9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47625</xdr:colOff>
      <xdr:row>56</xdr:row>
      <xdr:rowOff>0</xdr:rowOff>
    </xdr:from>
    <xdr:to>
      <xdr:col>9</xdr:col>
      <xdr:colOff>561975</xdr:colOff>
      <xdr:row>70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38100</xdr:rowOff>
    </xdr:from>
    <xdr:to>
      <xdr:col>9</xdr:col>
      <xdr:colOff>542925</xdr:colOff>
      <xdr:row>86</xdr:row>
      <xdr:rowOff>114300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0</xdr:colOff>
      <xdr:row>88</xdr:row>
      <xdr:rowOff>19050</xdr:rowOff>
    </xdr:from>
    <xdr:to>
      <xdr:col>9</xdr:col>
      <xdr:colOff>514350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9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17689</xdr:colOff>
      <xdr:row>104</xdr:row>
      <xdr:rowOff>21771</xdr:rowOff>
    </xdr:from>
    <xdr:to>
      <xdr:col>9</xdr:col>
      <xdr:colOff>532039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9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19050</xdr:rowOff>
    </xdr:from>
    <xdr:to>
      <xdr:col>9</xdr:col>
      <xdr:colOff>542925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</xdr:colOff>
      <xdr:row>24</xdr:row>
      <xdr:rowOff>28575</xdr:rowOff>
    </xdr:from>
    <xdr:to>
      <xdr:col>9</xdr:col>
      <xdr:colOff>542925</xdr:colOff>
      <xdr:row>38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19050</xdr:colOff>
      <xdr:row>40</xdr:row>
      <xdr:rowOff>28575</xdr:rowOff>
    </xdr:from>
    <xdr:to>
      <xdr:col>9</xdr:col>
      <xdr:colOff>533400</xdr:colOff>
      <xdr:row>54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28575</xdr:colOff>
      <xdr:row>56</xdr:row>
      <xdr:rowOff>19050</xdr:rowOff>
    </xdr:from>
    <xdr:to>
      <xdr:col>9</xdr:col>
      <xdr:colOff>542925</xdr:colOff>
      <xdr:row>70</xdr:row>
      <xdr:rowOff>95250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A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28575</xdr:rowOff>
    </xdr:from>
    <xdr:to>
      <xdr:col>9</xdr:col>
      <xdr:colOff>542925</xdr:colOff>
      <xdr:row>86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A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57150</xdr:colOff>
      <xdr:row>88</xdr:row>
      <xdr:rowOff>19050</xdr:rowOff>
    </xdr:from>
    <xdr:to>
      <xdr:col>9</xdr:col>
      <xdr:colOff>571500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A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17689</xdr:colOff>
      <xdr:row>104</xdr:row>
      <xdr:rowOff>21771</xdr:rowOff>
    </xdr:from>
    <xdr:to>
      <xdr:col>9</xdr:col>
      <xdr:colOff>532039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A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28575</xdr:rowOff>
    </xdr:from>
    <xdr:to>
      <xdr:col>9</xdr:col>
      <xdr:colOff>533400</xdr:colOff>
      <xdr:row>22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19050</xdr:rowOff>
    </xdr:from>
    <xdr:to>
      <xdr:col>9</xdr:col>
      <xdr:colOff>533400</xdr:colOff>
      <xdr:row>38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19050</xdr:colOff>
      <xdr:row>40</xdr:row>
      <xdr:rowOff>28575</xdr:rowOff>
    </xdr:from>
    <xdr:to>
      <xdr:col>9</xdr:col>
      <xdr:colOff>533400</xdr:colOff>
      <xdr:row>54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438150</xdr:colOff>
      <xdr:row>56</xdr:row>
      <xdr:rowOff>38100</xdr:rowOff>
    </xdr:from>
    <xdr:to>
      <xdr:col>9</xdr:col>
      <xdr:colOff>504825</xdr:colOff>
      <xdr:row>70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B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72</xdr:row>
      <xdr:rowOff>19050</xdr:rowOff>
    </xdr:from>
    <xdr:to>
      <xdr:col>9</xdr:col>
      <xdr:colOff>533400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B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38100</xdr:colOff>
      <xdr:row>88</xdr:row>
      <xdr:rowOff>9525</xdr:rowOff>
    </xdr:from>
    <xdr:to>
      <xdr:col>9</xdr:col>
      <xdr:colOff>552450</xdr:colOff>
      <xdr:row>102</xdr:row>
      <xdr:rowOff>85725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B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8164</xdr:colOff>
      <xdr:row>104</xdr:row>
      <xdr:rowOff>31296</xdr:rowOff>
    </xdr:from>
    <xdr:to>
      <xdr:col>9</xdr:col>
      <xdr:colOff>522514</xdr:colOff>
      <xdr:row>118</xdr:row>
      <xdr:rowOff>107496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B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001-035-2012F%20Financial%20proposal%20Qunu\N001-035-2012-1F%20%20Pricing%20Schedu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icing Schedule"/>
      <sheetName val="Workings"/>
      <sheetName val="Break down"/>
      <sheetName val="WORKINGS MATRIX"/>
    </sheetNames>
    <sheetDataSet>
      <sheetData sheetId="0" refreshError="1"/>
      <sheetData sheetId="1" refreshError="1"/>
      <sheetData sheetId="2">
        <row r="5">
          <cell r="L5">
            <v>0</v>
          </cell>
        </row>
        <row r="6">
          <cell r="L6">
            <v>0</v>
          </cell>
        </row>
      </sheetData>
      <sheetData sheetId="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Lethu Dlanjwa (NR)" id="{6BEB08EE-6DF3-41E3-AFFA-B241E7516A8B}" userId="S::DlanjwaL@sanral.co.za::e20962c4-1896-4447-aa6c-979ea8ef74ce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44" dT="2023-08-20T11:05:45.30" personId="{6BEB08EE-6DF3-41E3-AFFA-B241E7516A8B}" id="{ADB35420-5DB8-4FC2-9A35-977AD3D7D3A9}">
    <text>According to new recently received this is a bit on the low side. I suggest at least R 12 000 000.00</text>
  </threadedComment>
  <threadedComment ref="F292" dT="2023-08-20T11:10:33.17" personId="{6BEB08EE-6DF3-41E3-AFFA-B241E7516A8B}" id="{541CC28E-3585-48A6-985E-8F8693FACF42}">
    <text>Looks too low. We are looking at least at R 850 000.00 per month current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3.bin"/><Relationship Id="rId4" Type="http://schemas.microsoft.com/office/2017/10/relationships/threadedComment" Target="../threadedComments/threadedComment1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7">
    <tabColor rgb="FFFF0000"/>
    <pageSetUpPr fitToPage="1"/>
  </sheetPr>
  <dimension ref="A1:H34"/>
  <sheetViews>
    <sheetView tabSelected="1" workbookViewId="0">
      <selection activeCell="C12" sqref="C12"/>
    </sheetView>
  </sheetViews>
  <sheetFormatPr defaultRowHeight="15"/>
  <cols>
    <col min="1" max="1" width="1.5703125" customWidth="1"/>
    <col min="2" max="2" width="13.5703125" customWidth="1"/>
    <col min="3" max="3" width="48.85546875" customWidth="1"/>
    <col min="5" max="5" width="13.5703125" customWidth="1"/>
    <col min="6" max="7" width="14.5703125" customWidth="1"/>
    <col min="8" max="8" width="17.140625" customWidth="1"/>
  </cols>
  <sheetData>
    <row r="1" spans="1:8" ht="23.25">
      <c r="C1" s="276" t="s">
        <v>826</v>
      </c>
      <c r="D1" s="897"/>
      <c r="E1" s="917"/>
      <c r="F1" s="918"/>
      <c r="G1" s="919"/>
      <c r="H1" s="919"/>
    </row>
    <row r="2" spans="1:8" ht="18.75">
      <c r="B2" s="281" t="str">
        <f>DATA!C1004</f>
        <v>NRA.N.011-050-2012/1F</v>
      </c>
      <c r="D2" s="13"/>
      <c r="E2" s="13"/>
      <c r="F2" s="18"/>
    </row>
    <row r="3" spans="1:8" ht="31.5">
      <c r="A3" s="36"/>
      <c r="B3" s="1076" t="s">
        <v>824</v>
      </c>
      <c r="C3" s="1076"/>
      <c r="D3" s="1076"/>
      <c r="E3" s="1076"/>
      <c r="F3" s="1076"/>
      <c r="G3" s="1076"/>
      <c r="H3" s="1076"/>
    </row>
    <row r="4" spans="1:8" ht="38.25" customHeight="1">
      <c r="A4" s="36"/>
      <c r="B4" s="1077" t="s">
        <v>897</v>
      </c>
      <c r="C4" s="1077"/>
      <c r="D4" s="1077"/>
      <c r="E4" s="1077"/>
      <c r="F4" s="1077"/>
      <c r="G4" s="1077"/>
      <c r="H4" s="1077"/>
    </row>
    <row r="5" spans="1:8" ht="13.5" customHeight="1">
      <c r="A5" s="36"/>
      <c r="B5" s="947"/>
      <c r="C5" s="947"/>
      <c r="D5" s="947"/>
      <c r="E5" s="947"/>
      <c r="F5" s="947"/>
      <c r="G5" s="947"/>
      <c r="H5" s="947"/>
    </row>
    <row r="6" spans="1:8">
      <c r="A6" s="36"/>
      <c r="B6" s="889" t="s">
        <v>48</v>
      </c>
      <c r="C6" s="889"/>
      <c r="D6" s="37"/>
      <c r="E6" s="37"/>
      <c r="F6" s="38"/>
      <c r="G6" s="36"/>
      <c r="H6" s="36"/>
    </row>
    <row r="7" spans="1:8">
      <c r="A7" s="36"/>
      <c r="B7" s="36"/>
      <c r="C7" s="36"/>
      <c r="D7" s="37"/>
      <c r="E7" s="37"/>
      <c r="F7" s="38"/>
      <c r="G7" s="36"/>
      <c r="H7" s="36"/>
    </row>
    <row r="8" spans="1:8">
      <c r="A8" s="36"/>
      <c r="B8" s="39" t="s">
        <v>0</v>
      </c>
      <c r="C8" s="39"/>
      <c r="D8" s="40"/>
      <c r="E8" s="40"/>
      <c r="F8" s="884"/>
      <c r="G8" s="39"/>
      <c r="H8" s="39"/>
    </row>
    <row r="9" spans="1:8" ht="15.75" thickBot="1">
      <c r="A9" s="36"/>
      <c r="B9" s="36"/>
      <c r="C9" s="36"/>
      <c r="D9" s="37"/>
      <c r="E9" s="37"/>
      <c r="F9" s="885"/>
      <c r="G9" s="36"/>
      <c r="H9" s="36"/>
    </row>
    <row r="10" spans="1:8" ht="15.75" thickBot="1">
      <c r="A10" s="36"/>
      <c r="B10" s="1071" t="s">
        <v>825</v>
      </c>
      <c r="C10" s="1072"/>
      <c r="D10" s="1072"/>
      <c r="E10" s="1072"/>
      <c r="F10" s="1072"/>
      <c r="G10" s="1073"/>
      <c r="H10" s="886"/>
    </row>
    <row r="11" spans="1:8" ht="30">
      <c r="A11" s="36"/>
      <c r="B11" s="117" t="s">
        <v>30</v>
      </c>
      <c r="C11" s="113" t="s">
        <v>47</v>
      </c>
      <c r="D11" s="1069" t="s">
        <v>839</v>
      </c>
      <c r="E11" s="1069"/>
      <c r="F11" s="1069"/>
      <c r="G11" s="1070"/>
      <c r="H11" s="227"/>
    </row>
    <row r="12" spans="1:8">
      <c r="A12" s="36"/>
      <c r="B12" s="118" t="str">
        <f>IF(DATA!A1051="","",DATA!A1051)</f>
        <v>PL</v>
      </c>
      <c r="C12" s="898"/>
      <c r="D12" s="1074" t="str">
        <f>IF(B12="","",DATA!B1051)</f>
        <v>Project Leader</v>
      </c>
      <c r="E12" s="1074"/>
      <c r="F12" s="1074"/>
      <c r="G12" s="1075"/>
      <c r="H12" s="227"/>
    </row>
    <row r="13" spans="1:8">
      <c r="A13" s="36"/>
      <c r="B13" s="118" t="str">
        <f>IF(DATA!A1052="","",DATA!A1052)</f>
        <v>DS1</v>
      </c>
      <c r="C13" s="898"/>
      <c r="D13" s="1074" t="str">
        <f>IF(B13="","",DATA!B1052)</f>
        <v>Design Specialist 1 - Pavement and Materials</v>
      </c>
      <c r="E13" s="1074"/>
      <c r="F13" s="1074"/>
      <c r="G13" s="1075"/>
      <c r="H13" s="227"/>
    </row>
    <row r="14" spans="1:8">
      <c r="A14" s="36"/>
      <c r="B14" s="118" t="str">
        <f>IF(DATA!A1053="","",DATA!A1053)</f>
        <v>DS3</v>
      </c>
      <c r="C14" s="898"/>
      <c r="D14" s="1074" t="str">
        <f>IF(B14="","",DATA!B1053)</f>
        <v>Design Specialist 3 - Geometrics</v>
      </c>
      <c r="E14" s="1074"/>
      <c r="F14" s="1074"/>
      <c r="G14" s="1075"/>
      <c r="H14" s="227"/>
    </row>
    <row r="15" spans="1:8">
      <c r="A15" s="36"/>
      <c r="B15" s="118" t="str">
        <f>IF(DATA!A1054="","",DATA!A1054)</f>
        <v/>
      </c>
      <c r="C15" s="898"/>
      <c r="D15" s="1074" t="str">
        <f>IF(B15="","",DATA!B1054)</f>
        <v/>
      </c>
      <c r="E15" s="1074"/>
      <c r="F15" s="1074"/>
      <c r="G15" s="1075"/>
      <c r="H15" s="227"/>
    </row>
    <row r="16" spans="1:8">
      <c r="A16" s="36"/>
      <c r="B16" s="118" t="str">
        <f>IF(DATA!A1055="","",DATA!A1055)</f>
        <v/>
      </c>
      <c r="C16" s="898"/>
      <c r="D16" s="1074" t="str">
        <f>IF(B16="","",DATA!B1055)</f>
        <v/>
      </c>
      <c r="E16" s="1074"/>
      <c r="F16" s="1074"/>
      <c r="G16" s="1075"/>
      <c r="H16" s="227"/>
    </row>
    <row r="17" spans="1:8">
      <c r="A17" s="36"/>
      <c r="B17" s="118" t="str">
        <f>IF(DATA!A1056="","",DATA!A1056)</f>
        <v/>
      </c>
      <c r="C17" s="898"/>
      <c r="D17" s="1074" t="str">
        <f>IF(B17="","",DATA!B1056)</f>
        <v/>
      </c>
      <c r="E17" s="1074"/>
      <c r="F17" s="1074"/>
      <c r="G17" s="1075"/>
      <c r="H17" s="227"/>
    </row>
    <row r="18" spans="1:8">
      <c r="A18" s="36"/>
      <c r="B18" s="118" t="str">
        <f>IF(DATA!A1057="","",DATA!A1057)</f>
        <v/>
      </c>
      <c r="C18" s="898"/>
      <c r="D18" s="1074" t="str">
        <f>IF(B18="","",DATA!B1057)</f>
        <v/>
      </c>
      <c r="E18" s="1074"/>
      <c r="F18" s="1074"/>
      <c r="G18" s="1075"/>
      <c r="H18" s="227"/>
    </row>
    <row r="19" spans="1:8">
      <c r="A19" s="36"/>
      <c r="B19" s="118" t="str">
        <f>IF(DATA!A1058="","",DATA!A1058)</f>
        <v/>
      </c>
      <c r="C19" s="898"/>
      <c r="D19" s="1074" t="str">
        <f>IF(B19="","",DATA!B1058)</f>
        <v/>
      </c>
      <c r="E19" s="1074"/>
      <c r="F19" s="1074"/>
      <c r="G19" s="1075"/>
      <c r="H19" s="227"/>
    </row>
    <row r="20" spans="1:8">
      <c r="A20" s="36"/>
      <c r="B20" s="118" t="str">
        <f>IF(DATA!A1059="","",DATA!A1059)</f>
        <v/>
      </c>
      <c r="C20" s="898"/>
      <c r="D20" s="1074" t="str">
        <f>IF(B20="","",DATA!B1059)</f>
        <v/>
      </c>
      <c r="E20" s="1074"/>
      <c r="F20" s="1074"/>
      <c r="G20" s="1075"/>
      <c r="H20" s="227"/>
    </row>
    <row r="21" spans="1:8">
      <c r="A21" s="36"/>
      <c r="B21" s="118" t="str">
        <f>IF(DATA!A1060="","",DATA!A1060)</f>
        <v/>
      </c>
      <c r="C21" s="898"/>
      <c r="D21" s="1074" t="str">
        <f>IF(B21="","",DATA!B1060)</f>
        <v/>
      </c>
      <c r="E21" s="1074"/>
      <c r="F21" s="1074"/>
      <c r="G21" s="1075"/>
      <c r="H21" s="227"/>
    </row>
    <row r="22" spans="1:8" hidden="1">
      <c r="A22" s="36"/>
      <c r="B22" s="118"/>
      <c r="C22" s="898"/>
      <c r="D22" s="1074"/>
      <c r="E22" s="1074"/>
      <c r="F22" s="1074"/>
      <c r="G22" s="1075"/>
      <c r="H22" s="227"/>
    </row>
    <row r="23" spans="1:8" hidden="1">
      <c r="A23" s="36"/>
      <c r="B23" s="118"/>
      <c r="C23" s="898"/>
      <c r="D23" s="1074"/>
      <c r="E23" s="1074"/>
      <c r="F23" s="1074"/>
      <c r="G23" s="1075"/>
      <c r="H23" s="227"/>
    </row>
    <row r="24" spans="1:8" hidden="1">
      <c r="A24" s="36"/>
      <c r="B24" s="118"/>
      <c r="C24" s="898"/>
      <c r="D24" s="1074"/>
      <c r="E24" s="1074"/>
      <c r="F24" s="1074"/>
      <c r="G24" s="1075"/>
      <c r="H24" s="227"/>
    </row>
    <row r="25" spans="1:8" hidden="1">
      <c r="A25" s="36"/>
      <c r="B25" s="118"/>
      <c r="C25" s="898"/>
      <c r="D25" s="1074"/>
      <c r="E25" s="1074"/>
      <c r="F25" s="1074"/>
      <c r="G25" s="1075"/>
      <c r="H25" s="227"/>
    </row>
    <row r="26" spans="1:8" hidden="1">
      <c r="A26" s="36"/>
      <c r="B26" s="118"/>
      <c r="C26" s="898"/>
      <c r="D26" s="1074"/>
      <c r="E26" s="1074"/>
      <c r="F26" s="1074"/>
      <c r="G26" s="1075"/>
      <c r="H26" s="227"/>
    </row>
    <row r="27" spans="1:8" hidden="1">
      <c r="A27" s="36"/>
      <c r="B27" s="118"/>
      <c r="C27" s="898"/>
      <c r="D27" s="1074"/>
      <c r="E27" s="1074"/>
      <c r="F27" s="1074"/>
      <c r="G27" s="1075"/>
      <c r="H27" s="227"/>
    </row>
    <row r="28" spans="1:8" hidden="1">
      <c r="A28" s="36"/>
      <c r="B28" s="118"/>
      <c r="C28" s="898"/>
      <c r="D28" s="1074"/>
      <c r="E28" s="1074"/>
      <c r="F28" s="1074"/>
      <c r="G28" s="1075"/>
      <c r="H28" s="227"/>
    </row>
    <row r="29" spans="1:8" hidden="1">
      <c r="A29" s="36"/>
      <c r="B29" s="118"/>
      <c r="C29" s="898"/>
      <c r="D29" s="1074"/>
      <c r="E29" s="1074"/>
      <c r="F29" s="1074"/>
      <c r="G29" s="1075"/>
      <c r="H29" s="227"/>
    </row>
    <row r="30" spans="1:8" hidden="1">
      <c r="A30" s="36"/>
      <c r="B30" s="118"/>
      <c r="C30" s="898"/>
      <c r="D30" s="1074"/>
      <c r="E30" s="1074"/>
      <c r="F30" s="1074"/>
      <c r="G30" s="1075"/>
      <c r="H30" s="227"/>
    </row>
    <row r="31" spans="1:8" ht="15.75" hidden="1" thickBot="1">
      <c r="A31" s="36"/>
      <c r="B31" s="119"/>
      <c r="C31" s="927"/>
      <c r="D31" s="1067"/>
      <c r="E31" s="1067"/>
      <c r="F31" s="1067"/>
      <c r="G31" s="1068"/>
      <c r="H31" s="227"/>
    </row>
    <row r="32" spans="1:8" ht="15.75" thickBot="1">
      <c r="A32" s="36"/>
      <c r="B32" s="925" t="s">
        <v>9</v>
      </c>
      <c r="C32" s="926" t="s">
        <v>26</v>
      </c>
      <c r="D32" s="67"/>
      <c r="E32" s="225"/>
      <c r="F32" s="885"/>
      <c r="G32" s="227"/>
      <c r="H32" s="227"/>
    </row>
    <row r="33" spans="1:8">
      <c r="A33" s="36"/>
      <c r="B33" s="67"/>
      <c r="C33" s="67"/>
      <c r="D33" s="67"/>
      <c r="E33" s="68"/>
      <c r="F33" s="69"/>
      <c r="G33" s="70"/>
      <c r="H33" s="70"/>
    </row>
    <row r="34" spans="1:8">
      <c r="B34" s="1066" t="s">
        <v>989</v>
      </c>
      <c r="C34" s="1" t="s">
        <v>990</v>
      </c>
    </row>
  </sheetData>
  <sheetProtection algorithmName="SHA-512" hashValue="ag4J8bhsJVk2T3w3XJNUiKhE+BtvD72HE/dNf3d3m+2VfGIP/a0TOAFpOB8DhF/fvw0hD5W8BwbxYobHdW5+hg==" saltValue="KUQH+/SmY5KTNfS38ydeNw==" spinCount="100000" sheet="1" objects="1" scenarios="1"/>
  <mergeCells count="24">
    <mergeCell ref="D25:G25"/>
    <mergeCell ref="D26:G26"/>
    <mergeCell ref="B3:H3"/>
    <mergeCell ref="D12:G12"/>
    <mergeCell ref="D13:G13"/>
    <mergeCell ref="D14:G14"/>
    <mergeCell ref="D15:G15"/>
    <mergeCell ref="B4:H4"/>
    <mergeCell ref="D31:G31"/>
    <mergeCell ref="D11:G11"/>
    <mergeCell ref="B10:G10"/>
    <mergeCell ref="D16:G16"/>
    <mergeCell ref="D27:G27"/>
    <mergeCell ref="D28:G28"/>
    <mergeCell ref="D29:G29"/>
    <mergeCell ref="D30:G30"/>
    <mergeCell ref="D17:G17"/>
    <mergeCell ref="D18:G18"/>
    <mergeCell ref="D19:G19"/>
    <mergeCell ref="D20:G20"/>
    <mergeCell ref="D21:G21"/>
    <mergeCell ref="D22:G22"/>
    <mergeCell ref="D23:G23"/>
    <mergeCell ref="D24:G24"/>
  </mergeCells>
  <conditionalFormatting sqref="B12:B32">
    <cfRule type="containsBlanks" dxfId="13499" priority="97">
      <formula>LEN(TRIM(B12))=0</formula>
    </cfRule>
  </conditionalFormatting>
  <conditionalFormatting sqref="C12">
    <cfRule type="expression" dxfId="13498" priority="96">
      <formula>B12=""</formula>
    </cfRule>
  </conditionalFormatting>
  <conditionalFormatting sqref="C13">
    <cfRule type="expression" dxfId="13497" priority="95">
      <formula>B13=""</formula>
    </cfRule>
  </conditionalFormatting>
  <conditionalFormatting sqref="C14">
    <cfRule type="expression" dxfId="13496" priority="94">
      <formula>B14=""</formula>
    </cfRule>
  </conditionalFormatting>
  <conditionalFormatting sqref="C15">
    <cfRule type="expression" dxfId="13495" priority="93">
      <formula>B15=""</formula>
    </cfRule>
  </conditionalFormatting>
  <conditionalFormatting sqref="C16:C31">
    <cfRule type="expression" dxfId="13494" priority="92">
      <formula>B16=""</formula>
    </cfRule>
  </conditionalFormatting>
  <conditionalFormatting sqref="C27">
    <cfRule type="expression" dxfId="13493" priority="91">
      <formula>B27=""</formula>
    </cfRule>
  </conditionalFormatting>
  <conditionalFormatting sqref="C28">
    <cfRule type="expression" dxfId="13492" priority="90">
      <formula>B28=""</formula>
    </cfRule>
  </conditionalFormatting>
  <conditionalFormatting sqref="C29">
    <cfRule type="expression" dxfId="13491" priority="89">
      <formula>B29=""</formula>
    </cfRule>
  </conditionalFormatting>
  <conditionalFormatting sqref="C30">
    <cfRule type="expression" dxfId="13490" priority="88">
      <formula>B30=""</formula>
    </cfRule>
  </conditionalFormatting>
  <conditionalFormatting sqref="C31">
    <cfRule type="expression" dxfId="13489" priority="87">
      <formula>B31=""</formula>
    </cfRule>
  </conditionalFormatting>
  <conditionalFormatting sqref="C32">
    <cfRule type="expression" dxfId="13488" priority="86">
      <formula>B32=""</formula>
    </cfRule>
  </conditionalFormatting>
  <conditionalFormatting sqref="D12:G12">
    <cfRule type="expression" dxfId="13487" priority="20">
      <formula>B12=""</formula>
    </cfRule>
  </conditionalFormatting>
  <conditionalFormatting sqref="D13:G13">
    <cfRule type="expression" dxfId="13486" priority="19">
      <formula>B13=""</formula>
    </cfRule>
  </conditionalFormatting>
  <conditionalFormatting sqref="D14:G14">
    <cfRule type="expression" dxfId="13485" priority="18">
      <formula>B14=""</formula>
    </cfRule>
  </conditionalFormatting>
  <conditionalFormatting sqref="D15:G15">
    <cfRule type="expression" dxfId="13484" priority="17">
      <formula>B15=""</formula>
    </cfRule>
  </conditionalFormatting>
  <conditionalFormatting sqref="D16:G31">
    <cfRule type="expression" dxfId="13483" priority="16">
      <formula>B16=""</formula>
    </cfRule>
  </conditionalFormatting>
  <conditionalFormatting sqref="D27:G27">
    <cfRule type="expression" dxfId="13482" priority="15">
      <formula>B27=""</formula>
    </cfRule>
  </conditionalFormatting>
  <conditionalFormatting sqref="D28:G28">
    <cfRule type="expression" dxfId="13481" priority="14">
      <formula>B28=""</formula>
    </cfRule>
  </conditionalFormatting>
  <conditionalFormatting sqref="D29:G29">
    <cfRule type="expression" dxfId="13480" priority="13">
      <formula>B29=""</formula>
    </cfRule>
  </conditionalFormatting>
  <conditionalFormatting sqref="D30:G30">
    <cfRule type="expression" dxfId="13479" priority="12">
      <formula>B30=""</formula>
    </cfRule>
  </conditionalFormatting>
  <conditionalFormatting sqref="D31:G31">
    <cfRule type="expression" dxfId="13478" priority="11">
      <formula>B31=""</formula>
    </cfRule>
  </conditionalFormatting>
  <conditionalFormatting sqref="D17:G17">
    <cfRule type="expression" dxfId="13477" priority="10">
      <formula>B17=""</formula>
    </cfRule>
  </conditionalFormatting>
  <conditionalFormatting sqref="D18:G18">
    <cfRule type="expression" dxfId="13476" priority="9">
      <formula>B18=""</formula>
    </cfRule>
  </conditionalFormatting>
  <conditionalFormatting sqref="D19:G19">
    <cfRule type="expression" dxfId="13475" priority="8">
      <formula>B19=""</formula>
    </cfRule>
  </conditionalFormatting>
  <conditionalFormatting sqref="D20:G20">
    <cfRule type="expression" dxfId="13474" priority="7">
      <formula>B20=""</formula>
    </cfRule>
  </conditionalFormatting>
  <conditionalFormatting sqref="D21:G21">
    <cfRule type="expression" dxfId="13473" priority="6">
      <formula>B21=""</formula>
    </cfRule>
  </conditionalFormatting>
  <conditionalFormatting sqref="D22:G22">
    <cfRule type="expression" dxfId="13472" priority="5">
      <formula>B22=""</formula>
    </cfRule>
  </conditionalFormatting>
  <conditionalFormatting sqref="D23:G23">
    <cfRule type="expression" dxfId="13471" priority="4">
      <formula>B23=""</formula>
    </cfRule>
  </conditionalFormatting>
  <conditionalFormatting sqref="D24:G24">
    <cfRule type="expression" dxfId="13470" priority="3">
      <formula>B24=""</formula>
    </cfRule>
  </conditionalFormatting>
  <conditionalFormatting sqref="D25:G25">
    <cfRule type="expression" dxfId="13469" priority="2">
      <formula>B25=""</formula>
    </cfRule>
  </conditionalFormatting>
  <conditionalFormatting sqref="D26:G26">
    <cfRule type="expression" dxfId="13468" priority="1">
      <formula>B26=""</formula>
    </cfRule>
  </conditionalFormatting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&amp;L&amp;"Calibri"&amp;10&amp;K000000Sensitivity - General&amp;1#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rgb="FFFF0000"/>
    <pageSetUpPr fitToPage="1"/>
  </sheetPr>
  <dimension ref="B1:H496"/>
  <sheetViews>
    <sheetView workbookViewId="0">
      <selection activeCell="C2" sqref="C2"/>
    </sheetView>
  </sheetViews>
  <sheetFormatPr defaultRowHeight="15"/>
  <cols>
    <col min="1" max="1" width="1.5703125" customWidth="1"/>
    <col min="2" max="2" width="12" customWidth="1"/>
    <col min="3" max="3" width="48.85546875" customWidth="1"/>
    <col min="4" max="4" width="10" style="13" customWidth="1"/>
    <col min="5" max="5" width="10.28515625" style="13" customWidth="1"/>
    <col min="6" max="6" width="12" style="18" customWidth="1"/>
    <col min="7" max="7" width="14.5703125" customWidth="1"/>
    <col min="8" max="8" width="17.140625" customWidth="1"/>
    <col min="10" max="10" width="14.7109375" customWidth="1"/>
  </cols>
  <sheetData>
    <row r="1" spans="2:8" ht="23.25">
      <c r="B1" s="214" t="str">
        <f>DATA!C1004</f>
        <v>NRA.N.011-050-2012/1F</v>
      </c>
      <c r="F1" s="214" t="s">
        <v>220</v>
      </c>
    </row>
    <row r="2" spans="2:8">
      <c r="C2" s="232" t="str">
        <f>'All Hours'!D1</f>
        <v>PLEASE INSERT TENDERER NAME ON INPUT DATA SHEET</v>
      </c>
      <c r="E2" s="232" t="s">
        <v>898</v>
      </c>
    </row>
    <row r="4" spans="2:8" ht="15.75" thickBot="1">
      <c r="B4" s="1" t="s">
        <v>0</v>
      </c>
      <c r="C4" s="1" t="str">
        <f>IF('Pricing Schedule'!G13="n","NOT REQUIRED FOR THIS TENDER","")</f>
        <v/>
      </c>
      <c r="D4" s="11" t="s">
        <v>1</v>
      </c>
      <c r="E4" s="11" t="s">
        <v>2</v>
      </c>
      <c r="F4" s="216" t="s">
        <v>3</v>
      </c>
      <c r="G4" s="1"/>
      <c r="H4" s="1" t="s">
        <v>4</v>
      </c>
    </row>
    <row r="5" spans="2:8" ht="15.75" thickBot="1">
      <c r="B5" s="2" t="s">
        <v>5</v>
      </c>
      <c r="C5" s="3"/>
      <c r="D5" s="12"/>
      <c r="E5" s="12"/>
      <c r="F5" s="15"/>
      <c r="G5" s="3"/>
      <c r="H5" s="4"/>
    </row>
    <row r="6" spans="2:8" ht="15.75" thickBot="1">
      <c r="B6" s="30">
        <v>32.01</v>
      </c>
      <c r="C6" s="31" t="s">
        <v>209</v>
      </c>
      <c r="D6" s="215" t="s">
        <v>6</v>
      </c>
      <c r="E6" s="32">
        <f>IF('Pricing Schedule'!$G$13="n",0,ROUND((E7*(F7/F73)+E29*(F29/F73)+E51*(F51/F73)+E73),2))</f>
        <v>0</v>
      </c>
      <c r="F6" s="33" t="str">
        <f>"Norm. Hours"</f>
        <v>Norm. Hours</v>
      </c>
      <c r="G6" s="34"/>
      <c r="H6" s="35">
        <f>IF('Pricing Schedule'!G13="n",0,SUM(H7:H94))</f>
        <v>0</v>
      </c>
    </row>
    <row r="7" spans="2:8">
      <c r="B7" s="19" t="s">
        <v>7</v>
      </c>
      <c r="C7" s="20"/>
      <c r="D7" s="21" t="s">
        <v>8</v>
      </c>
      <c r="E7" s="693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 t="shared" ref="F9:F28" si="0">IF(B9="","",$F$7)</f>
        <v>3534</v>
      </c>
      <c r="G9" s="61">
        <f t="shared" ref="G9:G28" si="1">IF(B9="","",(F9*E9))</f>
        <v>0</v>
      </c>
      <c r="H9" s="62"/>
    </row>
    <row r="10" spans="2:8">
      <c r="B10" s="118" t="str">
        <f>IF(DATA!A1053="","",DATA!A1053)</f>
        <v>DS3</v>
      </c>
      <c r="C10" s="59" t="str">
        <f>IF('TENDERER INPUT DATA'!C14="","",'TENDERER INPUT DATA'!C14)</f>
        <v/>
      </c>
      <c r="D10" s="59"/>
      <c r="E10" s="895">
        <v>0</v>
      </c>
      <c r="F10" s="16">
        <f t="shared" si="0"/>
        <v>3534</v>
      </c>
      <c r="G10" s="61">
        <f t="shared" si="1"/>
        <v>0</v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0"/>
        <v/>
      </c>
      <c r="G11" s="61" t="str">
        <f t="shared" si="1"/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0"/>
        <v/>
      </c>
      <c r="G12" s="61" t="str">
        <f t="shared" si="1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0"/>
        <v/>
      </c>
      <c r="G13" s="61" t="str">
        <f t="shared" si="1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0"/>
        <v/>
      </c>
      <c r="G14" s="61" t="str">
        <f t="shared" si="1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0"/>
        <v/>
      </c>
      <c r="G15" s="61" t="str">
        <f t="shared" si="1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0"/>
        <v/>
      </c>
      <c r="G16" s="61" t="str">
        <f t="shared" si="1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0"/>
        <v/>
      </c>
      <c r="G17" s="61" t="str">
        <f t="shared" si="1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.75" thickBot="1">
      <c r="B28" s="119" t="str">
        <f>'All Hours'!B30</f>
        <v>OTHER</v>
      </c>
      <c r="C28" s="63" t="str">
        <f>'All Hours'!C30</f>
        <v>Various non-key personnel</v>
      </c>
      <c r="D28" s="5"/>
      <c r="E28" s="895">
        <v>0</v>
      </c>
      <c r="F28" s="16">
        <f t="shared" si="0"/>
        <v>3534</v>
      </c>
      <c r="G28" s="6">
        <f t="shared" si="1"/>
        <v>0</v>
      </c>
      <c r="H28" s="7"/>
    </row>
    <row r="29" spans="2:8">
      <c r="B29" s="19" t="s">
        <v>10</v>
      </c>
      <c r="C29" s="20"/>
      <c r="D29" s="21" t="s">
        <v>8</v>
      </c>
      <c r="E29" s="693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 t="shared" ref="B30:C32" si="2">B8</f>
        <v>PL</v>
      </c>
      <c r="C30" s="59" t="str">
        <f t="shared" si="2"/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 t="shared" si="2"/>
        <v>DS1</v>
      </c>
      <c r="C31" s="59" t="str">
        <f t="shared" si="2"/>
        <v/>
      </c>
      <c r="D31" s="59"/>
      <c r="E31" s="895">
        <v>0</v>
      </c>
      <c r="F31" s="16">
        <f t="shared" ref="F31:F50" si="3">IF(B31="","",$F$29)</f>
        <v>2796</v>
      </c>
      <c r="G31" s="61">
        <f t="shared" ref="G31:G50" si="4">IF(B31="","",(F31*E31))</f>
        <v>0</v>
      </c>
      <c r="H31" s="62"/>
    </row>
    <row r="32" spans="2:8">
      <c r="B32" s="118" t="str">
        <f t="shared" si="2"/>
        <v>DS3</v>
      </c>
      <c r="C32" s="59" t="str">
        <f t="shared" si="2"/>
        <v/>
      </c>
      <c r="D32" s="59"/>
      <c r="E32" s="895">
        <v>0</v>
      </c>
      <c r="F32" s="16">
        <f t="shared" si="3"/>
        <v>2796</v>
      </c>
      <c r="G32" s="61">
        <f t="shared" si="4"/>
        <v>0</v>
      </c>
      <c r="H32" s="62"/>
    </row>
    <row r="33" spans="2:8">
      <c r="B33" s="118" t="str">
        <f t="shared" ref="B33:C33" si="5">B11</f>
        <v/>
      </c>
      <c r="C33" s="59" t="str">
        <f t="shared" si="5"/>
        <v/>
      </c>
      <c r="D33" s="59"/>
      <c r="E33" s="895">
        <v>0</v>
      </c>
      <c r="F33" s="16" t="str">
        <f t="shared" si="3"/>
        <v/>
      </c>
      <c r="G33" s="61" t="str">
        <f t="shared" ref="G33:G39" si="6">IF(B33="","",(F33*E33))</f>
        <v/>
      </c>
      <c r="H33" s="62"/>
    </row>
    <row r="34" spans="2:8">
      <c r="B34" s="118" t="str">
        <f t="shared" ref="B34:C34" si="7">B12</f>
        <v/>
      </c>
      <c r="C34" s="59" t="str">
        <f t="shared" si="7"/>
        <v/>
      </c>
      <c r="D34" s="59"/>
      <c r="E34" s="895">
        <v>0</v>
      </c>
      <c r="F34" s="16" t="str">
        <f t="shared" si="3"/>
        <v/>
      </c>
      <c r="G34" s="61" t="str">
        <f t="shared" si="6"/>
        <v/>
      </c>
      <c r="H34" s="62"/>
    </row>
    <row r="35" spans="2:8">
      <c r="B35" s="118" t="str">
        <f t="shared" ref="B35:C35" si="8">B13</f>
        <v/>
      </c>
      <c r="C35" s="59" t="str">
        <f t="shared" si="8"/>
        <v/>
      </c>
      <c r="D35" s="59"/>
      <c r="E35" s="895">
        <v>0</v>
      </c>
      <c r="F35" s="16" t="str">
        <f t="shared" si="3"/>
        <v/>
      </c>
      <c r="G35" s="61" t="str">
        <f t="shared" si="6"/>
        <v/>
      </c>
      <c r="H35" s="62"/>
    </row>
    <row r="36" spans="2:8">
      <c r="B36" s="118" t="str">
        <f t="shared" ref="B36:C36" si="9">B14</f>
        <v/>
      </c>
      <c r="C36" s="59" t="str">
        <f t="shared" si="9"/>
        <v/>
      </c>
      <c r="D36" s="59"/>
      <c r="E36" s="895">
        <v>0</v>
      </c>
      <c r="F36" s="16" t="str">
        <f t="shared" si="3"/>
        <v/>
      </c>
      <c r="G36" s="61" t="str">
        <f t="shared" si="6"/>
        <v/>
      </c>
      <c r="H36" s="62"/>
    </row>
    <row r="37" spans="2:8">
      <c r="B37" s="118" t="str">
        <f t="shared" ref="B37:C37" si="10">B15</f>
        <v/>
      </c>
      <c r="C37" s="59" t="str">
        <f t="shared" si="10"/>
        <v/>
      </c>
      <c r="D37" s="59"/>
      <c r="E37" s="895">
        <v>0</v>
      </c>
      <c r="F37" s="16" t="str">
        <f t="shared" si="3"/>
        <v/>
      </c>
      <c r="G37" s="61" t="str">
        <f t="shared" si="6"/>
        <v/>
      </c>
      <c r="H37" s="62"/>
    </row>
    <row r="38" spans="2:8">
      <c r="B38" s="118" t="str">
        <f t="shared" ref="B38:C38" si="11">B16</f>
        <v/>
      </c>
      <c r="C38" s="59" t="str">
        <f t="shared" si="11"/>
        <v/>
      </c>
      <c r="D38" s="59"/>
      <c r="E38" s="895">
        <v>0</v>
      </c>
      <c r="F38" s="16" t="str">
        <f t="shared" si="3"/>
        <v/>
      </c>
      <c r="G38" s="61" t="str">
        <f t="shared" si="6"/>
        <v/>
      </c>
      <c r="H38" s="62"/>
    </row>
    <row r="39" spans="2:8">
      <c r="B39" s="118" t="str">
        <f t="shared" ref="B39:C39" si="12">B17</f>
        <v/>
      </c>
      <c r="C39" s="59" t="str">
        <f t="shared" si="12"/>
        <v/>
      </c>
      <c r="D39" s="59"/>
      <c r="E39" s="895">
        <v>0</v>
      </c>
      <c r="F39" s="16" t="str">
        <f t="shared" si="3"/>
        <v/>
      </c>
      <c r="G39" s="61" t="str">
        <f t="shared" si="6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.75" thickBot="1">
      <c r="B50" s="118" t="str">
        <f t="shared" ref="B50:C50" si="13">B28</f>
        <v>OTHER</v>
      </c>
      <c r="C50" s="59" t="str">
        <f t="shared" si="13"/>
        <v>Various non-key personnel</v>
      </c>
      <c r="D50" s="5"/>
      <c r="E50" s="895">
        <v>0</v>
      </c>
      <c r="F50" s="16">
        <f t="shared" si="3"/>
        <v>2796</v>
      </c>
      <c r="G50" s="6">
        <f t="shared" si="4"/>
        <v>0</v>
      </c>
      <c r="H50" s="7"/>
    </row>
    <row r="51" spans="2:8">
      <c r="B51" s="19" t="s">
        <v>11</v>
      </c>
      <c r="C51" s="20"/>
      <c r="D51" s="21" t="s">
        <v>8</v>
      </c>
      <c r="E51" s="693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5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 t="shared" ref="B53:C53" si="14">B9</f>
        <v>DS1</v>
      </c>
      <c r="C53" s="59" t="str">
        <f t="shared" si="14"/>
        <v/>
      </c>
      <c r="D53" s="5"/>
      <c r="E53" s="895">
        <v>0</v>
      </c>
      <c r="F53" s="16">
        <f t="shared" ref="F53:F72" si="15">IF(B53="","",$F$51)</f>
        <v>2403</v>
      </c>
      <c r="G53" s="6">
        <f t="shared" ref="G53:G61" si="16">IF(B53="","",(F53*E53))</f>
        <v>0</v>
      </c>
      <c r="H53" s="7"/>
    </row>
    <row r="54" spans="2:8">
      <c r="B54" s="118" t="str">
        <f t="shared" ref="B54:C54" si="17">B10</f>
        <v>DS3</v>
      </c>
      <c r="C54" s="59" t="str">
        <f t="shared" si="17"/>
        <v/>
      </c>
      <c r="D54" s="5"/>
      <c r="E54" s="895">
        <v>0</v>
      </c>
      <c r="F54" s="16">
        <f t="shared" si="15"/>
        <v>2403</v>
      </c>
      <c r="G54" s="6">
        <f t="shared" si="16"/>
        <v>0</v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5">
        <v>0</v>
      </c>
      <c r="F55" s="16" t="str">
        <f t="shared" si="15"/>
        <v/>
      </c>
      <c r="G55" s="6" t="str">
        <f t="shared" si="16"/>
        <v/>
      </c>
      <c r="H55" s="7"/>
    </row>
    <row r="56" spans="2:8">
      <c r="B56" s="118" t="str">
        <f t="shared" ref="B56:C56" si="19">B12</f>
        <v/>
      </c>
      <c r="C56" s="59" t="str">
        <f t="shared" si="19"/>
        <v/>
      </c>
      <c r="D56" s="5"/>
      <c r="E56" s="895">
        <v>0</v>
      </c>
      <c r="F56" s="16" t="str">
        <f t="shared" si="15"/>
        <v/>
      </c>
      <c r="G56" s="6" t="str">
        <f t="shared" si="16"/>
        <v/>
      </c>
      <c r="H56" s="7"/>
    </row>
    <row r="57" spans="2:8">
      <c r="B57" s="118" t="str">
        <f t="shared" ref="B57:C57" si="20">B13</f>
        <v/>
      </c>
      <c r="C57" s="59" t="str">
        <f t="shared" si="20"/>
        <v/>
      </c>
      <c r="D57" s="5"/>
      <c r="E57" s="895">
        <v>0</v>
      </c>
      <c r="F57" s="16" t="str">
        <f t="shared" si="15"/>
        <v/>
      </c>
      <c r="G57" s="6" t="str">
        <f t="shared" si="16"/>
        <v/>
      </c>
      <c r="H57" s="7"/>
    </row>
    <row r="58" spans="2:8">
      <c r="B58" s="118" t="str">
        <f t="shared" ref="B58:C58" si="21">B14</f>
        <v/>
      </c>
      <c r="C58" s="59" t="str">
        <f t="shared" si="21"/>
        <v/>
      </c>
      <c r="D58" s="5"/>
      <c r="E58" s="895">
        <v>0</v>
      </c>
      <c r="F58" s="16" t="str">
        <f t="shared" si="15"/>
        <v/>
      </c>
      <c r="G58" s="6" t="str">
        <f t="shared" si="16"/>
        <v/>
      </c>
      <c r="H58" s="7"/>
    </row>
    <row r="59" spans="2:8">
      <c r="B59" s="118" t="str">
        <f t="shared" ref="B59:C59" si="22">B15</f>
        <v/>
      </c>
      <c r="C59" s="59" t="str">
        <f t="shared" si="22"/>
        <v/>
      </c>
      <c r="D59" s="5"/>
      <c r="E59" s="895">
        <v>0</v>
      </c>
      <c r="F59" s="16" t="str">
        <f t="shared" si="15"/>
        <v/>
      </c>
      <c r="G59" s="6" t="str">
        <f t="shared" si="16"/>
        <v/>
      </c>
      <c r="H59" s="7"/>
    </row>
    <row r="60" spans="2:8">
      <c r="B60" s="118" t="str">
        <f t="shared" ref="B60:C60" si="23">B16</f>
        <v/>
      </c>
      <c r="C60" s="59" t="str">
        <f t="shared" si="23"/>
        <v/>
      </c>
      <c r="D60" s="5"/>
      <c r="E60" s="895">
        <v>0</v>
      </c>
      <c r="F60" s="16" t="str">
        <f t="shared" si="15"/>
        <v/>
      </c>
      <c r="G60" s="6" t="str">
        <f t="shared" si="16"/>
        <v/>
      </c>
      <c r="H60" s="7"/>
    </row>
    <row r="61" spans="2:8">
      <c r="B61" s="118" t="str">
        <f t="shared" ref="B61:C61" si="24">B17</f>
        <v/>
      </c>
      <c r="C61" s="59" t="str">
        <f t="shared" si="24"/>
        <v/>
      </c>
      <c r="D61" s="5"/>
      <c r="E61" s="895">
        <v>0</v>
      </c>
      <c r="F61" s="16" t="str">
        <f t="shared" si="15"/>
        <v/>
      </c>
      <c r="G61" s="6" t="str">
        <f t="shared" si="16"/>
        <v/>
      </c>
      <c r="H61" s="7"/>
    </row>
    <row r="62" spans="2:8" hidden="1">
      <c r="B62" s="118"/>
      <c r="C62" s="59"/>
      <c r="D62" s="5"/>
      <c r="E62" s="895"/>
      <c r="F62" s="16"/>
      <c r="G62" s="6"/>
      <c r="H62" s="7"/>
    </row>
    <row r="63" spans="2:8" hidden="1">
      <c r="B63" s="118"/>
      <c r="C63" s="59"/>
      <c r="D63" s="5"/>
      <c r="E63" s="895"/>
      <c r="F63" s="16"/>
      <c r="G63" s="6"/>
      <c r="H63" s="7"/>
    </row>
    <row r="64" spans="2:8" hidden="1">
      <c r="B64" s="118"/>
      <c r="C64" s="59"/>
      <c r="D64" s="5"/>
      <c r="E64" s="895"/>
      <c r="F64" s="16"/>
      <c r="G64" s="6"/>
      <c r="H64" s="7"/>
    </row>
    <row r="65" spans="2:8" hidden="1">
      <c r="B65" s="118"/>
      <c r="C65" s="59"/>
      <c r="D65" s="5"/>
      <c r="E65" s="895"/>
      <c r="F65" s="16"/>
      <c r="G65" s="6"/>
      <c r="H65" s="7"/>
    </row>
    <row r="66" spans="2:8" hidden="1">
      <c r="B66" s="118"/>
      <c r="C66" s="59"/>
      <c r="D66" s="5"/>
      <c r="E66" s="895"/>
      <c r="F66" s="16"/>
      <c r="G66" s="6"/>
      <c r="H66" s="7"/>
    </row>
    <row r="67" spans="2:8" hidden="1">
      <c r="B67" s="118"/>
      <c r="C67" s="59"/>
      <c r="D67" s="5"/>
      <c r="E67" s="895"/>
      <c r="F67" s="16"/>
      <c r="G67" s="6"/>
      <c r="H67" s="7"/>
    </row>
    <row r="68" spans="2:8" hidden="1">
      <c r="B68" s="118"/>
      <c r="C68" s="59"/>
      <c r="D68" s="5"/>
      <c r="E68" s="895"/>
      <c r="F68" s="16"/>
      <c r="G68" s="6"/>
      <c r="H68" s="7"/>
    </row>
    <row r="69" spans="2:8" hidden="1">
      <c r="B69" s="118"/>
      <c r="C69" s="59"/>
      <c r="D69" s="5"/>
      <c r="E69" s="895"/>
      <c r="F69" s="16"/>
      <c r="G69" s="6"/>
      <c r="H69" s="7"/>
    </row>
    <row r="70" spans="2:8" hidden="1">
      <c r="B70" s="118"/>
      <c r="C70" s="59"/>
      <c r="D70" s="5"/>
      <c r="E70" s="895"/>
      <c r="F70" s="16"/>
      <c r="G70" s="6"/>
      <c r="H70" s="7"/>
    </row>
    <row r="71" spans="2:8" hidden="1">
      <c r="B71" s="118"/>
      <c r="C71" s="59"/>
      <c r="D71" s="5"/>
      <c r="E71" s="895"/>
      <c r="F71" s="16"/>
      <c r="G71" s="6"/>
      <c r="H71" s="7"/>
    </row>
    <row r="72" spans="2:8" ht="15.75" thickBot="1">
      <c r="B72" s="119" t="str">
        <f>B28</f>
        <v>OTHER</v>
      </c>
      <c r="C72" s="63" t="str">
        <f>C28</f>
        <v>Various non-key personnel</v>
      </c>
      <c r="D72" s="5"/>
      <c r="E72" s="895">
        <v>0</v>
      </c>
      <c r="F72" s="16">
        <f t="shared" si="15"/>
        <v>2403</v>
      </c>
      <c r="G72" s="6">
        <f t="shared" ref="G72" si="25">IF(B72="","",(F72*E72))</f>
        <v>0</v>
      </c>
      <c r="H72" s="7"/>
    </row>
    <row r="73" spans="2:8">
      <c r="B73" s="19" t="s">
        <v>12</v>
      </c>
      <c r="C73" s="20"/>
      <c r="D73" s="21" t="s">
        <v>8</v>
      </c>
      <c r="E73" s="693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5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5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>DS3</v>
      </c>
      <c r="C76" s="59" t="str">
        <f t="shared" si="27"/>
        <v/>
      </c>
      <c r="D76" s="5"/>
      <c r="E76" s="895">
        <v>0</v>
      </c>
      <c r="F76" s="16">
        <f t="shared" ref="F76:F77" si="28">IF(B76="","",$F$73)</f>
        <v>1167</v>
      </c>
      <c r="G76" s="6">
        <f t="shared" si="26"/>
        <v>0</v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5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5">
        <v>0</v>
      </c>
      <c r="F78" s="16" t="str">
        <f t="shared" ref="F78:F94" si="32">IF(B78="","",$F$73)</f>
        <v/>
      </c>
      <c r="G78" s="6" t="str">
        <f t="shared" si="30"/>
        <v/>
      </c>
      <c r="H78" s="7"/>
    </row>
    <row r="79" spans="2:8">
      <c r="B79" s="118" t="str">
        <f t="shared" ref="B79:C79" si="33">B13</f>
        <v/>
      </c>
      <c r="C79" s="59" t="str">
        <f t="shared" si="33"/>
        <v/>
      </c>
      <c r="D79" s="5"/>
      <c r="E79" s="895">
        <v>0</v>
      </c>
      <c r="F79" s="16" t="str">
        <f t="shared" si="32"/>
        <v/>
      </c>
      <c r="G79" s="6" t="str">
        <f t="shared" si="30"/>
        <v/>
      </c>
      <c r="H79" s="7"/>
    </row>
    <row r="80" spans="2:8">
      <c r="B80" s="118" t="str">
        <f t="shared" ref="B80:C80" si="34">B14</f>
        <v/>
      </c>
      <c r="C80" s="59" t="str">
        <f t="shared" si="34"/>
        <v/>
      </c>
      <c r="D80" s="5"/>
      <c r="E80" s="895">
        <v>0</v>
      </c>
      <c r="F80" s="16" t="str">
        <f t="shared" si="32"/>
        <v/>
      </c>
      <c r="G80" s="6" t="str">
        <f t="shared" si="30"/>
        <v/>
      </c>
      <c r="H80" s="7"/>
    </row>
    <row r="81" spans="2:8">
      <c r="B81" s="118" t="str">
        <f t="shared" ref="B81:C81" si="35">B15</f>
        <v/>
      </c>
      <c r="C81" s="59" t="str">
        <f t="shared" si="35"/>
        <v/>
      </c>
      <c r="D81" s="5"/>
      <c r="E81" s="895">
        <v>0</v>
      </c>
      <c r="F81" s="16" t="str">
        <f t="shared" si="32"/>
        <v/>
      </c>
      <c r="G81" s="6" t="str">
        <f t="shared" si="30"/>
        <v/>
      </c>
      <c r="H81" s="7"/>
    </row>
    <row r="82" spans="2:8">
      <c r="B82" s="118" t="str">
        <f t="shared" ref="B82:C82" si="36">B16</f>
        <v/>
      </c>
      <c r="C82" s="59" t="str">
        <f t="shared" si="36"/>
        <v/>
      </c>
      <c r="D82" s="5"/>
      <c r="E82" s="895">
        <v>0</v>
      </c>
      <c r="F82" s="16" t="str">
        <f t="shared" si="32"/>
        <v/>
      </c>
      <c r="G82" s="6" t="str">
        <f t="shared" si="30"/>
        <v/>
      </c>
      <c r="H82" s="7"/>
    </row>
    <row r="83" spans="2:8">
      <c r="B83" s="118" t="str">
        <f t="shared" ref="B83:C83" si="37">B17</f>
        <v/>
      </c>
      <c r="C83" s="59" t="str">
        <f t="shared" si="37"/>
        <v/>
      </c>
      <c r="D83" s="5"/>
      <c r="E83" s="895">
        <v>0</v>
      </c>
      <c r="F83" s="16" t="str">
        <f t="shared" si="32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5"/>
      <c r="F84" s="16"/>
      <c r="G84" s="6"/>
      <c r="H84" s="7"/>
    </row>
    <row r="85" spans="2:8" hidden="1">
      <c r="B85" s="118"/>
      <c r="C85" s="59"/>
      <c r="D85" s="5"/>
      <c r="E85" s="895"/>
      <c r="F85" s="16"/>
      <c r="G85" s="6"/>
      <c r="H85" s="7"/>
    </row>
    <row r="86" spans="2:8" hidden="1">
      <c r="B86" s="118"/>
      <c r="C86" s="59"/>
      <c r="D86" s="5"/>
      <c r="E86" s="895"/>
      <c r="F86" s="16"/>
      <c r="G86" s="6"/>
      <c r="H86" s="7"/>
    </row>
    <row r="87" spans="2:8" hidden="1">
      <c r="B87" s="118"/>
      <c r="C87" s="59"/>
      <c r="D87" s="5"/>
      <c r="E87" s="895"/>
      <c r="F87" s="16"/>
      <c r="G87" s="6"/>
      <c r="H87" s="7"/>
    </row>
    <row r="88" spans="2:8" hidden="1">
      <c r="B88" s="118"/>
      <c r="C88" s="59"/>
      <c r="D88" s="5"/>
      <c r="E88" s="895"/>
      <c r="F88" s="16"/>
      <c r="G88" s="6"/>
      <c r="H88" s="7"/>
    </row>
    <row r="89" spans="2:8" hidden="1">
      <c r="B89" s="118"/>
      <c r="C89" s="59"/>
      <c r="D89" s="5"/>
      <c r="E89" s="895"/>
      <c r="F89" s="16"/>
      <c r="G89" s="6"/>
      <c r="H89" s="7"/>
    </row>
    <row r="90" spans="2:8" hidden="1">
      <c r="B90" s="118"/>
      <c r="C90" s="59"/>
      <c r="D90" s="5"/>
      <c r="E90" s="895"/>
      <c r="F90" s="16"/>
      <c r="G90" s="6"/>
      <c r="H90" s="7"/>
    </row>
    <row r="91" spans="2:8" hidden="1">
      <c r="B91" s="118"/>
      <c r="C91" s="59"/>
      <c r="D91" s="5"/>
      <c r="E91" s="895"/>
      <c r="F91" s="16"/>
      <c r="G91" s="6"/>
      <c r="H91" s="7"/>
    </row>
    <row r="92" spans="2:8" hidden="1">
      <c r="B92" s="118"/>
      <c r="C92" s="59"/>
      <c r="D92" s="5"/>
      <c r="E92" s="895"/>
      <c r="F92" s="16"/>
      <c r="G92" s="6"/>
      <c r="H92" s="7"/>
    </row>
    <row r="93" spans="2:8" hidden="1">
      <c r="B93" s="118"/>
      <c r="C93" s="59"/>
      <c r="D93" s="5"/>
      <c r="E93" s="895"/>
      <c r="F93" s="16"/>
      <c r="G93" s="6"/>
      <c r="H93" s="7"/>
    </row>
    <row r="94" spans="2:8" ht="15.75" thickBot="1">
      <c r="B94" s="119" t="str">
        <f>B28</f>
        <v>OTHER</v>
      </c>
      <c r="C94" s="63" t="str">
        <f>C28</f>
        <v>Various non-key personnel</v>
      </c>
      <c r="D94" s="8"/>
      <c r="E94" s="896">
        <v>0</v>
      </c>
      <c r="F94" s="17">
        <f t="shared" si="32"/>
        <v>1167</v>
      </c>
      <c r="G94" s="9">
        <f t="shared" si="26"/>
        <v>0</v>
      </c>
      <c r="H94" s="10"/>
    </row>
    <row r="96" spans="2:8">
      <c r="B96" s="1066" t="s">
        <v>989</v>
      </c>
      <c r="C96" s="1" t="s">
        <v>990</v>
      </c>
    </row>
    <row r="104" spans="2:8" ht="15.75" thickBot="1">
      <c r="B104" s="1" t="s">
        <v>0</v>
      </c>
      <c r="C104" s="1" t="str">
        <f>IF('Pricing Schedule'!G16="n","NOT REQUIRED","")</f>
        <v/>
      </c>
      <c r="D104" s="11" t="s">
        <v>1</v>
      </c>
      <c r="E104" s="11" t="s">
        <v>2</v>
      </c>
      <c r="F104" s="216" t="s">
        <v>3</v>
      </c>
      <c r="G104" s="1"/>
      <c r="H104" s="1" t="s">
        <v>4</v>
      </c>
    </row>
    <row r="105" spans="2:8" ht="15.75" thickBot="1">
      <c r="B105" s="2" t="s">
        <v>5</v>
      </c>
      <c r="C105" s="3"/>
      <c r="D105" s="12"/>
      <c r="E105" s="12"/>
      <c r="F105" s="15"/>
      <c r="G105" s="3"/>
      <c r="H105" s="4"/>
    </row>
    <row r="106" spans="2:8" ht="15.75" thickBot="1">
      <c r="B106" s="30">
        <v>32.020000000000003</v>
      </c>
      <c r="C106" s="31" t="s">
        <v>210</v>
      </c>
      <c r="D106" s="215" t="s">
        <v>6</v>
      </c>
      <c r="E106" s="32">
        <f>IF('Pricing Schedule'!$G$16="n",0,ROUND((E107*(F107/F173)+E129*(F129/F173)+E151*(F151/F173)+E173),2))</f>
        <v>0</v>
      </c>
      <c r="F106" s="33" t="str">
        <f>"Norm. Hours"</f>
        <v>Norm. Hours</v>
      </c>
      <c r="G106" s="34"/>
      <c r="H106" s="35">
        <f>IF('Pricing Schedule'!G16="n",0,SUM(H107:H194))</f>
        <v>0</v>
      </c>
    </row>
    <row r="107" spans="2:8">
      <c r="B107" s="19" t="s">
        <v>7</v>
      </c>
      <c r="C107" s="20"/>
      <c r="D107" s="21" t="s">
        <v>8</v>
      </c>
      <c r="E107" s="693">
        <f>SUM(E108:E128)</f>
        <v>0</v>
      </c>
      <c r="F107" s="22">
        <f>DATA!$B$7</f>
        <v>3534</v>
      </c>
      <c r="G107" s="23"/>
      <c r="H107" s="24">
        <f>E107*F107</f>
        <v>0</v>
      </c>
    </row>
    <row r="108" spans="2:8">
      <c r="B108" s="118" t="str">
        <f>$B$8</f>
        <v>PL</v>
      </c>
      <c r="C108" s="59" t="str">
        <f>$C$8</f>
        <v/>
      </c>
      <c r="D108" s="59"/>
      <c r="E108" s="895">
        <v>0</v>
      </c>
      <c r="F108" s="16">
        <f>IF(B108="","",$F$107)</f>
        <v>3534</v>
      </c>
      <c r="G108" s="61">
        <f>IF(B108="","",(F108*E108))</f>
        <v>0</v>
      </c>
      <c r="H108" s="62"/>
    </row>
    <row r="109" spans="2:8">
      <c r="B109" s="118" t="str">
        <f>$B$9</f>
        <v>DS1</v>
      </c>
      <c r="C109" s="59" t="str">
        <f>$C$9</f>
        <v/>
      </c>
      <c r="D109" s="59"/>
      <c r="E109" s="895">
        <v>0</v>
      </c>
      <c r="F109" s="16">
        <f>IF(B109="","",$F$107)</f>
        <v>3534</v>
      </c>
      <c r="G109" s="61">
        <f t="shared" ref="G109:G110" si="38">IF(B109="","",(F109*E109))</f>
        <v>0</v>
      </c>
      <c r="H109" s="62"/>
    </row>
    <row r="110" spans="2:8">
      <c r="B110" s="118" t="str">
        <f>$B$10</f>
        <v>DS3</v>
      </c>
      <c r="C110" s="59" t="str">
        <f>$C$10</f>
        <v/>
      </c>
      <c r="D110" s="59"/>
      <c r="E110" s="895">
        <v>0</v>
      </c>
      <c r="F110" s="16">
        <f>IF(B110="","",$F$107)</f>
        <v>3534</v>
      </c>
      <c r="G110" s="61">
        <f t="shared" si="38"/>
        <v>0</v>
      </c>
      <c r="H110" s="62"/>
    </row>
    <row r="111" spans="2:8">
      <c r="B111" s="118" t="str">
        <f>$B$11</f>
        <v/>
      </c>
      <c r="C111" s="59" t="str">
        <f>$C$11</f>
        <v/>
      </c>
      <c r="D111" s="59"/>
      <c r="E111" s="895">
        <v>0</v>
      </c>
      <c r="F111" s="16" t="str">
        <f t="shared" ref="F111:F128" si="39">IF(B111="","",$F$107)</f>
        <v/>
      </c>
      <c r="G111" s="61" t="str">
        <f t="shared" ref="G111:G128" si="40">IF(B111="","",(F111*E111))</f>
        <v/>
      </c>
      <c r="H111" s="62"/>
    </row>
    <row r="112" spans="2:8">
      <c r="B112" s="118" t="str">
        <f>$B$12</f>
        <v/>
      </c>
      <c r="C112" s="59" t="str">
        <f>$C$12</f>
        <v/>
      </c>
      <c r="D112" s="59"/>
      <c r="E112" s="895">
        <v>0</v>
      </c>
      <c r="F112" s="16" t="str">
        <f t="shared" si="39"/>
        <v/>
      </c>
      <c r="G112" s="61" t="str">
        <f t="shared" si="40"/>
        <v/>
      </c>
      <c r="H112" s="62"/>
    </row>
    <row r="113" spans="2:8">
      <c r="B113" s="118" t="str">
        <f>$B$13</f>
        <v/>
      </c>
      <c r="C113" s="59" t="str">
        <f>$C$13</f>
        <v/>
      </c>
      <c r="D113" s="59"/>
      <c r="E113" s="895">
        <v>0</v>
      </c>
      <c r="F113" s="16" t="str">
        <f t="shared" si="39"/>
        <v/>
      </c>
      <c r="G113" s="61" t="str">
        <f t="shared" si="40"/>
        <v/>
      </c>
      <c r="H113" s="62"/>
    </row>
    <row r="114" spans="2:8">
      <c r="B114" s="118" t="str">
        <f>$B$14</f>
        <v/>
      </c>
      <c r="C114" s="59" t="str">
        <f>$C$14</f>
        <v/>
      </c>
      <c r="D114" s="59"/>
      <c r="E114" s="895">
        <v>0</v>
      </c>
      <c r="F114" s="16" t="str">
        <f t="shared" si="39"/>
        <v/>
      </c>
      <c r="G114" s="61" t="str">
        <f t="shared" si="40"/>
        <v/>
      </c>
      <c r="H114" s="62"/>
    </row>
    <row r="115" spans="2:8">
      <c r="B115" s="118" t="str">
        <f>$B$15</f>
        <v/>
      </c>
      <c r="C115" s="59" t="str">
        <f>$C$15</f>
        <v/>
      </c>
      <c r="D115" s="59"/>
      <c r="E115" s="895">
        <v>0</v>
      </c>
      <c r="F115" s="16" t="str">
        <f t="shared" si="39"/>
        <v/>
      </c>
      <c r="G115" s="61" t="str">
        <f t="shared" si="40"/>
        <v/>
      </c>
      <c r="H115" s="62"/>
    </row>
    <row r="116" spans="2:8">
      <c r="B116" s="118" t="str">
        <f>$B$16</f>
        <v/>
      </c>
      <c r="C116" s="59" t="str">
        <f>$C$16</f>
        <v/>
      </c>
      <c r="D116" s="59"/>
      <c r="E116" s="895">
        <v>0</v>
      </c>
      <c r="F116" s="16" t="str">
        <f t="shared" si="39"/>
        <v/>
      </c>
      <c r="G116" s="61" t="str">
        <f t="shared" si="40"/>
        <v/>
      </c>
      <c r="H116" s="62"/>
    </row>
    <row r="117" spans="2:8">
      <c r="B117" s="118" t="str">
        <f>$B$17</f>
        <v/>
      </c>
      <c r="C117" s="59" t="str">
        <f>$C$17</f>
        <v/>
      </c>
      <c r="D117" s="59"/>
      <c r="E117" s="895">
        <v>0</v>
      </c>
      <c r="F117" s="16" t="str">
        <f t="shared" si="39"/>
        <v/>
      </c>
      <c r="G117" s="61" t="str">
        <f t="shared" si="40"/>
        <v/>
      </c>
      <c r="H117" s="62"/>
    </row>
    <row r="118" spans="2:8" hidden="1">
      <c r="B118" s="118"/>
      <c r="C118" s="59"/>
      <c r="D118" s="59"/>
      <c r="E118" s="895"/>
      <c r="F118" s="16"/>
      <c r="G118" s="61"/>
      <c r="H118" s="62"/>
    </row>
    <row r="119" spans="2:8" hidden="1">
      <c r="B119" s="118"/>
      <c r="C119" s="59"/>
      <c r="D119" s="59"/>
      <c r="E119" s="895"/>
      <c r="F119" s="16"/>
      <c r="G119" s="61"/>
      <c r="H119" s="62"/>
    </row>
    <row r="120" spans="2:8" hidden="1">
      <c r="B120" s="118"/>
      <c r="C120" s="59"/>
      <c r="D120" s="59"/>
      <c r="E120" s="895"/>
      <c r="F120" s="16"/>
      <c r="G120" s="61"/>
      <c r="H120" s="62"/>
    </row>
    <row r="121" spans="2:8" hidden="1">
      <c r="B121" s="118"/>
      <c r="C121" s="59"/>
      <c r="D121" s="59"/>
      <c r="E121" s="895"/>
      <c r="F121" s="16"/>
      <c r="G121" s="61"/>
      <c r="H121" s="62"/>
    </row>
    <row r="122" spans="2:8" hidden="1">
      <c r="B122" s="118"/>
      <c r="C122" s="59"/>
      <c r="D122" s="59"/>
      <c r="E122" s="895"/>
      <c r="F122" s="16"/>
      <c r="G122" s="61"/>
      <c r="H122" s="62"/>
    </row>
    <row r="123" spans="2:8" hidden="1">
      <c r="B123" s="118"/>
      <c r="C123" s="59"/>
      <c r="D123" s="59"/>
      <c r="E123" s="895"/>
      <c r="F123" s="16"/>
      <c r="G123" s="61"/>
      <c r="H123" s="62"/>
    </row>
    <row r="124" spans="2:8" hidden="1">
      <c r="B124" s="118"/>
      <c r="C124" s="59"/>
      <c r="D124" s="59"/>
      <c r="E124" s="895"/>
      <c r="F124" s="16"/>
      <c r="G124" s="61"/>
      <c r="H124" s="62"/>
    </row>
    <row r="125" spans="2:8" hidden="1">
      <c r="B125" s="118"/>
      <c r="C125" s="59"/>
      <c r="D125" s="59"/>
      <c r="E125" s="895"/>
      <c r="F125" s="16"/>
      <c r="G125" s="61"/>
      <c r="H125" s="62"/>
    </row>
    <row r="126" spans="2:8" hidden="1">
      <c r="B126" s="118"/>
      <c r="C126" s="59"/>
      <c r="D126" s="59"/>
      <c r="E126" s="895"/>
      <c r="F126" s="16"/>
      <c r="G126" s="61"/>
      <c r="H126" s="62"/>
    </row>
    <row r="127" spans="2:8" hidden="1">
      <c r="B127" s="118"/>
      <c r="C127" s="59"/>
      <c r="D127" s="59"/>
      <c r="E127" s="895"/>
      <c r="F127" s="16"/>
      <c r="G127" s="61"/>
      <c r="H127" s="62"/>
    </row>
    <row r="128" spans="2:8" ht="15.75" thickBot="1">
      <c r="B128" s="118" t="str">
        <f>$B$28</f>
        <v>OTHER</v>
      </c>
      <c r="C128" s="59" t="str">
        <f>$C$28</f>
        <v>Various non-key personnel</v>
      </c>
      <c r="D128" s="5"/>
      <c r="E128" s="895">
        <v>0</v>
      </c>
      <c r="F128" s="16">
        <f t="shared" si="39"/>
        <v>3534</v>
      </c>
      <c r="G128" s="61">
        <f t="shared" si="40"/>
        <v>0</v>
      </c>
      <c r="H128" s="62"/>
    </row>
    <row r="129" spans="2:8">
      <c r="B129" s="19" t="s">
        <v>10</v>
      </c>
      <c r="C129" s="20"/>
      <c r="D129" s="21" t="s">
        <v>8</v>
      </c>
      <c r="E129" s="693">
        <f>SUM(E130:E150)</f>
        <v>0</v>
      </c>
      <c r="F129" s="22">
        <f>DATA!$B$8</f>
        <v>2796</v>
      </c>
      <c r="G129" s="23"/>
      <c r="H129" s="24">
        <f>E129*F129</f>
        <v>0</v>
      </c>
    </row>
    <row r="130" spans="2:8">
      <c r="B130" s="118" t="str">
        <f>B108</f>
        <v>PL</v>
      </c>
      <c r="C130" s="59" t="str">
        <f>C108</f>
        <v/>
      </c>
      <c r="D130" s="59"/>
      <c r="E130" s="895">
        <v>0</v>
      </c>
      <c r="F130" s="16">
        <f>IF(B130="","",$F$129)</f>
        <v>2796</v>
      </c>
      <c r="G130" s="61">
        <f>IF(B130="","",(F130*E130))</f>
        <v>0</v>
      </c>
      <c r="H130" s="62"/>
    </row>
    <row r="131" spans="2:8">
      <c r="B131" s="118" t="str">
        <f t="shared" ref="B131:C131" si="41">B109</f>
        <v>DS1</v>
      </c>
      <c r="C131" s="59" t="str">
        <f t="shared" si="41"/>
        <v/>
      </c>
      <c r="D131" s="59"/>
      <c r="E131" s="895">
        <v>0</v>
      </c>
      <c r="F131" s="16">
        <f>IF(B131="","",$F$129)</f>
        <v>2796</v>
      </c>
      <c r="G131" s="61">
        <f t="shared" ref="G131:G150" si="42">IF(B131="","",(F131*E131))</f>
        <v>0</v>
      </c>
      <c r="H131" s="62"/>
    </row>
    <row r="132" spans="2:8">
      <c r="B132" s="118" t="str">
        <f t="shared" ref="B132:C132" si="43">B110</f>
        <v>DS3</v>
      </c>
      <c r="C132" s="59" t="str">
        <f t="shared" si="43"/>
        <v/>
      </c>
      <c r="D132" s="59"/>
      <c r="E132" s="895">
        <v>0</v>
      </c>
      <c r="F132" s="16">
        <f t="shared" ref="F132:F139" si="44">IF(B132="","",$F$129)</f>
        <v>2796</v>
      </c>
      <c r="G132" s="61">
        <f t="shared" si="42"/>
        <v>0</v>
      </c>
      <c r="H132" s="62"/>
    </row>
    <row r="133" spans="2:8">
      <c r="B133" s="118" t="str">
        <f t="shared" ref="B133:C133" si="45">B111</f>
        <v/>
      </c>
      <c r="C133" s="59" t="str">
        <f t="shared" si="45"/>
        <v/>
      </c>
      <c r="D133" s="59"/>
      <c r="E133" s="895">
        <v>0</v>
      </c>
      <c r="F133" s="16" t="str">
        <f t="shared" si="44"/>
        <v/>
      </c>
      <c r="G133" s="61" t="str">
        <f t="shared" ref="G133:G139" si="46">IF(B133="","",(F133*E133))</f>
        <v/>
      </c>
      <c r="H133" s="62"/>
    </row>
    <row r="134" spans="2:8">
      <c r="B134" s="118" t="str">
        <f t="shared" ref="B134:C134" si="47">B112</f>
        <v/>
      </c>
      <c r="C134" s="59" t="str">
        <f t="shared" si="47"/>
        <v/>
      </c>
      <c r="D134" s="59"/>
      <c r="E134" s="895">
        <v>0</v>
      </c>
      <c r="F134" s="16" t="str">
        <f t="shared" si="44"/>
        <v/>
      </c>
      <c r="G134" s="61" t="str">
        <f t="shared" si="46"/>
        <v/>
      </c>
      <c r="H134" s="62"/>
    </row>
    <row r="135" spans="2:8">
      <c r="B135" s="118" t="str">
        <f t="shared" ref="B135:C135" si="48">B113</f>
        <v/>
      </c>
      <c r="C135" s="59" t="str">
        <f t="shared" si="48"/>
        <v/>
      </c>
      <c r="D135" s="59"/>
      <c r="E135" s="895">
        <v>0</v>
      </c>
      <c r="F135" s="16" t="str">
        <f t="shared" si="44"/>
        <v/>
      </c>
      <c r="G135" s="61" t="str">
        <f t="shared" si="46"/>
        <v/>
      </c>
      <c r="H135" s="62"/>
    </row>
    <row r="136" spans="2:8">
      <c r="B136" s="118" t="str">
        <f t="shared" ref="B136:C136" si="49">B114</f>
        <v/>
      </c>
      <c r="C136" s="59" t="str">
        <f t="shared" si="49"/>
        <v/>
      </c>
      <c r="D136" s="59"/>
      <c r="E136" s="895">
        <v>0</v>
      </c>
      <c r="F136" s="16" t="str">
        <f t="shared" si="44"/>
        <v/>
      </c>
      <c r="G136" s="61" t="str">
        <f t="shared" si="46"/>
        <v/>
      </c>
      <c r="H136" s="62"/>
    </row>
    <row r="137" spans="2:8">
      <c r="B137" s="118" t="str">
        <f t="shared" ref="B137:C137" si="50">B115</f>
        <v/>
      </c>
      <c r="C137" s="59" t="str">
        <f t="shared" si="50"/>
        <v/>
      </c>
      <c r="D137" s="59"/>
      <c r="E137" s="895">
        <v>0</v>
      </c>
      <c r="F137" s="16" t="str">
        <f t="shared" si="44"/>
        <v/>
      </c>
      <c r="G137" s="61" t="str">
        <f t="shared" si="46"/>
        <v/>
      </c>
      <c r="H137" s="62"/>
    </row>
    <row r="138" spans="2:8">
      <c r="B138" s="118" t="str">
        <f t="shared" ref="B138:C138" si="51">B116</f>
        <v/>
      </c>
      <c r="C138" s="59" t="str">
        <f t="shared" si="51"/>
        <v/>
      </c>
      <c r="D138" s="59"/>
      <c r="E138" s="895">
        <v>0</v>
      </c>
      <c r="F138" s="16" t="str">
        <f t="shared" si="44"/>
        <v/>
      </c>
      <c r="G138" s="61" t="str">
        <f t="shared" si="46"/>
        <v/>
      </c>
      <c r="H138" s="62"/>
    </row>
    <row r="139" spans="2:8">
      <c r="B139" s="118" t="str">
        <f t="shared" ref="B139:C139" si="52">B117</f>
        <v/>
      </c>
      <c r="C139" s="59" t="str">
        <f t="shared" si="52"/>
        <v/>
      </c>
      <c r="D139" s="59"/>
      <c r="E139" s="895">
        <v>0</v>
      </c>
      <c r="F139" s="16" t="str">
        <f t="shared" si="44"/>
        <v/>
      </c>
      <c r="G139" s="61" t="str">
        <f t="shared" si="46"/>
        <v/>
      </c>
      <c r="H139" s="62"/>
    </row>
    <row r="140" spans="2:8" hidden="1">
      <c r="B140" s="118"/>
      <c r="C140" s="59"/>
      <c r="D140" s="59"/>
      <c r="E140" s="895"/>
      <c r="F140" s="16"/>
      <c r="G140" s="61"/>
      <c r="H140" s="62"/>
    </row>
    <row r="141" spans="2:8" hidden="1">
      <c r="B141" s="118"/>
      <c r="C141" s="59"/>
      <c r="D141" s="59"/>
      <c r="E141" s="895"/>
      <c r="F141" s="16"/>
      <c r="G141" s="61"/>
      <c r="H141" s="62"/>
    </row>
    <row r="142" spans="2:8" hidden="1">
      <c r="B142" s="118"/>
      <c r="C142" s="59"/>
      <c r="D142" s="59"/>
      <c r="E142" s="895"/>
      <c r="F142" s="16"/>
      <c r="G142" s="61"/>
      <c r="H142" s="62"/>
    </row>
    <row r="143" spans="2:8" hidden="1">
      <c r="B143" s="118"/>
      <c r="C143" s="59"/>
      <c r="D143" s="59"/>
      <c r="E143" s="895"/>
      <c r="F143" s="16"/>
      <c r="G143" s="61"/>
      <c r="H143" s="62"/>
    </row>
    <row r="144" spans="2:8" hidden="1">
      <c r="B144" s="118"/>
      <c r="C144" s="59"/>
      <c r="D144" s="59"/>
      <c r="E144" s="895"/>
      <c r="F144" s="16"/>
      <c r="G144" s="61"/>
      <c r="H144" s="62"/>
    </row>
    <row r="145" spans="2:8" hidden="1">
      <c r="B145" s="118"/>
      <c r="C145" s="59"/>
      <c r="D145" s="59"/>
      <c r="E145" s="895"/>
      <c r="F145" s="16"/>
      <c r="G145" s="61"/>
      <c r="H145" s="62"/>
    </row>
    <row r="146" spans="2:8" hidden="1">
      <c r="B146" s="118"/>
      <c r="C146" s="59"/>
      <c r="D146" s="59"/>
      <c r="E146" s="895"/>
      <c r="F146" s="16"/>
      <c r="G146" s="61"/>
      <c r="H146" s="62"/>
    </row>
    <row r="147" spans="2:8" hidden="1">
      <c r="B147" s="118"/>
      <c r="C147" s="59"/>
      <c r="D147" s="59"/>
      <c r="E147" s="895"/>
      <c r="F147" s="16"/>
      <c r="G147" s="61"/>
      <c r="H147" s="62"/>
    </row>
    <row r="148" spans="2:8" hidden="1">
      <c r="B148" s="118"/>
      <c r="C148" s="59"/>
      <c r="D148" s="59"/>
      <c r="E148" s="895"/>
      <c r="F148" s="16"/>
      <c r="G148" s="61"/>
      <c r="H148" s="62"/>
    </row>
    <row r="149" spans="2:8" hidden="1">
      <c r="B149" s="118"/>
      <c r="C149" s="59"/>
      <c r="D149" s="59"/>
      <c r="E149" s="895"/>
      <c r="F149" s="16"/>
      <c r="G149" s="61"/>
      <c r="H149" s="62"/>
    </row>
    <row r="150" spans="2:8" ht="15.75" thickBot="1">
      <c r="B150" s="118" t="str">
        <f t="shared" ref="B150:C150" si="53">B128</f>
        <v>OTHER</v>
      </c>
      <c r="C150" s="59" t="str">
        <f t="shared" si="53"/>
        <v>Various non-key personnel</v>
      </c>
      <c r="D150" s="5"/>
      <c r="E150" s="895">
        <v>0</v>
      </c>
      <c r="F150" s="16">
        <f>IF(B150="","",$F$129)</f>
        <v>2796</v>
      </c>
      <c r="G150" s="6">
        <f t="shared" si="42"/>
        <v>0</v>
      </c>
      <c r="H150" s="7"/>
    </row>
    <row r="151" spans="2:8">
      <c r="B151" s="19" t="s">
        <v>11</v>
      </c>
      <c r="C151" s="20"/>
      <c r="D151" s="21" t="s">
        <v>8</v>
      </c>
      <c r="E151" s="693">
        <f>SUM(E152:E172)</f>
        <v>0</v>
      </c>
      <c r="F151" s="22">
        <f>DATA!$B$9</f>
        <v>2403</v>
      </c>
      <c r="G151" s="23"/>
      <c r="H151" s="24">
        <f>E151*F151</f>
        <v>0</v>
      </c>
    </row>
    <row r="152" spans="2:8">
      <c r="B152" s="118" t="str">
        <f>B108</f>
        <v>PL</v>
      </c>
      <c r="C152" s="59" t="str">
        <f>C108</f>
        <v/>
      </c>
      <c r="D152" s="5"/>
      <c r="E152" s="895">
        <v>0</v>
      </c>
      <c r="F152" s="16">
        <f>IF(B152="","",$F$151)</f>
        <v>2403</v>
      </c>
      <c r="G152" s="6">
        <f>IF(B152="","",(F152*E152))</f>
        <v>0</v>
      </c>
      <c r="H152" s="7"/>
    </row>
    <row r="153" spans="2:8">
      <c r="B153" s="118" t="str">
        <f t="shared" ref="B153:C153" si="54">B109</f>
        <v>DS1</v>
      </c>
      <c r="C153" s="59" t="str">
        <f t="shared" si="54"/>
        <v/>
      </c>
      <c r="D153" s="5"/>
      <c r="E153" s="895">
        <v>0</v>
      </c>
      <c r="F153" s="16">
        <f>IF(B153="","",$F$151)</f>
        <v>2403</v>
      </c>
      <c r="G153" s="6">
        <f t="shared" ref="G153:G172" si="55">IF(B153="","",(F153*E153))</f>
        <v>0</v>
      </c>
      <c r="H153" s="7"/>
    </row>
    <row r="154" spans="2:8">
      <c r="B154" s="118" t="str">
        <f t="shared" ref="B154:C154" si="56">B110</f>
        <v>DS3</v>
      </c>
      <c r="C154" s="59" t="str">
        <f t="shared" si="56"/>
        <v/>
      </c>
      <c r="D154" s="5"/>
      <c r="E154" s="895">
        <v>0</v>
      </c>
      <c r="F154" s="16">
        <f t="shared" ref="F154:F161" si="57">IF(B154="","",$F$151)</f>
        <v>2403</v>
      </c>
      <c r="G154" s="6">
        <f t="shared" si="55"/>
        <v>0</v>
      </c>
      <c r="H154" s="7"/>
    </row>
    <row r="155" spans="2:8">
      <c r="B155" s="118" t="str">
        <f t="shared" ref="B155:C155" si="58">B111</f>
        <v/>
      </c>
      <c r="C155" s="59" t="str">
        <f t="shared" si="58"/>
        <v/>
      </c>
      <c r="D155" s="5"/>
      <c r="E155" s="895">
        <v>0</v>
      </c>
      <c r="F155" s="16" t="str">
        <f t="shared" si="57"/>
        <v/>
      </c>
      <c r="G155" s="6" t="str">
        <f t="shared" ref="G155:G161" si="59">IF(B155="","",(F155*E155))</f>
        <v/>
      </c>
      <c r="H155" s="7"/>
    </row>
    <row r="156" spans="2:8">
      <c r="B156" s="118" t="str">
        <f t="shared" ref="B156:C156" si="60">B112</f>
        <v/>
      </c>
      <c r="C156" s="59" t="str">
        <f t="shared" si="60"/>
        <v/>
      </c>
      <c r="D156" s="5"/>
      <c r="E156" s="895">
        <v>0</v>
      </c>
      <c r="F156" s="16" t="str">
        <f t="shared" si="57"/>
        <v/>
      </c>
      <c r="G156" s="6" t="str">
        <f t="shared" si="59"/>
        <v/>
      </c>
      <c r="H156" s="7"/>
    </row>
    <row r="157" spans="2:8">
      <c r="B157" s="118" t="str">
        <f t="shared" ref="B157:C157" si="61">B113</f>
        <v/>
      </c>
      <c r="C157" s="59" t="str">
        <f t="shared" si="61"/>
        <v/>
      </c>
      <c r="D157" s="5"/>
      <c r="E157" s="895">
        <v>0</v>
      </c>
      <c r="F157" s="16" t="str">
        <f t="shared" si="57"/>
        <v/>
      </c>
      <c r="G157" s="6" t="str">
        <f t="shared" si="59"/>
        <v/>
      </c>
      <c r="H157" s="7"/>
    </row>
    <row r="158" spans="2:8">
      <c r="B158" s="118" t="str">
        <f t="shared" ref="B158:C158" si="62">B114</f>
        <v/>
      </c>
      <c r="C158" s="59" t="str">
        <f t="shared" si="62"/>
        <v/>
      </c>
      <c r="D158" s="5"/>
      <c r="E158" s="895">
        <v>0</v>
      </c>
      <c r="F158" s="16" t="str">
        <f t="shared" si="57"/>
        <v/>
      </c>
      <c r="G158" s="6" t="str">
        <f t="shared" si="59"/>
        <v/>
      </c>
      <c r="H158" s="7"/>
    </row>
    <row r="159" spans="2:8">
      <c r="B159" s="118" t="str">
        <f t="shared" ref="B159:C159" si="63">B115</f>
        <v/>
      </c>
      <c r="C159" s="59" t="str">
        <f t="shared" si="63"/>
        <v/>
      </c>
      <c r="D159" s="5"/>
      <c r="E159" s="895">
        <v>0</v>
      </c>
      <c r="F159" s="16" t="str">
        <f t="shared" si="57"/>
        <v/>
      </c>
      <c r="G159" s="6" t="str">
        <f t="shared" si="59"/>
        <v/>
      </c>
      <c r="H159" s="7"/>
    </row>
    <row r="160" spans="2:8">
      <c r="B160" s="118" t="str">
        <f t="shared" ref="B160:C160" si="64">B116</f>
        <v/>
      </c>
      <c r="C160" s="59" t="str">
        <f t="shared" si="64"/>
        <v/>
      </c>
      <c r="D160" s="5"/>
      <c r="E160" s="895">
        <v>0</v>
      </c>
      <c r="F160" s="16" t="str">
        <f t="shared" si="57"/>
        <v/>
      </c>
      <c r="G160" s="6" t="str">
        <f t="shared" si="59"/>
        <v/>
      </c>
      <c r="H160" s="7"/>
    </row>
    <row r="161" spans="2:8">
      <c r="B161" s="118" t="str">
        <f t="shared" ref="B161:C161" si="65">B117</f>
        <v/>
      </c>
      <c r="C161" s="59" t="str">
        <f t="shared" si="65"/>
        <v/>
      </c>
      <c r="D161" s="5"/>
      <c r="E161" s="895">
        <v>0</v>
      </c>
      <c r="F161" s="16" t="str">
        <f t="shared" si="57"/>
        <v/>
      </c>
      <c r="G161" s="6" t="str">
        <f t="shared" si="59"/>
        <v/>
      </c>
      <c r="H161" s="7"/>
    </row>
    <row r="162" spans="2:8" hidden="1">
      <c r="B162" s="118"/>
      <c r="C162" s="59"/>
      <c r="D162" s="5"/>
      <c r="E162" s="895"/>
      <c r="F162" s="16"/>
      <c r="G162" s="6"/>
      <c r="H162" s="7"/>
    </row>
    <row r="163" spans="2:8" hidden="1">
      <c r="B163" s="118"/>
      <c r="C163" s="59"/>
      <c r="D163" s="5"/>
      <c r="E163" s="895"/>
      <c r="F163" s="16"/>
      <c r="G163" s="6"/>
      <c r="H163" s="7"/>
    </row>
    <row r="164" spans="2:8" hidden="1">
      <c r="B164" s="118"/>
      <c r="C164" s="59"/>
      <c r="D164" s="5"/>
      <c r="E164" s="895"/>
      <c r="F164" s="16"/>
      <c r="G164" s="6"/>
      <c r="H164" s="7"/>
    </row>
    <row r="165" spans="2:8" hidden="1">
      <c r="B165" s="118"/>
      <c r="C165" s="59"/>
      <c r="D165" s="5"/>
      <c r="E165" s="895"/>
      <c r="F165" s="16"/>
      <c r="G165" s="6"/>
      <c r="H165" s="7"/>
    </row>
    <row r="166" spans="2:8" hidden="1">
      <c r="B166" s="118"/>
      <c r="C166" s="59"/>
      <c r="D166" s="5"/>
      <c r="E166" s="895"/>
      <c r="F166" s="16"/>
      <c r="G166" s="6"/>
      <c r="H166" s="7"/>
    </row>
    <row r="167" spans="2:8" hidden="1">
      <c r="B167" s="118"/>
      <c r="C167" s="59"/>
      <c r="D167" s="5"/>
      <c r="E167" s="895"/>
      <c r="F167" s="16"/>
      <c r="G167" s="6"/>
      <c r="H167" s="7"/>
    </row>
    <row r="168" spans="2:8" hidden="1">
      <c r="B168" s="118"/>
      <c r="C168" s="59"/>
      <c r="D168" s="5"/>
      <c r="E168" s="895"/>
      <c r="F168" s="16"/>
      <c r="G168" s="6"/>
      <c r="H168" s="7"/>
    </row>
    <row r="169" spans="2:8" hidden="1">
      <c r="B169" s="118"/>
      <c r="C169" s="59"/>
      <c r="D169" s="5"/>
      <c r="E169" s="895"/>
      <c r="F169" s="16"/>
      <c r="G169" s="6"/>
      <c r="H169" s="7"/>
    </row>
    <row r="170" spans="2:8" hidden="1">
      <c r="B170" s="118"/>
      <c r="C170" s="59"/>
      <c r="D170" s="5"/>
      <c r="E170" s="895"/>
      <c r="F170" s="16"/>
      <c r="G170" s="6"/>
      <c r="H170" s="7"/>
    </row>
    <row r="171" spans="2:8" hidden="1">
      <c r="B171" s="118"/>
      <c r="C171" s="59"/>
      <c r="D171" s="5"/>
      <c r="E171" s="895"/>
      <c r="F171" s="16"/>
      <c r="G171" s="6"/>
      <c r="H171" s="7"/>
    </row>
    <row r="172" spans="2:8" ht="15.75" thickBot="1">
      <c r="B172" s="119" t="str">
        <f>B128</f>
        <v>OTHER</v>
      </c>
      <c r="C172" s="63" t="str">
        <f>C128</f>
        <v>Various non-key personnel</v>
      </c>
      <c r="D172" s="5"/>
      <c r="E172" s="895">
        <v>0</v>
      </c>
      <c r="F172" s="16">
        <f>IF(B172="","",$F$151)</f>
        <v>2403</v>
      </c>
      <c r="G172" s="6">
        <f t="shared" si="55"/>
        <v>0</v>
      </c>
      <c r="H172" s="7"/>
    </row>
    <row r="173" spans="2:8">
      <c r="B173" s="19" t="s">
        <v>12</v>
      </c>
      <c r="C173" s="20"/>
      <c r="D173" s="21" t="s">
        <v>8</v>
      </c>
      <c r="E173" s="693">
        <f>SUM(E174:E194)</f>
        <v>0</v>
      </c>
      <c r="F173" s="22">
        <f>DATA!$B$10</f>
        <v>1167</v>
      </c>
      <c r="G173" s="23"/>
      <c r="H173" s="24">
        <f>E173*F173</f>
        <v>0</v>
      </c>
    </row>
    <row r="174" spans="2:8">
      <c r="B174" s="118" t="str">
        <f>B108</f>
        <v>PL</v>
      </c>
      <c r="C174" s="59" t="str">
        <f>C108</f>
        <v/>
      </c>
      <c r="D174" s="5"/>
      <c r="E174" s="895">
        <v>0</v>
      </c>
      <c r="F174" s="16">
        <f>IF(B174="","",$F$173)</f>
        <v>1167</v>
      </c>
      <c r="G174" s="6">
        <f>IF(B174="","",(F174*E174))</f>
        <v>0</v>
      </c>
      <c r="H174" s="7"/>
    </row>
    <row r="175" spans="2:8">
      <c r="B175" s="118" t="str">
        <f t="shared" ref="B175:C175" si="66">B109</f>
        <v>DS1</v>
      </c>
      <c r="C175" s="59" t="str">
        <f t="shared" si="66"/>
        <v/>
      </c>
      <c r="D175" s="5"/>
      <c r="E175" s="895">
        <v>0</v>
      </c>
      <c r="F175" s="16">
        <f>IF(B175="","",$F$173)</f>
        <v>1167</v>
      </c>
      <c r="G175" s="6">
        <f t="shared" ref="G175:G194" si="67">IF(B175="","",(F175*E175))</f>
        <v>0</v>
      </c>
      <c r="H175" s="7"/>
    </row>
    <row r="176" spans="2:8">
      <c r="B176" s="118" t="str">
        <f t="shared" ref="B176:C176" si="68">B110</f>
        <v>DS3</v>
      </c>
      <c r="C176" s="59" t="str">
        <f t="shared" si="68"/>
        <v/>
      </c>
      <c r="D176" s="5"/>
      <c r="E176" s="895">
        <v>0</v>
      </c>
      <c r="F176" s="16">
        <f t="shared" ref="F176:F183" si="69">IF(B176="","",$F$173)</f>
        <v>1167</v>
      </c>
      <c r="G176" s="6">
        <f t="shared" si="67"/>
        <v>0</v>
      </c>
      <c r="H176" s="7"/>
    </row>
    <row r="177" spans="2:8">
      <c r="B177" s="118" t="str">
        <f t="shared" ref="B177:C177" si="70">B111</f>
        <v/>
      </c>
      <c r="C177" s="59" t="str">
        <f t="shared" si="70"/>
        <v/>
      </c>
      <c r="D177" s="5"/>
      <c r="E177" s="895">
        <v>0</v>
      </c>
      <c r="F177" s="16" t="str">
        <f t="shared" si="69"/>
        <v/>
      </c>
      <c r="G177" s="6" t="str">
        <f t="shared" ref="G177:G183" si="71">IF(B177="","",(F177*E177))</f>
        <v/>
      </c>
      <c r="H177" s="7"/>
    </row>
    <row r="178" spans="2:8">
      <c r="B178" s="118" t="str">
        <f t="shared" ref="B178:C178" si="72">B112</f>
        <v/>
      </c>
      <c r="C178" s="59" t="str">
        <f t="shared" si="72"/>
        <v/>
      </c>
      <c r="D178" s="5"/>
      <c r="E178" s="895">
        <v>0</v>
      </c>
      <c r="F178" s="16" t="str">
        <f t="shared" si="69"/>
        <v/>
      </c>
      <c r="G178" s="6" t="str">
        <f t="shared" si="71"/>
        <v/>
      </c>
      <c r="H178" s="7"/>
    </row>
    <row r="179" spans="2:8">
      <c r="B179" s="118" t="str">
        <f t="shared" ref="B179:C179" si="73">B113</f>
        <v/>
      </c>
      <c r="C179" s="59" t="str">
        <f t="shared" si="73"/>
        <v/>
      </c>
      <c r="D179" s="5"/>
      <c r="E179" s="895">
        <v>0</v>
      </c>
      <c r="F179" s="16" t="str">
        <f t="shared" si="69"/>
        <v/>
      </c>
      <c r="G179" s="6" t="str">
        <f t="shared" si="71"/>
        <v/>
      </c>
      <c r="H179" s="7"/>
    </row>
    <row r="180" spans="2:8">
      <c r="B180" s="118" t="str">
        <f t="shared" ref="B180:C180" si="74">B114</f>
        <v/>
      </c>
      <c r="C180" s="59" t="str">
        <f t="shared" si="74"/>
        <v/>
      </c>
      <c r="D180" s="5"/>
      <c r="E180" s="895">
        <v>0</v>
      </c>
      <c r="F180" s="16" t="str">
        <f t="shared" si="69"/>
        <v/>
      </c>
      <c r="G180" s="6" t="str">
        <f t="shared" si="71"/>
        <v/>
      </c>
      <c r="H180" s="7"/>
    </row>
    <row r="181" spans="2:8">
      <c r="B181" s="118" t="str">
        <f t="shared" ref="B181:C181" si="75">B115</f>
        <v/>
      </c>
      <c r="C181" s="59" t="str">
        <f t="shared" si="75"/>
        <v/>
      </c>
      <c r="D181" s="5"/>
      <c r="E181" s="895">
        <v>0</v>
      </c>
      <c r="F181" s="16" t="str">
        <f t="shared" si="69"/>
        <v/>
      </c>
      <c r="G181" s="6" t="str">
        <f t="shared" si="71"/>
        <v/>
      </c>
      <c r="H181" s="7"/>
    </row>
    <row r="182" spans="2:8">
      <c r="B182" s="118" t="str">
        <f t="shared" ref="B182:C182" si="76">B116</f>
        <v/>
      </c>
      <c r="C182" s="59" t="str">
        <f t="shared" si="76"/>
        <v/>
      </c>
      <c r="D182" s="5"/>
      <c r="E182" s="895">
        <v>0</v>
      </c>
      <c r="F182" s="16" t="str">
        <f t="shared" si="69"/>
        <v/>
      </c>
      <c r="G182" s="6" t="str">
        <f t="shared" si="71"/>
        <v/>
      </c>
      <c r="H182" s="7"/>
    </row>
    <row r="183" spans="2:8">
      <c r="B183" s="118" t="str">
        <f t="shared" ref="B183:C183" si="77">B117</f>
        <v/>
      </c>
      <c r="C183" s="59" t="str">
        <f t="shared" si="77"/>
        <v/>
      </c>
      <c r="D183" s="5"/>
      <c r="E183" s="895">
        <v>0</v>
      </c>
      <c r="F183" s="16" t="str">
        <f t="shared" si="69"/>
        <v/>
      </c>
      <c r="G183" s="6" t="str">
        <f t="shared" si="71"/>
        <v/>
      </c>
      <c r="H183" s="7"/>
    </row>
    <row r="184" spans="2:8" hidden="1">
      <c r="B184" s="118"/>
      <c r="C184" s="59"/>
      <c r="D184" s="5"/>
      <c r="E184" s="895"/>
      <c r="F184" s="16"/>
      <c r="G184" s="6"/>
      <c r="H184" s="7"/>
    </row>
    <row r="185" spans="2:8" hidden="1">
      <c r="B185" s="118"/>
      <c r="C185" s="59"/>
      <c r="D185" s="5"/>
      <c r="E185" s="895"/>
      <c r="F185" s="16"/>
      <c r="G185" s="6"/>
      <c r="H185" s="7"/>
    </row>
    <row r="186" spans="2:8" hidden="1">
      <c r="B186" s="118"/>
      <c r="C186" s="59"/>
      <c r="D186" s="5"/>
      <c r="E186" s="895"/>
      <c r="F186" s="16"/>
      <c r="G186" s="6"/>
      <c r="H186" s="7"/>
    </row>
    <row r="187" spans="2:8" hidden="1">
      <c r="B187" s="118"/>
      <c r="C187" s="59"/>
      <c r="D187" s="5"/>
      <c r="E187" s="895"/>
      <c r="F187" s="16"/>
      <c r="G187" s="6"/>
      <c r="H187" s="7"/>
    </row>
    <row r="188" spans="2:8" hidden="1">
      <c r="B188" s="118"/>
      <c r="C188" s="59"/>
      <c r="D188" s="5"/>
      <c r="E188" s="895"/>
      <c r="F188" s="16"/>
      <c r="G188" s="6"/>
      <c r="H188" s="7"/>
    </row>
    <row r="189" spans="2:8" hidden="1">
      <c r="B189" s="118"/>
      <c r="C189" s="59"/>
      <c r="D189" s="5"/>
      <c r="E189" s="895"/>
      <c r="F189" s="16"/>
      <c r="G189" s="6"/>
      <c r="H189" s="7"/>
    </row>
    <row r="190" spans="2:8" hidden="1">
      <c r="B190" s="118"/>
      <c r="C190" s="59"/>
      <c r="D190" s="5"/>
      <c r="E190" s="895"/>
      <c r="F190" s="16"/>
      <c r="G190" s="6"/>
      <c r="H190" s="7"/>
    </row>
    <row r="191" spans="2:8" hidden="1">
      <c r="B191" s="118"/>
      <c r="C191" s="59"/>
      <c r="D191" s="5"/>
      <c r="E191" s="895"/>
      <c r="F191" s="16"/>
      <c r="G191" s="6"/>
      <c r="H191" s="7"/>
    </row>
    <row r="192" spans="2:8" hidden="1">
      <c r="B192" s="118"/>
      <c r="C192" s="59"/>
      <c r="D192" s="5"/>
      <c r="E192" s="895"/>
      <c r="F192" s="16"/>
      <c r="G192" s="6"/>
      <c r="H192" s="7"/>
    </row>
    <row r="193" spans="2:8" hidden="1">
      <c r="B193" s="118"/>
      <c r="C193" s="59"/>
      <c r="D193" s="5"/>
      <c r="E193" s="895"/>
      <c r="F193" s="16"/>
      <c r="G193" s="6"/>
      <c r="H193" s="7"/>
    </row>
    <row r="194" spans="2:8" ht="15.75" thickBot="1">
      <c r="B194" s="119" t="str">
        <f t="shared" ref="B194:C194" si="78">B128</f>
        <v>OTHER</v>
      </c>
      <c r="C194" s="63" t="str">
        <f t="shared" si="78"/>
        <v>Various non-key personnel</v>
      </c>
      <c r="D194" s="8"/>
      <c r="E194" s="896">
        <v>0</v>
      </c>
      <c r="F194" s="17">
        <f>IF(B194="","",$F$173)</f>
        <v>1167</v>
      </c>
      <c r="G194" s="9">
        <f t="shared" si="67"/>
        <v>0</v>
      </c>
      <c r="H194" s="10"/>
    </row>
    <row r="196" spans="2:8">
      <c r="B196" s="1066" t="s">
        <v>989</v>
      </c>
      <c r="C196" s="1" t="s">
        <v>990</v>
      </c>
    </row>
    <row r="204" spans="2:8" ht="15.75" thickBot="1">
      <c r="B204" s="1" t="s">
        <v>0</v>
      </c>
      <c r="C204" s="1" t="str">
        <f>IF('Pricing Schedule'!G19="n","NOT REQUIRED","")</f>
        <v/>
      </c>
      <c r="D204" s="11" t="s">
        <v>1</v>
      </c>
      <c r="E204" s="11" t="s">
        <v>2</v>
      </c>
      <c r="F204" s="216" t="s">
        <v>3</v>
      </c>
      <c r="G204" s="1"/>
      <c r="H204" s="1" t="s">
        <v>4</v>
      </c>
    </row>
    <row r="205" spans="2:8" ht="15.75" thickBot="1">
      <c r="B205" s="2" t="s">
        <v>5</v>
      </c>
      <c r="C205" s="3"/>
      <c r="D205" s="12"/>
      <c r="E205" s="12"/>
      <c r="F205" s="15"/>
      <c r="G205" s="3"/>
      <c r="H205" s="4"/>
    </row>
    <row r="206" spans="2:8" ht="15.75" thickBot="1">
      <c r="B206" s="30">
        <v>32.03</v>
      </c>
      <c r="C206" s="31" t="s">
        <v>211</v>
      </c>
      <c r="D206" s="215" t="s">
        <v>6</v>
      </c>
      <c r="E206" s="32">
        <f>IF('Pricing Schedule'!$G$19="n",0,ROUND((E207*(F207/F273)+E229*(F229/F273)+E251*(F251/F273)+E273),2))</f>
        <v>0</v>
      </c>
      <c r="F206" s="33" t="str">
        <f>"Norm. Hours"</f>
        <v>Norm. Hours</v>
      </c>
      <c r="G206" s="34"/>
      <c r="H206" s="35">
        <f>IF('Pricing Schedule'!G19="n",0,SUM(H207:H294))</f>
        <v>0</v>
      </c>
    </row>
    <row r="207" spans="2:8">
      <c r="B207" s="19" t="s">
        <v>7</v>
      </c>
      <c r="C207" s="20"/>
      <c r="D207" s="21" t="s">
        <v>8</v>
      </c>
      <c r="E207" s="693">
        <f>SUM(E208:E228)</f>
        <v>0</v>
      </c>
      <c r="F207" s="22">
        <f>DATA!$B$7</f>
        <v>3534</v>
      </c>
      <c r="G207" s="23"/>
      <c r="H207" s="24">
        <f>E207*F207</f>
        <v>0</v>
      </c>
    </row>
    <row r="208" spans="2:8">
      <c r="B208" s="118" t="str">
        <f>$B$8</f>
        <v>PL</v>
      </c>
      <c r="C208" s="59" t="str">
        <f>$C$8</f>
        <v/>
      </c>
      <c r="D208" s="59"/>
      <c r="E208" s="895">
        <v>0</v>
      </c>
      <c r="F208" s="16">
        <f>IF(B208="","",$F$207)</f>
        <v>3534</v>
      </c>
      <c r="G208" s="61">
        <f>IF(B208="","",(F208*E208))</f>
        <v>0</v>
      </c>
      <c r="H208" s="62"/>
    </row>
    <row r="209" spans="2:8">
      <c r="B209" s="118" t="str">
        <f>$B$9</f>
        <v>DS1</v>
      </c>
      <c r="C209" s="59" t="str">
        <f>$C$9</f>
        <v/>
      </c>
      <c r="D209" s="59"/>
      <c r="E209" s="895">
        <v>0</v>
      </c>
      <c r="F209" s="16">
        <f>IF(B209="","",$F$207)</f>
        <v>3534</v>
      </c>
      <c r="G209" s="61">
        <f t="shared" ref="G209:G228" si="79">IF(B209="","",(F209*E209))</f>
        <v>0</v>
      </c>
      <c r="H209" s="62"/>
    </row>
    <row r="210" spans="2:8">
      <c r="B210" s="118" t="str">
        <f>$B$10</f>
        <v>DS3</v>
      </c>
      <c r="C210" s="59" t="str">
        <f>$C$10</f>
        <v/>
      </c>
      <c r="D210" s="59"/>
      <c r="E210" s="895">
        <v>0</v>
      </c>
      <c r="F210" s="16">
        <f t="shared" ref="F210:F217" si="80">IF(B210="","",$F$207)</f>
        <v>3534</v>
      </c>
      <c r="G210" s="61">
        <f t="shared" si="79"/>
        <v>0</v>
      </c>
      <c r="H210" s="62"/>
    </row>
    <row r="211" spans="2:8">
      <c r="B211" s="118" t="str">
        <f>$B$11</f>
        <v/>
      </c>
      <c r="C211" s="59" t="str">
        <f>$C$11</f>
        <v/>
      </c>
      <c r="D211" s="59"/>
      <c r="E211" s="895">
        <v>0</v>
      </c>
      <c r="F211" s="16" t="str">
        <f t="shared" si="80"/>
        <v/>
      </c>
      <c r="G211" s="61" t="str">
        <f t="shared" ref="G211:G217" si="81">IF(B211="","",(F211*E211))</f>
        <v/>
      </c>
      <c r="H211" s="62"/>
    </row>
    <row r="212" spans="2:8">
      <c r="B212" s="118" t="str">
        <f>$B$12</f>
        <v/>
      </c>
      <c r="C212" s="59" t="str">
        <f>$C$12</f>
        <v/>
      </c>
      <c r="D212" s="59"/>
      <c r="E212" s="895">
        <v>0</v>
      </c>
      <c r="F212" s="16" t="str">
        <f t="shared" si="80"/>
        <v/>
      </c>
      <c r="G212" s="61" t="str">
        <f t="shared" si="81"/>
        <v/>
      </c>
      <c r="H212" s="62"/>
    </row>
    <row r="213" spans="2:8">
      <c r="B213" s="118" t="str">
        <f>$B$13</f>
        <v/>
      </c>
      <c r="C213" s="59" t="str">
        <f>$C$13</f>
        <v/>
      </c>
      <c r="D213" s="59"/>
      <c r="E213" s="895">
        <v>0</v>
      </c>
      <c r="F213" s="16" t="str">
        <f t="shared" si="80"/>
        <v/>
      </c>
      <c r="G213" s="61" t="str">
        <f t="shared" si="81"/>
        <v/>
      </c>
      <c r="H213" s="62"/>
    </row>
    <row r="214" spans="2:8">
      <c r="B214" s="118" t="str">
        <f>$B$14</f>
        <v/>
      </c>
      <c r="C214" s="59" t="str">
        <f>$C$14</f>
        <v/>
      </c>
      <c r="D214" s="59"/>
      <c r="E214" s="895">
        <v>0</v>
      </c>
      <c r="F214" s="16" t="str">
        <f t="shared" si="80"/>
        <v/>
      </c>
      <c r="G214" s="61" t="str">
        <f t="shared" si="81"/>
        <v/>
      </c>
      <c r="H214" s="62"/>
    </row>
    <row r="215" spans="2:8">
      <c r="B215" s="118" t="str">
        <f>$B$15</f>
        <v/>
      </c>
      <c r="C215" s="59" t="str">
        <f>$C$15</f>
        <v/>
      </c>
      <c r="D215" s="59"/>
      <c r="E215" s="895">
        <v>0</v>
      </c>
      <c r="F215" s="16" t="str">
        <f t="shared" si="80"/>
        <v/>
      </c>
      <c r="G215" s="61" t="str">
        <f t="shared" si="81"/>
        <v/>
      </c>
      <c r="H215" s="62"/>
    </row>
    <row r="216" spans="2:8">
      <c r="B216" s="118" t="str">
        <f>$B$16</f>
        <v/>
      </c>
      <c r="C216" s="59" t="str">
        <f>$C$16</f>
        <v/>
      </c>
      <c r="D216" s="59"/>
      <c r="E216" s="895">
        <v>0</v>
      </c>
      <c r="F216" s="16" t="str">
        <f t="shared" si="80"/>
        <v/>
      </c>
      <c r="G216" s="61" t="str">
        <f t="shared" si="81"/>
        <v/>
      </c>
      <c r="H216" s="62"/>
    </row>
    <row r="217" spans="2:8">
      <c r="B217" s="118" t="str">
        <f>$B$17</f>
        <v/>
      </c>
      <c r="C217" s="59" t="str">
        <f>$C$17</f>
        <v/>
      </c>
      <c r="D217" s="59"/>
      <c r="E217" s="895">
        <v>0</v>
      </c>
      <c r="F217" s="16" t="str">
        <f t="shared" si="80"/>
        <v/>
      </c>
      <c r="G217" s="61" t="str">
        <f t="shared" si="81"/>
        <v/>
      </c>
      <c r="H217" s="62"/>
    </row>
    <row r="218" spans="2:8" hidden="1">
      <c r="B218" s="118"/>
      <c r="C218" s="59"/>
      <c r="D218" s="59"/>
      <c r="E218" s="895"/>
      <c r="F218" s="16"/>
      <c r="G218" s="61"/>
      <c r="H218" s="62"/>
    </row>
    <row r="219" spans="2:8" hidden="1">
      <c r="B219" s="118"/>
      <c r="C219" s="59"/>
      <c r="D219" s="59"/>
      <c r="E219" s="895"/>
      <c r="F219" s="16"/>
      <c r="G219" s="61"/>
      <c r="H219" s="62"/>
    </row>
    <row r="220" spans="2:8" hidden="1">
      <c r="B220" s="118"/>
      <c r="C220" s="59"/>
      <c r="D220" s="59"/>
      <c r="E220" s="895"/>
      <c r="F220" s="16"/>
      <c r="G220" s="61"/>
      <c r="H220" s="62"/>
    </row>
    <row r="221" spans="2:8" hidden="1">
      <c r="B221" s="118"/>
      <c r="C221" s="59"/>
      <c r="D221" s="59"/>
      <c r="E221" s="895"/>
      <c r="F221" s="16"/>
      <c r="G221" s="61"/>
      <c r="H221" s="62"/>
    </row>
    <row r="222" spans="2:8" hidden="1">
      <c r="B222" s="118"/>
      <c r="C222" s="59"/>
      <c r="D222" s="59"/>
      <c r="E222" s="895"/>
      <c r="F222" s="16"/>
      <c r="G222" s="61"/>
      <c r="H222" s="62"/>
    </row>
    <row r="223" spans="2:8" hidden="1">
      <c r="B223" s="118"/>
      <c r="C223" s="59"/>
      <c r="D223" s="59"/>
      <c r="E223" s="895"/>
      <c r="F223" s="16"/>
      <c r="G223" s="61"/>
      <c r="H223" s="62"/>
    </row>
    <row r="224" spans="2:8" hidden="1">
      <c r="B224" s="118"/>
      <c r="C224" s="59"/>
      <c r="D224" s="59"/>
      <c r="E224" s="895"/>
      <c r="F224" s="16"/>
      <c r="G224" s="61"/>
      <c r="H224" s="62"/>
    </row>
    <row r="225" spans="2:8" hidden="1">
      <c r="B225" s="118"/>
      <c r="C225" s="59"/>
      <c r="D225" s="59"/>
      <c r="E225" s="895"/>
      <c r="F225" s="16"/>
      <c r="G225" s="61"/>
      <c r="H225" s="62"/>
    </row>
    <row r="226" spans="2:8" hidden="1">
      <c r="B226" s="118"/>
      <c r="C226" s="59"/>
      <c r="D226" s="59"/>
      <c r="E226" s="895"/>
      <c r="F226" s="16"/>
      <c r="G226" s="61"/>
      <c r="H226" s="62"/>
    </row>
    <row r="227" spans="2:8" hidden="1">
      <c r="B227" s="118"/>
      <c r="C227" s="59"/>
      <c r="D227" s="59"/>
      <c r="E227" s="895"/>
      <c r="F227" s="16"/>
      <c r="G227" s="61"/>
      <c r="H227" s="62"/>
    </row>
    <row r="228" spans="2:8" ht="15.75" thickBot="1">
      <c r="B228" s="118" t="str">
        <f>$B$28</f>
        <v>OTHER</v>
      </c>
      <c r="C228" s="59" t="str">
        <f>$C$28</f>
        <v>Various non-key personnel</v>
      </c>
      <c r="D228" s="5"/>
      <c r="E228" s="895">
        <v>0</v>
      </c>
      <c r="F228" s="16">
        <f>IF(B228="","",$F$207)</f>
        <v>3534</v>
      </c>
      <c r="G228" s="6">
        <f t="shared" si="79"/>
        <v>0</v>
      </c>
      <c r="H228" s="7"/>
    </row>
    <row r="229" spans="2:8">
      <c r="B229" s="19" t="s">
        <v>10</v>
      </c>
      <c r="C229" s="20"/>
      <c r="D229" s="21" t="s">
        <v>8</v>
      </c>
      <c r="E229" s="693">
        <f>SUM(E230:E250)</f>
        <v>0</v>
      </c>
      <c r="F229" s="22">
        <f>DATA!$B$8</f>
        <v>2796</v>
      </c>
      <c r="G229" s="23"/>
      <c r="H229" s="24">
        <f>E229*F229</f>
        <v>0</v>
      </c>
    </row>
    <row r="230" spans="2:8">
      <c r="B230" s="118" t="str">
        <f>B208</f>
        <v>PL</v>
      </c>
      <c r="C230" s="59" t="str">
        <f>C208</f>
        <v/>
      </c>
      <c r="D230" s="59"/>
      <c r="E230" s="895">
        <v>0</v>
      </c>
      <c r="F230" s="16">
        <f>IF(B230="","",$F$229)</f>
        <v>2796</v>
      </c>
      <c r="G230" s="61">
        <f>IF(B230="","",(F230*E230))</f>
        <v>0</v>
      </c>
      <c r="H230" s="62"/>
    </row>
    <row r="231" spans="2:8">
      <c r="B231" s="118" t="str">
        <f t="shared" ref="B231:C231" si="82">B209</f>
        <v>DS1</v>
      </c>
      <c r="C231" s="59" t="str">
        <f t="shared" si="82"/>
        <v/>
      </c>
      <c r="D231" s="59"/>
      <c r="E231" s="895">
        <v>0</v>
      </c>
      <c r="F231" s="16">
        <f>IF(B231="","",$F$229)</f>
        <v>2796</v>
      </c>
      <c r="G231" s="61">
        <f t="shared" ref="G231:G250" si="83">IF(B231="","",(F231*E231))</f>
        <v>0</v>
      </c>
      <c r="H231" s="62"/>
    </row>
    <row r="232" spans="2:8">
      <c r="B232" s="118" t="str">
        <f t="shared" ref="B232:C232" si="84">B210</f>
        <v>DS3</v>
      </c>
      <c r="C232" s="59" t="str">
        <f t="shared" si="84"/>
        <v/>
      </c>
      <c r="D232" s="59"/>
      <c r="E232" s="895">
        <v>0</v>
      </c>
      <c r="F232" s="16">
        <f t="shared" ref="F232:F239" si="85">IF(B232="","",$F$229)</f>
        <v>2796</v>
      </c>
      <c r="G232" s="61">
        <f t="shared" si="83"/>
        <v>0</v>
      </c>
      <c r="H232" s="62"/>
    </row>
    <row r="233" spans="2:8">
      <c r="B233" s="118" t="str">
        <f t="shared" ref="B233:C233" si="86">B211</f>
        <v/>
      </c>
      <c r="C233" s="59" t="str">
        <f t="shared" si="86"/>
        <v/>
      </c>
      <c r="D233" s="59"/>
      <c r="E233" s="895">
        <v>0</v>
      </c>
      <c r="F233" s="16" t="str">
        <f t="shared" si="85"/>
        <v/>
      </c>
      <c r="G233" s="61" t="str">
        <f t="shared" ref="G233:G239" si="87">IF(B233="","",(F233*E233))</f>
        <v/>
      </c>
      <c r="H233" s="62"/>
    </row>
    <row r="234" spans="2:8">
      <c r="B234" s="118" t="str">
        <f t="shared" ref="B234:C234" si="88">B212</f>
        <v/>
      </c>
      <c r="C234" s="59" t="str">
        <f t="shared" si="88"/>
        <v/>
      </c>
      <c r="D234" s="59"/>
      <c r="E234" s="895">
        <v>0</v>
      </c>
      <c r="F234" s="16" t="str">
        <f t="shared" si="85"/>
        <v/>
      </c>
      <c r="G234" s="61" t="str">
        <f t="shared" si="87"/>
        <v/>
      </c>
      <c r="H234" s="62"/>
    </row>
    <row r="235" spans="2:8">
      <c r="B235" s="118" t="str">
        <f t="shared" ref="B235:C235" si="89">B213</f>
        <v/>
      </c>
      <c r="C235" s="59" t="str">
        <f t="shared" si="89"/>
        <v/>
      </c>
      <c r="D235" s="59"/>
      <c r="E235" s="895">
        <v>0</v>
      </c>
      <c r="F235" s="16" t="str">
        <f t="shared" si="85"/>
        <v/>
      </c>
      <c r="G235" s="61" t="str">
        <f t="shared" si="87"/>
        <v/>
      </c>
      <c r="H235" s="62"/>
    </row>
    <row r="236" spans="2:8">
      <c r="B236" s="118" t="str">
        <f t="shared" ref="B236:C236" si="90">B214</f>
        <v/>
      </c>
      <c r="C236" s="59" t="str">
        <f t="shared" si="90"/>
        <v/>
      </c>
      <c r="D236" s="59"/>
      <c r="E236" s="895">
        <v>0</v>
      </c>
      <c r="F236" s="16" t="str">
        <f t="shared" si="85"/>
        <v/>
      </c>
      <c r="G236" s="61" t="str">
        <f t="shared" si="87"/>
        <v/>
      </c>
      <c r="H236" s="62"/>
    </row>
    <row r="237" spans="2:8">
      <c r="B237" s="118" t="str">
        <f t="shared" ref="B237:C237" si="91">B215</f>
        <v/>
      </c>
      <c r="C237" s="59" t="str">
        <f t="shared" si="91"/>
        <v/>
      </c>
      <c r="D237" s="59"/>
      <c r="E237" s="895">
        <v>0</v>
      </c>
      <c r="F237" s="16" t="str">
        <f t="shared" si="85"/>
        <v/>
      </c>
      <c r="G237" s="61" t="str">
        <f t="shared" si="87"/>
        <v/>
      </c>
      <c r="H237" s="62"/>
    </row>
    <row r="238" spans="2:8">
      <c r="B238" s="118" t="str">
        <f t="shared" ref="B238:C238" si="92">B216</f>
        <v/>
      </c>
      <c r="C238" s="59" t="str">
        <f t="shared" si="92"/>
        <v/>
      </c>
      <c r="D238" s="59"/>
      <c r="E238" s="895">
        <v>0</v>
      </c>
      <c r="F238" s="16" t="str">
        <f t="shared" si="85"/>
        <v/>
      </c>
      <c r="G238" s="61" t="str">
        <f t="shared" si="87"/>
        <v/>
      </c>
      <c r="H238" s="62"/>
    </row>
    <row r="239" spans="2:8">
      <c r="B239" s="118" t="str">
        <f t="shared" ref="B239:C239" si="93">B217</f>
        <v/>
      </c>
      <c r="C239" s="59" t="str">
        <f t="shared" si="93"/>
        <v/>
      </c>
      <c r="D239" s="59"/>
      <c r="E239" s="895">
        <v>0</v>
      </c>
      <c r="F239" s="16" t="str">
        <f t="shared" si="85"/>
        <v/>
      </c>
      <c r="G239" s="61" t="str">
        <f t="shared" si="87"/>
        <v/>
      </c>
      <c r="H239" s="62"/>
    </row>
    <row r="240" spans="2:8" hidden="1">
      <c r="B240" s="118"/>
      <c r="C240" s="59"/>
      <c r="D240" s="59"/>
      <c r="E240" s="895"/>
      <c r="F240" s="16"/>
      <c r="G240" s="61"/>
      <c r="H240" s="62"/>
    </row>
    <row r="241" spans="2:8" hidden="1">
      <c r="B241" s="118"/>
      <c r="C241" s="59"/>
      <c r="D241" s="59"/>
      <c r="E241" s="895"/>
      <c r="F241" s="16"/>
      <c r="G241" s="61"/>
      <c r="H241" s="62"/>
    </row>
    <row r="242" spans="2:8" hidden="1">
      <c r="B242" s="118"/>
      <c r="C242" s="59"/>
      <c r="D242" s="59"/>
      <c r="E242" s="895"/>
      <c r="F242" s="16"/>
      <c r="G242" s="61"/>
      <c r="H242" s="62"/>
    </row>
    <row r="243" spans="2:8" hidden="1">
      <c r="B243" s="118"/>
      <c r="C243" s="59"/>
      <c r="D243" s="59"/>
      <c r="E243" s="895"/>
      <c r="F243" s="16"/>
      <c r="G243" s="61"/>
      <c r="H243" s="62"/>
    </row>
    <row r="244" spans="2:8" hidden="1">
      <c r="B244" s="118"/>
      <c r="C244" s="59"/>
      <c r="D244" s="59"/>
      <c r="E244" s="895"/>
      <c r="F244" s="16"/>
      <c r="G244" s="61"/>
      <c r="H244" s="62"/>
    </row>
    <row r="245" spans="2:8" hidden="1">
      <c r="B245" s="118"/>
      <c r="C245" s="59"/>
      <c r="D245" s="59"/>
      <c r="E245" s="895"/>
      <c r="F245" s="16"/>
      <c r="G245" s="61"/>
      <c r="H245" s="62"/>
    </row>
    <row r="246" spans="2:8" hidden="1">
      <c r="B246" s="118"/>
      <c r="C246" s="59"/>
      <c r="D246" s="59"/>
      <c r="E246" s="895"/>
      <c r="F246" s="16"/>
      <c r="G246" s="61"/>
      <c r="H246" s="62"/>
    </row>
    <row r="247" spans="2:8" hidden="1">
      <c r="B247" s="118"/>
      <c r="C247" s="59"/>
      <c r="D247" s="59"/>
      <c r="E247" s="895"/>
      <c r="F247" s="16"/>
      <c r="G247" s="61"/>
      <c r="H247" s="62"/>
    </row>
    <row r="248" spans="2:8" hidden="1">
      <c r="B248" s="118"/>
      <c r="C248" s="59"/>
      <c r="D248" s="59"/>
      <c r="E248" s="895"/>
      <c r="F248" s="16"/>
      <c r="G248" s="61"/>
      <c r="H248" s="62"/>
    </row>
    <row r="249" spans="2:8" hidden="1">
      <c r="B249" s="118"/>
      <c r="C249" s="59"/>
      <c r="D249" s="59"/>
      <c r="E249" s="895"/>
      <c r="F249" s="16"/>
      <c r="G249" s="61"/>
      <c r="H249" s="62"/>
    </row>
    <row r="250" spans="2:8" ht="15.75" thickBot="1">
      <c r="B250" s="118" t="str">
        <f t="shared" ref="B250:C250" si="94">B228</f>
        <v>OTHER</v>
      </c>
      <c r="C250" s="59" t="str">
        <f t="shared" si="94"/>
        <v>Various non-key personnel</v>
      </c>
      <c r="D250" s="5"/>
      <c r="E250" s="895">
        <v>0</v>
      </c>
      <c r="F250" s="16">
        <f>IF(B250="","",$F$229)</f>
        <v>2796</v>
      </c>
      <c r="G250" s="6">
        <f t="shared" si="83"/>
        <v>0</v>
      </c>
      <c r="H250" s="7"/>
    </row>
    <row r="251" spans="2:8">
      <c r="B251" s="19" t="s">
        <v>11</v>
      </c>
      <c r="C251" s="20"/>
      <c r="D251" s="21" t="s">
        <v>8</v>
      </c>
      <c r="E251" s="693">
        <f>SUM(E252:E272)</f>
        <v>0</v>
      </c>
      <c r="F251" s="22">
        <f>DATA!$B$9</f>
        <v>2403</v>
      </c>
      <c r="G251" s="23"/>
      <c r="H251" s="24">
        <f>E251*F251</f>
        <v>0</v>
      </c>
    </row>
    <row r="252" spans="2:8">
      <c r="B252" s="118" t="str">
        <f>B208</f>
        <v>PL</v>
      </c>
      <c r="C252" s="59" t="str">
        <f>C208</f>
        <v/>
      </c>
      <c r="D252" s="5"/>
      <c r="E252" s="895">
        <v>0</v>
      </c>
      <c r="F252" s="16">
        <f>IF(B252="","",$F$251)</f>
        <v>2403</v>
      </c>
      <c r="G252" s="6">
        <f>IF(B252="","",(F252*E252))</f>
        <v>0</v>
      </c>
      <c r="H252" s="7"/>
    </row>
    <row r="253" spans="2:8">
      <c r="B253" s="118" t="str">
        <f t="shared" ref="B253:C253" si="95">B209</f>
        <v>DS1</v>
      </c>
      <c r="C253" s="59" t="str">
        <f t="shared" si="95"/>
        <v/>
      </c>
      <c r="D253" s="5"/>
      <c r="E253" s="895">
        <v>0</v>
      </c>
      <c r="F253" s="16">
        <f>IF(B253="","",$F$251)</f>
        <v>2403</v>
      </c>
      <c r="G253" s="6">
        <f t="shared" ref="G253:G272" si="96">IF(B253="","",(F253*E253))</f>
        <v>0</v>
      </c>
      <c r="H253" s="7"/>
    </row>
    <row r="254" spans="2:8">
      <c r="B254" s="118" t="str">
        <f t="shared" ref="B254:C254" si="97">B210</f>
        <v>DS3</v>
      </c>
      <c r="C254" s="59" t="str">
        <f t="shared" si="97"/>
        <v/>
      </c>
      <c r="D254" s="5"/>
      <c r="E254" s="895">
        <v>0</v>
      </c>
      <c r="F254" s="16">
        <f t="shared" ref="F254:F261" si="98">IF(B254="","",$F$251)</f>
        <v>2403</v>
      </c>
      <c r="G254" s="6">
        <f t="shared" si="96"/>
        <v>0</v>
      </c>
      <c r="H254" s="7"/>
    </row>
    <row r="255" spans="2:8">
      <c r="B255" s="118" t="str">
        <f t="shared" ref="B255:C255" si="99">B211</f>
        <v/>
      </c>
      <c r="C255" s="59" t="str">
        <f t="shared" si="99"/>
        <v/>
      </c>
      <c r="D255" s="5"/>
      <c r="E255" s="895">
        <v>0</v>
      </c>
      <c r="F255" s="16" t="str">
        <f t="shared" si="98"/>
        <v/>
      </c>
      <c r="G255" s="6" t="str">
        <f t="shared" ref="G255:G261" si="100">IF(B255="","",(F255*E255))</f>
        <v/>
      </c>
      <c r="H255" s="7"/>
    </row>
    <row r="256" spans="2:8">
      <c r="B256" s="118" t="str">
        <f t="shared" ref="B256:C256" si="101">B212</f>
        <v/>
      </c>
      <c r="C256" s="59" t="str">
        <f t="shared" si="101"/>
        <v/>
      </c>
      <c r="D256" s="5"/>
      <c r="E256" s="895">
        <v>0</v>
      </c>
      <c r="F256" s="16" t="str">
        <f t="shared" si="98"/>
        <v/>
      </c>
      <c r="G256" s="6" t="str">
        <f t="shared" si="100"/>
        <v/>
      </c>
      <c r="H256" s="7"/>
    </row>
    <row r="257" spans="2:8">
      <c r="B257" s="118" t="str">
        <f t="shared" ref="B257:C257" si="102">B213</f>
        <v/>
      </c>
      <c r="C257" s="59" t="str">
        <f t="shared" si="102"/>
        <v/>
      </c>
      <c r="D257" s="5"/>
      <c r="E257" s="895">
        <v>0</v>
      </c>
      <c r="F257" s="16" t="str">
        <f t="shared" si="98"/>
        <v/>
      </c>
      <c r="G257" s="6" t="str">
        <f t="shared" si="100"/>
        <v/>
      </c>
      <c r="H257" s="7"/>
    </row>
    <row r="258" spans="2:8">
      <c r="B258" s="118" t="str">
        <f t="shared" ref="B258:C258" si="103">B214</f>
        <v/>
      </c>
      <c r="C258" s="59" t="str">
        <f t="shared" si="103"/>
        <v/>
      </c>
      <c r="D258" s="5"/>
      <c r="E258" s="895">
        <v>0</v>
      </c>
      <c r="F258" s="16" t="str">
        <f t="shared" si="98"/>
        <v/>
      </c>
      <c r="G258" s="6" t="str">
        <f t="shared" si="100"/>
        <v/>
      </c>
      <c r="H258" s="7"/>
    </row>
    <row r="259" spans="2:8">
      <c r="B259" s="118" t="str">
        <f t="shared" ref="B259:C259" si="104">B215</f>
        <v/>
      </c>
      <c r="C259" s="59" t="str">
        <f t="shared" si="104"/>
        <v/>
      </c>
      <c r="D259" s="5"/>
      <c r="E259" s="895">
        <v>0</v>
      </c>
      <c r="F259" s="16" t="str">
        <f t="shared" si="98"/>
        <v/>
      </c>
      <c r="G259" s="6" t="str">
        <f t="shared" si="100"/>
        <v/>
      </c>
      <c r="H259" s="7"/>
    </row>
    <row r="260" spans="2:8">
      <c r="B260" s="118" t="str">
        <f t="shared" ref="B260:C260" si="105">B216</f>
        <v/>
      </c>
      <c r="C260" s="59" t="str">
        <f t="shared" si="105"/>
        <v/>
      </c>
      <c r="D260" s="5"/>
      <c r="E260" s="895">
        <v>0</v>
      </c>
      <c r="F260" s="16" t="str">
        <f t="shared" si="98"/>
        <v/>
      </c>
      <c r="G260" s="6" t="str">
        <f t="shared" si="100"/>
        <v/>
      </c>
      <c r="H260" s="7"/>
    </row>
    <row r="261" spans="2:8">
      <c r="B261" s="118" t="str">
        <f t="shared" ref="B261:C261" si="106">B217</f>
        <v/>
      </c>
      <c r="C261" s="59" t="str">
        <f t="shared" si="106"/>
        <v/>
      </c>
      <c r="D261" s="5"/>
      <c r="E261" s="895">
        <v>0</v>
      </c>
      <c r="F261" s="16" t="str">
        <f t="shared" si="98"/>
        <v/>
      </c>
      <c r="G261" s="6" t="str">
        <f t="shared" si="100"/>
        <v/>
      </c>
      <c r="H261" s="7"/>
    </row>
    <row r="262" spans="2:8" hidden="1">
      <c r="B262" s="118"/>
      <c r="C262" s="59"/>
      <c r="D262" s="5"/>
      <c r="E262" s="895"/>
      <c r="F262" s="16"/>
      <c r="G262" s="6"/>
      <c r="H262" s="7"/>
    </row>
    <row r="263" spans="2:8" hidden="1">
      <c r="B263" s="118"/>
      <c r="C263" s="59"/>
      <c r="D263" s="5"/>
      <c r="E263" s="895"/>
      <c r="F263" s="16"/>
      <c r="G263" s="6"/>
      <c r="H263" s="7"/>
    </row>
    <row r="264" spans="2:8" hidden="1">
      <c r="B264" s="118"/>
      <c r="C264" s="59"/>
      <c r="D264" s="5"/>
      <c r="E264" s="895"/>
      <c r="F264" s="16"/>
      <c r="G264" s="6"/>
      <c r="H264" s="7"/>
    </row>
    <row r="265" spans="2:8" hidden="1">
      <c r="B265" s="118"/>
      <c r="C265" s="59"/>
      <c r="D265" s="5"/>
      <c r="E265" s="895"/>
      <c r="F265" s="16"/>
      <c r="G265" s="6"/>
      <c r="H265" s="7"/>
    </row>
    <row r="266" spans="2:8" hidden="1">
      <c r="B266" s="118"/>
      <c r="C266" s="59"/>
      <c r="D266" s="5"/>
      <c r="E266" s="895"/>
      <c r="F266" s="16"/>
      <c r="G266" s="6"/>
      <c r="H266" s="7"/>
    </row>
    <row r="267" spans="2:8" hidden="1">
      <c r="B267" s="118"/>
      <c r="C267" s="59"/>
      <c r="D267" s="5"/>
      <c r="E267" s="895"/>
      <c r="F267" s="16"/>
      <c r="G267" s="6"/>
      <c r="H267" s="7"/>
    </row>
    <row r="268" spans="2:8" hidden="1">
      <c r="B268" s="118"/>
      <c r="C268" s="59"/>
      <c r="D268" s="5"/>
      <c r="E268" s="895"/>
      <c r="F268" s="16"/>
      <c r="G268" s="6"/>
      <c r="H268" s="7"/>
    </row>
    <row r="269" spans="2:8" hidden="1">
      <c r="B269" s="118"/>
      <c r="C269" s="59"/>
      <c r="D269" s="5"/>
      <c r="E269" s="895"/>
      <c r="F269" s="16"/>
      <c r="G269" s="6"/>
      <c r="H269" s="7"/>
    </row>
    <row r="270" spans="2:8" hidden="1">
      <c r="B270" s="118"/>
      <c r="C270" s="59"/>
      <c r="D270" s="5"/>
      <c r="E270" s="895"/>
      <c r="F270" s="16"/>
      <c r="G270" s="6"/>
      <c r="H270" s="7"/>
    </row>
    <row r="271" spans="2:8" hidden="1">
      <c r="B271" s="118"/>
      <c r="C271" s="59"/>
      <c r="D271" s="5"/>
      <c r="E271" s="895"/>
      <c r="F271" s="16"/>
      <c r="G271" s="6"/>
      <c r="H271" s="7"/>
    </row>
    <row r="272" spans="2:8" ht="15.75" thickBot="1">
      <c r="B272" s="119" t="str">
        <f>B228</f>
        <v>OTHER</v>
      </c>
      <c r="C272" s="63" t="str">
        <f>C228</f>
        <v>Various non-key personnel</v>
      </c>
      <c r="D272" s="5"/>
      <c r="E272" s="895">
        <v>0</v>
      </c>
      <c r="F272" s="16">
        <f>IF(B272="","",$F$251)</f>
        <v>2403</v>
      </c>
      <c r="G272" s="6">
        <f t="shared" si="96"/>
        <v>0</v>
      </c>
      <c r="H272" s="7"/>
    </row>
    <row r="273" spans="2:8">
      <c r="B273" s="19" t="s">
        <v>12</v>
      </c>
      <c r="C273" s="20"/>
      <c r="D273" s="21" t="s">
        <v>8</v>
      </c>
      <c r="E273" s="693">
        <f>SUM(E274:E294)</f>
        <v>0</v>
      </c>
      <c r="F273" s="22">
        <f>DATA!$B$10</f>
        <v>1167</v>
      </c>
      <c r="G273" s="23"/>
      <c r="H273" s="24">
        <f>E273*F273</f>
        <v>0</v>
      </c>
    </row>
    <row r="274" spans="2:8">
      <c r="B274" s="118" t="str">
        <f>B208</f>
        <v>PL</v>
      </c>
      <c r="C274" s="59" t="str">
        <f>C208</f>
        <v/>
      </c>
      <c r="D274" s="5"/>
      <c r="E274" s="895">
        <v>0</v>
      </c>
      <c r="F274" s="16">
        <f>IF(B274="","",$F$273)</f>
        <v>1167</v>
      </c>
      <c r="G274" s="6">
        <f>IF(B274="","",(F274*E274))</f>
        <v>0</v>
      </c>
      <c r="H274" s="7"/>
    </row>
    <row r="275" spans="2:8">
      <c r="B275" s="118" t="str">
        <f t="shared" ref="B275:C275" si="107">B209</f>
        <v>DS1</v>
      </c>
      <c r="C275" s="59" t="str">
        <f t="shared" si="107"/>
        <v/>
      </c>
      <c r="D275" s="5"/>
      <c r="E275" s="895">
        <v>0</v>
      </c>
      <c r="F275" s="16">
        <f>IF(B275="","",$F$273)</f>
        <v>1167</v>
      </c>
      <c r="G275" s="6">
        <f t="shared" ref="G275:G294" si="108">IF(B275="","",(F275*E275))</f>
        <v>0</v>
      </c>
      <c r="H275" s="7"/>
    </row>
    <row r="276" spans="2:8">
      <c r="B276" s="118" t="str">
        <f t="shared" ref="B276:C276" si="109">B210</f>
        <v>DS3</v>
      </c>
      <c r="C276" s="59" t="str">
        <f t="shared" si="109"/>
        <v/>
      </c>
      <c r="D276" s="5"/>
      <c r="E276" s="895">
        <v>0</v>
      </c>
      <c r="F276" s="16">
        <f t="shared" ref="F276:F283" si="110">IF(B276="","",$F$273)</f>
        <v>1167</v>
      </c>
      <c r="G276" s="6">
        <f t="shared" si="108"/>
        <v>0</v>
      </c>
      <c r="H276" s="7"/>
    </row>
    <row r="277" spans="2:8">
      <c r="B277" s="118" t="str">
        <f t="shared" ref="B277:C277" si="111">B211</f>
        <v/>
      </c>
      <c r="C277" s="59" t="str">
        <f t="shared" si="111"/>
        <v/>
      </c>
      <c r="D277" s="5"/>
      <c r="E277" s="895">
        <v>0</v>
      </c>
      <c r="F277" s="16" t="str">
        <f t="shared" si="110"/>
        <v/>
      </c>
      <c r="G277" s="6" t="str">
        <f t="shared" ref="G277:G283" si="112">IF(B277="","",(F277*E277))</f>
        <v/>
      </c>
      <c r="H277" s="7"/>
    </row>
    <row r="278" spans="2:8">
      <c r="B278" s="118" t="str">
        <f t="shared" ref="B278:C278" si="113">B212</f>
        <v/>
      </c>
      <c r="C278" s="59" t="str">
        <f t="shared" si="113"/>
        <v/>
      </c>
      <c r="D278" s="5"/>
      <c r="E278" s="895">
        <v>0</v>
      </c>
      <c r="F278" s="16" t="str">
        <f t="shared" si="110"/>
        <v/>
      </c>
      <c r="G278" s="6" t="str">
        <f t="shared" si="112"/>
        <v/>
      </c>
      <c r="H278" s="7"/>
    </row>
    <row r="279" spans="2:8">
      <c r="B279" s="118" t="str">
        <f t="shared" ref="B279:C279" si="114">B213</f>
        <v/>
      </c>
      <c r="C279" s="59" t="str">
        <f t="shared" si="114"/>
        <v/>
      </c>
      <c r="D279" s="5"/>
      <c r="E279" s="895">
        <v>0</v>
      </c>
      <c r="F279" s="16" t="str">
        <f t="shared" si="110"/>
        <v/>
      </c>
      <c r="G279" s="6" t="str">
        <f t="shared" si="112"/>
        <v/>
      </c>
      <c r="H279" s="7"/>
    </row>
    <row r="280" spans="2:8">
      <c r="B280" s="118" t="str">
        <f t="shared" ref="B280:C280" si="115">B214</f>
        <v/>
      </c>
      <c r="C280" s="59" t="str">
        <f t="shared" si="115"/>
        <v/>
      </c>
      <c r="D280" s="5"/>
      <c r="E280" s="895">
        <v>0</v>
      </c>
      <c r="F280" s="16" t="str">
        <f t="shared" si="110"/>
        <v/>
      </c>
      <c r="G280" s="6" t="str">
        <f t="shared" si="112"/>
        <v/>
      </c>
      <c r="H280" s="7"/>
    </row>
    <row r="281" spans="2:8">
      <c r="B281" s="118" t="str">
        <f t="shared" ref="B281:C281" si="116">B215</f>
        <v/>
      </c>
      <c r="C281" s="59" t="str">
        <f t="shared" si="116"/>
        <v/>
      </c>
      <c r="D281" s="5"/>
      <c r="E281" s="895">
        <v>0</v>
      </c>
      <c r="F281" s="16" t="str">
        <f t="shared" si="110"/>
        <v/>
      </c>
      <c r="G281" s="6" t="str">
        <f t="shared" si="112"/>
        <v/>
      </c>
      <c r="H281" s="7"/>
    </row>
    <row r="282" spans="2:8">
      <c r="B282" s="118" t="str">
        <f t="shared" ref="B282:C282" si="117">B216</f>
        <v/>
      </c>
      <c r="C282" s="59" t="str">
        <f t="shared" si="117"/>
        <v/>
      </c>
      <c r="D282" s="5"/>
      <c r="E282" s="895">
        <v>0</v>
      </c>
      <c r="F282" s="16" t="str">
        <f t="shared" si="110"/>
        <v/>
      </c>
      <c r="G282" s="6" t="str">
        <f t="shared" si="112"/>
        <v/>
      </c>
      <c r="H282" s="7"/>
    </row>
    <row r="283" spans="2:8">
      <c r="B283" s="118" t="str">
        <f t="shared" ref="B283:C283" si="118">B217</f>
        <v/>
      </c>
      <c r="C283" s="59" t="str">
        <f t="shared" si="118"/>
        <v/>
      </c>
      <c r="D283" s="5"/>
      <c r="E283" s="895">
        <v>0</v>
      </c>
      <c r="F283" s="16" t="str">
        <f t="shared" si="110"/>
        <v/>
      </c>
      <c r="G283" s="6" t="str">
        <f t="shared" si="112"/>
        <v/>
      </c>
      <c r="H283" s="7"/>
    </row>
    <row r="284" spans="2:8" hidden="1">
      <c r="B284" s="118"/>
      <c r="C284" s="59"/>
      <c r="D284" s="5"/>
      <c r="E284" s="895"/>
      <c r="F284" s="16"/>
      <c r="G284" s="6"/>
      <c r="H284" s="7"/>
    </row>
    <row r="285" spans="2:8" hidden="1">
      <c r="B285" s="118"/>
      <c r="C285" s="59"/>
      <c r="D285" s="5"/>
      <c r="E285" s="895"/>
      <c r="F285" s="16"/>
      <c r="G285" s="6"/>
      <c r="H285" s="7"/>
    </row>
    <row r="286" spans="2:8" hidden="1">
      <c r="B286" s="118"/>
      <c r="C286" s="59"/>
      <c r="D286" s="5"/>
      <c r="E286" s="895"/>
      <c r="F286" s="16"/>
      <c r="G286" s="6"/>
      <c r="H286" s="7"/>
    </row>
    <row r="287" spans="2:8" hidden="1">
      <c r="B287" s="118"/>
      <c r="C287" s="59"/>
      <c r="D287" s="5"/>
      <c r="E287" s="895"/>
      <c r="F287" s="16"/>
      <c r="G287" s="6"/>
      <c r="H287" s="7"/>
    </row>
    <row r="288" spans="2:8" hidden="1">
      <c r="B288" s="118"/>
      <c r="C288" s="59"/>
      <c r="D288" s="5"/>
      <c r="E288" s="895"/>
      <c r="F288" s="16"/>
      <c r="G288" s="6"/>
      <c r="H288" s="7"/>
    </row>
    <row r="289" spans="2:8" hidden="1">
      <c r="B289" s="118"/>
      <c r="C289" s="59"/>
      <c r="D289" s="5"/>
      <c r="E289" s="895"/>
      <c r="F289" s="16"/>
      <c r="G289" s="6"/>
      <c r="H289" s="7"/>
    </row>
    <row r="290" spans="2:8" hidden="1">
      <c r="B290" s="118"/>
      <c r="C290" s="59"/>
      <c r="D290" s="5"/>
      <c r="E290" s="895"/>
      <c r="F290" s="16"/>
      <c r="G290" s="6"/>
      <c r="H290" s="7"/>
    </row>
    <row r="291" spans="2:8" hidden="1">
      <c r="B291" s="118"/>
      <c r="C291" s="59"/>
      <c r="D291" s="5"/>
      <c r="E291" s="895"/>
      <c r="F291" s="16"/>
      <c r="G291" s="6"/>
      <c r="H291" s="7"/>
    </row>
    <row r="292" spans="2:8" hidden="1">
      <c r="B292" s="118"/>
      <c r="C292" s="59"/>
      <c r="D292" s="5"/>
      <c r="E292" s="895"/>
      <c r="F292" s="16"/>
      <c r="G292" s="6"/>
      <c r="H292" s="7"/>
    </row>
    <row r="293" spans="2:8" hidden="1">
      <c r="B293" s="118"/>
      <c r="C293" s="59"/>
      <c r="D293" s="5"/>
      <c r="E293" s="895"/>
      <c r="F293" s="16"/>
      <c r="G293" s="6"/>
      <c r="H293" s="7"/>
    </row>
    <row r="294" spans="2:8" ht="15.75" thickBot="1">
      <c r="B294" s="119" t="str">
        <f t="shared" ref="B294:C294" si="119">B228</f>
        <v>OTHER</v>
      </c>
      <c r="C294" s="63" t="str">
        <f t="shared" si="119"/>
        <v>Various non-key personnel</v>
      </c>
      <c r="D294" s="8"/>
      <c r="E294" s="896">
        <v>0</v>
      </c>
      <c r="F294" s="17">
        <f>IF(B294="","",$F$273)</f>
        <v>1167</v>
      </c>
      <c r="G294" s="9">
        <f t="shared" si="108"/>
        <v>0</v>
      </c>
      <c r="H294" s="10"/>
    </row>
    <row r="296" spans="2:8">
      <c r="B296" s="1066" t="s">
        <v>989</v>
      </c>
      <c r="C296" s="1" t="s">
        <v>990</v>
      </c>
    </row>
    <row r="304" spans="2:8" ht="15.75" thickBot="1">
      <c r="B304" s="1" t="s">
        <v>0</v>
      </c>
      <c r="C304" s="1" t="str">
        <f>IF('Pricing Schedule'!G240="n","NOT REQUIRED","")</f>
        <v/>
      </c>
      <c r="D304" s="11" t="s">
        <v>1</v>
      </c>
      <c r="E304" s="11" t="s">
        <v>2</v>
      </c>
      <c r="F304" s="216" t="s">
        <v>3</v>
      </c>
      <c r="G304" s="1"/>
      <c r="H304" s="1" t="s">
        <v>4</v>
      </c>
    </row>
    <row r="305" spans="2:8" ht="15.75" thickBot="1">
      <c r="B305" s="2" t="s">
        <v>5</v>
      </c>
      <c r="C305" s="3"/>
      <c r="D305" s="12"/>
      <c r="E305" s="12"/>
      <c r="F305" s="15"/>
      <c r="G305" s="3"/>
      <c r="H305" s="4"/>
    </row>
    <row r="306" spans="2:8" ht="15.75" thickBot="1">
      <c r="B306" s="217" t="s">
        <v>212</v>
      </c>
      <c r="C306" s="31" t="s">
        <v>213</v>
      </c>
      <c r="D306" s="215" t="s">
        <v>6</v>
      </c>
      <c r="E306" s="32">
        <f>IF('Pricing Schedule'!$G$240="n",0,ROUND((E307*(F307/F373)+E329*(F329/F373)+E351*(F351/F373)+E373),2))</f>
        <v>0</v>
      </c>
      <c r="F306" s="33" t="str">
        <f>"Norm. Hours"</f>
        <v>Norm. Hours</v>
      </c>
      <c r="G306" s="34"/>
      <c r="H306" s="35">
        <f>IF('Pricing Schedule'!G240="n",0,SUM(H307:H394))</f>
        <v>0</v>
      </c>
    </row>
    <row r="307" spans="2:8">
      <c r="B307" s="19" t="s">
        <v>7</v>
      </c>
      <c r="C307" s="20"/>
      <c r="D307" s="21" t="s">
        <v>8</v>
      </c>
      <c r="E307" s="693">
        <f>SUM(E308:E328)</f>
        <v>0</v>
      </c>
      <c r="F307" s="22">
        <f>DATA!$B$7</f>
        <v>3534</v>
      </c>
      <c r="G307" s="23"/>
      <c r="H307" s="24">
        <f>E307*F307</f>
        <v>0</v>
      </c>
    </row>
    <row r="308" spans="2:8">
      <c r="B308" s="118" t="str">
        <f>$B$8</f>
        <v>PL</v>
      </c>
      <c r="C308" s="59" t="str">
        <f>$C$8</f>
        <v/>
      </c>
      <c r="D308" s="59"/>
      <c r="E308" s="895">
        <v>0</v>
      </c>
      <c r="F308" s="16">
        <f>IF(B308="","",$F$307)</f>
        <v>3534</v>
      </c>
      <c r="G308" s="61">
        <f>IF(B308="","",(F308*E308))</f>
        <v>0</v>
      </c>
      <c r="H308" s="62"/>
    </row>
    <row r="309" spans="2:8">
      <c r="B309" s="118" t="str">
        <f>$B$9</f>
        <v>DS1</v>
      </c>
      <c r="C309" s="59" t="str">
        <f>$C$9</f>
        <v/>
      </c>
      <c r="D309" s="59"/>
      <c r="E309" s="895">
        <v>0</v>
      </c>
      <c r="F309" s="16">
        <f>IF(B309="","",$F$307)</f>
        <v>3534</v>
      </c>
      <c r="G309" s="61">
        <f t="shared" ref="G309:G328" si="120">IF(B309="","",(F309*E309))</f>
        <v>0</v>
      </c>
      <c r="H309" s="62"/>
    </row>
    <row r="310" spans="2:8">
      <c r="B310" s="118" t="str">
        <f>$B$10</f>
        <v>DS3</v>
      </c>
      <c r="C310" s="59" t="str">
        <f>$C$10</f>
        <v/>
      </c>
      <c r="D310" s="59"/>
      <c r="E310" s="895">
        <v>0</v>
      </c>
      <c r="F310" s="16">
        <f t="shared" ref="F310:F317" si="121">IF(B310="","",$F$307)</f>
        <v>3534</v>
      </c>
      <c r="G310" s="61">
        <f t="shared" si="120"/>
        <v>0</v>
      </c>
      <c r="H310" s="62"/>
    </row>
    <row r="311" spans="2:8">
      <c r="B311" s="118" t="str">
        <f>$B$11</f>
        <v/>
      </c>
      <c r="C311" s="59" t="str">
        <f>$C$11</f>
        <v/>
      </c>
      <c r="D311" s="59"/>
      <c r="E311" s="895">
        <v>0</v>
      </c>
      <c r="F311" s="16" t="str">
        <f t="shared" si="121"/>
        <v/>
      </c>
      <c r="G311" s="61" t="str">
        <f t="shared" ref="G311:G317" si="122">IF(B311="","",(F311*E311))</f>
        <v/>
      </c>
      <c r="H311" s="62"/>
    </row>
    <row r="312" spans="2:8">
      <c r="B312" s="118" t="str">
        <f>$B$12</f>
        <v/>
      </c>
      <c r="C312" s="59" t="str">
        <f>$C$12</f>
        <v/>
      </c>
      <c r="D312" s="59"/>
      <c r="E312" s="895">
        <v>0</v>
      </c>
      <c r="F312" s="16" t="str">
        <f t="shared" si="121"/>
        <v/>
      </c>
      <c r="G312" s="61" t="str">
        <f t="shared" si="122"/>
        <v/>
      </c>
      <c r="H312" s="62"/>
    </row>
    <row r="313" spans="2:8">
      <c r="B313" s="118" t="str">
        <f>$B$13</f>
        <v/>
      </c>
      <c r="C313" s="59" t="str">
        <f>$C$13</f>
        <v/>
      </c>
      <c r="D313" s="59"/>
      <c r="E313" s="895">
        <v>0</v>
      </c>
      <c r="F313" s="16" t="str">
        <f t="shared" si="121"/>
        <v/>
      </c>
      <c r="G313" s="61" t="str">
        <f t="shared" si="122"/>
        <v/>
      </c>
      <c r="H313" s="62"/>
    </row>
    <row r="314" spans="2:8">
      <c r="B314" s="118" t="str">
        <f>$B$14</f>
        <v/>
      </c>
      <c r="C314" s="59" t="str">
        <f>$C$14</f>
        <v/>
      </c>
      <c r="D314" s="59"/>
      <c r="E314" s="895">
        <v>0</v>
      </c>
      <c r="F314" s="16" t="str">
        <f t="shared" si="121"/>
        <v/>
      </c>
      <c r="G314" s="61" t="str">
        <f t="shared" si="122"/>
        <v/>
      </c>
      <c r="H314" s="62"/>
    </row>
    <row r="315" spans="2:8">
      <c r="B315" s="118" t="str">
        <f>$B$15</f>
        <v/>
      </c>
      <c r="C315" s="59" t="str">
        <f>$C$15</f>
        <v/>
      </c>
      <c r="D315" s="59"/>
      <c r="E315" s="895">
        <v>0</v>
      </c>
      <c r="F315" s="16" t="str">
        <f t="shared" si="121"/>
        <v/>
      </c>
      <c r="G315" s="61" t="str">
        <f t="shared" si="122"/>
        <v/>
      </c>
      <c r="H315" s="62"/>
    </row>
    <row r="316" spans="2:8">
      <c r="B316" s="118" t="str">
        <f>$B$16</f>
        <v/>
      </c>
      <c r="C316" s="59" t="str">
        <f>$C$16</f>
        <v/>
      </c>
      <c r="D316" s="59"/>
      <c r="E316" s="895">
        <v>0</v>
      </c>
      <c r="F316" s="16" t="str">
        <f t="shared" si="121"/>
        <v/>
      </c>
      <c r="G316" s="61" t="str">
        <f t="shared" si="122"/>
        <v/>
      </c>
      <c r="H316" s="62"/>
    </row>
    <row r="317" spans="2:8">
      <c r="B317" s="118" t="str">
        <f>$B$17</f>
        <v/>
      </c>
      <c r="C317" s="59" t="str">
        <f>$C$17</f>
        <v/>
      </c>
      <c r="D317" s="59"/>
      <c r="E317" s="895">
        <v>0</v>
      </c>
      <c r="F317" s="16" t="str">
        <f t="shared" si="121"/>
        <v/>
      </c>
      <c r="G317" s="61" t="str">
        <f t="shared" si="122"/>
        <v/>
      </c>
      <c r="H317" s="62"/>
    </row>
    <row r="318" spans="2:8" hidden="1">
      <c r="B318" s="118"/>
      <c r="C318" s="59"/>
      <c r="D318" s="59"/>
      <c r="E318" s="895"/>
      <c r="F318" s="16"/>
      <c r="G318" s="61"/>
      <c r="H318" s="62"/>
    </row>
    <row r="319" spans="2:8" hidden="1">
      <c r="B319" s="118"/>
      <c r="C319" s="59"/>
      <c r="D319" s="59"/>
      <c r="E319" s="895"/>
      <c r="F319" s="16"/>
      <c r="G319" s="61"/>
      <c r="H319" s="62"/>
    </row>
    <row r="320" spans="2:8" hidden="1">
      <c r="B320" s="118"/>
      <c r="C320" s="59"/>
      <c r="D320" s="59"/>
      <c r="E320" s="895"/>
      <c r="F320" s="16"/>
      <c r="G320" s="61"/>
      <c r="H320" s="62"/>
    </row>
    <row r="321" spans="2:8" hidden="1">
      <c r="B321" s="118"/>
      <c r="C321" s="59"/>
      <c r="D321" s="59"/>
      <c r="E321" s="895"/>
      <c r="F321" s="16"/>
      <c r="G321" s="61"/>
      <c r="H321" s="62"/>
    </row>
    <row r="322" spans="2:8" hidden="1">
      <c r="B322" s="118"/>
      <c r="C322" s="59"/>
      <c r="D322" s="59"/>
      <c r="E322" s="895"/>
      <c r="F322" s="16"/>
      <c r="G322" s="61"/>
      <c r="H322" s="62"/>
    </row>
    <row r="323" spans="2:8" hidden="1">
      <c r="B323" s="118"/>
      <c r="C323" s="59"/>
      <c r="D323" s="59"/>
      <c r="E323" s="895"/>
      <c r="F323" s="16"/>
      <c r="G323" s="61"/>
      <c r="H323" s="62"/>
    </row>
    <row r="324" spans="2:8" hidden="1">
      <c r="B324" s="118"/>
      <c r="C324" s="59"/>
      <c r="D324" s="59"/>
      <c r="E324" s="895"/>
      <c r="F324" s="16"/>
      <c r="G324" s="61"/>
      <c r="H324" s="62"/>
    </row>
    <row r="325" spans="2:8" hidden="1">
      <c r="B325" s="118"/>
      <c r="C325" s="59"/>
      <c r="D325" s="59"/>
      <c r="E325" s="895"/>
      <c r="F325" s="16"/>
      <c r="G325" s="61"/>
      <c r="H325" s="62"/>
    </row>
    <row r="326" spans="2:8" hidden="1">
      <c r="B326" s="118"/>
      <c r="C326" s="59"/>
      <c r="D326" s="59"/>
      <c r="E326" s="895"/>
      <c r="F326" s="16"/>
      <c r="G326" s="61"/>
      <c r="H326" s="62"/>
    </row>
    <row r="327" spans="2:8" hidden="1">
      <c r="B327" s="118"/>
      <c r="C327" s="59"/>
      <c r="D327" s="59"/>
      <c r="E327" s="895"/>
      <c r="F327" s="16"/>
      <c r="G327" s="61"/>
      <c r="H327" s="62"/>
    </row>
    <row r="328" spans="2:8" ht="15.75" thickBot="1">
      <c r="B328" s="118" t="str">
        <f>$B$28</f>
        <v>OTHER</v>
      </c>
      <c r="C328" s="59" t="str">
        <f>$C$28</f>
        <v>Various non-key personnel</v>
      </c>
      <c r="D328" s="5"/>
      <c r="E328" s="895">
        <v>0</v>
      </c>
      <c r="F328" s="16">
        <f>IF(B328="","",$F$307)</f>
        <v>3534</v>
      </c>
      <c r="G328" s="6">
        <f t="shared" si="120"/>
        <v>0</v>
      </c>
      <c r="H328" s="7"/>
    </row>
    <row r="329" spans="2:8">
      <c r="B329" s="19" t="s">
        <v>10</v>
      </c>
      <c r="C329" s="20"/>
      <c r="D329" s="21" t="s">
        <v>8</v>
      </c>
      <c r="E329" s="693">
        <f>SUM(E330:E350)</f>
        <v>0</v>
      </c>
      <c r="F329" s="22">
        <f>DATA!$B$8</f>
        <v>2796</v>
      </c>
      <c r="G329" s="23"/>
      <c r="H329" s="24">
        <f>E329*F329</f>
        <v>0</v>
      </c>
    </row>
    <row r="330" spans="2:8">
      <c r="B330" s="118" t="str">
        <f>B308</f>
        <v>PL</v>
      </c>
      <c r="C330" s="59" t="str">
        <f>C308</f>
        <v/>
      </c>
      <c r="D330" s="59"/>
      <c r="E330" s="895">
        <v>0</v>
      </c>
      <c r="F330" s="16">
        <f>IF(B330="","",$F$329)</f>
        <v>2796</v>
      </c>
      <c r="G330" s="61">
        <f>IF(B330="","",(F330*E330))</f>
        <v>0</v>
      </c>
      <c r="H330" s="62"/>
    </row>
    <row r="331" spans="2:8">
      <c r="B331" s="118" t="str">
        <f t="shared" ref="B331:C331" si="123">B309</f>
        <v>DS1</v>
      </c>
      <c r="C331" s="59" t="str">
        <f t="shared" si="123"/>
        <v/>
      </c>
      <c r="D331" s="59"/>
      <c r="E331" s="895">
        <v>0</v>
      </c>
      <c r="F331" s="16">
        <f>IF(B331="","",$F$329)</f>
        <v>2796</v>
      </c>
      <c r="G331" s="61">
        <f t="shared" ref="G331:G350" si="124">IF(B331="","",(F331*E331))</f>
        <v>0</v>
      </c>
      <c r="H331" s="62"/>
    </row>
    <row r="332" spans="2:8">
      <c r="B332" s="118" t="str">
        <f t="shared" ref="B332:C332" si="125">B310</f>
        <v>DS3</v>
      </c>
      <c r="C332" s="59" t="str">
        <f t="shared" si="125"/>
        <v/>
      </c>
      <c r="D332" s="59"/>
      <c r="E332" s="895">
        <v>0</v>
      </c>
      <c r="F332" s="16">
        <f t="shared" ref="F332:F339" si="126">IF(B332="","",$F$329)</f>
        <v>2796</v>
      </c>
      <c r="G332" s="61">
        <f t="shared" si="124"/>
        <v>0</v>
      </c>
      <c r="H332" s="62"/>
    </row>
    <row r="333" spans="2:8">
      <c r="B333" s="118" t="str">
        <f t="shared" ref="B333:C333" si="127">B311</f>
        <v/>
      </c>
      <c r="C333" s="59" t="str">
        <f t="shared" si="127"/>
        <v/>
      </c>
      <c r="D333" s="59"/>
      <c r="E333" s="895">
        <v>0</v>
      </c>
      <c r="F333" s="16" t="str">
        <f t="shared" si="126"/>
        <v/>
      </c>
      <c r="G333" s="61" t="str">
        <f t="shared" ref="G333:G339" si="128">IF(B333="","",(F333*E333))</f>
        <v/>
      </c>
      <c r="H333" s="62"/>
    </row>
    <row r="334" spans="2:8">
      <c r="B334" s="118" t="str">
        <f t="shared" ref="B334:C334" si="129">B312</f>
        <v/>
      </c>
      <c r="C334" s="59" t="str">
        <f t="shared" si="129"/>
        <v/>
      </c>
      <c r="D334" s="59"/>
      <c r="E334" s="895">
        <v>0</v>
      </c>
      <c r="F334" s="16" t="str">
        <f t="shared" si="126"/>
        <v/>
      </c>
      <c r="G334" s="61" t="str">
        <f t="shared" si="128"/>
        <v/>
      </c>
      <c r="H334" s="62"/>
    </row>
    <row r="335" spans="2:8">
      <c r="B335" s="118" t="str">
        <f t="shared" ref="B335:C335" si="130">B313</f>
        <v/>
      </c>
      <c r="C335" s="59" t="str">
        <f t="shared" si="130"/>
        <v/>
      </c>
      <c r="D335" s="59"/>
      <c r="E335" s="895">
        <v>0</v>
      </c>
      <c r="F335" s="16" t="str">
        <f t="shared" si="126"/>
        <v/>
      </c>
      <c r="G335" s="61" t="str">
        <f t="shared" si="128"/>
        <v/>
      </c>
      <c r="H335" s="62"/>
    </row>
    <row r="336" spans="2:8">
      <c r="B336" s="118" t="str">
        <f t="shared" ref="B336:C336" si="131">B314</f>
        <v/>
      </c>
      <c r="C336" s="59" t="str">
        <f t="shared" si="131"/>
        <v/>
      </c>
      <c r="D336" s="59"/>
      <c r="E336" s="895">
        <v>0</v>
      </c>
      <c r="F336" s="16" t="str">
        <f t="shared" si="126"/>
        <v/>
      </c>
      <c r="G336" s="61" t="str">
        <f t="shared" si="128"/>
        <v/>
      </c>
      <c r="H336" s="62"/>
    </row>
    <row r="337" spans="2:8">
      <c r="B337" s="118" t="str">
        <f t="shared" ref="B337:C337" si="132">B315</f>
        <v/>
      </c>
      <c r="C337" s="59" t="str">
        <f t="shared" si="132"/>
        <v/>
      </c>
      <c r="D337" s="59"/>
      <c r="E337" s="895">
        <v>0</v>
      </c>
      <c r="F337" s="16" t="str">
        <f t="shared" si="126"/>
        <v/>
      </c>
      <c r="G337" s="61" t="str">
        <f t="shared" si="128"/>
        <v/>
      </c>
      <c r="H337" s="62"/>
    </row>
    <row r="338" spans="2:8">
      <c r="B338" s="118" t="str">
        <f t="shared" ref="B338:C338" si="133">B316</f>
        <v/>
      </c>
      <c r="C338" s="59" t="str">
        <f t="shared" si="133"/>
        <v/>
      </c>
      <c r="D338" s="59"/>
      <c r="E338" s="895">
        <v>0</v>
      </c>
      <c r="F338" s="16" t="str">
        <f t="shared" si="126"/>
        <v/>
      </c>
      <c r="G338" s="61" t="str">
        <f t="shared" si="128"/>
        <v/>
      </c>
      <c r="H338" s="62"/>
    </row>
    <row r="339" spans="2:8">
      <c r="B339" s="118" t="str">
        <f t="shared" ref="B339:C339" si="134">B317</f>
        <v/>
      </c>
      <c r="C339" s="59" t="str">
        <f t="shared" si="134"/>
        <v/>
      </c>
      <c r="D339" s="59"/>
      <c r="E339" s="895">
        <v>0</v>
      </c>
      <c r="F339" s="16" t="str">
        <f t="shared" si="126"/>
        <v/>
      </c>
      <c r="G339" s="61" t="str">
        <f t="shared" si="128"/>
        <v/>
      </c>
      <c r="H339" s="62"/>
    </row>
    <row r="340" spans="2:8" hidden="1">
      <c r="B340" s="118"/>
      <c r="C340" s="59"/>
      <c r="D340" s="59"/>
      <c r="E340" s="895"/>
      <c r="F340" s="16"/>
      <c r="G340" s="61"/>
      <c r="H340" s="62"/>
    </row>
    <row r="341" spans="2:8" hidden="1">
      <c r="B341" s="118"/>
      <c r="C341" s="59"/>
      <c r="D341" s="59"/>
      <c r="E341" s="895"/>
      <c r="F341" s="16"/>
      <c r="G341" s="61"/>
      <c r="H341" s="62"/>
    </row>
    <row r="342" spans="2:8" hidden="1">
      <c r="B342" s="118"/>
      <c r="C342" s="59"/>
      <c r="D342" s="59"/>
      <c r="E342" s="895"/>
      <c r="F342" s="16"/>
      <c r="G342" s="61"/>
      <c r="H342" s="62"/>
    </row>
    <row r="343" spans="2:8" hidden="1">
      <c r="B343" s="118"/>
      <c r="C343" s="59"/>
      <c r="D343" s="59"/>
      <c r="E343" s="895"/>
      <c r="F343" s="16"/>
      <c r="G343" s="61"/>
      <c r="H343" s="62"/>
    </row>
    <row r="344" spans="2:8" hidden="1">
      <c r="B344" s="118"/>
      <c r="C344" s="59"/>
      <c r="D344" s="59"/>
      <c r="E344" s="895"/>
      <c r="F344" s="16"/>
      <c r="G344" s="61"/>
      <c r="H344" s="62"/>
    </row>
    <row r="345" spans="2:8" hidden="1">
      <c r="B345" s="118"/>
      <c r="C345" s="59"/>
      <c r="D345" s="59"/>
      <c r="E345" s="895"/>
      <c r="F345" s="16"/>
      <c r="G345" s="61"/>
      <c r="H345" s="62"/>
    </row>
    <row r="346" spans="2:8" hidden="1">
      <c r="B346" s="118"/>
      <c r="C346" s="59"/>
      <c r="D346" s="59"/>
      <c r="E346" s="895"/>
      <c r="F346" s="16"/>
      <c r="G346" s="61"/>
      <c r="H346" s="62"/>
    </row>
    <row r="347" spans="2:8" hidden="1">
      <c r="B347" s="118"/>
      <c r="C347" s="59"/>
      <c r="D347" s="59"/>
      <c r="E347" s="895"/>
      <c r="F347" s="16"/>
      <c r="G347" s="61"/>
      <c r="H347" s="62"/>
    </row>
    <row r="348" spans="2:8" hidden="1">
      <c r="B348" s="118"/>
      <c r="C348" s="59"/>
      <c r="D348" s="59"/>
      <c r="E348" s="895"/>
      <c r="F348" s="16"/>
      <c r="G348" s="61"/>
      <c r="H348" s="62"/>
    </row>
    <row r="349" spans="2:8" hidden="1">
      <c r="B349" s="118"/>
      <c r="C349" s="59"/>
      <c r="D349" s="59"/>
      <c r="E349" s="895"/>
      <c r="F349" s="16"/>
      <c r="G349" s="61"/>
      <c r="H349" s="62"/>
    </row>
    <row r="350" spans="2:8" ht="15.75" thickBot="1">
      <c r="B350" s="118" t="str">
        <f t="shared" ref="B350:C350" si="135">B328</f>
        <v>OTHER</v>
      </c>
      <c r="C350" s="59" t="str">
        <f t="shared" si="135"/>
        <v>Various non-key personnel</v>
      </c>
      <c r="D350" s="5"/>
      <c r="E350" s="895">
        <v>0</v>
      </c>
      <c r="F350" s="16">
        <f>IF(B350="","",$F$329)</f>
        <v>2796</v>
      </c>
      <c r="G350" s="6">
        <f t="shared" si="124"/>
        <v>0</v>
      </c>
      <c r="H350" s="7"/>
    </row>
    <row r="351" spans="2:8">
      <c r="B351" s="19" t="s">
        <v>11</v>
      </c>
      <c r="C351" s="20"/>
      <c r="D351" s="21" t="s">
        <v>8</v>
      </c>
      <c r="E351" s="693">
        <f>SUM(E352:E372)</f>
        <v>0</v>
      </c>
      <c r="F351" s="22">
        <f>DATA!$B$9</f>
        <v>2403</v>
      </c>
      <c r="G351" s="23"/>
      <c r="H351" s="24">
        <f>E351*F351</f>
        <v>0</v>
      </c>
    </row>
    <row r="352" spans="2:8">
      <c r="B352" s="118" t="str">
        <f>B308</f>
        <v>PL</v>
      </c>
      <c r="C352" s="59" t="str">
        <f>C308</f>
        <v/>
      </c>
      <c r="D352" s="5"/>
      <c r="E352" s="895">
        <v>0</v>
      </c>
      <c r="F352" s="16">
        <f>IF(B352="","",$F$351)</f>
        <v>2403</v>
      </c>
      <c r="G352" s="6">
        <f>IF(B352="","",(F352*E352))</f>
        <v>0</v>
      </c>
      <c r="H352" s="7"/>
    </row>
    <row r="353" spans="2:8">
      <c r="B353" s="118" t="str">
        <f t="shared" ref="B353:C353" si="136">B309</f>
        <v>DS1</v>
      </c>
      <c r="C353" s="59" t="str">
        <f t="shared" si="136"/>
        <v/>
      </c>
      <c r="D353" s="5"/>
      <c r="E353" s="895">
        <v>0</v>
      </c>
      <c r="F353" s="16">
        <f>IF(B353="","",$F$351)</f>
        <v>2403</v>
      </c>
      <c r="G353" s="6">
        <f t="shared" ref="G353:G372" si="137">IF(B353="","",(F353*E353))</f>
        <v>0</v>
      </c>
      <c r="H353" s="7"/>
    </row>
    <row r="354" spans="2:8">
      <c r="B354" s="118" t="str">
        <f t="shared" ref="B354:C354" si="138">B310</f>
        <v>DS3</v>
      </c>
      <c r="C354" s="59" t="str">
        <f t="shared" si="138"/>
        <v/>
      </c>
      <c r="D354" s="5"/>
      <c r="E354" s="895">
        <v>0</v>
      </c>
      <c r="F354" s="16">
        <f t="shared" ref="F354:F361" si="139">IF(B354="","",$F$351)</f>
        <v>2403</v>
      </c>
      <c r="G354" s="6">
        <f t="shared" si="137"/>
        <v>0</v>
      </c>
      <c r="H354" s="7"/>
    </row>
    <row r="355" spans="2:8">
      <c r="B355" s="118" t="str">
        <f t="shared" ref="B355:C355" si="140">B311</f>
        <v/>
      </c>
      <c r="C355" s="59" t="str">
        <f t="shared" si="140"/>
        <v/>
      </c>
      <c r="D355" s="5"/>
      <c r="E355" s="895">
        <v>0</v>
      </c>
      <c r="F355" s="16" t="str">
        <f t="shared" si="139"/>
        <v/>
      </c>
      <c r="G355" s="6" t="str">
        <f t="shared" ref="G355:G361" si="141">IF(B355="","",(F355*E355))</f>
        <v/>
      </c>
      <c r="H355" s="7"/>
    </row>
    <row r="356" spans="2:8">
      <c r="B356" s="118" t="str">
        <f t="shared" ref="B356:C356" si="142">B312</f>
        <v/>
      </c>
      <c r="C356" s="59" t="str">
        <f t="shared" si="142"/>
        <v/>
      </c>
      <c r="D356" s="5"/>
      <c r="E356" s="895">
        <v>0</v>
      </c>
      <c r="F356" s="16" t="str">
        <f t="shared" si="139"/>
        <v/>
      </c>
      <c r="G356" s="6" t="str">
        <f t="shared" si="141"/>
        <v/>
      </c>
      <c r="H356" s="7"/>
    </row>
    <row r="357" spans="2:8">
      <c r="B357" s="118" t="str">
        <f t="shared" ref="B357:C357" si="143">B313</f>
        <v/>
      </c>
      <c r="C357" s="59" t="str">
        <f t="shared" si="143"/>
        <v/>
      </c>
      <c r="D357" s="5"/>
      <c r="E357" s="895">
        <v>0</v>
      </c>
      <c r="F357" s="16" t="str">
        <f t="shared" si="139"/>
        <v/>
      </c>
      <c r="G357" s="6" t="str">
        <f t="shared" si="141"/>
        <v/>
      </c>
      <c r="H357" s="7"/>
    </row>
    <row r="358" spans="2:8">
      <c r="B358" s="118" t="str">
        <f t="shared" ref="B358:C358" si="144">B314</f>
        <v/>
      </c>
      <c r="C358" s="59" t="str">
        <f t="shared" si="144"/>
        <v/>
      </c>
      <c r="D358" s="5"/>
      <c r="E358" s="895">
        <v>0</v>
      </c>
      <c r="F358" s="16" t="str">
        <f t="shared" si="139"/>
        <v/>
      </c>
      <c r="G358" s="6" t="str">
        <f t="shared" si="141"/>
        <v/>
      </c>
      <c r="H358" s="7"/>
    </row>
    <row r="359" spans="2:8">
      <c r="B359" s="118" t="str">
        <f t="shared" ref="B359:C359" si="145">B315</f>
        <v/>
      </c>
      <c r="C359" s="59" t="str">
        <f t="shared" si="145"/>
        <v/>
      </c>
      <c r="D359" s="5"/>
      <c r="E359" s="895">
        <v>0</v>
      </c>
      <c r="F359" s="16" t="str">
        <f t="shared" si="139"/>
        <v/>
      </c>
      <c r="G359" s="6" t="str">
        <f t="shared" si="141"/>
        <v/>
      </c>
      <c r="H359" s="7"/>
    </row>
    <row r="360" spans="2:8">
      <c r="B360" s="118" t="str">
        <f t="shared" ref="B360:C360" si="146">B316</f>
        <v/>
      </c>
      <c r="C360" s="59" t="str">
        <f t="shared" si="146"/>
        <v/>
      </c>
      <c r="D360" s="5"/>
      <c r="E360" s="895">
        <v>0</v>
      </c>
      <c r="F360" s="16" t="str">
        <f t="shared" si="139"/>
        <v/>
      </c>
      <c r="G360" s="6" t="str">
        <f t="shared" si="141"/>
        <v/>
      </c>
      <c r="H360" s="7"/>
    </row>
    <row r="361" spans="2:8">
      <c r="B361" s="118" t="str">
        <f t="shared" ref="B361:C361" si="147">B317</f>
        <v/>
      </c>
      <c r="C361" s="59" t="str">
        <f t="shared" si="147"/>
        <v/>
      </c>
      <c r="D361" s="5"/>
      <c r="E361" s="895">
        <v>0</v>
      </c>
      <c r="F361" s="16" t="str">
        <f t="shared" si="139"/>
        <v/>
      </c>
      <c r="G361" s="6" t="str">
        <f t="shared" si="141"/>
        <v/>
      </c>
      <c r="H361" s="7"/>
    </row>
    <row r="362" spans="2:8" hidden="1">
      <c r="B362" s="118"/>
      <c r="C362" s="59"/>
      <c r="D362" s="5"/>
      <c r="E362" s="895"/>
      <c r="F362" s="16"/>
      <c r="G362" s="6"/>
      <c r="H362" s="7"/>
    </row>
    <row r="363" spans="2:8" hidden="1">
      <c r="B363" s="118"/>
      <c r="C363" s="59"/>
      <c r="D363" s="5"/>
      <c r="E363" s="895"/>
      <c r="F363" s="16"/>
      <c r="G363" s="6"/>
      <c r="H363" s="7"/>
    </row>
    <row r="364" spans="2:8" hidden="1">
      <c r="B364" s="118"/>
      <c r="C364" s="59"/>
      <c r="D364" s="5"/>
      <c r="E364" s="895"/>
      <c r="F364" s="16"/>
      <c r="G364" s="6"/>
      <c r="H364" s="7"/>
    </row>
    <row r="365" spans="2:8" hidden="1">
      <c r="B365" s="118"/>
      <c r="C365" s="59"/>
      <c r="D365" s="5"/>
      <c r="E365" s="895"/>
      <c r="F365" s="16"/>
      <c r="G365" s="6"/>
      <c r="H365" s="7"/>
    </row>
    <row r="366" spans="2:8" hidden="1">
      <c r="B366" s="118"/>
      <c r="C366" s="59"/>
      <c r="D366" s="5"/>
      <c r="E366" s="895"/>
      <c r="F366" s="16"/>
      <c r="G366" s="6"/>
      <c r="H366" s="7"/>
    </row>
    <row r="367" spans="2:8" hidden="1">
      <c r="B367" s="118"/>
      <c r="C367" s="59"/>
      <c r="D367" s="5"/>
      <c r="E367" s="895"/>
      <c r="F367" s="16"/>
      <c r="G367" s="6"/>
      <c r="H367" s="7"/>
    </row>
    <row r="368" spans="2:8" hidden="1">
      <c r="B368" s="118"/>
      <c r="C368" s="59"/>
      <c r="D368" s="5"/>
      <c r="E368" s="895"/>
      <c r="F368" s="16"/>
      <c r="G368" s="6"/>
      <c r="H368" s="7"/>
    </row>
    <row r="369" spans="2:8" hidden="1">
      <c r="B369" s="118"/>
      <c r="C369" s="59"/>
      <c r="D369" s="5"/>
      <c r="E369" s="895"/>
      <c r="F369" s="16"/>
      <c r="G369" s="6"/>
      <c r="H369" s="7"/>
    </row>
    <row r="370" spans="2:8" hidden="1">
      <c r="B370" s="118"/>
      <c r="C370" s="59"/>
      <c r="D370" s="5"/>
      <c r="E370" s="895"/>
      <c r="F370" s="16"/>
      <c r="G370" s="6"/>
      <c r="H370" s="7"/>
    </row>
    <row r="371" spans="2:8" hidden="1">
      <c r="B371" s="118"/>
      <c r="C371" s="59"/>
      <c r="D371" s="5"/>
      <c r="E371" s="895"/>
      <c r="F371" s="16"/>
      <c r="G371" s="6"/>
      <c r="H371" s="7"/>
    </row>
    <row r="372" spans="2:8" ht="15.75" thickBot="1">
      <c r="B372" s="119" t="str">
        <f>B328</f>
        <v>OTHER</v>
      </c>
      <c r="C372" s="63" t="str">
        <f>C328</f>
        <v>Various non-key personnel</v>
      </c>
      <c r="D372" s="5"/>
      <c r="E372" s="895">
        <v>0</v>
      </c>
      <c r="F372" s="16">
        <f>IF(B372="","",$F$351)</f>
        <v>2403</v>
      </c>
      <c r="G372" s="6">
        <f t="shared" si="137"/>
        <v>0</v>
      </c>
      <c r="H372" s="7"/>
    </row>
    <row r="373" spans="2:8">
      <c r="B373" s="19" t="s">
        <v>12</v>
      </c>
      <c r="C373" s="20"/>
      <c r="D373" s="21" t="s">
        <v>8</v>
      </c>
      <c r="E373" s="693">
        <f>SUM(E374:E394)</f>
        <v>0</v>
      </c>
      <c r="F373" s="22">
        <f>DATA!$B$10</f>
        <v>1167</v>
      </c>
      <c r="G373" s="23"/>
      <c r="H373" s="24">
        <f>E373*F373</f>
        <v>0</v>
      </c>
    </row>
    <row r="374" spans="2:8">
      <c r="B374" s="118" t="str">
        <f>B308</f>
        <v>PL</v>
      </c>
      <c r="C374" s="59" t="str">
        <f>C308</f>
        <v/>
      </c>
      <c r="D374" s="5"/>
      <c r="E374" s="895">
        <v>0</v>
      </c>
      <c r="F374" s="16">
        <f>IF(B374="","",$F$373)</f>
        <v>1167</v>
      </c>
      <c r="G374" s="6">
        <f>IF(B374="","",(F374*E374))</f>
        <v>0</v>
      </c>
      <c r="H374" s="7"/>
    </row>
    <row r="375" spans="2:8">
      <c r="B375" s="118" t="str">
        <f t="shared" ref="B375:C375" si="148">B309</f>
        <v>DS1</v>
      </c>
      <c r="C375" s="59" t="str">
        <f t="shared" si="148"/>
        <v/>
      </c>
      <c r="D375" s="5"/>
      <c r="E375" s="895">
        <v>0</v>
      </c>
      <c r="F375" s="16">
        <f>IF(B375="","",$F$373)</f>
        <v>1167</v>
      </c>
      <c r="G375" s="6">
        <f t="shared" ref="G375:G394" si="149">IF(B375="","",(F375*E375))</f>
        <v>0</v>
      </c>
      <c r="H375" s="7"/>
    </row>
    <row r="376" spans="2:8">
      <c r="B376" s="118" t="str">
        <f t="shared" ref="B376:C376" si="150">B310</f>
        <v>DS3</v>
      </c>
      <c r="C376" s="59" t="str">
        <f t="shared" si="150"/>
        <v/>
      </c>
      <c r="D376" s="5"/>
      <c r="E376" s="895">
        <v>0</v>
      </c>
      <c r="F376" s="16">
        <f t="shared" ref="F376:F383" si="151">IF(B376="","",$F$373)</f>
        <v>1167</v>
      </c>
      <c r="G376" s="6">
        <f t="shared" si="149"/>
        <v>0</v>
      </c>
      <c r="H376" s="7"/>
    </row>
    <row r="377" spans="2:8">
      <c r="B377" s="118" t="str">
        <f t="shared" ref="B377:C377" si="152">B311</f>
        <v/>
      </c>
      <c r="C377" s="59" t="str">
        <f t="shared" si="152"/>
        <v/>
      </c>
      <c r="D377" s="5"/>
      <c r="E377" s="895">
        <v>0</v>
      </c>
      <c r="F377" s="16" t="str">
        <f t="shared" si="151"/>
        <v/>
      </c>
      <c r="G377" s="6" t="str">
        <f t="shared" ref="G377:G383" si="153">IF(B377="","",(F377*E377))</f>
        <v/>
      </c>
      <c r="H377" s="7"/>
    </row>
    <row r="378" spans="2:8">
      <c r="B378" s="118" t="str">
        <f t="shared" ref="B378:C378" si="154">B312</f>
        <v/>
      </c>
      <c r="C378" s="59" t="str">
        <f t="shared" si="154"/>
        <v/>
      </c>
      <c r="D378" s="5"/>
      <c r="E378" s="895">
        <v>0</v>
      </c>
      <c r="F378" s="16" t="str">
        <f t="shared" si="151"/>
        <v/>
      </c>
      <c r="G378" s="6" t="str">
        <f t="shared" si="153"/>
        <v/>
      </c>
      <c r="H378" s="7"/>
    </row>
    <row r="379" spans="2:8">
      <c r="B379" s="118" t="str">
        <f t="shared" ref="B379:C379" si="155">B313</f>
        <v/>
      </c>
      <c r="C379" s="59" t="str">
        <f t="shared" si="155"/>
        <v/>
      </c>
      <c r="D379" s="5"/>
      <c r="E379" s="895">
        <v>0</v>
      </c>
      <c r="F379" s="16" t="str">
        <f t="shared" si="151"/>
        <v/>
      </c>
      <c r="G379" s="6" t="str">
        <f t="shared" si="153"/>
        <v/>
      </c>
      <c r="H379" s="7"/>
    </row>
    <row r="380" spans="2:8">
      <c r="B380" s="118" t="str">
        <f t="shared" ref="B380:C380" si="156">B314</f>
        <v/>
      </c>
      <c r="C380" s="59" t="str">
        <f t="shared" si="156"/>
        <v/>
      </c>
      <c r="D380" s="5"/>
      <c r="E380" s="895">
        <v>0</v>
      </c>
      <c r="F380" s="16" t="str">
        <f t="shared" si="151"/>
        <v/>
      </c>
      <c r="G380" s="6" t="str">
        <f t="shared" si="153"/>
        <v/>
      </c>
      <c r="H380" s="7"/>
    </row>
    <row r="381" spans="2:8">
      <c r="B381" s="118" t="str">
        <f t="shared" ref="B381:C381" si="157">B315</f>
        <v/>
      </c>
      <c r="C381" s="59" t="str">
        <f t="shared" si="157"/>
        <v/>
      </c>
      <c r="D381" s="5"/>
      <c r="E381" s="895">
        <v>0</v>
      </c>
      <c r="F381" s="16" t="str">
        <f t="shared" si="151"/>
        <v/>
      </c>
      <c r="G381" s="6" t="str">
        <f t="shared" si="153"/>
        <v/>
      </c>
      <c r="H381" s="7"/>
    </row>
    <row r="382" spans="2:8">
      <c r="B382" s="118" t="str">
        <f t="shared" ref="B382:C382" si="158">B316</f>
        <v/>
      </c>
      <c r="C382" s="59" t="str">
        <f t="shared" si="158"/>
        <v/>
      </c>
      <c r="D382" s="5"/>
      <c r="E382" s="895">
        <v>0</v>
      </c>
      <c r="F382" s="16" t="str">
        <f t="shared" si="151"/>
        <v/>
      </c>
      <c r="G382" s="6" t="str">
        <f t="shared" si="153"/>
        <v/>
      </c>
      <c r="H382" s="7"/>
    </row>
    <row r="383" spans="2:8">
      <c r="B383" s="118" t="str">
        <f t="shared" ref="B383:C383" si="159">B317</f>
        <v/>
      </c>
      <c r="C383" s="59" t="str">
        <f t="shared" si="159"/>
        <v/>
      </c>
      <c r="D383" s="5"/>
      <c r="E383" s="895">
        <v>0</v>
      </c>
      <c r="F383" s="16" t="str">
        <f t="shared" si="151"/>
        <v/>
      </c>
      <c r="G383" s="6" t="str">
        <f t="shared" si="153"/>
        <v/>
      </c>
      <c r="H383" s="7"/>
    </row>
    <row r="384" spans="2:8" hidden="1">
      <c r="B384" s="118"/>
      <c r="C384" s="59"/>
      <c r="D384" s="5"/>
      <c r="E384" s="895"/>
      <c r="F384" s="16"/>
      <c r="G384" s="6"/>
      <c r="H384" s="7"/>
    </row>
    <row r="385" spans="2:8" hidden="1">
      <c r="B385" s="118"/>
      <c r="C385" s="59"/>
      <c r="D385" s="5"/>
      <c r="E385" s="895"/>
      <c r="F385" s="16"/>
      <c r="G385" s="6"/>
      <c r="H385" s="7"/>
    </row>
    <row r="386" spans="2:8" hidden="1">
      <c r="B386" s="118"/>
      <c r="C386" s="59"/>
      <c r="D386" s="5"/>
      <c r="E386" s="895"/>
      <c r="F386" s="16"/>
      <c r="G386" s="6"/>
      <c r="H386" s="7"/>
    </row>
    <row r="387" spans="2:8" hidden="1">
      <c r="B387" s="118"/>
      <c r="C387" s="59"/>
      <c r="D387" s="5"/>
      <c r="E387" s="895"/>
      <c r="F387" s="16"/>
      <c r="G387" s="6"/>
      <c r="H387" s="7"/>
    </row>
    <row r="388" spans="2:8" hidden="1">
      <c r="B388" s="118"/>
      <c r="C388" s="59"/>
      <c r="D388" s="5"/>
      <c r="E388" s="895"/>
      <c r="F388" s="16"/>
      <c r="G388" s="6"/>
      <c r="H388" s="7"/>
    </row>
    <row r="389" spans="2:8" hidden="1">
      <c r="B389" s="118"/>
      <c r="C389" s="59"/>
      <c r="D389" s="5"/>
      <c r="E389" s="895"/>
      <c r="F389" s="16"/>
      <c r="G389" s="6"/>
      <c r="H389" s="7"/>
    </row>
    <row r="390" spans="2:8" hidden="1">
      <c r="B390" s="118"/>
      <c r="C390" s="59"/>
      <c r="D390" s="5"/>
      <c r="E390" s="895"/>
      <c r="F390" s="16"/>
      <c r="G390" s="6"/>
      <c r="H390" s="7"/>
    </row>
    <row r="391" spans="2:8" hidden="1">
      <c r="B391" s="118"/>
      <c r="C391" s="59"/>
      <c r="D391" s="5"/>
      <c r="E391" s="895"/>
      <c r="F391" s="16"/>
      <c r="G391" s="6"/>
      <c r="H391" s="7"/>
    </row>
    <row r="392" spans="2:8" hidden="1">
      <c r="B392" s="118"/>
      <c r="C392" s="59"/>
      <c r="D392" s="5"/>
      <c r="E392" s="895"/>
      <c r="F392" s="16"/>
      <c r="G392" s="6"/>
      <c r="H392" s="7"/>
    </row>
    <row r="393" spans="2:8" hidden="1">
      <c r="B393" s="118"/>
      <c r="C393" s="59"/>
      <c r="D393" s="5"/>
      <c r="E393" s="895"/>
      <c r="F393" s="16"/>
      <c r="G393" s="6"/>
      <c r="H393" s="7"/>
    </row>
    <row r="394" spans="2:8" ht="15.75" thickBot="1">
      <c r="B394" s="119" t="str">
        <f t="shared" ref="B394:C394" si="160">B328</f>
        <v>OTHER</v>
      </c>
      <c r="C394" s="63" t="str">
        <f t="shared" si="160"/>
        <v>Various non-key personnel</v>
      </c>
      <c r="D394" s="8"/>
      <c r="E394" s="896">
        <v>0</v>
      </c>
      <c r="F394" s="17">
        <f>IF(B394="","",$F$373)</f>
        <v>1167</v>
      </c>
      <c r="G394" s="9">
        <f t="shared" si="149"/>
        <v>0</v>
      </c>
      <c r="H394" s="10"/>
    </row>
    <row r="396" spans="2:8">
      <c r="B396" s="1066" t="s">
        <v>989</v>
      </c>
      <c r="C396" s="1" t="s">
        <v>990</v>
      </c>
    </row>
    <row r="404" spans="2:8" ht="15.75" thickBot="1">
      <c r="B404" s="1" t="s">
        <v>0</v>
      </c>
      <c r="C404" s="1" t="str">
        <f>IF('Pricing Schedule'!G250="n","NOT REQUIRED","")</f>
        <v/>
      </c>
      <c r="D404" s="11" t="s">
        <v>1</v>
      </c>
      <c r="E404" s="11" t="s">
        <v>2</v>
      </c>
      <c r="F404" s="216" t="s">
        <v>3</v>
      </c>
      <c r="G404" s="1"/>
      <c r="H404" s="1" t="s">
        <v>4</v>
      </c>
    </row>
    <row r="405" spans="2:8" ht="15.75" thickBot="1">
      <c r="B405" s="2" t="s">
        <v>5</v>
      </c>
      <c r="C405" s="3"/>
      <c r="D405" s="12"/>
      <c r="E405" s="12"/>
      <c r="F405" s="15"/>
      <c r="G405" s="3"/>
      <c r="H405" s="4"/>
    </row>
    <row r="406" spans="2:8" ht="15.75" thickBot="1">
      <c r="B406" s="217">
        <v>36.020000000000003</v>
      </c>
      <c r="C406" s="31" t="s">
        <v>217</v>
      </c>
      <c r="D406" s="215" t="s">
        <v>6</v>
      </c>
      <c r="E406" s="32">
        <f>IF('Pricing Schedule'!$G$250="n",0,ROUND((E407*(F407/F473)+E429*(F429/F473)+E451*(F451/F473)+E473),2))</f>
        <v>0</v>
      </c>
      <c r="F406" s="33" t="str">
        <f>"Norm. Hours"</f>
        <v>Norm. Hours</v>
      </c>
      <c r="G406" s="34"/>
      <c r="H406" s="35">
        <f>IF('Pricing Schedule'!G250="n",0,SUM(H407:H494))</f>
        <v>0</v>
      </c>
    </row>
    <row r="407" spans="2:8">
      <c r="B407" s="19" t="s">
        <v>7</v>
      </c>
      <c r="C407" s="20"/>
      <c r="D407" s="21" t="s">
        <v>8</v>
      </c>
      <c r="E407" s="693">
        <f>SUM(E408:E428)</f>
        <v>0</v>
      </c>
      <c r="F407" s="22">
        <f>DATA!$B$7</f>
        <v>3534</v>
      </c>
      <c r="G407" s="23"/>
      <c r="H407" s="24">
        <f>E407*F407</f>
        <v>0</v>
      </c>
    </row>
    <row r="408" spans="2:8">
      <c r="B408" s="118" t="str">
        <f>$B$8</f>
        <v>PL</v>
      </c>
      <c r="C408" s="59" t="str">
        <f>$C$8</f>
        <v/>
      </c>
      <c r="D408" s="59"/>
      <c r="E408" s="895">
        <v>0</v>
      </c>
      <c r="F408" s="16">
        <f>IF(B408="","",$F$407)</f>
        <v>3534</v>
      </c>
      <c r="G408" s="61">
        <f>IF(B408="","",(F408*E408))</f>
        <v>0</v>
      </c>
      <c r="H408" s="62"/>
    </row>
    <row r="409" spans="2:8">
      <c r="B409" s="118" t="str">
        <f>$B$9</f>
        <v>DS1</v>
      </c>
      <c r="C409" s="59" t="str">
        <f>$C$9</f>
        <v/>
      </c>
      <c r="D409" s="59"/>
      <c r="E409" s="895">
        <v>0</v>
      </c>
      <c r="F409" s="16">
        <f>IF(B409="","",$F$407)</f>
        <v>3534</v>
      </c>
      <c r="G409" s="61">
        <f t="shared" ref="G409:G428" si="161">IF(B409="","",(F409*E409))</f>
        <v>0</v>
      </c>
      <c r="H409" s="62"/>
    </row>
    <row r="410" spans="2:8">
      <c r="B410" s="118" t="str">
        <f>$B$10</f>
        <v>DS3</v>
      </c>
      <c r="C410" s="59" t="str">
        <f>$C$10</f>
        <v/>
      </c>
      <c r="D410" s="59"/>
      <c r="E410" s="895">
        <v>0</v>
      </c>
      <c r="F410" s="16">
        <f t="shared" ref="F410:F417" si="162">IF(B410="","",$F$407)</f>
        <v>3534</v>
      </c>
      <c r="G410" s="61">
        <f t="shared" si="161"/>
        <v>0</v>
      </c>
      <c r="H410" s="62"/>
    </row>
    <row r="411" spans="2:8">
      <c r="B411" s="118" t="str">
        <f>$B$11</f>
        <v/>
      </c>
      <c r="C411" s="59" t="str">
        <f>$C$11</f>
        <v/>
      </c>
      <c r="D411" s="59"/>
      <c r="E411" s="895">
        <v>0</v>
      </c>
      <c r="F411" s="16" t="str">
        <f t="shared" si="162"/>
        <v/>
      </c>
      <c r="G411" s="61" t="str">
        <f t="shared" ref="G411:G417" si="163">IF(B411="","",(F411*E411))</f>
        <v/>
      </c>
      <c r="H411" s="62"/>
    </row>
    <row r="412" spans="2:8">
      <c r="B412" s="118" t="str">
        <f>$B$12</f>
        <v/>
      </c>
      <c r="C412" s="59" t="str">
        <f>$C$12</f>
        <v/>
      </c>
      <c r="D412" s="59"/>
      <c r="E412" s="895">
        <v>0</v>
      </c>
      <c r="F412" s="16" t="str">
        <f t="shared" si="162"/>
        <v/>
      </c>
      <c r="G412" s="61" t="str">
        <f t="shared" si="163"/>
        <v/>
      </c>
      <c r="H412" s="62"/>
    </row>
    <row r="413" spans="2:8">
      <c r="B413" s="118" t="str">
        <f>$B$13</f>
        <v/>
      </c>
      <c r="C413" s="59" t="str">
        <f>$C$13</f>
        <v/>
      </c>
      <c r="D413" s="59"/>
      <c r="E413" s="895">
        <v>0</v>
      </c>
      <c r="F413" s="16" t="str">
        <f t="shared" si="162"/>
        <v/>
      </c>
      <c r="G413" s="61" t="str">
        <f t="shared" si="163"/>
        <v/>
      </c>
      <c r="H413" s="62"/>
    </row>
    <row r="414" spans="2:8">
      <c r="B414" s="118" t="str">
        <f>$B$14</f>
        <v/>
      </c>
      <c r="C414" s="59" t="str">
        <f>$C$14</f>
        <v/>
      </c>
      <c r="D414" s="59"/>
      <c r="E414" s="895">
        <v>0</v>
      </c>
      <c r="F414" s="16" t="str">
        <f t="shared" si="162"/>
        <v/>
      </c>
      <c r="G414" s="61" t="str">
        <f t="shared" si="163"/>
        <v/>
      </c>
      <c r="H414" s="62"/>
    </row>
    <row r="415" spans="2:8">
      <c r="B415" s="118" t="str">
        <f>$B$15</f>
        <v/>
      </c>
      <c r="C415" s="59" t="str">
        <f>$C$15</f>
        <v/>
      </c>
      <c r="D415" s="59"/>
      <c r="E415" s="895">
        <v>0</v>
      </c>
      <c r="F415" s="16" t="str">
        <f t="shared" si="162"/>
        <v/>
      </c>
      <c r="G415" s="61" t="str">
        <f t="shared" si="163"/>
        <v/>
      </c>
      <c r="H415" s="62"/>
    </row>
    <row r="416" spans="2:8">
      <c r="B416" s="118" t="str">
        <f>$B$16</f>
        <v/>
      </c>
      <c r="C416" s="59" t="str">
        <f>$C$16</f>
        <v/>
      </c>
      <c r="D416" s="59"/>
      <c r="E416" s="895">
        <v>0</v>
      </c>
      <c r="F416" s="16" t="str">
        <f t="shared" si="162"/>
        <v/>
      </c>
      <c r="G416" s="61" t="str">
        <f t="shared" si="163"/>
        <v/>
      </c>
      <c r="H416" s="62"/>
    </row>
    <row r="417" spans="2:8">
      <c r="B417" s="118" t="str">
        <f>$B$17</f>
        <v/>
      </c>
      <c r="C417" s="59" t="str">
        <f>$C$17</f>
        <v/>
      </c>
      <c r="D417" s="59"/>
      <c r="E417" s="895">
        <v>0</v>
      </c>
      <c r="F417" s="16" t="str">
        <f t="shared" si="162"/>
        <v/>
      </c>
      <c r="G417" s="61" t="str">
        <f t="shared" si="163"/>
        <v/>
      </c>
      <c r="H417" s="62"/>
    </row>
    <row r="418" spans="2:8" hidden="1">
      <c r="B418" s="118"/>
      <c r="C418" s="59"/>
      <c r="D418" s="59"/>
      <c r="E418" s="895"/>
      <c r="F418" s="16"/>
      <c r="G418" s="61"/>
      <c r="H418" s="62"/>
    </row>
    <row r="419" spans="2:8" hidden="1">
      <c r="B419" s="118"/>
      <c r="C419" s="59"/>
      <c r="D419" s="59"/>
      <c r="E419" s="895"/>
      <c r="F419" s="16"/>
      <c r="G419" s="61"/>
      <c r="H419" s="62"/>
    </row>
    <row r="420" spans="2:8" hidden="1">
      <c r="B420" s="118"/>
      <c r="C420" s="59"/>
      <c r="D420" s="59"/>
      <c r="E420" s="895"/>
      <c r="F420" s="16"/>
      <c r="G420" s="61"/>
      <c r="H420" s="62"/>
    </row>
    <row r="421" spans="2:8" hidden="1">
      <c r="B421" s="118"/>
      <c r="C421" s="59"/>
      <c r="D421" s="59"/>
      <c r="E421" s="895"/>
      <c r="F421" s="16"/>
      <c r="G421" s="61"/>
      <c r="H421" s="62"/>
    </row>
    <row r="422" spans="2:8" hidden="1">
      <c r="B422" s="118"/>
      <c r="C422" s="59"/>
      <c r="D422" s="59"/>
      <c r="E422" s="895"/>
      <c r="F422" s="16"/>
      <c r="G422" s="61"/>
      <c r="H422" s="62"/>
    </row>
    <row r="423" spans="2:8" hidden="1">
      <c r="B423" s="118"/>
      <c r="C423" s="59"/>
      <c r="D423" s="59"/>
      <c r="E423" s="895"/>
      <c r="F423" s="16"/>
      <c r="G423" s="61"/>
      <c r="H423" s="62"/>
    </row>
    <row r="424" spans="2:8" hidden="1">
      <c r="B424" s="118"/>
      <c r="C424" s="59"/>
      <c r="D424" s="59"/>
      <c r="E424" s="895"/>
      <c r="F424" s="16"/>
      <c r="G424" s="61"/>
      <c r="H424" s="62"/>
    </row>
    <row r="425" spans="2:8" hidden="1">
      <c r="B425" s="118"/>
      <c r="C425" s="59"/>
      <c r="D425" s="59"/>
      <c r="E425" s="895"/>
      <c r="F425" s="16"/>
      <c r="G425" s="61"/>
      <c r="H425" s="62"/>
    </row>
    <row r="426" spans="2:8" hidden="1">
      <c r="B426" s="118"/>
      <c r="C426" s="59"/>
      <c r="D426" s="59"/>
      <c r="E426" s="895"/>
      <c r="F426" s="16"/>
      <c r="G426" s="61"/>
      <c r="H426" s="62"/>
    </row>
    <row r="427" spans="2:8" hidden="1">
      <c r="B427" s="118"/>
      <c r="C427" s="59"/>
      <c r="D427" s="59"/>
      <c r="E427" s="895"/>
      <c r="F427" s="16"/>
      <c r="G427" s="61"/>
      <c r="H427" s="62"/>
    </row>
    <row r="428" spans="2:8" ht="15.75" thickBot="1">
      <c r="B428" s="118" t="str">
        <f>$B$28</f>
        <v>OTHER</v>
      </c>
      <c r="C428" s="59" t="str">
        <f>$C$28</f>
        <v>Various non-key personnel</v>
      </c>
      <c r="D428" s="5"/>
      <c r="E428" s="895">
        <v>0</v>
      </c>
      <c r="F428" s="16">
        <f>IF(B428="","",$F$407)</f>
        <v>3534</v>
      </c>
      <c r="G428" s="6">
        <f t="shared" si="161"/>
        <v>0</v>
      </c>
      <c r="H428" s="7"/>
    </row>
    <row r="429" spans="2:8">
      <c r="B429" s="19" t="s">
        <v>10</v>
      </c>
      <c r="C429" s="20"/>
      <c r="D429" s="21" t="s">
        <v>8</v>
      </c>
      <c r="E429" s="693">
        <f>SUM(E430:E450)</f>
        <v>0</v>
      </c>
      <c r="F429" s="22">
        <f>DATA!$B$8</f>
        <v>2796</v>
      </c>
      <c r="G429" s="23"/>
      <c r="H429" s="24">
        <f>E429*F429</f>
        <v>0</v>
      </c>
    </row>
    <row r="430" spans="2:8">
      <c r="B430" s="118" t="str">
        <f>B408</f>
        <v>PL</v>
      </c>
      <c r="C430" s="59" t="str">
        <f>C408</f>
        <v/>
      </c>
      <c r="D430" s="59"/>
      <c r="E430" s="895">
        <v>0</v>
      </c>
      <c r="F430" s="16">
        <f>IF(B430="","",$F$429)</f>
        <v>2796</v>
      </c>
      <c r="G430" s="61">
        <f>IF(B430="","",(F430*E430))</f>
        <v>0</v>
      </c>
      <c r="H430" s="62"/>
    </row>
    <row r="431" spans="2:8">
      <c r="B431" s="118" t="str">
        <f t="shared" ref="B431:C431" si="164">B409</f>
        <v>DS1</v>
      </c>
      <c r="C431" s="59" t="str">
        <f t="shared" si="164"/>
        <v/>
      </c>
      <c r="D431" s="59"/>
      <c r="E431" s="895">
        <v>0</v>
      </c>
      <c r="F431" s="16">
        <f>IF(B431="","",$F$429)</f>
        <v>2796</v>
      </c>
      <c r="G431" s="61">
        <f t="shared" ref="G431:G450" si="165">IF(B431="","",(F431*E431))</f>
        <v>0</v>
      </c>
      <c r="H431" s="62"/>
    </row>
    <row r="432" spans="2:8">
      <c r="B432" s="118" t="str">
        <f t="shared" ref="B432:C432" si="166">B410</f>
        <v>DS3</v>
      </c>
      <c r="C432" s="59" t="str">
        <f t="shared" si="166"/>
        <v/>
      </c>
      <c r="D432" s="59"/>
      <c r="E432" s="895">
        <v>0</v>
      </c>
      <c r="F432" s="16">
        <f t="shared" ref="F432:F439" si="167">IF(B432="","",$F$429)</f>
        <v>2796</v>
      </c>
      <c r="G432" s="61">
        <f t="shared" si="165"/>
        <v>0</v>
      </c>
      <c r="H432" s="62"/>
    </row>
    <row r="433" spans="2:8">
      <c r="B433" s="118" t="str">
        <f t="shared" ref="B433:C433" si="168">B411</f>
        <v/>
      </c>
      <c r="C433" s="59" t="str">
        <f t="shared" si="168"/>
        <v/>
      </c>
      <c r="D433" s="59"/>
      <c r="E433" s="895">
        <v>0</v>
      </c>
      <c r="F433" s="16" t="str">
        <f t="shared" si="167"/>
        <v/>
      </c>
      <c r="G433" s="61" t="str">
        <f t="shared" ref="G433:G439" si="169">IF(B433="","",(F433*E433))</f>
        <v/>
      </c>
      <c r="H433" s="62"/>
    </row>
    <row r="434" spans="2:8">
      <c r="B434" s="118" t="str">
        <f t="shared" ref="B434:C434" si="170">B412</f>
        <v/>
      </c>
      <c r="C434" s="59" t="str">
        <f t="shared" si="170"/>
        <v/>
      </c>
      <c r="D434" s="59"/>
      <c r="E434" s="895">
        <v>0</v>
      </c>
      <c r="F434" s="16" t="str">
        <f t="shared" si="167"/>
        <v/>
      </c>
      <c r="G434" s="61" t="str">
        <f t="shared" si="169"/>
        <v/>
      </c>
      <c r="H434" s="62"/>
    </row>
    <row r="435" spans="2:8">
      <c r="B435" s="118" t="str">
        <f t="shared" ref="B435:C435" si="171">B413</f>
        <v/>
      </c>
      <c r="C435" s="59" t="str">
        <f t="shared" si="171"/>
        <v/>
      </c>
      <c r="D435" s="59"/>
      <c r="E435" s="895">
        <v>0</v>
      </c>
      <c r="F435" s="16" t="str">
        <f t="shared" si="167"/>
        <v/>
      </c>
      <c r="G435" s="61" t="str">
        <f t="shared" si="169"/>
        <v/>
      </c>
      <c r="H435" s="62"/>
    </row>
    <row r="436" spans="2:8">
      <c r="B436" s="118" t="str">
        <f t="shared" ref="B436:C436" si="172">B414</f>
        <v/>
      </c>
      <c r="C436" s="59" t="str">
        <f t="shared" si="172"/>
        <v/>
      </c>
      <c r="D436" s="59"/>
      <c r="E436" s="895">
        <v>0</v>
      </c>
      <c r="F436" s="16" t="str">
        <f t="shared" si="167"/>
        <v/>
      </c>
      <c r="G436" s="61" t="str">
        <f t="shared" si="169"/>
        <v/>
      </c>
      <c r="H436" s="62"/>
    </row>
    <row r="437" spans="2:8">
      <c r="B437" s="118" t="str">
        <f t="shared" ref="B437:C437" si="173">B415</f>
        <v/>
      </c>
      <c r="C437" s="59" t="str">
        <f t="shared" si="173"/>
        <v/>
      </c>
      <c r="D437" s="59"/>
      <c r="E437" s="895">
        <v>0</v>
      </c>
      <c r="F437" s="16" t="str">
        <f t="shared" si="167"/>
        <v/>
      </c>
      <c r="G437" s="61" t="str">
        <f t="shared" si="169"/>
        <v/>
      </c>
      <c r="H437" s="62"/>
    </row>
    <row r="438" spans="2:8">
      <c r="B438" s="118" t="str">
        <f t="shared" ref="B438:C438" si="174">B416</f>
        <v/>
      </c>
      <c r="C438" s="59" t="str">
        <f t="shared" si="174"/>
        <v/>
      </c>
      <c r="D438" s="59"/>
      <c r="E438" s="895">
        <v>0</v>
      </c>
      <c r="F438" s="16" t="str">
        <f t="shared" si="167"/>
        <v/>
      </c>
      <c r="G438" s="61" t="str">
        <f t="shared" si="169"/>
        <v/>
      </c>
      <c r="H438" s="62"/>
    </row>
    <row r="439" spans="2:8">
      <c r="B439" s="118" t="str">
        <f t="shared" ref="B439:C439" si="175">B417</f>
        <v/>
      </c>
      <c r="C439" s="59" t="str">
        <f t="shared" si="175"/>
        <v/>
      </c>
      <c r="D439" s="59"/>
      <c r="E439" s="895">
        <v>0</v>
      </c>
      <c r="F439" s="16" t="str">
        <f t="shared" si="167"/>
        <v/>
      </c>
      <c r="G439" s="61" t="str">
        <f t="shared" si="169"/>
        <v/>
      </c>
      <c r="H439" s="62"/>
    </row>
    <row r="440" spans="2:8" hidden="1">
      <c r="B440" s="118"/>
      <c r="C440" s="59"/>
      <c r="D440" s="59"/>
      <c r="E440" s="895"/>
      <c r="F440" s="16"/>
      <c r="G440" s="61"/>
      <c r="H440" s="62"/>
    </row>
    <row r="441" spans="2:8" hidden="1">
      <c r="B441" s="118"/>
      <c r="C441" s="59"/>
      <c r="D441" s="59"/>
      <c r="E441" s="895"/>
      <c r="F441" s="16"/>
      <c r="G441" s="61"/>
      <c r="H441" s="62"/>
    </row>
    <row r="442" spans="2:8" hidden="1">
      <c r="B442" s="118"/>
      <c r="C442" s="59"/>
      <c r="D442" s="59"/>
      <c r="E442" s="895"/>
      <c r="F442" s="16"/>
      <c r="G442" s="61"/>
      <c r="H442" s="62"/>
    </row>
    <row r="443" spans="2:8" hidden="1">
      <c r="B443" s="118"/>
      <c r="C443" s="59"/>
      <c r="D443" s="59"/>
      <c r="E443" s="895"/>
      <c r="F443" s="16"/>
      <c r="G443" s="61"/>
      <c r="H443" s="62"/>
    </row>
    <row r="444" spans="2:8" hidden="1">
      <c r="B444" s="118"/>
      <c r="C444" s="59"/>
      <c r="D444" s="59"/>
      <c r="E444" s="895"/>
      <c r="F444" s="16"/>
      <c r="G444" s="61"/>
      <c r="H444" s="62"/>
    </row>
    <row r="445" spans="2:8" hidden="1">
      <c r="B445" s="118"/>
      <c r="C445" s="59"/>
      <c r="D445" s="59"/>
      <c r="E445" s="895"/>
      <c r="F445" s="16"/>
      <c r="G445" s="61"/>
      <c r="H445" s="62"/>
    </row>
    <row r="446" spans="2:8" hidden="1">
      <c r="B446" s="118"/>
      <c r="C446" s="59"/>
      <c r="D446" s="59"/>
      <c r="E446" s="895"/>
      <c r="F446" s="16"/>
      <c r="G446" s="61"/>
      <c r="H446" s="62"/>
    </row>
    <row r="447" spans="2:8" hidden="1">
      <c r="B447" s="118"/>
      <c r="C447" s="59"/>
      <c r="D447" s="59"/>
      <c r="E447" s="895"/>
      <c r="F447" s="16"/>
      <c r="G447" s="61"/>
      <c r="H447" s="62"/>
    </row>
    <row r="448" spans="2:8" hidden="1">
      <c r="B448" s="118"/>
      <c r="C448" s="59"/>
      <c r="D448" s="59"/>
      <c r="E448" s="895"/>
      <c r="F448" s="16"/>
      <c r="G448" s="61"/>
      <c r="H448" s="62"/>
    </row>
    <row r="449" spans="2:8" hidden="1">
      <c r="B449" s="118"/>
      <c r="C449" s="59"/>
      <c r="D449" s="59"/>
      <c r="E449" s="895"/>
      <c r="F449" s="16"/>
      <c r="G449" s="61"/>
      <c r="H449" s="62"/>
    </row>
    <row r="450" spans="2:8" ht="15.75" thickBot="1">
      <c r="B450" s="118" t="str">
        <f t="shared" ref="B450:C450" si="176">B428</f>
        <v>OTHER</v>
      </c>
      <c r="C450" s="59" t="str">
        <f t="shared" si="176"/>
        <v>Various non-key personnel</v>
      </c>
      <c r="D450" s="5"/>
      <c r="E450" s="895">
        <v>0</v>
      </c>
      <c r="F450" s="16">
        <f>IF(B450="","",$F$429)</f>
        <v>2796</v>
      </c>
      <c r="G450" s="6">
        <f t="shared" si="165"/>
        <v>0</v>
      </c>
      <c r="H450" s="7"/>
    </row>
    <row r="451" spans="2:8">
      <c r="B451" s="19" t="s">
        <v>11</v>
      </c>
      <c r="C451" s="20"/>
      <c r="D451" s="21" t="s">
        <v>8</v>
      </c>
      <c r="E451" s="693">
        <f>SUM(E452:E472)</f>
        <v>0</v>
      </c>
      <c r="F451" s="22">
        <f>DATA!$B$9</f>
        <v>2403</v>
      </c>
      <c r="G451" s="23"/>
      <c r="H451" s="24">
        <f>E451*F451</f>
        <v>0</v>
      </c>
    </row>
    <row r="452" spans="2:8">
      <c r="B452" s="118" t="str">
        <f>B408</f>
        <v>PL</v>
      </c>
      <c r="C452" s="59" t="str">
        <f>C408</f>
        <v/>
      </c>
      <c r="D452" s="5"/>
      <c r="E452" s="895">
        <v>0</v>
      </c>
      <c r="F452" s="16">
        <f>IF(B452="","",$F$451)</f>
        <v>2403</v>
      </c>
      <c r="G452" s="6">
        <f>IF(B452="","",(F452*E452))</f>
        <v>0</v>
      </c>
      <c r="H452" s="7"/>
    </row>
    <row r="453" spans="2:8">
      <c r="B453" s="118" t="str">
        <f t="shared" ref="B453:C453" si="177">B409</f>
        <v>DS1</v>
      </c>
      <c r="C453" s="59" t="str">
        <f t="shared" si="177"/>
        <v/>
      </c>
      <c r="D453" s="5"/>
      <c r="E453" s="895">
        <v>0</v>
      </c>
      <c r="F453" s="16">
        <f>IF(B453="","",$F$451)</f>
        <v>2403</v>
      </c>
      <c r="G453" s="6">
        <f t="shared" ref="G453:G472" si="178">IF(B453="","",(F453*E453))</f>
        <v>0</v>
      </c>
      <c r="H453" s="7"/>
    </row>
    <row r="454" spans="2:8">
      <c r="B454" s="118" t="str">
        <f t="shared" ref="B454:C454" si="179">B410</f>
        <v>DS3</v>
      </c>
      <c r="C454" s="59" t="str">
        <f t="shared" si="179"/>
        <v/>
      </c>
      <c r="D454" s="5"/>
      <c r="E454" s="895">
        <v>0</v>
      </c>
      <c r="F454" s="16">
        <f t="shared" ref="F454:F461" si="180">IF(B454="","",$F$451)</f>
        <v>2403</v>
      </c>
      <c r="G454" s="6">
        <f t="shared" si="178"/>
        <v>0</v>
      </c>
      <c r="H454" s="7"/>
    </row>
    <row r="455" spans="2:8">
      <c r="B455" s="118" t="str">
        <f t="shared" ref="B455:C455" si="181">B411</f>
        <v/>
      </c>
      <c r="C455" s="59" t="str">
        <f t="shared" si="181"/>
        <v/>
      </c>
      <c r="D455" s="5"/>
      <c r="E455" s="895">
        <v>0</v>
      </c>
      <c r="F455" s="16" t="str">
        <f t="shared" si="180"/>
        <v/>
      </c>
      <c r="G455" s="6" t="str">
        <f t="shared" ref="G455:G461" si="182">IF(B455="","",(F455*E455))</f>
        <v/>
      </c>
      <c r="H455" s="7"/>
    </row>
    <row r="456" spans="2:8">
      <c r="B456" s="118" t="str">
        <f t="shared" ref="B456:C456" si="183">B412</f>
        <v/>
      </c>
      <c r="C456" s="59" t="str">
        <f t="shared" si="183"/>
        <v/>
      </c>
      <c r="D456" s="5"/>
      <c r="E456" s="895">
        <v>0</v>
      </c>
      <c r="F456" s="16" t="str">
        <f t="shared" si="180"/>
        <v/>
      </c>
      <c r="G456" s="6" t="str">
        <f t="shared" si="182"/>
        <v/>
      </c>
      <c r="H456" s="7"/>
    </row>
    <row r="457" spans="2:8">
      <c r="B457" s="118" t="str">
        <f t="shared" ref="B457:C457" si="184">B413</f>
        <v/>
      </c>
      <c r="C457" s="59" t="str">
        <f t="shared" si="184"/>
        <v/>
      </c>
      <c r="D457" s="5"/>
      <c r="E457" s="895">
        <v>0</v>
      </c>
      <c r="F457" s="16" t="str">
        <f t="shared" si="180"/>
        <v/>
      </c>
      <c r="G457" s="6" t="str">
        <f t="shared" si="182"/>
        <v/>
      </c>
      <c r="H457" s="7"/>
    </row>
    <row r="458" spans="2:8">
      <c r="B458" s="118" t="str">
        <f t="shared" ref="B458:C458" si="185">B414</f>
        <v/>
      </c>
      <c r="C458" s="59" t="str">
        <f t="shared" si="185"/>
        <v/>
      </c>
      <c r="D458" s="5"/>
      <c r="E458" s="895">
        <v>0</v>
      </c>
      <c r="F458" s="16" t="str">
        <f t="shared" si="180"/>
        <v/>
      </c>
      <c r="G458" s="6" t="str">
        <f t="shared" si="182"/>
        <v/>
      </c>
      <c r="H458" s="7"/>
    </row>
    <row r="459" spans="2:8">
      <c r="B459" s="118" t="str">
        <f t="shared" ref="B459:C459" si="186">B415</f>
        <v/>
      </c>
      <c r="C459" s="59" t="str">
        <f t="shared" si="186"/>
        <v/>
      </c>
      <c r="D459" s="5"/>
      <c r="E459" s="895">
        <v>0</v>
      </c>
      <c r="F459" s="16" t="str">
        <f t="shared" si="180"/>
        <v/>
      </c>
      <c r="G459" s="6" t="str">
        <f t="shared" si="182"/>
        <v/>
      </c>
      <c r="H459" s="7"/>
    </row>
    <row r="460" spans="2:8">
      <c r="B460" s="118" t="str">
        <f t="shared" ref="B460:C460" si="187">B416</f>
        <v/>
      </c>
      <c r="C460" s="59" t="str">
        <f t="shared" si="187"/>
        <v/>
      </c>
      <c r="D460" s="5"/>
      <c r="E460" s="895">
        <v>0</v>
      </c>
      <c r="F460" s="16" t="str">
        <f t="shared" si="180"/>
        <v/>
      </c>
      <c r="G460" s="6" t="str">
        <f t="shared" si="182"/>
        <v/>
      </c>
      <c r="H460" s="7"/>
    </row>
    <row r="461" spans="2:8">
      <c r="B461" s="118" t="str">
        <f t="shared" ref="B461:C461" si="188">B417</f>
        <v/>
      </c>
      <c r="C461" s="59" t="str">
        <f t="shared" si="188"/>
        <v/>
      </c>
      <c r="D461" s="5"/>
      <c r="E461" s="895">
        <v>0</v>
      </c>
      <c r="F461" s="16" t="str">
        <f t="shared" si="180"/>
        <v/>
      </c>
      <c r="G461" s="6" t="str">
        <f t="shared" si="182"/>
        <v/>
      </c>
      <c r="H461" s="7"/>
    </row>
    <row r="462" spans="2:8" hidden="1">
      <c r="B462" s="118"/>
      <c r="C462" s="59"/>
      <c r="D462" s="5"/>
      <c r="E462" s="895"/>
      <c r="F462" s="16"/>
      <c r="G462" s="6"/>
      <c r="H462" s="7"/>
    </row>
    <row r="463" spans="2:8" hidden="1">
      <c r="B463" s="118"/>
      <c r="C463" s="59"/>
      <c r="D463" s="5"/>
      <c r="E463" s="895"/>
      <c r="F463" s="16"/>
      <c r="G463" s="6"/>
      <c r="H463" s="7"/>
    </row>
    <row r="464" spans="2:8" hidden="1">
      <c r="B464" s="118"/>
      <c r="C464" s="59"/>
      <c r="D464" s="5"/>
      <c r="E464" s="895"/>
      <c r="F464" s="16"/>
      <c r="G464" s="6"/>
      <c r="H464" s="7"/>
    </row>
    <row r="465" spans="2:8" hidden="1">
      <c r="B465" s="118"/>
      <c r="C465" s="59"/>
      <c r="D465" s="5"/>
      <c r="E465" s="895"/>
      <c r="F465" s="16"/>
      <c r="G465" s="6"/>
      <c r="H465" s="7"/>
    </row>
    <row r="466" spans="2:8" hidden="1">
      <c r="B466" s="118"/>
      <c r="C466" s="59"/>
      <c r="D466" s="5"/>
      <c r="E466" s="895"/>
      <c r="F466" s="16"/>
      <c r="G466" s="6"/>
      <c r="H466" s="7"/>
    </row>
    <row r="467" spans="2:8" hidden="1">
      <c r="B467" s="118"/>
      <c r="C467" s="59"/>
      <c r="D467" s="5"/>
      <c r="E467" s="895"/>
      <c r="F467" s="16"/>
      <c r="G467" s="6"/>
      <c r="H467" s="7"/>
    </row>
    <row r="468" spans="2:8" hidden="1">
      <c r="B468" s="118"/>
      <c r="C468" s="59"/>
      <c r="D468" s="5"/>
      <c r="E468" s="895"/>
      <c r="F468" s="16"/>
      <c r="G468" s="6"/>
      <c r="H468" s="7"/>
    </row>
    <row r="469" spans="2:8" hidden="1">
      <c r="B469" s="118"/>
      <c r="C469" s="59"/>
      <c r="D469" s="5"/>
      <c r="E469" s="895"/>
      <c r="F469" s="16"/>
      <c r="G469" s="6"/>
      <c r="H469" s="7"/>
    </row>
    <row r="470" spans="2:8" hidden="1">
      <c r="B470" s="118"/>
      <c r="C470" s="59"/>
      <c r="D470" s="5"/>
      <c r="E470" s="895"/>
      <c r="F470" s="16"/>
      <c r="G470" s="6"/>
      <c r="H470" s="7"/>
    </row>
    <row r="471" spans="2:8" hidden="1">
      <c r="B471" s="118"/>
      <c r="C471" s="59"/>
      <c r="D471" s="5"/>
      <c r="E471" s="895"/>
      <c r="F471" s="16"/>
      <c r="G471" s="6"/>
      <c r="H471" s="7"/>
    </row>
    <row r="472" spans="2:8" ht="15.75" thickBot="1">
      <c r="B472" s="119" t="str">
        <f>B428</f>
        <v>OTHER</v>
      </c>
      <c r="C472" s="63" t="str">
        <f>C428</f>
        <v>Various non-key personnel</v>
      </c>
      <c r="D472" s="5"/>
      <c r="E472" s="895">
        <v>0</v>
      </c>
      <c r="F472" s="16">
        <f>IF(B472="","",$F$451)</f>
        <v>2403</v>
      </c>
      <c r="G472" s="6">
        <f t="shared" si="178"/>
        <v>0</v>
      </c>
      <c r="H472" s="7"/>
    </row>
    <row r="473" spans="2:8">
      <c r="B473" s="19" t="s">
        <v>12</v>
      </c>
      <c r="C473" s="20"/>
      <c r="D473" s="21" t="s">
        <v>8</v>
      </c>
      <c r="E473" s="693">
        <f>SUM(E474:E494)</f>
        <v>0</v>
      </c>
      <c r="F473" s="22">
        <f>DATA!$B$10</f>
        <v>1167</v>
      </c>
      <c r="G473" s="23"/>
      <c r="H473" s="24">
        <f>E473*F473</f>
        <v>0</v>
      </c>
    </row>
    <row r="474" spans="2:8">
      <c r="B474" s="118" t="str">
        <f>B408</f>
        <v>PL</v>
      </c>
      <c r="C474" s="59" t="str">
        <f>C408</f>
        <v/>
      </c>
      <c r="D474" s="5"/>
      <c r="E474" s="895">
        <v>0</v>
      </c>
      <c r="F474" s="16">
        <f>IF(B474="","",$F$473)</f>
        <v>1167</v>
      </c>
      <c r="G474" s="6">
        <f>IF(B474="","",(F474*E474))</f>
        <v>0</v>
      </c>
      <c r="H474" s="7"/>
    </row>
    <row r="475" spans="2:8">
      <c r="B475" s="118" t="str">
        <f t="shared" ref="B475:C475" si="189">B409</f>
        <v>DS1</v>
      </c>
      <c r="C475" s="59" t="str">
        <f t="shared" si="189"/>
        <v/>
      </c>
      <c r="D475" s="5"/>
      <c r="E475" s="895">
        <v>0</v>
      </c>
      <c r="F475" s="16">
        <f>IF(B475="","",$F$473)</f>
        <v>1167</v>
      </c>
      <c r="G475" s="6">
        <f t="shared" ref="G475:G494" si="190">IF(B475="","",(F475*E475))</f>
        <v>0</v>
      </c>
      <c r="H475" s="7"/>
    </row>
    <row r="476" spans="2:8">
      <c r="B476" s="118" t="str">
        <f t="shared" ref="B476:C476" si="191">B410</f>
        <v>DS3</v>
      </c>
      <c r="C476" s="59" t="str">
        <f t="shared" si="191"/>
        <v/>
      </c>
      <c r="D476" s="5"/>
      <c r="E476" s="895">
        <v>0</v>
      </c>
      <c r="F476" s="16">
        <f t="shared" ref="F476:F483" si="192">IF(B476="","",$F$473)</f>
        <v>1167</v>
      </c>
      <c r="G476" s="6">
        <f t="shared" si="190"/>
        <v>0</v>
      </c>
      <c r="H476" s="7"/>
    </row>
    <row r="477" spans="2:8">
      <c r="B477" s="118" t="str">
        <f t="shared" ref="B477:C477" si="193">B411</f>
        <v/>
      </c>
      <c r="C477" s="59" t="str">
        <f t="shared" si="193"/>
        <v/>
      </c>
      <c r="D477" s="5"/>
      <c r="E477" s="895">
        <v>0</v>
      </c>
      <c r="F477" s="16" t="str">
        <f t="shared" si="192"/>
        <v/>
      </c>
      <c r="G477" s="6" t="str">
        <f t="shared" ref="G477:G483" si="194">IF(B477="","",(F477*E477))</f>
        <v/>
      </c>
      <c r="H477" s="7"/>
    </row>
    <row r="478" spans="2:8">
      <c r="B478" s="118" t="str">
        <f t="shared" ref="B478:C478" si="195">B412</f>
        <v/>
      </c>
      <c r="C478" s="59" t="str">
        <f t="shared" si="195"/>
        <v/>
      </c>
      <c r="D478" s="5"/>
      <c r="E478" s="895">
        <v>0</v>
      </c>
      <c r="F478" s="16" t="str">
        <f t="shared" si="192"/>
        <v/>
      </c>
      <c r="G478" s="6" t="str">
        <f t="shared" si="194"/>
        <v/>
      </c>
      <c r="H478" s="7"/>
    </row>
    <row r="479" spans="2:8">
      <c r="B479" s="118" t="str">
        <f t="shared" ref="B479:C479" si="196">B413</f>
        <v/>
      </c>
      <c r="C479" s="59" t="str">
        <f t="shared" si="196"/>
        <v/>
      </c>
      <c r="D479" s="5"/>
      <c r="E479" s="895">
        <v>0</v>
      </c>
      <c r="F479" s="16" t="str">
        <f t="shared" si="192"/>
        <v/>
      </c>
      <c r="G479" s="6" t="str">
        <f t="shared" si="194"/>
        <v/>
      </c>
      <c r="H479" s="7"/>
    </row>
    <row r="480" spans="2:8">
      <c r="B480" s="118" t="str">
        <f t="shared" ref="B480:C480" si="197">B414</f>
        <v/>
      </c>
      <c r="C480" s="59" t="str">
        <f t="shared" si="197"/>
        <v/>
      </c>
      <c r="D480" s="5"/>
      <c r="E480" s="895">
        <v>0</v>
      </c>
      <c r="F480" s="16" t="str">
        <f t="shared" si="192"/>
        <v/>
      </c>
      <c r="G480" s="6" t="str">
        <f t="shared" si="194"/>
        <v/>
      </c>
      <c r="H480" s="7"/>
    </row>
    <row r="481" spans="2:8">
      <c r="B481" s="118" t="str">
        <f t="shared" ref="B481:C481" si="198">B415</f>
        <v/>
      </c>
      <c r="C481" s="59" t="str">
        <f t="shared" si="198"/>
        <v/>
      </c>
      <c r="D481" s="5"/>
      <c r="E481" s="895">
        <v>0</v>
      </c>
      <c r="F481" s="16" t="str">
        <f t="shared" si="192"/>
        <v/>
      </c>
      <c r="G481" s="6" t="str">
        <f t="shared" si="194"/>
        <v/>
      </c>
      <c r="H481" s="7"/>
    </row>
    <row r="482" spans="2:8">
      <c r="B482" s="118" t="str">
        <f t="shared" ref="B482:C482" si="199">B416</f>
        <v/>
      </c>
      <c r="C482" s="59" t="str">
        <f t="shared" si="199"/>
        <v/>
      </c>
      <c r="D482" s="5"/>
      <c r="E482" s="895">
        <v>0</v>
      </c>
      <c r="F482" s="16" t="str">
        <f t="shared" si="192"/>
        <v/>
      </c>
      <c r="G482" s="6" t="str">
        <f t="shared" si="194"/>
        <v/>
      </c>
      <c r="H482" s="7"/>
    </row>
    <row r="483" spans="2:8">
      <c r="B483" s="118" t="str">
        <f t="shared" ref="B483:C483" si="200">B417</f>
        <v/>
      </c>
      <c r="C483" s="59" t="str">
        <f t="shared" si="200"/>
        <v/>
      </c>
      <c r="D483" s="5"/>
      <c r="E483" s="895">
        <v>0</v>
      </c>
      <c r="F483" s="16" t="str">
        <f t="shared" si="192"/>
        <v/>
      </c>
      <c r="G483" s="6" t="str">
        <f t="shared" si="194"/>
        <v/>
      </c>
      <c r="H483" s="7"/>
    </row>
    <row r="484" spans="2:8" hidden="1">
      <c r="B484" s="118"/>
      <c r="C484" s="59"/>
      <c r="D484" s="5"/>
      <c r="E484" s="895"/>
      <c r="F484" s="16"/>
      <c r="G484" s="6"/>
      <c r="H484" s="7"/>
    </row>
    <row r="485" spans="2:8" hidden="1">
      <c r="B485" s="118"/>
      <c r="C485" s="59"/>
      <c r="D485" s="5"/>
      <c r="E485" s="895"/>
      <c r="F485" s="16"/>
      <c r="G485" s="6"/>
      <c r="H485" s="7"/>
    </row>
    <row r="486" spans="2:8" hidden="1">
      <c r="B486" s="118"/>
      <c r="C486" s="59"/>
      <c r="D486" s="5"/>
      <c r="E486" s="895"/>
      <c r="F486" s="16"/>
      <c r="G486" s="6"/>
      <c r="H486" s="7"/>
    </row>
    <row r="487" spans="2:8" hidden="1">
      <c r="B487" s="118"/>
      <c r="C487" s="59"/>
      <c r="D487" s="5"/>
      <c r="E487" s="895"/>
      <c r="F487" s="16"/>
      <c r="G487" s="6"/>
      <c r="H487" s="7"/>
    </row>
    <row r="488" spans="2:8" hidden="1">
      <c r="B488" s="118"/>
      <c r="C488" s="59"/>
      <c r="D488" s="5"/>
      <c r="E488" s="895"/>
      <c r="F488" s="16"/>
      <c r="G488" s="6"/>
      <c r="H488" s="7"/>
    </row>
    <row r="489" spans="2:8" hidden="1">
      <c r="B489" s="118"/>
      <c r="C489" s="59"/>
      <c r="D489" s="5"/>
      <c r="E489" s="895"/>
      <c r="F489" s="16"/>
      <c r="G489" s="6"/>
      <c r="H489" s="7"/>
    </row>
    <row r="490" spans="2:8" hidden="1">
      <c r="B490" s="118"/>
      <c r="C490" s="59"/>
      <c r="D490" s="5"/>
      <c r="E490" s="895"/>
      <c r="F490" s="16"/>
      <c r="G490" s="6"/>
      <c r="H490" s="7"/>
    </row>
    <row r="491" spans="2:8" hidden="1">
      <c r="B491" s="118"/>
      <c r="C491" s="59"/>
      <c r="D491" s="5"/>
      <c r="E491" s="895"/>
      <c r="F491" s="16"/>
      <c r="G491" s="6"/>
      <c r="H491" s="7"/>
    </row>
    <row r="492" spans="2:8" hidden="1">
      <c r="B492" s="118"/>
      <c r="C492" s="59"/>
      <c r="D492" s="5"/>
      <c r="E492" s="895"/>
      <c r="F492" s="16"/>
      <c r="G492" s="6"/>
      <c r="H492" s="7"/>
    </row>
    <row r="493" spans="2:8" hidden="1">
      <c r="B493" s="118"/>
      <c r="C493" s="59"/>
      <c r="D493" s="5"/>
      <c r="E493" s="895"/>
      <c r="F493" s="16"/>
      <c r="G493" s="6"/>
      <c r="H493" s="7"/>
    </row>
    <row r="494" spans="2:8" ht="15.75" thickBot="1">
      <c r="B494" s="119" t="str">
        <f t="shared" ref="B494:C494" si="201">B428</f>
        <v>OTHER</v>
      </c>
      <c r="C494" s="63" t="str">
        <f t="shared" si="201"/>
        <v>Various non-key personnel</v>
      </c>
      <c r="D494" s="8"/>
      <c r="E494" s="896">
        <v>0</v>
      </c>
      <c r="F494" s="17">
        <f>IF(B494="","",$F$473)</f>
        <v>1167</v>
      </c>
      <c r="G494" s="9">
        <f t="shared" si="190"/>
        <v>0</v>
      </c>
      <c r="H494" s="10"/>
    </row>
    <row r="496" spans="2:8">
      <c r="B496" s="1066" t="s">
        <v>989</v>
      </c>
      <c r="C496" s="1" t="s">
        <v>990</v>
      </c>
    </row>
  </sheetData>
  <sheetProtection algorithmName="SHA-512" hashValue="3CUc/rOOa5/GjEtw/LQGlZFrkrfBcBMbtlHjGPFSsIt/xkFD2+pqk9aQmJKiRw4SlUGlxKRHWT7/z6astSZEVw==" saltValue="jLVs0jotseOAfvZaOz8cvg==" spinCount="100000" sheet="1" objects="1" scenarios="1"/>
  <conditionalFormatting sqref="B8:B28 B30:B50 B52:B72 B74:B94 B108:B128">
    <cfRule type="containsBlanks" dxfId="13467" priority="5270">
      <formula>LEN(TRIM(B8))=0</formula>
    </cfRule>
  </conditionalFormatting>
  <conditionalFormatting sqref="C8:C27 C108:C128">
    <cfRule type="expression" dxfId="13466" priority="5269">
      <formula>B8=""</formula>
    </cfRule>
  </conditionalFormatting>
  <conditionalFormatting sqref="C9:C27">
    <cfRule type="expression" dxfId="13465" priority="5268">
      <formula>B9=""</formula>
    </cfRule>
  </conditionalFormatting>
  <conditionalFormatting sqref="C10:C20">
    <cfRule type="expression" dxfId="13464" priority="5267">
      <formula>B10=""</formula>
    </cfRule>
  </conditionalFormatting>
  <conditionalFormatting sqref="C21">
    <cfRule type="expression" dxfId="13463" priority="5266">
      <formula>B21=""</formula>
    </cfRule>
  </conditionalFormatting>
  <conditionalFormatting sqref="C22">
    <cfRule type="expression" dxfId="13462" priority="5265">
      <formula>B22=""</formula>
    </cfRule>
  </conditionalFormatting>
  <conditionalFormatting sqref="C23">
    <cfRule type="expression" dxfId="13461" priority="5264">
      <formula>B23=""</formula>
    </cfRule>
  </conditionalFormatting>
  <conditionalFormatting sqref="C24">
    <cfRule type="expression" dxfId="13460" priority="5263">
      <formula>B24=""</formula>
    </cfRule>
  </conditionalFormatting>
  <conditionalFormatting sqref="C25">
    <cfRule type="expression" dxfId="13459" priority="5262">
      <formula>B25=""</formula>
    </cfRule>
  </conditionalFormatting>
  <conditionalFormatting sqref="C26">
    <cfRule type="expression" dxfId="13458" priority="5261">
      <formula>B26=""</formula>
    </cfRule>
  </conditionalFormatting>
  <conditionalFormatting sqref="C27">
    <cfRule type="expression" dxfId="13457" priority="5260">
      <formula>B27=""</formula>
    </cfRule>
  </conditionalFormatting>
  <conditionalFormatting sqref="C28">
    <cfRule type="expression" dxfId="13456" priority="5259">
      <formula>B28=""</formula>
    </cfRule>
  </conditionalFormatting>
  <conditionalFormatting sqref="D8 D110:D121">
    <cfRule type="expression" dxfId="13455" priority="5258">
      <formula>B8=""</formula>
    </cfRule>
  </conditionalFormatting>
  <conditionalFormatting sqref="D9">
    <cfRule type="expression" dxfId="13454" priority="5257">
      <formula>B9=""</formula>
    </cfRule>
  </conditionalFormatting>
  <conditionalFormatting sqref="D10:D20">
    <cfRule type="expression" dxfId="13453" priority="5256">
      <formula>B10=""</formula>
    </cfRule>
  </conditionalFormatting>
  <conditionalFormatting sqref="D21">
    <cfRule type="expression" dxfId="13452" priority="5255">
      <formula>B21=""</formula>
    </cfRule>
  </conditionalFormatting>
  <conditionalFormatting sqref="D22">
    <cfRule type="expression" dxfId="13451" priority="5254">
      <formula>B22=""</formula>
    </cfRule>
  </conditionalFormatting>
  <conditionalFormatting sqref="D23">
    <cfRule type="expression" dxfId="13450" priority="5253">
      <formula>B23=""</formula>
    </cfRule>
  </conditionalFormatting>
  <conditionalFormatting sqref="D24">
    <cfRule type="expression" dxfId="13449" priority="5252">
      <formula>B24=""</formula>
    </cfRule>
  </conditionalFormatting>
  <conditionalFormatting sqref="D25">
    <cfRule type="expression" dxfId="13448" priority="5251">
      <formula>B25=""</formula>
    </cfRule>
  </conditionalFormatting>
  <conditionalFormatting sqref="D26">
    <cfRule type="expression" dxfId="13447" priority="5250">
      <formula>B26=""</formula>
    </cfRule>
  </conditionalFormatting>
  <conditionalFormatting sqref="D27">
    <cfRule type="expression" dxfId="13446" priority="5249">
      <formula>B27=""</formula>
    </cfRule>
  </conditionalFormatting>
  <conditionalFormatting sqref="D28">
    <cfRule type="expression" dxfId="13445" priority="5248">
      <formula>B28=""</formula>
    </cfRule>
  </conditionalFormatting>
  <conditionalFormatting sqref="E8 E108:E128">
    <cfRule type="expression" dxfId="13444" priority="5247">
      <formula>B8=""</formula>
    </cfRule>
  </conditionalFormatting>
  <conditionalFormatting sqref="E9 E110:E124 E126 E128">
    <cfRule type="expression" dxfId="13443" priority="5246">
      <formula>B9=""</formula>
    </cfRule>
  </conditionalFormatting>
  <conditionalFormatting sqref="E10:E20">
    <cfRule type="expression" dxfId="13442" priority="5245">
      <formula>B10=""</formula>
    </cfRule>
  </conditionalFormatting>
  <conditionalFormatting sqref="E21:E23">
    <cfRule type="expression" dxfId="13441" priority="5244">
      <formula>B21=""</formula>
    </cfRule>
  </conditionalFormatting>
  <conditionalFormatting sqref="E22">
    <cfRule type="expression" dxfId="13440" priority="5243">
      <formula>B22=""</formula>
    </cfRule>
  </conditionalFormatting>
  <conditionalFormatting sqref="E23">
    <cfRule type="expression" dxfId="13439" priority="5242">
      <formula>B23=""</formula>
    </cfRule>
  </conditionalFormatting>
  <conditionalFormatting sqref="E24">
    <cfRule type="expression" dxfId="13438" priority="5241">
      <formula>B24=""</formula>
    </cfRule>
  </conditionalFormatting>
  <conditionalFormatting sqref="E25">
    <cfRule type="expression" dxfId="13437" priority="5240">
      <formula>B25=""</formula>
    </cfRule>
  </conditionalFormatting>
  <conditionalFormatting sqref="E26">
    <cfRule type="expression" dxfId="13436" priority="5239">
      <formula>B26=""</formula>
    </cfRule>
  </conditionalFormatting>
  <conditionalFormatting sqref="E27:E28">
    <cfRule type="expression" dxfId="13435" priority="5238">
      <formula>B27=""</formula>
    </cfRule>
  </conditionalFormatting>
  <conditionalFormatting sqref="E28">
    <cfRule type="expression" dxfId="13434" priority="5237">
      <formula>B28=""</formula>
    </cfRule>
  </conditionalFormatting>
  <conditionalFormatting sqref="F8:F28 F110:F122 F124 F126 F128">
    <cfRule type="expression" dxfId="13433" priority="5236">
      <formula>B8=""</formula>
    </cfRule>
  </conditionalFormatting>
  <conditionalFormatting sqref="F9">
    <cfRule type="expression" dxfId="13432" priority="5235">
      <formula>B9=""</formula>
    </cfRule>
  </conditionalFormatting>
  <conditionalFormatting sqref="F10:F20">
    <cfRule type="expression" dxfId="13431" priority="5234">
      <formula>B10=""</formula>
    </cfRule>
  </conditionalFormatting>
  <conditionalFormatting sqref="F21">
    <cfRule type="expression" dxfId="13430" priority="5233">
      <formula>B21=""</formula>
    </cfRule>
  </conditionalFormatting>
  <conditionalFormatting sqref="F22">
    <cfRule type="expression" dxfId="13429" priority="5232">
      <formula>B22=""</formula>
    </cfRule>
  </conditionalFormatting>
  <conditionalFormatting sqref="F23">
    <cfRule type="expression" dxfId="13428" priority="5231">
      <formula>B23=""</formula>
    </cfRule>
  </conditionalFormatting>
  <conditionalFormatting sqref="F24">
    <cfRule type="expression" dxfId="13427" priority="5230">
      <formula>B24=""</formula>
    </cfRule>
  </conditionalFormatting>
  <conditionalFormatting sqref="F25">
    <cfRule type="expression" dxfId="13426" priority="5229">
      <formula>B25=""</formula>
    </cfRule>
  </conditionalFormatting>
  <conditionalFormatting sqref="F26">
    <cfRule type="expression" dxfId="13425" priority="5228">
      <formula>B26=""</formula>
    </cfRule>
  </conditionalFormatting>
  <conditionalFormatting sqref="F27:F28">
    <cfRule type="expression" dxfId="13424" priority="5227">
      <formula>B27=""</formula>
    </cfRule>
  </conditionalFormatting>
  <conditionalFormatting sqref="F28">
    <cfRule type="expression" dxfId="13423" priority="5226">
      <formula>B28=""</formula>
    </cfRule>
  </conditionalFormatting>
  <conditionalFormatting sqref="E9">
    <cfRule type="expression" dxfId="13422" priority="5225">
      <formula>B9=""</formula>
    </cfRule>
  </conditionalFormatting>
  <conditionalFormatting sqref="E10:E20">
    <cfRule type="expression" dxfId="13421" priority="5224">
      <formula>B10=""</formula>
    </cfRule>
  </conditionalFormatting>
  <conditionalFormatting sqref="E21:E23">
    <cfRule type="expression" dxfId="13420" priority="5223">
      <formula>B21=""</formula>
    </cfRule>
  </conditionalFormatting>
  <conditionalFormatting sqref="E22">
    <cfRule type="expression" dxfId="13419" priority="5222">
      <formula>B22=""</formula>
    </cfRule>
  </conditionalFormatting>
  <conditionalFormatting sqref="E23">
    <cfRule type="expression" dxfId="13418" priority="5221">
      <formula>B23=""</formula>
    </cfRule>
  </conditionalFormatting>
  <conditionalFormatting sqref="E24">
    <cfRule type="expression" dxfId="13417" priority="5220">
      <formula>B24=""</formula>
    </cfRule>
  </conditionalFormatting>
  <conditionalFormatting sqref="E25">
    <cfRule type="expression" dxfId="13416" priority="5219">
      <formula>B25=""</formula>
    </cfRule>
  </conditionalFormatting>
  <conditionalFormatting sqref="E26">
    <cfRule type="expression" dxfId="13415" priority="5218">
      <formula>B26=""</formula>
    </cfRule>
  </conditionalFormatting>
  <conditionalFormatting sqref="E27:E28">
    <cfRule type="expression" dxfId="13414" priority="5217">
      <formula>B27=""</formula>
    </cfRule>
  </conditionalFormatting>
  <conditionalFormatting sqref="E28">
    <cfRule type="expression" dxfId="13413" priority="5216">
      <formula>B28=""</formula>
    </cfRule>
  </conditionalFormatting>
  <conditionalFormatting sqref="G8 G108:G128">
    <cfRule type="expression" dxfId="13412" priority="5215">
      <formula>B8=""</formula>
    </cfRule>
  </conditionalFormatting>
  <conditionalFormatting sqref="G9">
    <cfRule type="expression" dxfId="13411" priority="5214">
      <formula>B9=""</formula>
    </cfRule>
  </conditionalFormatting>
  <conditionalFormatting sqref="G10:G20">
    <cfRule type="expression" dxfId="13410" priority="5213">
      <formula>B10=""</formula>
    </cfRule>
  </conditionalFormatting>
  <conditionalFormatting sqref="G21">
    <cfRule type="expression" dxfId="13409" priority="5212">
      <formula>B21=""</formula>
    </cfRule>
  </conditionalFormatting>
  <conditionalFormatting sqref="G22">
    <cfRule type="expression" dxfId="13408" priority="5211">
      <formula>B22=""</formula>
    </cfRule>
  </conditionalFormatting>
  <conditionalFormatting sqref="G23">
    <cfRule type="expression" dxfId="13407" priority="5210">
      <formula>B23=""</formula>
    </cfRule>
  </conditionalFormatting>
  <conditionalFormatting sqref="G24">
    <cfRule type="expression" dxfId="13406" priority="5209">
      <formula>B24=""</formula>
    </cfRule>
  </conditionalFormatting>
  <conditionalFormatting sqref="G25">
    <cfRule type="expression" dxfId="13405" priority="5208">
      <formula>B25=""</formula>
    </cfRule>
  </conditionalFormatting>
  <conditionalFormatting sqref="G26">
    <cfRule type="expression" dxfId="13404" priority="5207">
      <formula>B26=""</formula>
    </cfRule>
  </conditionalFormatting>
  <conditionalFormatting sqref="G27">
    <cfRule type="expression" dxfId="13403" priority="5206">
      <formula>B27=""</formula>
    </cfRule>
  </conditionalFormatting>
  <conditionalFormatting sqref="G28">
    <cfRule type="expression" dxfId="13402" priority="5205">
      <formula>B28=""</formula>
    </cfRule>
  </conditionalFormatting>
  <conditionalFormatting sqref="H8 H110:H122 H124 H126 H128">
    <cfRule type="expression" dxfId="13401" priority="5204">
      <formula>B8=""</formula>
    </cfRule>
  </conditionalFormatting>
  <conditionalFormatting sqref="H9">
    <cfRule type="expression" dxfId="13400" priority="5203">
      <formula>B9=""</formula>
    </cfRule>
  </conditionalFormatting>
  <conditionalFormatting sqref="H10:H20">
    <cfRule type="expression" dxfId="13399" priority="5202">
      <formula>B10=""</formula>
    </cfRule>
  </conditionalFormatting>
  <conditionalFormatting sqref="H21">
    <cfRule type="expression" dxfId="13398" priority="5201">
      <formula>B21=""</formula>
    </cfRule>
  </conditionalFormatting>
  <conditionalFormatting sqref="H22">
    <cfRule type="expression" dxfId="13397" priority="5200">
      <formula>B22=""</formula>
    </cfRule>
  </conditionalFormatting>
  <conditionalFormatting sqref="H23">
    <cfRule type="expression" dxfId="13396" priority="5199">
      <formula>B23=""</formula>
    </cfRule>
  </conditionalFormatting>
  <conditionalFormatting sqref="H24">
    <cfRule type="expression" dxfId="13395" priority="5198">
      <formula>B24=""</formula>
    </cfRule>
  </conditionalFormatting>
  <conditionalFormatting sqref="H25">
    <cfRule type="expression" dxfId="13394" priority="5197">
      <formula>B25=""</formula>
    </cfRule>
  </conditionalFormatting>
  <conditionalFormatting sqref="H26">
    <cfRule type="expression" dxfId="13393" priority="5196">
      <formula>B26=""</formula>
    </cfRule>
  </conditionalFormatting>
  <conditionalFormatting sqref="H27">
    <cfRule type="expression" dxfId="13392" priority="5195">
      <formula>B27=""</formula>
    </cfRule>
  </conditionalFormatting>
  <conditionalFormatting sqref="H28">
    <cfRule type="expression" dxfId="13391" priority="5194">
      <formula>B28=""</formula>
    </cfRule>
  </conditionalFormatting>
  <conditionalFormatting sqref="C30:C50">
    <cfRule type="expression" dxfId="13390" priority="5193">
      <formula>B30=""</formula>
    </cfRule>
  </conditionalFormatting>
  <conditionalFormatting sqref="C31 C33 C35 C37 C39 C41 C43 C45 C47 C49">
    <cfRule type="expression" dxfId="13389" priority="5192">
      <formula>B31=""</formula>
    </cfRule>
  </conditionalFormatting>
  <conditionalFormatting sqref="C32:C49">
    <cfRule type="expression" dxfId="13388" priority="5191">
      <formula>B32=""</formula>
    </cfRule>
  </conditionalFormatting>
  <conditionalFormatting sqref="C43">
    <cfRule type="expression" dxfId="13387" priority="5190">
      <formula>B43=""</formula>
    </cfRule>
  </conditionalFormatting>
  <conditionalFormatting sqref="C44">
    <cfRule type="expression" dxfId="13386" priority="5189">
      <formula>B44=""</formula>
    </cfRule>
  </conditionalFormatting>
  <conditionalFormatting sqref="C45">
    <cfRule type="expression" dxfId="13385" priority="5188">
      <formula>B45=""</formula>
    </cfRule>
  </conditionalFormatting>
  <conditionalFormatting sqref="C46">
    <cfRule type="expression" dxfId="13384" priority="5187">
      <formula>B46=""</formula>
    </cfRule>
  </conditionalFormatting>
  <conditionalFormatting sqref="C47">
    <cfRule type="expression" dxfId="13383" priority="5186">
      <formula>B47=""</formula>
    </cfRule>
  </conditionalFormatting>
  <conditionalFormatting sqref="C48">
    <cfRule type="expression" dxfId="13382" priority="5185">
      <formula>B48=""</formula>
    </cfRule>
  </conditionalFormatting>
  <conditionalFormatting sqref="C49">
    <cfRule type="expression" dxfId="13381" priority="5184">
      <formula>B49=""</formula>
    </cfRule>
  </conditionalFormatting>
  <conditionalFormatting sqref="C50">
    <cfRule type="expression" dxfId="13380" priority="5183">
      <formula>B50=""</formula>
    </cfRule>
  </conditionalFormatting>
  <conditionalFormatting sqref="D30">
    <cfRule type="expression" dxfId="13379" priority="5182">
      <formula>B30=""</formula>
    </cfRule>
  </conditionalFormatting>
  <conditionalFormatting sqref="D31 D33 D35 D37 D39 D41 D43 D45 D47 D49">
    <cfRule type="expression" dxfId="13378" priority="5181">
      <formula>B31=""</formula>
    </cfRule>
  </conditionalFormatting>
  <conditionalFormatting sqref="D32:D49">
    <cfRule type="expression" dxfId="13377" priority="5180">
      <formula>B32=""</formula>
    </cfRule>
  </conditionalFormatting>
  <conditionalFormatting sqref="D43">
    <cfRule type="expression" dxfId="13376" priority="5179">
      <formula>B43=""</formula>
    </cfRule>
  </conditionalFormatting>
  <conditionalFormatting sqref="D44">
    <cfRule type="expression" dxfId="13375" priority="5178">
      <formula>B44=""</formula>
    </cfRule>
  </conditionalFormatting>
  <conditionalFormatting sqref="D45">
    <cfRule type="expression" dxfId="13374" priority="5177">
      <formula>B45=""</formula>
    </cfRule>
  </conditionalFormatting>
  <conditionalFormatting sqref="D46">
    <cfRule type="expression" dxfId="13373" priority="5176">
      <formula>B46=""</formula>
    </cfRule>
  </conditionalFormatting>
  <conditionalFormatting sqref="D47">
    <cfRule type="expression" dxfId="13372" priority="5175">
      <formula>B47=""</formula>
    </cfRule>
  </conditionalFormatting>
  <conditionalFormatting sqref="D48">
    <cfRule type="expression" dxfId="13371" priority="5174">
      <formula>B48=""</formula>
    </cfRule>
  </conditionalFormatting>
  <conditionalFormatting sqref="D49">
    <cfRule type="expression" dxfId="13370" priority="5173">
      <formula>B49=""</formula>
    </cfRule>
  </conditionalFormatting>
  <conditionalFormatting sqref="D50">
    <cfRule type="expression" dxfId="13369" priority="5172">
      <formula>B50=""</formula>
    </cfRule>
  </conditionalFormatting>
  <conditionalFormatting sqref="E30">
    <cfRule type="expression" dxfId="13368" priority="5171">
      <formula>B30=""</formula>
    </cfRule>
  </conditionalFormatting>
  <conditionalFormatting sqref="E31 E33 E35 E37 E39 E41 E43 E45 E47 E49">
    <cfRule type="expression" dxfId="13367" priority="5170">
      <formula>B31=""</formula>
    </cfRule>
  </conditionalFormatting>
  <conditionalFormatting sqref="E32:E49">
    <cfRule type="expression" dxfId="13366" priority="5169">
      <formula>B32=""</formula>
    </cfRule>
  </conditionalFormatting>
  <conditionalFormatting sqref="E43">
    <cfRule type="expression" dxfId="13365" priority="5168">
      <formula>B43=""</formula>
    </cfRule>
  </conditionalFormatting>
  <conditionalFormatting sqref="E44">
    <cfRule type="expression" dxfId="13364" priority="5167">
      <formula>B44=""</formula>
    </cfRule>
  </conditionalFormatting>
  <conditionalFormatting sqref="E45">
    <cfRule type="expression" dxfId="13363" priority="5166">
      <formula>B45=""</formula>
    </cfRule>
  </conditionalFormatting>
  <conditionalFormatting sqref="E46">
    <cfRule type="expression" dxfId="13362" priority="5165">
      <formula>B46=""</formula>
    </cfRule>
  </conditionalFormatting>
  <conditionalFormatting sqref="E47">
    <cfRule type="expression" dxfId="13361" priority="5164">
      <formula>B47=""</formula>
    </cfRule>
  </conditionalFormatting>
  <conditionalFormatting sqref="E48">
    <cfRule type="expression" dxfId="13360" priority="5163">
      <formula>B48=""</formula>
    </cfRule>
  </conditionalFormatting>
  <conditionalFormatting sqref="E49:E50">
    <cfRule type="expression" dxfId="13359" priority="5162">
      <formula>B49=""</formula>
    </cfRule>
  </conditionalFormatting>
  <conditionalFormatting sqref="E50">
    <cfRule type="expression" dxfId="13358" priority="5161">
      <formula>B50=""</formula>
    </cfRule>
  </conditionalFormatting>
  <conditionalFormatting sqref="F30:F50">
    <cfRule type="expression" dxfId="13357" priority="5160">
      <formula>B30=""</formula>
    </cfRule>
  </conditionalFormatting>
  <conditionalFormatting sqref="F31 F33 F35 F37 F39 F41 F43 F45 F47 F49">
    <cfRule type="expression" dxfId="13356" priority="5159">
      <formula>B31=""</formula>
    </cfRule>
  </conditionalFormatting>
  <conditionalFormatting sqref="F32:F49">
    <cfRule type="expression" dxfId="13355" priority="5158">
      <formula>B32=""</formula>
    </cfRule>
  </conditionalFormatting>
  <conditionalFormatting sqref="F43">
    <cfRule type="expression" dxfId="13354" priority="5157">
      <formula>B43=""</formula>
    </cfRule>
  </conditionalFormatting>
  <conditionalFormatting sqref="F44">
    <cfRule type="expression" dxfId="13353" priority="5156">
      <formula>B44=""</formula>
    </cfRule>
  </conditionalFormatting>
  <conditionalFormatting sqref="F45">
    <cfRule type="expression" dxfId="13352" priority="5155">
      <formula>B45=""</formula>
    </cfRule>
  </conditionalFormatting>
  <conditionalFormatting sqref="F46">
    <cfRule type="expression" dxfId="13351" priority="5154">
      <formula>B46=""</formula>
    </cfRule>
  </conditionalFormatting>
  <conditionalFormatting sqref="F47">
    <cfRule type="expression" dxfId="13350" priority="5153">
      <formula>B47=""</formula>
    </cfRule>
  </conditionalFormatting>
  <conditionalFormatting sqref="F48">
    <cfRule type="expression" dxfId="13349" priority="5152">
      <formula>B48=""</formula>
    </cfRule>
  </conditionalFormatting>
  <conditionalFormatting sqref="F49">
    <cfRule type="expression" dxfId="13348" priority="5151">
      <formula>B49=""</formula>
    </cfRule>
  </conditionalFormatting>
  <conditionalFormatting sqref="F50">
    <cfRule type="expression" dxfId="13347" priority="5150">
      <formula>B50=""</formula>
    </cfRule>
  </conditionalFormatting>
  <conditionalFormatting sqref="E31 E33 E35 E37 E39 E41 E43 E45 E47 E49">
    <cfRule type="expression" dxfId="13346" priority="5149">
      <formula>B31=""</formula>
    </cfRule>
  </conditionalFormatting>
  <conditionalFormatting sqref="E32:E49">
    <cfRule type="expression" dxfId="13345" priority="5148">
      <formula>B32=""</formula>
    </cfRule>
  </conditionalFormatting>
  <conditionalFormatting sqref="E43">
    <cfRule type="expression" dxfId="13344" priority="5147">
      <formula>B43=""</formula>
    </cfRule>
  </conditionalFormatting>
  <conditionalFormatting sqref="E44">
    <cfRule type="expression" dxfId="13343" priority="5146">
      <formula>B44=""</formula>
    </cfRule>
  </conditionalFormatting>
  <conditionalFormatting sqref="E45">
    <cfRule type="expression" dxfId="13342" priority="5145">
      <formula>B45=""</formula>
    </cfRule>
  </conditionalFormatting>
  <conditionalFormatting sqref="E46">
    <cfRule type="expression" dxfId="13341" priority="5144">
      <formula>B46=""</formula>
    </cfRule>
  </conditionalFormatting>
  <conditionalFormatting sqref="E47">
    <cfRule type="expression" dxfId="13340" priority="5143">
      <formula>B47=""</formula>
    </cfRule>
  </conditionalFormatting>
  <conditionalFormatting sqref="E48">
    <cfRule type="expression" dxfId="13339" priority="5142">
      <formula>B48=""</formula>
    </cfRule>
  </conditionalFormatting>
  <conditionalFormatting sqref="E49:E50">
    <cfRule type="expression" dxfId="13338" priority="5141">
      <formula>B49=""</formula>
    </cfRule>
  </conditionalFormatting>
  <conditionalFormatting sqref="E50">
    <cfRule type="expression" dxfId="13337" priority="5140">
      <formula>B50=""</formula>
    </cfRule>
  </conditionalFormatting>
  <conditionalFormatting sqref="G30">
    <cfRule type="expression" dxfId="13336" priority="5139">
      <formula>B30=""</formula>
    </cfRule>
  </conditionalFormatting>
  <conditionalFormatting sqref="G31 G33 G35 G37 G39 G41 G43 G45 G47 G49">
    <cfRule type="expression" dxfId="13335" priority="5138">
      <formula>B31=""</formula>
    </cfRule>
  </conditionalFormatting>
  <conditionalFormatting sqref="G32:G49">
    <cfRule type="expression" dxfId="13334" priority="5137">
      <formula>B32=""</formula>
    </cfRule>
  </conditionalFormatting>
  <conditionalFormatting sqref="G43">
    <cfRule type="expression" dxfId="13333" priority="5136">
      <formula>B43=""</formula>
    </cfRule>
  </conditionalFormatting>
  <conditionalFormatting sqref="G44">
    <cfRule type="expression" dxfId="13332" priority="5135">
      <formula>B44=""</formula>
    </cfRule>
  </conditionalFormatting>
  <conditionalFormatting sqref="G45">
    <cfRule type="expression" dxfId="13331" priority="5134">
      <formula>B45=""</formula>
    </cfRule>
  </conditionalFormatting>
  <conditionalFormatting sqref="G46">
    <cfRule type="expression" dxfId="13330" priority="5133">
      <formula>B46=""</formula>
    </cfRule>
  </conditionalFormatting>
  <conditionalFormatting sqref="G47">
    <cfRule type="expression" dxfId="13329" priority="5132">
      <formula>B47=""</formula>
    </cfRule>
  </conditionalFormatting>
  <conditionalFormatting sqref="G48">
    <cfRule type="expression" dxfId="13328" priority="5131">
      <formula>B48=""</formula>
    </cfRule>
  </conditionalFormatting>
  <conditionalFormatting sqref="G49">
    <cfRule type="expression" dxfId="13327" priority="5130">
      <formula>B49=""</formula>
    </cfRule>
  </conditionalFormatting>
  <conditionalFormatting sqref="G50">
    <cfRule type="expression" dxfId="13326" priority="5129">
      <formula>B50=""</formula>
    </cfRule>
  </conditionalFormatting>
  <conditionalFormatting sqref="H30">
    <cfRule type="expression" dxfId="13325" priority="5128">
      <formula>B30=""</formula>
    </cfRule>
  </conditionalFormatting>
  <conditionalFormatting sqref="H31 H33 H35 H37 H39 H41 H43 H45 H47 H49">
    <cfRule type="expression" dxfId="13324" priority="5127">
      <formula>B31=""</formula>
    </cfRule>
  </conditionalFormatting>
  <conditionalFormatting sqref="H32:H49">
    <cfRule type="expression" dxfId="13323" priority="5126">
      <formula>B32=""</formula>
    </cfRule>
  </conditionalFormatting>
  <conditionalFormatting sqref="H43">
    <cfRule type="expression" dxfId="13322" priority="5125">
      <formula>B43=""</formula>
    </cfRule>
  </conditionalFormatting>
  <conditionalFormatting sqref="H44">
    <cfRule type="expression" dxfId="13321" priority="5124">
      <formula>B44=""</formula>
    </cfRule>
  </conditionalFormatting>
  <conditionalFormatting sqref="H45">
    <cfRule type="expression" dxfId="13320" priority="5123">
      <formula>B45=""</formula>
    </cfRule>
  </conditionalFormatting>
  <conditionalFormatting sqref="H46">
    <cfRule type="expression" dxfId="13319" priority="5122">
      <formula>B46=""</formula>
    </cfRule>
  </conditionalFormatting>
  <conditionalFormatting sqref="H47">
    <cfRule type="expression" dxfId="13318" priority="5121">
      <formula>B47=""</formula>
    </cfRule>
  </conditionalFormatting>
  <conditionalFormatting sqref="H48">
    <cfRule type="expression" dxfId="13317" priority="5120">
      <formula>B48=""</formula>
    </cfRule>
  </conditionalFormatting>
  <conditionalFormatting sqref="H49">
    <cfRule type="expression" dxfId="13316" priority="5119">
      <formula>B49=""</formula>
    </cfRule>
  </conditionalFormatting>
  <conditionalFormatting sqref="H50">
    <cfRule type="expression" dxfId="13315" priority="5118">
      <formula>B50=""</formula>
    </cfRule>
  </conditionalFormatting>
  <conditionalFormatting sqref="C52:C71">
    <cfRule type="expression" dxfId="13314" priority="5117">
      <formula>B52=""</formula>
    </cfRule>
  </conditionalFormatting>
  <conditionalFormatting sqref="C53">
    <cfRule type="expression" dxfId="13313" priority="5116">
      <formula>B53=""</formula>
    </cfRule>
  </conditionalFormatting>
  <conditionalFormatting sqref="C54:C64">
    <cfRule type="expression" dxfId="13312" priority="5115">
      <formula>B54=""</formula>
    </cfRule>
  </conditionalFormatting>
  <conditionalFormatting sqref="C65">
    <cfRule type="expression" dxfId="13311" priority="5114">
      <formula>B65=""</formula>
    </cfRule>
  </conditionalFormatting>
  <conditionalFormatting sqref="C66">
    <cfRule type="expression" dxfId="13310" priority="5113">
      <formula>B66=""</formula>
    </cfRule>
  </conditionalFormatting>
  <conditionalFormatting sqref="C67">
    <cfRule type="expression" dxfId="13309" priority="5112">
      <formula>B67=""</formula>
    </cfRule>
  </conditionalFormatting>
  <conditionalFormatting sqref="C68">
    <cfRule type="expression" dxfId="13308" priority="5111">
      <formula>B68=""</formula>
    </cfRule>
  </conditionalFormatting>
  <conditionalFormatting sqref="C69">
    <cfRule type="expression" dxfId="13307" priority="5110">
      <formula>B69=""</formula>
    </cfRule>
  </conditionalFormatting>
  <conditionalFormatting sqref="C70">
    <cfRule type="expression" dxfId="13306" priority="5109">
      <formula>B70=""</formula>
    </cfRule>
  </conditionalFormatting>
  <conditionalFormatting sqref="C71">
    <cfRule type="expression" dxfId="13305" priority="5108">
      <formula>B71=""</formula>
    </cfRule>
  </conditionalFormatting>
  <conditionalFormatting sqref="C72">
    <cfRule type="expression" dxfId="13304" priority="5107">
      <formula>B72=""</formula>
    </cfRule>
  </conditionalFormatting>
  <conditionalFormatting sqref="D52:D71">
    <cfRule type="expression" dxfId="13303" priority="5106">
      <formula>B52=""</formula>
    </cfRule>
  </conditionalFormatting>
  <conditionalFormatting sqref="D53">
    <cfRule type="expression" dxfId="13302" priority="5105">
      <formula>B53=""</formula>
    </cfRule>
  </conditionalFormatting>
  <conditionalFormatting sqref="D54:D64">
    <cfRule type="expression" dxfId="13301" priority="5104">
      <formula>B54=""</formula>
    </cfRule>
  </conditionalFormatting>
  <conditionalFormatting sqref="D65">
    <cfRule type="expression" dxfId="13300" priority="5103">
      <formula>B65=""</formula>
    </cfRule>
  </conditionalFormatting>
  <conditionalFormatting sqref="D66">
    <cfRule type="expression" dxfId="13299" priority="5102">
      <formula>B66=""</formula>
    </cfRule>
  </conditionalFormatting>
  <conditionalFormatting sqref="D67">
    <cfRule type="expression" dxfId="13298" priority="5101">
      <formula>B67=""</formula>
    </cfRule>
  </conditionalFormatting>
  <conditionalFormatting sqref="D68">
    <cfRule type="expression" dxfId="13297" priority="5100">
      <formula>B68=""</formula>
    </cfRule>
  </conditionalFormatting>
  <conditionalFormatting sqref="D69">
    <cfRule type="expression" dxfId="13296" priority="5099">
      <formula>B69=""</formula>
    </cfRule>
  </conditionalFormatting>
  <conditionalFormatting sqref="D70">
    <cfRule type="expression" dxfId="13295" priority="5098">
      <formula>B70=""</formula>
    </cfRule>
  </conditionalFormatting>
  <conditionalFormatting sqref="D71">
    <cfRule type="expression" dxfId="13294" priority="5097">
      <formula>B71=""</formula>
    </cfRule>
  </conditionalFormatting>
  <conditionalFormatting sqref="D72">
    <cfRule type="expression" dxfId="13293" priority="5096">
      <formula>B72=""</formula>
    </cfRule>
  </conditionalFormatting>
  <conditionalFormatting sqref="E52:E72">
    <cfRule type="expression" dxfId="13292" priority="5095">
      <formula>B52=""</formula>
    </cfRule>
  </conditionalFormatting>
  <conditionalFormatting sqref="E53">
    <cfRule type="expression" dxfId="13291" priority="5094">
      <formula>B53=""</formula>
    </cfRule>
  </conditionalFormatting>
  <conditionalFormatting sqref="E54:E64">
    <cfRule type="expression" dxfId="13290" priority="5093">
      <formula>B54=""</formula>
    </cfRule>
  </conditionalFormatting>
  <conditionalFormatting sqref="E65">
    <cfRule type="expression" dxfId="13289" priority="5092">
      <formula>B65=""</formula>
    </cfRule>
  </conditionalFormatting>
  <conditionalFormatting sqref="E66">
    <cfRule type="expression" dxfId="13288" priority="5091">
      <formula>B66=""</formula>
    </cfRule>
  </conditionalFormatting>
  <conditionalFormatting sqref="E67">
    <cfRule type="expression" dxfId="13287" priority="5090">
      <formula>B67=""</formula>
    </cfRule>
  </conditionalFormatting>
  <conditionalFormatting sqref="E68">
    <cfRule type="expression" dxfId="13286" priority="5089">
      <formula>B68=""</formula>
    </cfRule>
  </conditionalFormatting>
  <conditionalFormatting sqref="E69">
    <cfRule type="expression" dxfId="13285" priority="5088">
      <formula>B69=""</formula>
    </cfRule>
  </conditionalFormatting>
  <conditionalFormatting sqref="E70">
    <cfRule type="expression" dxfId="13284" priority="5087">
      <formula>B70=""</formula>
    </cfRule>
  </conditionalFormatting>
  <conditionalFormatting sqref="E71">
    <cfRule type="expression" dxfId="13283" priority="5086">
      <formula>B71=""</formula>
    </cfRule>
  </conditionalFormatting>
  <conditionalFormatting sqref="E72">
    <cfRule type="expression" dxfId="13282" priority="5085">
      <formula>B72=""</formula>
    </cfRule>
  </conditionalFormatting>
  <conditionalFormatting sqref="F52:F72">
    <cfRule type="expression" dxfId="13281" priority="5084">
      <formula>B52=""</formula>
    </cfRule>
  </conditionalFormatting>
  <conditionalFormatting sqref="F53">
    <cfRule type="expression" dxfId="13280" priority="5083">
      <formula>B53=""</formula>
    </cfRule>
  </conditionalFormatting>
  <conditionalFormatting sqref="F54:F64">
    <cfRule type="expression" dxfId="13279" priority="5082">
      <formula>B54=""</formula>
    </cfRule>
  </conditionalFormatting>
  <conditionalFormatting sqref="F65">
    <cfRule type="expression" dxfId="13278" priority="5081">
      <formula>B65=""</formula>
    </cfRule>
  </conditionalFormatting>
  <conditionalFormatting sqref="F66">
    <cfRule type="expression" dxfId="13277" priority="5080">
      <formula>B66=""</formula>
    </cfRule>
  </conditionalFormatting>
  <conditionalFormatting sqref="F67">
    <cfRule type="expression" dxfId="13276" priority="5079">
      <formula>B67=""</formula>
    </cfRule>
  </conditionalFormatting>
  <conditionalFormatting sqref="F68">
    <cfRule type="expression" dxfId="13275" priority="5078">
      <formula>B68=""</formula>
    </cfRule>
  </conditionalFormatting>
  <conditionalFormatting sqref="F69">
    <cfRule type="expression" dxfId="13274" priority="5077">
      <formula>B69=""</formula>
    </cfRule>
  </conditionalFormatting>
  <conditionalFormatting sqref="F70">
    <cfRule type="expression" dxfId="13273" priority="5076">
      <formula>B70=""</formula>
    </cfRule>
  </conditionalFormatting>
  <conditionalFormatting sqref="F71:F72">
    <cfRule type="expression" dxfId="13272" priority="5075">
      <formula>B71=""</formula>
    </cfRule>
  </conditionalFormatting>
  <conditionalFormatting sqref="F72">
    <cfRule type="expression" dxfId="13271" priority="5074">
      <formula>B72=""</formula>
    </cfRule>
  </conditionalFormatting>
  <conditionalFormatting sqref="E53">
    <cfRule type="expression" dxfId="13270" priority="5073">
      <formula>B53=""</formula>
    </cfRule>
  </conditionalFormatting>
  <conditionalFormatting sqref="E54:E64">
    <cfRule type="expression" dxfId="13269" priority="5072">
      <formula>B54=""</formula>
    </cfRule>
  </conditionalFormatting>
  <conditionalFormatting sqref="E65">
    <cfRule type="expression" dxfId="13268" priority="5071">
      <formula>B65=""</formula>
    </cfRule>
  </conditionalFormatting>
  <conditionalFormatting sqref="E66">
    <cfRule type="expression" dxfId="13267" priority="5070">
      <formula>B66=""</formula>
    </cfRule>
  </conditionalFormatting>
  <conditionalFormatting sqref="E67">
    <cfRule type="expression" dxfId="13266" priority="5069">
      <formula>B67=""</formula>
    </cfRule>
  </conditionalFormatting>
  <conditionalFormatting sqref="E68">
    <cfRule type="expression" dxfId="13265" priority="5068">
      <formula>B68=""</formula>
    </cfRule>
  </conditionalFormatting>
  <conditionalFormatting sqref="E69">
    <cfRule type="expression" dxfId="13264" priority="5067">
      <formula>B69=""</formula>
    </cfRule>
  </conditionalFormatting>
  <conditionalFormatting sqref="E70">
    <cfRule type="expression" dxfId="13263" priority="5066">
      <formula>B70=""</formula>
    </cfRule>
  </conditionalFormatting>
  <conditionalFormatting sqref="E71">
    <cfRule type="expression" dxfId="13262" priority="5065">
      <formula>B71=""</formula>
    </cfRule>
  </conditionalFormatting>
  <conditionalFormatting sqref="E72">
    <cfRule type="expression" dxfId="13261" priority="5064">
      <formula>B72=""</formula>
    </cfRule>
  </conditionalFormatting>
  <conditionalFormatting sqref="G52:G71">
    <cfRule type="expression" dxfId="13260" priority="5063">
      <formula>B52=""</formula>
    </cfRule>
  </conditionalFormatting>
  <conditionalFormatting sqref="G53">
    <cfRule type="expression" dxfId="13259" priority="5062">
      <formula>B53=""</formula>
    </cfRule>
  </conditionalFormatting>
  <conditionalFormatting sqref="G54:G64">
    <cfRule type="expression" dxfId="13258" priority="5061">
      <formula>B54=""</formula>
    </cfRule>
  </conditionalFormatting>
  <conditionalFormatting sqref="G65">
    <cfRule type="expression" dxfId="13257" priority="5060">
      <formula>B65=""</formula>
    </cfRule>
  </conditionalFormatting>
  <conditionalFormatting sqref="G66">
    <cfRule type="expression" dxfId="13256" priority="5059">
      <formula>B66=""</formula>
    </cfRule>
  </conditionalFormatting>
  <conditionalFormatting sqref="G67">
    <cfRule type="expression" dxfId="13255" priority="5058">
      <formula>B67=""</formula>
    </cfRule>
  </conditionalFormatting>
  <conditionalFormatting sqref="G68">
    <cfRule type="expression" dxfId="13254" priority="5057">
      <formula>B68=""</formula>
    </cfRule>
  </conditionalFormatting>
  <conditionalFormatting sqref="G69">
    <cfRule type="expression" dxfId="13253" priority="5056">
      <formula>B69=""</formula>
    </cfRule>
  </conditionalFormatting>
  <conditionalFormatting sqref="G70">
    <cfRule type="expression" dxfId="13252" priority="5055">
      <formula>B70=""</formula>
    </cfRule>
  </conditionalFormatting>
  <conditionalFormatting sqref="G71">
    <cfRule type="expression" dxfId="13251" priority="5054">
      <formula>B71=""</formula>
    </cfRule>
  </conditionalFormatting>
  <conditionalFormatting sqref="G72">
    <cfRule type="expression" dxfId="13250" priority="5053">
      <formula>B72=""</formula>
    </cfRule>
  </conditionalFormatting>
  <conditionalFormatting sqref="H52:H71">
    <cfRule type="expression" dxfId="13249" priority="5052">
      <formula>B52=""</formula>
    </cfRule>
  </conditionalFormatting>
  <conditionalFormatting sqref="H53">
    <cfRule type="expression" dxfId="13248" priority="5051">
      <formula>B53=""</formula>
    </cfRule>
  </conditionalFormatting>
  <conditionalFormatting sqref="H54:H64">
    <cfRule type="expression" dxfId="13247" priority="5050">
      <formula>B54=""</formula>
    </cfRule>
  </conditionalFormatting>
  <conditionalFormatting sqref="H65">
    <cfRule type="expression" dxfId="13246" priority="5049">
      <formula>B65=""</formula>
    </cfRule>
  </conditionalFormatting>
  <conditionalFormatting sqref="H66">
    <cfRule type="expression" dxfId="13245" priority="5048">
      <formula>B66=""</formula>
    </cfRule>
  </conditionalFormatting>
  <conditionalFormatting sqref="H67">
    <cfRule type="expression" dxfId="13244" priority="5047">
      <formula>B67=""</formula>
    </cfRule>
  </conditionalFormatting>
  <conditionalFormatting sqref="H68">
    <cfRule type="expression" dxfId="13243" priority="5046">
      <formula>B68=""</formula>
    </cfRule>
  </conditionalFormatting>
  <conditionalFormatting sqref="H69">
    <cfRule type="expression" dxfId="13242" priority="5045">
      <formula>B69=""</formula>
    </cfRule>
  </conditionalFormatting>
  <conditionalFormatting sqref="H70">
    <cfRule type="expression" dxfId="13241" priority="5044">
      <formula>B70=""</formula>
    </cfRule>
  </conditionalFormatting>
  <conditionalFormatting sqref="H71">
    <cfRule type="expression" dxfId="13240" priority="5043">
      <formula>B71=""</formula>
    </cfRule>
  </conditionalFormatting>
  <conditionalFormatting sqref="H72">
    <cfRule type="expression" dxfId="13239" priority="5042">
      <formula>B72=""</formula>
    </cfRule>
  </conditionalFormatting>
  <conditionalFormatting sqref="C74:C94">
    <cfRule type="expression" dxfId="13238" priority="5041">
      <formula>B74=""</formula>
    </cfRule>
  </conditionalFormatting>
  <conditionalFormatting sqref="C75 C77 C79 C81 C83 C85 C87 C89 C91 C93">
    <cfRule type="expression" dxfId="13237" priority="5040">
      <formula>B75=""</formula>
    </cfRule>
  </conditionalFormatting>
  <conditionalFormatting sqref="C76 C78 C80 C82 C84 C86 C88 C90 C92">
    <cfRule type="expression" dxfId="13236" priority="5039">
      <formula>B76=""</formula>
    </cfRule>
  </conditionalFormatting>
  <conditionalFormatting sqref="C77:C87">
    <cfRule type="expression" dxfId="13235" priority="5038">
      <formula>B77=""</formula>
    </cfRule>
  </conditionalFormatting>
  <conditionalFormatting sqref="C88">
    <cfRule type="expression" dxfId="13234" priority="5037">
      <formula>B88=""</formula>
    </cfRule>
  </conditionalFormatting>
  <conditionalFormatting sqref="C89">
    <cfRule type="expression" dxfId="13233" priority="5036">
      <formula>B89=""</formula>
    </cfRule>
  </conditionalFormatting>
  <conditionalFormatting sqref="C90">
    <cfRule type="expression" dxfId="13232" priority="5035">
      <formula>B90=""</formula>
    </cfRule>
  </conditionalFormatting>
  <conditionalFormatting sqref="C91">
    <cfRule type="expression" dxfId="13231" priority="5034">
      <formula>B91=""</formula>
    </cfRule>
  </conditionalFormatting>
  <conditionalFormatting sqref="C92">
    <cfRule type="expression" dxfId="13230" priority="5033">
      <formula>B92=""</formula>
    </cfRule>
  </conditionalFormatting>
  <conditionalFormatting sqref="C93">
    <cfRule type="expression" dxfId="13229" priority="5032">
      <formula>B93=""</formula>
    </cfRule>
  </conditionalFormatting>
  <conditionalFormatting sqref="C94">
    <cfRule type="expression" dxfId="13228" priority="5031">
      <formula>B94=""</formula>
    </cfRule>
  </conditionalFormatting>
  <conditionalFormatting sqref="D74 D76 D78 D80 D82 D84 D86 D88 D90 D92">
    <cfRule type="expression" dxfId="13227" priority="5030">
      <formula>B74=""</formula>
    </cfRule>
  </conditionalFormatting>
  <conditionalFormatting sqref="D75 D77 D79 D81 D83 D85 D87 D89 D91 D93">
    <cfRule type="expression" dxfId="13226" priority="5029">
      <formula>B75=""</formula>
    </cfRule>
  </conditionalFormatting>
  <conditionalFormatting sqref="D76 D78 D80 D82 D84 D86 D88 D90 D92">
    <cfRule type="expression" dxfId="13225" priority="5028">
      <formula>B76=""</formula>
    </cfRule>
  </conditionalFormatting>
  <conditionalFormatting sqref="D77:D87">
    <cfRule type="expression" dxfId="13224" priority="5027">
      <formula>B77=""</formula>
    </cfRule>
  </conditionalFormatting>
  <conditionalFormatting sqref="D88">
    <cfRule type="expression" dxfId="13223" priority="5026">
      <formula>B88=""</formula>
    </cfRule>
  </conditionalFormatting>
  <conditionalFormatting sqref="D89">
    <cfRule type="expression" dxfId="13222" priority="5025">
      <formula>B89=""</formula>
    </cfRule>
  </conditionalFormatting>
  <conditionalFormatting sqref="D90">
    <cfRule type="expression" dxfId="13221" priority="5024">
      <formula>B90=""</formula>
    </cfRule>
  </conditionalFormatting>
  <conditionalFormatting sqref="D91">
    <cfRule type="expression" dxfId="13220" priority="5023">
      <formula>B91=""</formula>
    </cfRule>
  </conditionalFormatting>
  <conditionalFormatting sqref="D92">
    <cfRule type="expression" dxfId="13219" priority="5022">
      <formula>B92=""</formula>
    </cfRule>
  </conditionalFormatting>
  <conditionalFormatting sqref="D93">
    <cfRule type="expression" dxfId="13218" priority="5021">
      <formula>B93=""</formula>
    </cfRule>
  </conditionalFormatting>
  <conditionalFormatting sqref="D94">
    <cfRule type="expression" dxfId="13217" priority="5020">
      <formula>B94=""</formula>
    </cfRule>
  </conditionalFormatting>
  <conditionalFormatting sqref="E74 E76 E78 E80 E82 E84 E86 E88 E90 E92">
    <cfRule type="expression" dxfId="13216" priority="5019">
      <formula>B74=""</formula>
    </cfRule>
  </conditionalFormatting>
  <conditionalFormatting sqref="E75 E77 E79 E81 E83 E85 E87 E89 E91 E93">
    <cfRule type="expression" dxfId="13215" priority="5018">
      <formula>B75=""</formula>
    </cfRule>
  </conditionalFormatting>
  <conditionalFormatting sqref="E76 E78 E80 E82 E84 E86 E88 E90 E92">
    <cfRule type="expression" dxfId="13214" priority="5017">
      <formula>B76=""</formula>
    </cfRule>
  </conditionalFormatting>
  <conditionalFormatting sqref="E77:E87">
    <cfRule type="expression" dxfId="13213" priority="5016">
      <formula>B77=""</formula>
    </cfRule>
  </conditionalFormatting>
  <conditionalFormatting sqref="E88">
    <cfRule type="expression" dxfId="13212" priority="5015">
      <formula>B88=""</formula>
    </cfRule>
  </conditionalFormatting>
  <conditionalFormatting sqref="E89">
    <cfRule type="expression" dxfId="13211" priority="5014">
      <formula>B89=""</formula>
    </cfRule>
  </conditionalFormatting>
  <conditionalFormatting sqref="E90">
    <cfRule type="expression" dxfId="13210" priority="5013">
      <formula>B90=""</formula>
    </cfRule>
  </conditionalFormatting>
  <conditionalFormatting sqref="E91">
    <cfRule type="expression" dxfId="13209" priority="5012">
      <formula>B91=""</formula>
    </cfRule>
  </conditionalFormatting>
  <conditionalFormatting sqref="E92">
    <cfRule type="expression" dxfId="13208" priority="5011">
      <formula>B92=""</formula>
    </cfRule>
  </conditionalFormatting>
  <conditionalFormatting sqref="E93">
    <cfRule type="expression" dxfId="13207" priority="5010">
      <formula>B93=""</formula>
    </cfRule>
  </conditionalFormatting>
  <conditionalFormatting sqref="E94">
    <cfRule type="expression" dxfId="13206" priority="5009">
      <formula>B94=""</formula>
    </cfRule>
  </conditionalFormatting>
  <conditionalFormatting sqref="F74 F76 F78 F80 F82 F84 F86 F88 F90 F92">
    <cfRule type="expression" dxfId="13205" priority="5008">
      <formula>B74=""</formula>
    </cfRule>
  </conditionalFormatting>
  <conditionalFormatting sqref="F75 F77 F79 F81 F83 F85 F87 F89 F91 F93:F94">
    <cfRule type="expression" dxfId="13204" priority="5007">
      <formula>B75=""</formula>
    </cfRule>
  </conditionalFormatting>
  <conditionalFormatting sqref="F76 F78 F80 F82 F84 F86 F88 F90 F92">
    <cfRule type="expression" dxfId="13203" priority="5006">
      <formula>B76=""</formula>
    </cfRule>
  </conditionalFormatting>
  <conditionalFormatting sqref="F77:F87">
    <cfRule type="expression" dxfId="13202" priority="5005">
      <formula>B77=""</formula>
    </cfRule>
  </conditionalFormatting>
  <conditionalFormatting sqref="F88">
    <cfRule type="expression" dxfId="13201" priority="5004">
      <formula>B88=""</formula>
    </cfRule>
  </conditionalFormatting>
  <conditionalFormatting sqref="F89">
    <cfRule type="expression" dxfId="13200" priority="5003">
      <formula>B89=""</formula>
    </cfRule>
  </conditionalFormatting>
  <conditionalFormatting sqref="F90">
    <cfRule type="expression" dxfId="13199" priority="5002">
      <formula>B90=""</formula>
    </cfRule>
  </conditionalFormatting>
  <conditionalFormatting sqref="F91">
    <cfRule type="expression" dxfId="13198" priority="5001">
      <formula>B91=""</formula>
    </cfRule>
  </conditionalFormatting>
  <conditionalFormatting sqref="F92">
    <cfRule type="expression" dxfId="13197" priority="5000">
      <formula>B92=""</formula>
    </cfRule>
  </conditionalFormatting>
  <conditionalFormatting sqref="F93:F94">
    <cfRule type="expression" dxfId="13196" priority="4999">
      <formula>B93=""</formula>
    </cfRule>
  </conditionalFormatting>
  <conditionalFormatting sqref="F94">
    <cfRule type="expression" dxfId="13195" priority="4998">
      <formula>B94=""</formula>
    </cfRule>
  </conditionalFormatting>
  <conditionalFormatting sqref="E75 E77 E79 E81 E83 E85 E87 E89 E91 E93">
    <cfRule type="expression" dxfId="13194" priority="4997">
      <formula>B75=""</formula>
    </cfRule>
  </conditionalFormatting>
  <conditionalFormatting sqref="E76 E78 E80 E82 E84 E86 E88 E90 E92">
    <cfRule type="expression" dxfId="13193" priority="4996">
      <formula>B76=""</formula>
    </cfRule>
  </conditionalFormatting>
  <conditionalFormatting sqref="E77:E87">
    <cfRule type="expression" dxfId="13192" priority="4995">
      <formula>B77=""</formula>
    </cfRule>
  </conditionalFormatting>
  <conditionalFormatting sqref="E88">
    <cfRule type="expression" dxfId="13191" priority="4994">
      <formula>B88=""</formula>
    </cfRule>
  </conditionalFormatting>
  <conditionalFormatting sqref="E89">
    <cfRule type="expression" dxfId="13190" priority="4993">
      <formula>B89=""</formula>
    </cfRule>
  </conditionalFormatting>
  <conditionalFormatting sqref="E90">
    <cfRule type="expression" dxfId="13189" priority="4992">
      <formula>B90=""</formula>
    </cfRule>
  </conditionalFormatting>
  <conditionalFormatting sqref="E91">
    <cfRule type="expression" dxfId="13188" priority="4991">
      <formula>B91=""</formula>
    </cfRule>
  </conditionalFormatting>
  <conditionalFormatting sqref="E92">
    <cfRule type="expression" dxfId="13187" priority="4990">
      <formula>B92=""</formula>
    </cfRule>
  </conditionalFormatting>
  <conditionalFormatting sqref="E93">
    <cfRule type="expression" dxfId="13186" priority="4989">
      <formula>B93=""</formula>
    </cfRule>
  </conditionalFormatting>
  <conditionalFormatting sqref="E94">
    <cfRule type="expression" dxfId="13185" priority="4988">
      <formula>B94=""</formula>
    </cfRule>
  </conditionalFormatting>
  <conditionalFormatting sqref="G74 G76 G78 G80 G82 G84 G86 G88 G90 G92">
    <cfRule type="expression" dxfId="13184" priority="4987">
      <formula>B74=""</formula>
    </cfRule>
  </conditionalFormatting>
  <conditionalFormatting sqref="G75 G77 G79 G81 G83 G85 G87 G89 G91 G93">
    <cfRule type="expression" dxfId="13183" priority="4986">
      <formula>B75=""</formula>
    </cfRule>
  </conditionalFormatting>
  <conditionalFormatting sqref="G76 G78 G80 G82 G84 G86 G88 G90 G92">
    <cfRule type="expression" dxfId="13182" priority="4985">
      <formula>B76=""</formula>
    </cfRule>
  </conditionalFormatting>
  <conditionalFormatting sqref="G77:G87">
    <cfRule type="expression" dxfId="13181" priority="4984">
      <formula>B77=""</formula>
    </cfRule>
  </conditionalFormatting>
  <conditionalFormatting sqref="G88">
    <cfRule type="expression" dxfId="13180" priority="4983">
      <formula>B88=""</formula>
    </cfRule>
  </conditionalFormatting>
  <conditionalFormatting sqref="G89">
    <cfRule type="expression" dxfId="13179" priority="4982">
      <formula>B89=""</formula>
    </cfRule>
  </conditionalFormatting>
  <conditionalFormatting sqref="G90">
    <cfRule type="expression" dxfId="13178" priority="4981">
      <formula>B90=""</formula>
    </cfRule>
  </conditionalFormatting>
  <conditionalFormatting sqref="G91">
    <cfRule type="expression" dxfId="13177" priority="4980">
      <formula>B91=""</formula>
    </cfRule>
  </conditionalFormatting>
  <conditionalFormatting sqref="G92">
    <cfRule type="expression" dxfId="13176" priority="4979">
      <formula>B92=""</formula>
    </cfRule>
  </conditionalFormatting>
  <conditionalFormatting sqref="G93">
    <cfRule type="expression" dxfId="13175" priority="4978">
      <formula>B93=""</formula>
    </cfRule>
  </conditionalFormatting>
  <conditionalFormatting sqref="G94">
    <cfRule type="expression" dxfId="13174" priority="4977">
      <formula>B94=""</formula>
    </cfRule>
  </conditionalFormatting>
  <conditionalFormatting sqref="H74 H76 H78 H80 H82 H84 H86 H88 H90 H92">
    <cfRule type="expression" dxfId="13173" priority="4976">
      <formula>B74=""</formula>
    </cfRule>
  </conditionalFormatting>
  <conditionalFormatting sqref="H75 H77 H79 H81 H83 H85 H87 H89 H91 H93">
    <cfRule type="expression" dxfId="13172" priority="4975">
      <formula>B75=""</formula>
    </cfRule>
  </conditionalFormatting>
  <conditionalFormatting sqref="H76 H78 H80 H82 H84 H86 H88 H90 H92">
    <cfRule type="expression" dxfId="13171" priority="4974">
      <formula>B76=""</formula>
    </cfRule>
  </conditionalFormatting>
  <conditionalFormatting sqref="H77:H87">
    <cfRule type="expression" dxfId="13170" priority="4973">
      <formula>B77=""</formula>
    </cfRule>
  </conditionalFormatting>
  <conditionalFormatting sqref="H88">
    <cfRule type="expression" dxfId="13169" priority="4972">
      <formula>B88=""</formula>
    </cfRule>
  </conditionalFormatting>
  <conditionalFormatting sqref="H89">
    <cfRule type="expression" dxfId="13168" priority="4971">
      <formula>B89=""</formula>
    </cfRule>
  </conditionalFormatting>
  <conditionalFormatting sqref="H90">
    <cfRule type="expression" dxfId="13167" priority="4970">
      <formula>B90=""</formula>
    </cfRule>
  </conditionalFormatting>
  <conditionalFormatting sqref="H91">
    <cfRule type="expression" dxfId="13166" priority="4969">
      <formula>B91=""</formula>
    </cfRule>
  </conditionalFormatting>
  <conditionalFormatting sqref="H92">
    <cfRule type="expression" dxfId="13165" priority="4968">
      <formula>B92=""</formula>
    </cfRule>
  </conditionalFormatting>
  <conditionalFormatting sqref="H93">
    <cfRule type="expression" dxfId="13164" priority="4967">
      <formula>B93=""</formula>
    </cfRule>
  </conditionalFormatting>
  <conditionalFormatting sqref="H94">
    <cfRule type="expression" dxfId="13163" priority="4966">
      <formula>B94=""</formula>
    </cfRule>
  </conditionalFormatting>
  <conditionalFormatting sqref="C49">
    <cfRule type="expression" dxfId="13162" priority="4965">
      <formula>B49=""</formula>
    </cfRule>
  </conditionalFormatting>
  <conditionalFormatting sqref="C71">
    <cfRule type="expression" dxfId="13161" priority="4964">
      <formula>B71=""</formula>
    </cfRule>
  </conditionalFormatting>
  <conditionalFormatting sqref="C93">
    <cfRule type="expression" dxfId="13160" priority="4963">
      <formula>B93=""</formula>
    </cfRule>
  </conditionalFormatting>
  <conditionalFormatting sqref="C8:C27">
    <cfRule type="expression" dxfId="13159" priority="4962">
      <formula>B8=""</formula>
    </cfRule>
  </conditionalFormatting>
  <conditionalFormatting sqref="C9:C27">
    <cfRule type="expression" dxfId="13158" priority="4961">
      <formula>B9=""</formula>
    </cfRule>
  </conditionalFormatting>
  <conditionalFormatting sqref="C10:C20">
    <cfRule type="expression" dxfId="13157" priority="4960">
      <formula>B10=""</formula>
    </cfRule>
  </conditionalFormatting>
  <conditionalFormatting sqref="C21">
    <cfRule type="expression" dxfId="13156" priority="4959">
      <formula>B21=""</formula>
    </cfRule>
  </conditionalFormatting>
  <conditionalFormatting sqref="C22">
    <cfRule type="expression" dxfId="13155" priority="4958">
      <formula>B22=""</formula>
    </cfRule>
  </conditionalFormatting>
  <conditionalFormatting sqref="C23">
    <cfRule type="expression" dxfId="13154" priority="4957">
      <formula>B23=""</formula>
    </cfRule>
  </conditionalFormatting>
  <conditionalFormatting sqref="C24">
    <cfRule type="expression" dxfId="13153" priority="4956">
      <formula>B24=""</formula>
    </cfRule>
  </conditionalFormatting>
  <conditionalFormatting sqref="C25">
    <cfRule type="expression" dxfId="13152" priority="4955">
      <formula>B25=""</formula>
    </cfRule>
  </conditionalFormatting>
  <conditionalFormatting sqref="C26">
    <cfRule type="expression" dxfId="13151" priority="4954">
      <formula>B26=""</formula>
    </cfRule>
  </conditionalFormatting>
  <conditionalFormatting sqref="C27">
    <cfRule type="expression" dxfId="13150" priority="4953">
      <formula>B27=""</formula>
    </cfRule>
  </conditionalFormatting>
  <conditionalFormatting sqref="C28">
    <cfRule type="expression" dxfId="13149" priority="4952">
      <formula>B28=""</formula>
    </cfRule>
  </conditionalFormatting>
  <conditionalFormatting sqref="C30:C50">
    <cfRule type="expression" dxfId="13148" priority="4951">
      <formula>B30=""</formula>
    </cfRule>
  </conditionalFormatting>
  <conditionalFormatting sqref="C31 C33 C35 C37 C39 C41 C43 C45 C47 C49">
    <cfRule type="expression" dxfId="13147" priority="4950">
      <formula>B31=""</formula>
    </cfRule>
  </conditionalFormatting>
  <conditionalFormatting sqref="C32:C49">
    <cfRule type="expression" dxfId="13146" priority="4949">
      <formula>B32=""</formula>
    </cfRule>
  </conditionalFormatting>
  <conditionalFormatting sqref="C43">
    <cfRule type="expression" dxfId="13145" priority="4948">
      <formula>B43=""</formula>
    </cfRule>
  </conditionalFormatting>
  <conditionalFormatting sqref="C44">
    <cfRule type="expression" dxfId="13144" priority="4947">
      <formula>B44=""</formula>
    </cfRule>
  </conditionalFormatting>
  <conditionalFormatting sqref="C45">
    <cfRule type="expression" dxfId="13143" priority="4946">
      <formula>B45=""</formula>
    </cfRule>
  </conditionalFormatting>
  <conditionalFormatting sqref="C46">
    <cfRule type="expression" dxfId="13142" priority="4945">
      <formula>B46=""</formula>
    </cfRule>
  </conditionalFormatting>
  <conditionalFormatting sqref="C47">
    <cfRule type="expression" dxfId="13141" priority="4944">
      <formula>B47=""</formula>
    </cfRule>
  </conditionalFormatting>
  <conditionalFormatting sqref="C48">
    <cfRule type="expression" dxfId="13140" priority="4943">
      <formula>B48=""</formula>
    </cfRule>
  </conditionalFormatting>
  <conditionalFormatting sqref="C49">
    <cfRule type="expression" dxfId="13139" priority="4942">
      <formula>B49=""</formula>
    </cfRule>
  </conditionalFormatting>
  <conditionalFormatting sqref="C50">
    <cfRule type="expression" dxfId="13138" priority="4941">
      <formula>B50=""</formula>
    </cfRule>
  </conditionalFormatting>
  <conditionalFormatting sqref="C52:C71">
    <cfRule type="expression" dxfId="13137" priority="4940">
      <formula>B52=""</formula>
    </cfRule>
  </conditionalFormatting>
  <conditionalFormatting sqref="C53">
    <cfRule type="expression" dxfId="13136" priority="4939">
      <formula>B53=""</formula>
    </cfRule>
  </conditionalFormatting>
  <conditionalFormatting sqref="C54:C64">
    <cfRule type="expression" dxfId="13135" priority="4938">
      <formula>B54=""</formula>
    </cfRule>
  </conditionalFormatting>
  <conditionalFormatting sqref="C65">
    <cfRule type="expression" dxfId="13134" priority="4937">
      <formula>B65=""</formula>
    </cfRule>
  </conditionalFormatting>
  <conditionalFormatting sqref="C66">
    <cfRule type="expression" dxfId="13133" priority="4936">
      <formula>B66=""</formula>
    </cfRule>
  </conditionalFormatting>
  <conditionalFormatting sqref="C67">
    <cfRule type="expression" dxfId="13132" priority="4935">
      <formula>B67=""</formula>
    </cfRule>
  </conditionalFormatting>
  <conditionalFormatting sqref="C68">
    <cfRule type="expression" dxfId="13131" priority="4934">
      <formula>B68=""</formula>
    </cfRule>
  </conditionalFormatting>
  <conditionalFormatting sqref="C69">
    <cfRule type="expression" dxfId="13130" priority="4933">
      <formula>B69=""</formula>
    </cfRule>
  </conditionalFormatting>
  <conditionalFormatting sqref="C70">
    <cfRule type="expression" dxfId="13129" priority="4932">
      <formula>B70=""</formula>
    </cfRule>
  </conditionalFormatting>
  <conditionalFormatting sqref="C71">
    <cfRule type="expression" dxfId="13128" priority="4931">
      <formula>B71=""</formula>
    </cfRule>
  </conditionalFormatting>
  <conditionalFormatting sqref="C72">
    <cfRule type="expression" dxfId="13127" priority="4930">
      <formula>B72=""</formula>
    </cfRule>
  </conditionalFormatting>
  <conditionalFormatting sqref="C74:C94">
    <cfRule type="expression" dxfId="13126" priority="4929">
      <formula>B74=""</formula>
    </cfRule>
  </conditionalFormatting>
  <conditionalFormatting sqref="C75 C77 C79 C81 C83 C85 C87 C89 C91 C93">
    <cfRule type="expression" dxfId="13125" priority="4928">
      <formula>B75=""</formula>
    </cfRule>
  </conditionalFormatting>
  <conditionalFormatting sqref="C76 C78 C80 C82 C84 C86 C88 C90 C92">
    <cfRule type="expression" dxfId="13124" priority="4927">
      <formula>B76=""</formula>
    </cfRule>
  </conditionalFormatting>
  <conditionalFormatting sqref="C77:C87">
    <cfRule type="expression" dxfId="13123" priority="4926">
      <formula>B77=""</formula>
    </cfRule>
  </conditionalFormatting>
  <conditionalFormatting sqref="C88">
    <cfRule type="expression" dxfId="13122" priority="4925">
      <formula>B88=""</formula>
    </cfRule>
  </conditionalFormatting>
  <conditionalFormatting sqref="C89">
    <cfRule type="expression" dxfId="13121" priority="4924">
      <formula>B89=""</formula>
    </cfRule>
  </conditionalFormatting>
  <conditionalFormatting sqref="C90">
    <cfRule type="expression" dxfId="13120" priority="4923">
      <formula>B90=""</formula>
    </cfRule>
  </conditionalFormatting>
  <conditionalFormatting sqref="C91">
    <cfRule type="expression" dxfId="13119" priority="4922">
      <formula>B91=""</formula>
    </cfRule>
  </conditionalFormatting>
  <conditionalFormatting sqref="C92">
    <cfRule type="expression" dxfId="13118" priority="4921">
      <formula>B92=""</formula>
    </cfRule>
  </conditionalFormatting>
  <conditionalFormatting sqref="C93">
    <cfRule type="expression" dxfId="13117" priority="4920">
      <formula>B93=""</formula>
    </cfRule>
  </conditionalFormatting>
  <conditionalFormatting sqref="C94">
    <cfRule type="expression" dxfId="13116" priority="4919">
      <formula>B94=""</formula>
    </cfRule>
  </conditionalFormatting>
  <conditionalFormatting sqref="C8:C27 C108:C128">
    <cfRule type="expression" dxfId="13115" priority="4918">
      <formula>B8=""</formula>
    </cfRule>
  </conditionalFormatting>
  <conditionalFormatting sqref="C9:C27">
    <cfRule type="expression" dxfId="13114" priority="4917">
      <formula>B9=""</formula>
    </cfRule>
  </conditionalFormatting>
  <conditionalFormatting sqref="C10:C20">
    <cfRule type="expression" dxfId="13113" priority="4916">
      <formula>B10=""</formula>
    </cfRule>
  </conditionalFormatting>
  <conditionalFormatting sqref="C21">
    <cfRule type="expression" dxfId="13112" priority="4915">
      <formula>B21=""</formula>
    </cfRule>
  </conditionalFormatting>
  <conditionalFormatting sqref="C22">
    <cfRule type="expression" dxfId="13111" priority="4914">
      <formula>B22=""</formula>
    </cfRule>
  </conditionalFormatting>
  <conditionalFormatting sqref="C23">
    <cfRule type="expression" dxfId="13110" priority="4913">
      <formula>B23=""</formula>
    </cfRule>
  </conditionalFormatting>
  <conditionalFormatting sqref="C24">
    <cfRule type="expression" dxfId="13109" priority="4912">
      <formula>B24=""</formula>
    </cfRule>
  </conditionalFormatting>
  <conditionalFormatting sqref="C25">
    <cfRule type="expression" dxfId="13108" priority="4911">
      <formula>B25=""</formula>
    </cfRule>
  </conditionalFormatting>
  <conditionalFormatting sqref="C26">
    <cfRule type="expression" dxfId="13107" priority="4910">
      <formula>B26=""</formula>
    </cfRule>
  </conditionalFormatting>
  <conditionalFormatting sqref="C27">
    <cfRule type="expression" dxfId="13106" priority="4909">
      <formula>B27=""</formula>
    </cfRule>
  </conditionalFormatting>
  <conditionalFormatting sqref="D8">
    <cfRule type="expression" dxfId="13105" priority="4908">
      <formula>B8=""</formula>
    </cfRule>
  </conditionalFormatting>
  <conditionalFormatting sqref="D9">
    <cfRule type="expression" dxfId="13104" priority="4907">
      <formula>B9=""</formula>
    </cfRule>
  </conditionalFormatting>
  <conditionalFormatting sqref="D10:D20">
    <cfRule type="expression" dxfId="13103" priority="4906">
      <formula>B10=""</formula>
    </cfRule>
  </conditionalFormatting>
  <conditionalFormatting sqref="D21">
    <cfRule type="expression" dxfId="13102" priority="4905">
      <formula>B21=""</formula>
    </cfRule>
  </conditionalFormatting>
  <conditionalFormatting sqref="D22">
    <cfRule type="expression" dxfId="13101" priority="4904">
      <formula>B22=""</formula>
    </cfRule>
  </conditionalFormatting>
  <conditionalFormatting sqref="D23">
    <cfRule type="expression" dxfId="13100" priority="4903">
      <formula>B23=""</formula>
    </cfRule>
  </conditionalFormatting>
  <conditionalFormatting sqref="D24">
    <cfRule type="expression" dxfId="13099" priority="4902">
      <formula>B24=""</formula>
    </cfRule>
  </conditionalFormatting>
  <conditionalFormatting sqref="D25">
    <cfRule type="expression" dxfId="13098" priority="4901">
      <formula>B25=""</formula>
    </cfRule>
  </conditionalFormatting>
  <conditionalFormatting sqref="D26">
    <cfRule type="expression" dxfId="13097" priority="4900">
      <formula>B26=""</formula>
    </cfRule>
  </conditionalFormatting>
  <conditionalFormatting sqref="D27">
    <cfRule type="expression" dxfId="13096" priority="4899">
      <formula>B27=""</formula>
    </cfRule>
  </conditionalFormatting>
  <conditionalFormatting sqref="E8:E28">
    <cfRule type="expression" dxfId="13095" priority="4898">
      <formula>B8=""</formula>
    </cfRule>
  </conditionalFormatting>
  <conditionalFormatting sqref="E9">
    <cfRule type="expression" dxfId="13094" priority="4897">
      <formula>B9=""</formula>
    </cfRule>
  </conditionalFormatting>
  <conditionalFormatting sqref="E10:E20">
    <cfRule type="expression" dxfId="13093" priority="4896">
      <formula>B10=""</formula>
    </cfRule>
  </conditionalFormatting>
  <conditionalFormatting sqref="E21:E23">
    <cfRule type="expression" dxfId="13092" priority="4895">
      <formula>B21=""</formula>
    </cfRule>
  </conditionalFormatting>
  <conditionalFormatting sqref="E22">
    <cfRule type="expression" dxfId="13091" priority="4894">
      <formula>B22=""</formula>
    </cfRule>
  </conditionalFormatting>
  <conditionalFormatting sqref="E23">
    <cfRule type="expression" dxfId="13090" priority="4893">
      <formula>B23=""</formula>
    </cfRule>
  </conditionalFormatting>
  <conditionalFormatting sqref="E24">
    <cfRule type="expression" dxfId="13089" priority="4892">
      <formula>B24=""</formula>
    </cfRule>
  </conditionalFormatting>
  <conditionalFormatting sqref="E25">
    <cfRule type="expression" dxfId="13088" priority="4891">
      <formula>B25=""</formula>
    </cfRule>
  </conditionalFormatting>
  <conditionalFormatting sqref="E26">
    <cfRule type="expression" dxfId="13087" priority="4890">
      <formula>B26=""</formula>
    </cfRule>
  </conditionalFormatting>
  <conditionalFormatting sqref="E27:E28">
    <cfRule type="expression" dxfId="13086" priority="4889">
      <formula>B27=""</formula>
    </cfRule>
  </conditionalFormatting>
  <conditionalFormatting sqref="F8:F28 F108:F128">
    <cfRule type="expression" dxfId="13085" priority="4888">
      <formula>B8=""</formula>
    </cfRule>
  </conditionalFormatting>
  <conditionalFormatting sqref="F9">
    <cfRule type="expression" dxfId="13084" priority="4887">
      <formula>B9=""</formula>
    </cfRule>
  </conditionalFormatting>
  <conditionalFormatting sqref="F10:F20">
    <cfRule type="expression" dxfId="13083" priority="4886">
      <formula>B10=""</formula>
    </cfRule>
  </conditionalFormatting>
  <conditionalFormatting sqref="F21">
    <cfRule type="expression" dxfId="13082" priority="4885">
      <formula>B21=""</formula>
    </cfRule>
  </conditionalFormatting>
  <conditionalFormatting sqref="F22">
    <cfRule type="expression" dxfId="13081" priority="4884">
      <formula>B22=""</formula>
    </cfRule>
  </conditionalFormatting>
  <conditionalFormatting sqref="F23">
    <cfRule type="expression" dxfId="13080" priority="4883">
      <formula>B23=""</formula>
    </cfRule>
  </conditionalFormatting>
  <conditionalFormatting sqref="F24">
    <cfRule type="expression" dxfId="13079" priority="4882">
      <formula>B24=""</formula>
    </cfRule>
  </conditionalFormatting>
  <conditionalFormatting sqref="F25">
    <cfRule type="expression" dxfId="13078" priority="4881">
      <formula>B25=""</formula>
    </cfRule>
  </conditionalFormatting>
  <conditionalFormatting sqref="F26">
    <cfRule type="expression" dxfId="13077" priority="4880">
      <formula>B26=""</formula>
    </cfRule>
  </conditionalFormatting>
  <conditionalFormatting sqref="F27:F28">
    <cfRule type="expression" dxfId="13076" priority="4879">
      <formula>B27=""</formula>
    </cfRule>
  </conditionalFormatting>
  <conditionalFormatting sqref="E9">
    <cfRule type="expression" dxfId="13075" priority="4878">
      <formula>B9=""</formula>
    </cfRule>
  </conditionalFormatting>
  <conditionalFormatting sqref="E10:E20">
    <cfRule type="expression" dxfId="13074" priority="4877">
      <formula>B10=""</formula>
    </cfRule>
  </conditionalFormatting>
  <conditionalFormatting sqref="E21:E23">
    <cfRule type="expression" dxfId="13073" priority="4876">
      <formula>B21=""</formula>
    </cfRule>
  </conditionalFormatting>
  <conditionalFormatting sqref="E22">
    <cfRule type="expression" dxfId="13072" priority="4875">
      <formula>B22=""</formula>
    </cfRule>
  </conditionalFormatting>
  <conditionalFormatting sqref="E23">
    <cfRule type="expression" dxfId="13071" priority="4874">
      <formula>B23=""</formula>
    </cfRule>
  </conditionalFormatting>
  <conditionalFormatting sqref="E24">
    <cfRule type="expression" dxfId="13070" priority="4873">
      <formula>B24=""</formula>
    </cfRule>
  </conditionalFormatting>
  <conditionalFormatting sqref="E25">
    <cfRule type="expression" dxfId="13069" priority="4872">
      <formula>B25=""</formula>
    </cfRule>
  </conditionalFormatting>
  <conditionalFormatting sqref="E26">
    <cfRule type="expression" dxfId="13068" priority="4871">
      <formula>B26=""</formula>
    </cfRule>
  </conditionalFormatting>
  <conditionalFormatting sqref="E27:E28">
    <cfRule type="expression" dxfId="13067" priority="4870">
      <formula>B27=""</formula>
    </cfRule>
  </conditionalFormatting>
  <conditionalFormatting sqref="G8:G27">
    <cfRule type="expression" dxfId="13066" priority="4869">
      <formula>B8=""</formula>
    </cfRule>
  </conditionalFormatting>
  <conditionalFormatting sqref="G9">
    <cfRule type="expression" dxfId="13065" priority="4868">
      <formula>B9=""</formula>
    </cfRule>
  </conditionalFormatting>
  <conditionalFormatting sqref="G10:G20">
    <cfRule type="expression" dxfId="13064" priority="4867">
      <formula>B10=""</formula>
    </cfRule>
  </conditionalFormatting>
  <conditionalFormatting sqref="G21">
    <cfRule type="expression" dxfId="13063" priority="4866">
      <formula>B21=""</formula>
    </cfRule>
  </conditionalFormatting>
  <conditionalFormatting sqref="G22">
    <cfRule type="expression" dxfId="13062" priority="4865">
      <formula>B22=""</formula>
    </cfRule>
  </conditionalFormatting>
  <conditionalFormatting sqref="G23">
    <cfRule type="expression" dxfId="13061" priority="4864">
      <formula>B23=""</formula>
    </cfRule>
  </conditionalFormatting>
  <conditionalFormatting sqref="G24">
    <cfRule type="expression" dxfId="13060" priority="4863">
      <formula>B24=""</formula>
    </cfRule>
  </conditionalFormatting>
  <conditionalFormatting sqref="G25">
    <cfRule type="expression" dxfId="13059" priority="4862">
      <formula>B25=""</formula>
    </cfRule>
  </conditionalFormatting>
  <conditionalFormatting sqref="G26">
    <cfRule type="expression" dxfId="13058" priority="4861">
      <formula>B26=""</formula>
    </cfRule>
  </conditionalFormatting>
  <conditionalFormatting sqref="G27">
    <cfRule type="expression" dxfId="13057" priority="4860">
      <formula>B27=""</formula>
    </cfRule>
  </conditionalFormatting>
  <conditionalFormatting sqref="H8">
    <cfRule type="expression" dxfId="13056" priority="4859">
      <formula>B8=""</formula>
    </cfRule>
  </conditionalFormatting>
  <conditionalFormatting sqref="H9">
    <cfRule type="expression" dxfId="13055" priority="4858">
      <formula>B9=""</formula>
    </cfRule>
  </conditionalFormatting>
  <conditionalFormatting sqref="H10:H20">
    <cfRule type="expression" dxfId="13054" priority="4857">
      <formula>B10=""</formula>
    </cfRule>
  </conditionalFormatting>
  <conditionalFormatting sqref="H21">
    <cfRule type="expression" dxfId="13053" priority="4856">
      <formula>B21=""</formula>
    </cfRule>
  </conditionalFormatting>
  <conditionalFormatting sqref="H22">
    <cfRule type="expression" dxfId="13052" priority="4855">
      <formula>B22=""</formula>
    </cfRule>
  </conditionalFormatting>
  <conditionalFormatting sqref="H23">
    <cfRule type="expression" dxfId="13051" priority="4854">
      <formula>B23=""</formula>
    </cfRule>
  </conditionalFormatting>
  <conditionalFormatting sqref="H24">
    <cfRule type="expression" dxfId="13050" priority="4853">
      <formula>B24=""</formula>
    </cfRule>
  </conditionalFormatting>
  <conditionalFormatting sqref="H25">
    <cfRule type="expression" dxfId="13049" priority="4852">
      <formula>B25=""</formula>
    </cfRule>
  </conditionalFormatting>
  <conditionalFormatting sqref="H26">
    <cfRule type="expression" dxfId="13048" priority="4851">
      <formula>B26=""</formula>
    </cfRule>
  </conditionalFormatting>
  <conditionalFormatting sqref="H27">
    <cfRule type="expression" dxfId="13047" priority="4850">
      <formula>B27=""</formula>
    </cfRule>
  </conditionalFormatting>
  <conditionalFormatting sqref="F8:F28">
    <cfRule type="expression" dxfId="13046" priority="4849">
      <formula>B8=""</formula>
    </cfRule>
  </conditionalFormatting>
  <conditionalFormatting sqref="F9">
    <cfRule type="expression" dxfId="13045" priority="4848">
      <formula>B9=""</formula>
    </cfRule>
  </conditionalFormatting>
  <conditionalFormatting sqref="F10:F20">
    <cfRule type="expression" dxfId="13044" priority="4847">
      <formula>B10=""</formula>
    </cfRule>
  </conditionalFormatting>
  <conditionalFormatting sqref="F21">
    <cfRule type="expression" dxfId="13043" priority="4846">
      <formula>B21=""</formula>
    </cfRule>
  </conditionalFormatting>
  <conditionalFormatting sqref="F22">
    <cfRule type="expression" dxfId="13042" priority="4845">
      <formula>B22=""</formula>
    </cfRule>
  </conditionalFormatting>
  <conditionalFormatting sqref="F23">
    <cfRule type="expression" dxfId="13041" priority="4844">
      <formula>B23=""</formula>
    </cfRule>
  </conditionalFormatting>
  <conditionalFormatting sqref="F24">
    <cfRule type="expression" dxfId="13040" priority="4843">
      <formula>B24=""</formula>
    </cfRule>
  </conditionalFormatting>
  <conditionalFormatting sqref="F25">
    <cfRule type="expression" dxfId="13039" priority="4842">
      <formula>B25=""</formula>
    </cfRule>
  </conditionalFormatting>
  <conditionalFormatting sqref="F26">
    <cfRule type="expression" dxfId="13038" priority="4841">
      <formula>B26=""</formula>
    </cfRule>
  </conditionalFormatting>
  <conditionalFormatting sqref="F27:F28">
    <cfRule type="expression" dxfId="13037" priority="4840">
      <formula>B27=""</formula>
    </cfRule>
  </conditionalFormatting>
  <conditionalFormatting sqref="C30:C49">
    <cfRule type="expression" dxfId="13036" priority="4839">
      <formula>B30=""</formula>
    </cfRule>
  </conditionalFormatting>
  <conditionalFormatting sqref="C31 C33 C35 C37 C39 C41 C43 C45 C47 C49">
    <cfRule type="expression" dxfId="13035" priority="4838">
      <formula>B31=""</formula>
    </cfRule>
  </conditionalFormatting>
  <conditionalFormatting sqref="C32:C49">
    <cfRule type="expression" dxfId="13034" priority="4837">
      <formula>B32=""</formula>
    </cfRule>
  </conditionalFormatting>
  <conditionalFormatting sqref="C43">
    <cfRule type="expression" dxfId="13033" priority="4836">
      <formula>B43=""</formula>
    </cfRule>
  </conditionalFormatting>
  <conditionalFormatting sqref="C44">
    <cfRule type="expression" dxfId="13032" priority="4835">
      <formula>B44=""</formula>
    </cfRule>
  </conditionalFormatting>
  <conditionalFormatting sqref="C45">
    <cfRule type="expression" dxfId="13031" priority="4834">
      <formula>B45=""</formula>
    </cfRule>
  </conditionalFormatting>
  <conditionalFormatting sqref="C46">
    <cfRule type="expression" dxfId="13030" priority="4833">
      <formula>B46=""</formula>
    </cfRule>
  </conditionalFormatting>
  <conditionalFormatting sqref="C47">
    <cfRule type="expression" dxfId="13029" priority="4832">
      <formula>B47=""</formula>
    </cfRule>
  </conditionalFormatting>
  <conditionalFormatting sqref="C48">
    <cfRule type="expression" dxfId="13028" priority="4831">
      <formula>B48=""</formula>
    </cfRule>
  </conditionalFormatting>
  <conditionalFormatting sqref="C49">
    <cfRule type="expression" dxfId="13027" priority="4830">
      <formula>B49=""</formula>
    </cfRule>
  </conditionalFormatting>
  <conditionalFormatting sqref="D30">
    <cfRule type="expression" dxfId="13026" priority="4829">
      <formula>B30=""</formula>
    </cfRule>
  </conditionalFormatting>
  <conditionalFormatting sqref="D31 D33 D35 D37 D39 D41 D43 D45 D47 D49">
    <cfRule type="expression" dxfId="13025" priority="4828">
      <formula>B31=""</formula>
    </cfRule>
  </conditionalFormatting>
  <conditionalFormatting sqref="D32:D49">
    <cfRule type="expression" dxfId="13024" priority="4827">
      <formula>B32=""</formula>
    </cfRule>
  </conditionalFormatting>
  <conditionalFormatting sqref="D43">
    <cfRule type="expression" dxfId="13023" priority="4826">
      <formula>B43=""</formula>
    </cfRule>
  </conditionalFormatting>
  <conditionalFormatting sqref="D44">
    <cfRule type="expression" dxfId="13022" priority="4825">
      <formula>B44=""</formula>
    </cfRule>
  </conditionalFormatting>
  <conditionalFormatting sqref="D45">
    <cfRule type="expression" dxfId="13021" priority="4824">
      <formula>B45=""</formula>
    </cfRule>
  </conditionalFormatting>
  <conditionalFormatting sqref="D46">
    <cfRule type="expression" dxfId="13020" priority="4823">
      <formula>B46=""</formula>
    </cfRule>
  </conditionalFormatting>
  <conditionalFormatting sqref="D47">
    <cfRule type="expression" dxfId="13019" priority="4822">
      <formula>B47=""</formula>
    </cfRule>
  </conditionalFormatting>
  <conditionalFormatting sqref="D48">
    <cfRule type="expression" dxfId="13018" priority="4821">
      <formula>B48=""</formula>
    </cfRule>
  </conditionalFormatting>
  <conditionalFormatting sqref="D49">
    <cfRule type="expression" dxfId="13017" priority="4820">
      <formula>B49=""</formula>
    </cfRule>
  </conditionalFormatting>
  <conditionalFormatting sqref="E30">
    <cfRule type="expression" dxfId="13016" priority="4819">
      <formula>B30=""</formula>
    </cfRule>
  </conditionalFormatting>
  <conditionalFormatting sqref="E31 E33 E35 E37 E39 E41 E43 E45 E47 E49">
    <cfRule type="expression" dxfId="13015" priority="4818">
      <formula>B31=""</formula>
    </cfRule>
  </conditionalFormatting>
  <conditionalFormatting sqref="E32:E49">
    <cfRule type="expression" dxfId="13014" priority="4817">
      <formula>B32=""</formula>
    </cfRule>
  </conditionalFormatting>
  <conditionalFormatting sqref="E43">
    <cfRule type="expression" dxfId="13013" priority="4816">
      <formula>B43=""</formula>
    </cfRule>
  </conditionalFormatting>
  <conditionalFormatting sqref="E44">
    <cfRule type="expression" dxfId="13012" priority="4815">
      <formula>B44=""</formula>
    </cfRule>
  </conditionalFormatting>
  <conditionalFormatting sqref="E45">
    <cfRule type="expression" dxfId="13011" priority="4814">
      <formula>B45=""</formula>
    </cfRule>
  </conditionalFormatting>
  <conditionalFormatting sqref="E46">
    <cfRule type="expression" dxfId="13010" priority="4813">
      <formula>B46=""</formula>
    </cfRule>
  </conditionalFormatting>
  <conditionalFormatting sqref="E47">
    <cfRule type="expression" dxfId="13009" priority="4812">
      <formula>B47=""</formula>
    </cfRule>
  </conditionalFormatting>
  <conditionalFormatting sqref="E48">
    <cfRule type="expression" dxfId="13008" priority="4811">
      <formula>B48=""</formula>
    </cfRule>
  </conditionalFormatting>
  <conditionalFormatting sqref="E49:E50">
    <cfRule type="expression" dxfId="13007" priority="4810">
      <formula>B49=""</formula>
    </cfRule>
  </conditionalFormatting>
  <conditionalFormatting sqref="F30:F50">
    <cfRule type="expression" dxfId="13006" priority="4809">
      <formula>B30=""</formula>
    </cfRule>
  </conditionalFormatting>
  <conditionalFormatting sqref="F31 F33 F35 F37 F39 F41 F43 F45 F47 F49">
    <cfRule type="expression" dxfId="13005" priority="4808">
      <formula>B31=""</formula>
    </cfRule>
  </conditionalFormatting>
  <conditionalFormatting sqref="F32:F49">
    <cfRule type="expression" dxfId="13004" priority="4807">
      <formula>B32=""</formula>
    </cfRule>
  </conditionalFormatting>
  <conditionalFormatting sqref="F43">
    <cfRule type="expression" dxfId="13003" priority="4806">
      <formula>B43=""</formula>
    </cfRule>
  </conditionalFormatting>
  <conditionalFormatting sqref="F44">
    <cfRule type="expression" dxfId="13002" priority="4805">
      <formula>B44=""</formula>
    </cfRule>
  </conditionalFormatting>
  <conditionalFormatting sqref="F45">
    <cfRule type="expression" dxfId="13001" priority="4804">
      <formula>B45=""</formula>
    </cfRule>
  </conditionalFormatting>
  <conditionalFormatting sqref="F46">
    <cfRule type="expression" dxfId="13000" priority="4803">
      <formula>B46=""</formula>
    </cfRule>
  </conditionalFormatting>
  <conditionalFormatting sqref="F47">
    <cfRule type="expression" dxfId="12999" priority="4802">
      <formula>B47=""</formula>
    </cfRule>
  </conditionalFormatting>
  <conditionalFormatting sqref="F48">
    <cfRule type="expression" dxfId="12998" priority="4801">
      <formula>B48=""</formula>
    </cfRule>
  </conditionalFormatting>
  <conditionalFormatting sqref="F49">
    <cfRule type="expression" dxfId="12997" priority="4800">
      <formula>B49=""</formula>
    </cfRule>
  </conditionalFormatting>
  <conditionalFormatting sqref="E31 E33 E35 E37 E39 E41 E43 E45 E47 E49">
    <cfRule type="expression" dxfId="12996" priority="4799">
      <formula>B31=""</formula>
    </cfRule>
  </conditionalFormatting>
  <conditionalFormatting sqref="E32:E49">
    <cfRule type="expression" dxfId="12995" priority="4798">
      <formula>B32=""</formula>
    </cfRule>
  </conditionalFormatting>
  <conditionalFormatting sqref="E43">
    <cfRule type="expression" dxfId="12994" priority="4797">
      <formula>B43=""</formula>
    </cfRule>
  </conditionalFormatting>
  <conditionalFormatting sqref="E44">
    <cfRule type="expression" dxfId="12993" priority="4796">
      <formula>B44=""</formula>
    </cfRule>
  </conditionalFormatting>
  <conditionalFormatting sqref="E45">
    <cfRule type="expression" dxfId="12992" priority="4795">
      <formula>B45=""</formula>
    </cfRule>
  </conditionalFormatting>
  <conditionalFormatting sqref="E46">
    <cfRule type="expression" dxfId="12991" priority="4794">
      <formula>B46=""</formula>
    </cfRule>
  </conditionalFormatting>
  <conditionalFormatting sqref="E47">
    <cfRule type="expression" dxfId="12990" priority="4793">
      <formula>B47=""</formula>
    </cfRule>
  </conditionalFormatting>
  <conditionalFormatting sqref="E48">
    <cfRule type="expression" dxfId="12989" priority="4792">
      <formula>B48=""</formula>
    </cfRule>
  </conditionalFormatting>
  <conditionalFormatting sqref="E49:E50">
    <cfRule type="expression" dxfId="12988" priority="4791">
      <formula>B49=""</formula>
    </cfRule>
  </conditionalFormatting>
  <conditionalFormatting sqref="G30">
    <cfRule type="expression" dxfId="12987" priority="4790">
      <formula>B30=""</formula>
    </cfRule>
  </conditionalFormatting>
  <conditionalFormatting sqref="G31 G33 G35 G37 G39 G41 G43 G45 G47 G49">
    <cfRule type="expression" dxfId="12986" priority="4789">
      <formula>B31=""</formula>
    </cfRule>
  </conditionalFormatting>
  <conditionalFormatting sqref="G32:G49">
    <cfRule type="expression" dxfId="12985" priority="4788">
      <formula>B32=""</formula>
    </cfRule>
  </conditionalFormatting>
  <conditionalFormatting sqref="G43">
    <cfRule type="expression" dxfId="12984" priority="4787">
      <formula>B43=""</formula>
    </cfRule>
  </conditionalFormatting>
  <conditionalFormatting sqref="G44">
    <cfRule type="expression" dxfId="12983" priority="4786">
      <formula>B44=""</formula>
    </cfRule>
  </conditionalFormatting>
  <conditionalFormatting sqref="G45">
    <cfRule type="expression" dxfId="12982" priority="4785">
      <formula>B45=""</formula>
    </cfRule>
  </conditionalFormatting>
  <conditionalFormatting sqref="G46">
    <cfRule type="expression" dxfId="12981" priority="4784">
      <formula>B46=""</formula>
    </cfRule>
  </conditionalFormatting>
  <conditionalFormatting sqref="G47">
    <cfRule type="expression" dxfId="12980" priority="4783">
      <formula>B47=""</formula>
    </cfRule>
  </conditionalFormatting>
  <conditionalFormatting sqref="G48">
    <cfRule type="expression" dxfId="12979" priority="4782">
      <formula>B48=""</formula>
    </cfRule>
  </conditionalFormatting>
  <conditionalFormatting sqref="G49">
    <cfRule type="expression" dxfId="12978" priority="4781">
      <formula>B49=""</formula>
    </cfRule>
  </conditionalFormatting>
  <conditionalFormatting sqref="H30">
    <cfRule type="expression" dxfId="12977" priority="4780">
      <formula>B30=""</formula>
    </cfRule>
  </conditionalFormatting>
  <conditionalFormatting sqref="H31 H33 H35 H37 H39 H41 H43 H45 H47 H49">
    <cfRule type="expression" dxfId="12976" priority="4779">
      <formula>B31=""</formula>
    </cfRule>
  </conditionalFormatting>
  <conditionalFormatting sqref="H32:H49">
    <cfRule type="expression" dxfId="12975" priority="4778">
      <formula>B32=""</formula>
    </cfRule>
  </conditionalFormatting>
  <conditionalFormatting sqref="H43">
    <cfRule type="expression" dxfId="12974" priority="4777">
      <formula>B43=""</formula>
    </cfRule>
  </conditionalFormatting>
  <conditionalFormatting sqref="H44">
    <cfRule type="expression" dxfId="12973" priority="4776">
      <formula>B44=""</formula>
    </cfRule>
  </conditionalFormatting>
  <conditionalFormatting sqref="H45">
    <cfRule type="expression" dxfId="12972" priority="4775">
      <formula>B45=""</formula>
    </cfRule>
  </conditionalFormatting>
  <conditionalFormatting sqref="H46">
    <cfRule type="expression" dxfId="12971" priority="4774">
      <formula>B46=""</formula>
    </cfRule>
  </conditionalFormatting>
  <conditionalFormatting sqref="H47">
    <cfRule type="expression" dxfId="12970" priority="4773">
      <formula>B47=""</formula>
    </cfRule>
  </conditionalFormatting>
  <conditionalFormatting sqref="H48">
    <cfRule type="expression" dxfId="12969" priority="4772">
      <formula>B48=""</formula>
    </cfRule>
  </conditionalFormatting>
  <conditionalFormatting sqref="H49">
    <cfRule type="expression" dxfId="12968" priority="4771">
      <formula>B49=""</formula>
    </cfRule>
  </conditionalFormatting>
  <conditionalFormatting sqref="C30:C49">
    <cfRule type="expression" dxfId="12967" priority="4770">
      <formula>B30=""</formula>
    </cfRule>
  </conditionalFormatting>
  <conditionalFormatting sqref="C31 C33 C35 C37 C39 C41 C43 C45 C47 C49">
    <cfRule type="expression" dxfId="12966" priority="4769">
      <formula>B31=""</formula>
    </cfRule>
  </conditionalFormatting>
  <conditionalFormatting sqref="C32:C49">
    <cfRule type="expression" dxfId="12965" priority="4768">
      <formula>B32=""</formula>
    </cfRule>
  </conditionalFormatting>
  <conditionalFormatting sqref="C43">
    <cfRule type="expression" dxfId="12964" priority="4767">
      <formula>B43=""</formula>
    </cfRule>
  </conditionalFormatting>
  <conditionalFormatting sqref="C44">
    <cfRule type="expression" dxfId="12963" priority="4766">
      <formula>B44=""</formula>
    </cfRule>
  </conditionalFormatting>
  <conditionalFormatting sqref="C45">
    <cfRule type="expression" dxfId="12962" priority="4765">
      <formula>B45=""</formula>
    </cfRule>
  </conditionalFormatting>
  <conditionalFormatting sqref="C46">
    <cfRule type="expression" dxfId="12961" priority="4764">
      <formula>B46=""</formula>
    </cfRule>
  </conditionalFormatting>
  <conditionalFormatting sqref="C47">
    <cfRule type="expression" dxfId="12960" priority="4763">
      <formula>B47=""</formula>
    </cfRule>
  </conditionalFormatting>
  <conditionalFormatting sqref="C48">
    <cfRule type="expression" dxfId="12959" priority="4762">
      <formula>B48=""</formula>
    </cfRule>
  </conditionalFormatting>
  <conditionalFormatting sqref="C49">
    <cfRule type="expression" dxfId="12958" priority="4761">
      <formula>B49=""</formula>
    </cfRule>
  </conditionalFormatting>
  <conditionalFormatting sqref="C30">
    <cfRule type="expression" dxfId="12957" priority="4760">
      <formula>B30=""</formula>
    </cfRule>
  </conditionalFormatting>
  <conditionalFormatting sqref="C31 C33 C35 C37 C39 C41 C43 C45 C47 C49">
    <cfRule type="expression" dxfId="12956" priority="4759">
      <formula>B31=""</formula>
    </cfRule>
  </conditionalFormatting>
  <conditionalFormatting sqref="C32:C49">
    <cfRule type="expression" dxfId="12955" priority="4758">
      <formula>B32=""</formula>
    </cfRule>
  </conditionalFormatting>
  <conditionalFormatting sqref="C43">
    <cfRule type="expression" dxfId="12954" priority="4757">
      <formula>B43=""</formula>
    </cfRule>
  </conditionalFormatting>
  <conditionalFormatting sqref="C44">
    <cfRule type="expression" dxfId="12953" priority="4756">
      <formula>B44=""</formula>
    </cfRule>
  </conditionalFormatting>
  <conditionalFormatting sqref="C45">
    <cfRule type="expression" dxfId="12952" priority="4755">
      <formula>B45=""</formula>
    </cfRule>
  </conditionalFormatting>
  <conditionalFormatting sqref="C46">
    <cfRule type="expression" dxfId="12951" priority="4754">
      <formula>B46=""</formula>
    </cfRule>
  </conditionalFormatting>
  <conditionalFormatting sqref="C47">
    <cfRule type="expression" dxfId="12950" priority="4753">
      <formula>B47=""</formula>
    </cfRule>
  </conditionalFormatting>
  <conditionalFormatting sqref="C48">
    <cfRule type="expression" dxfId="12949" priority="4752">
      <formula>B48=""</formula>
    </cfRule>
  </conditionalFormatting>
  <conditionalFormatting sqref="C49">
    <cfRule type="expression" dxfId="12948" priority="4751">
      <formula>B49=""</formula>
    </cfRule>
  </conditionalFormatting>
  <conditionalFormatting sqref="D30">
    <cfRule type="expression" dxfId="12947" priority="4750">
      <formula>B30=""</formula>
    </cfRule>
  </conditionalFormatting>
  <conditionalFormatting sqref="D31 D33 D35 D37 D39 D41 D43 D45 D47 D49">
    <cfRule type="expression" dxfId="12946" priority="4749">
      <formula>B31=""</formula>
    </cfRule>
  </conditionalFormatting>
  <conditionalFormatting sqref="D32:D49">
    <cfRule type="expression" dxfId="12945" priority="4748">
      <formula>B32=""</formula>
    </cfRule>
  </conditionalFormatting>
  <conditionalFormatting sqref="D43">
    <cfRule type="expression" dxfId="12944" priority="4747">
      <formula>B43=""</formula>
    </cfRule>
  </conditionalFormatting>
  <conditionalFormatting sqref="D44">
    <cfRule type="expression" dxfId="12943" priority="4746">
      <formula>B44=""</formula>
    </cfRule>
  </conditionalFormatting>
  <conditionalFormatting sqref="D45">
    <cfRule type="expression" dxfId="12942" priority="4745">
      <formula>B45=""</formula>
    </cfRule>
  </conditionalFormatting>
  <conditionalFormatting sqref="D46">
    <cfRule type="expression" dxfId="12941" priority="4744">
      <formula>B46=""</formula>
    </cfRule>
  </conditionalFormatting>
  <conditionalFormatting sqref="D47">
    <cfRule type="expression" dxfId="12940" priority="4743">
      <formula>B47=""</formula>
    </cfRule>
  </conditionalFormatting>
  <conditionalFormatting sqref="D48">
    <cfRule type="expression" dxfId="12939" priority="4742">
      <formula>B48=""</formula>
    </cfRule>
  </conditionalFormatting>
  <conditionalFormatting sqref="D49">
    <cfRule type="expression" dxfId="12938" priority="4741">
      <formula>B49=""</formula>
    </cfRule>
  </conditionalFormatting>
  <conditionalFormatting sqref="E30:E50">
    <cfRule type="expression" dxfId="12937" priority="4740">
      <formula>B30=""</formula>
    </cfRule>
  </conditionalFormatting>
  <conditionalFormatting sqref="E31 E33 E35 E37 E39 E41 E43 E45 E47 E49">
    <cfRule type="expression" dxfId="12936" priority="4739">
      <formula>B31=""</formula>
    </cfRule>
  </conditionalFormatting>
  <conditionalFormatting sqref="E32:E49">
    <cfRule type="expression" dxfId="12935" priority="4738">
      <formula>B32=""</formula>
    </cfRule>
  </conditionalFormatting>
  <conditionalFormatting sqref="E43">
    <cfRule type="expression" dxfId="12934" priority="4737">
      <formula>B43=""</formula>
    </cfRule>
  </conditionalFormatting>
  <conditionalFormatting sqref="E44">
    <cfRule type="expression" dxfId="12933" priority="4736">
      <formula>B44=""</formula>
    </cfRule>
  </conditionalFormatting>
  <conditionalFormatting sqref="E45">
    <cfRule type="expression" dxfId="12932" priority="4735">
      <formula>B45=""</formula>
    </cfRule>
  </conditionalFormatting>
  <conditionalFormatting sqref="E46">
    <cfRule type="expression" dxfId="12931" priority="4734">
      <formula>B46=""</formula>
    </cfRule>
  </conditionalFormatting>
  <conditionalFormatting sqref="E47">
    <cfRule type="expression" dxfId="12930" priority="4733">
      <formula>B47=""</formula>
    </cfRule>
  </conditionalFormatting>
  <conditionalFormatting sqref="E48">
    <cfRule type="expression" dxfId="12929" priority="4732">
      <formula>B48=""</formula>
    </cfRule>
  </conditionalFormatting>
  <conditionalFormatting sqref="E49:E50">
    <cfRule type="expression" dxfId="12928" priority="4731">
      <formula>B49=""</formula>
    </cfRule>
  </conditionalFormatting>
  <conditionalFormatting sqref="F30:F50">
    <cfRule type="expression" dxfId="12927" priority="4730">
      <formula>B30=""</formula>
    </cfRule>
  </conditionalFormatting>
  <conditionalFormatting sqref="F31 F33 F35 F37 F39 F41 F43 F45 F47 F49">
    <cfRule type="expression" dxfId="12926" priority="4729">
      <formula>B31=""</formula>
    </cfRule>
  </conditionalFormatting>
  <conditionalFormatting sqref="F32:F49">
    <cfRule type="expression" dxfId="12925" priority="4728">
      <formula>B32=""</formula>
    </cfRule>
  </conditionalFormatting>
  <conditionalFormatting sqref="F43">
    <cfRule type="expression" dxfId="12924" priority="4727">
      <formula>B43=""</formula>
    </cfRule>
  </conditionalFormatting>
  <conditionalFormatting sqref="F44">
    <cfRule type="expression" dxfId="12923" priority="4726">
      <formula>B44=""</formula>
    </cfRule>
  </conditionalFormatting>
  <conditionalFormatting sqref="F45">
    <cfRule type="expression" dxfId="12922" priority="4725">
      <formula>B45=""</formula>
    </cfRule>
  </conditionalFormatting>
  <conditionalFormatting sqref="F46">
    <cfRule type="expression" dxfId="12921" priority="4724">
      <formula>B46=""</formula>
    </cfRule>
  </conditionalFormatting>
  <conditionalFormatting sqref="F47">
    <cfRule type="expression" dxfId="12920" priority="4723">
      <formula>B47=""</formula>
    </cfRule>
  </conditionalFormatting>
  <conditionalFormatting sqref="F48">
    <cfRule type="expression" dxfId="12919" priority="4722">
      <formula>B48=""</formula>
    </cfRule>
  </conditionalFormatting>
  <conditionalFormatting sqref="F49">
    <cfRule type="expression" dxfId="12918" priority="4721">
      <formula>B49=""</formula>
    </cfRule>
  </conditionalFormatting>
  <conditionalFormatting sqref="E31 E33 E35 E37 E39 E41 E43 E45 E47 E49">
    <cfRule type="expression" dxfId="12917" priority="4720">
      <formula>B31=""</formula>
    </cfRule>
  </conditionalFormatting>
  <conditionalFormatting sqref="E32:E49">
    <cfRule type="expression" dxfId="12916" priority="4719">
      <formula>B32=""</formula>
    </cfRule>
  </conditionalFormatting>
  <conditionalFormatting sqref="E43">
    <cfRule type="expression" dxfId="12915" priority="4718">
      <formula>B43=""</formula>
    </cfRule>
  </conditionalFormatting>
  <conditionalFormatting sqref="E44">
    <cfRule type="expression" dxfId="12914" priority="4717">
      <formula>B44=""</formula>
    </cfRule>
  </conditionalFormatting>
  <conditionalFormatting sqref="E45">
    <cfRule type="expression" dxfId="12913" priority="4716">
      <formula>B45=""</formula>
    </cfRule>
  </conditionalFormatting>
  <conditionalFormatting sqref="E46">
    <cfRule type="expression" dxfId="12912" priority="4715">
      <formula>B46=""</formula>
    </cfRule>
  </conditionalFormatting>
  <conditionalFormatting sqref="E47">
    <cfRule type="expression" dxfId="12911" priority="4714">
      <formula>B47=""</formula>
    </cfRule>
  </conditionalFormatting>
  <conditionalFormatting sqref="E48">
    <cfRule type="expression" dxfId="12910" priority="4713">
      <formula>B48=""</formula>
    </cfRule>
  </conditionalFormatting>
  <conditionalFormatting sqref="E49:E50">
    <cfRule type="expression" dxfId="12909" priority="4712">
      <formula>B49=""</formula>
    </cfRule>
  </conditionalFormatting>
  <conditionalFormatting sqref="G30:G49">
    <cfRule type="expression" dxfId="12908" priority="4711">
      <formula>B30=""</formula>
    </cfRule>
  </conditionalFormatting>
  <conditionalFormatting sqref="G31 G33 G35 G37 G39 G41 G43 G45 G47 G49">
    <cfRule type="expression" dxfId="12907" priority="4710">
      <formula>B31=""</formula>
    </cfRule>
  </conditionalFormatting>
  <conditionalFormatting sqref="G32:G49">
    <cfRule type="expression" dxfId="12906" priority="4709">
      <formula>B32=""</formula>
    </cfRule>
  </conditionalFormatting>
  <conditionalFormatting sqref="G43">
    <cfRule type="expression" dxfId="12905" priority="4708">
      <formula>B43=""</formula>
    </cfRule>
  </conditionalFormatting>
  <conditionalFormatting sqref="G44">
    <cfRule type="expression" dxfId="12904" priority="4707">
      <formula>B44=""</formula>
    </cfRule>
  </conditionalFormatting>
  <conditionalFormatting sqref="G45">
    <cfRule type="expression" dxfId="12903" priority="4706">
      <formula>B45=""</formula>
    </cfRule>
  </conditionalFormatting>
  <conditionalFormatting sqref="G46">
    <cfRule type="expression" dxfId="12902" priority="4705">
      <formula>B46=""</formula>
    </cfRule>
  </conditionalFormatting>
  <conditionalFormatting sqref="G47">
    <cfRule type="expression" dxfId="12901" priority="4704">
      <formula>B47=""</formula>
    </cfRule>
  </conditionalFormatting>
  <conditionalFormatting sqref="G48">
    <cfRule type="expression" dxfId="12900" priority="4703">
      <formula>B48=""</formula>
    </cfRule>
  </conditionalFormatting>
  <conditionalFormatting sqref="G49">
    <cfRule type="expression" dxfId="12899" priority="4702">
      <formula>B49=""</formula>
    </cfRule>
  </conditionalFormatting>
  <conditionalFormatting sqref="H30">
    <cfRule type="expression" dxfId="12898" priority="4701">
      <formula>B30=""</formula>
    </cfRule>
  </conditionalFormatting>
  <conditionalFormatting sqref="H31 H33 H35 H37 H39 H41 H43 H45 H47 H49">
    <cfRule type="expression" dxfId="12897" priority="4700">
      <formula>B31=""</formula>
    </cfRule>
  </conditionalFormatting>
  <conditionalFormatting sqref="H32:H49">
    <cfRule type="expression" dxfId="12896" priority="4699">
      <formula>B32=""</formula>
    </cfRule>
  </conditionalFormatting>
  <conditionalFormatting sqref="H43">
    <cfRule type="expression" dxfId="12895" priority="4698">
      <formula>B43=""</formula>
    </cfRule>
  </conditionalFormatting>
  <conditionalFormatting sqref="H44">
    <cfRule type="expression" dxfId="12894" priority="4697">
      <formula>B44=""</formula>
    </cfRule>
  </conditionalFormatting>
  <conditionalFormatting sqref="H45">
    <cfRule type="expression" dxfId="12893" priority="4696">
      <formula>B45=""</formula>
    </cfRule>
  </conditionalFormatting>
  <conditionalFormatting sqref="H46">
    <cfRule type="expression" dxfId="12892" priority="4695">
      <formula>B46=""</formula>
    </cfRule>
  </conditionalFormatting>
  <conditionalFormatting sqref="H47">
    <cfRule type="expression" dxfId="12891" priority="4694">
      <formula>B47=""</formula>
    </cfRule>
  </conditionalFormatting>
  <conditionalFormatting sqref="H48">
    <cfRule type="expression" dxfId="12890" priority="4693">
      <formula>B48=""</formula>
    </cfRule>
  </conditionalFormatting>
  <conditionalFormatting sqref="H49">
    <cfRule type="expression" dxfId="12889" priority="4692">
      <formula>B49=""</formula>
    </cfRule>
  </conditionalFormatting>
  <conditionalFormatting sqref="F30:F50">
    <cfRule type="expression" dxfId="12888" priority="4691">
      <formula>B30=""</formula>
    </cfRule>
  </conditionalFormatting>
  <conditionalFormatting sqref="F31 F33 F35 F37 F39 F41 F43 F45 F47 F49">
    <cfRule type="expression" dxfId="12887" priority="4690">
      <formula>B31=""</formula>
    </cfRule>
  </conditionalFormatting>
  <conditionalFormatting sqref="F32:F49">
    <cfRule type="expression" dxfId="12886" priority="4689">
      <formula>B32=""</formula>
    </cfRule>
  </conditionalFormatting>
  <conditionalFormatting sqref="F43">
    <cfRule type="expression" dxfId="12885" priority="4688">
      <formula>B43=""</formula>
    </cfRule>
  </conditionalFormatting>
  <conditionalFormatting sqref="F44">
    <cfRule type="expression" dxfId="12884" priority="4687">
      <formula>B44=""</formula>
    </cfRule>
  </conditionalFormatting>
  <conditionalFormatting sqref="F45">
    <cfRule type="expression" dxfId="12883" priority="4686">
      <formula>B45=""</formula>
    </cfRule>
  </conditionalFormatting>
  <conditionalFormatting sqref="F46">
    <cfRule type="expression" dxfId="12882" priority="4685">
      <formula>B46=""</formula>
    </cfRule>
  </conditionalFormatting>
  <conditionalFormatting sqref="F47">
    <cfRule type="expression" dxfId="12881" priority="4684">
      <formula>B47=""</formula>
    </cfRule>
  </conditionalFormatting>
  <conditionalFormatting sqref="F48">
    <cfRule type="expression" dxfId="12880" priority="4683">
      <formula>B48=""</formula>
    </cfRule>
  </conditionalFormatting>
  <conditionalFormatting sqref="F49">
    <cfRule type="expression" dxfId="12879" priority="4682">
      <formula>B49=""</formula>
    </cfRule>
  </conditionalFormatting>
  <conditionalFormatting sqref="C52:C71">
    <cfRule type="expression" dxfId="12878" priority="4681">
      <formula>B52=""</formula>
    </cfRule>
  </conditionalFormatting>
  <conditionalFormatting sqref="C53">
    <cfRule type="expression" dxfId="12877" priority="4680">
      <formula>B53=""</formula>
    </cfRule>
  </conditionalFormatting>
  <conditionalFormatting sqref="C54:C64">
    <cfRule type="expression" dxfId="12876" priority="4679">
      <formula>B54=""</formula>
    </cfRule>
  </conditionalFormatting>
  <conditionalFormatting sqref="C65">
    <cfRule type="expression" dxfId="12875" priority="4678">
      <formula>B65=""</formula>
    </cfRule>
  </conditionalFormatting>
  <conditionalFormatting sqref="C66">
    <cfRule type="expression" dxfId="12874" priority="4677">
      <formula>B66=""</formula>
    </cfRule>
  </conditionalFormatting>
  <conditionalFormatting sqref="C67">
    <cfRule type="expression" dxfId="12873" priority="4676">
      <formula>B67=""</formula>
    </cfRule>
  </conditionalFormatting>
  <conditionalFormatting sqref="C68">
    <cfRule type="expression" dxfId="12872" priority="4675">
      <formula>B68=""</formula>
    </cfRule>
  </conditionalFormatting>
  <conditionalFormatting sqref="C69">
    <cfRule type="expression" dxfId="12871" priority="4674">
      <formula>B69=""</formula>
    </cfRule>
  </conditionalFormatting>
  <conditionalFormatting sqref="C70">
    <cfRule type="expression" dxfId="12870" priority="4673">
      <formula>B70=""</formula>
    </cfRule>
  </conditionalFormatting>
  <conditionalFormatting sqref="C71">
    <cfRule type="expression" dxfId="12869" priority="4672">
      <formula>B71=""</formula>
    </cfRule>
  </conditionalFormatting>
  <conditionalFormatting sqref="C71">
    <cfRule type="expression" dxfId="12868" priority="4671">
      <formula>B71=""</formula>
    </cfRule>
  </conditionalFormatting>
  <conditionalFormatting sqref="C52:C71">
    <cfRule type="expression" dxfId="12867" priority="4670">
      <formula>B52=""</formula>
    </cfRule>
  </conditionalFormatting>
  <conditionalFormatting sqref="C53">
    <cfRule type="expression" dxfId="12866" priority="4669">
      <formula>B53=""</formula>
    </cfRule>
  </conditionalFormatting>
  <conditionalFormatting sqref="C54:C64">
    <cfRule type="expression" dxfId="12865" priority="4668">
      <formula>B54=""</formula>
    </cfRule>
  </conditionalFormatting>
  <conditionalFormatting sqref="C65">
    <cfRule type="expression" dxfId="12864" priority="4667">
      <formula>B65=""</formula>
    </cfRule>
  </conditionalFormatting>
  <conditionalFormatting sqref="C66">
    <cfRule type="expression" dxfId="12863" priority="4666">
      <formula>B66=""</formula>
    </cfRule>
  </conditionalFormatting>
  <conditionalFormatting sqref="C67">
    <cfRule type="expression" dxfId="12862" priority="4665">
      <formula>B67=""</formula>
    </cfRule>
  </conditionalFormatting>
  <conditionalFormatting sqref="C68">
    <cfRule type="expression" dxfId="12861" priority="4664">
      <formula>B68=""</formula>
    </cfRule>
  </conditionalFormatting>
  <conditionalFormatting sqref="C69">
    <cfRule type="expression" dxfId="12860" priority="4663">
      <formula>B69=""</formula>
    </cfRule>
  </conditionalFormatting>
  <conditionalFormatting sqref="C70">
    <cfRule type="expression" dxfId="12859" priority="4662">
      <formula>B70=""</formula>
    </cfRule>
  </conditionalFormatting>
  <conditionalFormatting sqref="C71">
    <cfRule type="expression" dxfId="12858" priority="4661">
      <formula>B71=""</formula>
    </cfRule>
  </conditionalFormatting>
  <conditionalFormatting sqref="C52:C71">
    <cfRule type="expression" dxfId="12857" priority="4660">
      <formula>B52=""</formula>
    </cfRule>
  </conditionalFormatting>
  <conditionalFormatting sqref="C53">
    <cfRule type="expression" dxfId="12856" priority="4659">
      <formula>B53=""</formula>
    </cfRule>
  </conditionalFormatting>
  <conditionalFormatting sqref="C54:C64">
    <cfRule type="expression" dxfId="12855" priority="4658">
      <formula>B54=""</formula>
    </cfRule>
  </conditionalFormatting>
  <conditionalFormatting sqref="C65">
    <cfRule type="expression" dxfId="12854" priority="4657">
      <formula>B65=""</formula>
    </cfRule>
  </conditionalFormatting>
  <conditionalFormatting sqref="C66">
    <cfRule type="expression" dxfId="12853" priority="4656">
      <formula>B66=""</formula>
    </cfRule>
  </conditionalFormatting>
  <conditionalFormatting sqref="C67">
    <cfRule type="expression" dxfId="12852" priority="4655">
      <formula>B67=""</formula>
    </cfRule>
  </conditionalFormatting>
  <conditionalFormatting sqref="C68">
    <cfRule type="expression" dxfId="12851" priority="4654">
      <formula>B68=""</formula>
    </cfRule>
  </conditionalFormatting>
  <conditionalFormatting sqref="C69">
    <cfRule type="expression" dxfId="12850" priority="4653">
      <formula>B69=""</formula>
    </cfRule>
  </conditionalFormatting>
  <conditionalFormatting sqref="C70">
    <cfRule type="expression" dxfId="12849" priority="4652">
      <formula>B70=""</formula>
    </cfRule>
  </conditionalFormatting>
  <conditionalFormatting sqref="C71">
    <cfRule type="expression" dxfId="12848" priority="4651">
      <formula>B71=""</formula>
    </cfRule>
  </conditionalFormatting>
  <conditionalFormatting sqref="C52:C71">
    <cfRule type="expression" dxfId="12847" priority="4650">
      <formula>B52=""</formula>
    </cfRule>
  </conditionalFormatting>
  <conditionalFormatting sqref="C53">
    <cfRule type="expression" dxfId="12846" priority="4649">
      <formula>B53=""</formula>
    </cfRule>
  </conditionalFormatting>
  <conditionalFormatting sqref="C54:C64">
    <cfRule type="expression" dxfId="12845" priority="4648">
      <formula>B54=""</formula>
    </cfRule>
  </conditionalFormatting>
  <conditionalFormatting sqref="C65">
    <cfRule type="expression" dxfId="12844" priority="4647">
      <formula>B65=""</formula>
    </cfRule>
  </conditionalFormatting>
  <conditionalFormatting sqref="C66">
    <cfRule type="expression" dxfId="12843" priority="4646">
      <formula>B66=""</formula>
    </cfRule>
  </conditionalFormatting>
  <conditionalFormatting sqref="C67">
    <cfRule type="expression" dxfId="12842" priority="4645">
      <formula>B67=""</formula>
    </cfRule>
  </conditionalFormatting>
  <conditionalFormatting sqref="C68">
    <cfRule type="expression" dxfId="12841" priority="4644">
      <formula>B68=""</formula>
    </cfRule>
  </conditionalFormatting>
  <conditionalFormatting sqref="C69">
    <cfRule type="expression" dxfId="12840" priority="4643">
      <formula>B69=""</formula>
    </cfRule>
  </conditionalFormatting>
  <conditionalFormatting sqref="C70">
    <cfRule type="expression" dxfId="12839" priority="4642">
      <formula>B70=""</formula>
    </cfRule>
  </conditionalFormatting>
  <conditionalFormatting sqref="C71">
    <cfRule type="expression" dxfId="12838" priority="4641">
      <formula>B71=""</formula>
    </cfRule>
  </conditionalFormatting>
  <conditionalFormatting sqref="C52:C71">
    <cfRule type="expression" dxfId="12837" priority="4640">
      <formula>B52=""</formula>
    </cfRule>
  </conditionalFormatting>
  <conditionalFormatting sqref="C53">
    <cfRule type="expression" dxfId="12836" priority="4639">
      <formula>B53=""</formula>
    </cfRule>
  </conditionalFormatting>
  <conditionalFormatting sqref="C54:C64">
    <cfRule type="expression" dxfId="12835" priority="4638">
      <formula>B54=""</formula>
    </cfRule>
  </conditionalFormatting>
  <conditionalFormatting sqref="C65">
    <cfRule type="expression" dxfId="12834" priority="4637">
      <formula>B65=""</formula>
    </cfRule>
  </conditionalFormatting>
  <conditionalFormatting sqref="C66">
    <cfRule type="expression" dxfId="12833" priority="4636">
      <formula>B66=""</formula>
    </cfRule>
  </conditionalFormatting>
  <conditionalFormatting sqref="C67">
    <cfRule type="expression" dxfId="12832" priority="4635">
      <formula>B67=""</formula>
    </cfRule>
  </conditionalFormatting>
  <conditionalFormatting sqref="C68">
    <cfRule type="expression" dxfId="12831" priority="4634">
      <formula>B68=""</formula>
    </cfRule>
  </conditionalFormatting>
  <conditionalFormatting sqref="C69">
    <cfRule type="expression" dxfId="12830" priority="4633">
      <formula>B69=""</formula>
    </cfRule>
  </conditionalFormatting>
  <conditionalFormatting sqref="C70">
    <cfRule type="expression" dxfId="12829" priority="4632">
      <formula>B70=""</formula>
    </cfRule>
  </conditionalFormatting>
  <conditionalFormatting sqref="C71">
    <cfRule type="expression" dxfId="12828" priority="4631">
      <formula>B71=""</formula>
    </cfRule>
  </conditionalFormatting>
  <conditionalFormatting sqref="C74:C93">
    <cfRule type="expression" dxfId="12827" priority="4630">
      <formula>B74=""</formula>
    </cfRule>
  </conditionalFormatting>
  <conditionalFormatting sqref="C75 C77 C79 C81 C83 C85 C87 C89 C91 C93">
    <cfRule type="expression" dxfId="12826" priority="4629">
      <formula>B75=""</formula>
    </cfRule>
  </conditionalFormatting>
  <conditionalFormatting sqref="C76 C78 C80 C82 C84 C86 C88 C90 C92">
    <cfRule type="expression" dxfId="12825" priority="4628">
      <formula>B76=""</formula>
    </cfRule>
  </conditionalFormatting>
  <conditionalFormatting sqref="C77:C87">
    <cfRule type="expression" dxfId="12824" priority="4627">
      <formula>B77=""</formula>
    </cfRule>
  </conditionalFormatting>
  <conditionalFormatting sqref="C88">
    <cfRule type="expression" dxfId="12823" priority="4626">
      <formula>B88=""</formula>
    </cfRule>
  </conditionalFormatting>
  <conditionalFormatting sqref="C89">
    <cfRule type="expression" dxfId="12822" priority="4625">
      <formula>B89=""</formula>
    </cfRule>
  </conditionalFormatting>
  <conditionalFormatting sqref="C90">
    <cfRule type="expression" dxfId="12821" priority="4624">
      <formula>B90=""</formula>
    </cfRule>
  </conditionalFormatting>
  <conditionalFormatting sqref="C91">
    <cfRule type="expression" dxfId="12820" priority="4623">
      <formula>B91=""</formula>
    </cfRule>
  </conditionalFormatting>
  <conditionalFormatting sqref="C92">
    <cfRule type="expression" dxfId="12819" priority="4622">
      <formula>B92=""</formula>
    </cfRule>
  </conditionalFormatting>
  <conditionalFormatting sqref="C93">
    <cfRule type="expression" dxfId="12818" priority="4621">
      <formula>B93=""</formula>
    </cfRule>
  </conditionalFormatting>
  <conditionalFormatting sqref="C93">
    <cfRule type="expression" dxfId="12817" priority="4620">
      <formula>B93=""</formula>
    </cfRule>
  </conditionalFormatting>
  <conditionalFormatting sqref="C74:C93">
    <cfRule type="expression" dxfId="12816" priority="4619">
      <formula>B74=""</formula>
    </cfRule>
  </conditionalFormatting>
  <conditionalFormatting sqref="C75 C77 C79 C81 C83 C85 C87 C89 C91 C93">
    <cfRule type="expression" dxfId="12815" priority="4618">
      <formula>B75=""</formula>
    </cfRule>
  </conditionalFormatting>
  <conditionalFormatting sqref="C76 C78 C80 C82 C84 C86 C88 C90 C92">
    <cfRule type="expression" dxfId="12814" priority="4617">
      <formula>B76=""</formula>
    </cfRule>
  </conditionalFormatting>
  <conditionalFormatting sqref="C77:C87">
    <cfRule type="expression" dxfId="12813" priority="4616">
      <formula>B77=""</formula>
    </cfRule>
  </conditionalFormatting>
  <conditionalFormatting sqref="C88">
    <cfRule type="expression" dxfId="12812" priority="4615">
      <formula>B88=""</formula>
    </cfRule>
  </conditionalFormatting>
  <conditionalFormatting sqref="C89">
    <cfRule type="expression" dxfId="12811" priority="4614">
      <formula>B89=""</formula>
    </cfRule>
  </conditionalFormatting>
  <conditionalFormatting sqref="C90">
    <cfRule type="expression" dxfId="12810" priority="4613">
      <formula>B90=""</formula>
    </cfRule>
  </conditionalFormatting>
  <conditionalFormatting sqref="C91">
    <cfRule type="expression" dxfId="12809" priority="4612">
      <formula>B91=""</formula>
    </cfRule>
  </conditionalFormatting>
  <conditionalFormatting sqref="C92">
    <cfRule type="expression" dxfId="12808" priority="4611">
      <formula>B92=""</formula>
    </cfRule>
  </conditionalFormatting>
  <conditionalFormatting sqref="C93">
    <cfRule type="expression" dxfId="12807" priority="4610">
      <formula>B93=""</formula>
    </cfRule>
  </conditionalFormatting>
  <conditionalFormatting sqref="C74:C93">
    <cfRule type="expression" dxfId="12806" priority="4609">
      <formula>B74=""</formula>
    </cfRule>
  </conditionalFormatting>
  <conditionalFormatting sqref="C75 C77 C79 C81 C83 C85 C87 C89 C91 C93">
    <cfRule type="expression" dxfId="12805" priority="4608">
      <formula>B75=""</formula>
    </cfRule>
  </conditionalFormatting>
  <conditionalFormatting sqref="C76 C78 C80 C82 C84 C86 C88 C90 C92">
    <cfRule type="expression" dxfId="12804" priority="4607">
      <formula>B76=""</formula>
    </cfRule>
  </conditionalFormatting>
  <conditionalFormatting sqref="C77:C87">
    <cfRule type="expression" dxfId="12803" priority="4606">
      <formula>B77=""</formula>
    </cfRule>
  </conditionalFormatting>
  <conditionalFormatting sqref="C88">
    <cfRule type="expression" dxfId="12802" priority="4605">
      <formula>B88=""</formula>
    </cfRule>
  </conditionalFormatting>
  <conditionalFormatting sqref="C89">
    <cfRule type="expression" dxfId="12801" priority="4604">
      <formula>B89=""</formula>
    </cfRule>
  </conditionalFormatting>
  <conditionalFormatting sqref="C90">
    <cfRule type="expression" dxfId="12800" priority="4603">
      <formula>B90=""</formula>
    </cfRule>
  </conditionalFormatting>
  <conditionalFormatting sqref="C91">
    <cfRule type="expression" dxfId="12799" priority="4602">
      <formula>B91=""</formula>
    </cfRule>
  </conditionalFormatting>
  <conditionalFormatting sqref="C92">
    <cfRule type="expression" dxfId="12798" priority="4601">
      <formula>B92=""</formula>
    </cfRule>
  </conditionalFormatting>
  <conditionalFormatting sqref="C93">
    <cfRule type="expression" dxfId="12797" priority="4600">
      <formula>B93=""</formula>
    </cfRule>
  </conditionalFormatting>
  <conditionalFormatting sqref="C93">
    <cfRule type="expression" dxfId="12796" priority="4599">
      <formula>B93=""</formula>
    </cfRule>
  </conditionalFormatting>
  <conditionalFormatting sqref="C74:C93">
    <cfRule type="expression" dxfId="12795" priority="4598">
      <formula>B74=""</formula>
    </cfRule>
  </conditionalFormatting>
  <conditionalFormatting sqref="C75 C77 C79 C81 C83 C85 C87 C89 C91 C93">
    <cfRule type="expression" dxfId="12794" priority="4597">
      <formula>B75=""</formula>
    </cfRule>
  </conditionalFormatting>
  <conditionalFormatting sqref="C76 C78 C80 C82 C84 C86 C88 C90 C92">
    <cfRule type="expression" dxfId="12793" priority="4596">
      <formula>B76=""</formula>
    </cfRule>
  </conditionalFormatting>
  <conditionalFormatting sqref="C77:C87">
    <cfRule type="expression" dxfId="12792" priority="4595">
      <formula>B77=""</formula>
    </cfRule>
  </conditionalFormatting>
  <conditionalFormatting sqref="C88">
    <cfRule type="expression" dxfId="12791" priority="4594">
      <formula>B88=""</formula>
    </cfRule>
  </conditionalFormatting>
  <conditionalFormatting sqref="C89">
    <cfRule type="expression" dxfId="12790" priority="4593">
      <formula>B89=""</formula>
    </cfRule>
  </conditionalFormatting>
  <conditionalFormatting sqref="C90">
    <cfRule type="expression" dxfId="12789" priority="4592">
      <formula>B90=""</formula>
    </cfRule>
  </conditionalFormatting>
  <conditionalFormatting sqref="C91">
    <cfRule type="expression" dxfId="12788" priority="4591">
      <formula>B91=""</formula>
    </cfRule>
  </conditionalFormatting>
  <conditionalFormatting sqref="C92">
    <cfRule type="expression" dxfId="12787" priority="4590">
      <formula>B92=""</formula>
    </cfRule>
  </conditionalFormatting>
  <conditionalFormatting sqref="C93">
    <cfRule type="expression" dxfId="12786" priority="4589">
      <formula>B93=""</formula>
    </cfRule>
  </conditionalFormatting>
  <conditionalFormatting sqref="C74:C93">
    <cfRule type="expression" dxfId="12785" priority="4588">
      <formula>B74=""</formula>
    </cfRule>
  </conditionalFormatting>
  <conditionalFormatting sqref="C75 C77 C79 C81 C83 C85 C87 C89 C91 C93">
    <cfRule type="expression" dxfId="12784" priority="4587">
      <formula>B75=""</formula>
    </cfRule>
  </conditionalFormatting>
  <conditionalFormatting sqref="C76 C78 C80 C82 C84 C86 C88 C90 C92">
    <cfRule type="expression" dxfId="12783" priority="4586">
      <formula>B76=""</formula>
    </cfRule>
  </conditionalFormatting>
  <conditionalFormatting sqref="C77:C87">
    <cfRule type="expression" dxfId="12782" priority="4585">
      <formula>B77=""</formula>
    </cfRule>
  </conditionalFormatting>
  <conditionalFormatting sqref="C88">
    <cfRule type="expression" dxfId="12781" priority="4584">
      <formula>B88=""</formula>
    </cfRule>
  </conditionalFormatting>
  <conditionalFormatting sqref="C89">
    <cfRule type="expression" dxfId="12780" priority="4583">
      <formula>B89=""</formula>
    </cfRule>
  </conditionalFormatting>
  <conditionalFormatting sqref="C90">
    <cfRule type="expression" dxfId="12779" priority="4582">
      <formula>B90=""</formula>
    </cfRule>
  </conditionalFormatting>
  <conditionalFormatting sqref="C91">
    <cfRule type="expression" dxfId="12778" priority="4581">
      <formula>B91=""</formula>
    </cfRule>
  </conditionalFormatting>
  <conditionalFormatting sqref="C92">
    <cfRule type="expression" dxfId="12777" priority="4580">
      <formula>B92=""</formula>
    </cfRule>
  </conditionalFormatting>
  <conditionalFormatting sqref="C93">
    <cfRule type="expression" dxfId="12776" priority="4579">
      <formula>B93=""</formula>
    </cfRule>
  </conditionalFormatting>
  <conditionalFormatting sqref="C74:C93">
    <cfRule type="expression" dxfId="12775" priority="4578">
      <formula>B74=""</formula>
    </cfRule>
  </conditionalFormatting>
  <conditionalFormatting sqref="C75 C77 C79 C81 C83 C85 C87 C89 C91 C93">
    <cfRule type="expression" dxfId="12774" priority="4577">
      <formula>B75=""</formula>
    </cfRule>
  </conditionalFormatting>
  <conditionalFormatting sqref="C76 C78 C80 C82 C84 C86 C88 C90 C92">
    <cfRule type="expression" dxfId="12773" priority="4576">
      <formula>B76=""</formula>
    </cfRule>
  </conditionalFormatting>
  <conditionalFormatting sqref="C77:C87">
    <cfRule type="expression" dxfId="12772" priority="4575">
      <formula>B77=""</formula>
    </cfRule>
  </conditionalFormatting>
  <conditionalFormatting sqref="C88">
    <cfRule type="expression" dxfId="12771" priority="4574">
      <formula>B88=""</formula>
    </cfRule>
  </conditionalFormatting>
  <conditionalFormatting sqref="C89">
    <cfRule type="expression" dxfId="12770" priority="4573">
      <formula>B89=""</formula>
    </cfRule>
  </conditionalFormatting>
  <conditionalFormatting sqref="C90">
    <cfRule type="expression" dxfId="12769" priority="4572">
      <formula>B90=""</formula>
    </cfRule>
  </conditionalFormatting>
  <conditionalFormatting sqref="C91">
    <cfRule type="expression" dxfId="12768" priority="4571">
      <formula>B91=""</formula>
    </cfRule>
  </conditionalFormatting>
  <conditionalFormatting sqref="C92">
    <cfRule type="expression" dxfId="12767" priority="4570">
      <formula>B92=""</formula>
    </cfRule>
  </conditionalFormatting>
  <conditionalFormatting sqref="C93">
    <cfRule type="expression" dxfId="12766" priority="4569">
      <formula>B93=""</formula>
    </cfRule>
  </conditionalFormatting>
  <conditionalFormatting sqref="C74 C76 C78 C80 C82 C84 C86 C88 C90 C92">
    <cfRule type="expression" dxfId="12765" priority="4568">
      <formula>B74=""</formula>
    </cfRule>
  </conditionalFormatting>
  <conditionalFormatting sqref="C75 C77 C79 C81 C83 C85 C87 C89 C91 C93">
    <cfRule type="expression" dxfId="12764" priority="4567">
      <formula>B75=""</formula>
    </cfRule>
  </conditionalFormatting>
  <conditionalFormatting sqref="C76 C78 C80 C82 C84 C86 C88 C90 C92">
    <cfRule type="expression" dxfId="12763" priority="4566">
      <formula>B76=""</formula>
    </cfRule>
  </conditionalFormatting>
  <conditionalFormatting sqref="C77:C87">
    <cfRule type="expression" dxfId="12762" priority="4565">
      <formula>B77=""</formula>
    </cfRule>
  </conditionalFormatting>
  <conditionalFormatting sqref="C88">
    <cfRule type="expression" dxfId="12761" priority="4564">
      <formula>B88=""</formula>
    </cfRule>
  </conditionalFormatting>
  <conditionalFormatting sqref="C89">
    <cfRule type="expression" dxfId="12760" priority="4563">
      <formula>B89=""</formula>
    </cfRule>
  </conditionalFormatting>
  <conditionalFormatting sqref="C90">
    <cfRule type="expression" dxfId="12759" priority="4562">
      <formula>B90=""</formula>
    </cfRule>
  </conditionalFormatting>
  <conditionalFormatting sqref="C91">
    <cfRule type="expression" dxfId="12758" priority="4561">
      <formula>B91=""</formula>
    </cfRule>
  </conditionalFormatting>
  <conditionalFormatting sqref="C92">
    <cfRule type="expression" dxfId="12757" priority="4560">
      <formula>B92=""</formula>
    </cfRule>
  </conditionalFormatting>
  <conditionalFormatting sqref="C93">
    <cfRule type="expression" dxfId="12756" priority="4559">
      <formula>B93=""</formula>
    </cfRule>
  </conditionalFormatting>
  <conditionalFormatting sqref="B130:B150 B152:B172 B174:B194">
    <cfRule type="containsBlanks" dxfId="12755" priority="4558">
      <formula>LEN(TRIM(B130))=0</formula>
    </cfRule>
  </conditionalFormatting>
  <conditionalFormatting sqref="C109">
    <cfRule type="expression" dxfId="12754" priority="4556">
      <formula>B109=""</formula>
    </cfRule>
  </conditionalFormatting>
  <conditionalFormatting sqref="C122">
    <cfRule type="expression" dxfId="12753" priority="4553">
      <formula>B122=""</formula>
    </cfRule>
  </conditionalFormatting>
  <conditionalFormatting sqref="C123">
    <cfRule type="expression" dxfId="12752" priority="4552">
      <formula>B123=""</formula>
    </cfRule>
  </conditionalFormatting>
  <conditionalFormatting sqref="C124">
    <cfRule type="expression" dxfId="12751" priority="4551">
      <formula>B124=""</formula>
    </cfRule>
  </conditionalFormatting>
  <conditionalFormatting sqref="C125">
    <cfRule type="expression" dxfId="12750" priority="4550">
      <formula>B125=""</formula>
    </cfRule>
  </conditionalFormatting>
  <conditionalFormatting sqref="C126">
    <cfRule type="expression" dxfId="12749" priority="4549">
      <formula>B126=""</formula>
    </cfRule>
  </conditionalFormatting>
  <conditionalFormatting sqref="C127">
    <cfRule type="expression" dxfId="12748" priority="4548">
      <formula>B127=""</formula>
    </cfRule>
  </conditionalFormatting>
  <conditionalFormatting sqref="C128">
    <cfRule type="expression" dxfId="12747" priority="4547">
      <formula>B128=""</formula>
    </cfRule>
  </conditionalFormatting>
  <conditionalFormatting sqref="D108">
    <cfRule type="expression" dxfId="12746" priority="4546">
      <formula>B108=""</formula>
    </cfRule>
  </conditionalFormatting>
  <conditionalFormatting sqref="D109">
    <cfRule type="expression" dxfId="12745" priority="4545">
      <formula>B109=""</formula>
    </cfRule>
  </conditionalFormatting>
  <conditionalFormatting sqref="D122">
    <cfRule type="expression" dxfId="12744" priority="4542">
      <formula>B122=""</formula>
    </cfRule>
  </conditionalFormatting>
  <conditionalFormatting sqref="D123">
    <cfRule type="expression" dxfId="12743" priority="4541">
      <formula>B123=""</formula>
    </cfRule>
  </conditionalFormatting>
  <conditionalFormatting sqref="D124">
    <cfRule type="expression" dxfId="12742" priority="4540">
      <formula>B124=""</formula>
    </cfRule>
  </conditionalFormatting>
  <conditionalFormatting sqref="D125">
    <cfRule type="expression" dxfId="12741" priority="4539">
      <formula>B125=""</formula>
    </cfRule>
  </conditionalFormatting>
  <conditionalFormatting sqref="D126">
    <cfRule type="expression" dxfId="12740" priority="4538">
      <formula>B126=""</formula>
    </cfRule>
  </conditionalFormatting>
  <conditionalFormatting sqref="D127">
    <cfRule type="expression" dxfId="12739" priority="4537">
      <formula>B127=""</formula>
    </cfRule>
  </conditionalFormatting>
  <conditionalFormatting sqref="D128">
    <cfRule type="expression" dxfId="12738" priority="4536">
      <formula>B128=""</formula>
    </cfRule>
  </conditionalFormatting>
  <conditionalFormatting sqref="E108">
    <cfRule type="expression" dxfId="12737" priority="4535">
      <formula>B108=""</formula>
    </cfRule>
  </conditionalFormatting>
  <conditionalFormatting sqref="E109 E111 E113 E115 E117 E119 E121 E123 E125 E127">
    <cfRule type="expression" dxfId="12736" priority="4534">
      <formula>B109=""</formula>
    </cfRule>
  </conditionalFormatting>
  <conditionalFormatting sqref="E122">
    <cfRule type="expression" dxfId="12735" priority="4531">
      <formula>B122=""</formula>
    </cfRule>
  </conditionalFormatting>
  <conditionalFormatting sqref="E123">
    <cfRule type="expression" dxfId="12734" priority="4530">
      <formula>B123=""</formula>
    </cfRule>
  </conditionalFormatting>
  <conditionalFormatting sqref="E124">
    <cfRule type="expression" dxfId="12733" priority="4529">
      <formula>B124=""</formula>
    </cfRule>
  </conditionalFormatting>
  <conditionalFormatting sqref="E125">
    <cfRule type="expression" dxfId="12732" priority="4528">
      <formula>B125=""</formula>
    </cfRule>
  </conditionalFormatting>
  <conditionalFormatting sqref="E126">
    <cfRule type="expression" dxfId="12731" priority="4527">
      <formula>B126=""</formula>
    </cfRule>
  </conditionalFormatting>
  <conditionalFormatting sqref="E127">
    <cfRule type="expression" dxfId="12730" priority="4526">
      <formula>B127=""</formula>
    </cfRule>
  </conditionalFormatting>
  <conditionalFormatting sqref="E128">
    <cfRule type="expression" dxfId="12729" priority="4525">
      <formula>B128=""</formula>
    </cfRule>
  </conditionalFormatting>
  <conditionalFormatting sqref="F108">
    <cfRule type="expression" dxfId="12728" priority="4524">
      <formula>B108=""</formula>
    </cfRule>
  </conditionalFormatting>
  <conditionalFormatting sqref="F109 F111 F113 F115 F117 F119 F121 F123 F125 F127">
    <cfRule type="expression" dxfId="12727" priority="4523">
      <formula>B109=""</formula>
    </cfRule>
  </conditionalFormatting>
  <conditionalFormatting sqref="F122">
    <cfRule type="expression" dxfId="12726" priority="4520">
      <formula>B122=""</formula>
    </cfRule>
  </conditionalFormatting>
  <conditionalFormatting sqref="F123">
    <cfRule type="expression" dxfId="12725" priority="4519">
      <formula>B123=""</formula>
    </cfRule>
  </conditionalFormatting>
  <conditionalFormatting sqref="F124">
    <cfRule type="expression" dxfId="12724" priority="4518">
      <formula>B124=""</formula>
    </cfRule>
  </conditionalFormatting>
  <conditionalFormatting sqref="F125">
    <cfRule type="expression" dxfId="12723" priority="4517">
      <formula>B125=""</formula>
    </cfRule>
  </conditionalFormatting>
  <conditionalFormatting sqref="F126">
    <cfRule type="expression" dxfId="12722" priority="4516">
      <formula>B126=""</formula>
    </cfRule>
  </conditionalFormatting>
  <conditionalFormatting sqref="F127">
    <cfRule type="expression" dxfId="12721" priority="4515">
      <formula>B127=""</formula>
    </cfRule>
  </conditionalFormatting>
  <conditionalFormatting sqref="F128">
    <cfRule type="expression" dxfId="12720" priority="4514">
      <formula>B128=""</formula>
    </cfRule>
  </conditionalFormatting>
  <conditionalFormatting sqref="E109 E111 E113 E115 E117 E119 E121 E123 E125 E127">
    <cfRule type="expression" dxfId="12719" priority="4513">
      <formula>B109=""</formula>
    </cfRule>
  </conditionalFormatting>
  <conditionalFormatting sqref="E122">
    <cfRule type="expression" dxfId="12718" priority="4510">
      <formula>B122=""</formula>
    </cfRule>
  </conditionalFormatting>
  <conditionalFormatting sqref="E123">
    <cfRule type="expression" dxfId="12717" priority="4509">
      <formula>B123=""</formula>
    </cfRule>
  </conditionalFormatting>
  <conditionalFormatting sqref="E124">
    <cfRule type="expression" dxfId="12716" priority="4508">
      <formula>B124=""</formula>
    </cfRule>
  </conditionalFormatting>
  <conditionalFormatting sqref="E125">
    <cfRule type="expression" dxfId="12715" priority="4507">
      <formula>B125=""</formula>
    </cfRule>
  </conditionalFormatting>
  <conditionalFormatting sqref="E126">
    <cfRule type="expression" dxfId="12714" priority="4506">
      <formula>B126=""</formula>
    </cfRule>
  </conditionalFormatting>
  <conditionalFormatting sqref="E127">
    <cfRule type="expression" dxfId="12713" priority="4505">
      <formula>B127=""</formula>
    </cfRule>
  </conditionalFormatting>
  <conditionalFormatting sqref="E128">
    <cfRule type="expression" dxfId="12712" priority="4504">
      <formula>B128=""</formula>
    </cfRule>
  </conditionalFormatting>
  <conditionalFormatting sqref="G108">
    <cfRule type="expression" dxfId="12711" priority="4503">
      <formula>B108=""</formula>
    </cfRule>
  </conditionalFormatting>
  <conditionalFormatting sqref="G109 G111 G113 G115 G117 G119 G121 G123 G125 G127">
    <cfRule type="expression" dxfId="12710" priority="4502">
      <formula>B109=""</formula>
    </cfRule>
  </conditionalFormatting>
  <conditionalFormatting sqref="G122">
    <cfRule type="expression" dxfId="12709" priority="4499">
      <formula>B122=""</formula>
    </cfRule>
  </conditionalFormatting>
  <conditionalFormatting sqref="G123">
    <cfRule type="expression" dxfId="12708" priority="4498">
      <formula>B123=""</formula>
    </cfRule>
  </conditionalFormatting>
  <conditionalFormatting sqref="G124">
    <cfRule type="expression" dxfId="12707" priority="4497">
      <formula>B124=""</formula>
    </cfRule>
  </conditionalFormatting>
  <conditionalFormatting sqref="G125">
    <cfRule type="expression" dxfId="12706" priority="4496">
      <formula>B125=""</formula>
    </cfRule>
  </conditionalFormatting>
  <conditionalFormatting sqref="G126">
    <cfRule type="expression" dxfId="12705" priority="4495">
      <formula>B126=""</formula>
    </cfRule>
  </conditionalFormatting>
  <conditionalFormatting sqref="G127">
    <cfRule type="expression" dxfId="12704" priority="4494">
      <formula>B127=""</formula>
    </cfRule>
  </conditionalFormatting>
  <conditionalFormatting sqref="G128">
    <cfRule type="expression" dxfId="12703" priority="4493">
      <formula>B128=""</formula>
    </cfRule>
  </conditionalFormatting>
  <conditionalFormatting sqref="H108">
    <cfRule type="expression" dxfId="12702" priority="4492">
      <formula>B108=""</formula>
    </cfRule>
  </conditionalFormatting>
  <conditionalFormatting sqref="H109 H111 H113 H115 H117 H119 H121 H123 H125 H127">
    <cfRule type="expression" dxfId="12701" priority="4491">
      <formula>B109=""</formula>
    </cfRule>
  </conditionalFormatting>
  <conditionalFormatting sqref="H122">
    <cfRule type="expression" dxfId="12700" priority="4488">
      <formula>B122=""</formula>
    </cfRule>
  </conditionalFormatting>
  <conditionalFormatting sqref="H123">
    <cfRule type="expression" dxfId="12699" priority="4487">
      <formula>B123=""</formula>
    </cfRule>
  </conditionalFormatting>
  <conditionalFormatting sqref="H124">
    <cfRule type="expression" dxfId="12698" priority="4486">
      <formula>B124=""</formula>
    </cfRule>
  </conditionalFormatting>
  <conditionalFormatting sqref="H125">
    <cfRule type="expression" dxfId="12697" priority="4485">
      <formula>B125=""</formula>
    </cfRule>
  </conditionalFormatting>
  <conditionalFormatting sqref="H126">
    <cfRule type="expression" dxfId="12696" priority="4484">
      <formula>B126=""</formula>
    </cfRule>
  </conditionalFormatting>
  <conditionalFormatting sqref="H127">
    <cfRule type="expression" dxfId="12695" priority="4483">
      <formula>B127=""</formula>
    </cfRule>
  </conditionalFormatting>
  <conditionalFormatting sqref="H128">
    <cfRule type="expression" dxfId="12694" priority="4482">
      <formula>B128=""</formula>
    </cfRule>
  </conditionalFormatting>
  <conditionalFormatting sqref="C130:C150">
    <cfRule type="expression" dxfId="12693" priority="4481">
      <formula>B130=""</formula>
    </cfRule>
  </conditionalFormatting>
  <conditionalFormatting sqref="C131 C133 C135 C137 C139 C141 C143 C145 C147 C149">
    <cfRule type="expression" dxfId="12692" priority="4480">
      <formula>B131=""</formula>
    </cfRule>
  </conditionalFormatting>
  <conditionalFormatting sqref="C132:C142">
    <cfRule type="expression" dxfId="12691" priority="4479">
      <formula>B132=""</formula>
    </cfRule>
  </conditionalFormatting>
  <conditionalFormatting sqref="C143">
    <cfRule type="expression" dxfId="12690" priority="4478">
      <formula>B143=""</formula>
    </cfRule>
  </conditionalFormatting>
  <conditionalFormatting sqref="C144">
    <cfRule type="expression" dxfId="12689" priority="4477">
      <formula>B144=""</formula>
    </cfRule>
  </conditionalFormatting>
  <conditionalFormatting sqref="C145">
    <cfRule type="expression" dxfId="12688" priority="4476">
      <formula>B145=""</formula>
    </cfRule>
  </conditionalFormatting>
  <conditionalFormatting sqref="C146">
    <cfRule type="expression" dxfId="12687" priority="4475">
      <formula>B146=""</formula>
    </cfRule>
  </conditionalFormatting>
  <conditionalFormatting sqref="C147">
    <cfRule type="expression" dxfId="12686" priority="4474">
      <formula>B147=""</formula>
    </cfRule>
  </conditionalFormatting>
  <conditionalFormatting sqref="C148">
    <cfRule type="expression" dxfId="12685" priority="4473">
      <formula>B148=""</formula>
    </cfRule>
  </conditionalFormatting>
  <conditionalFormatting sqref="C149">
    <cfRule type="expression" dxfId="12684" priority="4472">
      <formula>B149=""</formula>
    </cfRule>
  </conditionalFormatting>
  <conditionalFormatting sqref="C150">
    <cfRule type="expression" dxfId="12683" priority="4471">
      <formula>B150=""</formula>
    </cfRule>
  </conditionalFormatting>
  <conditionalFormatting sqref="D130 D132 D134 D136 D138 D140 D142 D144 D146 D148">
    <cfRule type="expression" dxfId="12682" priority="4470">
      <formula>B130=""</formula>
    </cfRule>
  </conditionalFormatting>
  <conditionalFormatting sqref="D131 D133 D135 D137 D139 D141 D143 D145 D147 D149">
    <cfRule type="expression" dxfId="12681" priority="4469">
      <formula>B131=""</formula>
    </cfRule>
  </conditionalFormatting>
  <conditionalFormatting sqref="D132:D142">
    <cfRule type="expression" dxfId="12680" priority="4468">
      <formula>B132=""</formula>
    </cfRule>
  </conditionalFormatting>
  <conditionalFormatting sqref="D143">
    <cfRule type="expression" dxfId="12679" priority="4467">
      <formula>B143=""</formula>
    </cfRule>
  </conditionalFormatting>
  <conditionalFormatting sqref="D144">
    <cfRule type="expression" dxfId="12678" priority="4466">
      <formula>B144=""</formula>
    </cfRule>
  </conditionalFormatting>
  <conditionalFormatting sqref="D145">
    <cfRule type="expression" dxfId="12677" priority="4465">
      <formula>B145=""</formula>
    </cfRule>
  </conditionalFormatting>
  <conditionalFormatting sqref="D146">
    <cfRule type="expression" dxfId="12676" priority="4464">
      <formula>B146=""</formula>
    </cfRule>
  </conditionalFormatting>
  <conditionalFormatting sqref="D147">
    <cfRule type="expression" dxfId="12675" priority="4463">
      <formula>B147=""</formula>
    </cfRule>
  </conditionalFormatting>
  <conditionalFormatting sqref="D148">
    <cfRule type="expression" dxfId="12674" priority="4462">
      <formula>B148=""</formula>
    </cfRule>
  </conditionalFormatting>
  <conditionalFormatting sqref="D149">
    <cfRule type="expression" dxfId="12673" priority="4461">
      <formula>B149=""</formula>
    </cfRule>
  </conditionalFormatting>
  <conditionalFormatting sqref="D150">
    <cfRule type="expression" dxfId="12672" priority="4460">
      <formula>B150=""</formula>
    </cfRule>
  </conditionalFormatting>
  <conditionalFormatting sqref="E130 E132 E134 E136 E138 E140 E142 E144 E146 E148">
    <cfRule type="expression" dxfId="12671" priority="4459">
      <formula>B130=""</formula>
    </cfRule>
  </conditionalFormatting>
  <conditionalFormatting sqref="E131 E133 E135 E137 E139 E141 E143 E145 E147 E149">
    <cfRule type="expression" dxfId="12670" priority="4458">
      <formula>B131=""</formula>
    </cfRule>
  </conditionalFormatting>
  <conditionalFormatting sqref="E132:E142">
    <cfRule type="expression" dxfId="12669" priority="4457">
      <formula>B132=""</formula>
    </cfRule>
  </conditionalFormatting>
  <conditionalFormatting sqref="E143">
    <cfRule type="expression" dxfId="12668" priority="4456">
      <formula>B143=""</formula>
    </cfRule>
  </conditionalFormatting>
  <conditionalFormatting sqref="E144">
    <cfRule type="expression" dxfId="12667" priority="4455">
      <formula>B144=""</formula>
    </cfRule>
  </conditionalFormatting>
  <conditionalFormatting sqref="E145">
    <cfRule type="expression" dxfId="12666" priority="4454">
      <formula>B145=""</formula>
    </cfRule>
  </conditionalFormatting>
  <conditionalFormatting sqref="E146">
    <cfRule type="expression" dxfId="12665" priority="4453">
      <formula>B146=""</formula>
    </cfRule>
  </conditionalFormatting>
  <conditionalFormatting sqref="E147">
    <cfRule type="expression" dxfId="12664" priority="4452">
      <formula>B147=""</formula>
    </cfRule>
  </conditionalFormatting>
  <conditionalFormatting sqref="E148">
    <cfRule type="expression" dxfId="12663" priority="4451">
      <formula>B148=""</formula>
    </cfRule>
  </conditionalFormatting>
  <conditionalFormatting sqref="E149">
    <cfRule type="expression" dxfId="12662" priority="4450">
      <formula>B149=""</formula>
    </cfRule>
  </conditionalFormatting>
  <conditionalFormatting sqref="E150">
    <cfRule type="expression" dxfId="12661" priority="4449">
      <formula>B150=""</formula>
    </cfRule>
  </conditionalFormatting>
  <conditionalFormatting sqref="F130 F132 F134 F136 F138 F140 F142 F144 F146 F148">
    <cfRule type="expression" dxfId="12660" priority="4448">
      <formula>B130=""</formula>
    </cfRule>
  </conditionalFormatting>
  <conditionalFormatting sqref="F131 F133 F135 F137 F139 F141 F143 F145 F147 F149">
    <cfRule type="expression" dxfId="12659" priority="4447">
      <formula>B131=""</formula>
    </cfRule>
  </conditionalFormatting>
  <conditionalFormatting sqref="F132:F142">
    <cfRule type="expression" dxfId="12658" priority="4446">
      <formula>B132=""</formula>
    </cfRule>
  </conditionalFormatting>
  <conditionalFormatting sqref="F143">
    <cfRule type="expression" dxfId="12657" priority="4445">
      <formula>B143=""</formula>
    </cfRule>
  </conditionalFormatting>
  <conditionalFormatting sqref="F144">
    <cfRule type="expression" dxfId="12656" priority="4444">
      <formula>B144=""</formula>
    </cfRule>
  </conditionalFormatting>
  <conditionalFormatting sqref="F145">
    <cfRule type="expression" dxfId="12655" priority="4443">
      <formula>B145=""</formula>
    </cfRule>
  </conditionalFormatting>
  <conditionalFormatting sqref="F146">
    <cfRule type="expression" dxfId="12654" priority="4442">
      <formula>B146=""</formula>
    </cfRule>
  </conditionalFormatting>
  <conditionalFormatting sqref="F147">
    <cfRule type="expression" dxfId="12653" priority="4441">
      <formula>B147=""</formula>
    </cfRule>
  </conditionalFormatting>
  <conditionalFormatting sqref="F148">
    <cfRule type="expression" dxfId="12652" priority="4440">
      <formula>B148=""</formula>
    </cfRule>
  </conditionalFormatting>
  <conditionalFormatting sqref="F149">
    <cfRule type="expression" dxfId="12651" priority="4439">
      <formula>B149=""</formula>
    </cfRule>
  </conditionalFormatting>
  <conditionalFormatting sqref="F150">
    <cfRule type="expression" dxfId="12650" priority="4438">
      <formula>B150=""</formula>
    </cfRule>
  </conditionalFormatting>
  <conditionalFormatting sqref="E131 E133 E135 E137 E139 E141 E143 E145 E147 E149">
    <cfRule type="expression" dxfId="12649" priority="4437">
      <formula>B131=""</formula>
    </cfRule>
  </conditionalFormatting>
  <conditionalFormatting sqref="E132:E142">
    <cfRule type="expression" dxfId="12648" priority="4436">
      <formula>B132=""</formula>
    </cfRule>
  </conditionalFormatting>
  <conditionalFormatting sqref="E143">
    <cfRule type="expression" dxfId="12647" priority="4435">
      <formula>B143=""</formula>
    </cfRule>
  </conditionalFormatting>
  <conditionalFormatting sqref="E144">
    <cfRule type="expression" dxfId="12646" priority="4434">
      <formula>B144=""</formula>
    </cfRule>
  </conditionalFormatting>
  <conditionalFormatting sqref="E145">
    <cfRule type="expression" dxfId="12645" priority="4433">
      <formula>B145=""</formula>
    </cfRule>
  </conditionalFormatting>
  <conditionalFormatting sqref="E146">
    <cfRule type="expression" dxfId="12644" priority="4432">
      <formula>B146=""</formula>
    </cfRule>
  </conditionalFormatting>
  <conditionalFormatting sqref="E147">
    <cfRule type="expression" dxfId="12643" priority="4431">
      <formula>B147=""</formula>
    </cfRule>
  </conditionalFormatting>
  <conditionalFormatting sqref="E148">
    <cfRule type="expression" dxfId="12642" priority="4430">
      <formula>B148=""</formula>
    </cfRule>
  </conditionalFormatting>
  <conditionalFormatting sqref="E149">
    <cfRule type="expression" dxfId="12641" priority="4429">
      <formula>B149=""</formula>
    </cfRule>
  </conditionalFormatting>
  <conditionalFormatting sqref="E150">
    <cfRule type="expression" dxfId="12640" priority="4428">
      <formula>B150=""</formula>
    </cfRule>
  </conditionalFormatting>
  <conditionalFormatting sqref="G130 G132 G134 G136 G138 G140 G142 G144 G146 G148">
    <cfRule type="expression" dxfId="12639" priority="4427">
      <formula>B130=""</formula>
    </cfRule>
  </conditionalFormatting>
  <conditionalFormatting sqref="G131 G133 G135 G137 G139 G141 G143 G145 G147 G149">
    <cfRule type="expression" dxfId="12638" priority="4426">
      <formula>B131=""</formula>
    </cfRule>
  </conditionalFormatting>
  <conditionalFormatting sqref="G132:G142">
    <cfRule type="expression" dxfId="12637" priority="4425">
      <formula>B132=""</formula>
    </cfRule>
  </conditionalFormatting>
  <conditionalFormatting sqref="G143">
    <cfRule type="expression" dxfId="12636" priority="4424">
      <formula>B143=""</formula>
    </cfRule>
  </conditionalFormatting>
  <conditionalFormatting sqref="G144">
    <cfRule type="expression" dxfId="12635" priority="4423">
      <formula>B144=""</formula>
    </cfRule>
  </conditionalFormatting>
  <conditionalFormatting sqref="G145">
    <cfRule type="expression" dxfId="12634" priority="4422">
      <formula>B145=""</formula>
    </cfRule>
  </conditionalFormatting>
  <conditionalFormatting sqref="G146">
    <cfRule type="expression" dxfId="12633" priority="4421">
      <formula>B146=""</formula>
    </cfRule>
  </conditionalFormatting>
  <conditionalFormatting sqref="G147">
    <cfRule type="expression" dxfId="12632" priority="4420">
      <formula>B147=""</formula>
    </cfRule>
  </conditionalFormatting>
  <conditionalFormatting sqref="G148">
    <cfRule type="expression" dxfId="12631" priority="4419">
      <formula>B148=""</formula>
    </cfRule>
  </conditionalFormatting>
  <conditionalFormatting sqref="G149">
    <cfRule type="expression" dxfId="12630" priority="4418">
      <formula>B149=""</formula>
    </cfRule>
  </conditionalFormatting>
  <conditionalFormatting sqref="G150">
    <cfRule type="expression" dxfId="12629" priority="4417">
      <formula>B150=""</formula>
    </cfRule>
  </conditionalFormatting>
  <conditionalFormatting sqref="H130 H132 H134 H136 H138 H140 H142 H144 H146 H148">
    <cfRule type="expression" dxfId="12628" priority="4416">
      <formula>B130=""</formula>
    </cfRule>
  </conditionalFormatting>
  <conditionalFormatting sqref="H131 H133 H135 H137 H139 H141 H143 H145 H147 H149">
    <cfRule type="expression" dxfId="12627" priority="4415">
      <formula>B131=""</formula>
    </cfRule>
  </conditionalFormatting>
  <conditionalFormatting sqref="H132:H142">
    <cfRule type="expression" dxfId="12626" priority="4414">
      <formula>B132=""</formula>
    </cfRule>
  </conditionalFormatting>
  <conditionalFormatting sqref="H143">
    <cfRule type="expression" dxfId="12625" priority="4413">
      <formula>B143=""</formula>
    </cfRule>
  </conditionalFormatting>
  <conditionalFormatting sqref="H144">
    <cfRule type="expression" dxfId="12624" priority="4412">
      <formula>B144=""</formula>
    </cfRule>
  </conditionalFormatting>
  <conditionalFormatting sqref="H145">
    <cfRule type="expression" dxfId="12623" priority="4411">
      <formula>B145=""</formula>
    </cfRule>
  </conditionalFormatting>
  <conditionalFormatting sqref="H146">
    <cfRule type="expression" dxfId="12622" priority="4410">
      <formula>B146=""</formula>
    </cfRule>
  </conditionalFormatting>
  <conditionalFormatting sqref="H147">
    <cfRule type="expression" dxfId="12621" priority="4409">
      <formula>B147=""</formula>
    </cfRule>
  </conditionalFormatting>
  <conditionalFormatting sqref="H148">
    <cfRule type="expression" dxfId="12620" priority="4408">
      <formula>B148=""</formula>
    </cfRule>
  </conditionalFormatting>
  <conditionalFormatting sqref="H149">
    <cfRule type="expression" dxfId="12619" priority="4407">
      <formula>B149=""</formula>
    </cfRule>
  </conditionalFormatting>
  <conditionalFormatting sqref="H150">
    <cfRule type="expression" dxfId="12618" priority="4406">
      <formula>B150=""</formula>
    </cfRule>
  </conditionalFormatting>
  <conditionalFormatting sqref="C152:C171">
    <cfRule type="expression" dxfId="12617" priority="4405">
      <formula>B152=""</formula>
    </cfRule>
  </conditionalFormatting>
  <conditionalFormatting sqref="C153 C155 C157 C159 C161 C163 C165 C167 C169">
    <cfRule type="expression" dxfId="12616" priority="4404">
      <formula>B153=""</formula>
    </cfRule>
  </conditionalFormatting>
  <conditionalFormatting sqref="C154:C164">
    <cfRule type="expression" dxfId="12615" priority="4403">
      <formula>B154=""</formula>
    </cfRule>
  </conditionalFormatting>
  <conditionalFormatting sqref="C165">
    <cfRule type="expression" dxfId="12614" priority="4402">
      <formula>B165=""</formula>
    </cfRule>
  </conditionalFormatting>
  <conditionalFormatting sqref="C166">
    <cfRule type="expression" dxfId="12613" priority="4401">
      <formula>B166=""</formula>
    </cfRule>
  </conditionalFormatting>
  <conditionalFormatting sqref="C167">
    <cfRule type="expression" dxfId="12612" priority="4400">
      <formula>B167=""</formula>
    </cfRule>
  </conditionalFormatting>
  <conditionalFormatting sqref="C168">
    <cfRule type="expression" dxfId="12611" priority="4399">
      <formula>B168=""</formula>
    </cfRule>
  </conditionalFormatting>
  <conditionalFormatting sqref="C169">
    <cfRule type="expression" dxfId="12610" priority="4398">
      <formula>B169=""</formula>
    </cfRule>
  </conditionalFormatting>
  <conditionalFormatting sqref="C170">
    <cfRule type="expression" dxfId="12609" priority="4397">
      <formula>B170=""</formula>
    </cfRule>
  </conditionalFormatting>
  <conditionalFormatting sqref="C171">
    <cfRule type="expression" dxfId="12608" priority="4396">
      <formula>B171=""</formula>
    </cfRule>
  </conditionalFormatting>
  <conditionalFormatting sqref="C172">
    <cfRule type="expression" dxfId="12607" priority="4395">
      <formula>B172=""</formula>
    </cfRule>
  </conditionalFormatting>
  <conditionalFormatting sqref="D152 D154 D156 D158 D160 D162 D164 D166 D168 D170">
    <cfRule type="expression" dxfId="12606" priority="4394">
      <formula>B152=""</formula>
    </cfRule>
  </conditionalFormatting>
  <conditionalFormatting sqref="D153 D155 D157 D159 D161 D163 D165 D167 D169">
    <cfRule type="expression" dxfId="12605" priority="4393">
      <formula>B153=""</formula>
    </cfRule>
  </conditionalFormatting>
  <conditionalFormatting sqref="D154:D164">
    <cfRule type="expression" dxfId="12604" priority="4392">
      <formula>B154=""</formula>
    </cfRule>
  </conditionalFormatting>
  <conditionalFormatting sqref="D165">
    <cfRule type="expression" dxfId="12603" priority="4391">
      <formula>B165=""</formula>
    </cfRule>
  </conditionalFormatting>
  <conditionalFormatting sqref="D166">
    <cfRule type="expression" dxfId="12602" priority="4390">
      <formula>B166=""</formula>
    </cfRule>
  </conditionalFormatting>
  <conditionalFormatting sqref="D167">
    <cfRule type="expression" dxfId="12601" priority="4389">
      <formula>B167=""</formula>
    </cfRule>
  </conditionalFormatting>
  <conditionalFormatting sqref="D168">
    <cfRule type="expression" dxfId="12600" priority="4388">
      <formula>B168=""</formula>
    </cfRule>
  </conditionalFormatting>
  <conditionalFormatting sqref="D169">
    <cfRule type="expression" dxfId="12599" priority="4387">
      <formula>B169=""</formula>
    </cfRule>
  </conditionalFormatting>
  <conditionalFormatting sqref="D170">
    <cfRule type="expression" dxfId="12598" priority="4386">
      <formula>B170=""</formula>
    </cfRule>
  </conditionalFormatting>
  <conditionalFormatting sqref="D171">
    <cfRule type="expression" dxfId="12597" priority="4385">
      <formula>B171=""</formula>
    </cfRule>
  </conditionalFormatting>
  <conditionalFormatting sqref="D172">
    <cfRule type="expression" dxfId="12596" priority="4384">
      <formula>B172=""</formula>
    </cfRule>
  </conditionalFormatting>
  <conditionalFormatting sqref="E152 E154 E156 E158 E160 E162 E164 E166 E168 E170">
    <cfRule type="expression" dxfId="12595" priority="4383">
      <formula>B152=""</formula>
    </cfRule>
  </conditionalFormatting>
  <conditionalFormatting sqref="E153 E155 E157 E159 E161 E163 E165 E167 E169">
    <cfRule type="expression" dxfId="12594" priority="4382">
      <formula>B153=""</formula>
    </cfRule>
  </conditionalFormatting>
  <conditionalFormatting sqref="E154:E164">
    <cfRule type="expression" dxfId="12593" priority="4381">
      <formula>B154=""</formula>
    </cfRule>
  </conditionalFormatting>
  <conditionalFormatting sqref="E165">
    <cfRule type="expression" dxfId="12592" priority="4380">
      <formula>B165=""</formula>
    </cfRule>
  </conditionalFormatting>
  <conditionalFormatting sqref="E166">
    <cfRule type="expression" dxfId="12591" priority="4379">
      <formula>B166=""</formula>
    </cfRule>
  </conditionalFormatting>
  <conditionalFormatting sqref="E167">
    <cfRule type="expression" dxfId="12590" priority="4378">
      <formula>B167=""</formula>
    </cfRule>
  </conditionalFormatting>
  <conditionalFormatting sqref="E168">
    <cfRule type="expression" dxfId="12589" priority="4377">
      <formula>B168=""</formula>
    </cfRule>
  </conditionalFormatting>
  <conditionalFormatting sqref="E169">
    <cfRule type="expression" dxfId="12588" priority="4376">
      <formula>B169=""</formula>
    </cfRule>
  </conditionalFormatting>
  <conditionalFormatting sqref="E170">
    <cfRule type="expression" dxfId="12587" priority="4375">
      <formula>B170=""</formula>
    </cfRule>
  </conditionalFormatting>
  <conditionalFormatting sqref="E171">
    <cfRule type="expression" dxfId="12586" priority="4374">
      <formula>B171=""</formula>
    </cfRule>
  </conditionalFormatting>
  <conditionalFormatting sqref="E172">
    <cfRule type="expression" dxfId="12585" priority="4373">
      <formula>B172=""</formula>
    </cfRule>
  </conditionalFormatting>
  <conditionalFormatting sqref="F152 F154 F156 F158 F160 F162 F164 F166 F168 F170">
    <cfRule type="expression" dxfId="12584" priority="4372">
      <formula>B152=""</formula>
    </cfRule>
  </conditionalFormatting>
  <conditionalFormatting sqref="F153 F155 F157 F159 F161 F163 F165 F167 F169">
    <cfRule type="expression" dxfId="12583" priority="4371">
      <formula>B153=""</formula>
    </cfRule>
  </conditionalFormatting>
  <conditionalFormatting sqref="F154:F164">
    <cfRule type="expression" dxfId="12582" priority="4370">
      <formula>B154=""</formula>
    </cfRule>
  </conditionalFormatting>
  <conditionalFormatting sqref="F165">
    <cfRule type="expression" dxfId="12581" priority="4369">
      <formula>B165=""</formula>
    </cfRule>
  </conditionalFormatting>
  <conditionalFormatting sqref="F166">
    <cfRule type="expression" dxfId="12580" priority="4368">
      <formula>B166=""</formula>
    </cfRule>
  </conditionalFormatting>
  <conditionalFormatting sqref="F167">
    <cfRule type="expression" dxfId="12579" priority="4367">
      <formula>B167=""</formula>
    </cfRule>
  </conditionalFormatting>
  <conditionalFormatting sqref="F168">
    <cfRule type="expression" dxfId="12578" priority="4366">
      <formula>B168=""</formula>
    </cfRule>
  </conditionalFormatting>
  <conditionalFormatting sqref="F169">
    <cfRule type="expression" dxfId="12577" priority="4365">
      <formula>B169=""</formula>
    </cfRule>
  </conditionalFormatting>
  <conditionalFormatting sqref="F170">
    <cfRule type="expression" dxfId="12576" priority="4364">
      <formula>B170=""</formula>
    </cfRule>
  </conditionalFormatting>
  <conditionalFormatting sqref="F171">
    <cfRule type="expression" dxfId="12575" priority="4363">
      <formula>B171=""</formula>
    </cfRule>
  </conditionalFormatting>
  <conditionalFormatting sqref="F172">
    <cfRule type="expression" dxfId="12574" priority="4362">
      <formula>B172=""</formula>
    </cfRule>
  </conditionalFormatting>
  <conditionalFormatting sqref="E153 E155 E157 E159 E161 E163 E165 E167 E169">
    <cfRule type="expression" dxfId="12573" priority="4361">
      <formula>B153=""</formula>
    </cfRule>
  </conditionalFormatting>
  <conditionalFormatting sqref="E154:E164">
    <cfRule type="expression" dxfId="12572" priority="4360">
      <formula>B154=""</formula>
    </cfRule>
  </conditionalFormatting>
  <conditionalFormatting sqref="E165">
    <cfRule type="expression" dxfId="12571" priority="4359">
      <formula>B165=""</formula>
    </cfRule>
  </conditionalFormatting>
  <conditionalFormatting sqref="E166">
    <cfRule type="expression" dxfId="12570" priority="4358">
      <formula>B166=""</formula>
    </cfRule>
  </conditionalFormatting>
  <conditionalFormatting sqref="E167">
    <cfRule type="expression" dxfId="12569" priority="4357">
      <formula>B167=""</formula>
    </cfRule>
  </conditionalFormatting>
  <conditionalFormatting sqref="E168">
    <cfRule type="expression" dxfId="12568" priority="4356">
      <formula>B168=""</formula>
    </cfRule>
  </conditionalFormatting>
  <conditionalFormatting sqref="E169">
    <cfRule type="expression" dxfId="12567" priority="4355">
      <formula>B169=""</formula>
    </cfRule>
  </conditionalFormatting>
  <conditionalFormatting sqref="E170">
    <cfRule type="expression" dxfId="12566" priority="4354">
      <formula>B170=""</formula>
    </cfRule>
  </conditionalFormatting>
  <conditionalFormatting sqref="E171">
    <cfRule type="expression" dxfId="12565" priority="4353">
      <formula>B171=""</formula>
    </cfRule>
  </conditionalFormatting>
  <conditionalFormatting sqref="E172">
    <cfRule type="expression" dxfId="12564" priority="4352">
      <formula>B172=""</formula>
    </cfRule>
  </conditionalFormatting>
  <conditionalFormatting sqref="G152 G154 G156 G158 G160 G162 G164 G166 G168 G170">
    <cfRule type="expression" dxfId="12563" priority="4351">
      <formula>B152=""</formula>
    </cfRule>
  </conditionalFormatting>
  <conditionalFormatting sqref="G153 G155 G157 G159 G161 G163 G165 G167 G169">
    <cfRule type="expression" dxfId="12562" priority="4350">
      <formula>B153=""</formula>
    </cfRule>
  </conditionalFormatting>
  <conditionalFormatting sqref="G154:G164">
    <cfRule type="expression" dxfId="12561" priority="4349">
      <formula>B154=""</formula>
    </cfRule>
  </conditionalFormatting>
  <conditionalFormatting sqref="G165">
    <cfRule type="expression" dxfId="12560" priority="4348">
      <formula>B165=""</formula>
    </cfRule>
  </conditionalFormatting>
  <conditionalFormatting sqref="G166">
    <cfRule type="expression" dxfId="12559" priority="4347">
      <formula>B166=""</formula>
    </cfRule>
  </conditionalFormatting>
  <conditionalFormatting sqref="G167">
    <cfRule type="expression" dxfId="12558" priority="4346">
      <formula>B167=""</formula>
    </cfRule>
  </conditionalFormatting>
  <conditionalFormatting sqref="G168">
    <cfRule type="expression" dxfId="12557" priority="4345">
      <formula>B168=""</formula>
    </cfRule>
  </conditionalFormatting>
  <conditionalFormatting sqref="G169">
    <cfRule type="expression" dxfId="12556" priority="4344">
      <formula>B169=""</formula>
    </cfRule>
  </conditionalFormatting>
  <conditionalFormatting sqref="G170">
    <cfRule type="expression" dxfId="12555" priority="4343">
      <formula>B170=""</formula>
    </cfRule>
  </conditionalFormatting>
  <conditionalFormatting sqref="G171">
    <cfRule type="expression" dxfId="12554" priority="4342">
      <formula>B171=""</formula>
    </cfRule>
  </conditionalFormatting>
  <conditionalFormatting sqref="G172">
    <cfRule type="expression" dxfId="12553" priority="4341">
      <formula>B172=""</formula>
    </cfRule>
  </conditionalFormatting>
  <conditionalFormatting sqref="H152 H154 H156 H158 H160 H162 H164 H166 H168 H170">
    <cfRule type="expression" dxfId="12552" priority="4340">
      <formula>B152=""</formula>
    </cfRule>
  </conditionalFormatting>
  <conditionalFormatting sqref="H153 H155 H157 H159 H161 H163 H165 H167 H169">
    <cfRule type="expression" dxfId="12551" priority="4339">
      <formula>B153=""</formula>
    </cfRule>
  </conditionalFormatting>
  <conditionalFormatting sqref="H154:H164">
    <cfRule type="expression" dxfId="12550" priority="4338">
      <formula>B154=""</formula>
    </cfRule>
  </conditionalFormatting>
  <conditionalFormatting sqref="H165">
    <cfRule type="expression" dxfId="12549" priority="4337">
      <formula>B165=""</formula>
    </cfRule>
  </conditionalFormatting>
  <conditionalFormatting sqref="H166">
    <cfRule type="expression" dxfId="12548" priority="4336">
      <formula>B166=""</formula>
    </cfRule>
  </conditionalFormatting>
  <conditionalFormatting sqref="H167">
    <cfRule type="expression" dxfId="12547" priority="4335">
      <formula>B167=""</formula>
    </cfRule>
  </conditionalFormatting>
  <conditionalFormatting sqref="H168">
    <cfRule type="expression" dxfId="12546" priority="4334">
      <formula>B168=""</formula>
    </cfRule>
  </conditionalFormatting>
  <conditionalFormatting sqref="H169">
    <cfRule type="expression" dxfId="12545" priority="4333">
      <formula>B169=""</formula>
    </cfRule>
  </conditionalFormatting>
  <conditionalFormatting sqref="H170">
    <cfRule type="expression" dxfId="12544" priority="4332">
      <formula>B170=""</formula>
    </cfRule>
  </conditionalFormatting>
  <conditionalFormatting sqref="H171">
    <cfRule type="expression" dxfId="12543" priority="4331">
      <formula>B171=""</formula>
    </cfRule>
  </conditionalFormatting>
  <conditionalFormatting sqref="H172">
    <cfRule type="expression" dxfId="12542" priority="4330">
      <formula>B172=""</formula>
    </cfRule>
  </conditionalFormatting>
  <conditionalFormatting sqref="C174:C194">
    <cfRule type="expression" dxfId="12541" priority="4329">
      <formula>B174=""</formula>
    </cfRule>
  </conditionalFormatting>
  <conditionalFormatting sqref="C175 C177 C179 C181 C183 C185 C187 C189 C191 C193">
    <cfRule type="expression" dxfId="12540" priority="4328">
      <formula>B175=""</formula>
    </cfRule>
  </conditionalFormatting>
  <conditionalFormatting sqref="C176:C186">
    <cfRule type="expression" dxfId="12539" priority="4327">
      <formula>B176=""</formula>
    </cfRule>
  </conditionalFormatting>
  <conditionalFormatting sqref="C187">
    <cfRule type="expression" dxfId="12538" priority="4326">
      <formula>B187=""</formula>
    </cfRule>
  </conditionalFormatting>
  <conditionalFormatting sqref="C188">
    <cfRule type="expression" dxfId="12537" priority="4325">
      <formula>B188=""</formula>
    </cfRule>
  </conditionalFormatting>
  <conditionalFormatting sqref="C189">
    <cfRule type="expression" dxfId="12536" priority="4324">
      <formula>B189=""</formula>
    </cfRule>
  </conditionalFormatting>
  <conditionalFormatting sqref="C190">
    <cfRule type="expression" dxfId="12535" priority="4323">
      <formula>B190=""</formula>
    </cfRule>
  </conditionalFormatting>
  <conditionalFormatting sqref="C191">
    <cfRule type="expression" dxfId="12534" priority="4322">
      <formula>B191=""</formula>
    </cfRule>
  </conditionalFormatting>
  <conditionalFormatting sqref="C192">
    <cfRule type="expression" dxfId="12533" priority="4321">
      <formula>B192=""</formula>
    </cfRule>
  </conditionalFormatting>
  <conditionalFormatting sqref="C193">
    <cfRule type="expression" dxfId="12532" priority="4320">
      <formula>B193=""</formula>
    </cfRule>
  </conditionalFormatting>
  <conditionalFormatting sqref="C194">
    <cfRule type="expression" dxfId="12531" priority="4319">
      <formula>B194=""</formula>
    </cfRule>
  </conditionalFormatting>
  <conditionalFormatting sqref="D174 D176 D178 D180 D182 D184 D186 D188 D190 D192">
    <cfRule type="expression" dxfId="12530" priority="4318">
      <formula>B174=""</formula>
    </cfRule>
  </conditionalFormatting>
  <conditionalFormatting sqref="D175 D177 D179 D181 D183 D185 D187 D189 D191 D193">
    <cfRule type="expression" dxfId="12529" priority="4317">
      <formula>B175=""</formula>
    </cfRule>
  </conditionalFormatting>
  <conditionalFormatting sqref="D176:D186">
    <cfRule type="expression" dxfId="12528" priority="4316">
      <formula>B176=""</formula>
    </cfRule>
  </conditionalFormatting>
  <conditionalFormatting sqref="D187">
    <cfRule type="expression" dxfId="12527" priority="4315">
      <formula>B187=""</formula>
    </cfRule>
  </conditionalFormatting>
  <conditionalFormatting sqref="D188">
    <cfRule type="expression" dxfId="12526" priority="4314">
      <formula>B188=""</formula>
    </cfRule>
  </conditionalFormatting>
  <conditionalFormatting sqref="D189">
    <cfRule type="expression" dxfId="12525" priority="4313">
      <formula>B189=""</formula>
    </cfRule>
  </conditionalFormatting>
  <conditionalFormatting sqref="D190">
    <cfRule type="expression" dxfId="12524" priority="4312">
      <formula>B190=""</formula>
    </cfRule>
  </conditionalFormatting>
  <conditionalFormatting sqref="D191">
    <cfRule type="expression" dxfId="12523" priority="4311">
      <formula>B191=""</formula>
    </cfRule>
  </conditionalFormatting>
  <conditionalFormatting sqref="D192">
    <cfRule type="expression" dxfId="12522" priority="4310">
      <formula>B192=""</formula>
    </cfRule>
  </conditionalFormatting>
  <conditionalFormatting sqref="D193">
    <cfRule type="expression" dxfId="12521" priority="4309">
      <formula>B193=""</formula>
    </cfRule>
  </conditionalFormatting>
  <conditionalFormatting sqref="D194">
    <cfRule type="expression" dxfId="12520" priority="4308">
      <formula>B194=""</formula>
    </cfRule>
  </conditionalFormatting>
  <conditionalFormatting sqref="E174 E176 E178 E180 E182 E184 E186 E188 E190 E192">
    <cfRule type="expression" dxfId="12519" priority="4307">
      <formula>B174=""</formula>
    </cfRule>
  </conditionalFormatting>
  <conditionalFormatting sqref="E175 E177 E179 E181 E183 E185 E187 E189 E191 E193">
    <cfRule type="expression" dxfId="12518" priority="4306">
      <formula>B175=""</formula>
    </cfRule>
  </conditionalFormatting>
  <conditionalFormatting sqref="E176:E186">
    <cfRule type="expression" dxfId="12517" priority="4305">
      <formula>B176=""</formula>
    </cfRule>
  </conditionalFormatting>
  <conditionalFormatting sqref="E187">
    <cfRule type="expression" dxfId="12516" priority="4304">
      <formula>B187=""</formula>
    </cfRule>
  </conditionalFormatting>
  <conditionalFormatting sqref="E188">
    <cfRule type="expression" dxfId="12515" priority="4303">
      <formula>B188=""</formula>
    </cfRule>
  </conditionalFormatting>
  <conditionalFormatting sqref="E189">
    <cfRule type="expression" dxfId="12514" priority="4302">
      <formula>B189=""</formula>
    </cfRule>
  </conditionalFormatting>
  <conditionalFormatting sqref="E190">
    <cfRule type="expression" dxfId="12513" priority="4301">
      <formula>B190=""</formula>
    </cfRule>
  </conditionalFormatting>
  <conditionalFormatting sqref="E191">
    <cfRule type="expression" dxfId="12512" priority="4300">
      <formula>B191=""</formula>
    </cfRule>
  </conditionalFormatting>
  <conditionalFormatting sqref="E192">
    <cfRule type="expression" dxfId="12511" priority="4299">
      <formula>B192=""</formula>
    </cfRule>
  </conditionalFormatting>
  <conditionalFormatting sqref="E193">
    <cfRule type="expression" dxfId="12510" priority="4298">
      <formula>B193=""</formula>
    </cfRule>
  </conditionalFormatting>
  <conditionalFormatting sqref="E194">
    <cfRule type="expression" dxfId="12509" priority="4297">
      <formula>B194=""</formula>
    </cfRule>
  </conditionalFormatting>
  <conditionalFormatting sqref="F174 F176 F178 F180 F182 F184 F186 F188 F190 F192">
    <cfRule type="expression" dxfId="12508" priority="4296">
      <formula>B174=""</formula>
    </cfRule>
  </conditionalFormatting>
  <conditionalFormatting sqref="F175 F177 F179 F181 F183 F185 F187 F189 F191 F193">
    <cfRule type="expression" dxfId="12507" priority="4295">
      <formula>B175=""</formula>
    </cfRule>
  </conditionalFormatting>
  <conditionalFormatting sqref="F176:F186">
    <cfRule type="expression" dxfId="12506" priority="4294">
      <formula>B176=""</formula>
    </cfRule>
  </conditionalFormatting>
  <conditionalFormatting sqref="F187">
    <cfRule type="expression" dxfId="12505" priority="4293">
      <formula>B187=""</formula>
    </cfRule>
  </conditionalFormatting>
  <conditionalFormatting sqref="F188">
    <cfRule type="expression" dxfId="12504" priority="4292">
      <formula>B188=""</formula>
    </cfRule>
  </conditionalFormatting>
  <conditionalFormatting sqref="F189">
    <cfRule type="expression" dxfId="12503" priority="4291">
      <formula>B189=""</formula>
    </cfRule>
  </conditionalFormatting>
  <conditionalFormatting sqref="F190">
    <cfRule type="expression" dxfId="12502" priority="4290">
      <formula>B190=""</formula>
    </cfRule>
  </conditionalFormatting>
  <conditionalFormatting sqref="F191">
    <cfRule type="expression" dxfId="12501" priority="4289">
      <formula>B191=""</formula>
    </cfRule>
  </conditionalFormatting>
  <conditionalFormatting sqref="F192">
    <cfRule type="expression" dxfId="12500" priority="4288">
      <formula>B192=""</formula>
    </cfRule>
  </conditionalFormatting>
  <conditionalFormatting sqref="F193">
    <cfRule type="expression" dxfId="12499" priority="4287">
      <formula>B193=""</formula>
    </cfRule>
  </conditionalFormatting>
  <conditionalFormatting sqref="F194">
    <cfRule type="expression" dxfId="12498" priority="4286">
      <formula>B194=""</formula>
    </cfRule>
  </conditionalFormatting>
  <conditionalFormatting sqref="E175 E177 E179 E181 E183 E185 E187 E189 E191 E193">
    <cfRule type="expression" dxfId="12497" priority="4285">
      <formula>B175=""</formula>
    </cfRule>
  </conditionalFormatting>
  <conditionalFormatting sqref="E176:E186">
    <cfRule type="expression" dxfId="12496" priority="4284">
      <formula>B176=""</formula>
    </cfRule>
  </conditionalFormatting>
  <conditionalFormatting sqref="E187">
    <cfRule type="expression" dxfId="12495" priority="4283">
      <formula>B187=""</formula>
    </cfRule>
  </conditionalFormatting>
  <conditionalFormatting sqref="E188">
    <cfRule type="expression" dxfId="12494" priority="4282">
      <formula>B188=""</formula>
    </cfRule>
  </conditionalFormatting>
  <conditionalFormatting sqref="E189">
    <cfRule type="expression" dxfId="12493" priority="4281">
      <formula>B189=""</formula>
    </cfRule>
  </conditionalFormatting>
  <conditionalFormatting sqref="E190">
    <cfRule type="expression" dxfId="12492" priority="4280">
      <formula>B190=""</formula>
    </cfRule>
  </conditionalFormatting>
  <conditionalFormatting sqref="E191">
    <cfRule type="expression" dxfId="12491" priority="4279">
      <formula>B191=""</formula>
    </cfRule>
  </conditionalFormatting>
  <conditionalFormatting sqref="E192">
    <cfRule type="expression" dxfId="12490" priority="4278">
      <formula>B192=""</formula>
    </cfRule>
  </conditionalFormatting>
  <conditionalFormatting sqref="E193">
    <cfRule type="expression" dxfId="12489" priority="4277">
      <formula>B193=""</formula>
    </cfRule>
  </conditionalFormatting>
  <conditionalFormatting sqref="E194">
    <cfRule type="expression" dxfId="12488" priority="4276">
      <formula>B194=""</formula>
    </cfRule>
  </conditionalFormatting>
  <conditionalFormatting sqref="G174 G176 G178 G180 G182 G184 G186 G188 G190 G192">
    <cfRule type="expression" dxfId="12487" priority="4275">
      <formula>B174=""</formula>
    </cfRule>
  </conditionalFormatting>
  <conditionalFormatting sqref="G175 G177 G179 G181 G183 G185 G187 G189 G191 G193">
    <cfRule type="expression" dxfId="12486" priority="4274">
      <formula>B175=""</formula>
    </cfRule>
  </conditionalFormatting>
  <conditionalFormatting sqref="G176:G186">
    <cfRule type="expression" dxfId="12485" priority="4273">
      <formula>B176=""</formula>
    </cfRule>
  </conditionalFormatting>
  <conditionalFormatting sqref="G187">
    <cfRule type="expression" dxfId="12484" priority="4272">
      <formula>B187=""</formula>
    </cfRule>
  </conditionalFormatting>
  <conditionalFormatting sqref="G188">
    <cfRule type="expression" dxfId="12483" priority="4271">
      <formula>B188=""</formula>
    </cfRule>
  </conditionalFormatting>
  <conditionalFormatting sqref="G189">
    <cfRule type="expression" dxfId="12482" priority="4270">
      <formula>B189=""</formula>
    </cfRule>
  </conditionalFormatting>
  <conditionalFormatting sqref="G190">
    <cfRule type="expression" dxfId="12481" priority="4269">
      <formula>B190=""</formula>
    </cfRule>
  </conditionalFormatting>
  <conditionalFormatting sqref="G191">
    <cfRule type="expression" dxfId="12480" priority="4268">
      <formula>B191=""</formula>
    </cfRule>
  </conditionalFormatting>
  <conditionalFormatting sqref="G192">
    <cfRule type="expression" dxfId="12479" priority="4267">
      <formula>B192=""</formula>
    </cfRule>
  </conditionalFormatting>
  <conditionalFormatting sqref="G193">
    <cfRule type="expression" dxfId="12478" priority="4266">
      <formula>B193=""</formula>
    </cfRule>
  </conditionalFormatting>
  <conditionalFormatting sqref="G194">
    <cfRule type="expression" dxfId="12477" priority="4265">
      <formula>B194=""</formula>
    </cfRule>
  </conditionalFormatting>
  <conditionalFormatting sqref="H174 H176 H178 H180 H182 H184 H186 H188 H190 H192">
    <cfRule type="expression" dxfId="12476" priority="4264">
      <formula>B174=""</formula>
    </cfRule>
  </conditionalFormatting>
  <conditionalFormatting sqref="H175 H177 H179 H181 H183 H185 H187 H189 H191 H193">
    <cfRule type="expression" dxfId="12475" priority="4263">
      <formula>B175=""</formula>
    </cfRule>
  </conditionalFormatting>
  <conditionalFormatting sqref="H176:H186">
    <cfRule type="expression" dxfId="12474" priority="4262">
      <formula>B176=""</formula>
    </cfRule>
  </conditionalFormatting>
  <conditionalFormatting sqref="H187">
    <cfRule type="expression" dxfId="12473" priority="4261">
      <formula>B187=""</formula>
    </cfRule>
  </conditionalFormatting>
  <conditionalFormatting sqref="H188">
    <cfRule type="expression" dxfId="12472" priority="4260">
      <formula>B188=""</formula>
    </cfRule>
  </conditionalFormatting>
  <conditionalFormatting sqref="H189">
    <cfRule type="expression" dxfId="12471" priority="4259">
      <formula>B189=""</formula>
    </cfRule>
  </conditionalFormatting>
  <conditionalFormatting sqref="H190">
    <cfRule type="expression" dxfId="12470" priority="4258">
      <formula>B190=""</formula>
    </cfRule>
  </conditionalFormatting>
  <conditionalFormatting sqref="H191">
    <cfRule type="expression" dxfId="12469" priority="4257">
      <formula>B191=""</formula>
    </cfRule>
  </conditionalFormatting>
  <conditionalFormatting sqref="H192">
    <cfRule type="expression" dxfId="12468" priority="4256">
      <formula>B192=""</formula>
    </cfRule>
  </conditionalFormatting>
  <conditionalFormatting sqref="H193">
    <cfRule type="expression" dxfId="12467" priority="4255">
      <formula>B193=""</formula>
    </cfRule>
  </conditionalFormatting>
  <conditionalFormatting sqref="H194">
    <cfRule type="expression" dxfId="12466" priority="4254">
      <formula>B194=""</formula>
    </cfRule>
  </conditionalFormatting>
  <conditionalFormatting sqref="C149">
    <cfRule type="expression" dxfId="12465" priority="4253">
      <formula>B149=""</formula>
    </cfRule>
  </conditionalFormatting>
  <conditionalFormatting sqref="C171">
    <cfRule type="expression" dxfId="12464" priority="4252">
      <formula>B171=""</formula>
    </cfRule>
  </conditionalFormatting>
  <conditionalFormatting sqref="C193">
    <cfRule type="expression" dxfId="12463" priority="4251">
      <formula>B193=""</formula>
    </cfRule>
  </conditionalFormatting>
  <conditionalFormatting sqref="C109">
    <cfRule type="expression" dxfId="12462" priority="4249">
      <formula>B109=""</formula>
    </cfRule>
  </conditionalFormatting>
  <conditionalFormatting sqref="C122">
    <cfRule type="expression" dxfId="12461" priority="4246">
      <formula>B122=""</formula>
    </cfRule>
  </conditionalFormatting>
  <conditionalFormatting sqref="C123">
    <cfRule type="expression" dxfId="12460" priority="4245">
      <formula>B123=""</formula>
    </cfRule>
  </conditionalFormatting>
  <conditionalFormatting sqref="C124">
    <cfRule type="expression" dxfId="12459" priority="4244">
      <formula>B124=""</formula>
    </cfRule>
  </conditionalFormatting>
  <conditionalFormatting sqref="C125">
    <cfRule type="expression" dxfId="12458" priority="4243">
      <formula>B125=""</formula>
    </cfRule>
  </conditionalFormatting>
  <conditionalFormatting sqref="C126">
    <cfRule type="expression" dxfId="12457" priority="4242">
      <formula>B126=""</formula>
    </cfRule>
  </conditionalFormatting>
  <conditionalFormatting sqref="C127">
    <cfRule type="expression" dxfId="12456" priority="4241">
      <formula>B127=""</formula>
    </cfRule>
  </conditionalFormatting>
  <conditionalFormatting sqref="C128">
    <cfRule type="expression" dxfId="12455" priority="4240">
      <formula>B128=""</formula>
    </cfRule>
  </conditionalFormatting>
  <conditionalFormatting sqref="C130:C150">
    <cfRule type="expression" dxfId="12454" priority="4239">
      <formula>B130=""</formula>
    </cfRule>
  </conditionalFormatting>
  <conditionalFormatting sqref="C131 C133 C135 C137 C139 C141 C143 C145 C147 C149">
    <cfRule type="expression" dxfId="12453" priority="4238">
      <formula>B131=""</formula>
    </cfRule>
  </conditionalFormatting>
  <conditionalFormatting sqref="C132:C142">
    <cfRule type="expression" dxfId="12452" priority="4237">
      <formula>B132=""</formula>
    </cfRule>
  </conditionalFormatting>
  <conditionalFormatting sqref="C143">
    <cfRule type="expression" dxfId="12451" priority="4236">
      <formula>B143=""</formula>
    </cfRule>
  </conditionalFormatting>
  <conditionalFormatting sqref="C144">
    <cfRule type="expression" dxfId="12450" priority="4235">
      <formula>B144=""</formula>
    </cfRule>
  </conditionalFormatting>
  <conditionalFormatting sqref="C145">
    <cfRule type="expression" dxfId="12449" priority="4234">
      <formula>B145=""</formula>
    </cfRule>
  </conditionalFormatting>
  <conditionalFormatting sqref="C146">
    <cfRule type="expression" dxfId="12448" priority="4233">
      <formula>B146=""</formula>
    </cfRule>
  </conditionalFormatting>
  <conditionalFormatting sqref="C147">
    <cfRule type="expression" dxfId="12447" priority="4232">
      <formula>B147=""</formula>
    </cfRule>
  </conditionalFormatting>
  <conditionalFormatting sqref="C148">
    <cfRule type="expression" dxfId="12446" priority="4231">
      <formula>B148=""</formula>
    </cfRule>
  </conditionalFormatting>
  <conditionalFormatting sqref="C149">
    <cfRule type="expression" dxfId="12445" priority="4230">
      <formula>B149=""</formula>
    </cfRule>
  </conditionalFormatting>
  <conditionalFormatting sqref="C150">
    <cfRule type="expression" dxfId="12444" priority="4229">
      <formula>B150=""</formula>
    </cfRule>
  </conditionalFormatting>
  <conditionalFormatting sqref="C152:C171">
    <cfRule type="expression" dxfId="12443" priority="4228">
      <formula>B152=""</formula>
    </cfRule>
  </conditionalFormatting>
  <conditionalFormatting sqref="C153 C155 C157 C159 C161 C163 C165 C167 C169">
    <cfRule type="expression" dxfId="12442" priority="4227">
      <formula>B153=""</formula>
    </cfRule>
  </conditionalFormatting>
  <conditionalFormatting sqref="C154:C164">
    <cfRule type="expression" dxfId="12441" priority="4226">
      <formula>B154=""</formula>
    </cfRule>
  </conditionalFormatting>
  <conditionalFormatting sqref="C165">
    <cfRule type="expression" dxfId="12440" priority="4225">
      <formula>B165=""</formula>
    </cfRule>
  </conditionalFormatting>
  <conditionalFormatting sqref="C166">
    <cfRule type="expression" dxfId="12439" priority="4224">
      <formula>B166=""</formula>
    </cfRule>
  </conditionalFormatting>
  <conditionalFormatting sqref="C167">
    <cfRule type="expression" dxfId="12438" priority="4223">
      <formula>B167=""</formula>
    </cfRule>
  </conditionalFormatting>
  <conditionalFormatting sqref="C168">
    <cfRule type="expression" dxfId="12437" priority="4222">
      <formula>B168=""</formula>
    </cfRule>
  </conditionalFormatting>
  <conditionalFormatting sqref="C169">
    <cfRule type="expression" dxfId="12436" priority="4221">
      <formula>B169=""</formula>
    </cfRule>
  </conditionalFormatting>
  <conditionalFormatting sqref="C170">
    <cfRule type="expression" dxfId="12435" priority="4220">
      <formula>B170=""</formula>
    </cfRule>
  </conditionalFormatting>
  <conditionalFormatting sqref="C171">
    <cfRule type="expression" dxfId="12434" priority="4219">
      <formula>B171=""</formula>
    </cfRule>
  </conditionalFormatting>
  <conditionalFormatting sqref="C172">
    <cfRule type="expression" dxfId="12433" priority="4218">
      <formula>B172=""</formula>
    </cfRule>
  </conditionalFormatting>
  <conditionalFormatting sqref="C174:C194">
    <cfRule type="expression" dxfId="12432" priority="4217">
      <formula>B174=""</formula>
    </cfRule>
  </conditionalFormatting>
  <conditionalFormatting sqref="C175 C177 C179 C181 C183 C185 C187 C189 C191 C193">
    <cfRule type="expression" dxfId="12431" priority="4216">
      <formula>B175=""</formula>
    </cfRule>
  </conditionalFormatting>
  <conditionalFormatting sqref="C176:C186">
    <cfRule type="expression" dxfId="12430" priority="4215">
      <formula>B176=""</formula>
    </cfRule>
  </conditionalFormatting>
  <conditionalFormatting sqref="C187">
    <cfRule type="expression" dxfId="12429" priority="4214">
      <formula>B187=""</formula>
    </cfRule>
  </conditionalFormatting>
  <conditionalFormatting sqref="C188">
    <cfRule type="expression" dxfId="12428" priority="4213">
      <formula>B188=""</formula>
    </cfRule>
  </conditionalFormatting>
  <conditionalFormatting sqref="C189">
    <cfRule type="expression" dxfId="12427" priority="4212">
      <formula>B189=""</formula>
    </cfRule>
  </conditionalFormatting>
  <conditionalFormatting sqref="C190">
    <cfRule type="expression" dxfId="12426" priority="4211">
      <formula>B190=""</formula>
    </cfRule>
  </conditionalFormatting>
  <conditionalFormatting sqref="C191">
    <cfRule type="expression" dxfId="12425" priority="4210">
      <formula>B191=""</formula>
    </cfRule>
  </conditionalFormatting>
  <conditionalFormatting sqref="C192">
    <cfRule type="expression" dxfId="12424" priority="4209">
      <formula>B192=""</formula>
    </cfRule>
  </conditionalFormatting>
  <conditionalFormatting sqref="C193">
    <cfRule type="expression" dxfId="12423" priority="4208">
      <formula>B193=""</formula>
    </cfRule>
  </conditionalFormatting>
  <conditionalFormatting sqref="C194">
    <cfRule type="expression" dxfId="12422" priority="4207">
      <formula>B194=""</formula>
    </cfRule>
  </conditionalFormatting>
  <conditionalFormatting sqref="C109">
    <cfRule type="expression" dxfId="12421" priority="4205">
      <formula>B109=""</formula>
    </cfRule>
  </conditionalFormatting>
  <conditionalFormatting sqref="C122">
    <cfRule type="expression" dxfId="12420" priority="4202">
      <formula>B122=""</formula>
    </cfRule>
  </conditionalFormatting>
  <conditionalFormatting sqref="C123">
    <cfRule type="expression" dxfId="12419" priority="4201">
      <formula>B123=""</formula>
    </cfRule>
  </conditionalFormatting>
  <conditionalFormatting sqref="C124">
    <cfRule type="expression" dxfId="12418" priority="4200">
      <formula>B124=""</formula>
    </cfRule>
  </conditionalFormatting>
  <conditionalFormatting sqref="C125">
    <cfRule type="expression" dxfId="12417" priority="4199">
      <formula>B125=""</formula>
    </cfRule>
  </conditionalFormatting>
  <conditionalFormatting sqref="C126">
    <cfRule type="expression" dxfId="12416" priority="4198">
      <formula>B126=""</formula>
    </cfRule>
  </conditionalFormatting>
  <conditionalFormatting sqref="C127">
    <cfRule type="expression" dxfId="12415" priority="4197">
      <formula>B127=""</formula>
    </cfRule>
  </conditionalFormatting>
  <conditionalFormatting sqref="D108">
    <cfRule type="expression" dxfId="12414" priority="4196">
      <formula>B108=""</formula>
    </cfRule>
  </conditionalFormatting>
  <conditionalFormatting sqref="D109">
    <cfRule type="expression" dxfId="12413" priority="4195">
      <formula>B109=""</formula>
    </cfRule>
  </conditionalFormatting>
  <conditionalFormatting sqref="D122">
    <cfRule type="expression" dxfId="12412" priority="4192">
      <formula>B122=""</formula>
    </cfRule>
  </conditionalFormatting>
  <conditionalFormatting sqref="D123">
    <cfRule type="expression" dxfId="12411" priority="4191">
      <formula>B123=""</formula>
    </cfRule>
  </conditionalFormatting>
  <conditionalFormatting sqref="D124">
    <cfRule type="expression" dxfId="12410" priority="4190">
      <formula>B124=""</formula>
    </cfRule>
  </conditionalFormatting>
  <conditionalFormatting sqref="D125">
    <cfRule type="expression" dxfId="12409" priority="4189">
      <formula>B125=""</formula>
    </cfRule>
  </conditionalFormatting>
  <conditionalFormatting sqref="D126">
    <cfRule type="expression" dxfId="12408" priority="4188">
      <formula>B126=""</formula>
    </cfRule>
  </conditionalFormatting>
  <conditionalFormatting sqref="D127">
    <cfRule type="expression" dxfId="12407" priority="4187">
      <formula>B127=""</formula>
    </cfRule>
  </conditionalFormatting>
  <conditionalFormatting sqref="E109 E111 E113 E115 E117 E119 E121 E123 E125 E127">
    <cfRule type="expression" dxfId="12406" priority="4185">
      <formula>B109=""</formula>
    </cfRule>
  </conditionalFormatting>
  <conditionalFormatting sqref="E122">
    <cfRule type="expression" dxfId="12405" priority="4182">
      <formula>B122=""</formula>
    </cfRule>
  </conditionalFormatting>
  <conditionalFormatting sqref="E123">
    <cfRule type="expression" dxfId="12404" priority="4181">
      <formula>B123=""</formula>
    </cfRule>
  </conditionalFormatting>
  <conditionalFormatting sqref="E124">
    <cfRule type="expression" dxfId="12403" priority="4180">
      <formula>B124=""</formula>
    </cfRule>
  </conditionalFormatting>
  <conditionalFormatting sqref="E125">
    <cfRule type="expression" dxfId="12402" priority="4179">
      <formula>B125=""</formula>
    </cfRule>
  </conditionalFormatting>
  <conditionalFormatting sqref="E126">
    <cfRule type="expression" dxfId="12401" priority="4178">
      <formula>B126=""</formula>
    </cfRule>
  </conditionalFormatting>
  <conditionalFormatting sqref="E127">
    <cfRule type="expression" dxfId="12400" priority="4177">
      <formula>B127=""</formula>
    </cfRule>
  </conditionalFormatting>
  <conditionalFormatting sqref="F109 F111 F113 F115 F117 F119 F121 F123 F125 F127">
    <cfRule type="expression" dxfId="12399" priority="4175">
      <formula>B109=""</formula>
    </cfRule>
  </conditionalFormatting>
  <conditionalFormatting sqref="F122">
    <cfRule type="expression" dxfId="12398" priority="4172">
      <formula>B122=""</formula>
    </cfRule>
  </conditionalFormatting>
  <conditionalFormatting sqref="F123">
    <cfRule type="expression" dxfId="12397" priority="4171">
      <formula>B123=""</formula>
    </cfRule>
  </conditionalFormatting>
  <conditionalFormatting sqref="F124">
    <cfRule type="expression" dxfId="12396" priority="4170">
      <formula>B124=""</formula>
    </cfRule>
  </conditionalFormatting>
  <conditionalFormatting sqref="F125">
    <cfRule type="expression" dxfId="12395" priority="4169">
      <formula>B125=""</formula>
    </cfRule>
  </conditionalFormatting>
  <conditionalFormatting sqref="F126">
    <cfRule type="expression" dxfId="12394" priority="4168">
      <formula>B126=""</formula>
    </cfRule>
  </conditionalFormatting>
  <conditionalFormatting sqref="F127">
    <cfRule type="expression" dxfId="12393" priority="4167">
      <formula>B127=""</formula>
    </cfRule>
  </conditionalFormatting>
  <conditionalFormatting sqref="E109 E111 E113 E115 E117 E119 E121 E123 E125 E127">
    <cfRule type="expression" dxfId="12392" priority="4166">
      <formula>B109=""</formula>
    </cfRule>
  </conditionalFormatting>
  <conditionalFormatting sqref="E122">
    <cfRule type="expression" dxfId="12391" priority="4163">
      <formula>B122=""</formula>
    </cfRule>
  </conditionalFormatting>
  <conditionalFormatting sqref="E123">
    <cfRule type="expression" dxfId="12390" priority="4162">
      <formula>B123=""</formula>
    </cfRule>
  </conditionalFormatting>
  <conditionalFormatting sqref="E124">
    <cfRule type="expression" dxfId="12389" priority="4161">
      <formula>B124=""</formula>
    </cfRule>
  </conditionalFormatting>
  <conditionalFormatting sqref="E125">
    <cfRule type="expression" dxfId="12388" priority="4160">
      <formula>B125=""</formula>
    </cfRule>
  </conditionalFormatting>
  <conditionalFormatting sqref="E126">
    <cfRule type="expression" dxfId="12387" priority="4159">
      <formula>B126=""</formula>
    </cfRule>
  </conditionalFormatting>
  <conditionalFormatting sqref="E127">
    <cfRule type="expression" dxfId="12386" priority="4158">
      <formula>B127=""</formula>
    </cfRule>
  </conditionalFormatting>
  <conditionalFormatting sqref="G109 G111 G113 G115 G117 G119 G121 G123 G125 G127">
    <cfRule type="expression" dxfId="12385" priority="4156">
      <formula>B109=""</formula>
    </cfRule>
  </conditionalFormatting>
  <conditionalFormatting sqref="G122">
    <cfRule type="expression" dxfId="12384" priority="4153">
      <formula>B122=""</formula>
    </cfRule>
  </conditionalFormatting>
  <conditionalFormatting sqref="G123">
    <cfRule type="expression" dxfId="12383" priority="4152">
      <formula>B123=""</formula>
    </cfRule>
  </conditionalFormatting>
  <conditionalFormatting sqref="G124">
    <cfRule type="expression" dxfId="12382" priority="4151">
      <formula>B124=""</formula>
    </cfRule>
  </conditionalFormatting>
  <conditionalFormatting sqref="G125">
    <cfRule type="expression" dxfId="12381" priority="4150">
      <formula>B125=""</formula>
    </cfRule>
  </conditionalFormatting>
  <conditionalFormatting sqref="G126">
    <cfRule type="expression" dxfId="12380" priority="4149">
      <formula>B126=""</formula>
    </cfRule>
  </conditionalFormatting>
  <conditionalFormatting sqref="G127">
    <cfRule type="expression" dxfId="12379" priority="4148">
      <formula>B127=""</formula>
    </cfRule>
  </conditionalFormatting>
  <conditionalFormatting sqref="H108">
    <cfRule type="expression" dxfId="12378" priority="4147">
      <formula>B108=""</formula>
    </cfRule>
  </conditionalFormatting>
  <conditionalFormatting sqref="H109 H111 H113 H115 H117 H119 H121 H123 H125 H127">
    <cfRule type="expression" dxfId="12377" priority="4146">
      <formula>B109=""</formula>
    </cfRule>
  </conditionalFormatting>
  <conditionalFormatting sqref="H122">
    <cfRule type="expression" dxfId="12376" priority="4143">
      <formula>B122=""</formula>
    </cfRule>
  </conditionalFormatting>
  <conditionalFormatting sqref="H123">
    <cfRule type="expression" dxfId="12375" priority="4142">
      <formula>B123=""</formula>
    </cfRule>
  </conditionalFormatting>
  <conditionalFormatting sqref="H124">
    <cfRule type="expression" dxfId="12374" priority="4141">
      <formula>B124=""</formula>
    </cfRule>
  </conditionalFormatting>
  <conditionalFormatting sqref="H125">
    <cfRule type="expression" dxfId="12373" priority="4140">
      <formula>B125=""</formula>
    </cfRule>
  </conditionalFormatting>
  <conditionalFormatting sqref="H126">
    <cfRule type="expression" dxfId="12372" priority="4139">
      <formula>B126=""</formula>
    </cfRule>
  </conditionalFormatting>
  <conditionalFormatting sqref="H127">
    <cfRule type="expression" dxfId="12371" priority="4138">
      <formula>B127=""</formula>
    </cfRule>
  </conditionalFormatting>
  <conditionalFormatting sqref="F108">
    <cfRule type="expression" dxfId="12370" priority="4137">
      <formula>B108=""</formula>
    </cfRule>
  </conditionalFormatting>
  <conditionalFormatting sqref="F109 F111 F113 F115 F117 F119 F121 F123 F125 F127">
    <cfRule type="expression" dxfId="12369" priority="4136">
      <formula>B109=""</formula>
    </cfRule>
  </conditionalFormatting>
  <conditionalFormatting sqref="F122">
    <cfRule type="expression" dxfId="12368" priority="4133">
      <formula>B122=""</formula>
    </cfRule>
  </conditionalFormatting>
  <conditionalFormatting sqref="F123">
    <cfRule type="expression" dxfId="12367" priority="4132">
      <formula>B123=""</formula>
    </cfRule>
  </conditionalFormatting>
  <conditionalFormatting sqref="F124">
    <cfRule type="expression" dxfId="12366" priority="4131">
      <formula>B124=""</formula>
    </cfRule>
  </conditionalFormatting>
  <conditionalFormatting sqref="F125">
    <cfRule type="expression" dxfId="12365" priority="4130">
      <formula>B125=""</formula>
    </cfRule>
  </conditionalFormatting>
  <conditionalFormatting sqref="F126">
    <cfRule type="expression" dxfId="12364" priority="4129">
      <formula>B126=""</formula>
    </cfRule>
  </conditionalFormatting>
  <conditionalFormatting sqref="F127">
    <cfRule type="expression" dxfId="12363" priority="4128">
      <formula>B127=""</formula>
    </cfRule>
  </conditionalFormatting>
  <conditionalFormatting sqref="C130:C149">
    <cfRule type="expression" dxfId="12362" priority="4127">
      <formula>B130=""</formula>
    </cfRule>
  </conditionalFormatting>
  <conditionalFormatting sqref="C131 C133 C135 C137 C139 C141 C143 C145 C147 C149">
    <cfRule type="expression" dxfId="12361" priority="4126">
      <formula>B131=""</formula>
    </cfRule>
  </conditionalFormatting>
  <conditionalFormatting sqref="C132:C142">
    <cfRule type="expression" dxfId="12360" priority="4125">
      <formula>B132=""</formula>
    </cfRule>
  </conditionalFormatting>
  <conditionalFormatting sqref="C143">
    <cfRule type="expression" dxfId="12359" priority="4124">
      <formula>B143=""</formula>
    </cfRule>
  </conditionalFormatting>
  <conditionalFormatting sqref="C144">
    <cfRule type="expression" dxfId="12358" priority="4123">
      <formula>B144=""</formula>
    </cfRule>
  </conditionalFormatting>
  <conditionalFormatting sqref="C145">
    <cfRule type="expression" dxfId="12357" priority="4122">
      <formula>B145=""</formula>
    </cfRule>
  </conditionalFormatting>
  <conditionalFormatting sqref="C146">
    <cfRule type="expression" dxfId="12356" priority="4121">
      <formula>B146=""</formula>
    </cfRule>
  </conditionalFormatting>
  <conditionalFormatting sqref="C147">
    <cfRule type="expression" dxfId="12355" priority="4120">
      <formula>B147=""</formula>
    </cfRule>
  </conditionalFormatting>
  <conditionalFormatting sqref="C148">
    <cfRule type="expression" dxfId="12354" priority="4119">
      <formula>B148=""</formula>
    </cfRule>
  </conditionalFormatting>
  <conditionalFormatting sqref="C149">
    <cfRule type="expression" dxfId="12353" priority="4118">
      <formula>B149=""</formula>
    </cfRule>
  </conditionalFormatting>
  <conditionalFormatting sqref="D130 D132 D134 D136 D138 D140 D142 D144 D146 D148">
    <cfRule type="expression" dxfId="12352" priority="4117">
      <formula>B130=""</formula>
    </cfRule>
  </conditionalFormatting>
  <conditionalFormatting sqref="D131 D133 D135 D137 D139 D141 D143 D145 D147 D149">
    <cfRule type="expression" dxfId="12351" priority="4116">
      <formula>B131=""</formula>
    </cfRule>
  </conditionalFormatting>
  <conditionalFormatting sqref="D132:D142">
    <cfRule type="expression" dxfId="12350" priority="4115">
      <formula>B132=""</formula>
    </cfRule>
  </conditionalFormatting>
  <conditionalFormatting sqref="D143">
    <cfRule type="expression" dxfId="12349" priority="4114">
      <formula>B143=""</formula>
    </cfRule>
  </conditionalFormatting>
  <conditionalFormatting sqref="D144">
    <cfRule type="expression" dxfId="12348" priority="4113">
      <formula>B144=""</formula>
    </cfRule>
  </conditionalFormatting>
  <conditionalFormatting sqref="D145">
    <cfRule type="expression" dxfId="12347" priority="4112">
      <formula>B145=""</formula>
    </cfRule>
  </conditionalFormatting>
  <conditionalFormatting sqref="D146">
    <cfRule type="expression" dxfId="12346" priority="4111">
      <formula>B146=""</formula>
    </cfRule>
  </conditionalFormatting>
  <conditionalFormatting sqref="D147">
    <cfRule type="expression" dxfId="12345" priority="4110">
      <formula>B147=""</formula>
    </cfRule>
  </conditionalFormatting>
  <conditionalFormatting sqref="D148">
    <cfRule type="expression" dxfId="12344" priority="4109">
      <formula>B148=""</formula>
    </cfRule>
  </conditionalFormatting>
  <conditionalFormatting sqref="D149">
    <cfRule type="expression" dxfId="12343" priority="4108">
      <formula>B149=""</formula>
    </cfRule>
  </conditionalFormatting>
  <conditionalFormatting sqref="E130 E132 E134 E136 E138 E140 E142 E144 E146 E148">
    <cfRule type="expression" dxfId="12342" priority="4107">
      <formula>B130=""</formula>
    </cfRule>
  </conditionalFormatting>
  <conditionalFormatting sqref="E131 E133 E135 E137 E139 E141 E143 E145 E147 E149">
    <cfRule type="expression" dxfId="12341" priority="4106">
      <formula>B131=""</formula>
    </cfRule>
  </conditionalFormatting>
  <conditionalFormatting sqref="E132:E142">
    <cfRule type="expression" dxfId="12340" priority="4105">
      <formula>B132=""</formula>
    </cfRule>
  </conditionalFormatting>
  <conditionalFormatting sqref="E143">
    <cfRule type="expression" dxfId="12339" priority="4104">
      <formula>B143=""</formula>
    </cfRule>
  </conditionalFormatting>
  <conditionalFormatting sqref="E144">
    <cfRule type="expression" dxfId="12338" priority="4103">
      <formula>B144=""</formula>
    </cfRule>
  </conditionalFormatting>
  <conditionalFormatting sqref="E145">
    <cfRule type="expression" dxfId="12337" priority="4102">
      <formula>B145=""</formula>
    </cfRule>
  </conditionalFormatting>
  <conditionalFormatting sqref="E146">
    <cfRule type="expression" dxfId="12336" priority="4101">
      <formula>B146=""</formula>
    </cfRule>
  </conditionalFormatting>
  <conditionalFormatting sqref="E147">
    <cfRule type="expression" dxfId="12335" priority="4100">
      <formula>B147=""</formula>
    </cfRule>
  </conditionalFormatting>
  <conditionalFormatting sqref="E148">
    <cfRule type="expression" dxfId="12334" priority="4099">
      <formula>B148=""</formula>
    </cfRule>
  </conditionalFormatting>
  <conditionalFormatting sqref="E149">
    <cfRule type="expression" dxfId="12333" priority="4098">
      <formula>B149=""</formula>
    </cfRule>
  </conditionalFormatting>
  <conditionalFormatting sqref="F130 F132 F134 F136 F138 F140 F142 F144 F146 F148">
    <cfRule type="expression" dxfId="12332" priority="4097">
      <formula>B130=""</formula>
    </cfRule>
  </conditionalFormatting>
  <conditionalFormatting sqref="F131 F133 F135 F137 F139 F141 F143 F145 F147 F149">
    <cfRule type="expression" dxfId="12331" priority="4096">
      <formula>B131=""</formula>
    </cfRule>
  </conditionalFormatting>
  <conditionalFormatting sqref="F132:F142">
    <cfRule type="expression" dxfId="12330" priority="4095">
      <formula>B132=""</formula>
    </cfRule>
  </conditionalFormatting>
  <conditionalFormatting sqref="F143">
    <cfRule type="expression" dxfId="12329" priority="4094">
      <formula>B143=""</formula>
    </cfRule>
  </conditionalFormatting>
  <conditionalFormatting sqref="F144">
    <cfRule type="expression" dxfId="12328" priority="4093">
      <formula>B144=""</formula>
    </cfRule>
  </conditionalFormatting>
  <conditionalFormatting sqref="F145">
    <cfRule type="expression" dxfId="12327" priority="4092">
      <formula>B145=""</formula>
    </cfRule>
  </conditionalFormatting>
  <conditionalFormatting sqref="F146">
    <cfRule type="expression" dxfId="12326" priority="4091">
      <formula>B146=""</formula>
    </cfRule>
  </conditionalFormatting>
  <conditionalFormatting sqref="F147">
    <cfRule type="expression" dxfId="12325" priority="4090">
      <formula>B147=""</formula>
    </cfRule>
  </conditionalFormatting>
  <conditionalFormatting sqref="F148">
    <cfRule type="expression" dxfId="12324" priority="4089">
      <formula>B148=""</formula>
    </cfRule>
  </conditionalFormatting>
  <conditionalFormatting sqref="F149">
    <cfRule type="expression" dxfId="12323" priority="4088">
      <formula>B149=""</formula>
    </cfRule>
  </conditionalFormatting>
  <conditionalFormatting sqref="E131 E133 E135 E137 E139 E141 E143 E145 E147 E149">
    <cfRule type="expression" dxfId="12322" priority="4087">
      <formula>B131=""</formula>
    </cfRule>
  </conditionalFormatting>
  <conditionalFormatting sqref="E132:E142">
    <cfRule type="expression" dxfId="12321" priority="4086">
      <formula>B132=""</formula>
    </cfRule>
  </conditionalFormatting>
  <conditionalFormatting sqref="E143">
    <cfRule type="expression" dxfId="12320" priority="4085">
      <formula>B143=""</formula>
    </cfRule>
  </conditionalFormatting>
  <conditionalFormatting sqref="E144">
    <cfRule type="expression" dxfId="12319" priority="4084">
      <formula>B144=""</formula>
    </cfRule>
  </conditionalFormatting>
  <conditionalFormatting sqref="E145">
    <cfRule type="expression" dxfId="12318" priority="4083">
      <formula>B145=""</formula>
    </cfRule>
  </conditionalFormatting>
  <conditionalFormatting sqref="E146">
    <cfRule type="expression" dxfId="12317" priority="4082">
      <formula>B146=""</formula>
    </cfRule>
  </conditionalFormatting>
  <conditionalFormatting sqref="E147">
    <cfRule type="expression" dxfId="12316" priority="4081">
      <formula>B147=""</formula>
    </cfRule>
  </conditionalFormatting>
  <conditionalFormatting sqref="E148">
    <cfRule type="expression" dxfId="12315" priority="4080">
      <formula>B148=""</formula>
    </cfRule>
  </conditionalFormatting>
  <conditionalFormatting sqref="E149">
    <cfRule type="expression" dxfId="12314" priority="4079">
      <formula>B149=""</formula>
    </cfRule>
  </conditionalFormatting>
  <conditionalFormatting sqref="G130 G132 G134 G136 G138 G140 G142 G144 G146 G148">
    <cfRule type="expression" dxfId="12313" priority="4078">
      <formula>B130=""</formula>
    </cfRule>
  </conditionalFormatting>
  <conditionalFormatting sqref="G131 G133 G135 G137 G139 G141 G143 G145 G147 G149">
    <cfRule type="expression" dxfId="12312" priority="4077">
      <formula>B131=""</formula>
    </cfRule>
  </conditionalFormatting>
  <conditionalFormatting sqref="G132:G142">
    <cfRule type="expression" dxfId="12311" priority="4076">
      <formula>B132=""</formula>
    </cfRule>
  </conditionalFormatting>
  <conditionalFormatting sqref="G143">
    <cfRule type="expression" dxfId="12310" priority="4075">
      <formula>B143=""</formula>
    </cfRule>
  </conditionalFormatting>
  <conditionalFormatting sqref="G144">
    <cfRule type="expression" dxfId="12309" priority="4074">
      <formula>B144=""</formula>
    </cfRule>
  </conditionalFormatting>
  <conditionalFormatting sqref="G145">
    <cfRule type="expression" dxfId="12308" priority="4073">
      <formula>B145=""</formula>
    </cfRule>
  </conditionalFormatting>
  <conditionalFormatting sqref="G146">
    <cfRule type="expression" dxfId="12307" priority="4072">
      <formula>B146=""</formula>
    </cfRule>
  </conditionalFormatting>
  <conditionalFormatting sqref="G147">
    <cfRule type="expression" dxfId="12306" priority="4071">
      <formula>B147=""</formula>
    </cfRule>
  </conditionalFormatting>
  <conditionalFormatting sqref="G148">
    <cfRule type="expression" dxfId="12305" priority="4070">
      <formula>B148=""</formula>
    </cfRule>
  </conditionalFormatting>
  <conditionalFormatting sqref="G149">
    <cfRule type="expression" dxfId="12304" priority="4069">
      <formula>B149=""</formula>
    </cfRule>
  </conditionalFormatting>
  <conditionalFormatting sqref="H130 H132 H134 H136 H138 H140 H142 H144 H146 H148">
    <cfRule type="expression" dxfId="12303" priority="4068">
      <formula>B130=""</formula>
    </cfRule>
  </conditionalFormatting>
  <conditionalFormatting sqref="H131 H133 H135 H137 H139 H141 H143 H145 H147 H149">
    <cfRule type="expression" dxfId="12302" priority="4067">
      <formula>B131=""</formula>
    </cfRule>
  </conditionalFormatting>
  <conditionalFormatting sqref="H132:H142">
    <cfRule type="expression" dxfId="12301" priority="4066">
      <formula>B132=""</formula>
    </cfRule>
  </conditionalFormatting>
  <conditionalFormatting sqref="H143">
    <cfRule type="expression" dxfId="12300" priority="4065">
      <formula>B143=""</formula>
    </cfRule>
  </conditionalFormatting>
  <conditionalFormatting sqref="H144">
    <cfRule type="expression" dxfId="12299" priority="4064">
      <formula>B144=""</formula>
    </cfRule>
  </conditionalFormatting>
  <conditionalFormatting sqref="H145">
    <cfRule type="expression" dxfId="12298" priority="4063">
      <formula>B145=""</formula>
    </cfRule>
  </conditionalFormatting>
  <conditionalFormatting sqref="H146">
    <cfRule type="expression" dxfId="12297" priority="4062">
      <formula>B146=""</formula>
    </cfRule>
  </conditionalFormatting>
  <conditionalFormatting sqref="H147">
    <cfRule type="expression" dxfId="12296" priority="4061">
      <formula>B147=""</formula>
    </cfRule>
  </conditionalFormatting>
  <conditionalFormatting sqref="H148">
    <cfRule type="expression" dxfId="12295" priority="4060">
      <formula>B148=""</formula>
    </cfRule>
  </conditionalFormatting>
  <conditionalFormatting sqref="H149">
    <cfRule type="expression" dxfId="12294" priority="4059">
      <formula>B149=""</formula>
    </cfRule>
  </conditionalFormatting>
  <conditionalFormatting sqref="C130:C149">
    <cfRule type="expression" dxfId="12293" priority="4058">
      <formula>B130=""</formula>
    </cfRule>
  </conditionalFormatting>
  <conditionalFormatting sqref="C131 C133 C135 C137 C139 C141 C143 C145 C147 C149">
    <cfRule type="expression" dxfId="12292" priority="4057">
      <formula>B131=""</formula>
    </cfRule>
  </conditionalFormatting>
  <conditionalFormatting sqref="C132:C142">
    <cfRule type="expression" dxfId="12291" priority="4056">
      <formula>B132=""</formula>
    </cfRule>
  </conditionalFormatting>
  <conditionalFormatting sqref="C143">
    <cfRule type="expression" dxfId="12290" priority="4055">
      <formula>B143=""</formula>
    </cfRule>
  </conditionalFormatting>
  <conditionalFormatting sqref="C144">
    <cfRule type="expression" dxfId="12289" priority="4054">
      <formula>B144=""</formula>
    </cfRule>
  </conditionalFormatting>
  <conditionalFormatting sqref="C145">
    <cfRule type="expression" dxfId="12288" priority="4053">
      <formula>B145=""</formula>
    </cfRule>
  </conditionalFormatting>
  <conditionalFormatting sqref="C146">
    <cfRule type="expression" dxfId="12287" priority="4052">
      <formula>B146=""</formula>
    </cfRule>
  </conditionalFormatting>
  <conditionalFormatting sqref="C147">
    <cfRule type="expression" dxfId="12286" priority="4051">
      <formula>B147=""</formula>
    </cfRule>
  </conditionalFormatting>
  <conditionalFormatting sqref="C148">
    <cfRule type="expression" dxfId="12285" priority="4050">
      <formula>B148=""</formula>
    </cfRule>
  </conditionalFormatting>
  <conditionalFormatting sqref="C149">
    <cfRule type="expression" dxfId="12284" priority="4049">
      <formula>B149=""</formula>
    </cfRule>
  </conditionalFormatting>
  <conditionalFormatting sqref="C130 C132 C134 C136 C138 C140 C142 C144 C146 C148">
    <cfRule type="expression" dxfId="12283" priority="4048">
      <formula>B130=""</formula>
    </cfRule>
  </conditionalFormatting>
  <conditionalFormatting sqref="C131 C133 C135 C137 C139 C141 C143 C145 C147 C149">
    <cfRule type="expression" dxfId="12282" priority="4047">
      <formula>B131=""</formula>
    </cfRule>
  </conditionalFormatting>
  <conditionalFormatting sqref="C132:C142">
    <cfRule type="expression" dxfId="12281" priority="4046">
      <formula>B132=""</formula>
    </cfRule>
  </conditionalFormatting>
  <conditionalFormatting sqref="C143">
    <cfRule type="expression" dxfId="12280" priority="4045">
      <formula>B143=""</formula>
    </cfRule>
  </conditionalFormatting>
  <conditionalFormatting sqref="C144">
    <cfRule type="expression" dxfId="12279" priority="4044">
      <formula>B144=""</formula>
    </cfRule>
  </conditionalFormatting>
  <conditionalFormatting sqref="C145">
    <cfRule type="expression" dxfId="12278" priority="4043">
      <formula>B145=""</formula>
    </cfRule>
  </conditionalFormatting>
  <conditionalFormatting sqref="C146">
    <cfRule type="expression" dxfId="12277" priority="4042">
      <formula>B146=""</formula>
    </cfRule>
  </conditionalFormatting>
  <conditionalFormatting sqref="C147">
    <cfRule type="expression" dxfId="12276" priority="4041">
      <formula>B147=""</formula>
    </cfRule>
  </conditionalFormatting>
  <conditionalFormatting sqref="C148">
    <cfRule type="expression" dxfId="12275" priority="4040">
      <formula>B148=""</formula>
    </cfRule>
  </conditionalFormatting>
  <conditionalFormatting sqref="C149">
    <cfRule type="expression" dxfId="12274" priority="4039">
      <formula>B149=""</formula>
    </cfRule>
  </conditionalFormatting>
  <conditionalFormatting sqref="D130 D132 D134 D136 D138 D140 D142 D144 D146 D148">
    <cfRule type="expression" dxfId="12273" priority="4038">
      <formula>B130=""</formula>
    </cfRule>
  </conditionalFormatting>
  <conditionalFormatting sqref="D131 D133 D135 D137 D139 D141 D143 D145 D147 D149">
    <cfRule type="expression" dxfId="12272" priority="4037">
      <formula>B131=""</formula>
    </cfRule>
  </conditionalFormatting>
  <conditionalFormatting sqref="D132:D142">
    <cfRule type="expression" dxfId="12271" priority="4036">
      <formula>B132=""</formula>
    </cfRule>
  </conditionalFormatting>
  <conditionalFormatting sqref="D143">
    <cfRule type="expression" dxfId="12270" priority="4035">
      <formula>B143=""</formula>
    </cfRule>
  </conditionalFormatting>
  <conditionalFormatting sqref="D144">
    <cfRule type="expression" dxfId="12269" priority="4034">
      <formula>B144=""</formula>
    </cfRule>
  </conditionalFormatting>
  <conditionalFormatting sqref="D145">
    <cfRule type="expression" dxfId="12268" priority="4033">
      <formula>B145=""</formula>
    </cfRule>
  </conditionalFormatting>
  <conditionalFormatting sqref="D146">
    <cfRule type="expression" dxfId="12267" priority="4032">
      <formula>B146=""</formula>
    </cfRule>
  </conditionalFormatting>
  <conditionalFormatting sqref="D147">
    <cfRule type="expression" dxfId="12266" priority="4031">
      <formula>B147=""</formula>
    </cfRule>
  </conditionalFormatting>
  <conditionalFormatting sqref="D148">
    <cfRule type="expression" dxfId="12265" priority="4030">
      <formula>B148=""</formula>
    </cfRule>
  </conditionalFormatting>
  <conditionalFormatting sqref="D149">
    <cfRule type="expression" dxfId="12264" priority="4029">
      <formula>B149=""</formula>
    </cfRule>
  </conditionalFormatting>
  <conditionalFormatting sqref="E130:E149">
    <cfRule type="expression" dxfId="12263" priority="4028">
      <formula>B130=""</formula>
    </cfRule>
  </conditionalFormatting>
  <conditionalFormatting sqref="E131 E133 E135 E137 E139 E141 E143 E145 E147 E149">
    <cfRule type="expression" dxfId="12262" priority="4027">
      <formula>B131=""</formula>
    </cfRule>
  </conditionalFormatting>
  <conditionalFormatting sqref="E132:E142">
    <cfRule type="expression" dxfId="12261" priority="4026">
      <formula>B132=""</formula>
    </cfRule>
  </conditionalFormatting>
  <conditionalFormatting sqref="E143">
    <cfRule type="expression" dxfId="12260" priority="4025">
      <formula>B143=""</formula>
    </cfRule>
  </conditionalFormatting>
  <conditionalFormatting sqref="E144">
    <cfRule type="expression" dxfId="12259" priority="4024">
      <formula>B144=""</formula>
    </cfRule>
  </conditionalFormatting>
  <conditionalFormatting sqref="E145">
    <cfRule type="expression" dxfId="12258" priority="4023">
      <formula>B145=""</formula>
    </cfRule>
  </conditionalFormatting>
  <conditionalFormatting sqref="E146">
    <cfRule type="expression" dxfId="12257" priority="4022">
      <formula>B146=""</formula>
    </cfRule>
  </conditionalFormatting>
  <conditionalFormatting sqref="E147">
    <cfRule type="expression" dxfId="12256" priority="4021">
      <formula>B147=""</formula>
    </cfRule>
  </conditionalFormatting>
  <conditionalFormatting sqref="E148">
    <cfRule type="expression" dxfId="12255" priority="4020">
      <formula>B148=""</formula>
    </cfRule>
  </conditionalFormatting>
  <conditionalFormatting sqref="E149">
    <cfRule type="expression" dxfId="12254" priority="4019">
      <formula>B149=""</formula>
    </cfRule>
  </conditionalFormatting>
  <conditionalFormatting sqref="F130:F149">
    <cfRule type="expression" dxfId="12253" priority="4018">
      <formula>B130=""</formula>
    </cfRule>
  </conditionalFormatting>
  <conditionalFormatting sqref="F131 F133 F135 F137 F139 F141 F143 F145 F147 F149">
    <cfRule type="expression" dxfId="12252" priority="4017">
      <formula>B131=""</formula>
    </cfRule>
  </conditionalFormatting>
  <conditionalFormatting sqref="F132:F142">
    <cfRule type="expression" dxfId="12251" priority="4016">
      <formula>B132=""</formula>
    </cfRule>
  </conditionalFormatting>
  <conditionalFormatting sqref="F143">
    <cfRule type="expression" dxfId="12250" priority="4015">
      <formula>B143=""</formula>
    </cfRule>
  </conditionalFormatting>
  <conditionalFormatting sqref="F144">
    <cfRule type="expression" dxfId="12249" priority="4014">
      <formula>B144=""</formula>
    </cfRule>
  </conditionalFormatting>
  <conditionalFormatting sqref="F145">
    <cfRule type="expression" dxfId="12248" priority="4013">
      <formula>B145=""</formula>
    </cfRule>
  </conditionalFormatting>
  <conditionalFormatting sqref="F146">
    <cfRule type="expression" dxfId="12247" priority="4012">
      <formula>B146=""</formula>
    </cfRule>
  </conditionalFormatting>
  <conditionalFormatting sqref="F147">
    <cfRule type="expression" dxfId="12246" priority="4011">
      <formula>B147=""</formula>
    </cfRule>
  </conditionalFormatting>
  <conditionalFormatting sqref="F148">
    <cfRule type="expression" dxfId="12245" priority="4010">
      <formula>B148=""</formula>
    </cfRule>
  </conditionalFormatting>
  <conditionalFormatting sqref="F149">
    <cfRule type="expression" dxfId="12244" priority="4009">
      <formula>B149=""</formula>
    </cfRule>
  </conditionalFormatting>
  <conditionalFormatting sqref="E131 E133 E135 E137 E139 E141 E143 E145 E147 E149">
    <cfRule type="expression" dxfId="12243" priority="4008">
      <formula>B131=""</formula>
    </cfRule>
  </conditionalFormatting>
  <conditionalFormatting sqref="E132:E142">
    <cfRule type="expression" dxfId="12242" priority="4007">
      <formula>B132=""</formula>
    </cfRule>
  </conditionalFormatting>
  <conditionalFormatting sqref="E143">
    <cfRule type="expression" dxfId="12241" priority="4006">
      <formula>B143=""</formula>
    </cfRule>
  </conditionalFormatting>
  <conditionalFormatting sqref="E144">
    <cfRule type="expression" dxfId="12240" priority="4005">
      <formula>B144=""</formula>
    </cfRule>
  </conditionalFormatting>
  <conditionalFormatting sqref="E145">
    <cfRule type="expression" dxfId="12239" priority="4004">
      <formula>B145=""</formula>
    </cfRule>
  </conditionalFormatting>
  <conditionalFormatting sqref="E146">
    <cfRule type="expression" dxfId="12238" priority="4003">
      <formula>B146=""</formula>
    </cfRule>
  </conditionalFormatting>
  <conditionalFormatting sqref="E147">
    <cfRule type="expression" dxfId="12237" priority="4002">
      <formula>B147=""</formula>
    </cfRule>
  </conditionalFormatting>
  <conditionalFormatting sqref="E148">
    <cfRule type="expression" dxfId="12236" priority="4001">
      <formula>B148=""</formula>
    </cfRule>
  </conditionalFormatting>
  <conditionalFormatting sqref="E149">
    <cfRule type="expression" dxfId="12235" priority="4000">
      <formula>B149=""</formula>
    </cfRule>
  </conditionalFormatting>
  <conditionalFormatting sqref="G130:G149">
    <cfRule type="expression" dxfId="12234" priority="3999">
      <formula>B130=""</formula>
    </cfRule>
  </conditionalFormatting>
  <conditionalFormatting sqref="G131 G133 G135 G137 G139 G141 G143 G145 G147 G149">
    <cfRule type="expression" dxfId="12233" priority="3998">
      <formula>B131=""</formula>
    </cfRule>
  </conditionalFormatting>
  <conditionalFormatting sqref="G132:G142">
    <cfRule type="expression" dxfId="12232" priority="3997">
      <formula>B132=""</formula>
    </cfRule>
  </conditionalFormatting>
  <conditionalFormatting sqref="G143">
    <cfRule type="expression" dxfId="12231" priority="3996">
      <formula>B143=""</formula>
    </cfRule>
  </conditionalFormatting>
  <conditionalFormatting sqref="G144">
    <cfRule type="expression" dxfId="12230" priority="3995">
      <formula>B144=""</formula>
    </cfRule>
  </conditionalFormatting>
  <conditionalFormatting sqref="G145">
    <cfRule type="expression" dxfId="12229" priority="3994">
      <formula>B145=""</formula>
    </cfRule>
  </conditionalFormatting>
  <conditionalFormatting sqref="G146">
    <cfRule type="expression" dxfId="12228" priority="3993">
      <formula>B146=""</formula>
    </cfRule>
  </conditionalFormatting>
  <conditionalFormatting sqref="G147">
    <cfRule type="expression" dxfId="12227" priority="3992">
      <formula>B147=""</formula>
    </cfRule>
  </conditionalFormatting>
  <conditionalFormatting sqref="G148">
    <cfRule type="expression" dxfId="12226" priority="3991">
      <formula>B148=""</formula>
    </cfRule>
  </conditionalFormatting>
  <conditionalFormatting sqref="G149">
    <cfRule type="expression" dxfId="12225" priority="3990">
      <formula>B149=""</formula>
    </cfRule>
  </conditionalFormatting>
  <conditionalFormatting sqref="H130 H132 H134 H136 H138 H140 H142 H144 H146 H148">
    <cfRule type="expression" dxfId="12224" priority="3989">
      <formula>B130=""</formula>
    </cfRule>
  </conditionalFormatting>
  <conditionalFormatting sqref="H131 H133 H135 H137 H139 H141 H143 H145 H147 H149">
    <cfRule type="expression" dxfId="12223" priority="3988">
      <formula>B131=""</formula>
    </cfRule>
  </conditionalFormatting>
  <conditionalFormatting sqref="H132:H142">
    <cfRule type="expression" dxfId="12222" priority="3987">
      <formula>B132=""</formula>
    </cfRule>
  </conditionalFormatting>
  <conditionalFormatting sqref="H143">
    <cfRule type="expression" dxfId="12221" priority="3986">
      <formula>B143=""</formula>
    </cfRule>
  </conditionalFormatting>
  <conditionalFormatting sqref="H144">
    <cfRule type="expression" dxfId="12220" priority="3985">
      <formula>B144=""</formula>
    </cfRule>
  </conditionalFormatting>
  <conditionalFormatting sqref="H145">
    <cfRule type="expression" dxfId="12219" priority="3984">
      <formula>B145=""</formula>
    </cfRule>
  </conditionalFormatting>
  <conditionalFormatting sqref="H146">
    <cfRule type="expression" dxfId="12218" priority="3983">
      <formula>B146=""</formula>
    </cfRule>
  </conditionalFormatting>
  <conditionalFormatting sqref="H147">
    <cfRule type="expression" dxfId="12217" priority="3982">
      <formula>B147=""</formula>
    </cfRule>
  </conditionalFormatting>
  <conditionalFormatting sqref="H148">
    <cfRule type="expression" dxfId="12216" priority="3981">
      <formula>B148=""</formula>
    </cfRule>
  </conditionalFormatting>
  <conditionalFormatting sqref="H149">
    <cfRule type="expression" dxfId="12215" priority="3980">
      <formula>B149=""</formula>
    </cfRule>
  </conditionalFormatting>
  <conditionalFormatting sqref="F130 F132 F134 F136 F138 F140 F142 F144 F146 F148">
    <cfRule type="expression" dxfId="12214" priority="3979">
      <formula>B130=""</formula>
    </cfRule>
  </conditionalFormatting>
  <conditionalFormatting sqref="F131 F133 F135 F137 F139 F141 F143 F145 F147 F149">
    <cfRule type="expression" dxfId="12213" priority="3978">
      <formula>B131=""</formula>
    </cfRule>
  </conditionalFormatting>
  <conditionalFormatting sqref="F132:F142">
    <cfRule type="expression" dxfId="12212" priority="3977">
      <formula>B132=""</formula>
    </cfRule>
  </conditionalFormatting>
  <conditionalFormatting sqref="F143">
    <cfRule type="expression" dxfId="12211" priority="3976">
      <formula>B143=""</formula>
    </cfRule>
  </conditionalFormatting>
  <conditionalFormatting sqref="F144">
    <cfRule type="expression" dxfId="12210" priority="3975">
      <formula>B144=""</formula>
    </cfRule>
  </conditionalFormatting>
  <conditionalFormatting sqref="F145">
    <cfRule type="expression" dxfId="12209" priority="3974">
      <formula>B145=""</formula>
    </cfRule>
  </conditionalFormatting>
  <conditionalFormatting sqref="F146">
    <cfRule type="expression" dxfId="12208" priority="3973">
      <formula>B146=""</formula>
    </cfRule>
  </conditionalFormatting>
  <conditionalFormatting sqref="F147">
    <cfRule type="expression" dxfId="12207" priority="3972">
      <formula>B147=""</formula>
    </cfRule>
  </conditionalFormatting>
  <conditionalFormatting sqref="F148">
    <cfRule type="expression" dxfId="12206" priority="3971">
      <formula>B148=""</formula>
    </cfRule>
  </conditionalFormatting>
  <conditionalFormatting sqref="F149">
    <cfRule type="expression" dxfId="12205" priority="3970">
      <formula>B149=""</formula>
    </cfRule>
  </conditionalFormatting>
  <conditionalFormatting sqref="C152:C171">
    <cfRule type="expression" dxfId="12204" priority="3969">
      <formula>B152=""</formula>
    </cfRule>
  </conditionalFormatting>
  <conditionalFormatting sqref="C153 C155 C157 C159 C161 C163 C165 C167 C169">
    <cfRule type="expression" dxfId="12203" priority="3968">
      <formula>B153=""</formula>
    </cfRule>
  </conditionalFormatting>
  <conditionalFormatting sqref="C154:C164">
    <cfRule type="expression" dxfId="12202" priority="3967">
      <formula>B154=""</formula>
    </cfRule>
  </conditionalFormatting>
  <conditionalFormatting sqref="C165">
    <cfRule type="expression" dxfId="12201" priority="3966">
      <formula>B165=""</formula>
    </cfRule>
  </conditionalFormatting>
  <conditionalFormatting sqref="C166">
    <cfRule type="expression" dxfId="12200" priority="3965">
      <formula>B166=""</formula>
    </cfRule>
  </conditionalFormatting>
  <conditionalFormatting sqref="C167">
    <cfRule type="expression" dxfId="12199" priority="3964">
      <formula>B167=""</formula>
    </cfRule>
  </conditionalFormatting>
  <conditionalFormatting sqref="C168">
    <cfRule type="expression" dxfId="12198" priority="3963">
      <formula>B168=""</formula>
    </cfRule>
  </conditionalFormatting>
  <conditionalFormatting sqref="C169">
    <cfRule type="expression" dxfId="12197" priority="3962">
      <formula>B169=""</formula>
    </cfRule>
  </conditionalFormatting>
  <conditionalFormatting sqref="C170">
    <cfRule type="expression" dxfId="12196" priority="3961">
      <formula>B170=""</formula>
    </cfRule>
  </conditionalFormatting>
  <conditionalFormatting sqref="C171">
    <cfRule type="expression" dxfId="12195" priority="3960">
      <formula>B171=""</formula>
    </cfRule>
  </conditionalFormatting>
  <conditionalFormatting sqref="C171">
    <cfRule type="expression" dxfId="12194" priority="3959">
      <formula>B171=""</formula>
    </cfRule>
  </conditionalFormatting>
  <conditionalFormatting sqref="C152:C171">
    <cfRule type="expression" dxfId="12193" priority="3958">
      <formula>B152=""</formula>
    </cfRule>
  </conditionalFormatting>
  <conditionalFormatting sqref="C153 C155 C157 C159 C161 C163 C165 C167 C169">
    <cfRule type="expression" dxfId="12192" priority="3957">
      <formula>B153=""</formula>
    </cfRule>
  </conditionalFormatting>
  <conditionalFormatting sqref="C154:C164">
    <cfRule type="expression" dxfId="12191" priority="3956">
      <formula>B154=""</formula>
    </cfRule>
  </conditionalFormatting>
  <conditionalFormatting sqref="C165">
    <cfRule type="expression" dxfId="12190" priority="3955">
      <formula>B165=""</formula>
    </cfRule>
  </conditionalFormatting>
  <conditionalFormatting sqref="C166">
    <cfRule type="expression" dxfId="12189" priority="3954">
      <formula>B166=""</formula>
    </cfRule>
  </conditionalFormatting>
  <conditionalFormatting sqref="C167">
    <cfRule type="expression" dxfId="12188" priority="3953">
      <formula>B167=""</formula>
    </cfRule>
  </conditionalFormatting>
  <conditionalFormatting sqref="C168">
    <cfRule type="expression" dxfId="12187" priority="3952">
      <formula>B168=""</formula>
    </cfRule>
  </conditionalFormatting>
  <conditionalFormatting sqref="C169">
    <cfRule type="expression" dxfId="12186" priority="3951">
      <formula>B169=""</formula>
    </cfRule>
  </conditionalFormatting>
  <conditionalFormatting sqref="C170">
    <cfRule type="expression" dxfId="12185" priority="3950">
      <formula>B170=""</formula>
    </cfRule>
  </conditionalFormatting>
  <conditionalFormatting sqref="C171">
    <cfRule type="expression" dxfId="12184" priority="3949">
      <formula>B171=""</formula>
    </cfRule>
  </conditionalFormatting>
  <conditionalFormatting sqref="C152:C171">
    <cfRule type="expression" dxfId="12183" priority="3948">
      <formula>B152=""</formula>
    </cfRule>
  </conditionalFormatting>
  <conditionalFormatting sqref="C153 C155 C157 C159 C161 C163 C165 C167 C169">
    <cfRule type="expression" dxfId="12182" priority="3947">
      <formula>B153=""</formula>
    </cfRule>
  </conditionalFormatting>
  <conditionalFormatting sqref="C154:C164">
    <cfRule type="expression" dxfId="12181" priority="3946">
      <formula>B154=""</formula>
    </cfRule>
  </conditionalFormatting>
  <conditionalFormatting sqref="C165">
    <cfRule type="expression" dxfId="12180" priority="3945">
      <formula>B165=""</formula>
    </cfRule>
  </conditionalFormatting>
  <conditionalFormatting sqref="C166">
    <cfRule type="expression" dxfId="12179" priority="3944">
      <formula>B166=""</formula>
    </cfRule>
  </conditionalFormatting>
  <conditionalFormatting sqref="C167">
    <cfRule type="expression" dxfId="12178" priority="3943">
      <formula>B167=""</formula>
    </cfRule>
  </conditionalFormatting>
  <conditionalFormatting sqref="C168">
    <cfRule type="expression" dxfId="12177" priority="3942">
      <formula>B168=""</formula>
    </cfRule>
  </conditionalFormatting>
  <conditionalFormatting sqref="C169">
    <cfRule type="expression" dxfId="12176" priority="3941">
      <formula>B169=""</formula>
    </cfRule>
  </conditionalFormatting>
  <conditionalFormatting sqref="C170">
    <cfRule type="expression" dxfId="12175" priority="3940">
      <formula>B170=""</formula>
    </cfRule>
  </conditionalFormatting>
  <conditionalFormatting sqref="C171">
    <cfRule type="expression" dxfId="12174" priority="3939">
      <formula>B171=""</formula>
    </cfRule>
  </conditionalFormatting>
  <conditionalFormatting sqref="C152:C171">
    <cfRule type="expression" dxfId="12173" priority="3938">
      <formula>B152=""</formula>
    </cfRule>
  </conditionalFormatting>
  <conditionalFormatting sqref="C153 C155 C157 C159 C161 C163 C165 C167 C169">
    <cfRule type="expression" dxfId="12172" priority="3937">
      <formula>B153=""</formula>
    </cfRule>
  </conditionalFormatting>
  <conditionalFormatting sqref="C154:C164">
    <cfRule type="expression" dxfId="12171" priority="3936">
      <formula>B154=""</formula>
    </cfRule>
  </conditionalFormatting>
  <conditionalFormatting sqref="C165">
    <cfRule type="expression" dxfId="12170" priority="3935">
      <formula>B165=""</formula>
    </cfRule>
  </conditionalFormatting>
  <conditionalFormatting sqref="C166">
    <cfRule type="expression" dxfId="12169" priority="3934">
      <formula>B166=""</formula>
    </cfRule>
  </conditionalFormatting>
  <conditionalFormatting sqref="C167">
    <cfRule type="expression" dxfId="12168" priority="3933">
      <formula>B167=""</formula>
    </cfRule>
  </conditionalFormatting>
  <conditionalFormatting sqref="C168">
    <cfRule type="expression" dxfId="12167" priority="3932">
      <formula>B168=""</formula>
    </cfRule>
  </conditionalFormatting>
  <conditionalFormatting sqref="C169">
    <cfRule type="expression" dxfId="12166" priority="3931">
      <formula>B169=""</formula>
    </cfRule>
  </conditionalFormatting>
  <conditionalFormatting sqref="C170">
    <cfRule type="expression" dxfId="12165" priority="3930">
      <formula>B170=""</formula>
    </cfRule>
  </conditionalFormatting>
  <conditionalFormatting sqref="C171">
    <cfRule type="expression" dxfId="12164" priority="3929">
      <formula>B171=""</formula>
    </cfRule>
  </conditionalFormatting>
  <conditionalFormatting sqref="C152 C154 C156 C158 C160 C162 C164 C166 C168 C170">
    <cfRule type="expression" dxfId="12163" priority="3928">
      <formula>B152=""</formula>
    </cfRule>
  </conditionalFormatting>
  <conditionalFormatting sqref="C153 C155 C157 C159 C161 C163 C165 C167 C169">
    <cfRule type="expression" dxfId="12162" priority="3927">
      <formula>B153=""</formula>
    </cfRule>
  </conditionalFormatting>
  <conditionalFormatting sqref="C154:C164">
    <cfRule type="expression" dxfId="12161" priority="3926">
      <formula>B154=""</formula>
    </cfRule>
  </conditionalFormatting>
  <conditionalFormatting sqref="C165">
    <cfRule type="expression" dxfId="12160" priority="3925">
      <formula>B165=""</formula>
    </cfRule>
  </conditionalFormatting>
  <conditionalFormatting sqref="C166">
    <cfRule type="expression" dxfId="12159" priority="3924">
      <formula>B166=""</formula>
    </cfRule>
  </conditionalFormatting>
  <conditionalFormatting sqref="C167">
    <cfRule type="expression" dxfId="12158" priority="3923">
      <formula>B167=""</formula>
    </cfRule>
  </conditionalFormatting>
  <conditionalFormatting sqref="C168">
    <cfRule type="expression" dxfId="12157" priority="3922">
      <formula>B168=""</formula>
    </cfRule>
  </conditionalFormatting>
  <conditionalFormatting sqref="C169">
    <cfRule type="expression" dxfId="12156" priority="3921">
      <formula>B169=""</formula>
    </cfRule>
  </conditionalFormatting>
  <conditionalFormatting sqref="C170">
    <cfRule type="expression" dxfId="12155" priority="3920">
      <formula>B170=""</formula>
    </cfRule>
  </conditionalFormatting>
  <conditionalFormatting sqref="C171">
    <cfRule type="expression" dxfId="12154" priority="3919">
      <formula>B171=""</formula>
    </cfRule>
  </conditionalFormatting>
  <conditionalFormatting sqref="C174:C193">
    <cfRule type="expression" dxfId="12153" priority="3918">
      <formula>B174=""</formula>
    </cfRule>
  </conditionalFormatting>
  <conditionalFormatting sqref="C175 C177 C179 C181 C183 C185 C187 C189 C191 C193">
    <cfRule type="expression" dxfId="12152" priority="3917">
      <formula>B175=""</formula>
    </cfRule>
  </conditionalFormatting>
  <conditionalFormatting sqref="C176:C186">
    <cfRule type="expression" dxfId="12151" priority="3916">
      <formula>B176=""</formula>
    </cfRule>
  </conditionalFormatting>
  <conditionalFormatting sqref="C187">
    <cfRule type="expression" dxfId="12150" priority="3915">
      <formula>B187=""</formula>
    </cfRule>
  </conditionalFormatting>
  <conditionalFormatting sqref="C188">
    <cfRule type="expression" dxfId="12149" priority="3914">
      <formula>B188=""</formula>
    </cfRule>
  </conditionalFormatting>
  <conditionalFormatting sqref="C189">
    <cfRule type="expression" dxfId="12148" priority="3913">
      <formula>B189=""</formula>
    </cfRule>
  </conditionalFormatting>
  <conditionalFormatting sqref="C190">
    <cfRule type="expression" dxfId="12147" priority="3912">
      <formula>B190=""</formula>
    </cfRule>
  </conditionalFormatting>
  <conditionalFormatting sqref="C191">
    <cfRule type="expression" dxfId="12146" priority="3911">
      <formula>B191=""</formula>
    </cfRule>
  </conditionalFormatting>
  <conditionalFormatting sqref="C192">
    <cfRule type="expression" dxfId="12145" priority="3910">
      <formula>B192=""</formula>
    </cfRule>
  </conditionalFormatting>
  <conditionalFormatting sqref="C193">
    <cfRule type="expression" dxfId="12144" priority="3909">
      <formula>B193=""</formula>
    </cfRule>
  </conditionalFormatting>
  <conditionalFormatting sqref="C193">
    <cfRule type="expression" dxfId="12143" priority="3908">
      <formula>B193=""</formula>
    </cfRule>
  </conditionalFormatting>
  <conditionalFormatting sqref="C174:C193">
    <cfRule type="expression" dxfId="12142" priority="3907">
      <formula>B174=""</formula>
    </cfRule>
  </conditionalFormatting>
  <conditionalFormatting sqref="C175 C177 C179 C181 C183 C185 C187 C189 C191 C193">
    <cfRule type="expression" dxfId="12141" priority="3906">
      <formula>B175=""</formula>
    </cfRule>
  </conditionalFormatting>
  <conditionalFormatting sqref="C176:C186">
    <cfRule type="expression" dxfId="12140" priority="3905">
      <formula>B176=""</formula>
    </cfRule>
  </conditionalFormatting>
  <conditionalFormatting sqref="C187">
    <cfRule type="expression" dxfId="12139" priority="3904">
      <formula>B187=""</formula>
    </cfRule>
  </conditionalFormatting>
  <conditionalFormatting sqref="C188">
    <cfRule type="expression" dxfId="12138" priority="3903">
      <formula>B188=""</formula>
    </cfRule>
  </conditionalFormatting>
  <conditionalFormatting sqref="C189">
    <cfRule type="expression" dxfId="12137" priority="3902">
      <formula>B189=""</formula>
    </cfRule>
  </conditionalFormatting>
  <conditionalFormatting sqref="C190">
    <cfRule type="expression" dxfId="12136" priority="3901">
      <formula>B190=""</formula>
    </cfRule>
  </conditionalFormatting>
  <conditionalFormatting sqref="C191">
    <cfRule type="expression" dxfId="12135" priority="3900">
      <formula>B191=""</formula>
    </cfRule>
  </conditionalFormatting>
  <conditionalFormatting sqref="C192">
    <cfRule type="expression" dxfId="12134" priority="3899">
      <formula>B192=""</formula>
    </cfRule>
  </conditionalFormatting>
  <conditionalFormatting sqref="C193">
    <cfRule type="expression" dxfId="12133" priority="3898">
      <formula>B193=""</formula>
    </cfRule>
  </conditionalFormatting>
  <conditionalFormatting sqref="C174:C193">
    <cfRule type="expression" dxfId="12132" priority="3897">
      <formula>B174=""</formula>
    </cfRule>
  </conditionalFormatting>
  <conditionalFormatting sqref="C175 C177 C179 C181 C183 C185 C187 C189 C191 C193">
    <cfRule type="expression" dxfId="12131" priority="3896">
      <formula>B175=""</formula>
    </cfRule>
  </conditionalFormatting>
  <conditionalFormatting sqref="C176:C186">
    <cfRule type="expression" dxfId="12130" priority="3895">
      <formula>B176=""</formula>
    </cfRule>
  </conditionalFormatting>
  <conditionalFormatting sqref="C187">
    <cfRule type="expression" dxfId="12129" priority="3894">
      <formula>B187=""</formula>
    </cfRule>
  </conditionalFormatting>
  <conditionalFormatting sqref="C188">
    <cfRule type="expression" dxfId="12128" priority="3893">
      <formula>B188=""</formula>
    </cfRule>
  </conditionalFormatting>
  <conditionalFormatting sqref="C189">
    <cfRule type="expression" dxfId="12127" priority="3892">
      <formula>B189=""</formula>
    </cfRule>
  </conditionalFormatting>
  <conditionalFormatting sqref="C190">
    <cfRule type="expression" dxfId="12126" priority="3891">
      <formula>B190=""</formula>
    </cfRule>
  </conditionalFormatting>
  <conditionalFormatting sqref="C191">
    <cfRule type="expression" dxfId="12125" priority="3890">
      <formula>B191=""</formula>
    </cfRule>
  </conditionalFormatting>
  <conditionalFormatting sqref="C192">
    <cfRule type="expression" dxfId="12124" priority="3889">
      <formula>B192=""</formula>
    </cfRule>
  </conditionalFormatting>
  <conditionalFormatting sqref="C193">
    <cfRule type="expression" dxfId="12123" priority="3888">
      <formula>B193=""</formula>
    </cfRule>
  </conditionalFormatting>
  <conditionalFormatting sqref="C193">
    <cfRule type="expression" dxfId="12122" priority="3887">
      <formula>B193=""</formula>
    </cfRule>
  </conditionalFormatting>
  <conditionalFormatting sqref="C174:C193">
    <cfRule type="expression" dxfId="12121" priority="3886">
      <formula>B174=""</formula>
    </cfRule>
  </conditionalFormatting>
  <conditionalFormatting sqref="C175 C177 C179 C181 C183 C185 C187 C189 C191 C193">
    <cfRule type="expression" dxfId="12120" priority="3885">
      <formula>B175=""</formula>
    </cfRule>
  </conditionalFormatting>
  <conditionalFormatting sqref="C176:C186">
    <cfRule type="expression" dxfId="12119" priority="3884">
      <formula>B176=""</formula>
    </cfRule>
  </conditionalFormatting>
  <conditionalFormatting sqref="C187">
    <cfRule type="expression" dxfId="12118" priority="3883">
      <formula>B187=""</formula>
    </cfRule>
  </conditionalFormatting>
  <conditionalFormatting sqref="C188">
    <cfRule type="expression" dxfId="12117" priority="3882">
      <formula>B188=""</formula>
    </cfRule>
  </conditionalFormatting>
  <conditionalFormatting sqref="C189">
    <cfRule type="expression" dxfId="12116" priority="3881">
      <formula>B189=""</formula>
    </cfRule>
  </conditionalFormatting>
  <conditionalFormatting sqref="C190">
    <cfRule type="expression" dxfId="12115" priority="3880">
      <formula>B190=""</formula>
    </cfRule>
  </conditionalFormatting>
  <conditionalFormatting sqref="C191">
    <cfRule type="expression" dxfId="12114" priority="3879">
      <formula>B191=""</formula>
    </cfRule>
  </conditionalFormatting>
  <conditionalFormatting sqref="C192">
    <cfRule type="expression" dxfId="12113" priority="3878">
      <formula>B192=""</formula>
    </cfRule>
  </conditionalFormatting>
  <conditionalFormatting sqref="C193">
    <cfRule type="expression" dxfId="12112" priority="3877">
      <formula>B193=""</formula>
    </cfRule>
  </conditionalFormatting>
  <conditionalFormatting sqref="C174:C193">
    <cfRule type="expression" dxfId="12111" priority="3876">
      <formula>B174=""</formula>
    </cfRule>
  </conditionalFormatting>
  <conditionalFormatting sqref="C175 C177 C179 C181 C183 C185 C187 C189 C191 C193">
    <cfRule type="expression" dxfId="12110" priority="3875">
      <formula>B175=""</formula>
    </cfRule>
  </conditionalFormatting>
  <conditionalFormatting sqref="C176:C186">
    <cfRule type="expression" dxfId="12109" priority="3874">
      <formula>B176=""</formula>
    </cfRule>
  </conditionalFormatting>
  <conditionalFormatting sqref="C187">
    <cfRule type="expression" dxfId="12108" priority="3873">
      <formula>B187=""</formula>
    </cfRule>
  </conditionalFormatting>
  <conditionalFormatting sqref="C188">
    <cfRule type="expression" dxfId="12107" priority="3872">
      <formula>B188=""</formula>
    </cfRule>
  </conditionalFormatting>
  <conditionalFormatting sqref="C189">
    <cfRule type="expression" dxfId="12106" priority="3871">
      <formula>B189=""</formula>
    </cfRule>
  </conditionalFormatting>
  <conditionalFormatting sqref="C190">
    <cfRule type="expression" dxfId="12105" priority="3870">
      <formula>B190=""</formula>
    </cfRule>
  </conditionalFormatting>
  <conditionalFormatting sqref="C191">
    <cfRule type="expression" dxfId="12104" priority="3869">
      <formula>B191=""</formula>
    </cfRule>
  </conditionalFormatting>
  <conditionalFormatting sqref="C192">
    <cfRule type="expression" dxfId="12103" priority="3868">
      <formula>B192=""</formula>
    </cfRule>
  </conditionalFormatting>
  <conditionalFormatting sqref="C193">
    <cfRule type="expression" dxfId="12102" priority="3867">
      <formula>B193=""</formula>
    </cfRule>
  </conditionalFormatting>
  <conditionalFormatting sqref="C174:C193">
    <cfRule type="expression" dxfId="12101" priority="3866">
      <formula>B174=""</formula>
    </cfRule>
  </conditionalFormatting>
  <conditionalFormatting sqref="C175 C177 C179 C181 C183 C185 C187 C189 C191 C193">
    <cfRule type="expression" dxfId="12100" priority="3865">
      <formula>B175=""</formula>
    </cfRule>
  </conditionalFormatting>
  <conditionalFormatting sqref="C176:C186">
    <cfRule type="expression" dxfId="12099" priority="3864">
      <formula>B176=""</formula>
    </cfRule>
  </conditionalFormatting>
  <conditionalFormatting sqref="C187">
    <cfRule type="expression" dxfId="12098" priority="3863">
      <formula>B187=""</formula>
    </cfRule>
  </conditionalFormatting>
  <conditionalFormatting sqref="C188">
    <cfRule type="expression" dxfId="12097" priority="3862">
      <formula>B188=""</formula>
    </cfRule>
  </conditionalFormatting>
  <conditionalFormatting sqref="C189">
    <cfRule type="expression" dxfId="12096" priority="3861">
      <formula>B189=""</formula>
    </cfRule>
  </conditionalFormatting>
  <conditionalFormatting sqref="C190">
    <cfRule type="expression" dxfId="12095" priority="3860">
      <formula>B190=""</formula>
    </cfRule>
  </conditionalFormatting>
  <conditionalFormatting sqref="C191">
    <cfRule type="expression" dxfId="12094" priority="3859">
      <formula>B191=""</formula>
    </cfRule>
  </conditionalFormatting>
  <conditionalFormatting sqref="C192">
    <cfRule type="expression" dxfId="12093" priority="3858">
      <formula>B192=""</formula>
    </cfRule>
  </conditionalFormatting>
  <conditionalFormatting sqref="C193">
    <cfRule type="expression" dxfId="12092" priority="3857">
      <formula>B193=""</formula>
    </cfRule>
  </conditionalFormatting>
  <conditionalFormatting sqref="C174 C176 C178 C180 C182 C184 C186 C188 C190 C192">
    <cfRule type="expression" dxfId="12091" priority="3856">
      <formula>B174=""</formula>
    </cfRule>
  </conditionalFormatting>
  <conditionalFormatting sqref="C175 C177 C179 C181 C183 C185 C187 C189 C191 C193">
    <cfRule type="expression" dxfId="12090" priority="3855">
      <formula>B175=""</formula>
    </cfRule>
  </conditionalFormatting>
  <conditionalFormatting sqref="C176:C186">
    <cfRule type="expression" dxfId="12089" priority="3854">
      <formula>B176=""</formula>
    </cfRule>
  </conditionalFormatting>
  <conditionalFormatting sqref="C187">
    <cfRule type="expression" dxfId="12088" priority="3853">
      <formula>B187=""</formula>
    </cfRule>
  </conditionalFormatting>
  <conditionalFormatting sqref="C188">
    <cfRule type="expression" dxfId="12087" priority="3852">
      <formula>B188=""</formula>
    </cfRule>
  </conditionalFormatting>
  <conditionalFormatting sqref="C189">
    <cfRule type="expression" dxfId="12086" priority="3851">
      <formula>B189=""</formula>
    </cfRule>
  </conditionalFormatting>
  <conditionalFormatting sqref="C190">
    <cfRule type="expression" dxfId="12085" priority="3850">
      <formula>B190=""</formula>
    </cfRule>
  </conditionalFormatting>
  <conditionalFormatting sqref="C191">
    <cfRule type="expression" dxfId="12084" priority="3849">
      <formula>B191=""</formula>
    </cfRule>
  </conditionalFormatting>
  <conditionalFormatting sqref="C192">
    <cfRule type="expression" dxfId="12083" priority="3848">
      <formula>B192=""</formula>
    </cfRule>
  </conditionalFormatting>
  <conditionalFormatting sqref="C193">
    <cfRule type="expression" dxfId="12082" priority="3847">
      <formula>B193=""</formula>
    </cfRule>
  </conditionalFormatting>
  <conditionalFormatting sqref="B208:B228 B230:B250 B252:B272 B274:B294">
    <cfRule type="containsBlanks" dxfId="12081" priority="3846">
      <formula>LEN(TRIM(B208))=0</formula>
    </cfRule>
  </conditionalFormatting>
  <conditionalFormatting sqref="C208:C228">
    <cfRule type="expression" dxfId="12080" priority="3845">
      <formula>B208=""</formula>
    </cfRule>
  </conditionalFormatting>
  <conditionalFormatting sqref="C209">
    <cfRule type="expression" dxfId="12079" priority="3844">
      <formula>B209=""</formula>
    </cfRule>
  </conditionalFormatting>
  <conditionalFormatting sqref="C210:C220">
    <cfRule type="expression" dxfId="12078" priority="3843">
      <formula>B210=""</formula>
    </cfRule>
  </conditionalFormatting>
  <conditionalFormatting sqref="C221">
    <cfRule type="expression" dxfId="12077" priority="3842">
      <formula>B221=""</formula>
    </cfRule>
  </conditionalFormatting>
  <conditionalFormatting sqref="C222">
    <cfRule type="expression" dxfId="12076" priority="3841">
      <formula>B222=""</formula>
    </cfRule>
  </conditionalFormatting>
  <conditionalFormatting sqref="C223">
    <cfRule type="expression" dxfId="12075" priority="3840">
      <formula>B223=""</formula>
    </cfRule>
  </conditionalFormatting>
  <conditionalFormatting sqref="C224">
    <cfRule type="expression" dxfId="12074" priority="3839">
      <formula>B224=""</formula>
    </cfRule>
  </conditionalFormatting>
  <conditionalFormatting sqref="C225">
    <cfRule type="expression" dxfId="12073" priority="3838">
      <formula>B225=""</formula>
    </cfRule>
  </conditionalFormatting>
  <conditionalFormatting sqref="C226">
    <cfRule type="expression" dxfId="12072" priority="3837">
      <formula>B226=""</formula>
    </cfRule>
  </conditionalFormatting>
  <conditionalFormatting sqref="C227">
    <cfRule type="expression" dxfId="12071" priority="3836">
      <formula>B227=""</formula>
    </cfRule>
  </conditionalFormatting>
  <conditionalFormatting sqref="C228">
    <cfRule type="expression" dxfId="12070" priority="3835">
      <formula>B228=""</formula>
    </cfRule>
  </conditionalFormatting>
  <conditionalFormatting sqref="D208">
    <cfRule type="expression" dxfId="12069" priority="3834">
      <formula>B208=""</formula>
    </cfRule>
  </conditionalFormatting>
  <conditionalFormatting sqref="D209">
    <cfRule type="expression" dxfId="12068" priority="3833">
      <formula>B209=""</formula>
    </cfRule>
  </conditionalFormatting>
  <conditionalFormatting sqref="D210:D220">
    <cfRule type="expression" dxfId="12067" priority="3832">
      <formula>B210=""</formula>
    </cfRule>
  </conditionalFormatting>
  <conditionalFormatting sqref="D221">
    <cfRule type="expression" dxfId="12066" priority="3831">
      <formula>B221=""</formula>
    </cfRule>
  </conditionalFormatting>
  <conditionalFormatting sqref="D222">
    <cfRule type="expression" dxfId="12065" priority="3830">
      <formula>B222=""</formula>
    </cfRule>
  </conditionalFormatting>
  <conditionalFormatting sqref="D223">
    <cfRule type="expression" dxfId="12064" priority="3829">
      <formula>B223=""</formula>
    </cfRule>
  </conditionalFormatting>
  <conditionalFormatting sqref="D224">
    <cfRule type="expression" dxfId="12063" priority="3828">
      <formula>B224=""</formula>
    </cfRule>
  </conditionalFormatting>
  <conditionalFormatting sqref="D225">
    <cfRule type="expression" dxfId="12062" priority="3827">
      <formula>B225=""</formula>
    </cfRule>
  </conditionalFormatting>
  <conditionalFormatting sqref="D226">
    <cfRule type="expression" dxfId="12061" priority="3826">
      <formula>B226=""</formula>
    </cfRule>
  </conditionalFormatting>
  <conditionalFormatting sqref="D227">
    <cfRule type="expression" dxfId="12060" priority="3825">
      <formula>B227=""</formula>
    </cfRule>
  </conditionalFormatting>
  <conditionalFormatting sqref="D228">
    <cfRule type="expression" dxfId="12059" priority="3824">
      <formula>B228=""</formula>
    </cfRule>
  </conditionalFormatting>
  <conditionalFormatting sqref="E208 E210 E212 E214 E216 E218 E220 E222 E224 E226">
    <cfRule type="expression" dxfId="12058" priority="3823">
      <formula>B208=""</formula>
    </cfRule>
  </conditionalFormatting>
  <conditionalFormatting sqref="E209 E211 E213 E215 E217 E219 E221 E223 E225 E227">
    <cfRule type="expression" dxfId="12057" priority="3822">
      <formula>B209=""</formula>
    </cfRule>
  </conditionalFormatting>
  <conditionalFormatting sqref="E210:E220">
    <cfRule type="expression" dxfId="12056" priority="3821">
      <formula>B210=""</formula>
    </cfRule>
  </conditionalFormatting>
  <conditionalFormatting sqref="E221">
    <cfRule type="expression" dxfId="12055" priority="3820">
      <formula>B221=""</formula>
    </cfRule>
  </conditionalFormatting>
  <conditionalFormatting sqref="E222">
    <cfRule type="expression" dxfId="12054" priority="3819">
      <formula>B222=""</formula>
    </cfRule>
  </conditionalFormatting>
  <conditionalFormatting sqref="E223">
    <cfRule type="expression" dxfId="12053" priority="3818">
      <formula>B223=""</formula>
    </cfRule>
  </conditionalFormatting>
  <conditionalFormatting sqref="E224">
    <cfRule type="expression" dxfId="12052" priority="3817">
      <formula>B224=""</formula>
    </cfRule>
  </conditionalFormatting>
  <conditionalFormatting sqref="E225">
    <cfRule type="expression" dxfId="12051" priority="3816">
      <formula>B225=""</formula>
    </cfRule>
  </conditionalFormatting>
  <conditionalFormatting sqref="E226">
    <cfRule type="expression" dxfId="12050" priority="3815">
      <formula>B226=""</formula>
    </cfRule>
  </conditionalFormatting>
  <conditionalFormatting sqref="E227">
    <cfRule type="expression" dxfId="12049" priority="3814">
      <formula>B227=""</formula>
    </cfRule>
  </conditionalFormatting>
  <conditionalFormatting sqref="E228">
    <cfRule type="expression" dxfId="12048" priority="3813">
      <formula>B228=""</formula>
    </cfRule>
  </conditionalFormatting>
  <conditionalFormatting sqref="F208 F210 F212 F214 F216 F218 F220 F222 F224 F226">
    <cfRule type="expression" dxfId="12047" priority="3812">
      <formula>B208=""</formula>
    </cfRule>
  </conditionalFormatting>
  <conditionalFormatting sqref="F209 F211 F213 F215 F217 F219 F221 F223 F225 F227">
    <cfRule type="expression" dxfId="12046" priority="3811">
      <formula>B209=""</formula>
    </cfRule>
  </conditionalFormatting>
  <conditionalFormatting sqref="F210:F220">
    <cfRule type="expression" dxfId="12045" priority="3810">
      <formula>B210=""</formula>
    </cfRule>
  </conditionalFormatting>
  <conditionalFormatting sqref="F221">
    <cfRule type="expression" dxfId="12044" priority="3809">
      <formula>B221=""</formula>
    </cfRule>
  </conditionalFormatting>
  <conditionalFormatting sqref="F222">
    <cfRule type="expression" dxfId="12043" priority="3808">
      <formula>B222=""</formula>
    </cfRule>
  </conditionalFormatting>
  <conditionalFormatting sqref="F223">
    <cfRule type="expression" dxfId="12042" priority="3807">
      <formula>B223=""</formula>
    </cfRule>
  </conditionalFormatting>
  <conditionalFormatting sqref="F224">
    <cfRule type="expression" dxfId="12041" priority="3806">
      <formula>B224=""</formula>
    </cfRule>
  </conditionalFormatting>
  <conditionalFormatting sqref="F225">
    <cfRule type="expression" dxfId="12040" priority="3805">
      <formula>B225=""</formula>
    </cfRule>
  </conditionalFormatting>
  <conditionalFormatting sqref="F226">
    <cfRule type="expression" dxfId="12039" priority="3804">
      <formula>B226=""</formula>
    </cfRule>
  </conditionalFormatting>
  <conditionalFormatting sqref="F227">
    <cfRule type="expression" dxfId="12038" priority="3803">
      <formula>B227=""</formula>
    </cfRule>
  </conditionalFormatting>
  <conditionalFormatting sqref="F228">
    <cfRule type="expression" dxfId="12037" priority="3802">
      <formula>B228=""</formula>
    </cfRule>
  </conditionalFormatting>
  <conditionalFormatting sqref="E209 E211 E213 E215 E217 E219 E221 E223 E225 E227">
    <cfRule type="expression" dxfId="12036" priority="3801">
      <formula>B209=""</formula>
    </cfRule>
  </conditionalFormatting>
  <conditionalFormatting sqref="E210:E220">
    <cfRule type="expression" dxfId="12035" priority="3800">
      <formula>B210=""</formula>
    </cfRule>
  </conditionalFormatting>
  <conditionalFormatting sqref="E221">
    <cfRule type="expression" dxfId="12034" priority="3799">
      <formula>B221=""</formula>
    </cfRule>
  </conditionalFormatting>
  <conditionalFormatting sqref="E222">
    <cfRule type="expression" dxfId="12033" priority="3798">
      <formula>B222=""</formula>
    </cfRule>
  </conditionalFormatting>
  <conditionalFormatting sqref="E223">
    <cfRule type="expression" dxfId="12032" priority="3797">
      <formula>B223=""</formula>
    </cfRule>
  </conditionalFormatting>
  <conditionalFormatting sqref="E224">
    <cfRule type="expression" dxfId="12031" priority="3796">
      <formula>B224=""</formula>
    </cfRule>
  </conditionalFormatting>
  <conditionalFormatting sqref="E225">
    <cfRule type="expression" dxfId="12030" priority="3795">
      <formula>B225=""</formula>
    </cfRule>
  </conditionalFormatting>
  <conditionalFormatting sqref="E226">
    <cfRule type="expression" dxfId="12029" priority="3794">
      <formula>B226=""</formula>
    </cfRule>
  </conditionalFormatting>
  <conditionalFormatting sqref="E227">
    <cfRule type="expression" dxfId="12028" priority="3793">
      <formula>B227=""</formula>
    </cfRule>
  </conditionalFormatting>
  <conditionalFormatting sqref="E228">
    <cfRule type="expression" dxfId="12027" priority="3792">
      <formula>B228=""</formula>
    </cfRule>
  </conditionalFormatting>
  <conditionalFormatting sqref="G208 G210 G212 G214 G216 G218 G220 G222 G224 G226">
    <cfRule type="expression" dxfId="12026" priority="3791">
      <formula>B208=""</formula>
    </cfRule>
  </conditionalFormatting>
  <conditionalFormatting sqref="G209 G211 G213 G215 G217 G219 G221 G223 G225 G227">
    <cfRule type="expression" dxfId="12025" priority="3790">
      <formula>B209=""</formula>
    </cfRule>
  </conditionalFormatting>
  <conditionalFormatting sqref="G210:G220">
    <cfRule type="expression" dxfId="12024" priority="3789">
      <formula>B210=""</formula>
    </cfRule>
  </conditionalFormatting>
  <conditionalFormatting sqref="G221">
    <cfRule type="expression" dxfId="12023" priority="3788">
      <formula>B221=""</formula>
    </cfRule>
  </conditionalFormatting>
  <conditionalFormatting sqref="G222">
    <cfRule type="expression" dxfId="12022" priority="3787">
      <formula>B222=""</formula>
    </cfRule>
  </conditionalFormatting>
  <conditionalFormatting sqref="G223">
    <cfRule type="expression" dxfId="12021" priority="3786">
      <formula>B223=""</formula>
    </cfRule>
  </conditionalFormatting>
  <conditionalFormatting sqref="G224">
    <cfRule type="expression" dxfId="12020" priority="3785">
      <formula>B224=""</formula>
    </cfRule>
  </conditionalFormatting>
  <conditionalFormatting sqref="G225">
    <cfRule type="expression" dxfId="12019" priority="3784">
      <formula>B225=""</formula>
    </cfRule>
  </conditionalFormatting>
  <conditionalFormatting sqref="G226">
    <cfRule type="expression" dxfId="12018" priority="3783">
      <formula>B226=""</formula>
    </cfRule>
  </conditionalFormatting>
  <conditionalFormatting sqref="G227">
    <cfRule type="expression" dxfId="12017" priority="3782">
      <formula>B227=""</formula>
    </cfRule>
  </conditionalFormatting>
  <conditionalFormatting sqref="G228">
    <cfRule type="expression" dxfId="12016" priority="3781">
      <formula>B228=""</formula>
    </cfRule>
  </conditionalFormatting>
  <conditionalFormatting sqref="H208 H210 H212 H214 H216 H218 H220 H222 H224 H226">
    <cfRule type="expression" dxfId="12015" priority="3780">
      <formula>B208=""</formula>
    </cfRule>
  </conditionalFormatting>
  <conditionalFormatting sqref="H209 H211 H213 H215 H217 H219 H221 H223 H225 H227">
    <cfRule type="expression" dxfId="12014" priority="3779">
      <formula>B209=""</formula>
    </cfRule>
  </conditionalFormatting>
  <conditionalFormatting sqref="H210:H220">
    <cfRule type="expression" dxfId="12013" priority="3778">
      <formula>B210=""</formula>
    </cfRule>
  </conditionalFormatting>
  <conditionalFormatting sqref="H221">
    <cfRule type="expression" dxfId="12012" priority="3777">
      <formula>B221=""</formula>
    </cfRule>
  </conditionalFormatting>
  <conditionalFormatting sqref="H222">
    <cfRule type="expression" dxfId="12011" priority="3776">
      <formula>B222=""</formula>
    </cfRule>
  </conditionalFormatting>
  <conditionalFormatting sqref="H223">
    <cfRule type="expression" dxfId="12010" priority="3775">
      <formula>B223=""</formula>
    </cfRule>
  </conditionalFormatting>
  <conditionalFormatting sqref="H224">
    <cfRule type="expression" dxfId="12009" priority="3774">
      <formula>B224=""</formula>
    </cfRule>
  </conditionalFormatting>
  <conditionalFormatting sqref="H225">
    <cfRule type="expression" dxfId="12008" priority="3773">
      <formula>B225=""</formula>
    </cfRule>
  </conditionalFormatting>
  <conditionalFormatting sqref="H226">
    <cfRule type="expression" dxfId="12007" priority="3772">
      <formula>B226=""</formula>
    </cfRule>
  </conditionalFormatting>
  <conditionalFormatting sqref="H227">
    <cfRule type="expression" dxfId="12006" priority="3771">
      <formula>B227=""</formula>
    </cfRule>
  </conditionalFormatting>
  <conditionalFormatting sqref="H228">
    <cfRule type="expression" dxfId="12005" priority="3770">
      <formula>B228=""</formula>
    </cfRule>
  </conditionalFormatting>
  <conditionalFormatting sqref="C230:C250">
    <cfRule type="expression" dxfId="12004" priority="3769">
      <formula>B230=""</formula>
    </cfRule>
  </conditionalFormatting>
  <conditionalFormatting sqref="C231 C233 C235 C237 C239 C241 C243 C245 C247 C249">
    <cfRule type="expression" dxfId="12003" priority="3768">
      <formula>B231=""</formula>
    </cfRule>
  </conditionalFormatting>
  <conditionalFormatting sqref="C232:C242">
    <cfRule type="expression" dxfId="12002" priority="3767">
      <formula>B232=""</formula>
    </cfRule>
  </conditionalFormatting>
  <conditionalFormatting sqref="C243">
    <cfRule type="expression" dxfId="12001" priority="3766">
      <formula>B243=""</formula>
    </cfRule>
  </conditionalFormatting>
  <conditionalFormatting sqref="C244">
    <cfRule type="expression" dxfId="12000" priority="3765">
      <formula>B244=""</formula>
    </cfRule>
  </conditionalFormatting>
  <conditionalFormatting sqref="C245">
    <cfRule type="expression" dxfId="11999" priority="3764">
      <formula>B245=""</formula>
    </cfRule>
  </conditionalFormatting>
  <conditionalFormatting sqref="C246">
    <cfRule type="expression" dxfId="11998" priority="3763">
      <formula>B246=""</formula>
    </cfRule>
  </conditionalFormatting>
  <conditionalFormatting sqref="C247">
    <cfRule type="expression" dxfId="11997" priority="3762">
      <formula>B247=""</formula>
    </cfRule>
  </conditionalFormatting>
  <conditionalFormatting sqref="C248">
    <cfRule type="expression" dxfId="11996" priority="3761">
      <formula>B248=""</formula>
    </cfRule>
  </conditionalFormatting>
  <conditionalFormatting sqref="C249">
    <cfRule type="expression" dxfId="11995" priority="3760">
      <formula>B249=""</formula>
    </cfRule>
  </conditionalFormatting>
  <conditionalFormatting sqref="C250">
    <cfRule type="expression" dxfId="11994" priority="3759">
      <formula>B250=""</formula>
    </cfRule>
  </conditionalFormatting>
  <conditionalFormatting sqref="D230 D232 D234 D236 D238 D240 D242 D244 D246 D248">
    <cfRule type="expression" dxfId="11993" priority="3758">
      <formula>B230=""</formula>
    </cfRule>
  </conditionalFormatting>
  <conditionalFormatting sqref="D231 D233 D235 D237 D239 D241 D243 D245 D247 D249">
    <cfRule type="expression" dxfId="11992" priority="3757">
      <formula>B231=""</formula>
    </cfRule>
  </conditionalFormatting>
  <conditionalFormatting sqref="D232:D242">
    <cfRule type="expression" dxfId="11991" priority="3756">
      <formula>B232=""</formula>
    </cfRule>
  </conditionalFormatting>
  <conditionalFormatting sqref="D243">
    <cfRule type="expression" dxfId="11990" priority="3755">
      <formula>B243=""</formula>
    </cfRule>
  </conditionalFormatting>
  <conditionalFormatting sqref="D244">
    <cfRule type="expression" dxfId="11989" priority="3754">
      <formula>B244=""</formula>
    </cfRule>
  </conditionalFormatting>
  <conditionalFormatting sqref="D245">
    <cfRule type="expression" dxfId="11988" priority="3753">
      <formula>B245=""</formula>
    </cfRule>
  </conditionalFormatting>
  <conditionalFormatting sqref="D246">
    <cfRule type="expression" dxfId="11987" priority="3752">
      <formula>B246=""</formula>
    </cfRule>
  </conditionalFormatting>
  <conditionalFormatting sqref="D247">
    <cfRule type="expression" dxfId="11986" priority="3751">
      <formula>B247=""</formula>
    </cfRule>
  </conditionalFormatting>
  <conditionalFormatting sqref="D248">
    <cfRule type="expression" dxfId="11985" priority="3750">
      <formula>B248=""</formula>
    </cfRule>
  </conditionalFormatting>
  <conditionalFormatting sqref="D249">
    <cfRule type="expression" dxfId="11984" priority="3749">
      <formula>B249=""</formula>
    </cfRule>
  </conditionalFormatting>
  <conditionalFormatting sqref="D250">
    <cfRule type="expression" dxfId="11983" priority="3748">
      <formula>B250=""</formula>
    </cfRule>
  </conditionalFormatting>
  <conditionalFormatting sqref="E230 E232 E234 E236 E238 E240 E242 E244 E246 E248">
    <cfRule type="expression" dxfId="11982" priority="3747">
      <formula>B230=""</formula>
    </cfRule>
  </conditionalFormatting>
  <conditionalFormatting sqref="E231 E233 E235 E237 E239 E241 E243 E245 E247 E249">
    <cfRule type="expression" dxfId="11981" priority="3746">
      <formula>B231=""</formula>
    </cfRule>
  </conditionalFormatting>
  <conditionalFormatting sqref="E232:E242">
    <cfRule type="expression" dxfId="11980" priority="3745">
      <formula>B232=""</formula>
    </cfRule>
  </conditionalFormatting>
  <conditionalFormatting sqref="E243">
    <cfRule type="expression" dxfId="11979" priority="3744">
      <formula>B243=""</formula>
    </cfRule>
  </conditionalFormatting>
  <conditionalFormatting sqref="E244">
    <cfRule type="expression" dxfId="11978" priority="3743">
      <formula>B244=""</formula>
    </cfRule>
  </conditionalFormatting>
  <conditionalFormatting sqref="E245">
    <cfRule type="expression" dxfId="11977" priority="3742">
      <formula>B245=""</formula>
    </cfRule>
  </conditionalFormatting>
  <conditionalFormatting sqref="E246">
    <cfRule type="expression" dxfId="11976" priority="3741">
      <formula>B246=""</formula>
    </cfRule>
  </conditionalFormatting>
  <conditionalFormatting sqref="E247">
    <cfRule type="expression" dxfId="11975" priority="3740">
      <formula>B247=""</formula>
    </cfRule>
  </conditionalFormatting>
  <conditionalFormatting sqref="E248">
    <cfRule type="expression" dxfId="11974" priority="3739">
      <formula>B248=""</formula>
    </cfRule>
  </conditionalFormatting>
  <conditionalFormatting sqref="E249">
    <cfRule type="expression" dxfId="11973" priority="3738">
      <formula>B249=""</formula>
    </cfRule>
  </conditionalFormatting>
  <conditionalFormatting sqref="E250">
    <cfRule type="expression" dxfId="11972" priority="3737">
      <formula>B250=""</formula>
    </cfRule>
  </conditionalFormatting>
  <conditionalFormatting sqref="F230 F232 F234 F236 F238 F240 F242 F244 F246 F248">
    <cfRule type="expression" dxfId="11971" priority="3736">
      <formula>B230=""</formula>
    </cfRule>
  </conditionalFormatting>
  <conditionalFormatting sqref="F231 F233 F235 F237 F239 F241 F243 F245 F247 F249">
    <cfRule type="expression" dxfId="11970" priority="3735">
      <formula>B231=""</formula>
    </cfRule>
  </conditionalFormatting>
  <conditionalFormatting sqref="F232:F242">
    <cfRule type="expression" dxfId="11969" priority="3734">
      <formula>B232=""</formula>
    </cfRule>
  </conditionalFormatting>
  <conditionalFormatting sqref="F243">
    <cfRule type="expression" dxfId="11968" priority="3733">
      <formula>B243=""</formula>
    </cfRule>
  </conditionalFormatting>
  <conditionalFormatting sqref="F244">
    <cfRule type="expression" dxfId="11967" priority="3732">
      <formula>B244=""</formula>
    </cfRule>
  </conditionalFormatting>
  <conditionalFormatting sqref="F245">
    <cfRule type="expression" dxfId="11966" priority="3731">
      <formula>B245=""</formula>
    </cfRule>
  </conditionalFormatting>
  <conditionalFormatting sqref="F246">
    <cfRule type="expression" dxfId="11965" priority="3730">
      <formula>B246=""</formula>
    </cfRule>
  </conditionalFormatting>
  <conditionalFormatting sqref="F247">
    <cfRule type="expression" dxfId="11964" priority="3729">
      <formula>B247=""</formula>
    </cfRule>
  </conditionalFormatting>
  <conditionalFormatting sqref="F248">
    <cfRule type="expression" dxfId="11963" priority="3728">
      <formula>B248=""</formula>
    </cfRule>
  </conditionalFormatting>
  <conditionalFormatting sqref="F249">
    <cfRule type="expression" dxfId="11962" priority="3727">
      <formula>B249=""</formula>
    </cfRule>
  </conditionalFormatting>
  <conditionalFormatting sqref="F250">
    <cfRule type="expression" dxfId="11961" priority="3726">
      <formula>B250=""</formula>
    </cfRule>
  </conditionalFormatting>
  <conditionalFormatting sqref="E231 E233 E235 E237 E239 E241 E243 E245 E247 E249">
    <cfRule type="expression" dxfId="11960" priority="3725">
      <formula>B231=""</formula>
    </cfRule>
  </conditionalFormatting>
  <conditionalFormatting sqref="E232:E242">
    <cfRule type="expression" dxfId="11959" priority="3724">
      <formula>B232=""</formula>
    </cfRule>
  </conditionalFormatting>
  <conditionalFormatting sqref="E243">
    <cfRule type="expression" dxfId="11958" priority="3723">
      <formula>B243=""</formula>
    </cfRule>
  </conditionalFormatting>
  <conditionalFormatting sqref="E244">
    <cfRule type="expression" dxfId="11957" priority="3722">
      <formula>B244=""</formula>
    </cfRule>
  </conditionalFormatting>
  <conditionalFormatting sqref="E245">
    <cfRule type="expression" dxfId="11956" priority="3721">
      <formula>B245=""</formula>
    </cfRule>
  </conditionalFormatting>
  <conditionalFormatting sqref="E246">
    <cfRule type="expression" dxfId="11955" priority="3720">
      <formula>B246=""</formula>
    </cfRule>
  </conditionalFormatting>
  <conditionalFormatting sqref="E247">
    <cfRule type="expression" dxfId="11954" priority="3719">
      <formula>B247=""</formula>
    </cfRule>
  </conditionalFormatting>
  <conditionalFormatting sqref="E248">
    <cfRule type="expression" dxfId="11953" priority="3718">
      <formula>B248=""</formula>
    </cfRule>
  </conditionalFormatting>
  <conditionalFormatting sqref="E249">
    <cfRule type="expression" dxfId="11952" priority="3717">
      <formula>B249=""</formula>
    </cfRule>
  </conditionalFormatting>
  <conditionalFormatting sqref="E250">
    <cfRule type="expression" dxfId="11951" priority="3716">
      <formula>B250=""</formula>
    </cfRule>
  </conditionalFormatting>
  <conditionalFormatting sqref="G230 G232 G234 G236 G238 G240 G242 G244 G246 G248">
    <cfRule type="expression" dxfId="11950" priority="3715">
      <formula>B230=""</formula>
    </cfRule>
  </conditionalFormatting>
  <conditionalFormatting sqref="G231 G233 G235 G237 G239 G241 G243 G245 G247 G249">
    <cfRule type="expression" dxfId="11949" priority="3714">
      <formula>B231=""</formula>
    </cfRule>
  </conditionalFormatting>
  <conditionalFormatting sqref="G232:G242">
    <cfRule type="expression" dxfId="11948" priority="3713">
      <formula>B232=""</formula>
    </cfRule>
  </conditionalFormatting>
  <conditionalFormatting sqref="G243">
    <cfRule type="expression" dxfId="11947" priority="3712">
      <formula>B243=""</formula>
    </cfRule>
  </conditionalFormatting>
  <conditionalFormatting sqref="G244">
    <cfRule type="expression" dxfId="11946" priority="3711">
      <formula>B244=""</formula>
    </cfRule>
  </conditionalFormatting>
  <conditionalFormatting sqref="G245">
    <cfRule type="expression" dxfId="11945" priority="3710">
      <formula>B245=""</formula>
    </cfRule>
  </conditionalFormatting>
  <conditionalFormatting sqref="G246">
    <cfRule type="expression" dxfId="11944" priority="3709">
      <formula>B246=""</formula>
    </cfRule>
  </conditionalFormatting>
  <conditionalFormatting sqref="G247">
    <cfRule type="expression" dxfId="11943" priority="3708">
      <formula>B247=""</formula>
    </cfRule>
  </conditionalFormatting>
  <conditionalFormatting sqref="G248">
    <cfRule type="expression" dxfId="11942" priority="3707">
      <formula>B248=""</formula>
    </cfRule>
  </conditionalFormatting>
  <conditionalFormatting sqref="G249">
    <cfRule type="expression" dxfId="11941" priority="3706">
      <formula>B249=""</formula>
    </cfRule>
  </conditionalFormatting>
  <conditionalFormatting sqref="G250">
    <cfRule type="expression" dxfId="11940" priority="3705">
      <formula>B250=""</formula>
    </cfRule>
  </conditionalFormatting>
  <conditionalFormatting sqref="H230 H232 H234 H236 H238 H240 H242 H244 H246 H248">
    <cfRule type="expression" dxfId="11939" priority="3704">
      <formula>B230=""</formula>
    </cfRule>
  </conditionalFormatting>
  <conditionalFormatting sqref="H231 H233 H235 H237 H239 H241 H243 H245 H247 H249">
    <cfRule type="expression" dxfId="11938" priority="3703">
      <formula>B231=""</formula>
    </cfRule>
  </conditionalFormatting>
  <conditionalFormatting sqref="H232:H242">
    <cfRule type="expression" dxfId="11937" priority="3702">
      <formula>B232=""</formula>
    </cfRule>
  </conditionalFormatting>
  <conditionalFormatting sqref="H243">
    <cfRule type="expression" dxfId="11936" priority="3701">
      <formula>B243=""</formula>
    </cfRule>
  </conditionalFormatting>
  <conditionalFormatting sqref="H244">
    <cfRule type="expression" dxfId="11935" priority="3700">
      <formula>B244=""</formula>
    </cfRule>
  </conditionalFormatting>
  <conditionalFormatting sqref="H245">
    <cfRule type="expression" dxfId="11934" priority="3699">
      <formula>B245=""</formula>
    </cfRule>
  </conditionalFormatting>
  <conditionalFormatting sqref="H246">
    <cfRule type="expression" dxfId="11933" priority="3698">
      <formula>B246=""</formula>
    </cfRule>
  </conditionalFormatting>
  <conditionalFormatting sqref="H247">
    <cfRule type="expression" dxfId="11932" priority="3697">
      <formula>B247=""</formula>
    </cfRule>
  </conditionalFormatting>
  <conditionalFormatting sqref="H248">
    <cfRule type="expression" dxfId="11931" priority="3696">
      <formula>B248=""</formula>
    </cfRule>
  </conditionalFormatting>
  <conditionalFormatting sqref="H249">
    <cfRule type="expression" dxfId="11930" priority="3695">
      <formula>B249=""</formula>
    </cfRule>
  </conditionalFormatting>
  <conditionalFormatting sqref="H250">
    <cfRule type="expression" dxfId="11929" priority="3694">
      <formula>B250=""</formula>
    </cfRule>
  </conditionalFormatting>
  <conditionalFormatting sqref="C252:C271">
    <cfRule type="expression" dxfId="11928" priority="3693">
      <formula>B252=""</formula>
    </cfRule>
  </conditionalFormatting>
  <conditionalFormatting sqref="C253 C255 C257 C259 C261 C263 C265 C267 C269 C271">
    <cfRule type="expression" dxfId="11927" priority="3692">
      <formula>B253=""</formula>
    </cfRule>
  </conditionalFormatting>
  <conditionalFormatting sqref="C254:C264">
    <cfRule type="expression" dxfId="11926" priority="3691">
      <formula>B254=""</formula>
    </cfRule>
  </conditionalFormatting>
  <conditionalFormatting sqref="C265">
    <cfRule type="expression" dxfId="11925" priority="3690">
      <formula>B265=""</formula>
    </cfRule>
  </conditionalFormatting>
  <conditionalFormatting sqref="C266">
    <cfRule type="expression" dxfId="11924" priority="3689">
      <formula>B266=""</formula>
    </cfRule>
  </conditionalFormatting>
  <conditionalFormatting sqref="C267">
    <cfRule type="expression" dxfId="11923" priority="3688">
      <formula>B267=""</formula>
    </cfRule>
  </conditionalFormatting>
  <conditionalFormatting sqref="C268">
    <cfRule type="expression" dxfId="11922" priority="3687">
      <formula>B268=""</formula>
    </cfRule>
  </conditionalFormatting>
  <conditionalFormatting sqref="C269">
    <cfRule type="expression" dxfId="11921" priority="3686">
      <formula>B269=""</formula>
    </cfRule>
  </conditionalFormatting>
  <conditionalFormatting sqref="C270">
    <cfRule type="expression" dxfId="11920" priority="3685">
      <formula>B270=""</formula>
    </cfRule>
  </conditionalFormatting>
  <conditionalFormatting sqref="C271">
    <cfRule type="expression" dxfId="11919" priority="3684">
      <formula>B271=""</formula>
    </cfRule>
  </conditionalFormatting>
  <conditionalFormatting sqref="C272">
    <cfRule type="expression" dxfId="11918" priority="3683">
      <formula>B272=""</formula>
    </cfRule>
  </conditionalFormatting>
  <conditionalFormatting sqref="D252 D254 D256 D258 D260 D262 D264 D266 D268 D270">
    <cfRule type="expression" dxfId="11917" priority="3682">
      <formula>B252=""</formula>
    </cfRule>
  </conditionalFormatting>
  <conditionalFormatting sqref="D253 D255 D257 D259 D261 D263 D265 D267 D269 D271">
    <cfRule type="expression" dxfId="11916" priority="3681">
      <formula>B253=""</formula>
    </cfRule>
  </conditionalFormatting>
  <conditionalFormatting sqref="D254:D264">
    <cfRule type="expression" dxfId="11915" priority="3680">
      <formula>B254=""</formula>
    </cfRule>
  </conditionalFormatting>
  <conditionalFormatting sqref="D265">
    <cfRule type="expression" dxfId="11914" priority="3679">
      <formula>B265=""</formula>
    </cfRule>
  </conditionalFormatting>
  <conditionalFormatting sqref="D266">
    <cfRule type="expression" dxfId="11913" priority="3678">
      <formula>B266=""</formula>
    </cfRule>
  </conditionalFormatting>
  <conditionalFormatting sqref="D267">
    <cfRule type="expression" dxfId="11912" priority="3677">
      <formula>B267=""</formula>
    </cfRule>
  </conditionalFormatting>
  <conditionalFormatting sqref="D268">
    <cfRule type="expression" dxfId="11911" priority="3676">
      <formula>B268=""</formula>
    </cfRule>
  </conditionalFormatting>
  <conditionalFormatting sqref="D269">
    <cfRule type="expression" dxfId="11910" priority="3675">
      <formula>B269=""</formula>
    </cfRule>
  </conditionalFormatting>
  <conditionalFormatting sqref="D270">
    <cfRule type="expression" dxfId="11909" priority="3674">
      <formula>B270=""</formula>
    </cfRule>
  </conditionalFormatting>
  <conditionalFormatting sqref="D271">
    <cfRule type="expression" dxfId="11908" priority="3673">
      <formula>B271=""</formula>
    </cfRule>
  </conditionalFormatting>
  <conditionalFormatting sqref="D272">
    <cfRule type="expression" dxfId="11907" priority="3672">
      <formula>B272=""</formula>
    </cfRule>
  </conditionalFormatting>
  <conditionalFormatting sqref="E252 E254 E256 E258 E260 E262 E264 E266 E268 E270">
    <cfRule type="expression" dxfId="11906" priority="3671">
      <formula>B252=""</formula>
    </cfRule>
  </conditionalFormatting>
  <conditionalFormatting sqref="E253 E255 E257 E259 E261 E263 E265 E267 E269 E271">
    <cfRule type="expression" dxfId="11905" priority="3670">
      <formula>B253=""</formula>
    </cfRule>
  </conditionalFormatting>
  <conditionalFormatting sqref="E254:E264">
    <cfRule type="expression" dxfId="11904" priority="3669">
      <formula>B254=""</formula>
    </cfRule>
  </conditionalFormatting>
  <conditionalFormatting sqref="E265">
    <cfRule type="expression" dxfId="11903" priority="3668">
      <formula>B265=""</formula>
    </cfRule>
  </conditionalFormatting>
  <conditionalFormatting sqref="E266">
    <cfRule type="expression" dxfId="11902" priority="3667">
      <formula>B266=""</formula>
    </cfRule>
  </conditionalFormatting>
  <conditionalFormatting sqref="E267">
    <cfRule type="expression" dxfId="11901" priority="3666">
      <formula>B267=""</formula>
    </cfRule>
  </conditionalFormatting>
  <conditionalFormatting sqref="E268">
    <cfRule type="expression" dxfId="11900" priority="3665">
      <formula>B268=""</formula>
    </cfRule>
  </conditionalFormatting>
  <conditionalFormatting sqref="E269">
    <cfRule type="expression" dxfId="11899" priority="3664">
      <formula>B269=""</formula>
    </cfRule>
  </conditionalFormatting>
  <conditionalFormatting sqref="E270">
    <cfRule type="expression" dxfId="11898" priority="3663">
      <formula>B270=""</formula>
    </cfRule>
  </conditionalFormatting>
  <conditionalFormatting sqref="E271">
    <cfRule type="expression" dxfId="11897" priority="3662">
      <formula>B271=""</formula>
    </cfRule>
  </conditionalFormatting>
  <conditionalFormatting sqref="E272">
    <cfRule type="expression" dxfId="11896" priority="3661">
      <formula>B272=""</formula>
    </cfRule>
  </conditionalFormatting>
  <conditionalFormatting sqref="F252 F254 F256 F258 F260 F262 F264 F266 F268 F270">
    <cfRule type="expression" dxfId="11895" priority="3660">
      <formula>B252=""</formula>
    </cfRule>
  </conditionalFormatting>
  <conditionalFormatting sqref="F253 F255 F257 F259 F261 F263 F265 F267 F269 F271">
    <cfRule type="expression" dxfId="11894" priority="3659">
      <formula>B253=""</formula>
    </cfRule>
  </conditionalFormatting>
  <conditionalFormatting sqref="F254:F264">
    <cfRule type="expression" dxfId="11893" priority="3658">
      <formula>B254=""</formula>
    </cfRule>
  </conditionalFormatting>
  <conditionalFormatting sqref="F265">
    <cfRule type="expression" dxfId="11892" priority="3657">
      <formula>B265=""</formula>
    </cfRule>
  </conditionalFormatting>
  <conditionalFormatting sqref="F266">
    <cfRule type="expression" dxfId="11891" priority="3656">
      <formula>B266=""</formula>
    </cfRule>
  </conditionalFormatting>
  <conditionalFormatting sqref="F267">
    <cfRule type="expression" dxfId="11890" priority="3655">
      <formula>B267=""</formula>
    </cfRule>
  </conditionalFormatting>
  <conditionalFormatting sqref="F268">
    <cfRule type="expression" dxfId="11889" priority="3654">
      <formula>B268=""</formula>
    </cfRule>
  </conditionalFormatting>
  <conditionalFormatting sqref="F269">
    <cfRule type="expression" dxfId="11888" priority="3653">
      <formula>B269=""</formula>
    </cfRule>
  </conditionalFormatting>
  <conditionalFormatting sqref="F270">
    <cfRule type="expression" dxfId="11887" priority="3652">
      <formula>B270=""</formula>
    </cfRule>
  </conditionalFormatting>
  <conditionalFormatting sqref="F271">
    <cfRule type="expression" dxfId="11886" priority="3651">
      <formula>B271=""</formula>
    </cfRule>
  </conditionalFormatting>
  <conditionalFormatting sqref="F272">
    <cfRule type="expression" dxfId="11885" priority="3650">
      <formula>B272=""</formula>
    </cfRule>
  </conditionalFormatting>
  <conditionalFormatting sqref="E253 E255 E257 E259 E261 E263 E265 E267 E269 E271">
    <cfRule type="expression" dxfId="11884" priority="3649">
      <formula>B253=""</formula>
    </cfRule>
  </conditionalFormatting>
  <conditionalFormatting sqref="E254:E264">
    <cfRule type="expression" dxfId="11883" priority="3648">
      <formula>B254=""</formula>
    </cfRule>
  </conditionalFormatting>
  <conditionalFormatting sqref="E265">
    <cfRule type="expression" dxfId="11882" priority="3647">
      <formula>B265=""</formula>
    </cfRule>
  </conditionalFormatting>
  <conditionalFormatting sqref="E266">
    <cfRule type="expression" dxfId="11881" priority="3646">
      <formula>B266=""</formula>
    </cfRule>
  </conditionalFormatting>
  <conditionalFormatting sqref="E267">
    <cfRule type="expression" dxfId="11880" priority="3645">
      <formula>B267=""</formula>
    </cfRule>
  </conditionalFormatting>
  <conditionalFormatting sqref="E268">
    <cfRule type="expression" dxfId="11879" priority="3644">
      <formula>B268=""</formula>
    </cfRule>
  </conditionalFormatting>
  <conditionalFormatting sqref="E269">
    <cfRule type="expression" dxfId="11878" priority="3643">
      <formula>B269=""</formula>
    </cfRule>
  </conditionalFormatting>
  <conditionalFormatting sqref="E270">
    <cfRule type="expression" dxfId="11877" priority="3642">
      <formula>B270=""</formula>
    </cfRule>
  </conditionalFormatting>
  <conditionalFormatting sqref="E271">
    <cfRule type="expression" dxfId="11876" priority="3641">
      <formula>B271=""</formula>
    </cfRule>
  </conditionalFormatting>
  <conditionalFormatting sqref="E272">
    <cfRule type="expression" dxfId="11875" priority="3640">
      <formula>B272=""</formula>
    </cfRule>
  </conditionalFormatting>
  <conditionalFormatting sqref="G252 G254 G256 G258 G260 G262 G264 G266 G268 G270">
    <cfRule type="expression" dxfId="11874" priority="3639">
      <formula>B252=""</formula>
    </cfRule>
  </conditionalFormatting>
  <conditionalFormatting sqref="G253 G255 G257 G259 G261 G263 G265 G267 G269 G271">
    <cfRule type="expression" dxfId="11873" priority="3638">
      <formula>B253=""</formula>
    </cfRule>
  </conditionalFormatting>
  <conditionalFormatting sqref="G254:G264">
    <cfRule type="expression" dxfId="11872" priority="3637">
      <formula>B254=""</formula>
    </cfRule>
  </conditionalFormatting>
  <conditionalFormatting sqref="G265">
    <cfRule type="expression" dxfId="11871" priority="3636">
      <formula>B265=""</formula>
    </cfRule>
  </conditionalFormatting>
  <conditionalFormatting sqref="G266">
    <cfRule type="expression" dxfId="11870" priority="3635">
      <formula>B266=""</formula>
    </cfRule>
  </conditionalFormatting>
  <conditionalFormatting sqref="G267">
    <cfRule type="expression" dxfId="11869" priority="3634">
      <formula>B267=""</formula>
    </cfRule>
  </conditionalFormatting>
  <conditionalFormatting sqref="G268">
    <cfRule type="expression" dxfId="11868" priority="3633">
      <formula>B268=""</formula>
    </cfRule>
  </conditionalFormatting>
  <conditionalFormatting sqref="G269">
    <cfRule type="expression" dxfId="11867" priority="3632">
      <formula>B269=""</formula>
    </cfRule>
  </conditionalFormatting>
  <conditionalFormatting sqref="G270">
    <cfRule type="expression" dxfId="11866" priority="3631">
      <formula>B270=""</formula>
    </cfRule>
  </conditionalFormatting>
  <conditionalFormatting sqref="G271">
    <cfRule type="expression" dxfId="11865" priority="3630">
      <formula>B271=""</formula>
    </cfRule>
  </conditionalFormatting>
  <conditionalFormatting sqref="G272">
    <cfRule type="expression" dxfId="11864" priority="3629">
      <formula>B272=""</formula>
    </cfRule>
  </conditionalFormatting>
  <conditionalFormatting sqref="H252 H254 H256 H258 H260 H262 H264 H266 H268 H270">
    <cfRule type="expression" dxfId="11863" priority="3628">
      <formula>B252=""</formula>
    </cfRule>
  </conditionalFormatting>
  <conditionalFormatting sqref="H253 H255 H257 H259 H261 H263 H265 H267 H269 H271">
    <cfRule type="expression" dxfId="11862" priority="3627">
      <formula>B253=""</formula>
    </cfRule>
  </conditionalFormatting>
  <conditionalFormatting sqref="H254:H264">
    <cfRule type="expression" dxfId="11861" priority="3626">
      <formula>B254=""</formula>
    </cfRule>
  </conditionalFormatting>
  <conditionalFormatting sqref="H265">
    <cfRule type="expression" dxfId="11860" priority="3625">
      <formula>B265=""</formula>
    </cfRule>
  </conditionalFormatting>
  <conditionalFormatting sqref="H266">
    <cfRule type="expression" dxfId="11859" priority="3624">
      <formula>B266=""</formula>
    </cfRule>
  </conditionalFormatting>
  <conditionalFormatting sqref="H267">
    <cfRule type="expression" dxfId="11858" priority="3623">
      <formula>B267=""</formula>
    </cfRule>
  </conditionalFormatting>
  <conditionalFormatting sqref="H268">
    <cfRule type="expression" dxfId="11857" priority="3622">
      <formula>B268=""</formula>
    </cfRule>
  </conditionalFormatting>
  <conditionalFormatting sqref="H269">
    <cfRule type="expression" dxfId="11856" priority="3621">
      <formula>B269=""</formula>
    </cfRule>
  </conditionalFormatting>
  <conditionalFormatting sqref="H270">
    <cfRule type="expression" dxfId="11855" priority="3620">
      <formula>B270=""</formula>
    </cfRule>
  </conditionalFormatting>
  <conditionalFormatting sqref="H271">
    <cfRule type="expression" dxfId="11854" priority="3619">
      <formula>B271=""</formula>
    </cfRule>
  </conditionalFormatting>
  <conditionalFormatting sqref="H272">
    <cfRule type="expression" dxfId="11853" priority="3618">
      <formula>B272=""</formula>
    </cfRule>
  </conditionalFormatting>
  <conditionalFormatting sqref="C274:C294">
    <cfRule type="expression" dxfId="11852" priority="3617">
      <formula>B274=""</formula>
    </cfRule>
  </conditionalFormatting>
  <conditionalFormatting sqref="C275 C277 C279 C281 C283 C285 C287 C289 C291 C293">
    <cfRule type="expression" dxfId="11851" priority="3616">
      <formula>B275=""</formula>
    </cfRule>
  </conditionalFormatting>
  <conditionalFormatting sqref="C276:C286">
    <cfRule type="expression" dxfId="11850" priority="3615">
      <formula>B276=""</formula>
    </cfRule>
  </conditionalFormatting>
  <conditionalFormatting sqref="C287">
    <cfRule type="expression" dxfId="11849" priority="3614">
      <formula>B287=""</formula>
    </cfRule>
  </conditionalFormatting>
  <conditionalFormatting sqref="C288">
    <cfRule type="expression" dxfId="11848" priority="3613">
      <formula>B288=""</formula>
    </cfRule>
  </conditionalFormatting>
  <conditionalFormatting sqref="C289">
    <cfRule type="expression" dxfId="11847" priority="3612">
      <formula>B289=""</formula>
    </cfRule>
  </conditionalFormatting>
  <conditionalFormatting sqref="C290">
    <cfRule type="expression" dxfId="11846" priority="3611">
      <formula>B290=""</formula>
    </cfRule>
  </conditionalFormatting>
  <conditionalFormatting sqref="C291">
    <cfRule type="expression" dxfId="11845" priority="3610">
      <formula>B291=""</formula>
    </cfRule>
  </conditionalFormatting>
  <conditionalFormatting sqref="C292">
    <cfRule type="expression" dxfId="11844" priority="3609">
      <formula>B292=""</formula>
    </cfRule>
  </conditionalFormatting>
  <conditionalFormatting sqref="C293">
    <cfRule type="expression" dxfId="11843" priority="3608">
      <formula>B293=""</formula>
    </cfRule>
  </conditionalFormatting>
  <conditionalFormatting sqref="C294">
    <cfRule type="expression" dxfId="11842" priority="3607">
      <formula>B294=""</formula>
    </cfRule>
  </conditionalFormatting>
  <conditionalFormatting sqref="D274 D276 D278 D280 D282 D284 D286 D288 D290 D292">
    <cfRule type="expression" dxfId="11841" priority="3606">
      <formula>B274=""</formula>
    </cfRule>
  </conditionalFormatting>
  <conditionalFormatting sqref="D275 D277 D279 D281 D283 D285 D287 D289 D291 D293">
    <cfRule type="expression" dxfId="11840" priority="3605">
      <formula>B275=""</formula>
    </cfRule>
  </conditionalFormatting>
  <conditionalFormatting sqref="D276:D286">
    <cfRule type="expression" dxfId="11839" priority="3604">
      <formula>B276=""</formula>
    </cfRule>
  </conditionalFormatting>
  <conditionalFormatting sqref="D287">
    <cfRule type="expression" dxfId="11838" priority="3603">
      <formula>B287=""</formula>
    </cfRule>
  </conditionalFormatting>
  <conditionalFormatting sqref="D288">
    <cfRule type="expression" dxfId="11837" priority="3602">
      <formula>B288=""</formula>
    </cfRule>
  </conditionalFormatting>
  <conditionalFormatting sqref="D289">
    <cfRule type="expression" dxfId="11836" priority="3601">
      <formula>B289=""</formula>
    </cfRule>
  </conditionalFormatting>
  <conditionalFormatting sqref="D290">
    <cfRule type="expression" dxfId="11835" priority="3600">
      <formula>B290=""</formula>
    </cfRule>
  </conditionalFormatting>
  <conditionalFormatting sqref="D291">
    <cfRule type="expression" dxfId="11834" priority="3599">
      <formula>B291=""</formula>
    </cfRule>
  </conditionalFormatting>
  <conditionalFormatting sqref="D292">
    <cfRule type="expression" dxfId="11833" priority="3598">
      <formula>B292=""</formula>
    </cfRule>
  </conditionalFormatting>
  <conditionalFormatting sqref="D293">
    <cfRule type="expression" dxfId="11832" priority="3597">
      <formula>B293=""</formula>
    </cfRule>
  </conditionalFormatting>
  <conditionalFormatting sqref="D294">
    <cfRule type="expression" dxfId="11831" priority="3596">
      <formula>B294=""</formula>
    </cfRule>
  </conditionalFormatting>
  <conditionalFormatting sqref="E274 E276 E278 E280 E282 E284 E286 E288 E290 E292">
    <cfRule type="expression" dxfId="11830" priority="3595">
      <formula>B274=""</formula>
    </cfRule>
  </conditionalFormatting>
  <conditionalFormatting sqref="E275 E277 E279 E281 E283 E285 E287 E289 E291 E293">
    <cfRule type="expression" dxfId="11829" priority="3594">
      <formula>B275=""</formula>
    </cfRule>
  </conditionalFormatting>
  <conditionalFormatting sqref="E276:E286">
    <cfRule type="expression" dxfId="11828" priority="3593">
      <formula>B276=""</formula>
    </cfRule>
  </conditionalFormatting>
  <conditionalFormatting sqref="E287">
    <cfRule type="expression" dxfId="11827" priority="3592">
      <formula>B287=""</formula>
    </cfRule>
  </conditionalFormatting>
  <conditionalFormatting sqref="E288">
    <cfRule type="expression" dxfId="11826" priority="3591">
      <formula>B288=""</formula>
    </cfRule>
  </conditionalFormatting>
  <conditionalFormatting sqref="E289">
    <cfRule type="expression" dxfId="11825" priority="3590">
      <formula>B289=""</formula>
    </cfRule>
  </conditionalFormatting>
  <conditionalFormatting sqref="E290">
    <cfRule type="expression" dxfId="11824" priority="3589">
      <formula>B290=""</formula>
    </cfRule>
  </conditionalFormatting>
  <conditionalFormatting sqref="E291">
    <cfRule type="expression" dxfId="11823" priority="3588">
      <formula>B291=""</formula>
    </cfRule>
  </conditionalFormatting>
  <conditionalFormatting sqref="E292">
    <cfRule type="expression" dxfId="11822" priority="3587">
      <formula>B292=""</formula>
    </cfRule>
  </conditionalFormatting>
  <conditionalFormatting sqref="E293">
    <cfRule type="expression" dxfId="11821" priority="3586">
      <formula>B293=""</formula>
    </cfRule>
  </conditionalFormatting>
  <conditionalFormatting sqref="E294">
    <cfRule type="expression" dxfId="11820" priority="3585">
      <formula>B294=""</formula>
    </cfRule>
  </conditionalFormatting>
  <conditionalFormatting sqref="F274 F276 F278 F280 F282 F284 F286 F288 F290 F292">
    <cfRule type="expression" dxfId="11819" priority="3584">
      <formula>B274=""</formula>
    </cfRule>
  </conditionalFormatting>
  <conditionalFormatting sqref="F275 F277 F279 F281 F283 F285 F287 F289 F291 F293">
    <cfRule type="expression" dxfId="11818" priority="3583">
      <formula>B275=""</formula>
    </cfRule>
  </conditionalFormatting>
  <conditionalFormatting sqref="F276:F286">
    <cfRule type="expression" dxfId="11817" priority="3582">
      <formula>B276=""</formula>
    </cfRule>
  </conditionalFormatting>
  <conditionalFormatting sqref="F287">
    <cfRule type="expression" dxfId="11816" priority="3581">
      <formula>B287=""</formula>
    </cfRule>
  </conditionalFormatting>
  <conditionalFormatting sqref="F288">
    <cfRule type="expression" dxfId="11815" priority="3580">
      <formula>B288=""</formula>
    </cfRule>
  </conditionalFormatting>
  <conditionalFormatting sqref="F289">
    <cfRule type="expression" dxfId="11814" priority="3579">
      <formula>B289=""</formula>
    </cfRule>
  </conditionalFormatting>
  <conditionalFormatting sqref="F290">
    <cfRule type="expression" dxfId="11813" priority="3578">
      <formula>B290=""</formula>
    </cfRule>
  </conditionalFormatting>
  <conditionalFormatting sqref="F291">
    <cfRule type="expression" dxfId="11812" priority="3577">
      <formula>B291=""</formula>
    </cfRule>
  </conditionalFormatting>
  <conditionalFormatting sqref="F292">
    <cfRule type="expression" dxfId="11811" priority="3576">
      <formula>B292=""</formula>
    </cfRule>
  </conditionalFormatting>
  <conditionalFormatting sqref="F293">
    <cfRule type="expression" dxfId="11810" priority="3575">
      <formula>B293=""</formula>
    </cfRule>
  </conditionalFormatting>
  <conditionalFormatting sqref="F294">
    <cfRule type="expression" dxfId="11809" priority="3574">
      <formula>B294=""</formula>
    </cfRule>
  </conditionalFormatting>
  <conditionalFormatting sqref="E275 E277 E279 E281 E283 E285 E287 E289 E291 E293">
    <cfRule type="expression" dxfId="11808" priority="3573">
      <formula>B275=""</formula>
    </cfRule>
  </conditionalFormatting>
  <conditionalFormatting sqref="E276:E286">
    <cfRule type="expression" dxfId="11807" priority="3572">
      <formula>B276=""</formula>
    </cfRule>
  </conditionalFormatting>
  <conditionalFormatting sqref="E287">
    <cfRule type="expression" dxfId="11806" priority="3571">
      <formula>B287=""</formula>
    </cfRule>
  </conditionalFormatting>
  <conditionalFormatting sqref="E288">
    <cfRule type="expression" dxfId="11805" priority="3570">
      <formula>B288=""</formula>
    </cfRule>
  </conditionalFormatting>
  <conditionalFormatting sqref="E289">
    <cfRule type="expression" dxfId="11804" priority="3569">
      <formula>B289=""</formula>
    </cfRule>
  </conditionalFormatting>
  <conditionalFormatting sqref="E290">
    <cfRule type="expression" dxfId="11803" priority="3568">
      <formula>B290=""</formula>
    </cfRule>
  </conditionalFormatting>
  <conditionalFormatting sqref="E291">
    <cfRule type="expression" dxfId="11802" priority="3567">
      <formula>B291=""</formula>
    </cfRule>
  </conditionalFormatting>
  <conditionalFormatting sqref="E292">
    <cfRule type="expression" dxfId="11801" priority="3566">
      <formula>B292=""</formula>
    </cfRule>
  </conditionalFormatting>
  <conditionalFormatting sqref="E293">
    <cfRule type="expression" dxfId="11800" priority="3565">
      <formula>B293=""</formula>
    </cfRule>
  </conditionalFormatting>
  <conditionalFormatting sqref="E294">
    <cfRule type="expression" dxfId="11799" priority="3564">
      <formula>B294=""</formula>
    </cfRule>
  </conditionalFormatting>
  <conditionalFormatting sqref="G274 G276 G278 G280 G282 G284 G286 G288 G290 G292">
    <cfRule type="expression" dxfId="11798" priority="3563">
      <formula>B274=""</formula>
    </cfRule>
  </conditionalFormatting>
  <conditionalFormatting sqref="G275 G277 G279 G281 G283 G285 G287 G289 G291 G293">
    <cfRule type="expression" dxfId="11797" priority="3562">
      <formula>B275=""</formula>
    </cfRule>
  </conditionalFormatting>
  <conditionalFormatting sqref="G276:G286">
    <cfRule type="expression" dxfId="11796" priority="3561">
      <formula>B276=""</formula>
    </cfRule>
  </conditionalFormatting>
  <conditionalFormatting sqref="G287">
    <cfRule type="expression" dxfId="11795" priority="3560">
      <formula>B287=""</formula>
    </cfRule>
  </conditionalFormatting>
  <conditionalFormatting sqref="G288">
    <cfRule type="expression" dxfId="11794" priority="3559">
      <formula>B288=""</formula>
    </cfRule>
  </conditionalFormatting>
  <conditionalFormatting sqref="G289">
    <cfRule type="expression" dxfId="11793" priority="3558">
      <formula>B289=""</formula>
    </cfRule>
  </conditionalFormatting>
  <conditionalFormatting sqref="G290">
    <cfRule type="expression" dxfId="11792" priority="3557">
      <formula>B290=""</formula>
    </cfRule>
  </conditionalFormatting>
  <conditionalFormatting sqref="G291">
    <cfRule type="expression" dxfId="11791" priority="3556">
      <formula>B291=""</formula>
    </cfRule>
  </conditionalFormatting>
  <conditionalFormatting sqref="G292">
    <cfRule type="expression" dxfId="11790" priority="3555">
      <formula>B292=""</formula>
    </cfRule>
  </conditionalFormatting>
  <conditionalFormatting sqref="G293">
    <cfRule type="expression" dxfId="11789" priority="3554">
      <formula>B293=""</formula>
    </cfRule>
  </conditionalFormatting>
  <conditionalFormatting sqref="G294">
    <cfRule type="expression" dxfId="11788" priority="3553">
      <formula>B294=""</formula>
    </cfRule>
  </conditionalFormatting>
  <conditionalFormatting sqref="H274 H276 H278 H280 H282 H284 H286 H288 H290 H292">
    <cfRule type="expression" dxfId="11787" priority="3552">
      <formula>B274=""</formula>
    </cfRule>
  </conditionalFormatting>
  <conditionalFormatting sqref="H275 H277 H279 H281 H283 H285 H287 H289 H291 H293">
    <cfRule type="expression" dxfId="11786" priority="3551">
      <formula>B275=""</formula>
    </cfRule>
  </conditionalFormatting>
  <conditionalFormatting sqref="H276:H286">
    <cfRule type="expression" dxfId="11785" priority="3550">
      <formula>B276=""</formula>
    </cfRule>
  </conditionalFormatting>
  <conditionalFormatting sqref="H287">
    <cfRule type="expression" dxfId="11784" priority="3549">
      <formula>B287=""</formula>
    </cfRule>
  </conditionalFormatting>
  <conditionalFormatting sqref="H288">
    <cfRule type="expression" dxfId="11783" priority="3548">
      <formula>B288=""</formula>
    </cfRule>
  </conditionalFormatting>
  <conditionalFormatting sqref="H289">
    <cfRule type="expression" dxfId="11782" priority="3547">
      <formula>B289=""</formula>
    </cfRule>
  </conditionalFormatting>
  <conditionalFormatting sqref="H290">
    <cfRule type="expression" dxfId="11781" priority="3546">
      <formula>B290=""</formula>
    </cfRule>
  </conditionalFormatting>
  <conditionalFormatting sqref="H291">
    <cfRule type="expression" dxfId="11780" priority="3545">
      <formula>B291=""</formula>
    </cfRule>
  </conditionalFormatting>
  <conditionalFormatting sqref="H292">
    <cfRule type="expression" dxfId="11779" priority="3544">
      <formula>B292=""</formula>
    </cfRule>
  </conditionalFormatting>
  <conditionalFormatting sqref="H293">
    <cfRule type="expression" dxfId="11778" priority="3543">
      <formula>B293=""</formula>
    </cfRule>
  </conditionalFormatting>
  <conditionalFormatting sqref="H294">
    <cfRule type="expression" dxfId="11777" priority="3542">
      <formula>B294=""</formula>
    </cfRule>
  </conditionalFormatting>
  <conditionalFormatting sqref="C249">
    <cfRule type="expression" dxfId="11776" priority="3541">
      <formula>B249=""</formula>
    </cfRule>
  </conditionalFormatting>
  <conditionalFormatting sqref="C271">
    <cfRule type="expression" dxfId="11775" priority="3540">
      <formula>B271=""</formula>
    </cfRule>
  </conditionalFormatting>
  <conditionalFormatting sqref="C293">
    <cfRule type="expression" dxfId="11774" priority="3539">
      <formula>B293=""</formula>
    </cfRule>
  </conditionalFormatting>
  <conditionalFormatting sqref="C208:C228">
    <cfRule type="expression" dxfId="11773" priority="3538">
      <formula>B208=""</formula>
    </cfRule>
  </conditionalFormatting>
  <conditionalFormatting sqref="C209">
    <cfRule type="expression" dxfId="11772" priority="3537">
      <formula>B209=""</formula>
    </cfRule>
  </conditionalFormatting>
  <conditionalFormatting sqref="C210:C220">
    <cfRule type="expression" dxfId="11771" priority="3536">
      <formula>B210=""</formula>
    </cfRule>
  </conditionalFormatting>
  <conditionalFormatting sqref="C221">
    <cfRule type="expression" dxfId="11770" priority="3535">
      <formula>B221=""</formula>
    </cfRule>
  </conditionalFormatting>
  <conditionalFormatting sqref="C222">
    <cfRule type="expression" dxfId="11769" priority="3534">
      <formula>B222=""</formula>
    </cfRule>
  </conditionalFormatting>
  <conditionalFormatting sqref="C223">
    <cfRule type="expression" dxfId="11768" priority="3533">
      <formula>B223=""</formula>
    </cfRule>
  </conditionalFormatting>
  <conditionalFormatting sqref="C224">
    <cfRule type="expression" dxfId="11767" priority="3532">
      <formula>B224=""</formula>
    </cfRule>
  </conditionalFormatting>
  <conditionalFormatting sqref="C225">
    <cfRule type="expression" dxfId="11766" priority="3531">
      <formula>B225=""</formula>
    </cfRule>
  </conditionalFormatting>
  <conditionalFormatting sqref="C226">
    <cfRule type="expression" dxfId="11765" priority="3530">
      <formula>B226=""</formula>
    </cfRule>
  </conditionalFormatting>
  <conditionalFormatting sqref="C227">
    <cfRule type="expression" dxfId="11764" priority="3529">
      <formula>B227=""</formula>
    </cfRule>
  </conditionalFormatting>
  <conditionalFormatting sqref="C228">
    <cfRule type="expression" dxfId="11763" priority="3528">
      <formula>B228=""</formula>
    </cfRule>
  </conditionalFormatting>
  <conditionalFormatting sqref="C230:C250">
    <cfRule type="expression" dxfId="11762" priority="3527">
      <formula>B230=""</formula>
    </cfRule>
  </conditionalFormatting>
  <conditionalFormatting sqref="C231 C233 C235 C237 C239 C241 C243 C245 C247 C249">
    <cfRule type="expression" dxfId="11761" priority="3526">
      <formula>B231=""</formula>
    </cfRule>
  </conditionalFormatting>
  <conditionalFormatting sqref="C232:C242">
    <cfRule type="expression" dxfId="11760" priority="3525">
      <formula>B232=""</formula>
    </cfRule>
  </conditionalFormatting>
  <conditionalFormatting sqref="C243">
    <cfRule type="expression" dxfId="11759" priority="3524">
      <formula>B243=""</formula>
    </cfRule>
  </conditionalFormatting>
  <conditionalFormatting sqref="C244">
    <cfRule type="expression" dxfId="11758" priority="3523">
      <formula>B244=""</formula>
    </cfRule>
  </conditionalFormatting>
  <conditionalFormatting sqref="C245">
    <cfRule type="expression" dxfId="11757" priority="3522">
      <formula>B245=""</formula>
    </cfRule>
  </conditionalFormatting>
  <conditionalFormatting sqref="C246">
    <cfRule type="expression" dxfId="11756" priority="3521">
      <formula>B246=""</formula>
    </cfRule>
  </conditionalFormatting>
  <conditionalFormatting sqref="C247">
    <cfRule type="expression" dxfId="11755" priority="3520">
      <formula>B247=""</formula>
    </cfRule>
  </conditionalFormatting>
  <conditionalFormatting sqref="C248">
    <cfRule type="expression" dxfId="11754" priority="3519">
      <formula>B248=""</formula>
    </cfRule>
  </conditionalFormatting>
  <conditionalFormatting sqref="C249">
    <cfRule type="expression" dxfId="11753" priority="3518">
      <formula>B249=""</formula>
    </cfRule>
  </conditionalFormatting>
  <conditionalFormatting sqref="C250">
    <cfRule type="expression" dxfId="11752" priority="3517">
      <formula>B250=""</formula>
    </cfRule>
  </conditionalFormatting>
  <conditionalFormatting sqref="C252:C271">
    <cfRule type="expression" dxfId="11751" priority="3516">
      <formula>B252=""</formula>
    </cfRule>
  </conditionalFormatting>
  <conditionalFormatting sqref="C253 C255 C257 C259 C261 C263 C265 C267 C269 C271">
    <cfRule type="expression" dxfId="11750" priority="3515">
      <formula>B253=""</formula>
    </cfRule>
  </conditionalFormatting>
  <conditionalFormatting sqref="C254:C264">
    <cfRule type="expression" dxfId="11749" priority="3514">
      <formula>B254=""</formula>
    </cfRule>
  </conditionalFormatting>
  <conditionalFormatting sqref="C265">
    <cfRule type="expression" dxfId="11748" priority="3513">
      <formula>B265=""</formula>
    </cfRule>
  </conditionalFormatting>
  <conditionalFormatting sqref="C266">
    <cfRule type="expression" dxfId="11747" priority="3512">
      <formula>B266=""</formula>
    </cfRule>
  </conditionalFormatting>
  <conditionalFormatting sqref="C267">
    <cfRule type="expression" dxfId="11746" priority="3511">
      <formula>B267=""</formula>
    </cfRule>
  </conditionalFormatting>
  <conditionalFormatting sqref="C268">
    <cfRule type="expression" dxfId="11745" priority="3510">
      <formula>B268=""</formula>
    </cfRule>
  </conditionalFormatting>
  <conditionalFormatting sqref="C269">
    <cfRule type="expression" dxfId="11744" priority="3509">
      <formula>B269=""</formula>
    </cfRule>
  </conditionalFormatting>
  <conditionalFormatting sqref="C270">
    <cfRule type="expression" dxfId="11743" priority="3508">
      <formula>B270=""</formula>
    </cfRule>
  </conditionalFormatting>
  <conditionalFormatting sqref="C271">
    <cfRule type="expression" dxfId="11742" priority="3507">
      <formula>B271=""</formula>
    </cfRule>
  </conditionalFormatting>
  <conditionalFormatting sqref="C272">
    <cfRule type="expression" dxfId="11741" priority="3506">
      <formula>B272=""</formula>
    </cfRule>
  </conditionalFormatting>
  <conditionalFormatting sqref="C274:C294">
    <cfRule type="expression" dxfId="11740" priority="3505">
      <formula>B274=""</formula>
    </cfRule>
  </conditionalFormatting>
  <conditionalFormatting sqref="C275 C277 C279 C281 C283 C285 C287 C289 C291 C293">
    <cfRule type="expression" dxfId="11739" priority="3504">
      <formula>B275=""</formula>
    </cfRule>
  </conditionalFormatting>
  <conditionalFormatting sqref="C276:C286">
    <cfRule type="expression" dxfId="11738" priority="3503">
      <formula>B276=""</formula>
    </cfRule>
  </conditionalFormatting>
  <conditionalFormatting sqref="C287">
    <cfRule type="expression" dxfId="11737" priority="3502">
      <formula>B287=""</formula>
    </cfRule>
  </conditionalFormatting>
  <conditionalFormatting sqref="C288">
    <cfRule type="expression" dxfId="11736" priority="3501">
      <formula>B288=""</formula>
    </cfRule>
  </conditionalFormatting>
  <conditionalFormatting sqref="C289">
    <cfRule type="expression" dxfId="11735" priority="3500">
      <formula>B289=""</formula>
    </cfRule>
  </conditionalFormatting>
  <conditionalFormatting sqref="C290">
    <cfRule type="expression" dxfId="11734" priority="3499">
      <formula>B290=""</formula>
    </cfRule>
  </conditionalFormatting>
  <conditionalFormatting sqref="C291">
    <cfRule type="expression" dxfId="11733" priority="3498">
      <formula>B291=""</formula>
    </cfRule>
  </conditionalFormatting>
  <conditionalFormatting sqref="C292">
    <cfRule type="expression" dxfId="11732" priority="3497">
      <formula>B292=""</formula>
    </cfRule>
  </conditionalFormatting>
  <conditionalFormatting sqref="C293">
    <cfRule type="expression" dxfId="11731" priority="3496">
      <formula>B293=""</formula>
    </cfRule>
  </conditionalFormatting>
  <conditionalFormatting sqref="C294">
    <cfRule type="expression" dxfId="11730" priority="3495">
      <formula>B294=""</formula>
    </cfRule>
  </conditionalFormatting>
  <conditionalFormatting sqref="C208:C228">
    <cfRule type="expression" dxfId="11729" priority="3494">
      <formula>B208=""</formula>
    </cfRule>
  </conditionalFormatting>
  <conditionalFormatting sqref="C209">
    <cfRule type="expression" dxfId="11728" priority="3493">
      <formula>B209=""</formula>
    </cfRule>
  </conditionalFormatting>
  <conditionalFormatting sqref="C210:C220">
    <cfRule type="expression" dxfId="11727" priority="3492">
      <formula>B210=""</formula>
    </cfRule>
  </conditionalFormatting>
  <conditionalFormatting sqref="C221">
    <cfRule type="expression" dxfId="11726" priority="3491">
      <formula>B221=""</formula>
    </cfRule>
  </conditionalFormatting>
  <conditionalFormatting sqref="C222">
    <cfRule type="expression" dxfId="11725" priority="3490">
      <formula>B222=""</formula>
    </cfRule>
  </conditionalFormatting>
  <conditionalFormatting sqref="C223">
    <cfRule type="expression" dxfId="11724" priority="3489">
      <formula>B223=""</formula>
    </cfRule>
  </conditionalFormatting>
  <conditionalFormatting sqref="C224">
    <cfRule type="expression" dxfId="11723" priority="3488">
      <formula>B224=""</formula>
    </cfRule>
  </conditionalFormatting>
  <conditionalFormatting sqref="C225">
    <cfRule type="expression" dxfId="11722" priority="3487">
      <formula>B225=""</formula>
    </cfRule>
  </conditionalFormatting>
  <conditionalFormatting sqref="C226">
    <cfRule type="expression" dxfId="11721" priority="3486">
      <formula>B226=""</formula>
    </cfRule>
  </conditionalFormatting>
  <conditionalFormatting sqref="C227">
    <cfRule type="expression" dxfId="11720" priority="3485">
      <formula>B227=""</formula>
    </cfRule>
  </conditionalFormatting>
  <conditionalFormatting sqref="D208">
    <cfRule type="expression" dxfId="11719" priority="3484">
      <formula>B208=""</formula>
    </cfRule>
  </conditionalFormatting>
  <conditionalFormatting sqref="D209">
    <cfRule type="expression" dxfId="11718" priority="3483">
      <formula>B209=""</formula>
    </cfRule>
  </conditionalFormatting>
  <conditionalFormatting sqref="D210:D220">
    <cfRule type="expression" dxfId="11717" priority="3482">
      <formula>B210=""</formula>
    </cfRule>
  </conditionalFormatting>
  <conditionalFormatting sqref="D221">
    <cfRule type="expression" dxfId="11716" priority="3481">
      <formula>B221=""</formula>
    </cfRule>
  </conditionalFormatting>
  <conditionalFormatting sqref="D222">
    <cfRule type="expression" dxfId="11715" priority="3480">
      <formula>B222=""</formula>
    </cfRule>
  </conditionalFormatting>
  <conditionalFormatting sqref="D223">
    <cfRule type="expression" dxfId="11714" priority="3479">
      <formula>B223=""</formula>
    </cfRule>
  </conditionalFormatting>
  <conditionalFormatting sqref="D224">
    <cfRule type="expression" dxfId="11713" priority="3478">
      <formula>B224=""</formula>
    </cfRule>
  </conditionalFormatting>
  <conditionalFormatting sqref="D225">
    <cfRule type="expression" dxfId="11712" priority="3477">
      <formula>B225=""</formula>
    </cfRule>
  </conditionalFormatting>
  <conditionalFormatting sqref="D226">
    <cfRule type="expression" dxfId="11711" priority="3476">
      <formula>B226=""</formula>
    </cfRule>
  </conditionalFormatting>
  <conditionalFormatting sqref="D227">
    <cfRule type="expression" dxfId="11710" priority="3475">
      <formula>B227=""</formula>
    </cfRule>
  </conditionalFormatting>
  <conditionalFormatting sqref="E208:E227">
    <cfRule type="expression" dxfId="11709" priority="3474">
      <formula>B208=""</formula>
    </cfRule>
  </conditionalFormatting>
  <conditionalFormatting sqref="E209 E211 E213 E215 E217 E219 E221 E223 E225 E227">
    <cfRule type="expression" dxfId="11708" priority="3473">
      <formula>B209=""</formula>
    </cfRule>
  </conditionalFormatting>
  <conditionalFormatting sqref="E210:E220">
    <cfRule type="expression" dxfId="11707" priority="3472">
      <formula>B210=""</formula>
    </cfRule>
  </conditionalFormatting>
  <conditionalFormatting sqref="E221">
    <cfRule type="expression" dxfId="11706" priority="3471">
      <formula>B221=""</formula>
    </cfRule>
  </conditionalFormatting>
  <conditionalFormatting sqref="E222">
    <cfRule type="expression" dxfId="11705" priority="3470">
      <formula>B222=""</formula>
    </cfRule>
  </conditionalFormatting>
  <conditionalFormatting sqref="E223">
    <cfRule type="expression" dxfId="11704" priority="3469">
      <formula>B223=""</formula>
    </cfRule>
  </conditionalFormatting>
  <conditionalFormatting sqref="E224">
    <cfRule type="expression" dxfId="11703" priority="3468">
      <formula>B224=""</formula>
    </cfRule>
  </conditionalFormatting>
  <conditionalFormatting sqref="E225">
    <cfRule type="expression" dxfId="11702" priority="3467">
      <formula>B225=""</formula>
    </cfRule>
  </conditionalFormatting>
  <conditionalFormatting sqref="E226">
    <cfRule type="expression" dxfId="11701" priority="3466">
      <formula>B226=""</formula>
    </cfRule>
  </conditionalFormatting>
  <conditionalFormatting sqref="E227">
    <cfRule type="expression" dxfId="11700" priority="3465">
      <formula>B227=""</formula>
    </cfRule>
  </conditionalFormatting>
  <conditionalFormatting sqref="F208:F227">
    <cfRule type="expression" dxfId="11699" priority="3464">
      <formula>B208=""</formula>
    </cfRule>
  </conditionalFormatting>
  <conditionalFormatting sqref="F209 F211 F213 F215 F217 F219 F221 F223 F225 F227">
    <cfRule type="expression" dxfId="11698" priority="3463">
      <formula>B209=""</formula>
    </cfRule>
  </conditionalFormatting>
  <conditionalFormatting sqref="F210:F220">
    <cfRule type="expression" dxfId="11697" priority="3462">
      <formula>B210=""</formula>
    </cfRule>
  </conditionalFormatting>
  <conditionalFormatting sqref="F221">
    <cfRule type="expression" dxfId="11696" priority="3461">
      <formula>B221=""</formula>
    </cfRule>
  </conditionalFormatting>
  <conditionalFormatting sqref="F222">
    <cfRule type="expression" dxfId="11695" priority="3460">
      <formula>B222=""</formula>
    </cfRule>
  </conditionalFormatting>
  <conditionalFormatting sqref="F223">
    <cfRule type="expression" dxfId="11694" priority="3459">
      <formula>B223=""</formula>
    </cfRule>
  </conditionalFormatting>
  <conditionalFormatting sqref="F224">
    <cfRule type="expression" dxfId="11693" priority="3458">
      <formula>B224=""</formula>
    </cfRule>
  </conditionalFormatting>
  <conditionalFormatting sqref="F225">
    <cfRule type="expression" dxfId="11692" priority="3457">
      <formula>B225=""</formula>
    </cfRule>
  </conditionalFormatting>
  <conditionalFormatting sqref="F226">
    <cfRule type="expression" dxfId="11691" priority="3456">
      <formula>B226=""</formula>
    </cfRule>
  </conditionalFormatting>
  <conditionalFormatting sqref="F227">
    <cfRule type="expression" dxfId="11690" priority="3455">
      <formula>B227=""</formula>
    </cfRule>
  </conditionalFormatting>
  <conditionalFormatting sqref="E209 E211 E213 E215 E217 E219 E221 E223 E225 E227">
    <cfRule type="expression" dxfId="11689" priority="3454">
      <formula>B209=""</formula>
    </cfRule>
  </conditionalFormatting>
  <conditionalFormatting sqref="E210:E220">
    <cfRule type="expression" dxfId="11688" priority="3453">
      <formula>B210=""</formula>
    </cfRule>
  </conditionalFormatting>
  <conditionalFormatting sqref="E221">
    <cfRule type="expression" dxfId="11687" priority="3452">
      <formula>B221=""</formula>
    </cfRule>
  </conditionalFormatting>
  <conditionalFormatting sqref="E222">
    <cfRule type="expression" dxfId="11686" priority="3451">
      <formula>B222=""</formula>
    </cfRule>
  </conditionalFormatting>
  <conditionalFormatting sqref="E223">
    <cfRule type="expression" dxfId="11685" priority="3450">
      <formula>B223=""</formula>
    </cfRule>
  </conditionalFormatting>
  <conditionalFormatting sqref="E224">
    <cfRule type="expression" dxfId="11684" priority="3449">
      <formula>B224=""</formula>
    </cfRule>
  </conditionalFormatting>
  <conditionalFormatting sqref="E225">
    <cfRule type="expression" dxfId="11683" priority="3448">
      <formula>B225=""</formula>
    </cfRule>
  </conditionalFormatting>
  <conditionalFormatting sqref="E226">
    <cfRule type="expression" dxfId="11682" priority="3447">
      <formula>B226=""</formula>
    </cfRule>
  </conditionalFormatting>
  <conditionalFormatting sqref="E227">
    <cfRule type="expression" dxfId="11681" priority="3446">
      <formula>B227=""</formula>
    </cfRule>
  </conditionalFormatting>
  <conditionalFormatting sqref="G208:G227">
    <cfRule type="expression" dxfId="11680" priority="3445">
      <formula>B208=""</formula>
    </cfRule>
  </conditionalFormatting>
  <conditionalFormatting sqref="G209 G211 G213 G215 G217 G219 G221 G223 G225 G227">
    <cfRule type="expression" dxfId="11679" priority="3444">
      <formula>B209=""</formula>
    </cfRule>
  </conditionalFormatting>
  <conditionalFormatting sqref="G210:G220">
    <cfRule type="expression" dxfId="11678" priority="3443">
      <formula>B210=""</formula>
    </cfRule>
  </conditionalFormatting>
  <conditionalFormatting sqref="G221">
    <cfRule type="expression" dxfId="11677" priority="3442">
      <formula>B221=""</formula>
    </cfRule>
  </conditionalFormatting>
  <conditionalFormatting sqref="G222">
    <cfRule type="expression" dxfId="11676" priority="3441">
      <formula>B222=""</formula>
    </cfRule>
  </conditionalFormatting>
  <conditionalFormatting sqref="G223">
    <cfRule type="expression" dxfId="11675" priority="3440">
      <formula>B223=""</formula>
    </cfRule>
  </conditionalFormatting>
  <conditionalFormatting sqref="G224">
    <cfRule type="expression" dxfId="11674" priority="3439">
      <formula>B224=""</formula>
    </cfRule>
  </conditionalFormatting>
  <conditionalFormatting sqref="G225">
    <cfRule type="expression" dxfId="11673" priority="3438">
      <formula>B225=""</formula>
    </cfRule>
  </conditionalFormatting>
  <conditionalFormatting sqref="G226">
    <cfRule type="expression" dxfId="11672" priority="3437">
      <formula>B226=""</formula>
    </cfRule>
  </conditionalFormatting>
  <conditionalFormatting sqref="G227">
    <cfRule type="expression" dxfId="11671" priority="3436">
      <formula>B227=""</formula>
    </cfRule>
  </conditionalFormatting>
  <conditionalFormatting sqref="H208 H210 H212 H214 H216 H218 H220 H222 H224 H226">
    <cfRule type="expression" dxfId="11670" priority="3435">
      <formula>B208=""</formula>
    </cfRule>
  </conditionalFormatting>
  <conditionalFormatting sqref="H209 H211 H213 H215 H217 H219 H221 H223 H225 H227">
    <cfRule type="expression" dxfId="11669" priority="3434">
      <formula>B209=""</formula>
    </cfRule>
  </conditionalFormatting>
  <conditionalFormatting sqref="H210:H220">
    <cfRule type="expression" dxfId="11668" priority="3433">
      <formula>B210=""</formula>
    </cfRule>
  </conditionalFormatting>
  <conditionalFormatting sqref="H221">
    <cfRule type="expression" dxfId="11667" priority="3432">
      <formula>B221=""</formula>
    </cfRule>
  </conditionalFormatting>
  <conditionalFormatting sqref="H222">
    <cfRule type="expression" dxfId="11666" priority="3431">
      <formula>B222=""</formula>
    </cfRule>
  </conditionalFormatting>
  <conditionalFormatting sqref="H223">
    <cfRule type="expression" dxfId="11665" priority="3430">
      <formula>B223=""</formula>
    </cfRule>
  </conditionalFormatting>
  <conditionalFormatting sqref="H224">
    <cfRule type="expression" dxfId="11664" priority="3429">
      <formula>B224=""</formula>
    </cfRule>
  </conditionalFormatting>
  <conditionalFormatting sqref="H225">
    <cfRule type="expression" dxfId="11663" priority="3428">
      <formula>B225=""</formula>
    </cfRule>
  </conditionalFormatting>
  <conditionalFormatting sqref="H226">
    <cfRule type="expression" dxfId="11662" priority="3427">
      <formula>B226=""</formula>
    </cfRule>
  </conditionalFormatting>
  <conditionalFormatting sqref="H227">
    <cfRule type="expression" dxfId="11661" priority="3426">
      <formula>B227=""</formula>
    </cfRule>
  </conditionalFormatting>
  <conditionalFormatting sqref="F208 F210 F212 F214 F216 F218 F220 F222 F224 F226">
    <cfRule type="expression" dxfId="11660" priority="3425">
      <formula>B208=""</formula>
    </cfRule>
  </conditionalFormatting>
  <conditionalFormatting sqref="F209 F211 F213 F215 F217 F219 F221 F223 F225 F227">
    <cfRule type="expression" dxfId="11659" priority="3424">
      <formula>B209=""</formula>
    </cfRule>
  </conditionalFormatting>
  <conditionalFormatting sqref="F210:F220">
    <cfRule type="expression" dxfId="11658" priority="3423">
      <formula>B210=""</formula>
    </cfRule>
  </conditionalFormatting>
  <conditionalFormatting sqref="F221">
    <cfRule type="expression" dxfId="11657" priority="3422">
      <formula>B221=""</formula>
    </cfRule>
  </conditionalFormatting>
  <conditionalFormatting sqref="F222">
    <cfRule type="expression" dxfId="11656" priority="3421">
      <formula>B222=""</formula>
    </cfRule>
  </conditionalFormatting>
  <conditionalFormatting sqref="F223">
    <cfRule type="expression" dxfId="11655" priority="3420">
      <formula>B223=""</formula>
    </cfRule>
  </conditionalFormatting>
  <conditionalFormatting sqref="F224">
    <cfRule type="expression" dxfId="11654" priority="3419">
      <formula>B224=""</formula>
    </cfRule>
  </conditionalFormatting>
  <conditionalFormatting sqref="F225">
    <cfRule type="expression" dxfId="11653" priority="3418">
      <formula>B225=""</formula>
    </cfRule>
  </conditionalFormatting>
  <conditionalFormatting sqref="F226">
    <cfRule type="expression" dxfId="11652" priority="3417">
      <formula>B226=""</formula>
    </cfRule>
  </conditionalFormatting>
  <conditionalFormatting sqref="F227">
    <cfRule type="expression" dxfId="11651" priority="3416">
      <formula>B227=""</formula>
    </cfRule>
  </conditionalFormatting>
  <conditionalFormatting sqref="C230:C249">
    <cfRule type="expression" dxfId="11650" priority="3415">
      <formula>B230=""</formula>
    </cfRule>
  </conditionalFormatting>
  <conditionalFormatting sqref="C231 C233 C235 C237 C239 C241 C243 C245 C247 C249">
    <cfRule type="expression" dxfId="11649" priority="3414">
      <formula>B231=""</formula>
    </cfRule>
  </conditionalFormatting>
  <conditionalFormatting sqref="C232:C242">
    <cfRule type="expression" dxfId="11648" priority="3413">
      <formula>B232=""</formula>
    </cfRule>
  </conditionalFormatting>
  <conditionalFormatting sqref="C243">
    <cfRule type="expression" dxfId="11647" priority="3412">
      <formula>B243=""</formula>
    </cfRule>
  </conditionalFormatting>
  <conditionalFormatting sqref="C244">
    <cfRule type="expression" dxfId="11646" priority="3411">
      <formula>B244=""</formula>
    </cfRule>
  </conditionalFormatting>
  <conditionalFormatting sqref="C245">
    <cfRule type="expression" dxfId="11645" priority="3410">
      <formula>B245=""</formula>
    </cfRule>
  </conditionalFormatting>
  <conditionalFormatting sqref="C246">
    <cfRule type="expression" dxfId="11644" priority="3409">
      <formula>B246=""</formula>
    </cfRule>
  </conditionalFormatting>
  <conditionalFormatting sqref="C247">
    <cfRule type="expression" dxfId="11643" priority="3408">
      <formula>B247=""</formula>
    </cfRule>
  </conditionalFormatting>
  <conditionalFormatting sqref="C248">
    <cfRule type="expression" dxfId="11642" priority="3407">
      <formula>B248=""</formula>
    </cfRule>
  </conditionalFormatting>
  <conditionalFormatting sqref="C249">
    <cfRule type="expression" dxfId="11641" priority="3406">
      <formula>B249=""</formula>
    </cfRule>
  </conditionalFormatting>
  <conditionalFormatting sqref="D230 D232 D234 D236 D238 D240 D242 D244 D246 D248">
    <cfRule type="expression" dxfId="11640" priority="3405">
      <formula>B230=""</formula>
    </cfRule>
  </conditionalFormatting>
  <conditionalFormatting sqref="D231 D233 D235 D237 D239 D241 D243 D245 D247 D249">
    <cfRule type="expression" dxfId="11639" priority="3404">
      <formula>B231=""</formula>
    </cfRule>
  </conditionalFormatting>
  <conditionalFormatting sqref="D232:D242">
    <cfRule type="expression" dxfId="11638" priority="3403">
      <formula>B232=""</formula>
    </cfRule>
  </conditionalFormatting>
  <conditionalFormatting sqref="D243">
    <cfRule type="expression" dxfId="11637" priority="3402">
      <formula>B243=""</formula>
    </cfRule>
  </conditionalFormatting>
  <conditionalFormatting sqref="D244">
    <cfRule type="expression" dxfId="11636" priority="3401">
      <formula>B244=""</formula>
    </cfRule>
  </conditionalFormatting>
  <conditionalFormatting sqref="D245">
    <cfRule type="expression" dxfId="11635" priority="3400">
      <formula>B245=""</formula>
    </cfRule>
  </conditionalFormatting>
  <conditionalFormatting sqref="D246">
    <cfRule type="expression" dxfId="11634" priority="3399">
      <formula>B246=""</formula>
    </cfRule>
  </conditionalFormatting>
  <conditionalFormatting sqref="D247">
    <cfRule type="expression" dxfId="11633" priority="3398">
      <formula>B247=""</formula>
    </cfRule>
  </conditionalFormatting>
  <conditionalFormatting sqref="D248">
    <cfRule type="expression" dxfId="11632" priority="3397">
      <formula>B248=""</formula>
    </cfRule>
  </conditionalFormatting>
  <conditionalFormatting sqref="D249">
    <cfRule type="expression" dxfId="11631" priority="3396">
      <formula>B249=""</formula>
    </cfRule>
  </conditionalFormatting>
  <conditionalFormatting sqref="E230 E232 E234 E236 E238 E240 E242 E244 E246 E248">
    <cfRule type="expression" dxfId="11630" priority="3395">
      <formula>B230=""</formula>
    </cfRule>
  </conditionalFormatting>
  <conditionalFormatting sqref="E231 E233 E235 E237 E239 E241 E243 E245 E247 E249">
    <cfRule type="expression" dxfId="11629" priority="3394">
      <formula>B231=""</formula>
    </cfRule>
  </conditionalFormatting>
  <conditionalFormatting sqref="E232:E242">
    <cfRule type="expression" dxfId="11628" priority="3393">
      <formula>B232=""</formula>
    </cfRule>
  </conditionalFormatting>
  <conditionalFormatting sqref="E243">
    <cfRule type="expression" dxfId="11627" priority="3392">
      <formula>B243=""</formula>
    </cfRule>
  </conditionalFormatting>
  <conditionalFormatting sqref="E244">
    <cfRule type="expression" dxfId="11626" priority="3391">
      <formula>B244=""</formula>
    </cfRule>
  </conditionalFormatting>
  <conditionalFormatting sqref="E245">
    <cfRule type="expression" dxfId="11625" priority="3390">
      <formula>B245=""</formula>
    </cfRule>
  </conditionalFormatting>
  <conditionalFormatting sqref="E246">
    <cfRule type="expression" dxfId="11624" priority="3389">
      <formula>B246=""</formula>
    </cfRule>
  </conditionalFormatting>
  <conditionalFormatting sqref="E247">
    <cfRule type="expression" dxfId="11623" priority="3388">
      <formula>B247=""</formula>
    </cfRule>
  </conditionalFormatting>
  <conditionalFormatting sqref="E248">
    <cfRule type="expression" dxfId="11622" priority="3387">
      <formula>B248=""</formula>
    </cfRule>
  </conditionalFormatting>
  <conditionalFormatting sqref="E249">
    <cfRule type="expression" dxfId="11621" priority="3386">
      <formula>B249=""</formula>
    </cfRule>
  </conditionalFormatting>
  <conditionalFormatting sqref="F230 F232 F234 F236 F238 F240 F242 F244 F246 F248">
    <cfRule type="expression" dxfId="11620" priority="3385">
      <formula>B230=""</formula>
    </cfRule>
  </conditionalFormatting>
  <conditionalFormatting sqref="F231 F233 F235 F237 F239 F241 F243 F245 F247 F249">
    <cfRule type="expression" dxfId="11619" priority="3384">
      <formula>B231=""</formula>
    </cfRule>
  </conditionalFormatting>
  <conditionalFormatting sqref="F232:F242">
    <cfRule type="expression" dxfId="11618" priority="3383">
      <formula>B232=""</formula>
    </cfRule>
  </conditionalFormatting>
  <conditionalFormatting sqref="F243">
    <cfRule type="expression" dxfId="11617" priority="3382">
      <formula>B243=""</formula>
    </cfRule>
  </conditionalFormatting>
  <conditionalFormatting sqref="F244">
    <cfRule type="expression" dxfId="11616" priority="3381">
      <formula>B244=""</formula>
    </cfRule>
  </conditionalFormatting>
  <conditionalFormatting sqref="F245">
    <cfRule type="expression" dxfId="11615" priority="3380">
      <formula>B245=""</formula>
    </cfRule>
  </conditionalFormatting>
  <conditionalFormatting sqref="F246">
    <cfRule type="expression" dxfId="11614" priority="3379">
      <formula>B246=""</formula>
    </cfRule>
  </conditionalFormatting>
  <conditionalFormatting sqref="F247">
    <cfRule type="expression" dxfId="11613" priority="3378">
      <formula>B247=""</formula>
    </cfRule>
  </conditionalFormatting>
  <conditionalFormatting sqref="F248">
    <cfRule type="expression" dxfId="11612" priority="3377">
      <formula>B248=""</formula>
    </cfRule>
  </conditionalFormatting>
  <conditionalFormatting sqref="F249">
    <cfRule type="expression" dxfId="11611" priority="3376">
      <formula>B249=""</formula>
    </cfRule>
  </conditionalFormatting>
  <conditionalFormatting sqref="E231 E233 E235 E237 E239 E241 E243 E245 E247 E249">
    <cfRule type="expression" dxfId="11610" priority="3375">
      <formula>B231=""</formula>
    </cfRule>
  </conditionalFormatting>
  <conditionalFormatting sqref="E232:E242">
    <cfRule type="expression" dxfId="11609" priority="3374">
      <formula>B232=""</formula>
    </cfRule>
  </conditionalFormatting>
  <conditionalFormatting sqref="E243">
    <cfRule type="expression" dxfId="11608" priority="3373">
      <formula>B243=""</formula>
    </cfRule>
  </conditionalFormatting>
  <conditionalFormatting sqref="E244">
    <cfRule type="expression" dxfId="11607" priority="3372">
      <formula>B244=""</formula>
    </cfRule>
  </conditionalFormatting>
  <conditionalFormatting sqref="E245">
    <cfRule type="expression" dxfId="11606" priority="3371">
      <formula>B245=""</formula>
    </cfRule>
  </conditionalFormatting>
  <conditionalFormatting sqref="E246">
    <cfRule type="expression" dxfId="11605" priority="3370">
      <formula>B246=""</formula>
    </cfRule>
  </conditionalFormatting>
  <conditionalFormatting sqref="E247">
    <cfRule type="expression" dxfId="11604" priority="3369">
      <formula>B247=""</formula>
    </cfRule>
  </conditionalFormatting>
  <conditionalFormatting sqref="E248">
    <cfRule type="expression" dxfId="11603" priority="3368">
      <formula>B248=""</formula>
    </cfRule>
  </conditionalFormatting>
  <conditionalFormatting sqref="E249">
    <cfRule type="expression" dxfId="11602" priority="3367">
      <formula>B249=""</formula>
    </cfRule>
  </conditionalFormatting>
  <conditionalFormatting sqref="G230 G232 G234 G236 G238 G240 G242 G244 G246 G248">
    <cfRule type="expression" dxfId="11601" priority="3366">
      <formula>B230=""</formula>
    </cfRule>
  </conditionalFormatting>
  <conditionalFormatting sqref="G231 G233 G235 G237 G239 G241 G243 G245 G247 G249">
    <cfRule type="expression" dxfId="11600" priority="3365">
      <formula>B231=""</formula>
    </cfRule>
  </conditionalFormatting>
  <conditionalFormatting sqref="G232:G242">
    <cfRule type="expression" dxfId="11599" priority="3364">
      <formula>B232=""</formula>
    </cfRule>
  </conditionalFormatting>
  <conditionalFormatting sqref="G243">
    <cfRule type="expression" dxfId="11598" priority="3363">
      <formula>B243=""</formula>
    </cfRule>
  </conditionalFormatting>
  <conditionalFormatting sqref="G244">
    <cfRule type="expression" dxfId="11597" priority="3362">
      <formula>B244=""</formula>
    </cfRule>
  </conditionalFormatting>
  <conditionalFormatting sqref="G245">
    <cfRule type="expression" dxfId="11596" priority="3361">
      <formula>B245=""</formula>
    </cfRule>
  </conditionalFormatting>
  <conditionalFormatting sqref="G246">
    <cfRule type="expression" dxfId="11595" priority="3360">
      <formula>B246=""</formula>
    </cfRule>
  </conditionalFormatting>
  <conditionalFormatting sqref="G247">
    <cfRule type="expression" dxfId="11594" priority="3359">
      <formula>B247=""</formula>
    </cfRule>
  </conditionalFormatting>
  <conditionalFormatting sqref="G248">
    <cfRule type="expression" dxfId="11593" priority="3358">
      <formula>B248=""</formula>
    </cfRule>
  </conditionalFormatting>
  <conditionalFormatting sqref="G249">
    <cfRule type="expression" dxfId="11592" priority="3357">
      <formula>B249=""</formula>
    </cfRule>
  </conditionalFormatting>
  <conditionalFormatting sqref="H230 H232 H234 H236 H238 H240 H242 H244 H246 H248">
    <cfRule type="expression" dxfId="11591" priority="3356">
      <formula>B230=""</formula>
    </cfRule>
  </conditionalFormatting>
  <conditionalFormatting sqref="H231 H233 H235 H237 H239 H241 H243 H245 H247 H249">
    <cfRule type="expression" dxfId="11590" priority="3355">
      <formula>B231=""</formula>
    </cfRule>
  </conditionalFormatting>
  <conditionalFormatting sqref="H232:H242">
    <cfRule type="expression" dxfId="11589" priority="3354">
      <formula>B232=""</formula>
    </cfRule>
  </conditionalFormatting>
  <conditionalFormatting sqref="H243">
    <cfRule type="expression" dxfId="11588" priority="3353">
      <formula>B243=""</formula>
    </cfRule>
  </conditionalFormatting>
  <conditionalFormatting sqref="H244">
    <cfRule type="expression" dxfId="11587" priority="3352">
      <formula>B244=""</formula>
    </cfRule>
  </conditionalFormatting>
  <conditionalFormatting sqref="H245">
    <cfRule type="expression" dxfId="11586" priority="3351">
      <formula>B245=""</formula>
    </cfRule>
  </conditionalFormatting>
  <conditionalFormatting sqref="H246">
    <cfRule type="expression" dxfId="11585" priority="3350">
      <formula>B246=""</formula>
    </cfRule>
  </conditionalFormatting>
  <conditionalFormatting sqref="H247">
    <cfRule type="expression" dxfId="11584" priority="3349">
      <formula>B247=""</formula>
    </cfRule>
  </conditionalFormatting>
  <conditionalFormatting sqref="H248">
    <cfRule type="expression" dxfId="11583" priority="3348">
      <formula>B248=""</formula>
    </cfRule>
  </conditionalFormatting>
  <conditionalFormatting sqref="H249">
    <cfRule type="expression" dxfId="11582" priority="3347">
      <formula>B249=""</formula>
    </cfRule>
  </conditionalFormatting>
  <conditionalFormatting sqref="C230:C249">
    <cfRule type="expression" dxfId="11581" priority="3346">
      <formula>B230=""</formula>
    </cfRule>
  </conditionalFormatting>
  <conditionalFormatting sqref="C231 C233 C235 C237 C239 C241 C243 C245 C247 C249">
    <cfRule type="expression" dxfId="11580" priority="3345">
      <formula>B231=""</formula>
    </cfRule>
  </conditionalFormatting>
  <conditionalFormatting sqref="C232:C242">
    <cfRule type="expression" dxfId="11579" priority="3344">
      <formula>B232=""</formula>
    </cfRule>
  </conditionalFormatting>
  <conditionalFormatting sqref="C243">
    <cfRule type="expression" dxfId="11578" priority="3343">
      <formula>B243=""</formula>
    </cfRule>
  </conditionalFormatting>
  <conditionalFormatting sqref="C244">
    <cfRule type="expression" dxfId="11577" priority="3342">
      <formula>B244=""</formula>
    </cfRule>
  </conditionalFormatting>
  <conditionalFormatting sqref="C245">
    <cfRule type="expression" dxfId="11576" priority="3341">
      <formula>B245=""</formula>
    </cfRule>
  </conditionalFormatting>
  <conditionalFormatting sqref="C246">
    <cfRule type="expression" dxfId="11575" priority="3340">
      <formula>B246=""</formula>
    </cfRule>
  </conditionalFormatting>
  <conditionalFormatting sqref="C247">
    <cfRule type="expression" dxfId="11574" priority="3339">
      <formula>B247=""</formula>
    </cfRule>
  </conditionalFormatting>
  <conditionalFormatting sqref="C248">
    <cfRule type="expression" dxfId="11573" priority="3338">
      <formula>B248=""</formula>
    </cfRule>
  </conditionalFormatting>
  <conditionalFormatting sqref="C249">
    <cfRule type="expression" dxfId="11572" priority="3337">
      <formula>B249=""</formula>
    </cfRule>
  </conditionalFormatting>
  <conditionalFormatting sqref="C230 C232 C234 C236 C238 C240 C242 C244 C246 C248">
    <cfRule type="expression" dxfId="11571" priority="3336">
      <formula>B230=""</formula>
    </cfRule>
  </conditionalFormatting>
  <conditionalFormatting sqref="C231 C233 C235 C237 C239 C241 C243 C245 C247 C249">
    <cfRule type="expression" dxfId="11570" priority="3335">
      <formula>B231=""</formula>
    </cfRule>
  </conditionalFormatting>
  <conditionalFormatting sqref="C232:C242">
    <cfRule type="expression" dxfId="11569" priority="3334">
      <formula>B232=""</formula>
    </cfRule>
  </conditionalFormatting>
  <conditionalFormatting sqref="C243">
    <cfRule type="expression" dxfId="11568" priority="3333">
      <formula>B243=""</formula>
    </cfRule>
  </conditionalFormatting>
  <conditionalFormatting sqref="C244">
    <cfRule type="expression" dxfId="11567" priority="3332">
      <formula>B244=""</formula>
    </cfRule>
  </conditionalFormatting>
  <conditionalFormatting sqref="C245">
    <cfRule type="expression" dxfId="11566" priority="3331">
      <formula>B245=""</formula>
    </cfRule>
  </conditionalFormatting>
  <conditionalFormatting sqref="C246">
    <cfRule type="expression" dxfId="11565" priority="3330">
      <formula>B246=""</formula>
    </cfRule>
  </conditionalFormatting>
  <conditionalFormatting sqref="C247">
    <cfRule type="expression" dxfId="11564" priority="3329">
      <formula>B247=""</formula>
    </cfRule>
  </conditionalFormatting>
  <conditionalFormatting sqref="C248">
    <cfRule type="expression" dxfId="11563" priority="3328">
      <formula>B248=""</formula>
    </cfRule>
  </conditionalFormatting>
  <conditionalFormatting sqref="C249">
    <cfRule type="expression" dxfId="11562" priority="3327">
      <formula>B249=""</formula>
    </cfRule>
  </conditionalFormatting>
  <conditionalFormatting sqref="D230 D232 D234 D236 D238 D240 D242 D244 D246 D248">
    <cfRule type="expression" dxfId="11561" priority="3326">
      <formula>B230=""</formula>
    </cfRule>
  </conditionalFormatting>
  <conditionalFormatting sqref="D231 D233 D235 D237 D239 D241 D243 D245 D247 D249">
    <cfRule type="expression" dxfId="11560" priority="3325">
      <formula>B231=""</formula>
    </cfRule>
  </conditionalFormatting>
  <conditionalFormatting sqref="D232:D242">
    <cfRule type="expression" dxfId="11559" priority="3324">
      <formula>B232=""</formula>
    </cfRule>
  </conditionalFormatting>
  <conditionalFormatting sqref="D243">
    <cfRule type="expression" dxfId="11558" priority="3323">
      <formula>B243=""</formula>
    </cfRule>
  </conditionalFormatting>
  <conditionalFormatting sqref="D244">
    <cfRule type="expression" dxfId="11557" priority="3322">
      <formula>B244=""</formula>
    </cfRule>
  </conditionalFormatting>
  <conditionalFormatting sqref="D245">
    <cfRule type="expression" dxfId="11556" priority="3321">
      <formula>B245=""</formula>
    </cfRule>
  </conditionalFormatting>
  <conditionalFormatting sqref="D246">
    <cfRule type="expression" dxfId="11555" priority="3320">
      <formula>B246=""</formula>
    </cfRule>
  </conditionalFormatting>
  <conditionalFormatting sqref="D247">
    <cfRule type="expression" dxfId="11554" priority="3319">
      <formula>B247=""</formula>
    </cfRule>
  </conditionalFormatting>
  <conditionalFormatting sqref="D248">
    <cfRule type="expression" dxfId="11553" priority="3318">
      <formula>B248=""</formula>
    </cfRule>
  </conditionalFormatting>
  <conditionalFormatting sqref="D249">
    <cfRule type="expression" dxfId="11552" priority="3317">
      <formula>B249=""</formula>
    </cfRule>
  </conditionalFormatting>
  <conditionalFormatting sqref="E230:E249">
    <cfRule type="expression" dxfId="11551" priority="3316">
      <formula>B230=""</formula>
    </cfRule>
  </conditionalFormatting>
  <conditionalFormatting sqref="E231 E233 E235 E237 E239 E241 E243 E245 E247 E249">
    <cfRule type="expression" dxfId="11550" priority="3315">
      <formula>B231=""</formula>
    </cfRule>
  </conditionalFormatting>
  <conditionalFormatting sqref="E232:E242">
    <cfRule type="expression" dxfId="11549" priority="3314">
      <formula>B232=""</formula>
    </cfRule>
  </conditionalFormatting>
  <conditionalFormatting sqref="E243">
    <cfRule type="expression" dxfId="11548" priority="3313">
      <formula>B243=""</formula>
    </cfRule>
  </conditionalFormatting>
  <conditionalFormatting sqref="E244">
    <cfRule type="expression" dxfId="11547" priority="3312">
      <formula>B244=""</formula>
    </cfRule>
  </conditionalFormatting>
  <conditionalFormatting sqref="E245">
    <cfRule type="expression" dxfId="11546" priority="3311">
      <formula>B245=""</formula>
    </cfRule>
  </conditionalFormatting>
  <conditionalFormatting sqref="E246">
    <cfRule type="expression" dxfId="11545" priority="3310">
      <formula>B246=""</formula>
    </cfRule>
  </conditionalFormatting>
  <conditionalFormatting sqref="E247">
    <cfRule type="expression" dxfId="11544" priority="3309">
      <formula>B247=""</formula>
    </cfRule>
  </conditionalFormatting>
  <conditionalFormatting sqref="E248">
    <cfRule type="expression" dxfId="11543" priority="3308">
      <formula>B248=""</formula>
    </cfRule>
  </conditionalFormatting>
  <conditionalFormatting sqref="E249">
    <cfRule type="expression" dxfId="11542" priority="3307">
      <formula>B249=""</formula>
    </cfRule>
  </conditionalFormatting>
  <conditionalFormatting sqref="F230:F249">
    <cfRule type="expression" dxfId="11541" priority="3306">
      <formula>B230=""</formula>
    </cfRule>
  </conditionalFormatting>
  <conditionalFormatting sqref="F231 F233 F235 F237 F239 F241 F243 F245 F247 F249">
    <cfRule type="expression" dxfId="11540" priority="3305">
      <formula>B231=""</formula>
    </cfRule>
  </conditionalFormatting>
  <conditionalFormatting sqref="F232:F242">
    <cfRule type="expression" dxfId="11539" priority="3304">
      <formula>B232=""</formula>
    </cfRule>
  </conditionalFormatting>
  <conditionalFormatting sqref="F243">
    <cfRule type="expression" dxfId="11538" priority="3303">
      <formula>B243=""</formula>
    </cfRule>
  </conditionalFormatting>
  <conditionalFormatting sqref="F244">
    <cfRule type="expression" dxfId="11537" priority="3302">
      <formula>B244=""</formula>
    </cfRule>
  </conditionalFormatting>
  <conditionalFormatting sqref="F245">
    <cfRule type="expression" dxfId="11536" priority="3301">
      <formula>B245=""</formula>
    </cfRule>
  </conditionalFormatting>
  <conditionalFormatting sqref="F246">
    <cfRule type="expression" dxfId="11535" priority="3300">
      <formula>B246=""</formula>
    </cfRule>
  </conditionalFormatting>
  <conditionalFormatting sqref="F247">
    <cfRule type="expression" dxfId="11534" priority="3299">
      <formula>B247=""</formula>
    </cfRule>
  </conditionalFormatting>
  <conditionalFormatting sqref="F248">
    <cfRule type="expression" dxfId="11533" priority="3298">
      <formula>B248=""</formula>
    </cfRule>
  </conditionalFormatting>
  <conditionalFormatting sqref="F249">
    <cfRule type="expression" dxfId="11532" priority="3297">
      <formula>B249=""</formula>
    </cfRule>
  </conditionalFormatting>
  <conditionalFormatting sqref="E231 E233 E235 E237 E239 E241 E243 E245 E247 E249">
    <cfRule type="expression" dxfId="11531" priority="3296">
      <formula>B231=""</formula>
    </cfRule>
  </conditionalFormatting>
  <conditionalFormatting sqref="E232:E242">
    <cfRule type="expression" dxfId="11530" priority="3295">
      <formula>B232=""</formula>
    </cfRule>
  </conditionalFormatting>
  <conditionalFormatting sqref="E243">
    <cfRule type="expression" dxfId="11529" priority="3294">
      <formula>B243=""</formula>
    </cfRule>
  </conditionalFormatting>
  <conditionalFormatting sqref="E244">
    <cfRule type="expression" dxfId="11528" priority="3293">
      <formula>B244=""</formula>
    </cfRule>
  </conditionalFormatting>
  <conditionalFormatting sqref="E245">
    <cfRule type="expression" dxfId="11527" priority="3292">
      <formula>B245=""</formula>
    </cfRule>
  </conditionalFormatting>
  <conditionalFormatting sqref="E246">
    <cfRule type="expression" dxfId="11526" priority="3291">
      <formula>B246=""</formula>
    </cfRule>
  </conditionalFormatting>
  <conditionalFormatting sqref="E247">
    <cfRule type="expression" dxfId="11525" priority="3290">
      <formula>B247=""</formula>
    </cfRule>
  </conditionalFormatting>
  <conditionalFormatting sqref="E248">
    <cfRule type="expression" dxfId="11524" priority="3289">
      <formula>B248=""</formula>
    </cfRule>
  </conditionalFormatting>
  <conditionalFormatting sqref="E249">
    <cfRule type="expression" dxfId="11523" priority="3288">
      <formula>B249=""</formula>
    </cfRule>
  </conditionalFormatting>
  <conditionalFormatting sqref="G230:G249">
    <cfRule type="expression" dxfId="11522" priority="3287">
      <formula>B230=""</formula>
    </cfRule>
  </conditionalFormatting>
  <conditionalFormatting sqref="G231 G233 G235 G237 G239 G241 G243 G245 G247 G249">
    <cfRule type="expression" dxfId="11521" priority="3286">
      <formula>B231=""</formula>
    </cfRule>
  </conditionalFormatting>
  <conditionalFormatting sqref="G232:G242">
    <cfRule type="expression" dxfId="11520" priority="3285">
      <formula>B232=""</formula>
    </cfRule>
  </conditionalFormatting>
  <conditionalFormatting sqref="G243">
    <cfRule type="expression" dxfId="11519" priority="3284">
      <formula>B243=""</formula>
    </cfRule>
  </conditionalFormatting>
  <conditionalFormatting sqref="G244">
    <cfRule type="expression" dxfId="11518" priority="3283">
      <formula>B244=""</formula>
    </cfRule>
  </conditionalFormatting>
  <conditionalFormatting sqref="G245">
    <cfRule type="expression" dxfId="11517" priority="3282">
      <formula>B245=""</formula>
    </cfRule>
  </conditionalFormatting>
  <conditionalFormatting sqref="G246">
    <cfRule type="expression" dxfId="11516" priority="3281">
      <formula>B246=""</formula>
    </cfRule>
  </conditionalFormatting>
  <conditionalFormatting sqref="G247">
    <cfRule type="expression" dxfId="11515" priority="3280">
      <formula>B247=""</formula>
    </cfRule>
  </conditionalFormatting>
  <conditionalFormatting sqref="G248">
    <cfRule type="expression" dxfId="11514" priority="3279">
      <formula>B248=""</formula>
    </cfRule>
  </conditionalFormatting>
  <conditionalFormatting sqref="G249">
    <cfRule type="expression" dxfId="11513" priority="3278">
      <formula>B249=""</formula>
    </cfRule>
  </conditionalFormatting>
  <conditionalFormatting sqref="H230 H232 H234 H236 H238 H240 H242 H244 H246 H248">
    <cfRule type="expression" dxfId="11512" priority="3277">
      <formula>B230=""</formula>
    </cfRule>
  </conditionalFormatting>
  <conditionalFormatting sqref="H231 H233 H235 H237 H239 H241 H243 H245 H247 H249">
    <cfRule type="expression" dxfId="11511" priority="3276">
      <formula>B231=""</formula>
    </cfRule>
  </conditionalFormatting>
  <conditionalFormatting sqref="H232:H242">
    <cfRule type="expression" dxfId="11510" priority="3275">
      <formula>B232=""</formula>
    </cfRule>
  </conditionalFormatting>
  <conditionalFormatting sqref="H243">
    <cfRule type="expression" dxfId="11509" priority="3274">
      <formula>B243=""</formula>
    </cfRule>
  </conditionalFormatting>
  <conditionalFormatting sqref="H244">
    <cfRule type="expression" dxfId="11508" priority="3273">
      <formula>B244=""</formula>
    </cfRule>
  </conditionalFormatting>
  <conditionalFormatting sqref="H245">
    <cfRule type="expression" dxfId="11507" priority="3272">
      <formula>B245=""</formula>
    </cfRule>
  </conditionalFormatting>
  <conditionalFormatting sqref="H246">
    <cfRule type="expression" dxfId="11506" priority="3271">
      <formula>B246=""</formula>
    </cfRule>
  </conditionalFormatting>
  <conditionalFormatting sqref="H247">
    <cfRule type="expression" dxfId="11505" priority="3270">
      <formula>B247=""</formula>
    </cfRule>
  </conditionalFormatting>
  <conditionalFormatting sqref="H248">
    <cfRule type="expression" dxfId="11504" priority="3269">
      <formula>B248=""</formula>
    </cfRule>
  </conditionalFormatting>
  <conditionalFormatting sqref="H249">
    <cfRule type="expression" dxfId="11503" priority="3268">
      <formula>B249=""</formula>
    </cfRule>
  </conditionalFormatting>
  <conditionalFormatting sqref="F230 F232 F234 F236 F238 F240 F242 F244 F246 F248">
    <cfRule type="expression" dxfId="11502" priority="3267">
      <formula>B230=""</formula>
    </cfRule>
  </conditionalFormatting>
  <conditionalFormatting sqref="F231 F233 F235 F237 F239 F241 F243 F245 F247 F249">
    <cfRule type="expression" dxfId="11501" priority="3266">
      <formula>B231=""</formula>
    </cfRule>
  </conditionalFormatting>
  <conditionalFormatting sqref="F232:F242">
    <cfRule type="expression" dxfId="11500" priority="3265">
      <formula>B232=""</formula>
    </cfRule>
  </conditionalFormatting>
  <conditionalFormatting sqref="F243">
    <cfRule type="expression" dxfId="11499" priority="3264">
      <formula>B243=""</formula>
    </cfRule>
  </conditionalFormatting>
  <conditionalFormatting sqref="F244">
    <cfRule type="expression" dxfId="11498" priority="3263">
      <formula>B244=""</formula>
    </cfRule>
  </conditionalFormatting>
  <conditionalFormatting sqref="F245">
    <cfRule type="expression" dxfId="11497" priority="3262">
      <formula>B245=""</formula>
    </cfRule>
  </conditionalFormatting>
  <conditionalFormatting sqref="F246">
    <cfRule type="expression" dxfId="11496" priority="3261">
      <formula>B246=""</formula>
    </cfRule>
  </conditionalFormatting>
  <conditionalFormatting sqref="F247">
    <cfRule type="expression" dxfId="11495" priority="3260">
      <formula>B247=""</formula>
    </cfRule>
  </conditionalFormatting>
  <conditionalFormatting sqref="F248">
    <cfRule type="expression" dxfId="11494" priority="3259">
      <formula>B248=""</formula>
    </cfRule>
  </conditionalFormatting>
  <conditionalFormatting sqref="F249">
    <cfRule type="expression" dxfId="11493" priority="3258">
      <formula>B249=""</formula>
    </cfRule>
  </conditionalFormatting>
  <conditionalFormatting sqref="C252:C271">
    <cfRule type="expression" dxfId="11492" priority="3257">
      <formula>B252=""</formula>
    </cfRule>
  </conditionalFormatting>
  <conditionalFormatting sqref="C253 C255 C257 C259 C261 C263 C265 C267 C269 C271">
    <cfRule type="expression" dxfId="11491" priority="3256">
      <formula>B253=""</formula>
    </cfRule>
  </conditionalFormatting>
  <conditionalFormatting sqref="C254:C264">
    <cfRule type="expression" dxfId="11490" priority="3255">
      <formula>B254=""</formula>
    </cfRule>
  </conditionalFormatting>
  <conditionalFormatting sqref="C265">
    <cfRule type="expression" dxfId="11489" priority="3254">
      <formula>B265=""</formula>
    </cfRule>
  </conditionalFormatting>
  <conditionalFormatting sqref="C266">
    <cfRule type="expression" dxfId="11488" priority="3253">
      <formula>B266=""</formula>
    </cfRule>
  </conditionalFormatting>
  <conditionalFormatting sqref="C267">
    <cfRule type="expression" dxfId="11487" priority="3252">
      <formula>B267=""</formula>
    </cfRule>
  </conditionalFormatting>
  <conditionalFormatting sqref="C268">
    <cfRule type="expression" dxfId="11486" priority="3251">
      <formula>B268=""</formula>
    </cfRule>
  </conditionalFormatting>
  <conditionalFormatting sqref="C269">
    <cfRule type="expression" dxfId="11485" priority="3250">
      <formula>B269=""</formula>
    </cfRule>
  </conditionalFormatting>
  <conditionalFormatting sqref="C270">
    <cfRule type="expression" dxfId="11484" priority="3249">
      <formula>B270=""</formula>
    </cfRule>
  </conditionalFormatting>
  <conditionalFormatting sqref="C271">
    <cfRule type="expression" dxfId="11483" priority="3248">
      <formula>B271=""</formula>
    </cfRule>
  </conditionalFormatting>
  <conditionalFormatting sqref="C271">
    <cfRule type="expression" dxfId="11482" priority="3247">
      <formula>B271=""</formula>
    </cfRule>
  </conditionalFormatting>
  <conditionalFormatting sqref="C252:C271">
    <cfRule type="expression" dxfId="11481" priority="3246">
      <formula>B252=""</formula>
    </cfRule>
  </conditionalFormatting>
  <conditionalFormatting sqref="C253 C255 C257 C259 C261 C263 C265 C267 C269 C271">
    <cfRule type="expression" dxfId="11480" priority="3245">
      <formula>B253=""</formula>
    </cfRule>
  </conditionalFormatting>
  <conditionalFormatting sqref="C254:C264">
    <cfRule type="expression" dxfId="11479" priority="3244">
      <formula>B254=""</formula>
    </cfRule>
  </conditionalFormatting>
  <conditionalFormatting sqref="C265">
    <cfRule type="expression" dxfId="11478" priority="3243">
      <formula>B265=""</formula>
    </cfRule>
  </conditionalFormatting>
  <conditionalFormatting sqref="C266">
    <cfRule type="expression" dxfId="11477" priority="3242">
      <formula>B266=""</formula>
    </cfRule>
  </conditionalFormatting>
  <conditionalFormatting sqref="C267">
    <cfRule type="expression" dxfId="11476" priority="3241">
      <formula>B267=""</formula>
    </cfRule>
  </conditionalFormatting>
  <conditionalFormatting sqref="C268">
    <cfRule type="expression" dxfId="11475" priority="3240">
      <formula>B268=""</formula>
    </cfRule>
  </conditionalFormatting>
  <conditionalFormatting sqref="C269">
    <cfRule type="expression" dxfId="11474" priority="3239">
      <formula>B269=""</formula>
    </cfRule>
  </conditionalFormatting>
  <conditionalFormatting sqref="C270">
    <cfRule type="expression" dxfId="11473" priority="3238">
      <formula>B270=""</formula>
    </cfRule>
  </conditionalFormatting>
  <conditionalFormatting sqref="C271">
    <cfRule type="expression" dxfId="11472" priority="3237">
      <formula>B271=""</formula>
    </cfRule>
  </conditionalFormatting>
  <conditionalFormatting sqref="C252:C271">
    <cfRule type="expression" dxfId="11471" priority="3236">
      <formula>B252=""</formula>
    </cfRule>
  </conditionalFormatting>
  <conditionalFormatting sqref="C253 C255 C257 C259 C261 C263 C265 C267 C269 C271">
    <cfRule type="expression" dxfId="11470" priority="3235">
      <formula>B253=""</formula>
    </cfRule>
  </conditionalFormatting>
  <conditionalFormatting sqref="C254:C264">
    <cfRule type="expression" dxfId="11469" priority="3234">
      <formula>B254=""</formula>
    </cfRule>
  </conditionalFormatting>
  <conditionalFormatting sqref="C265">
    <cfRule type="expression" dxfId="11468" priority="3233">
      <formula>B265=""</formula>
    </cfRule>
  </conditionalFormatting>
  <conditionalFormatting sqref="C266">
    <cfRule type="expression" dxfId="11467" priority="3232">
      <formula>B266=""</formula>
    </cfRule>
  </conditionalFormatting>
  <conditionalFormatting sqref="C267">
    <cfRule type="expression" dxfId="11466" priority="3231">
      <formula>B267=""</formula>
    </cfRule>
  </conditionalFormatting>
  <conditionalFormatting sqref="C268">
    <cfRule type="expression" dxfId="11465" priority="3230">
      <formula>B268=""</formula>
    </cfRule>
  </conditionalFormatting>
  <conditionalFormatting sqref="C269">
    <cfRule type="expression" dxfId="11464" priority="3229">
      <formula>B269=""</formula>
    </cfRule>
  </conditionalFormatting>
  <conditionalFormatting sqref="C270">
    <cfRule type="expression" dxfId="11463" priority="3228">
      <formula>B270=""</formula>
    </cfRule>
  </conditionalFormatting>
  <conditionalFormatting sqref="C271">
    <cfRule type="expression" dxfId="11462" priority="3227">
      <formula>B271=""</formula>
    </cfRule>
  </conditionalFormatting>
  <conditionalFormatting sqref="C252:C271">
    <cfRule type="expression" dxfId="11461" priority="3226">
      <formula>B252=""</formula>
    </cfRule>
  </conditionalFormatting>
  <conditionalFormatting sqref="C253 C255 C257 C259 C261 C263 C265 C267 C269 C271">
    <cfRule type="expression" dxfId="11460" priority="3225">
      <formula>B253=""</formula>
    </cfRule>
  </conditionalFormatting>
  <conditionalFormatting sqref="C254:C264">
    <cfRule type="expression" dxfId="11459" priority="3224">
      <formula>B254=""</formula>
    </cfRule>
  </conditionalFormatting>
  <conditionalFormatting sqref="C265">
    <cfRule type="expression" dxfId="11458" priority="3223">
      <formula>B265=""</formula>
    </cfRule>
  </conditionalFormatting>
  <conditionalFormatting sqref="C266">
    <cfRule type="expression" dxfId="11457" priority="3222">
      <formula>B266=""</formula>
    </cfRule>
  </conditionalFormatting>
  <conditionalFormatting sqref="C267">
    <cfRule type="expression" dxfId="11456" priority="3221">
      <formula>B267=""</formula>
    </cfRule>
  </conditionalFormatting>
  <conditionalFormatting sqref="C268">
    <cfRule type="expression" dxfId="11455" priority="3220">
      <formula>B268=""</formula>
    </cfRule>
  </conditionalFormatting>
  <conditionalFormatting sqref="C269">
    <cfRule type="expression" dxfId="11454" priority="3219">
      <formula>B269=""</formula>
    </cfRule>
  </conditionalFormatting>
  <conditionalFormatting sqref="C270">
    <cfRule type="expression" dxfId="11453" priority="3218">
      <formula>B270=""</formula>
    </cfRule>
  </conditionalFormatting>
  <conditionalFormatting sqref="C271">
    <cfRule type="expression" dxfId="11452" priority="3217">
      <formula>B271=""</formula>
    </cfRule>
  </conditionalFormatting>
  <conditionalFormatting sqref="C252 C254 C256 C258 C260 C262 C264 C266 C268 C270">
    <cfRule type="expression" dxfId="11451" priority="3216">
      <formula>B252=""</formula>
    </cfRule>
  </conditionalFormatting>
  <conditionalFormatting sqref="C253 C255 C257 C259 C261 C263 C265 C267 C269 C271">
    <cfRule type="expression" dxfId="11450" priority="3215">
      <formula>B253=""</formula>
    </cfRule>
  </conditionalFormatting>
  <conditionalFormatting sqref="C254:C264">
    <cfRule type="expression" dxfId="11449" priority="3214">
      <formula>B254=""</formula>
    </cfRule>
  </conditionalFormatting>
  <conditionalFormatting sqref="C265">
    <cfRule type="expression" dxfId="11448" priority="3213">
      <formula>B265=""</formula>
    </cfRule>
  </conditionalFormatting>
  <conditionalFormatting sqref="C266">
    <cfRule type="expression" dxfId="11447" priority="3212">
      <formula>B266=""</formula>
    </cfRule>
  </conditionalFormatting>
  <conditionalFormatting sqref="C267">
    <cfRule type="expression" dxfId="11446" priority="3211">
      <formula>B267=""</formula>
    </cfRule>
  </conditionalFormatting>
  <conditionalFormatting sqref="C268">
    <cfRule type="expression" dxfId="11445" priority="3210">
      <formula>B268=""</formula>
    </cfRule>
  </conditionalFormatting>
  <conditionalFormatting sqref="C269">
    <cfRule type="expression" dxfId="11444" priority="3209">
      <formula>B269=""</formula>
    </cfRule>
  </conditionalFormatting>
  <conditionalFormatting sqref="C270">
    <cfRule type="expression" dxfId="11443" priority="3208">
      <formula>B270=""</formula>
    </cfRule>
  </conditionalFormatting>
  <conditionalFormatting sqref="C271">
    <cfRule type="expression" dxfId="11442" priority="3207">
      <formula>B271=""</formula>
    </cfRule>
  </conditionalFormatting>
  <conditionalFormatting sqref="C274:C293">
    <cfRule type="expression" dxfId="11441" priority="3206">
      <formula>B274=""</formula>
    </cfRule>
  </conditionalFormatting>
  <conditionalFormatting sqref="C275 C277 C279 C281 C283 C285 C287 C289 C291 C293">
    <cfRule type="expression" dxfId="11440" priority="3205">
      <formula>B275=""</formula>
    </cfRule>
  </conditionalFormatting>
  <conditionalFormatting sqref="C276:C286">
    <cfRule type="expression" dxfId="11439" priority="3204">
      <formula>B276=""</formula>
    </cfRule>
  </conditionalFormatting>
  <conditionalFormatting sqref="C287">
    <cfRule type="expression" dxfId="11438" priority="3203">
      <formula>B287=""</formula>
    </cfRule>
  </conditionalFormatting>
  <conditionalFormatting sqref="C288">
    <cfRule type="expression" dxfId="11437" priority="3202">
      <formula>B288=""</formula>
    </cfRule>
  </conditionalFormatting>
  <conditionalFormatting sqref="C289">
    <cfRule type="expression" dxfId="11436" priority="3201">
      <formula>B289=""</formula>
    </cfRule>
  </conditionalFormatting>
  <conditionalFormatting sqref="C290">
    <cfRule type="expression" dxfId="11435" priority="3200">
      <formula>B290=""</formula>
    </cfRule>
  </conditionalFormatting>
  <conditionalFormatting sqref="C291">
    <cfRule type="expression" dxfId="11434" priority="3199">
      <formula>B291=""</formula>
    </cfRule>
  </conditionalFormatting>
  <conditionalFormatting sqref="C292">
    <cfRule type="expression" dxfId="11433" priority="3198">
      <formula>B292=""</formula>
    </cfRule>
  </conditionalFormatting>
  <conditionalFormatting sqref="C293">
    <cfRule type="expression" dxfId="11432" priority="3197">
      <formula>B293=""</formula>
    </cfRule>
  </conditionalFormatting>
  <conditionalFormatting sqref="C293">
    <cfRule type="expression" dxfId="11431" priority="3196">
      <formula>B293=""</formula>
    </cfRule>
  </conditionalFormatting>
  <conditionalFormatting sqref="C274:C293">
    <cfRule type="expression" dxfId="11430" priority="3195">
      <formula>B274=""</formula>
    </cfRule>
  </conditionalFormatting>
  <conditionalFormatting sqref="C275 C277 C279 C281 C283 C285 C287 C289 C291 C293">
    <cfRule type="expression" dxfId="11429" priority="3194">
      <formula>B275=""</formula>
    </cfRule>
  </conditionalFormatting>
  <conditionalFormatting sqref="C276:C286">
    <cfRule type="expression" dxfId="11428" priority="3193">
      <formula>B276=""</formula>
    </cfRule>
  </conditionalFormatting>
  <conditionalFormatting sqref="C287">
    <cfRule type="expression" dxfId="11427" priority="3192">
      <formula>B287=""</formula>
    </cfRule>
  </conditionalFormatting>
  <conditionalFormatting sqref="C288">
    <cfRule type="expression" dxfId="11426" priority="3191">
      <formula>B288=""</formula>
    </cfRule>
  </conditionalFormatting>
  <conditionalFormatting sqref="C289">
    <cfRule type="expression" dxfId="11425" priority="3190">
      <formula>B289=""</formula>
    </cfRule>
  </conditionalFormatting>
  <conditionalFormatting sqref="C290">
    <cfRule type="expression" dxfId="11424" priority="3189">
      <formula>B290=""</formula>
    </cfRule>
  </conditionalFormatting>
  <conditionalFormatting sqref="C291">
    <cfRule type="expression" dxfId="11423" priority="3188">
      <formula>B291=""</formula>
    </cfRule>
  </conditionalFormatting>
  <conditionalFormatting sqref="C292">
    <cfRule type="expression" dxfId="11422" priority="3187">
      <formula>B292=""</formula>
    </cfRule>
  </conditionalFormatting>
  <conditionalFormatting sqref="C293">
    <cfRule type="expression" dxfId="11421" priority="3186">
      <formula>B293=""</formula>
    </cfRule>
  </conditionalFormatting>
  <conditionalFormatting sqref="C274:C293">
    <cfRule type="expression" dxfId="11420" priority="3185">
      <formula>B274=""</formula>
    </cfRule>
  </conditionalFormatting>
  <conditionalFormatting sqref="C275 C277 C279 C281 C283 C285 C287 C289 C291 C293">
    <cfRule type="expression" dxfId="11419" priority="3184">
      <formula>B275=""</formula>
    </cfRule>
  </conditionalFormatting>
  <conditionalFormatting sqref="C276:C286">
    <cfRule type="expression" dxfId="11418" priority="3183">
      <formula>B276=""</formula>
    </cfRule>
  </conditionalFormatting>
  <conditionalFormatting sqref="C287">
    <cfRule type="expression" dxfId="11417" priority="3182">
      <formula>B287=""</formula>
    </cfRule>
  </conditionalFormatting>
  <conditionalFormatting sqref="C288">
    <cfRule type="expression" dxfId="11416" priority="3181">
      <formula>B288=""</formula>
    </cfRule>
  </conditionalFormatting>
  <conditionalFormatting sqref="C289">
    <cfRule type="expression" dxfId="11415" priority="3180">
      <formula>B289=""</formula>
    </cfRule>
  </conditionalFormatting>
  <conditionalFormatting sqref="C290">
    <cfRule type="expression" dxfId="11414" priority="3179">
      <formula>B290=""</formula>
    </cfRule>
  </conditionalFormatting>
  <conditionalFormatting sqref="C291">
    <cfRule type="expression" dxfId="11413" priority="3178">
      <formula>B291=""</formula>
    </cfRule>
  </conditionalFormatting>
  <conditionalFormatting sqref="C292">
    <cfRule type="expression" dxfId="11412" priority="3177">
      <formula>B292=""</formula>
    </cfRule>
  </conditionalFormatting>
  <conditionalFormatting sqref="C293">
    <cfRule type="expression" dxfId="11411" priority="3176">
      <formula>B293=""</formula>
    </cfRule>
  </conditionalFormatting>
  <conditionalFormatting sqref="C293">
    <cfRule type="expression" dxfId="11410" priority="3175">
      <formula>B293=""</formula>
    </cfRule>
  </conditionalFormatting>
  <conditionalFormatting sqref="C274:C293">
    <cfRule type="expression" dxfId="11409" priority="3174">
      <formula>B274=""</formula>
    </cfRule>
  </conditionalFormatting>
  <conditionalFormatting sqref="C275 C277 C279 C281 C283 C285 C287 C289 C291 C293">
    <cfRule type="expression" dxfId="11408" priority="3173">
      <formula>B275=""</formula>
    </cfRule>
  </conditionalFormatting>
  <conditionalFormatting sqref="C276:C286">
    <cfRule type="expression" dxfId="11407" priority="3172">
      <formula>B276=""</formula>
    </cfRule>
  </conditionalFormatting>
  <conditionalFormatting sqref="C287">
    <cfRule type="expression" dxfId="11406" priority="3171">
      <formula>B287=""</formula>
    </cfRule>
  </conditionalFormatting>
  <conditionalFormatting sqref="C288">
    <cfRule type="expression" dxfId="11405" priority="3170">
      <formula>B288=""</formula>
    </cfRule>
  </conditionalFormatting>
  <conditionalFormatting sqref="C289">
    <cfRule type="expression" dxfId="11404" priority="3169">
      <formula>B289=""</formula>
    </cfRule>
  </conditionalFormatting>
  <conditionalFormatting sqref="C290">
    <cfRule type="expression" dxfId="11403" priority="3168">
      <formula>B290=""</formula>
    </cfRule>
  </conditionalFormatting>
  <conditionalFormatting sqref="C291">
    <cfRule type="expression" dxfId="11402" priority="3167">
      <formula>B291=""</formula>
    </cfRule>
  </conditionalFormatting>
  <conditionalFormatting sqref="C292">
    <cfRule type="expression" dxfId="11401" priority="3166">
      <formula>B292=""</formula>
    </cfRule>
  </conditionalFormatting>
  <conditionalFormatting sqref="C293">
    <cfRule type="expression" dxfId="11400" priority="3165">
      <formula>B293=""</formula>
    </cfRule>
  </conditionalFormatting>
  <conditionalFormatting sqref="C274:C293">
    <cfRule type="expression" dxfId="11399" priority="3164">
      <formula>B274=""</formula>
    </cfRule>
  </conditionalFormatting>
  <conditionalFormatting sqref="C275 C277 C279 C281 C283 C285 C287 C289 C291 C293">
    <cfRule type="expression" dxfId="11398" priority="3163">
      <formula>B275=""</formula>
    </cfRule>
  </conditionalFormatting>
  <conditionalFormatting sqref="C276:C286">
    <cfRule type="expression" dxfId="11397" priority="3162">
      <formula>B276=""</formula>
    </cfRule>
  </conditionalFormatting>
  <conditionalFormatting sqref="C287">
    <cfRule type="expression" dxfId="11396" priority="3161">
      <formula>B287=""</formula>
    </cfRule>
  </conditionalFormatting>
  <conditionalFormatting sqref="C288">
    <cfRule type="expression" dxfId="11395" priority="3160">
      <formula>B288=""</formula>
    </cfRule>
  </conditionalFormatting>
  <conditionalFormatting sqref="C289">
    <cfRule type="expression" dxfId="11394" priority="3159">
      <formula>B289=""</formula>
    </cfRule>
  </conditionalFormatting>
  <conditionalFormatting sqref="C290">
    <cfRule type="expression" dxfId="11393" priority="3158">
      <formula>B290=""</formula>
    </cfRule>
  </conditionalFormatting>
  <conditionalFormatting sqref="C291">
    <cfRule type="expression" dxfId="11392" priority="3157">
      <formula>B291=""</formula>
    </cfRule>
  </conditionalFormatting>
  <conditionalFormatting sqref="C292">
    <cfRule type="expression" dxfId="11391" priority="3156">
      <formula>B292=""</formula>
    </cfRule>
  </conditionalFormatting>
  <conditionalFormatting sqref="C293">
    <cfRule type="expression" dxfId="11390" priority="3155">
      <formula>B293=""</formula>
    </cfRule>
  </conditionalFormatting>
  <conditionalFormatting sqref="C274:C293">
    <cfRule type="expression" dxfId="11389" priority="3154">
      <formula>B274=""</formula>
    </cfRule>
  </conditionalFormatting>
  <conditionalFormatting sqref="C275 C277 C279 C281 C283 C285 C287 C289 C291 C293">
    <cfRule type="expression" dxfId="11388" priority="3153">
      <formula>B275=""</formula>
    </cfRule>
  </conditionalFormatting>
  <conditionalFormatting sqref="C276:C286">
    <cfRule type="expression" dxfId="11387" priority="3152">
      <formula>B276=""</formula>
    </cfRule>
  </conditionalFormatting>
  <conditionalFormatting sqref="C287">
    <cfRule type="expression" dxfId="11386" priority="3151">
      <formula>B287=""</formula>
    </cfRule>
  </conditionalFormatting>
  <conditionalFormatting sqref="C288">
    <cfRule type="expression" dxfId="11385" priority="3150">
      <formula>B288=""</formula>
    </cfRule>
  </conditionalFormatting>
  <conditionalFormatting sqref="C289">
    <cfRule type="expression" dxfId="11384" priority="3149">
      <formula>B289=""</formula>
    </cfRule>
  </conditionalFormatting>
  <conditionalFormatting sqref="C290">
    <cfRule type="expression" dxfId="11383" priority="3148">
      <formula>B290=""</formula>
    </cfRule>
  </conditionalFormatting>
  <conditionalFormatting sqref="C291">
    <cfRule type="expression" dxfId="11382" priority="3147">
      <formula>B291=""</formula>
    </cfRule>
  </conditionalFormatting>
  <conditionalFormatting sqref="C292">
    <cfRule type="expression" dxfId="11381" priority="3146">
      <formula>B292=""</formula>
    </cfRule>
  </conditionalFormatting>
  <conditionalFormatting sqref="C293">
    <cfRule type="expression" dxfId="11380" priority="3145">
      <formula>B293=""</formula>
    </cfRule>
  </conditionalFormatting>
  <conditionalFormatting sqref="C274 C276 C278 C280 C282 C284 C286 C288 C290 C292">
    <cfRule type="expression" dxfId="11379" priority="3144">
      <formula>B274=""</formula>
    </cfRule>
  </conditionalFormatting>
  <conditionalFormatting sqref="C275 C277 C279 C281 C283 C285 C287 C289 C291 C293">
    <cfRule type="expression" dxfId="11378" priority="3143">
      <formula>B275=""</formula>
    </cfRule>
  </conditionalFormatting>
  <conditionalFormatting sqref="C276:C286">
    <cfRule type="expression" dxfId="11377" priority="3142">
      <formula>B276=""</formula>
    </cfRule>
  </conditionalFormatting>
  <conditionalFormatting sqref="C287">
    <cfRule type="expression" dxfId="11376" priority="3141">
      <formula>B287=""</formula>
    </cfRule>
  </conditionalFormatting>
  <conditionalFormatting sqref="C288">
    <cfRule type="expression" dxfId="11375" priority="3140">
      <formula>B288=""</formula>
    </cfRule>
  </conditionalFormatting>
  <conditionalFormatting sqref="C289">
    <cfRule type="expression" dxfId="11374" priority="3139">
      <formula>B289=""</formula>
    </cfRule>
  </conditionalFormatting>
  <conditionalFormatting sqref="C290">
    <cfRule type="expression" dxfId="11373" priority="3138">
      <formula>B290=""</formula>
    </cfRule>
  </conditionalFormatting>
  <conditionalFormatting sqref="C291">
    <cfRule type="expression" dxfId="11372" priority="3137">
      <formula>B291=""</formula>
    </cfRule>
  </conditionalFormatting>
  <conditionalFormatting sqref="C292">
    <cfRule type="expression" dxfId="11371" priority="3136">
      <formula>B292=""</formula>
    </cfRule>
  </conditionalFormatting>
  <conditionalFormatting sqref="C293">
    <cfRule type="expression" dxfId="11370" priority="3135">
      <formula>B293=""</formula>
    </cfRule>
  </conditionalFormatting>
  <conditionalFormatting sqref="B308:B328 B330:B350 B352:B372 B374:B394">
    <cfRule type="containsBlanks" dxfId="11369" priority="3134">
      <formula>LEN(TRIM(B308))=0</formula>
    </cfRule>
  </conditionalFormatting>
  <conditionalFormatting sqref="C308:C328">
    <cfRule type="expression" dxfId="11368" priority="3133">
      <formula>B308=""</formula>
    </cfRule>
  </conditionalFormatting>
  <conditionalFormatting sqref="C309">
    <cfRule type="expression" dxfId="11367" priority="3132">
      <formula>B309=""</formula>
    </cfRule>
  </conditionalFormatting>
  <conditionalFormatting sqref="C310:C320">
    <cfRule type="expression" dxfId="11366" priority="3131">
      <formula>B310=""</formula>
    </cfRule>
  </conditionalFormatting>
  <conditionalFormatting sqref="C321">
    <cfRule type="expression" dxfId="11365" priority="3130">
      <formula>B321=""</formula>
    </cfRule>
  </conditionalFormatting>
  <conditionalFormatting sqref="C322">
    <cfRule type="expression" dxfId="11364" priority="3129">
      <formula>B322=""</formula>
    </cfRule>
  </conditionalFormatting>
  <conditionalFormatting sqref="C323">
    <cfRule type="expression" dxfId="11363" priority="3128">
      <formula>B323=""</formula>
    </cfRule>
  </conditionalFormatting>
  <conditionalFormatting sqref="C324">
    <cfRule type="expression" dxfId="11362" priority="3127">
      <formula>B324=""</formula>
    </cfRule>
  </conditionalFormatting>
  <conditionalFormatting sqref="C325">
    <cfRule type="expression" dxfId="11361" priority="3126">
      <formula>B325=""</formula>
    </cfRule>
  </conditionalFormatting>
  <conditionalFormatting sqref="C326">
    <cfRule type="expression" dxfId="11360" priority="3125">
      <formula>B326=""</formula>
    </cfRule>
  </conditionalFormatting>
  <conditionalFormatting sqref="C327">
    <cfRule type="expression" dxfId="11359" priority="3124">
      <formula>B327=""</formula>
    </cfRule>
  </conditionalFormatting>
  <conditionalFormatting sqref="C328">
    <cfRule type="expression" dxfId="11358" priority="3123">
      <formula>B328=""</formula>
    </cfRule>
  </conditionalFormatting>
  <conditionalFormatting sqref="D308">
    <cfRule type="expression" dxfId="11357" priority="3122">
      <formula>B308=""</formula>
    </cfRule>
  </conditionalFormatting>
  <conditionalFormatting sqref="D309">
    <cfRule type="expression" dxfId="11356" priority="3121">
      <formula>B309=""</formula>
    </cfRule>
  </conditionalFormatting>
  <conditionalFormatting sqref="D310:D320">
    <cfRule type="expression" dxfId="11355" priority="3120">
      <formula>B310=""</formula>
    </cfRule>
  </conditionalFormatting>
  <conditionalFormatting sqref="D321">
    <cfRule type="expression" dxfId="11354" priority="3119">
      <formula>B321=""</formula>
    </cfRule>
  </conditionalFormatting>
  <conditionalFormatting sqref="D322">
    <cfRule type="expression" dxfId="11353" priority="3118">
      <formula>B322=""</formula>
    </cfRule>
  </conditionalFormatting>
  <conditionalFormatting sqref="D323">
    <cfRule type="expression" dxfId="11352" priority="3117">
      <formula>B323=""</formula>
    </cfRule>
  </conditionalFormatting>
  <conditionalFormatting sqref="D324">
    <cfRule type="expression" dxfId="11351" priority="3116">
      <formula>B324=""</formula>
    </cfRule>
  </conditionalFormatting>
  <conditionalFormatting sqref="D325">
    <cfRule type="expression" dxfId="11350" priority="3115">
      <formula>B325=""</formula>
    </cfRule>
  </conditionalFormatting>
  <conditionalFormatting sqref="D326">
    <cfRule type="expression" dxfId="11349" priority="3114">
      <formula>B326=""</formula>
    </cfRule>
  </conditionalFormatting>
  <conditionalFormatting sqref="D327">
    <cfRule type="expression" dxfId="11348" priority="3113">
      <formula>B327=""</formula>
    </cfRule>
  </conditionalFormatting>
  <conditionalFormatting sqref="D328">
    <cfRule type="expression" dxfId="11347" priority="3112">
      <formula>B328=""</formula>
    </cfRule>
  </conditionalFormatting>
  <conditionalFormatting sqref="E308 E310 E312 E314 E316 E318 E320 E322 E324 E326">
    <cfRule type="expression" dxfId="11346" priority="3111">
      <formula>B308=""</formula>
    </cfRule>
  </conditionalFormatting>
  <conditionalFormatting sqref="E309 E311 E313 E315 E317 E319 E321 E323 E325 E327">
    <cfRule type="expression" dxfId="11345" priority="3110">
      <formula>B309=""</formula>
    </cfRule>
  </conditionalFormatting>
  <conditionalFormatting sqref="E310:E320">
    <cfRule type="expression" dxfId="11344" priority="3109">
      <formula>B310=""</formula>
    </cfRule>
  </conditionalFormatting>
  <conditionalFormatting sqref="E321">
    <cfRule type="expression" dxfId="11343" priority="3108">
      <formula>B321=""</formula>
    </cfRule>
  </conditionalFormatting>
  <conditionalFormatting sqref="E322">
    <cfRule type="expression" dxfId="11342" priority="3107">
      <formula>B322=""</formula>
    </cfRule>
  </conditionalFormatting>
  <conditionalFormatting sqref="E323">
    <cfRule type="expression" dxfId="11341" priority="3106">
      <formula>B323=""</formula>
    </cfRule>
  </conditionalFormatting>
  <conditionalFormatting sqref="E324">
    <cfRule type="expression" dxfId="11340" priority="3105">
      <formula>B324=""</formula>
    </cfRule>
  </conditionalFormatting>
  <conditionalFormatting sqref="E325">
    <cfRule type="expression" dxfId="11339" priority="3104">
      <formula>B325=""</formula>
    </cfRule>
  </conditionalFormatting>
  <conditionalFormatting sqref="E326">
    <cfRule type="expression" dxfId="11338" priority="3103">
      <formula>B326=""</formula>
    </cfRule>
  </conditionalFormatting>
  <conditionalFormatting sqref="E327">
    <cfRule type="expression" dxfId="11337" priority="3102">
      <formula>B327=""</formula>
    </cfRule>
  </conditionalFormatting>
  <conditionalFormatting sqref="E328">
    <cfRule type="expression" dxfId="11336" priority="3101">
      <formula>B328=""</formula>
    </cfRule>
  </conditionalFormatting>
  <conditionalFormatting sqref="F308 F310 F312 F314 F316 F318 F320 F322 F324 F326">
    <cfRule type="expression" dxfId="11335" priority="3100">
      <formula>B308=""</formula>
    </cfRule>
  </conditionalFormatting>
  <conditionalFormatting sqref="F309 F311 F313 F315 F317 F319 F321 F323 F325 F327">
    <cfRule type="expression" dxfId="11334" priority="3099">
      <formula>B309=""</formula>
    </cfRule>
  </conditionalFormatting>
  <conditionalFormatting sqref="F310:F320">
    <cfRule type="expression" dxfId="11333" priority="3098">
      <formula>B310=""</formula>
    </cfRule>
  </conditionalFormatting>
  <conditionalFormatting sqref="F321">
    <cfRule type="expression" dxfId="11332" priority="3097">
      <formula>B321=""</formula>
    </cfRule>
  </conditionalFormatting>
  <conditionalFormatting sqref="F322">
    <cfRule type="expression" dxfId="11331" priority="3096">
      <formula>B322=""</formula>
    </cfRule>
  </conditionalFormatting>
  <conditionalFormatting sqref="F323">
    <cfRule type="expression" dxfId="11330" priority="3095">
      <formula>B323=""</formula>
    </cfRule>
  </conditionalFormatting>
  <conditionalFormatting sqref="F324">
    <cfRule type="expression" dxfId="11329" priority="3094">
      <formula>B324=""</formula>
    </cfRule>
  </conditionalFormatting>
  <conditionalFormatting sqref="F325">
    <cfRule type="expression" dxfId="11328" priority="3093">
      <formula>B325=""</formula>
    </cfRule>
  </conditionalFormatting>
  <conditionalFormatting sqref="F326">
    <cfRule type="expression" dxfId="11327" priority="3092">
      <formula>B326=""</formula>
    </cfRule>
  </conditionalFormatting>
  <conditionalFormatting sqref="F327">
    <cfRule type="expression" dxfId="11326" priority="3091">
      <formula>B327=""</formula>
    </cfRule>
  </conditionalFormatting>
  <conditionalFormatting sqref="F328">
    <cfRule type="expression" dxfId="11325" priority="3090">
      <formula>B328=""</formula>
    </cfRule>
  </conditionalFormatting>
  <conditionalFormatting sqref="E309 E311 E313 E315 E317 E319 E321 E323 E325 E327">
    <cfRule type="expression" dxfId="11324" priority="3089">
      <formula>B309=""</formula>
    </cfRule>
  </conditionalFormatting>
  <conditionalFormatting sqref="E310:E320">
    <cfRule type="expression" dxfId="11323" priority="3088">
      <formula>B310=""</formula>
    </cfRule>
  </conditionalFormatting>
  <conditionalFormatting sqref="E321">
    <cfRule type="expression" dxfId="11322" priority="3087">
      <formula>B321=""</formula>
    </cfRule>
  </conditionalFormatting>
  <conditionalFormatting sqref="E322">
    <cfRule type="expression" dxfId="11321" priority="3086">
      <formula>B322=""</formula>
    </cfRule>
  </conditionalFormatting>
  <conditionalFormatting sqref="E323">
    <cfRule type="expression" dxfId="11320" priority="3085">
      <formula>B323=""</formula>
    </cfRule>
  </conditionalFormatting>
  <conditionalFormatting sqref="E324">
    <cfRule type="expression" dxfId="11319" priority="3084">
      <formula>B324=""</formula>
    </cfRule>
  </conditionalFormatting>
  <conditionalFormatting sqref="E325">
    <cfRule type="expression" dxfId="11318" priority="3083">
      <formula>B325=""</formula>
    </cfRule>
  </conditionalFormatting>
  <conditionalFormatting sqref="E326">
    <cfRule type="expression" dxfId="11317" priority="3082">
      <formula>B326=""</formula>
    </cfRule>
  </conditionalFormatting>
  <conditionalFormatting sqref="E327">
    <cfRule type="expression" dxfId="11316" priority="3081">
      <formula>B327=""</formula>
    </cfRule>
  </conditionalFormatting>
  <conditionalFormatting sqref="E328">
    <cfRule type="expression" dxfId="11315" priority="3080">
      <formula>B328=""</formula>
    </cfRule>
  </conditionalFormatting>
  <conditionalFormatting sqref="G308 G310 G312 G314 G316 G318 G320 G322 G324 G326">
    <cfRule type="expression" dxfId="11314" priority="3079">
      <formula>B308=""</formula>
    </cfRule>
  </conditionalFormatting>
  <conditionalFormatting sqref="G309 G311 G313 G315 G317 G319 G321 G323 G325 G327">
    <cfRule type="expression" dxfId="11313" priority="3078">
      <formula>B309=""</formula>
    </cfRule>
  </conditionalFormatting>
  <conditionalFormatting sqref="G310:G320">
    <cfRule type="expression" dxfId="11312" priority="3077">
      <formula>B310=""</formula>
    </cfRule>
  </conditionalFormatting>
  <conditionalFormatting sqref="G321">
    <cfRule type="expression" dxfId="11311" priority="3076">
      <formula>B321=""</formula>
    </cfRule>
  </conditionalFormatting>
  <conditionalFormatting sqref="G322">
    <cfRule type="expression" dxfId="11310" priority="3075">
      <formula>B322=""</formula>
    </cfRule>
  </conditionalFormatting>
  <conditionalFormatting sqref="G323">
    <cfRule type="expression" dxfId="11309" priority="3074">
      <formula>B323=""</formula>
    </cfRule>
  </conditionalFormatting>
  <conditionalFormatting sqref="G324">
    <cfRule type="expression" dxfId="11308" priority="3073">
      <formula>B324=""</formula>
    </cfRule>
  </conditionalFormatting>
  <conditionalFormatting sqref="G325">
    <cfRule type="expression" dxfId="11307" priority="3072">
      <formula>B325=""</formula>
    </cfRule>
  </conditionalFormatting>
  <conditionalFormatting sqref="G326">
    <cfRule type="expression" dxfId="11306" priority="3071">
      <formula>B326=""</formula>
    </cfRule>
  </conditionalFormatting>
  <conditionalFormatting sqref="G327">
    <cfRule type="expression" dxfId="11305" priority="3070">
      <formula>B327=""</formula>
    </cfRule>
  </conditionalFormatting>
  <conditionalFormatting sqref="G328">
    <cfRule type="expression" dxfId="11304" priority="3069">
      <formula>B328=""</formula>
    </cfRule>
  </conditionalFormatting>
  <conditionalFormatting sqref="H308 H310 H312 H314 H316 H318 H320 H322 H324 H326">
    <cfRule type="expression" dxfId="11303" priority="3068">
      <formula>B308=""</formula>
    </cfRule>
  </conditionalFormatting>
  <conditionalFormatting sqref="H309 H311 H313 H315 H317 H319 H321 H323 H325 H327">
    <cfRule type="expression" dxfId="11302" priority="3067">
      <formula>B309=""</formula>
    </cfRule>
  </conditionalFormatting>
  <conditionalFormatting sqref="H310:H320">
    <cfRule type="expression" dxfId="11301" priority="3066">
      <formula>B310=""</formula>
    </cfRule>
  </conditionalFormatting>
  <conditionalFormatting sqref="H321">
    <cfRule type="expression" dxfId="11300" priority="3065">
      <formula>B321=""</formula>
    </cfRule>
  </conditionalFormatting>
  <conditionalFormatting sqref="H322">
    <cfRule type="expression" dxfId="11299" priority="3064">
      <formula>B322=""</formula>
    </cfRule>
  </conditionalFormatting>
  <conditionalFormatting sqref="H323">
    <cfRule type="expression" dxfId="11298" priority="3063">
      <formula>B323=""</formula>
    </cfRule>
  </conditionalFormatting>
  <conditionalFormatting sqref="H324">
    <cfRule type="expression" dxfId="11297" priority="3062">
      <formula>B324=""</formula>
    </cfRule>
  </conditionalFormatting>
  <conditionalFormatting sqref="H325">
    <cfRule type="expression" dxfId="11296" priority="3061">
      <formula>B325=""</formula>
    </cfRule>
  </conditionalFormatting>
  <conditionalFormatting sqref="H326">
    <cfRule type="expression" dxfId="11295" priority="3060">
      <formula>B326=""</formula>
    </cfRule>
  </conditionalFormatting>
  <conditionalFormatting sqref="H327">
    <cfRule type="expression" dxfId="11294" priority="3059">
      <formula>B327=""</formula>
    </cfRule>
  </conditionalFormatting>
  <conditionalFormatting sqref="H328">
    <cfRule type="expression" dxfId="11293" priority="3058">
      <formula>B328=""</formula>
    </cfRule>
  </conditionalFormatting>
  <conditionalFormatting sqref="C330:C350">
    <cfRule type="expression" dxfId="11292" priority="3057">
      <formula>B330=""</formula>
    </cfRule>
  </conditionalFormatting>
  <conditionalFormatting sqref="C331 C333 C335 C337 C339 C341 C343 C345 C347 C349">
    <cfRule type="expression" dxfId="11291" priority="3056">
      <formula>B331=""</formula>
    </cfRule>
  </conditionalFormatting>
  <conditionalFormatting sqref="C332:C342">
    <cfRule type="expression" dxfId="11290" priority="3055">
      <formula>B332=""</formula>
    </cfRule>
  </conditionalFormatting>
  <conditionalFormatting sqref="C343">
    <cfRule type="expression" dxfId="11289" priority="3054">
      <formula>B343=""</formula>
    </cfRule>
  </conditionalFormatting>
  <conditionalFormatting sqref="C344">
    <cfRule type="expression" dxfId="11288" priority="3053">
      <formula>B344=""</formula>
    </cfRule>
  </conditionalFormatting>
  <conditionalFormatting sqref="C345">
    <cfRule type="expression" dxfId="11287" priority="3052">
      <formula>B345=""</formula>
    </cfRule>
  </conditionalFormatting>
  <conditionalFormatting sqref="C346">
    <cfRule type="expression" dxfId="11286" priority="3051">
      <formula>B346=""</formula>
    </cfRule>
  </conditionalFormatting>
  <conditionalFormatting sqref="C347">
    <cfRule type="expression" dxfId="11285" priority="3050">
      <formula>B347=""</formula>
    </cfRule>
  </conditionalFormatting>
  <conditionalFormatting sqref="C348">
    <cfRule type="expression" dxfId="11284" priority="3049">
      <formula>B348=""</formula>
    </cfRule>
  </conditionalFormatting>
  <conditionalFormatting sqref="C349">
    <cfRule type="expression" dxfId="11283" priority="3048">
      <formula>B349=""</formula>
    </cfRule>
  </conditionalFormatting>
  <conditionalFormatting sqref="C350">
    <cfRule type="expression" dxfId="11282" priority="3047">
      <formula>B350=""</formula>
    </cfRule>
  </conditionalFormatting>
  <conditionalFormatting sqref="D330 D332 D334 D336 D338 D340 D342 D344 D346 D348">
    <cfRule type="expression" dxfId="11281" priority="3046">
      <formula>B330=""</formula>
    </cfRule>
  </conditionalFormatting>
  <conditionalFormatting sqref="D331 D333 D335 D337 D339 D341 D343 D345 D347 D349">
    <cfRule type="expression" dxfId="11280" priority="3045">
      <formula>B331=""</formula>
    </cfRule>
  </conditionalFormatting>
  <conditionalFormatting sqref="D332:D342">
    <cfRule type="expression" dxfId="11279" priority="3044">
      <formula>B332=""</formula>
    </cfRule>
  </conditionalFormatting>
  <conditionalFormatting sqref="D343">
    <cfRule type="expression" dxfId="11278" priority="3043">
      <formula>B343=""</formula>
    </cfRule>
  </conditionalFormatting>
  <conditionalFormatting sqref="D344">
    <cfRule type="expression" dxfId="11277" priority="3042">
      <formula>B344=""</formula>
    </cfRule>
  </conditionalFormatting>
  <conditionalFormatting sqref="D345">
    <cfRule type="expression" dxfId="11276" priority="3041">
      <formula>B345=""</formula>
    </cfRule>
  </conditionalFormatting>
  <conditionalFormatting sqref="D346">
    <cfRule type="expression" dxfId="11275" priority="3040">
      <formula>B346=""</formula>
    </cfRule>
  </conditionalFormatting>
  <conditionalFormatting sqref="D347">
    <cfRule type="expression" dxfId="11274" priority="3039">
      <formula>B347=""</formula>
    </cfRule>
  </conditionalFormatting>
  <conditionalFormatting sqref="D348">
    <cfRule type="expression" dxfId="11273" priority="3038">
      <formula>B348=""</formula>
    </cfRule>
  </conditionalFormatting>
  <conditionalFormatting sqref="D349">
    <cfRule type="expression" dxfId="11272" priority="3037">
      <formula>B349=""</formula>
    </cfRule>
  </conditionalFormatting>
  <conditionalFormatting sqref="D350">
    <cfRule type="expression" dxfId="11271" priority="3036">
      <formula>B350=""</formula>
    </cfRule>
  </conditionalFormatting>
  <conditionalFormatting sqref="E330 E332 E334 E336 E338 E340 E342 E344 E346 E348">
    <cfRule type="expression" dxfId="11270" priority="3035">
      <formula>B330=""</formula>
    </cfRule>
  </conditionalFormatting>
  <conditionalFormatting sqref="E331 E333 E335 E337 E339 E341 E343 E345 E347 E349">
    <cfRule type="expression" dxfId="11269" priority="3034">
      <formula>B331=""</formula>
    </cfRule>
  </conditionalFormatting>
  <conditionalFormatting sqref="E332:E342">
    <cfRule type="expression" dxfId="11268" priority="3033">
      <formula>B332=""</formula>
    </cfRule>
  </conditionalFormatting>
  <conditionalFormatting sqref="E343">
    <cfRule type="expression" dxfId="11267" priority="3032">
      <formula>B343=""</formula>
    </cfRule>
  </conditionalFormatting>
  <conditionalFormatting sqref="E344">
    <cfRule type="expression" dxfId="11266" priority="3031">
      <formula>B344=""</formula>
    </cfRule>
  </conditionalFormatting>
  <conditionalFormatting sqref="E345">
    <cfRule type="expression" dxfId="11265" priority="3030">
      <formula>B345=""</formula>
    </cfRule>
  </conditionalFormatting>
  <conditionalFormatting sqref="E346">
    <cfRule type="expression" dxfId="11264" priority="3029">
      <formula>B346=""</formula>
    </cfRule>
  </conditionalFormatting>
  <conditionalFormatting sqref="E347">
    <cfRule type="expression" dxfId="11263" priority="3028">
      <formula>B347=""</formula>
    </cfRule>
  </conditionalFormatting>
  <conditionalFormatting sqref="E348">
    <cfRule type="expression" dxfId="11262" priority="3027">
      <formula>B348=""</formula>
    </cfRule>
  </conditionalFormatting>
  <conditionalFormatting sqref="E349">
    <cfRule type="expression" dxfId="11261" priority="3026">
      <formula>B349=""</formula>
    </cfRule>
  </conditionalFormatting>
  <conditionalFormatting sqref="E350">
    <cfRule type="expression" dxfId="11260" priority="3025">
      <formula>B350=""</formula>
    </cfRule>
  </conditionalFormatting>
  <conditionalFormatting sqref="F330 F332 F334 F336 F338 F340 F342 F344 F346 F348">
    <cfRule type="expression" dxfId="11259" priority="3024">
      <formula>B330=""</formula>
    </cfRule>
  </conditionalFormatting>
  <conditionalFormatting sqref="F331 F333 F335 F337 F339 F341 F343 F345 F347 F349">
    <cfRule type="expression" dxfId="11258" priority="3023">
      <formula>B331=""</formula>
    </cfRule>
  </conditionalFormatting>
  <conditionalFormatting sqref="F332:F342">
    <cfRule type="expression" dxfId="11257" priority="3022">
      <formula>B332=""</formula>
    </cfRule>
  </conditionalFormatting>
  <conditionalFormatting sqref="F343">
    <cfRule type="expression" dxfId="11256" priority="3021">
      <formula>B343=""</formula>
    </cfRule>
  </conditionalFormatting>
  <conditionalFormatting sqref="F344">
    <cfRule type="expression" dxfId="11255" priority="3020">
      <formula>B344=""</formula>
    </cfRule>
  </conditionalFormatting>
  <conditionalFormatting sqref="F345">
    <cfRule type="expression" dxfId="11254" priority="3019">
      <formula>B345=""</formula>
    </cfRule>
  </conditionalFormatting>
  <conditionalFormatting sqref="F346">
    <cfRule type="expression" dxfId="11253" priority="3018">
      <formula>B346=""</formula>
    </cfRule>
  </conditionalFormatting>
  <conditionalFormatting sqref="F347">
    <cfRule type="expression" dxfId="11252" priority="3017">
      <formula>B347=""</formula>
    </cfRule>
  </conditionalFormatting>
  <conditionalFormatting sqref="F348">
    <cfRule type="expression" dxfId="11251" priority="3016">
      <formula>B348=""</formula>
    </cfRule>
  </conditionalFormatting>
  <conditionalFormatting sqref="F349">
    <cfRule type="expression" dxfId="11250" priority="3015">
      <formula>B349=""</formula>
    </cfRule>
  </conditionalFormatting>
  <conditionalFormatting sqref="F350">
    <cfRule type="expression" dxfId="11249" priority="3014">
      <formula>B350=""</formula>
    </cfRule>
  </conditionalFormatting>
  <conditionalFormatting sqref="E331 E333 E335 E337 E339 E341 E343 E345 E347 E349">
    <cfRule type="expression" dxfId="11248" priority="3013">
      <formula>B331=""</formula>
    </cfRule>
  </conditionalFormatting>
  <conditionalFormatting sqref="E332:E342">
    <cfRule type="expression" dxfId="11247" priority="3012">
      <formula>B332=""</formula>
    </cfRule>
  </conditionalFormatting>
  <conditionalFormatting sqref="E343">
    <cfRule type="expression" dxfId="11246" priority="3011">
      <formula>B343=""</formula>
    </cfRule>
  </conditionalFormatting>
  <conditionalFormatting sqref="E344">
    <cfRule type="expression" dxfId="11245" priority="3010">
      <formula>B344=""</formula>
    </cfRule>
  </conditionalFormatting>
  <conditionalFormatting sqref="E345">
    <cfRule type="expression" dxfId="11244" priority="3009">
      <formula>B345=""</formula>
    </cfRule>
  </conditionalFormatting>
  <conditionalFormatting sqref="E346">
    <cfRule type="expression" dxfId="11243" priority="3008">
      <formula>B346=""</formula>
    </cfRule>
  </conditionalFormatting>
  <conditionalFormatting sqref="E347">
    <cfRule type="expression" dxfId="11242" priority="3007">
      <formula>B347=""</formula>
    </cfRule>
  </conditionalFormatting>
  <conditionalFormatting sqref="E348">
    <cfRule type="expression" dxfId="11241" priority="3006">
      <formula>B348=""</formula>
    </cfRule>
  </conditionalFormatting>
  <conditionalFormatting sqref="E349">
    <cfRule type="expression" dxfId="11240" priority="3005">
      <formula>B349=""</formula>
    </cfRule>
  </conditionalFormatting>
  <conditionalFormatting sqref="E350">
    <cfRule type="expression" dxfId="11239" priority="3004">
      <formula>B350=""</formula>
    </cfRule>
  </conditionalFormatting>
  <conditionalFormatting sqref="G330 G332 G334 G336 G338 G340 G342 G344 G346 G348">
    <cfRule type="expression" dxfId="11238" priority="3003">
      <formula>B330=""</formula>
    </cfRule>
  </conditionalFormatting>
  <conditionalFormatting sqref="G331 G333 G335 G337 G339 G341 G343 G345 G347 G349">
    <cfRule type="expression" dxfId="11237" priority="3002">
      <formula>B331=""</formula>
    </cfRule>
  </conditionalFormatting>
  <conditionalFormatting sqref="G332:G342">
    <cfRule type="expression" dxfId="11236" priority="3001">
      <formula>B332=""</formula>
    </cfRule>
  </conditionalFormatting>
  <conditionalFormatting sqref="G343">
    <cfRule type="expression" dxfId="11235" priority="3000">
      <formula>B343=""</formula>
    </cfRule>
  </conditionalFormatting>
  <conditionalFormatting sqref="G344">
    <cfRule type="expression" dxfId="11234" priority="2999">
      <formula>B344=""</formula>
    </cfRule>
  </conditionalFormatting>
  <conditionalFormatting sqref="G345">
    <cfRule type="expression" dxfId="11233" priority="2998">
      <formula>B345=""</formula>
    </cfRule>
  </conditionalFormatting>
  <conditionalFormatting sqref="G346">
    <cfRule type="expression" dxfId="11232" priority="2997">
      <formula>B346=""</formula>
    </cfRule>
  </conditionalFormatting>
  <conditionalFormatting sqref="G347">
    <cfRule type="expression" dxfId="11231" priority="2996">
      <formula>B347=""</formula>
    </cfRule>
  </conditionalFormatting>
  <conditionalFormatting sqref="G348">
    <cfRule type="expression" dxfId="11230" priority="2995">
      <formula>B348=""</formula>
    </cfRule>
  </conditionalFormatting>
  <conditionalFormatting sqref="G349">
    <cfRule type="expression" dxfId="11229" priority="2994">
      <formula>B349=""</formula>
    </cfRule>
  </conditionalFormatting>
  <conditionalFormatting sqref="G350">
    <cfRule type="expression" dxfId="11228" priority="2993">
      <formula>B350=""</formula>
    </cfRule>
  </conditionalFormatting>
  <conditionalFormatting sqref="H330 H332 H334 H336 H338 H340 H342 H344 H346 H348">
    <cfRule type="expression" dxfId="11227" priority="2992">
      <formula>B330=""</formula>
    </cfRule>
  </conditionalFormatting>
  <conditionalFormatting sqref="H331 H333 H335 H337 H339 H341 H343 H345 H347 H349">
    <cfRule type="expression" dxfId="11226" priority="2991">
      <formula>B331=""</formula>
    </cfRule>
  </conditionalFormatting>
  <conditionalFormatting sqref="H332:H342">
    <cfRule type="expression" dxfId="11225" priority="2990">
      <formula>B332=""</formula>
    </cfRule>
  </conditionalFormatting>
  <conditionalFormatting sqref="H343">
    <cfRule type="expression" dxfId="11224" priority="2989">
      <formula>B343=""</formula>
    </cfRule>
  </conditionalFormatting>
  <conditionalFormatting sqref="H344">
    <cfRule type="expression" dxfId="11223" priority="2988">
      <formula>B344=""</formula>
    </cfRule>
  </conditionalFormatting>
  <conditionalFormatting sqref="H345">
    <cfRule type="expression" dxfId="11222" priority="2987">
      <formula>B345=""</formula>
    </cfRule>
  </conditionalFormatting>
  <conditionalFormatting sqref="H346">
    <cfRule type="expression" dxfId="11221" priority="2986">
      <formula>B346=""</formula>
    </cfRule>
  </conditionalFormatting>
  <conditionalFormatting sqref="H347">
    <cfRule type="expression" dxfId="11220" priority="2985">
      <formula>B347=""</formula>
    </cfRule>
  </conditionalFormatting>
  <conditionalFormatting sqref="H348">
    <cfRule type="expression" dxfId="11219" priority="2984">
      <formula>B348=""</formula>
    </cfRule>
  </conditionalFormatting>
  <conditionalFormatting sqref="H349">
    <cfRule type="expression" dxfId="11218" priority="2983">
      <formula>B349=""</formula>
    </cfRule>
  </conditionalFormatting>
  <conditionalFormatting sqref="H350">
    <cfRule type="expression" dxfId="11217" priority="2982">
      <formula>B350=""</formula>
    </cfRule>
  </conditionalFormatting>
  <conditionalFormatting sqref="C352:C371">
    <cfRule type="expression" dxfId="11216" priority="2981">
      <formula>B352=""</formula>
    </cfRule>
  </conditionalFormatting>
  <conditionalFormatting sqref="C353 C355 C357 C359 C361 C363 C365 C367 C369 C371">
    <cfRule type="expression" dxfId="11215" priority="2980">
      <formula>B353=""</formula>
    </cfRule>
  </conditionalFormatting>
  <conditionalFormatting sqref="C354:C364">
    <cfRule type="expression" dxfId="11214" priority="2979">
      <formula>B354=""</formula>
    </cfRule>
  </conditionalFormatting>
  <conditionalFormatting sqref="C365">
    <cfRule type="expression" dxfId="11213" priority="2978">
      <formula>B365=""</formula>
    </cfRule>
  </conditionalFormatting>
  <conditionalFormatting sqref="C366">
    <cfRule type="expression" dxfId="11212" priority="2977">
      <formula>B366=""</formula>
    </cfRule>
  </conditionalFormatting>
  <conditionalFormatting sqref="C367">
    <cfRule type="expression" dxfId="11211" priority="2976">
      <formula>B367=""</formula>
    </cfRule>
  </conditionalFormatting>
  <conditionalFormatting sqref="C368">
    <cfRule type="expression" dxfId="11210" priority="2975">
      <formula>B368=""</formula>
    </cfRule>
  </conditionalFormatting>
  <conditionalFormatting sqref="C369">
    <cfRule type="expression" dxfId="11209" priority="2974">
      <formula>B369=""</formula>
    </cfRule>
  </conditionalFormatting>
  <conditionalFormatting sqref="C370">
    <cfRule type="expression" dxfId="11208" priority="2973">
      <formula>B370=""</formula>
    </cfRule>
  </conditionalFormatting>
  <conditionalFormatting sqref="C371">
    <cfRule type="expression" dxfId="11207" priority="2972">
      <formula>B371=""</formula>
    </cfRule>
  </conditionalFormatting>
  <conditionalFormatting sqref="C372">
    <cfRule type="expression" dxfId="11206" priority="2971">
      <formula>B372=""</formula>
    </cfRule>
  </conditionalFormatting>
  <conditionalFormatting sqref="D352 D354 D356 D358 D360 D362 D364 D366 D368 D370">
    <cfRule type="expression" dxfId="11205" priority="2970">
      <formula>B352=""</formula>
    </cfRule>
  </conditionalFormatting>
  <conditionalFormatting sqref="D353 D355 D357 D359 D361 D363 D365 D367 D369 D371">
    <cfRule type="expression" dxfId="11204" priority="2969">
      <formula>B353=""</formula>
    </cfRule>
  </conditionalFormatting>
  <conditionalFormatting sqref="D354:D364">
    <cfRule type="expression" dxfId="11203" priority="2968">
      <formula>B354=""</formula>
    </cfRule>
  </conditionalFormatting>
  <conditionalFormatting sqref="D365">
    <cfRule type="expression" dxfId="11202" priority="2967">
      <formula>B365=""</formula>
    </cfRule>
  </conditionalFormatting>
  <conditionalFormatting sqref="D366">
    <cfRule type="expression" dxfId="11201" priority="2966">
      <formula>B366=""</formula>
    </cfRule>
  </conditionalFormatting>
  <conditionalFormatting sqref="D367">
    <cfRule type="expression" dxfId="11200" priority="2965">
      <formula>B367=""</formula>
    </cfRule>
  </conditionalFormatting>
  <conditionalFormatting sqref="D368">
    <cfRule type="expression" dxfId="11199" priority="2964">
      <formula>B368=""</formula>
    </cfRule>
  </conditionalFormatting>
  <conditionalFormatting sqref="D369">
    <cfRule type="expression" dxfId="11198" priority="2963">
      <formula>B369=""</formula>
    </cfRule>
  </conditionalFormatting>
  <conditionalFormatting sqref="D370">
    <cfRule type="expression" dxfId="11197" priority="2962">
      <formula>B370=""</formula>
    </cfRule>
  </conditionalFormatting>
  <conditionalFormatting sqref="D371">
    <cfRule type="expression" dxfId="11196" priority="2961">
      <formula>B371=""</formula>
    </cfRule>
  </conditionalFormatting>
  <conditionalFormatting sqref="D372">
    <cfRule type="expression" dxfId="11195" priority="2960">
      <formula>B372=""</formula>
    </cfRule>
  </conditionalFormatting>
  <conditionalFormatting sqref="E352 E354 E356 E358 E360 E362 E364 E366 E368 E370">
    <cfRule type="expression" dxfId="11194" priority="2959">
      <formula>B352=""</formula>
    </cfRule>
  </conditionalFormatting>
  <conditionalFormatting sqref="E353 E355 E357 E359 E361 E363 E365 E367 E369 E371">
    <cfRule type="expression" dxfId="11193" priority="2958">
      <formula>B353=""</formula>
    </cfRule>
  </conditionalFormatting>
  <conditionalFormatting sqref="E354:E364">
    <cfRule type="expression" dxfId="11192" priority="2957">
      <formula>B354=""</formula>
    </cfRule>
  </conditionalFormatting>
  <conditionalFormatting sqref="E365">
    <cfRule type="expression" dxfId="11191" priority="2956">
      <formula>B365=""</formula>
    </cfRule>
  </conditionalFormatting>
  <conditionalFormatting sqref="E366">
    <cfRule type="expression" dxfId="11190" priority="2955">
      <formula>B366=""</formula>
    </cfRule>
  </conditionalFormatting>
  <conditionalFormatting sqref="E367">
    <cfRule type="expression" dxfId="11189" priority="2954">
      <formula>B367=""</formula>
    </cfRule>
  </conditionalFormatting>
  <conditionalFormatting sqref="E368">
    <cfRule type="expression" dxfId="11188" priority="2953">
      <formula>B368=""</formula>
    </cfRule>
  </conditionalFormatting>
  <conditionalFormatting sqref="E369">
    <cfRule type="expression" dxfId="11187" priority="2952">
      <formula>B369=""</formula>
    </cfRule>
  </conditionalFormatting>
  <conditionalFormatting sqref="E370">
    <cfRule type="expression" dxfId="11186" priority="2951">
      <formula>B370=""</formula>
    </cfRule>
  </conditionalFormatting>
  <conditionalFormatting sqref="E371">
    <cfRule type="expression" dxfId="11185" priority="2950">
      <formula>B371=""</formula>
    </cfRule>
  </conditionalFormatting>
  <conditionalFormatting sqref="E372">
    <cfRule type="expression" dxfId="11184" priority="2949">
      <formula>B372=""</formula>
    </cfRule>
  </conditionalFormatting>
  <conditionalFormatting sqref="F352 F354 F356 F358 F360 F362 F364 F366 F368 F370">
    <cfRule type="expression" dxfId="11183" priority="2948">
      <formula>B352=""</formula>
    </cfRule>
  </conditionalFormatting>
  <conditionalFormatting sqref="F353 F355 F357 F359 F361 F363 F365 F367 F369 F371">
    <cfRule type="expression" dxfId="11182" priority="2947">
      <formula>B353=""</formula>
    </cfRule>
  </conditionalFormatting>
  <conditionalFormatting sqref="F354:F364">
    <cfRule type="expression" dxfId="11181" priority="2946">
      <formula>B354=""</formula>
    </cfRule>
  </conditionalFormatting>
  <conditionalFormatting sqref="F365">
    <cfRule type="expression" dxfId="11180" priority="2945">
      <formula>B365=""</formula>
    </cfRule>
  </conditionalFormatting>
  <conditionalFormatting sqref="F366">
    <cfRule type="expression" dxfId="11179" priority="2944">
      <formula>B366=""</formula>
    </cfRule>
  </conditionalFormatting>
  <conditionalFormatting sqref="F367">
    <cfRule type="expression" dxfId="11178" priority="2943">
      <formula>B367=""</formula>
    </cfRule>
  </conditionalFormatting>
  <conditionalFormatting sqref="F368">
    <cfRule type="expression" dxfId="11177" priority="2942">
      <formula>B368=""</formula>
    </cfRule>
  </conditionalFormatting>
  <conditionalFormatting sqref="F369">
    <cfRule type="expression" dxfId="11176" priority="2941">
      <formula>B369=""</formula>
    </cfRule>
  </conditionalFormatting>
  <conditionalFormatting sqref="F370">
    <cfRule type="expression" dxfId="11175" priority="2940">
      <formula>B370=""</formula>
    </cfRule>
  </conditionalFormatting>
  <conditionalFormatting sqref="F371">
    <cfRule type="expression" dxfId="11174" priority="2939">
      <formula>B371=""</formula>
    </cfRule>
  </conditionalFormatting>
  <conditionalFormatting sqref="F372">
    <cfRule type="expression" dxfId="11173" priority="2938">
      <formula>B372=""</formula>
    </cfRule>
  </conditionalFormatting>
  <conditionalFormatting sqref="E353 E355 E357 E359 E361 E363 E365 E367 E369 E371">
    <cfRule type="expression" dxfId="11172" priority="2937">
      <formula>B353=""</formula>
    </cfRule>
  </conditionalFormatting>
  <conditionalFormatting sqref="E354:E364">
    <cfRule type="expression" dxfId="11171" priority="2936">
      <formula>B354=""</formula>
    </cfRule>
  </conditionalFormatting>
  <conditionalFormatting sqref="E365">
    <cfRule type="expression" dxfId="11170" priority="2935">
      <formula>B365=""</formula>
    </cfRule>
  </conditionalFormatting>
  <conditionalFormatting sqref="E366">
    <cfRule type="expression" dxfId="11169" priority="2934">
      <formula>B366=""</formula>
    </cfRule>
  </conditionalFormatting>
  <conditionalFormatting sqref="E367">
    <cfRule type="expression" dxfId="11168" priority="2933">
      <formula>B367=""</formula>
    </cfRule>
  </conditionalFormatting>
  <conditionalFormatting sqref="E368">
    <cfRule type="expression" dxfId="11167" priority="2932">
      <formula>B368=""</formula>
    </cfRule>
  </conditionalFormatting>
  <conditionalFormatting sqref="E369">
    <cfRule type="expression" dxfId="11166" priority="2931">
      <formula>B369=""</formula>
    </cfRule>
  </conditionalFormatting>
  <conditionalFormatting sqref="E370">
    <cfRule type="expression" dxfId="11165" priority="2930">
      <formula>B370=""</formula>
    </cfRule>
  </conditionalFormatting>
  <conditionalFormatting sqref="E371">
    <cfRule type="expression" dxfId="11164" priority="2929">
      <formula>B371=""</formula>
    </cfRule>
  </conditionalFormatting>
  <conditionalFormatting sqref="E372">
    <cfRule type="expression" dxfId="11163" priority="2928">
      <formula>B372=""</formula>
    </cfRule>
  </conditionalFormatting>
  <conditionalFormatting sqref="G352 G354 G356 G358 G360 G362 G364 G366 G368 G370">
    <cfRule type="expression" dxfId="11162" priority="2927">
      <formula>B352=""</formula>
    </cfRule>
  </conditionalFormatting>
  <conditionalFormatting sqref="G353 G355 G357 G359 G361 G363 G365 G367 G369 G371">
    <cfRule type="expression" dxfId="11161" priority="2926">
      <formula>B353=""</formula>
    </cfRule>
  </conditionalFormatting>
  <conditionalFormatting sqref="G354:G364">
    <cfRule type="expression" dxfId="11160" priority="2925">
      <formula>B354=""</formula>
    </cfRule>
  </conditionalFormatting>
  <conditionalFormatting sqref="G365">
    <cfRule type="expression" dxfId="11159" priority="2924">
      <formula>B365=""</formula>
    </cfRule>
  </conditionalFormatting>
  <conditionalFormatting sqref="G366">
    <cfRule type="expression" dxfId="11158" priority="2923">
      <formula>B366=""</formula>
    </cfRule>
  </conditionalFormatting>
  <conditionalFormatting sqref="G367">
    <cfRule type="expression" dxfId="11157" priority="2922">
      <formula>B367=""</formula>
    </cfRule>
  </conditionalFormatting>
  <conditionalFormatting sqref="G368">
    <cfRule type="expression" dxfId="11156" priority="2921">
      <formula>B368=""</formula>
    </cfRule>
  </conditionalFormatting>
  <conditionalFormatting sqref="G369">
    <cfRule type="expression" dxfId="11155" priority="2920">
      <formula>B369=""</formula>
    </cfRule>
  </conditionalFormatting>
  <conditionalFormatting sqref="G370">
    <cfRule type="expression" dxfId="11154" priority="2919">
      <formula>B370=""</formula>
    </cfRule>
  </conditionalFormatting>
  <conditionalFormatting sqref="G371">
    <cfRule type="expression" dxfId="11153" priority="2918">
      <formula>B371=""</formula>
    </cfRule>
  </conditionalFormatting>
  <conditionalFormatting sqref="G372">
    <cfRule type="expression" dxfId="11152" priority="2917">
      <formula>B372=""</formula>
    </cfRule>
  </conditionalFormatting>
  <conditionalFormatting sqref="H352 H354 H356 H358 H360 H362 H364 H366 H368 H370">
    <cfRule type="expression" dxfId="11151" priority="2916">
      <formula>B352=""</formula>
    </cfRule>
  </conditionalFormatting>
  <conditionalFormatting sqref="H353 H355 H357 H359 H361 H363 H365 H367 H369 H371">
    <cfRule type="expression" dxfId="11150" priority="2915">
      <formula>B353=""</formula>
    </cfRule>
  </conditionalFormatting>
  <conditionalFormatting sqref="H354:H364">
    <cfRule type="expression" dxfId="11149" priority="2914">
      <formula>B354=""</formula>
    </cfRule>
  </conditionalFormatting>
  <conditionalFormatting sqref="H365">
    <cfRule type="expression" dxfId="11148" priority="2913">
      <formula>B365=""</formula>
    </cfRule>
  </conditionalFormatting>
  <conditionalFormatting sqref="H366">
    <cfRule type="expression" dxfId="11147" priority="2912">
      <formula>B366=""</formula>
    </cfRule>
  </conditionalFormatting>
  <conditionalFormatting sqref="H367">
    <cfRule type="expression" dxfId="11146" priority="2911">
      <formula>B367=""</formula>
    </cfRule>
  </conditionalFormatting>
  <conditionalFormatting sqref="H368">
    <cfRule type="expression" dxfId="11145" priority="2910">
      <formula>B368=""</formula>
    </cfRule>
  </conditionalFormatting>
  <conditionalFormatting sqref="H369">
    <cfRule type="expression" dxfId="11144" priority="2909">
      <formula>B369=""</formula>
    </cfRule>
  </conditionalFormatting>
  <conditionalFormatting sqref="H370">
    <cfRule type="expression" dxfId="11143" priority="2908">
      <formula>B370=""</formula>
    </cfRule>
  </conditionalFormatting>
  <conditionalFormatting sqref="H371">
    <cfRule type="expression" dxfId="11142" priority="2907">
      <formula>B371=""</formula>
    </cfRule>
  </conditionalFormatting>
  <conditionalFormatting sqref="H372">
    <cfRule type="expression" dxfId="11141" priority="2906">
      <formula>B372=""</formula>
    </cfRule>
  </conditionalFormatting>
  <conditionalFormatting sqref="C374:C394">
    <cfRule type="expression" dxfId="11140" priority="2905">
      <formula>B374=""</formula>
    </cfRule>
  </conditionalFormatting>
  <conditionalFormatting sqref="C375 C377 C379 C381 C383 C385 C387 C389 C391 C393">
    <cfRule type="expression" dxfId="11139" priority="2904">
      <formula>B375=""</formula>
    </cfRule>
  </conditionalFormatting>
  <conditionalFormatting sqref="C376:C386">
    <cfRule type="expression" dxfId="11138" priority="2903">
      <formula>B376=""</formula>
    </cfRule>
  </conditionalFormatting>
  <conditionalFormatting sqref="C387">
    <cfRule type="expression" dxfId="11137" priority="2902">
      <formula>B387=""</formula>
    </cfRule>
  </conditionalFormatting>
  <conditionalFormatting sqref="C388">
    <cfRule type="expression" dxfId="11136" priority="2901">
      <formula>B388=""</formula>
    </cfRule>
  </conditionalFormatting>
  <conditionalFormatting sqref="C389">
    <cfRule type="expression" dxfId="11135" priority="2900">
      <formula>B389=""</formula>
    </cfRule>
  </conditionalFormatting>
  <conditionalFormatting sqref="C390">
    <cfRule type="expression" dxfId="11134" priority="2899">
      <formula>B390=""</formula>
    </cfRule>
  </conditionalFormatting>
  <conditionalFormatting sqref="C391">
    <cfRule type="expression" dxfId="11133" priority="2898">
      <formula>B391=""</formula>
    </cfRule>
  </conditionalFormatting>
  <conditionalFormatting sqref="C392">
    <cfRule type="expression" dxfId="11132" priority="2897">
      <formula>B392=""</formula>
    </cfRule>
  </conditionalFormatting>
  <conditionalFormatting sqref="C393">
    <cfRule type="expression" dxfId="11131" priority="2896">
      <formula>B393=""</formula>
    </cfRule>
  </conditionalFormatting>
  <conditionalFormatting sqref="C394">
    <cfRule type="expression" dxfId="11130" priority="2895">
      <formula>B394=""</formula>
    </cfRule>
  </conditionalFormatting>
  <conditionalFormatting sqref="D374 D376 D378 D380 D382 D384 D386 D388 D390 D392">
    <cfRule type="expression" dxfId="11129" priority="2894">
      <formula>B374=""</formula>
    </cfRule>
  </conditionalFormatting>
  <conditionalFormatting sqref="D375 D377 D379 D381 D383 D385 D387 D389 D391 D393">
    <cfRule type="expression" dxfId="11128" priority="2893">
      <formula>B375=""</formula>
    </cfRule>
  </conditionalFormatting>
  <conditionalFormatting sqref="D376:D386">
    <cfRule type="expression" dxfId="11127" priority="2892">
      <formula>B376=""</formula>
    </cfRule>
  </conditionalFormatting>
  <conditionalFormatting sqref="D387">
    <cfRule type="expression" dxfId="11126" priority="2891">
      <formula>B387=""</formula>
    </cfRule>
  </conditionalFormatting>
  <conditionalFormatting sqref="D388">
    <cfRule type="expression" dxfId="11125" priority="2890">
      <formula>B388=""</formula>
    </cfRule>
  </conditionalFormatting>
  <conditionalFormatting sqref="D389">
    <cfRule type="expression" dxfId="11124" priority="2889">
      <formula>B389=""</formula>
    </cfRule>
  </conditionalFormatting>
  <conditionalFormatting sqref="D390">
    <cfRule type="expression" dxfId="11123" priority="2888">
      <formula>B390=""</formula>
    </cfRule>
  </conditionalFormatting>
  <conditionalFormatting sqref="D391">
    <cfRule type="expression" dxfId="11122" priority="2887">
      <formula>B391=""</formula>
    </cfRule>
  </conditionalFormatting>
  <conditionalFormatting sqref="D392">
    <cfRule type="expression" dxfId="11121" priority="2886">
      <formula>B392=""</formula>
    </cfRule>
  </conditionalFormatting>
  <conditionalFormatting sqref="D393">
    <cfRule type="expression" dxfId="11120" priority="2885">
      <formula>B393=""</formula>
    </cfRule>
  </conditionalFormatting>
  <conditionalFormatting sqref="D394">
    <cfRule type="expression" dxfId="11119" priority="2884">
      <formula>B394=""</formula>
    </cfRule>
  </conditionalFormatting>
  <conditionalFormatting sqref="E374 E376 E378 E380 E382 E384 E386 E388 E390 E392">
    <cfRule type="expression" dxfId="11118" priority="2883">
      <formula>B374=""</formula>
    </cfRule>
  </conditionalFormatting>
  <conditionalFormatting sqref="E375 E377 E379 E381 E383 E385 E387 E389 E391 E393">
    <cfRule type="expression" dxfId="11117" priority="2882">
      <formula>B375=""</formula>
    </cfRule>
  </conditionalFormatting>
  <conditionalFormatting sqref="E376:E386">
    <cfRule type="expression" dxfId="11116" priority="2881">
      <formula>B376=""</formula>
    </cfRule>
  </conditionalFormatting>
  <conditionalFormatting sqref="E387">
    <cfRule type="expression" dxfId="11115" priority="2880">
      <formula>B387=""</formula>
    </cfRule>
  </conditionalFormatting>
  <conditionalFormatting sqref="E388">
    <cfRule type="expression" dxfId="11114" priority="2879">
      <formula>B388=""</formula>
    </cfRule>
  </conditionalFormatting>
  <conditionalFormatting sqref="E389">
    <cfRule type="expression" dxfId="11113" priority="2878">
      <formula>B389=""</formula>
    </cfRule>
  </conditionalFormatting>
  <conditionalFormatting sqref="E390">
    <cfRule type="expression" dxfId="11112" priority="2877">
      <formula>B390=""</formula>
    </cfRule>
  </conditionalFormatting>
  <conditionalFormatting sqref="E391">
    <cfRule type="expression" dxfId="11111" priority="2876">
      <formula>B391=""</formula>
    </cfRule>
  </conditionalFormatting>
  <conditionalFormatting sqref="E392">
    <cfRule type="expression" dxfId="11110" priority="2875">
      <formula>B392=""</formula>
    </cfRule>
  </conditionalFormatting>
  <conditionalFormatting sqref="E393">
    <cfRule type="expression" dxfId="11109" priority="2874">
      <formula>B393=""</formula>
    </cfRule>
  </conditionalFormatting>
  <conditionalFormatting sqref="E394">
    <cfRule type="expression" dxfId="11108" priority="2873">
      <formula>B394=""</formula>
    </cfRule>
  </conditionalFormatting>
  <conditionalFormatting sqref="F374 F376 F378 F380 F382 F384 F386 F388 F390 F392">
    <cfRule type="expression" dxfId="11107" priority="2872">
      <formula>B374=""</formula>
    </cfRule>
  </conditionalFormatting>
  <conditionalFormatting sqref="F375 F377 F379 F381 F383 F385 F387 F389 F391 F393">
    <cfRule type="expression" dxfId="11106" priority="2871">
      <formula>B375=""</formula>
    </cfRule>
  </conditionalFormatting>
  <conditionalFormatting sqref="F376:F386">
    <cfRule type="expression" dxfId="11105" priority="2870">
      <formula>B376=""</formula>
    </cfRule>
  </conditionalFormatting>
  <conditionalFormatting sqref="F387">
    <cfRule type="expression" dxfId="11104" priority="2869">
      <formula>B387=""</formula>
    </cfRule>
  </conditionalFormatting>
  <conditionalFormatting sqref="F388">
    <cfRule type="expression" dxfId="11103" priority="2868">
      <formula>B388=""</formula>
    </cfRule>
  </conditionalFormatting>
  <conditionalFormatting sqref="F389">
    <cfRule type="expression" dxfId="11102" priority="2867">
      <formula>B389=""</formula>
    </cfRule>
  </conditionalFormatting>
  <conditionalFormatting sqref="F390">
    <cfRule type="expression" dxfId="11101" priority="2866">
      <formula>B390=""</formula>
    </cfRule>
  </conditionalFormatting>
  <conditionalFormatting sqref="F391">
    <cfRule type="expression" dxfId="11100" priority="2865">
      <formula>B391=""</formula>
    </cfRule>
  </conditionalFormatting>
  <conditionalFormatting sqref="F392">
    <cfRule type="expression" dxfId="11099" priority="2864">
      <formula>B392=""</formula>
    </cfRule>
  </conditionalFormatting>
  <conditionalFormatting sqref="F393">
    <cfRule type="expression" dxfId="11098" priority="2863">
      <formula>B393=""</formula>
    </cfRule>
  </conditionalFormatting>
  <conditionalFormatting sqref="F394">
    <cfRule type="expression" dxfId="11097" priority="2862">
      <formula>B394=""</formula>
    </cfRule>
  </conditionalFormatting>
  <conditionalFormatting sqref="E375 E377 E379 E381 E383 E385 E387 E389 E391 E393">
    <cfRule type="expression" dxfId="11096" priority="2861">
      <formula>B375=""</formula>
    </cfRule>
  </conditionalFormatting>
  <conditionalFormatting sqref="E376:E386">
    <cfRule type="expression" dxfId="11095" priority="2860">
      <formula>B376=""</formula>
    </cfRule>
  </conditionalFormatting>
  <conditionalFormatting sqref="E387">
    <cfRule type="expression" dxfId="11094" priority="2859">
      <formula>B387=""</formula>
    </cfRule>
  </conditionalFormatting>
  <conditionalFormatting sqref="E388">
    <cfRule type="expression" dxfId="11093" priority="2858">
      <formula>B388=""</formula>
    </cfRule>
  </conditionalFormatting>
  <conditionalFormatting sqref="E389">
    <cfRule type="expression" dxfId="11092" priority="2857">
      <formula>B389=""</formula>
    </cfRule>
  </conditionalFormatting>
  <conditionalFormatting sqref="E390">
    <cfRule type="expression" dxfId="11091" priority="2856">
      <formula>B390=""</formula>
    </cfRule>
  </conditionalFormatting>
  <conditionalFormatting sqref="E391">
    <cfRule type="expression" dxfId="11090" priority="2855">
      <formula>B391=""</formula>
    </cfRule>
  </conditionalFormatting>
  <conditionalFormatting sqref="E392">
    <cfRule type="expression" dxfId="11089" priority="2854">
      <formula>B392=""</formula>
    </cfRule>
  </conditionalFormatting>
  <conditionalFormatting sqref="E393">
    <cfRule type="expression" dxfId="11088" priority="2853">
      <formula>B393=""</formula>
    </cfRule>
  </conditionalFormatting>
  <conditionalFormatting sqref="E394">
    <cfRule type="expression" dxfId="11087" priority="2852">
      <formula>B394=""</formula>
    </cfRule>
  </conditionalFormatting>
  <conditionalFormatting sqref="G374 G376 G378 G380 G382 G384 G386 G388 G390 G392">
    <cfRule type="expression" dxfId="11086" priority="2851">
      <formula>B374=""</formula>
    </cfRule>
  </conditionalFormatting>
  <conditionalFormatting sqref="G375 G377 G379 G381 G383 G385 G387 G389 G391 G393">
    <cfRule type="expression" dxfId="11085" priority="2850">
      <formula>B375=""</formula>
    </cfRule>
  </conditionalFormatting>
  <conditionalFormatting sqref="G376:G386">
    <cfRule type="expression" dxfId="11084" priority="2849">
      <formula>B376=""</formula>
    </cfRule>
  </conditionalFormatting>
  <conditionalFormatting sqref="G387">
    <cfRule type="expression" dxfId="11083" priority="2848">
      <formula>B387=""</formula>
    </cfRule>
  </conditionalFormatting>
  <conditionalFormatting sqref="G388">
    <cfRule type="expression" dxfId="11082" priority="2847">
      <formula>B388=""</formula>
    </cfRule>
  </conditionalFormatting>
  <conditionalFormatting sqref="G389">
    <cfRule type="expression" dxfId="11081" priority="2846">
      <formula>B389=""</formula>
    </cfRule>
  </conditionalFormatting>
  <conditionalFormatting sqref="G390">
    <cfRule type="expression" dxfId="11080" priority="2845">
      <formula>B390=""</formula>
    </cfRule>
  </conditionalFormatting>
  <conditionalFormatting sqref="G391">
    <cfRule type="expression" dxfId="11079" priority="2844">
      <formula>B391=""</formula>
    </cfRule>
  </conditionalFormatting>
  <conditionalFormatting sqref="G392">
    <cfRule type="expression" dxfId="11078" priority="2843">
      <formula>B392=""</formula>
    </cfRule>
  </conditionalFormatting>
  <conditionalFormatting sqref="G393">
    <cfRule type="expression" dxfId="11077" priority="2842">
      <formula>B393=""</formula>
    </cfRule>
  </conditionalFormatting>
  <conditionalFormatting sqref="G394">
    <cfRule type="expression" dxfId="11076" priority="2841">
      <formula>B394=""</formula>
    </cfRule>
  </conditionalFormatting>
  <conditionalFormatting sqref="H374 H376 H378 H380 H382 H384 H386 H388 H390 H392">
    <cfRule type="expression" dxfId="11075" priority="2840">
      <formula>B374=""</formula>
    </cfRule>
  </conditionalFormatting>
  <conditionalFormatting sqref="H375 H377 H379 H381 H383 H385 H387 H389 H391 H393">
    <cfRule type="expression" dxfId="11074" priority="2839">
      <formula>B375=""</formula>
    </cfRule>
  </conditionalFormatting>
  <conditionalFormatting sqref="H376:H386">
    <cfRule type="expression" dxfId="11073" priority="2838">
      <formula>B376=""</formula>
    </cfRule>
  </conditionalFormatting>
  <conditionalFormatting sqref="H387">
    <cfRule type="expression" dxfId="11072" priority="2837">
      <formula>B387=""</formula>
    </cfRule>
  </conditionalFormatting>
  <conditionalFormatting sqref="H388">
    <cfRule type="expression" dxfId="11071" priority="2836">
      <formula>B388=""</formula>
    </cfRule>
  </conditionalFormatting>
  <conditionalFormatting sqref="H389">
    <cfRule type="expression" dxfId="11070" priority="2835">
      <formula>B389=""</formula>
    </cfRule>
  </conditionalFormatting>
  <conditionalFormatting sqref="H390">
    <cfRule type="expression" dxfId="11069" priority="2834">
      <formula>B390=""</formula>
    </cfRule>
  </conditionalFormatting>
  <conditionalFormatting sqref="H391">
    <cfRule type="expression" dxfId="11068" priority="2833">
      <formula>B391=""</formula>
    </cfRule>
  </conditionalFormatting>
  <conditionalFormatting sqref="H392">
    <cfRule type="expression" dxfId="11067" priority="2832">
      <formula>B392=""</formula>
    </cfRule>
  </conditionalFormatting>
  <conditionalFormatting sqref="H393">
    <cfRule type="expression" dxfId="11066" priority="2831">
      <formula>B393=""</formula>
    </cfRule>
  </conditionalFormatting>
  <conditionalFormatting sqref="H394">
    <cfRule type="expression" dxfId="11065" priority="2830">
      <formula>B394=""</formula>
    </cfRule>
  </conditionalFormatting>
  <conditionalFormatting sqref="C349">
    <cfRule type="expression" dxfId="11064" priority="2829">
      <formula>B349=""</formula>
    </cfRule>
  </conditionalFormatting>
  <conditionalFormatting sqref="C371">
    <cfRule type="expression" dxfId="11063" priority="2828">
      <formula>B371=""</formula>
    </cfRule>
  </conditionalFormatting>
  <conditionalFormatting sqref="C393">
    <cfRule type="expression" dxfId="11062" priority="2827">
      <formula>B393=""</formula>
    </cfRule>
  </conditionalFormatting>
  <conditionalFormatting sqref="C308:C328">
    <cfRule type="expression" dxfId="11061" priority="2826">
      <formula>B308=""</formula>
    </cfRule>
  </conditionalFormatting>
  <conditionalFormatting sqref="C309">
    <cfRule type="expression" dxfId="11060" priority="2825">
      <formula>B309=""</formula>
    </cfRule>
  </conditionalFormatting>
  <conditionalFormatting sqref="C310:C320">
    <cfRule type="expression" dxfId="11059" priority="2824">
      <formula>B310=""</formula>
    </cfRule>
  </conditionalFormatting>
  <conditionalFormatting sqref="C321">
    <cfRule type="expression" dxfId="11058" priority="2823">
      <formula>B321=""</formula>
    </cfRule>
  </conditionalFormatting>
  <conditionalFormatting sqref="C322">
    <cfRule type="expression" dxfId="11057" priority="2822">
      <formula>B322=""</formula>
    </cfRule>
  </conditionalFormatting>
  <conditionalFormatting sqref="C323">
    <cfRule type="expression" dxfId="11056" priority="2821">
      <formula>B323=""</formula>
    </cfRule>
  </conditionalFormatting>
  <conditionalFormatting sqref="C324">
    <cfRule type="expression" dxfId="11055" priority="2820">
      <formula>B324=""</formula>
    </cfRule>
  </conditionalFormatting>
  <conditionalFormatting sqref="C325">
    <cfRule type="expression" dxfId="11054" priority="2819">
      <formula>B325=""</formula>
    </cfRule>
  </conditionalFormatting>
  <conditionalFormatting sqref="C326">
    <cfRule type="expression" dxfId="11053" priority="2818">
      <formula>B326=""</formula>
    </cfRule>
  </conditionalFormatting>
  <conditionalFormatting sqref="C327">
    <cfRule type="expression" dxfId="11052" priority="2817">
      <formula>B327=""</formula>
    </cfRule>
  </conditionalFormatting>
  <conditionalFormatting sqref="C328">
    <cfRule type="expression" dxfId="11051" priority="2816">
      <formula>B328=""</formula>
    </cfRule>
  </conditionalFormatting>
  <conditionalFormatting sqref="C330:C350">
    <cfRule type="expression" dxfId="11050" priority="2815">
      <formula>B330=""</formula>
    </cfRule>
  </conditionalFormatting>
  <conditionalFormatting sqref="C331 C333 C335 C337 C339 C341 C343 C345 C347 C349">
    <cfRule type="expression" dxfId="11049" priority="2814">
      <formula>B331=""</formula>
    </cfRule>
  </conditionalFormatting>
  <conditionalFormatting sqref="C332:C342">
    <cfRule type="expression" dxfId="11048" priority="2813">
      <formula>B332=""</formula>
    </cfRule>
  </conditionalFormatting>
  <conditionalFormatting sqref="C343">
    <cfRule type="expression" dxfId="11047" priority="2812">
      <formula>B343=""</formula>
    </cfRule>
  </conditionalFormatting>
  <conditionalFormatting sqref="C344">
    <cfRule type="expression" dxfId="11046" priority="2811">
      <formula>B344=""</formula>
    </cfRule>
  </conditionalFormatting>
  <conditionalFormatting sqref="C345">
    <cfRule type="expression" dxfId="11045" priority="2810">
      <formula>B345=""</formula>
    </cfRule>
  </conditionalFormatting>
  <conditionalFormatting sqref="C346">
    <cfRule type="expression" dxfId="11044" priority="2809">
      <formula>B346=""</formula>
    </cfRule>
  </conditionalFormatting>
  <conditionalFormatting sqref="C347">
    <cfRule type="expression" dxfId="11043" priority="2808">
      <formula>B347=""</formula>
    </cfRule>
  </conditionalFormatting>
  <conditionalFormatting sqref="C348">
    <cfRule type="expression" dxfId="11042" priority="2807">
      <formula>B348=""</formula>
    </cfRule>
  </conditionalFormatting>
  <conditionalFormatting sqref="C349">
    <cfRule type="expression" dxfId="11041" priority="2806">
      <formula>B349=""</formula>
    </cfRule>
  </conditionalFormatting>
  <conditionalFormatting sqref="C350">
    <cfRule type="expression" dxfId="11040" priority="2805">
      <formula>B350=""</formula>
    </cfRule>
  </conditionalFormatting>
  <conditionalFormatting sqref="C352:C371">
    <cfRule type="expression" dxfId="11039" priority="2804">
      <formula>B352=""</formula>
    </cfRule>
  </conditionalFormatting>
  <conditionalFormatting sqref="C353 C355 C357 C359 C361 C363 C365 C367 C369 C371">
    <cfRule type="expression" dxfId="11038" priority="2803">
      <formula>B353=""</formula>
    </cfRule>
  </conditionalFormatting>
  <conditionalFormatting sqref="C354:C364">
    <cfRule type="expression" dxfId="11037" priority="2802">
      <formula>B354=""</formula>
    </cfRule>
  </conditionalFormatting>
  <conditionalFormatting sqref="C365">
    <cfRule type="expression" dxfId="11036" priority="2801">
      <formula>B365=""</formula>
    </cfRule>
  </conditionalFormatting>
  <conditionalFormatting sqref="C366">
    <cfRule type="expression" dxfId="11035" priority="2800">
      <formula>B366=""</formula>
    </cfRule>
  </conditionalFormatting>
  <conditionalFormatting sqref="C367">
    <cfRule type="expression" dxfId="11034" priority="2799">
      <formula>B367=""</formula>
    </cfRule>
  </conditionalFormatting>
  <conditionalFormatting sqref="C368">
    <cfRule type="expression" dxfId="11033" priority="2798">
      <formula>B368=""</formula>
    </cfRule>
  </conditionalFormatting>
  <conditionalFormatting sqref="C369">
    <cfRule type="expression" dxfId="11032" priority="2797">
      <formula>B369=""</formula>
    </cfRule>
  </conditionalFormatting>
  <conditionalFormatting sqref="C370">
    <cfRule type="expression" dxfId="11031" priority="2796">
      <formula>B370=""</formula>
    </cfRule>
  </conditionalFormatting>
  <conditionalFormatting sqref="C371">
    <cfRule type="expression" dxfId="11030" priority="2795">
      <formula>B371=""</formula>
    </cfRule>
  </conditionalFormatting>
  <conditionalFormatting sqref="C372">
    <cfRule type="expression" dxfId="11029" priority="2794">
      <formula>B372=""</formula>
    </cfRule>
  </conditionalFormatting>
  <conditionalFormatting sqref="C374:C394">
    <cfRule type="expression" dxfId="11028" priority="2793">
      <formula>B374=""</formula>
    </cfRule>
  </conditionalFormatting>
  <conditionalFormatting sqref="C375 C377 C379 C381 C383 C385 C387 C389 C391 C393">
    <cfRule type="expression" dxfId="11027" priority="2792">
      <formula>B375=""</formula>
    </cfRule>
  </conditionalFormatting>
  <conditionalFormatting sqref="C376:C386">
    <cfRule type="expression" dxfId="11026" priority="2791">
      <formula>B376=""</formula>
    </cfRule>
  </conditionalFormatting>
  <conditionalFormatting sqref="C387">
    <cfRule type="expression" dxfId="11025" priority="2790">
      <formula>B387=""</formula>
    </cfRule>
  </conditionalFormatting>
  <conditionalFormatting sqref="C388">
    <cfRule type="expression" dxfId="11024" priority="2789">
      <formula>B388=""</formula>
    </cfRule>
  </conditionalFormatting>
  <conditionalFormatting sqref="C389">
    <cfRule type="expression" dxfId="11023" priority="2788">
      <formula>B389=""</formula>
    </cfRule>
  </conditionalFormatting>
  <conditionalFormatting sqref="C390">
    <cfRule type="expression" dxfId="11022" priority="2787">
      <formula>B390=""</formula>
    </cfRule>
  </conditionalFormatting>
  <conditionalFormatting sqref="C391">
    <cfRule type="expression" dxfId="11021" priority="2786">
      <formula>B391=""</formula>
    </cfRule>
  </conditionalFormatting>
  <conditionalFormatting sqref="C392">
    <cfRule type="expression" dxfId="11020" priority="2785">
      <formula>B392=""</formula>
    </cfRule>
  </conditionalFormatting>
  <conditionalFormatting sqref="C393">
    <cfRule type="expression" dxfId="11019" priority="2784">
      <formula>B393=""</formula>
    </cfRule>
  </conditionalFormatting>
  <conditionalFormatting sqref="C394">
    <cfRule type="expression" dxfId="11018" priority="2783">
      <formula>B394=""</formula>
    </cfRule>
  </conditionalFormatting>
  <conditionalFormatting sqref="C308:C328">
    <cfRule type="expression" dxfId="11017" priority="2782">
      <formula>B308=""</formula>
    </cfRule>
  </conditionalFormatting>
  <conditionalFormatting sqref="C309">
    <cfRule type="expression" dxfId="11016" priority="2781">
      <formula>B309=""</formula>
    </cfRule>
  </conditionalFormatting>
  <conditionalFormatting sqref="C310:C320">
    <cfRule type="expression" dxfId="11015" priority="2780">
      <formula>B310=""</formula>
    </cfRule>
  </conditionalFormatting>
  <conditionalFormatting sqref="C321">
    <cfRule type="expression" dxfId="11014" priority="2779">
      <formula>B321=""</formula>
    </cfRule>
  </conditionalFormatting>
  <conditionalFormatting sqref="C322">
    <cfRule type="expression" dxfId="11013" priority="2778">
      <formula>B322=""</formula>
    </cfRule>
  </conditionalFormatting>
  <conditionalFormatting sqref="C323">
    <cfRule type="expression" dxfId="11012" priority="2777">
      <formula>B323=""</formula>
    </cfRule>
  </conditionalFormatting>
  <conditionalFormatting sqref="C324">
    <cfRule type="expression" dxfId="11011" priority="2776">
      <formula>B324=""</formula>
    </cfRule>
  </conditionalFormatting>
  <conditionalFormatting sqref="C325">
    <cfRule type="expression" dxfId="11010" priority="2775">
      <formula>B325=""</formula>
    </cfRule>
  </conditionalFormatting>
  <conditionalFormatting sqref="C326">
    <cfRule type="expression" dxfId="11009" priority="2774">
      <formula>B326=""</formula>
    </cfRule>
  </conditionalFormatting>
  <conditionalFormatting sqref="C327">
    <cfRule type="expression" dxfId="11008" priority="2773">
      <formula>B327=""</formula>
    </cfRule>
  </conditionalFormatting>
  <conditionalFormatting sqref="D308">
    <cfRule type="expression" dxfId="11007" priority="2772">
      <formula>B308=""</formula>
    </cfRule>
  </conditionalFormatting>
  <conditionalFormatting sqref="D309">
    <cfRule type="expression" dxfId="11006" priority="2771">
      <formula>B309=""</formula>
    </cfRule>
  </conditionalFormatting>
  <conditionalFormatting sqref="D310:D320">
    <cfRule type="expression" dxfId="11005" priority="2770">
      <formula>B310=""</formula>
    </cfRule>
  </conditionalFormatting>
  <conditionalFormatting sqref="D321">
    <cfRule type="expression" dxfId="11004" priority="2769">
      <formula>B321=""</formula>
    </cfRule>
  </conditionalFormatting>
  <conditionalFormatting sqref="D322">
    <cfRule type="expression" dxfId="11003" priority="2768">
      <formula>B322=""</formula>
    </cfRule>
  </conditionalFormatting>
  <conditionalFormatting sqref="D323">
    <cfRule type="expression" dxfId="11002" priority="2767">
      <formula>B323=""</formula>
    </cfRule>
  </conditionalFormatting>
  <conditionalFormatting sqref="D324">
    <cfRule type="expression" dxfId="11001" priority="2766">
      <formula>B324=""</formula>
    </cfRule>
  </conditionalFormatting>
  <conditionalFormatting sqref="D325">
    <cfRule type="expression" dxfId="11000" priority="2765">
      <formula>B325=""</formula>
    </cfRule>
  </conditionalFormatting>
  <conditionalFormatting sqref="D326">
    <cfRule type="expression" dxfId="10999" priority="2764">
      <formula>B326=""</formula>
    </cfRule>
  </conditionalFormatting>
  <conditionalFormatting sqref="D327">
    <cfRule type="expression" dxfId="10998" priority="2763">
      <formula>B327=""</formula>
    </cfRule>
  </conditionalFormatting>
  <conditionalFormatting sqref="E308:E327">
    <cfRule type="expression" dxfId="10997" priority="2762">
      <formula>B308=""</formula>
    </cfRule>
  </conditionalFormatting>
  <conditionalFormatting sqref="E309 E311 E313 E315 E317 E319 E321 E323 E325 E327">
    <cfRule type="expression" dxfId="10996" priority="2761">
      <formula>B309=""</formula>
    </cfRule>
  </conditionalFormatting>
  <conditionalFormatting sqref="E310:E320">
    <cfRule type="expression" dxfId="10995" priority="2760">
      <formula>B310=""</formula>
    </cfRule>
  </conditionalFormatting>
  <conditionalFormatting sqref="E321">
    <cfRule type="expression" dxfId="10994" priority="2759">
      <formula>B321=""</formula>
    </cfRule>
  </conditionalFormatting>
  <conditionalFormatting sqref="E322">
    <cfRule type="expression" dxfId="10993" priority="2758">
      <formula>B322=""</formula>
    </cfRule>
  </conditionalFormatting>
  <conditionalFormatting sqref="E323">
    <cfRule type="expression" dxfId="10992" priority="2757">
      <formula>B323=""</formula>
    </cfRule>
  </conditionalFormatting>
  <conditionalFormatting sqref="E324">
    <cfRule type="expression" dxfId="10991" priority="2756">
      <formula>B324=""</formula>
    </cfRule>
  </conditionalFormatting>
  <conditionalFormatting sqref="E325">
    <cfRule type="expression" dxfId="10990" priority="2755">
      <formula>B325=""</formula>
    </cfRule>
  </conditionalFormatting>
  <conditionalFormatting sqref="E326">
    <cfRule type="expression" dxfId="10989" priority="2754">
      <formula>B326=""</formula>
    </cfRule>
  </conditionalFormatting>
  <conditionalFormatting sqref="E327">
    <cfRule type="expression" dxfId="10988" priority="2753">
      <formula>B327=""</formula>
    </cfRule>
  </conditionalFormatting>
  <conditionalFormatting sqref="F308:F327">
    <cfRule type="expression" dxfId="10987" priority="2752">
      <formula>B308=""</formula>
    </cfRule>
  </conditionalFormatting>
  <conditionalFormatting sqref="F309 F311 F313 F315 F317 F319 F321 F323 F325 F327">
    <cfRule type="expression" dxfId="10986" priority="2751">
      <formula>B309=""</formula>
    </cfRule>
  </conditionalFormatting>
  <conditionalFormatting sqref="F310:F320">
    <cfRule type="expression" dxfId="10985" priority="2750">
      <formula>B310=""</formula>
    </cfRule>
  </conditionalFormatting>
  <conditionalFormatting sqref="F321">
    <cfRule type="expression" dxfId="10984" priority="2749">
      <formula>B321=""</formula>
    </cfRule>
  </conditionalFormatting>
  <conditionalFormatting sqref="F322">
    <cfRule type="expression" dxfId="10983" priority="2748">
      <formula>B322=""</formula>
    </cfRule>
  </conditionalFormatting>
  <conditionalFormatting sqref="F323">
    <cfRule type="expression" dxfId="10982" priority="2747">
      <formula>B323=""</formula>
    </cfRule>
  </conditionalFormatting>
  <conditionalFormatting sqref="F324">
    <cfRule type="expression" dxfId="10981" priority="2746">
      <formula>B324=""</formula>
    </cfRule>
  </conditionalFormatting>
  <conditionalFormatting sqref="F325">
    <cfRule type="expression" dxfId="10980" priority="2745">
      <formula>B325=""</formula>
    </cfRule>
  </conditionalFormatting>
  <conditionalFormatting sqref="F326">
    <cfRule type="expression" dxfId="10979" priority="2744">
      <formula>B326=""</formula>
    </cfRule>
  </conditionalFormatting>
  <conditionalFormatting sqref="F327">
    <cfRule type="expression" dxfId="10978" priority="2743">
      <formula>B327=""</formula>
    </cfRule>
  </conditionalFormatting>
  <conditionalFormatting sqref="E309 E311 E313 E315 E317 E319 E321 E323 E325 E327">
    <cfRule type="expression" dxfId="10977" priority="2742">
      <formula>B309=""</formula>
    </cfRule>
  </conditionalFormatting>
  <conditionalFormatting sqref="E310:E320">
    <cfRule type="expression" dxfId="10976" priority="2741">
      <formula>B310=""</formula>
    </cfRule>
  </conditionalFormatting>
  <conditionalFormatting sqref="E321">
    <cfRule type="expression" dxfId="10975" priority="2740">
      <formula>B321=""</formula>
    </cfRule>
  </conditionalFormatting>
  <conditionalFormatting sqref="E322">
    <cfRule type="expression" dxfId="10974" priority="2739">
      <formula>B322=""</formula>
    </cfRule>
  </conditionalFormatting>
  <conditionalFormatting sqref="E323">
    <cfRule type="expression" dxfId="10973" priority="2738">
      <formula>B323=""</formula>
    </cfRule>
  </conditionalFormatting>
  <conditionalFormatting sqref="E324">
    <cfRule type="expression" dxfId="10972" priority="2737">
      <formula>B324=""</formula>
    </cfRule>
  </conditionalFormatting>
  <conditionalFormatting sqref="E325">
    <cfRule type="expression" dxfId="10971" priority="2736">
      <formula>B325=""</formula>
    </cfRule>
  </conditionalFormatting>
  <conditionalFormatting sqref="E326">
    <cfRule type="expression" dxfId="10970" priority="2735">
      <formula>B326=""</formula>
    </cfRule>
  </conditionalFormatting>
  <conditionalFormatting sqref="E327">
    <cfRule type="expression" dxfId="10969" priority="2734">
      <formula>B327=""</formula>
    </cfRule>
  </conditionalFormatting>
  <conditionalFormatting sqref="G308:G327">
    <cfRule type="expression" dxfId="10968" priority="2733">
      <formula>B308=""</formula>
    </cfRule>
  </conditionalFormatting>
  <conditionalFormatting sqref="G309 G311 G313 G315 G317 G319 G321 G323 G325 G327">
    <cfRule type="expression" dxfId="10967" priority="2732">
      <formula>B309=""</formula>
    </cfRule>
  </conditionalFormatting>
  <conditionalFormatting sqref="G310:G320">
    <cfRule type="expression" dxfId="10966" priority="2731">
      <formula>B310=""</formula>
    </cfRule>
  </conditionalFormatting>
  <conditionalFormatting sqref="G321">
    <cfRule type="expression" dxfId="10965" priority="2730">
      <formula>B321=""</formula>
    </cfRule>
  </conditionalFormatting>
  <conditionalFormatting sqref="G322">
    <cfRule type="expression" dxfId="10964" priority="2729">
      <formula>B322=""</formula>
    </cfRule>
  </conditionalFormatting>
  <conditionalFormatting sqref="G323">
    <cfRule type="expression" dxfId="10963" priority="2728">
      <formula>B323=""</formula>
    </cfRule>
  </conditionalFormatting>
  <conditionalFormatting sqref="G324">
    <cfRule type="expression" dxfId="10962" priority="2727">
      <formula>B324=""</formula>
    </cfRule>
  </conditionalFormatting>
  <conditionalFormatting sqref="G325">
    <cfRule type="expression" dxfId="10961" priority="2726">
      <formula>B325=""</formula>
    </cfRule>
  </conditionalFormatting>
  <conditionalFormatting sqref="G326">
    <cfRule type="expression" dxfId="10960" priority="2725">
      <formula>B326=""</formula>
    </cfRule>
  </conditionalFormatting>
  <conditionalFormatting sqref="G327">
    <cfRule type="expression" dxfId="10959" priority="2724">
      <formula>B327=""</formula>
    </cfRule>
  </conditionalFormatting>
  <conditionalFormatting sqref="H308 H310 H312 H314 H316 H318 H320 H322 H324 H326">
    <cfRule type="expression" dxfId="10958" priority="2723">
      <formula>B308=""</formula>
    </cfRule>
  </conditionalFormatting>
  <conditionalFormatting sqref="H309 H311 H313 H315 H317 H319 H321 H323 H325 H327">
    <cfRule type="expression" dxfId="10957" priority="2722">
      <formula>B309=""</formula>
    </cfRule>
  </conditionalFormatting>
  <conditionalFormatting sqref="H310:H320">
    <cfRule type="expression" dxfId="10956" priority="2721">
      <formula>B310=""</formula>
    </cfRule>
  </conditionalFormatting>
  <conditionalFormatting sqref="H321">
    <cfRule type="expression" dxfId="10955" priority="2720">
      <formula>B321=""</formula>
    </cfRule>
  </conditionalFormatting>
  <conditionalFormatting sqref="H322">
    <cfRule type="expression" dxfId="10954" priority="2719">
      <formula>B322=""</formula>
    </cfRule>
  </conditionalFormatting>
  <conditionalFormatting sqref="H323">
    <cfRule type="expression" dxfId="10953" priority="2718">
      <formula>B323=""</formula>
    </cfRule>
  </conditionalFormatting>
  <conditionalFormatting sqref="H324">
    <cfRule type="expression" dxfId="10952" priority="2717">
      <formula>B324=""</formula>
    </cfRule>
  </conditionalFormatting>
  <conditionalFormatting sqref="H325">
    <cfRule type="expression" dxfId="10951" priority="2716">
      <formula>B325=""</formula>
    </cfRule>
  </conditionalFormatting>
  <conditionalFormatting sqref="H326">
    <cfRule type="expression" dxfId="10950" priority="2715">
      <formula>B326=""</formula>
    </cfRule>
  </conditionalFormatting>
  <conditionalFormatting sqref="H327">
    <cfRule type="expression" dxfId="10949" priority="2714">
      <formula>B327=""</formula>
    </cfRule>
  </conditionalFormatting>
  <conditionalFormatting sqref="F308 F310 F312 F314 F316 F318 F320 F322 F324 F326">
    <cfRule type="expression" dxfId="10948" priority="2713">
      <formula>B308=""</formula>
    </cfRule>
  </conditionalFormatting>
  <conditionalFormatting sqref="F309 F311 F313 F315 F317 F319 F321 F323 F325 F327">
    <cfRule type="expression" dxfId="10947" priority="2712">
      <formula>B309=""</formula>
    </cfRule>
  </conditionalFormatting>
  <conditionalFormatting sqref="F310:F320">
    <cfRule type="expression" dxfId="10946" priority="2711">
      <formula>B310=""</formula>
    </cfRule>
  </conditionalFormatting>
  <conditionalFormatting sqref="F321">
    <cfRule type="expression" dxfId="10945" priority="2710">
      <formula>B321=""</formula>
    </cfRule>
  </conditionalFormatting>
  <conditionalFormatting sqref="F322">
    <cfRule type="expression" dxfId="10944" priority="2709">
      <formula>B322=""</formula>
    </cfRule>
  </conditionalFormatting>
  <conditionalFormatting sqref="F323">
    <cfRule type="expression" dxfId="10943" priority="2708">
      <formula>B323=""</formula>
    </cfRule>
  </conditionalFormatting>
  <conditionalFormatting sqref="F324">
    <cfRule type="expression" dxfId="10942" priority="2707">
      <formula>B324=""</formula>
    </cfRule>
  </conditionalFormatting>
  <conditionalFormatting sqref="F325">
    <cfRule type="expression" dxfId="10941" priority="2706">
      <formula>B325=""</formula>
    </cfRule>
  </conditionalFormatting>
  <conditionalFormatting sqref="F326">
    <cfRule type="expression" dxfId="10940" priority="2705">
      <formula>B326=""</formula>
    </cfRule>
  </conditionalFormatting>
  <conditionalFormatting sqref="F327">
    <cfRule type="expression" dxfId="10939" priority="2704">
      <formula>B327=""</formula>
    </cfRule>
  </conditionalFormatting>
  <conditionalFormatting sqref="C330:C349">
    <cfRule type="expression" dxfId="10938" priority="2703">
      <formula>B330=""</formula>
    </cfRule>
  </conditionalFormatting>
  <conditionalFormatting sqref="C331 C333 C335 C337 C339 C341 C343 C345 C347 C349">
    <cfRule type="expression" dxfId="10937" priority="2702">
      <formula>B331=""</formula>
    </cfRule>
  </conditionalFormatting>
  <conditionalFormatting sqref="C332:C342">
    <cfRule type="expression" dxfId="10936" priority="2701">
      <formula>B332=""</formula>
    </cfRule>
  </conditionalFormatting>
  <conditionalFormatting sqref="C343">
    <cfRule type="expression" dxfId="10935" priority="2700">
      <formula>B343=""</formula>
    </cfRule>
  </conditionalFormatting>
  <conditionalFormatting sqref="C344">
    <cfRule type="expression" dxfId="10934" priority="2699">
      <formula>B344=""</formula>
    </cfRule>
  </conditionalFormatting>
  <conditionalFormatting sqref="C345">
    <cfRule type="expression" dxfId="10933" priority="2698">
      <formula>B345=""</formula>
    </cfRule>
  </conditionalFormatting>
  <conditionalFormatting sqref="C346">
    <cfRule type="expression" dxfId="10932" priority="2697">
      <formula>B346=""</formula>
    </cfRule>
  </conditionalFormatting>
  <conditionalFormatting sqref="C347">
    <cfRule type="expression" dxfId="10931" priority="2696">
      <formula>B347=""</formula>
    </cfRule>
  </conditionalFormatting>
  <conditionalFormatting sqref="C348">
    <cfRule type="expression" dxfId="10930" priority="2695">
      <formula>B348=""</formula>
    </cfRule>
  </conditionalFormatting>
  <conditionalFormatting sqref="C349">
    <cfRule type="expression" dxfId="10929" priority="2694">
      <formula>B349=""</formula>
    </cfRule>
  </conditionalFormatting>
  <conditionalFormatting sqref="D330 D332 D334 D336 D338 D340 D342 D344 D346 D348">
    <cfRule type="expression" dxfId="10928" priority="2693">
      <formula>B330=""</formula>
    </cfRule>
  </conditionalFormatting>
  <conditionalFormatting sqref="D331 D333 D335 D337 D339 D341 D343 D345 D347 D349">
    <cfRule type="expression" dxfId="10927" priority="2692">
      <formula>B331=""</formula>
    </cfRule>
  </conditionalFormatting>
  <conditionalFormatting sqref="D332:D342">
    <cfRule type="expression" dxfId="10926" priority="2691">
      <formula>B332=""</formula>
    </cfRule>
  </conditionalFormatting>
  <conditionalFormatting sqref="D343">
    <cfRule type="expression" dxfId="10925" priority="2690">
      <formula>B343=""</formula>
    </cfRule>
  </conditionalFormatting>
  <conditionalFormatting sqref="D344">
    <cfRule type="expression" dxfId="10924" priority="2689">
      <formula>B344=""</formula>
    </cfRule>
  </conditionalFormatting>
  <conditionalFormatting sqref="D345">
    <cfRule type="expression" dxfId="10923" priority="2688">
      <formula>B345=""</formula>
    </cfRule>
  </conditionalFormatting>
  <conditionalFormatting sqref="D346">
    <cfRule type="expression" dxfId="10922" priority="2687">
      <formula>B346=""</formula>
    </cfRule>
  </conditionalFormatting>
  <conditionalFormatting sqref="D347">
    <cfRule type="expression" dxfId="10921" priority="2686">
      <formula>B347=""</formula>
    </cfRule>
  </conditionalFormatting>
  <conditionalFormatting sqref="D348">
    <cfRule type="expression" dxfId="10920" priority="2685">
      <formula>B348=""</formula>
    </cfRule>
  </conditionalFormatting>
  <conditionalFormatting sqref="D349">
    <cfRule type="expression" dxfId="10919" priority="2684">
      <formula>B349=""</formula>
    </cfRule>
  </conditionalFormatting>
  <conditionalFormatting sqref="E330 E332 E334 E336 E338 E340 E342 E344 E346 E348">
    <cfRule type="expression" dxfId="10918" priority="2683">
      <formula>B330=""</formula>
    </cfRule>
  </conditionalFormatting>
  <conditionalFormatting sqref="E331 E333 E335 E337 E339 E341 E343 E345 E347 E349">
    <cfRule type="expression" dxfId="10917" priority="2682">
      <formula>B331=""</formula>
    </cfRule>
  </conditionalFormatting>
  <conditionalFormatting sqref="E332:E342">
    <cfRule type="expression" dxfId="10916" priority="2681">
      <formula>B332=""</formula>
    </cfRule>
  </conditionalFormatting>
  <conditionalFormatting sqref="E343">
    <cfRule type="expression" dxfId="10915" priority="2680">
      <formula>B343=""</formula>
    </cfRule>
  </conditionalFormatting>
  <conditionalFormatting sqref="E344">
    <cfRule type="expression" dxfId="10914" priority="2679">
      <formula>B344=""</formula>
    </cfRule>
  </conditionalFormatting>
  <conditionalFormatting sqref="E345">
    <cfRule type="expression" dxfId="10913" priority="2678">
      <formula>B345=""</formula>
    </cfRule>
  </conditionalFormatting>
  <conditionalFormatting sqref="E346">
    <cfRule type="expression" dxfId="10912" priority="2677">
      <formula>B346=""</formula>
    </cfRule>
  </conditionalFormatting>
  <conditionalFormatting sqref="E347">
    <cfRule type="expression" dxfId="10911" priority="2676">
      <formula>B347=""</formula>
    </cfRule>
  </conditionalFormatting>
  <conditionalFormatting sqref="E348">
    <cfRule type="expression" dxfId="10910" priority="2675">
      <formula>B348=""</formula>
    </cfRule>
  </conditionalFormatting>
  <conditionalFormatting sqref="E349">
    <cfRule type="expression" dxfId="10909" priority="2674">
      <formula>B349=""</formula>
    </cfRule>
  </conditionalFormatting>
  <conditionalFormatting sqref="F330 F332 F334 F336 F338 F340 F342 F344 F346 F348">
    <cfRule type="expression" dxfId="10908" priority="2673">
      <formula>B330=""</formula>
    </cfRule>
  </conditionalFormatting>
  <conditionalFormatting sqref="F331 F333 F335 F337 F339 F341 F343 F345 F347 F349">
    <cfRule type="expression" dxfId="10907" priority="2672">
      <formula>B331=""</formula>
    </cfRule>
  </conditionalFormatting>
  <conditionalFormatting sqref="F332:F342">
    <cfRule type="expression" dxfId="10906" priority="2671">
      <formula>B332=""</formula>
    </cfRule>
  </conditionalFormatting>
  <conditionalFormatting sqref="F343">
    <cfRule type="expression" dxfId="10905" priority="2670">
      <formula>B343=""</formula>
    </cfRule>
  </conditionalFormatting>
  <conditionalFormatting sqref="F344">
    <cfRule type="expression" dxfId="10904" priority="2669">
      <formula>B344=""</formula>
    </cfRule>
  </conditionalFormatting>
  <conditionalFormatting sqref="F345">
    <cfRule type="expression" dxfId="10903" priority="2668">
      <formula>B345=""</formula>
    </cfRule>
  </conditionalFormatting>
  <conditionalFormatting sqref="F346">
    <cfRule type="expression" dxfId="10902" priority="2667">
      <formula>B346=""</formula>
    </cfRule>
  </conditionalFormatting>
  <conditionalFormatting sqref="F347">
    <cfRule type="expression" dxfId="10901" priority="2666">
      <formula>B347=""</formula>
    </cfRule>
  </conditionalFormatting>
  <conditionalFormatting sqref="F348">
    <cfRule type="expression" dxfId="10900" priority="2665">
      <formula>B348=""</formula>
    </cfRule>
  </conditionalFormatting>
  <conditionalFormatting sqref="F349">
    <cfRule type="expression" dxfId="10899" priority="2664">
      <formula>B349=""</formula>
    </cfRule>
  </conditionalFormatting>
  <conditionalFormatting sqref="E331 E333 E335 E337 E339 E341 E343 E345 E347 E349">
    <cfRule type="expression" dxfId="10898" priority="2663">
      <formula>B331=""</formula>
    </cfRule>
  </conditionalFormatting>
  <conditionalFormatting sqref="E332:E342">
    <cfRule type="expression" dxfId="10897" priority="2662">
      <formula>B332=""</formula>
    </cfRule>
  </conditionalFormatting>
  <conditionalFormatting sqref="E343">
    <cfRule type="expression" dxfId="10896" priority="2661">
      <formula>B343=""</formula>
    </cfRule>
  </conditionalFormatting>
  <conditionalFormatting sqref="E344">
    <cfRule type="expression" dxfId="10895" priority="2660">
      <formula>B344=""</formula>
    </cfRule>
  </conditionalFormatting>
  <conditionalFormatting sqref="E345">
    <cfRule type="expression" dxfId="10894" priority="2659">
      <formula>B345=""</formula>
    </cfRule>
  </conditionalFormatting>
  <conditionalFormatting sqref="E346">
    <cfRule type="expression" dxfId="10893" priority="2658">
      <formula>B346=""</formula>
    </cfRule>
  </conditionalFormatting>
  <conditionalFormatting sqref="E347">
    <cfRule type="expression" dxfId="10892" priority="2657">
      <formula>B347=""</formula>
    </cfRule>
  </conditionalFormatting>
  <conditionalFormatting sqref="E348">
    <cfRule type="expression" dxfId="10891" priority="2656">
      <formula>B348=""</formula>
    </cfRule>
  </conditionalFormatting>
  <conditionalFormatting sqref="E349">
    <cfRule type="expression" dxfId="10890" priority="2655">
      <formula>B349=""</formula>
    </cfRule>
  </conditionalFormatting>
  <conditionalFormatting sqref="G330 G332 G334 G336 G338 G340 G342 G344 G346 G348">
    <cfRule type="expression" dxfId="10889" priority="2654">
      <formula>B330=""</formula>
    </cfRule>
  </conditionalFormatting>
  <conditionalFormatting sqref="G331 G333 G335 G337 G339 G341 G343 G345 G347 G349">
    <cfRule type="expression" dxfId="10888" priority="2653">
      <formula>B331=""</formula>
    </cfRule>
  </conditionalFormatting>
  <conditionalFormatting sqref="G332:G342">
    <cfRule type="expression" dxfId="10887" priority="2652">
      <formula>B332=""</formula>
    </cfRule>
  </conditionalFormatting>
  <conditionalFormatting sqref="G343">
    <cfRule type="expression" dxfId="10886" priority="2651">
      <formula>B343=""</formula>
    </cfRule>
  </conditionalFormatting>
  <conditionalFormatting sqref="G344">
    <cfRule type="expression" dxfId="10885" priority="2650">
      <formula>B344=""</formula>
    </cfRule>
  </conditionalFormatting>
  <conditionalFormatting sqref="G345">
    <cfRule type="expression" dxfId="10884" priority="2649">
      <formula>B345=""</formula>
    </cfRule>
  </conditionalFormatting>
  <conditionalFormatting sqref="G346">
    <cfRule type="expression" dxfId="10883" priority="2648">
      <formula>B346=""</formula>
    </cfRule>
  </conditionalFormatting>
  <conditionalFormatting sqref="G347">
    <cfRule type="expression" dxfId="10882" priority="2647">
      <formula>B347=""</formula>
    </cfRule>
  </conditionalFormatting>
  <conditionalFormatting sqref="G348">
    <cfRule type="expression" dxfId="10881" priority="2646">
      <formula>B348=""</formula>
    </cfRule>
  </conditionalFormatting>
  <conditionalFormatting sqref="G349">
    <cfRule type="expression" dxfId="10880" priority="2645">
      <formula>B349=""</formula>
    </cfRule>
  </conditionalFormatting>
  <conditionalFormatting sqref="H330 H332 H334 H336 H338 H340 H342 H344 H346 H348">
    <cfRule type="expression" dxfId="10879" priority="2644">
      <formula>B330=""</formula>
    </cfRule>
  </conditionalFormatting>
  <conditionalFormatting sqref="H331 H333 H335 H337 H339 H341 H343 H345 H347 H349">
    <cfRule type="expression" dxfId="10878" priority="2643">
      <formula>B331=""</formula>
    </cfRule>
  </conditionalFormatting>
  <conditionalFormatting sqref="H332:H342">
    <cfRule type="expression" dxfId="10877" priority="2642">
      <formula>B332=""</formula>
    </cfRule>
  </conditionalFormatting>
  <conditionalFormatting sqref="H343">
    <cfRule type="expression" dxfId="10876" priority="2641">
      <formula>B343=""</formula>
    </cfRule>
  </conditionalFormatting>
  <conditionalFormatting sqref="H344">
    <cfRule type="expression" dxfId="10875" priority="2640">
      <formula>B344=""</formula>
    </cfRule>
  </conditionalFormatting>
  <conditionalFormatting sqref="H345">
    <cfRule type="expression" dxfId="10874" priority="2639">
      <formula>B345=""</formula>
    </cfRule>
  </conditionalFormatting>
  <conditionalFormatting sqref="H346">
    <cfRule type="expression" dxfId="10873" priority="2638">
      <formula>B346=""</formula>
    </cfRule>
  </conditionalFormatting>
  <conditionalFormatting sqref="H347">
    <cfRule type="expression" dxfId="10872" priority="2637">
      <formula>B347=""</formula>
    </cfRule>
  </conditionalFormatting>
  <conditionalFormatting sqref="H348">
    <cfRule type="expression" dxfId="10871" priority="2636">
      <formula>B348=""</formula>
    </cfRule>
  </conditionalFormatting>
  <conditionalFormatting sqref="H349">
    <cfRule type="expression" dxfId="10870" priority="2635">
      <formula>B349=""</formula>
    </cfRule>
  </conditionalFormatting>
  <conditionalFormatting sqref="C330:C349">
    <cfRule type="expression" dxfId="10869" priority="2634">
      <formula>B330=""</formula>
    </cfRule>
  </conditionalFormatting>
  <conditionalFormatting sqref="C331 C333 C335 C337 C339 C341 C343 C345 C347 C349">
    <cfRule type="expression" dxfId="10868" priority="2633">
      <formula>B331=""</formula>
    </cfRule>
  </conditionalFormatting>
  <conditionalFormatting sqref="C332:C342">
    <cfRule type="expression" dxfId="10867" priority="2632">
      <formula>B332=""</formula>
    </cfRule>
  </conditionalFormatting>
  <conditionalFormatting sqref="C343">
    <cfRule type="expression" dxfId="10866" priority="2631">
      <formula>B343=""</formula>
    </cfRule>
  </conditionalFormatting>
  <conditionalFormatting sqref="C344">
    <cfRule type="expression" dxfId="10865" priority="2630">
      <formula>B344=""</formula>
    </cfRule>
  </conditionalFormatting>
  <conditionalFormatting sqref="C345">
    <cfRule type="expression" dxfId="10864" priority="2629">
      <formula>B345=""</formula>
    </cfRule>
  </conditionalFormatting>
  <conditionalFormatting sqref="C346">
    <cfRule type="expression" dxfId="10863" priority="2628">
      <formula>B346=""</formula>
    </cfRule>
  </conditionalFormatting>
  <conditionalFormatting sqref="C347">
    <cfRule type="expression" dxfId="10862" priority="2627">
      <formula>B347=""</formula>
    </cfRule>
  </conditionalFormatting>
  <conditionalFormatting sqref="C348">
    <cfRule type="expression" dxfId="10861" priority="2626">
      <formula>B348=""</formula>
    </cfRule>
  </conditionalFormatting>
  <conditionalFormatting sqref="C349">
    <cfRule type="expression" dxfId="10860" priority="2625">
      <formula>B349=""</formula>
    </cfRule>
  </conditionalFormatting>
  <conditionalFormatting sqref="C330 C332 C334 C336 C338 C340 C342 C344 C346 C348">
    <cfRule type="expression" dxfId="10859" priority="2624">
      <formula>B330=""</formula>
    </cfRule>
  </conditionalFormatting>
  <conditionalFormatting sqref="C331 C333 C335 C337 C339 C341 C343 C345 C347 C349">
    <cfRule type="expression" dxfId="10858" priority="2623">
      <formula>B331=""</formula>
    </cfRule>
  </conditionalFormatting>
  <conditionalFormatting sqref="C332:C342">
    <cfRule type="expression" dxfId="10857" priority="2622">
      <formula>B332=""</formula>
    </cfRule>
  </conditionalFormatting>
  <conditionalFormatting sqref="C343">
    <cfRule type="expression" dxfId="10856" priority="2621">
      <formula>B343=""</formula>
    </cfRule>
  </conditionalFormatting>
  <conditionalFormatting sqref="C344">
    <cfRule type="expression" dxfId="10855" priority="2620">
      <formula>B344=""</formula>
    </cfRule>
  </conditionalFormatting>
  <conditionalFormatting sqref="C345">
    <cfRule type="expression" dxfId="10854" priority="2619">
      <formula>B345=""</formula>
    </cfRule>
  </conditionalFormatting>
  <conditionalFormatting sqref="C346">
    <cfRule type="expression" dxfId="10853" priority="2618">
      <formula>B346=""</formula>
    </cfRule>
  </conditionalFormatting>
  <conditionalFormatting sqref="C347">
    <cfRule type="expression" dxfId="10852" priority="2617">
      <formula>B347=""</formula>
    </cfRule>
  </conditionalFormatting>
  <conditionalFormatting sqref="C348">
    <cfRule type="expression" dxfId="10851" priority="2616">
      <formula>B348=""</formula>
    </cfRule>
  </conditionalFormatting>
  <conditionalFormatting sqref="C349">
    <cfRule type="expression" dxfId="10850" priority="2615">
      <formula>B349=""</formula>
    </cfRule>
  </conditionalFormatting>
  <conditionalFormatting sqref="D330 D332 D334 D336 D338 D340 D342 D344 D346 D348">
    <cfRule type="expression" dxfId="10849" priority="2614">
      <formula>B330=""</formula>
    </cfRule>
  </conditionalFormatting>
  <conditionalFormatting sqref="D331 D333 D335 D337 D339 D341 D343 D345 D347 D349">
    <cfRule type="expression" dxfId="10848" priority="2613">
      <formula>B331=""</formula>
    </cfRule>
  </conditionalFormatting>
  <conditionalFormatting sqref="D332:D342">
    <cfRule type="expression" dxfId="10847" priority="2612">
      <formula>B332=""</formula>
    </cfRule>
  </conditionalFormatting>
  <conditionalFormatting sqref="D343">
    <cfRule type="expression" dxfId="10846" priority="2611">
      <formula>B343=""</formula>
    </cfRule>
  </conditionalFormatting>
  <conditionalFormatting sqref="D344">
    <cfRule type="expression" dxfId="10845" priority="2610">
      <formula>B344=""</formula>
    </cfRule>
  </conditionalFormatting>
  <conditionalFormatting sqref="D345">
    <cfRule type="expression" dxfId="10844" priority="2609">
      <formula>B345=""</formula>
    </cfRule>
  </conditionalFormatting>
  <conditionalFormatting sqref="D346">
    <cfRule type="expression" dxfId="10843" priority="2608">
      <formula>B346=""</formula>
    </cfRule>
  </conditionalFormatting>
  <conditionalFormatting sqref="D347">
    <cfRule type="expression" dxfId="10842" priority="2607">
      <formula>B347=""</formula>
    </cfRule>
  </conditionalFormatting>
  <conditionalFormatting sqref="D348">
    <cfRule type="expression" dxfId="10841" priority="2606">
      <formula>B348=""</formula>
    </cfRule>
  </conditionalFormatting>
  <conditionalFormatting sqref="D349">
    <cfRule type="expression" dxfId="10840" priority="2605">
      <formula>B349=""</formula>
    </cfRule>
  </conditionalFormatting>
  <conditionalFormatting sqref="E330:E349">
    <cfRule type="expression" dxfId="10839" priority="2604">
      <formula>B330=""</formula>
    </cfRule>
  </conditionalFormatting>
  <conditionalFormatting sqref="E331 E333 E335 E337 E339 E341 E343 E345 E347 E349">
    <cfRule type="expression" dxfId="10838" priority="2603">
      <formula>B331=""</formula>
    </cfRule>
  </conditionalFormatting>
  <conditionalFormatting sqref="E332:E342">
    <cfRule type="expression" dxfId="10837" priority="2602">
      <formula>B332=""</formula>
    </cfRule>
  </conditionalFormatting>
  <conditionalFormatting sqref="E343">
    <cfRule type="expression" dxfId="10836" priority="2601">
      <formula>B343=""</formula>
    </cfRule>
  </conditionalFormatting>
  <conditionalFormatting sqref="E344">
    <cfRule type="expression" dxfId="10835" priority="2600">
      <formula>B344=""</formula>
    </cfRule>
  </conditionalFormatting>
  <conditionalFormatting sqref="E345">
    <cfRule type="expression" dxfId="10834" priority="2599">
      <formula>B345=""</formula>
    </cfRule>
  </conditionalFormatting>
  <conditionalFormatting sqref="E346">
    <cfRule type="expression" dxfId="10833" priority="2598">
      <formula>B346=""</formula>
    </cfRule>
  </conditionalFormatting>
  <conditionalFormatting sqref="E347">
    <cfRule type="expression" dxfId="10832" priority="2597">
      <formula>B347=""</formula>
    </cfRule>
  </conditionalFormatting>
  <conditionalFormatting sqref="E348">
    <cfRule type="expression" dxfId="10831" priority="2596">
      <formula>B348=""</formula>
    </cfRule>
  </conditionalFormatting>
  <conditionalFormatting sqref="E349">
    <cfRule type="expression" dxfId="10830" priority="2595">
      <formula>B349=""</formula>
    </cfRule>
  </conditionalFormatting>
  <conditionalFormatting sqref="F330:F349">
    <cfRule type="expression" dxfId="10829" priority="2594">
      <formula>B330=""</formula>
    </cfRule>
  </conditionalFormatting>
  <conditionalFormatting sqref="F331 F333 F335 F337 F339 F341 F343 F345 F347 F349">
    <cfRule type="expression" dxfId="10828" priority="2593">
      <formula>B331=""</formula>
    </cfRule>
  </conditionalFormatting>
  <conditionalFormatting sqref="F332:F342">
    <cfRule type="expression" dxfId="10827" priority="2592">
      <formula>B332=""</formula>
    </cfRule>
  </conditionalFormatting>
  <conditionalFormatting sqref="F343">
    <cfRule type="expression" dxfId="10826" priority="2591">
      <formula>B343=""</formula>
    </cfRule>
  </conditionalFormatting>
  <conditionalFormatting sqref="F344">
    <cfRule type="expression" dxfId="10825" priority="2590">
      <formula>B344=""</formula>
    </cfRule>
  </conditionalFormatting>
  <conditionalFormatting sqref="F345">
    <cfRule type="expression" dxfId="10824" priority="2589">
      <formula>B345=""</formula>
    </cfRule>
  </conditionalFormatting>
  <conditionalFormatting sqref="F346">
    <cfRule type="expression" dxfId="10823" priority="2588">
      <formula>B346=""</formula>
    </cfRule>
  </conditionalFormatting>
  <conditionalFormatting sqref="F347">
    <cfRule type="expression" dxfId="10822" priority="2587">
      <formula>B347=""</formula>
    </cfRule>
  </conditionalFormatting>
  <conditionalFormatting sqref="F348">
    <cfRule type="expression" dxfId="10821" priority="2586">
      <formula>B348=""</formula>
    </cfRule>
  </conditionalFormatting>
  <conditionalFormatting sqref="F349">
    <cfRule type="expression" dxfId="10820" priority="2585">
      <formula>B349=""</formula>
    </cfRule>
  </conditionalFormatting>
  <conditionalFormatting sqref="E331 E333 E335 E337 E339 E341 E343 E345 E347 E349">
    <cfRule type="expression" dxfId="10819" priority="2584">
      <formula>B331=""</formula>
    </cfRule>
  </conditionalFormatting>
  <conditionalFormatting sqref="E332:E342">
    <cfRule type="expression" dxfId="10818" priority="2583">
      <formula>B332=""</formula>
    </cfRule>
  </conditionalFormatting>
  <conditionalFormatting sqref="E343">
    <cfRule type="expression" dxfId="10817" priority="2582">
      <formula>B343=""</formula>
    </cfRule>
  </conditionalFormatting>
  <conditionalFormatting sqref="E344">
    <cfRule type="expression" dxfId="10816" priority="2581">
      <formula>B344=""</formula>
    </cfRule>
  </conditionalFormatting>
  <conditionalFormatting sqref="E345">
    <cfRule type="expression" dxfId="10815" priority="2580">
      <formula>B345=""</formula>
    </cfRule>
  </conditionalFormatting>
  <conditionalFormatting sqref="E346">
    <cfRule type="expression" dxfId="10814" priority="2579">
      <formula>B346=""</formula>
    </cfRule>
  </conditionalFormatting>
  <conditionalFormatting sqref="E347">
    <cfRule type="expression" dxfId="10813" priority="2578">
      <formula>B347=""</formula>
    </cfRule>
  </conditionalFormatting>
  <conditionalFormatting sqref="E348">
    <cfRule type="expression" dxfId="10812" priority="2577">
      <formula>B348=""</formula>
    </cfRule>
  </conditionalFormatting>
  <conditionalFormatting sqref="E349">
    <cfRule type="expression" dxfId="10811" priority="2576">
      <formula>B349=""</formula>
    </cfRule>
  </conditionalFormatting>
  <conditionalFormatting sqref="G330:G349">
    <cfRule type="expression" dxfId="10810" priority="2575">
      <formula>B330=""</formula>
    </cfRule>
  </conditionalFormatting>
  <conditionalFormatting sqref="G331 G333 G335 G337 G339 G341 G343 G345 G347 G349">
    <cfRule type="expression" dxfId="10809" priority="2574">
      <formula>B331=""</formula>
    </cfRule>
  </conditionalFormatting>
  <conditionalFormatting sqref="G332:G342">
    <cfRule type="expression" dxfId="10808" priority="2573">
      <formula>B332=""</formula>
    </cfRule>
  </conditionalFormatting>
  <conditionalFormatting sqref="G343">
    <cfRule type="expression" dxfId="10807" priority="2572">
      <formula>B343=""</formula>
    </cfRule>
  </conditionalFormatting>
  <conditionalFormatting sqref="G344">
    <cfRule type="expression" dxfId="10806" priority="2571">
      <formula>B344=""</formula>
    </cfRule>
  </conditionalFormatting>
  <conditionalFormatting sqref="G345">
    <cfRule type="expression" dxfId="10805" priority="2570">
      <formula>B345=""</formula>
    </cfRule>
  </conditionalFormatting>
  <conditionalFormatting sqref="G346">
    <cfRule type="expression" dxfId="10804" priority="2569">
      <formula>B346=""</formula>
    </cfRule>
  </conditionalFormatting>
  <conditionalFormatting sqref="G347">
    <cfRule type="expression" dxfId="10803" priority="2568">
      <formula>B347=""</formula>
    </cfRule>
  </conditionalFormatting>
  <conditionalFormatting sqref="G348">
    <cfRule type="expression" dxfId="10802" priority="2567">
      <formula>B348=""</formula>
    </cfRule>
  </conditionalFormatting>
  <conditionalFormatting sqref="G349">
    <cfRule type="expression" dxfId="10801" priority="2566">
      <formula>B349=""</formula>
    </cfRule>
  </conditionalFormatting>
  <conditionalFormatting sqref="H330 H332 H334 H336 H338 H340 H342 H344 H346 H348">
    <cfRule type="expression" dxfId="10800" priority="2565">
      <formula>B330=""</formula>
    </cfRule>
  </conditionalFormatting>
  <conditionalFormatting sqref="H331 H333 H335 H337 H339 H341 H343 H345 H347 H349">
    <cfRule type="expression" dxfId="10799" priority="2564">
      <formula>B331=""</formula>
    </cfRule>
  </conditionalFormatting>
  <conditionalFormatting sqref="H332:H342">
    <cfRule type="expression" dxfId="10798" priority="2563">
      <formula>B332=""</formula>
    </cfRule>
  </conditionalFormatting>
  <conditionalFormatting sqref="H343">
    <cfRule type="expression" dxfId="10797" priority="2562">
      <formula>B343=""</formula>
    </cfRule>
  </conditionalFormatting>
  <conditionalFormatting sqref="H344">
    <cfRule type="expression" dxfId="10796" priority="2561">
      <formula>B344=""</formula>
    </cfRule>
  </conditionalFormatting>
  <conditionalFormatting sqref="H345">
    <cfRule type="expression" dxfId="10795" priority="2560">
      <formula>B345=""</formula>
    </cfRule>
  </conditionalFormatting>
  <conditionalFormatting sqref="H346">
    <cfRule type="expression" dxfId="10794" priority="2559">
      <formula>B346=""</formula>
    </cfRule>
  </conditionalFormatting>
  <conditionalFormatting sqref="H347">
    <cfRule type="expression" dxfId="10793" priority="2558">
      <formula>B347=""</formula>
    </cfRule>
  </conditionalFormatting>
  <conditionalFormatting sqref="H348">
    <cfRule type="expression" dxfId="10792" priority="2557">
      <formula>B348=""</formula>
    </cfRule>
  </conditionalFormatting>
  <conditionalFormatting sqref="H349">
    <cfRule type="expression" dxfId="10791" priority="2556">
      <formula>B349=""</formula>
    </cfRule>
  </conditionalFormatting>
  <conditionalFormatting sqref="F330 F332 F334 F336 F338 F340 F342 F344 F346 F348">
    <cfRule type="expression" dxfId="10790" priority="2555">
      <formula>B330=""</formula>
    </cfRule>
  </conditionalFormatting>
  <conditionalFormatting sqref="F331 F333 F335 F337 F339 F341 F343 F345 F347 F349">
    <cfRule type="expression" dxfId="10789" priority="2554">
      <formula>B331=""</formula>
    </cfRule>
  </conditionalFormatting>
  <conditionalFormatting sqref="F332:F342">
    <cfRule type="expression" dxfId="10788" priority="2553">
      <formula>B332=""</formula>
    </cfRule>
  </conditionalFormatting>
  <conditionalFormatting sqref="F343">
    <cfRule type="expression" dxfId="10787" priority="2552">
      <formula>B343=""</formula>
    </cfRule>
  </conditionalFormatting>
  <conditionalFormatting sqref="F344">
    <cfRule type="expression" dxfId="10786" priority="2551">
      <formula>B344=""</formula>
    </cfRule>
  </conditionalFormatting>
  <conditionalFormatting sqref="F345">
    <cfRule type="expression" dxfId="10785" priority="2550">
      <formula>B345=""</formula>
    </cfRule>
  </conditionalFormatting>
  <conditionalFormatting sqref="F346">
    <cfRule type="expression" dxfId="10784" priority="2549">
      <formula>B346=""</formula>
    </cfRule>
  </conditionalFormatting>
  <conditionalFormatting sqref="F347">
    <cfRule type="expression" dxfId="10783" priority="2548">
      <formula>B347=""</formula>
    </cfRule>
  </conditionalFormatting>
  <conditionalFormatting sqref="F348">
    <cfRule type="expression" dxfId="10782" priority="2547">
      <formula>B348=""</formula>
    </cfRule>
  </conditionalFormatting>
  <conditionalFormatting sqref="F349">
    <cfRule type="expression" dxfId="10781" priority="2546">
      <formula>B349=""</formula>
    </cfRule>
  </conditionalFormatting>
  <conditionalFormatting sqref="C352:C371">
    <cfRule type="expression" dxfId="10780" priority="2545">
      <formula>B352=""</formula>
    </cfRule>
  </conditionalFormatting>
  <conditionalFormatting sqref="C353 C355 C357 C359 C361 C363 C365 C367 C369 C371">
    <cfRule type="expression" dxfId="10779" priority="2544">
      <formula>B353=""</formula>
    </cfRule>
  </conditionalFormatting>
  <conditionalFormatting sqref="C354:C364">
    <cfRule type="expression" dxfId="10778" priority="2543">
      <formula>B354=""</formula>
    </cfRule>
  </conditionalFormatting>
  <conditionalFormatting sqref="C365">
    <cfRule type="expression" dxfId="10777" priority="2542">
      <formula>B365=""</formula>
    </cfRule>
  </conditionalFormatting>
  <conditionalFormatting sqref="C366">
    <cfRule type="expression" dxfId="10776" priority="2541">
      <formula>B366=""</formula>
    </cfRule>
  </conditionalFormatting>
  <conditionalFormatting sqref="C367">
    <cfRule type="expression" dxfId="10775" priority="2540">
      <formula>B367=""</formula>
    </cfRule>
  </conditionalFormatting>
  <conditionalFormatting sqref="C368">
    <cfRule type="expression" dxfId="10774" priority="2539">
      <formula>B368=""</formula>
    </cfRule>
  </conditionalFormatting>
  <conditionalFormatting sqref="C369">
    <cfRule type="expression" dxfId="10773" priority="2538">
      <formula>B369=""</formula>
    </cfRule>
  </conditionalFormatting>
  <conditionalFormatting sqref="C370">
    <cfRule type="expression" dxfId="10772" priority="2537">
      <formula>B370=""</formula>
    </cfRule>
  </conditionalFormatting>
  <conditionalFormatting sqref="C371">
    <cfRule type="expression" dxfId="10771" priority="2536">
      <formula>B371=""</formula>
    </cfRule>
  </conditionalFormatting>
  <conditionalFormatting sqref="C371">
    <cfRule type="expression" dxfId="10770" priority="2535">
      <formula>B371=""</formula>
    </cfRule>
  </conditionalFormatting>
  <conditionalFormatting sqref="C352:C371">
    <cfRule type="expression" dxfId="10769" priority="2534">
      <formula>B352=""</formula>
    </cfRule>
  </conditionalFormatting>
  <conditionalFormatting sqref="C353 C355 C357 C359 C361 C363 C365 C367 C369 C371">
    <cfRule type="expression" dxfId="10768" priority="2533">
      <formula>B353=""</formula>
    </cfRule>
  </conditionalFormatting>
  <conditionalFormatting sqref="C354:C364">
    <cfRule type="expression" dxfId="10767" priority="2532">
      <formula>B354=""</formula>
    </cfRule>
  </conditionalFormatting>
  <conditionalFormatting sqref="C365">
    <cfRule type="expression" dxfId="10766" priority="2531">
      <formula>B365=""</formula>
    </cfRule>
  </conditionalFormatting>
  <conditionalFormatting sqref="C366">
    <cfRule type="expression" dxfId="10765" priority="2530">
      <formula>B366=""</formula>
    </cfRule>
  </conditionalFormatting>
  <conditionalFormatting sqref="C367">
    <cfRule type="expression" dxfId="10764" priority="2529">
      <formula>B367=""</formula>
    </cfRule>
  </conditionalFormatting>
  <conditionalFormatting sqref="C368">
    <cfRule type="expression" dxfId="10763" priority="2528">
      <formula>B368=""</formula>
    </cfRule>
  </conditionalFormatting>
  <conditionalFormatting sqref="C369">
    <cfRule type="expression" dxfId="10762" priority="2527">
      <formula>B369=""</formula>
    </cfRule>
  </conditionalFormatting>
  <conditionalFormatting sqref="C370">
    <cfRule type="expression" dxfId="10761" priority="2526">
      <formula>B370=""</formula>
    </cfRule>
  </conditionalFormatting>
  <conditionalFormatting sqref="C371">
    <cfRule type="expression" dxfId="10760" priority="2525">
      <formula>B371=""</formula>
    </cfRule>
  </conditionalFormatting>
  <conditionalFormatting sqref="C352:C371">
    <cfRule type="expression" dxfId="10759" priority="2524">
      <formula>B352=""</formula>
    </cfRule>
  </conditionalFormatting>
  <conditionalFormatting sqref="C353 C355 C357 C359 C361 C363 C365 C367 C369 C371">
    <cfRule type="expression" dxfId="10758" priority="2523">
      <formula>B353=""</formula>
    </cfRule>
  </conditionalFormatting>
  <conditionalFormatting sqref="C354:C364">
    <cfRule type="expression" dxfId="10757" priority="2522">
      <formula>B354=""</formula>
    </cfRule>
  </conditionalFormatting>
  <conditionalFormatting sqref="C365">
    <cfRule type="expression" dxfId="10756" priority="2521">
      <formula>B365=""</formula>
    </cfRule>
  </conditionalFormatting>
  <conditionalFormatting sqref="C366">
    <cfRule type="expression" dxfId="10755" priority="2520">
      <formula>B366=""</formula>
    </cfRule>
  </conditionalFormatting>
  <conditionalFormatting sqref="C367">
    <cfRule type="expression" dxfId="10754" priority="2519">
      <formula>B367=""</formula>
    </cfRule>
  </conditionalFormatting>
  <conditionalFormatting sqref="C368">
    <cfRule type="expression" dxfId="10753" priority="2518">
      <formula>B368=""</formula>
    </cfRule>
  </conditionalFormatting>
  <conditionalFormatting sqref="C369">
    <cfRule type="expression" dxfId="10752" priority="2517">
      <formula>B369=""</formula>
    </cfRule>
  </conditionalFormatting>
  <conditionalFormatting sqref="C370">
    <cfRule type="expression" dxfId="10751" priority="2516">
      <formula>B370=""</formula>
    </cfRule>
  </conditionalFormatting>
  <conditionalFormatting sqref="C371">
    <cfRule type="expression" dxfId="10750" priority="2515">
      <formula>B371=""</formula>
    </cfRule>
  </conditionalFormatting>
  <conditionalFormatting sqref="C352:C371">
    <cfRule type="expression" dxfId="10749" priority="2514">
      <formula>B352=""</formula>
    </cfRule>
  </conditionalFormatting>
  <conditionalFormatting sqref="C353 C355 C357 C359 C361 C363 C365 C367 C369 C371">
    <cfRule type="expression" dxfId="10748" priority="2513">
      <formula>B353=""</formula>
    </cfRule>
  </conditionalFormatting>
  <conditionalFormatting sqref="C354:C364">
    <cfRule type="expression" dxfId="10747" priority="2512">
      <formula>B354=""</formula>
    </cfRule>
  </conditionalFormatting>
  <conditionalFormatting sqref="C365">
    <cfRule type="expression" dxfId="10746" priority="2511">
      <formula>B365=""</formula>
    </cfRule>
  </conditionalFormatting>
  <conditionalFormatting sqref="C366">
    <cfRule type="expression" dxfId="10745" priority="2510">
      <formula>B366=""</formula>
    </cfRule>
  </conditionalFormatting>
  <conditionalFormatting sqref="C367">
    <cfRule type="expression" dxfId="10744" priority="2509">
      <formula>B367=""</formula>
    </cfRule>
  </conditionalFormatting>
  <conditionalFormatting sqref="C368">
    <cfRule type="expression" dxfId="10743" priority="2508">
      <formula>B368=""</formula>
    </cfRule>
  </conditionalFormatting>
  <conditionalFormatting sqref="C369">
    <cfRule type="expression" dxfId="10742" priority="2507">
      <formula>B369=""</formula>
    </cfRule>
  </conditionalFormatting>
  <conditionalFormatting sqref="C370">
    <cfRule type="expression" dxfId="10741" priority="2506">
      <formula>B370=""</formula>
    </cfRule>
  </conditionalFormatting>
  <conditionalFormatting sqref="C371">
    <cfRule type="expression" dxfId="10740" priority="2505">
      <formula>B371=""</formula>
    </cfRule>
  </conditionalFormatting>
  <conditionalFormatting sqref="C352 C354 C356 C358 C360 C362 C364 C366 C368 C370">
    <cfRule type="expression" dxfId="10739" priority="2504">
      <formula>B352=""</formula>
    </cfRule>
  </conditionalFormatting>
  <conditionalFormatting sqref="C353 C355 C357 C359 C361 C363 C365 C367 C369 C371">
    <cfRule type="expression" dxfId="10738" priority="2503">
      <formula>B353=""</formula>
    </cfRule>
  </conditionalFormatting>
  <conditionalFormatting sqref="C354:C364">
    <cfRule type="expression" dxfId="10737" priority="2502">
      <formula>B354=""</formula>
    </cfRule>
  </conditionalFormatting>
  <conditionalFormatting sqref="C365">
    <cfRule type="expression" dxfId="10736" priority="2501">
      <formula>B365=""</formula>
    </cfRule>
  </conditionalFormatting>
  <conditionalFormatting sqref="C366">
    <cfRule type="expression" dxfId="10735" priority="2500">
      <formula>B366=""</formula>
    </cfRule>
  </conditionalFormatting>
  <conditionalFormatting sqref="C367">
    <cfRule type="expression" dxfId="10734" priority="2499">
      <formula>B367=""</formula>
    </cfRule>
  </conditionalFormatting>
  <conditionalFormatting sqref="C368">
    <cfRule type="expression" dxfId="10733" priority="2498">
      <formula>B368=""</formula>
    </cfRule>
  </conditionalFormatting>
  <conditionalFormatting sqref="C369">
    <cfRule type="expression" dxfId="10732" priority="2497">
      <formula>B369=""</formula>
    </cfRule>
  </conditionalFormatting>
  <conditionalFormatting sqref="C370">
    <cfRule type="expression" dxfId="10731" priority="2496">
      <formula>B370=""</formula>
    </cfRule>
  </conditionalFormatting>
  <conditionalFormatting sqref="C371">
    <cfRule type="expression" dxfId="10730" priority="2495">
      <formula>B371=""</formula>
    </cfRule>
  </conditionalFormatting>
  <conditionalFormatting sqref="C374:C393">
    <cfRule type="expression" dxfId="10729" priority="2494">
      <formula>B374=""</formula>
    </cfRule>
  </conditionalFormatting>
  <conditionalFormatting sqref="C375 C377 C379 C381 C383 C385 C387 C389 C391 C393">
    <cfRule type="expression" dxfId="10728" priority="2493">
      <formula>B375=""</formula>
    </cfRule>
  </conditionalFormatting>
  <conditionalFormatting sqref="C376:C386">
    <cfRule type="expression" dxfId="10727" priority="2492">
      <formula>B376=""</formula>
    </cfRule>
  </conditionalFormatting>
  <conditionalFormatting sqref="C387">
    <cfRule type="expression" dxfId="10726" priority="2491">
      <formula>B387=""</formula>
    </cfRule>
  </conditionalFormatting>
  <conditionalFormatting sqref="C388">
    <cfRule type="expression" dxfId="10725" priority="2490">
      <formula>B388=""</formula>
    </cfRule>
  </conditionalFormatting>
  <conditionalFormatting sqref="C389">
    <cfRule type="expression" dxfId="10724" priority="2489">
      <formula>B389=""</formula>
    </cfRule>
  </conditionalFormatting>
  <conditionalFormatting sqref="C390">
    <cfRule type="expression" dxfId="10723" priority="2488">
      <formula>B390=""</formula>
    </cfRule>
  </conditionalFormatting>
  <conditionalFormatting sqref="C391">
    <cfRule type="expression" dxfId="10722" priority="2487">
      <formula>B391=""</formula>
    </cfRule>
  </conditionalFormatting>
  <conditionalFormatting sqref="C392">
    <cfRule type="expression" dxfId="10721" priority="2486">
      <formula>B392=""</formula>
    </cfRule>
  </conditionalFormatting>
  <conditionalFormatting sqref="C393">
    <cfRule type="expression" dxfId="10720" priority="2485">
      <formula>B393=""</formula>
    </cfRule>
  </conditionalFormatting>
  <conditionalFormatting sqref="C393">
    <cfRule type="expression" dxfId="10719" priority="2484">
      <formula>B393=""</formula>
    </cfRule>
  </conditionalFormatting>
  <conditionalFormatting sqref="C374:C393">
    <cfRule type="expression" dxfId="10718" priority="2483">
      <formula>B374=""</formula>
    </cfRule>
  </conditionalFormatting>
  <conditionalFormatting sqref="C375 C377 C379 C381 C383 C385 C387 C389 C391 C393">
    <cfRule type="expression" dxfId="10717" priority="2482">
      <formula>B375=""</formula>
    </cfRule>
  </conditionalFormatting>
  <conditionalFormatting sqref="C376:C386">
    <cfRule type="expression" dxfId="10716" priority="2481">
      <formula>B376=""</formula>
    </cfRule>
  </conditionalFormatting>
  <conditionalFormatting sqref="C387">
    <cfRule type="expression" dxfId="10715" priority="2480">
      <formula>B387=""</formula>
    </cfRule>
  </conditionalFormatting>
  <conditionalFormatting sqref="C388">
    <cfRule type="expression" dxfId="10714" priority="2479">
      <formula>B388=""</formula>
    </cfRule>
  </conditionalFormatting>
  <conditionalFormatting sqref="C389">
    <cfRule type="expression" dxfId="10713" priority="2478">
      <formula>B389=""</formula>
    </cfRule>
  </conditionalFormatting>
  <conditionalFormatting sqref="C390">
    <cfRule type="expression" dxfId="10712" priority="2477">
      <formula>B390=""</formula>
    </cfRule>
  </conditionalFormatting>
  <conditionalFormatting sqref="C391">
    <cfRule type="expression" dxfId="10711" priority="2476">
      <formula>B391=""</formula>
    </cfRule>
  </conditionalFormatting>
  <conditionalFormatting sqref="C392">
    <cfRule type="expression" dxfId="10710" priority="2475">
      <formula>B392=""</formula>
    </cfRule>
  </conditionalFormatting>
  <conditionalFormatting sqref="C393">
    <cfRule type="expression" dxfId="10709" priority="2474">
      <formula>B393=""</formula>
    </cfRule>
  </conditionalFormatting>
  <conditionalFormatting sqref="C374:C393">
    <cfRule type="expression" dxfId="10708" priority="2473">
      <formula>B374=""</formula>
    </cfRule>
  </conditionalFormatting>
  <conditionalFormatting sqref="C375 C377 C379 C381 C383 C385 C387 C389 C391 C393">
    <cfRule type="expression" dxfId="10707" priority="2472">
      <formula>B375=""</formula>
    </cfRule>
  </conditionalFormatting>
  <conditionalFormatting sqref="C376:C386">
    <cfRule type="expression" dxfId="10706" priority="2471">
      <formula>B376=""</formula>
    </cfRule>
  </conditionalFormatting>
  <conditionalFormatting sqref="C387">
    <cfRule type="expression" dxfId="10705" priority="2470">
      <formula>B387=""</formula>
    </cfRule>
  </conditionalFormatting>
  <conditionalFormatting sqref="C388">
    <cfRule type="expression" dxfId="10704" priority="2469">
      <formula>B388=""</formula>
    </cfRule>
  </conditionalFormatting>
  <conditionalFormatting sqref="C389">
    <cfRule type="expression" dxfId="10703" priority="2468">
      <formula>B389=""</formula>
    </cfRule>
  </conditionalFormatting>
  <conditionalFormatting sqref="C390">
    <cfRule type="expression" dxfId="10702" priority="2467">
      <formula>B390=""</formula>
    </cfRule>
  </conditionalFormatting>
  <conditionalFormatting sqref="C391">
    <cfRule type="expression" dxfId="10701" priority="2466">
      <formula>B391=""</formula>
    </cfRule>
  </conditionalFormatting>
  <conditionalFormatting sqref="C392">
    <cfRule type="expression" dxfId="10700" priority="2465">
      <formula>B392=""</formula>
    </cfRule>
  </conditionalFormatting>
  <conditionalFormatting sqref="C393">
    <cfRule type="expression" dxfId="10699" priority="2464">
      <formula>B393=""</formula>
    </cfRule>
  </conditionalFormatting>
  <conditionalFormatting sqref="C393">
    <cfRule type="expression" dxfId="10698" priority="2463">
      <formula>B393=""</formula>
    </cfRule>
  </conditionalFormatting>
  <conditionalFormatting sqref="C374:C393">
    <cfRule type="expression" dxfId="10697" priority="2462">
      <formula>B374=""</formula>
    </cfRule>
  </conditionalFormatting>
  <conditionalFormatting sqref="C375 C377 C379 C381 C383 C385 C387 C389 C391 C393">
    <cfRule type="expression" dxfId="10696" priority="2461">
      <formula>B375=""</formula>
    </cfRule>
  </conditionalFormatting>
  <conditionalFormatting sqref="C376:C386">
    <cfRule type="expression" dxfId="10695" priority="2460">
      <formula>B376=""</formula>
    </cfRule>
  </conditionalFormatting>
  <conditionalFormatting sqref="C387">
    <cfRule type="expression" dxfId="10694" priority="2459">
      <formula>B387=""</formula>
    </cfRule>
  </conditionalFormatting>
  <conditionalFormatting sqref="C388">
    <cfRule type="expression" dxfId="10693" priority="2458">
      <formula>B388=""</formula>
    </cfRule>
  </conditionalFormatting>
  <conditionalFormatting sqref="C389">
    <cfRule type="expression" dxfId="10692" priority="2457">
      <formula>B389=""</formula>
    </cfRule>
  </conditionalFormatting>
  <conditionalFormatting sqref="C390">
    <cfRule type="expression" dxfId="10691" priority="2456">
      <formula>B390=""</formula>
    </cfRule>
  </conditionalFormatting>
  <conditionalFormatting sqref="C391">
    <cfRule type="expression" dxfId="10690" priority="2455">
      <formula>B391=""</formula>
    </cfRule>
  </conditionalFormatting>
  <conditionalFormatting sqref="C392">
    <cfRule type="expression" dxfId="10689" priority="2454">
      <formula>B392=""</formula>
    </cfRule>
  </conditionalFormatting>
  <conditionalFormatting sqref="C393">
    <cfRule type="expression" dxfId="10688" priority="2453">
      <formula>B393=""</formula>
    </cfRule>
  </conditionalFormatting>
  <conditionalFormatting sqref="C374:C393">
    <cfRule type="expression" dxfId="10687" priority="2452">
      <formula>B374=""</formula>
    </cfRule>
  </conditionalFormatting>
  <conditionalFormatting sqref="C375 C377 C379 C381 C383 C385 C387 C389 C391 C393">
    <cfRule type="expression" dxfId="10686" priority="2451">
      <formula>B375=""</formula>
    </cfRule>
  </conditionalFormatting>
  <conditionalFormatting sqref="C376:C386">
    <cfRule type="expression" dxfId="10685" priority="2450">
      <formula>B376=""</formula>
    </cfRule>
  </conditionalFormatting>
  <conditionalFormatting sqref="C387">
    <cfRule type="expression" dxfId="10684" priority="2449">
      <formula>B387=""</formula>
    </cfRule>
  </conditionalFormatting>
  <conditionalFormatting sqref="C388">
    <cfRule type="expression" dxfId="10683" priority="2448">
      <formula>B388=""</formula>
    </cfRule>
  </conditionalFormatting>
  <conditionalFormatting sqref="C389">
    <cfRule type="expression" dxfId="10682" priority="2447">
      <formula>B389=""</formula>
    </cfRule>
  </conditionalFormatting>
  <conditionalFormatting sqref="C390">
    <cfRule type="expression" dxfId="10681" priority="2446">
      <formula>B390=""</formula>
    </cfRule>
  </conditionalFormatting>
  <conditionalFormatting sqref="C391">
    <cfRule type="expression" dxfId="10680" priority="2445">
      <formula>B391=""</formula>
    </cfRule>
  </conditionalFormatting>
  <conditionalFormatting sqref="C392">
    <cfRule type="expression" dxfId="10679" priority="2444">
      <formula>B392=""</formula>
    </cfRule>
  </conditionalFormatting>
  <conditionalFormatting sqref="C393">
    <cfRule type="expression" dxfId="10678" priority="2443">
      <formula>B393=""</formula>
    </cfRule>
  </conditionalFormatting>
  <conditionalFormatting sqref="C374:C393">
    <cfRule type="expression" dxfId="10677" priority="2442">
      <formula>B374=""</formula>
    </cfRule>
  </conditionalFormatting>
  <conditionalFormatting sqref="C375 C377 C379 C381 C383 C385 C387 C389 C391 C393">
    <cfRule type="expression" dxfId="10676" priority="2441">
      <formula>B375=""</formula>
    </cfRule>
  </conditionalFormatting>
  <conditionalFormatting sqref="C376:C386">
    <cfRule type="expression" dxfId="10675" priority="2440">
      <formula>B376=""</formula>
    </cfRule>
  </conditionalFormatting>
  <conditionalFormatting sqref="C387">
    <cfRule type="expression" dxfId="10674" priority="2439">
      <formula>B387=""</formula>
    </cfRule>
  </conditionalFormatting>
  <conditionalFormatting sqref="C388">
    <cfRule type="expression" dxfId="10673" priority="2438">
      <formula>B388=""</formula>
    </cfRule>
  </conditionalFormatting>
  <conditionalFormatting sqref="C389">
    <cfRule type="expression" dxfId="10672" priority="2437">
      <formula>B389=""</formula>
    </cfRule>
  </conditionalFormatting>
  <conditionalFormatting sqref="C390">
    <cfRule type="expression" dxfId="10671" priority="2436">
      <formula>B390=""</formula>
    </cfRule>
  </conditionalFormatting>
  <conditionalFormatting sqref="C391">
    <cfRule type="expression" dxfId="10670" priority="2435">
      <formula>B391=""</formula>
    </cfRule>
  </conditionalFormatting>
  <conditionalFormatting sqref="C392">
    <cfRule type="expression" dxfId="10669" priority="2434">
      <formula>B392=""</formula>
    </cfRule>
  </conditionalFormatting>
  <conditionalFormatting sqref="C393">
    <cfRule type="expression" dxfId="10668" priority="2433">
      <formula>B393=""</formula>
    </cfRule>
  </conditionalFormatting>
  <conditionalFormatting sqref="C374 C376 C378 C380 C382 C384 C386 C388 C390 C392">
    <cfRule type="expression" dxfId="10667" priority="2432">
      <formula>B374=""</formula>
    </cfRule>
  </conditionalFormatting>
  <conditionalFormatting sqref="C375 C377 C379 C381 C383 C385 C387 C389 C391 C393">
    <cfRule type="expression" dxfId="10666" priority="2431">
      <formula>B375=""</formula>
    </cfRule>
  </conditionalFormatting>
  <conditionalFormatting sqref="C376:C386">
    <cfRule type="expression" dxfId="10665" priority="2430">
      <formula>B376=""</formula>
    </cfRule>
  </conditionalFormatting>
  <conditionalFormatting sqref="C387">
    <cfRule type="expression" dxfId="10664" priority="2429">
      <formula>B387=""</formula>
    </cfRule>
  </conditionalFormatting>
  <conditionalFormatting sqref="C388">
    <cfRule type="expression" dxfId="10663" priority="2428">
      <formula>B388=""</formula>
    </cfRule>
  </conditionalFormatting>
  <conditionalFormatting sqref="C389">
    <cfRule type="expression" dxfId="10662" priority="2427">
      <formula>B389=""</formula>
    </cfRule>
  </conditionalFormatting>
  <conditionalFormatting sqref="C390">
    <cfRule type="expression" dxfId="10661" priority="2426">
      <formula>B390=""</formula>
    </cfRule>
  </conditionalFormatting>
  <conditionalFormatting sqref="C391">
    <cfRule type="expression" dxfId="10660" priority="2425">
      <formula>B391=""</formula>
    </cfRule>
  </conditionalFormatting>
  <conditionalFormatting sqref="C392">
    <cfRule type="expression" dxfId="10659" priority="2424">
      <formula>B392=""</formula>
    </cfRule>
  </conditionalFormatting>
  <conditionalFormatting sqref="C393">
    <cfRule type="expression" dxfId="10658" priority="2423">
      <formula>B393=""</formula>
    </cfRule>
  </conditionalFormatting>
  <conditionalFormatting sqref="B408:B428 B430:B450 B452:B472 B474:B494">
    <cfRule type="containsBlanks" dxfId="10657" priority="2422">
      <formula>LEN(TRIM(B408))=0</formula>
    </cfRule>
  </conditionalFormatting>
  <conditionalFormatting sqref="C408:C428">
    <cfRule type="expression" dxfId="10656" priority="2421">
      <formula>B408=""</formula>
    </cfRule>
  </conditionalFormatting>
  <conditionalFormatting sqref="C409 C411 C413 C415 C417 C419 C421 C423 C425 C427">
    <cfRule type="expression" dxfId="10655" priority="2420">
      <formula>B409=""</formula>
    </cfRule>
  </conditionalFormatting>
  <conditionalFormatting sqref="C410:C420">
    <cfRule type="expression" dxfId="10654" priority="2419">
      <formula>B410=""</formula>
    </cfRule>
  </conditionalFormatting>
  <conditionalFormatting sqref="C421">
    <cfRule type="expression" dxfId="10653" priority="2418">
      <formula>B421=""</formula>
    </cfRule>
  </conditionalFormatting>
  <conditionalFormatting sqref="C422">
    <cfRule type="expression" dxfId="10652" priority="2417">
      <formula>B422=""</formula>
    </cfRule>
  </conditionalFormatting>
  <conditionalFormatting sqref="C423">
    <cfRule type="expression" dxfId="10651" priority="2416">
      <formula>B423=""</formula>
    </cfRule>
  </conditionalFormatting>
  <conditionalFormatting sqref="C424">
    <cfRule type="expression" dxfId="10650" priority="2415">
      <formula>B424=""</formula>
    </cfRule>
  </conditionalFormatting>
  <conditionalFormatting sqref="C425">
    <cfRule type="expression" dxfId="10649" priority="2414">
      <formula>B425=""</formula>
    </cfRule>
  </conditionalFormatting>
  <conditionalFormatting sqref="C426">
    <cfRule type="expression" dxfId="10648" priority="2413">
      <formula>B426=""</formula>
    </cfRule>
  </conditionalFormatting>
  <conditionalFormatting sqref="C427">
    <cfRule type="expression" dxfId="10647" priority="2412">
      <formula>B427=""</formula>
    </cfRule>
  </conditionalFormatting>
  <conditionalFormatting sqref="C428">
    <cfRule type="expression" dxfId="10646" priority="2411">
      <formula>B428=""</formula>
    </cfRule>
  </conditionalFormatting>
  <conditionalFormatting sqref="D408 D410 D412 D414 D416 D418 D420 D422 D424 D426">
    <cfRule type="expression" dxfId="10645" priority="2410">
      <formula>B408=""</formula>
    </cfRule>
  </conditionalFormatting>
  <conditionalFormatting sqref="D409 D411 D413 D415 D417 D419 D421 D423 D425 D427">
    <cfRule type="expression" dxfId="10644" priority="2409">
      <formula>B409=""</formula>
    </cfRule>
  </conditionalFormatting>
  <conditionalFormatting sqref="D410:D420">
    <cfRule type="expression" dxfId="10643" priority="2408">
      <formula>B410=""</formula>
    </cfRule>
  </conditionalFormatting>
  <conditionalFormatting sqref="D421">
    <cfRule type="expression" dxfId="10642" priority="2407">
      <formula>B421=""</formula>
    </cfRule>
  </conditionalFormatting>
  <conditionalFormatting sqref="D422">
    <cfRule type="expression" dxfId="10641" priority="2406">
      <formula>B422=""</formula>
    </cfRule>
  </conditionalFormatting>
  <conditionalFormatting sqref="D423">
    <cfRule type="expression" dxfId="10640" priority="2405">
      <formula>B423=""</formula>
    </cfRule>
  </conditionalFormatting>
  <conditionalFormatting sqref="D424">
    <cfRule type="expression" dxfId="10639" priority="2404">
      <formula>B424=""</formula>
    </cfRule>
  </conditionalFormatting>
  <conditionalFormatting sqref="D425">
    <cfRule type="expression" dxfId="10638" priority="2403">
      <formula>B425=""</formula>
    </cfRule>
  </conditionalFormatting>
  <conditionalFormatting sqref="D426">
    <cfRule type="expression" dxfId="10637" priority="2402">
      <formula>B426=""</formula>
    </cfRule>
  </conditionalFormatting>
  <conditionalFormatting sqref="D427">
    <cfRule type="expression" dxfId="10636" priority="2401">
      <formula>B427=""</formula>
    </cfRule>
  </conditionalFormatting>
  <conditionalFormatting sqref="D428">
    <cfRule type="expression" dxfId="10635" priority="2400">
      <formula>B428=""</formula>
    </cfRule>
  </conditionalFormatting>
  <conditionalFormatting sqref="E408 E410 E412 E414 E416 E418 E420 E422 E424 E426">
    <cfRule type="expression" dxfId="10634" priority="2399">
      <formula>B408=""</formula>
    </cfRule>
  </conditionalFormatting>
  <conditionalFormatting sqref="E409 E411 E413 E415 E417 E419 E421 E423 E425 E427">
    <cfRule type="expression" dxfId="10633" priority="2398">
      <formula>B409=""</formula>
    </cfRule>
  </conditionalFormatting>
  <conditionalFormatting sqref="E410:E420">
    <cfRule type="expression" dxfId="10632" priority="2397">
      <formula>B410=""</formula>
    </cfRule>
  </conditionalFormatting>
  <conditionalFormatting sqref="E421">
    <cfRule type="expression" dxfId="10631" priority="2396">
      <formula>B421=""</formula>
    </cfRule>
  </conditionalFormatting>
  <conditionalFormatting sqref="E422">
    <cfRule type="expression" dxfId="10630" priority="2395">
      <formula>B422=""</formula>
    </cfRule>
  </conditionalFormatting>
  <conditionalFormatting sqref="E423">
    <cfRule type="expression" dxfId="10629" priority="2394">
      <formula>B423=""</formula>
    </cfRule>
  </conditionalFormatting>
  <conditionalFormatting sqref="E424">
    <cfRule type="expression" dxfId="10628" priority="2393">
      <formula>B424=""</formula>
    </cfRule>
  </conditionalFormatting>
  <conditionalFormatting sqref="E425">
    <cfRule type="expression" dxfId="10627" priority="2392">
      <formula>B425=""</formula>
    </cfRule>
  </conditionalFormatting>
  <conditionalFormatting sqref="E426">
    <cfRule type="expression" dxfId="10626" priority="2391">
      <formula>B426=""</formula>
    </cfRule>
  </conditionalFormatting>
  <conditionalFormatting sqref="E427">
    <cfRule type="expression" dxfId="10625" priority="2390">
      <formula>B427=""</formula>
    </cfRule>
  </conditionalFormatting>
  <conditionalFormatting sqref="E428">
    <cfRule type="expression" dxfId="10624" priority="2389">
      <formula>B428=""</formula>
    </cfRule>
  </conditionalFormatting>
  <conditionalFormatting sqref="F408 F410 F412 F414 F416 F418 F420 F422 F424 F426">
    <cfRule type="expression" dxfId="10623" priority="2388">
      <formula>B408=""</formula>
    </cfRule>
  </conditionalFormatting>
  <conditionalFormatting sqref="F409 F411 F413 F415 F417 F419 F421 F423 F425 F427">
    <cfRule type="expression" dxfId="10622" priority="2387">
      <formula>B409=""</formula>
    </cfRule>
  </conditionalFormatting>
  <conditionalFormatting sqref="F410:F420">
    <cfRule type="expression" dxfId="10621" priority="2386">
      <formula>B410=""</formula>
    </cfRule>
  </conditionalFormatting>
  <conditionalFormatting sqref="F421">
    <cfRule type="expression" dxfId="10620" priority="2385">
      <formula>B421=""</formula>
    </cfRule>
  </conditionalFormatting>
  <conditionalFormatting sqref="F422">
    <cfRule type="expression" dxfId="10619" priority="2384">
      <formula>B422=""</formula>
    </cfRule>
  </conditionalFormatting>
  <conditionalFormatting sqref="F423">
    <cfRule type="expression" dxfId="10618" priority="2383">
      <formula>B423=""</formula>
    </cfRule>
  </conditionalFormatting>
  <conditionalFormatting sqref="F424">
    <cfRule type="expression" dxfId="10617" priority="2382">
      <formula>B424=""</formula>
    </cfRule>
  </conditionalFormatting>
  <conditionalFormatting sqref="F425">
    <cfRule type="expression" dxfId="10616" priority="2381">
      <formula>B425=""</formula>
    </cfRule>
  </conditionalFormatting>
  <conditionalFormatting sqref="F426">
    <cfRule type="expression" dxfId="10615" priority="2380">
      <formula>B426=""</formula>
    </cfRule>
  </conditionalFormatting>
  <conditionalFormatting sqref="F427">
    <cfRule type="expression" dxfId="10614" priority="2379">
      <formula>B427=""</formula>
    </cfRule>
  </conditionalFormatting>
  <conditionalFormatting sqref="F428">
    <cfRule type="expression" dxfId="10613" priority="2378">
      <formula>B428=""</formula>
    </cfRule>
  </conditionalFormatting>
  <conditionalFormatting sqref="E409 E411 E413 E415 E417 E419 E421 E423 E425 E427">
    <cfRule type="expression" dxfId="10612" priority="2377">
      <formula>B409=""</formula>
    </cfRule>
  </conditionalFormatting>
  <conditionalFormatting sqref="E410:E420">
    <cfRule type="expression" dxfId="10611" priority="2376">
      <formula>B410=""</formula>
    </cfRule>
  </conditionalFormatting>
  <conditionalFormatting sqref="E421">
    <cfRule type="expression" dxfId="10610" priority="2375">
      <formula>B421=""</formula>
    </cfRule>
  </conditionalFormatting>
  <conditionalFormatting sqref="E422">
    <cfRule type="expression" dxfId="10609" priority="2374">
      <formula>B422=""</formula>
    </cfRule>
  </conditionalFormatting>
  <conditionalFormatting sqref="E423">
    <cfRule type="expression" dxfId="10608" priority="2373">
      <formula>B423=""</formula>
    </cfRule>
  </conditionalFormatting>
  <conditionalFormatting sqref="E424">
    <cfRule type="expression" dxfId="10607" priority="2372">
      <formula>B424=""</formula>
    </cfRule>
  </conditionalFormatting>
  <conditionalFormatting sqref="E425">
    <cfRule type="expression" dxfId="10606" priority="2371">
      <formula>B425=""</formula>
    </cfRule>
  </conditionalFormatting>
  <conditionalFormatting sqref="E426">
    <cfRule type="expression" dxfId="10605" priority="2370">
      <formula>B426=""</formula>
    </cfRule>
  </conditionalFormatting>
  <conditionalFormatting sqref="E427">
    <cfRule type="expression" dxfId="10604" priority="2369">
      <formula>B427=""</formula>
    </cfRule>
  </conditionalFormatting>
  <conditionalFormatting sqref="E428">
    <cfRule type="expression" dxfId="10603" priority="2368">
      <formula>B428=""</formula>
    </cfRule>
  </conditionalFormatting>
  <conditionalFormatting sqref="G408 G410 G412 G414 G416 G418 G420 G422 G424 G426">
    <cfRule type="expression" dxfId="10602" priority="2367">
      <formula>B408=""</formula>
    </cfRule>
  </conditionalFormatting>
  <conditionalFormatting sqref="G409 G411 G413 G415 G417 G419 G421 G423 G425 G427">
    <cfRule type="expression" dxfId="10601" priority="2366">
      <formula>B409=""</formula>
    </cfRule>
  </conditionalFormatting>
  <conditionalFormatting sqref="G410:G420">
    <cfRule type="expression" dxfId="10600" priority="2365">
      <formula>B410=""</formula>
    </cfRule>
  </conditionalFormatting>
  <conditionalFormatting sqref="G421">
    <cfRule type="expression" dxfId="10599" priority="2364">
      <formula>B421=""</formula>
    </cfRule>
  </conditionalFormatting>
  <conditionalFormatting sqref="G422">
    <cfRule type="expression" dxfId="10598" priority="2363">
      <formula>B422=""</formula>
    </cfRule>
  </conditionalFormatting>
  <conditionalFormatting sqref="G423">
    <cfRule type="expression" dxfId="10597" priority="2362">
      <formula>B423=""</formula>
    </cfRule>
  </conditionalFormatting>
  <conditionalFormatting sqref="G424">
    <cfRule type="expression" dxfId="10596" priority="2361">
      <formula>B424=""</formula>
    </cfRule>
  </conditionalFormatting>
  <conditionalFormatting sqref="G425">
    <cfRule type="expression" dxfId="10595" priority="2360">
      <formula>B425=""</formula>
    </cfRule>
  </conditionalFormatting>
  <conditionalFormatting sqref="G426">
    <cfRule type="expression" dxfId="10594" priority="2359">
      <formula>B426=""</formula>
    </cfRule>
  </conditionalFormatting>
  <conditionalFormatting sqref="G427">
    <cfRule type="expression" dxfId="10593" priority="2358">
      <formula>B427=""</formula>
    </cfRule>
  </conditionalFormatting>
  <conditionalFormatting sqref="G428">
    <cfRule type="expression" dxfId="10592" priority="2357">
      <formula>B428=""</formula>
    </cfRule>
  </conditionalFormatting>
  <conditionalFormatting sqref="H408 H410 H412 H414 H416 H418 H420 H422 H424 H426">
    <cfRule type="expression" dxfId="10591" priority="2356">
      <formula>B408=""</formula>
    </cfRule>
  </conditionalFormatting>
  <conditionalFormatting sqref="H409 H411 H413 H415 H417 H419 H421 H423 H425 H427">
    <cfRule type="expression" dxfId="10590" priority="2355">
      <formula>B409=""</formula>
    </cfRule>
  </conditionalFormatting>
  <conditionalFormatting sqref="H410:H420">
    <cfRule type="expression" dxfId="10589" priority="2354">
      <formula>B410=""</formula>
    </cfRule>
  </conditionalFormatting>
  <conditionalFormatting sqref="H421">
    <cfRule type="expression" dxfId="10588" priority="2353">
      <formula>B421=""</formula>
    </cfRule>
  </conditionalFormatting>
  <conditionalFormatting sqref="H422">
    <cfRule type="expression" dxfId="10587" priority="2352">
      <formula>B422=""</formula>
    </cfRule>
  </conditionalFormatting>
  <conditionalFormatting sqref="H423">
    <cfRule type="expression" dxfId="10586" priority="2351">
      <formula>B423=""</formula>
    </cfRule>
  </conditionalFormatting>
  <conditionalFormatting sqref="H424">
    <cfRule type="expression" dxfId="10585" priority="2350">
      <formula>B424=""</formula>
    </cfRule>
  </conditionalFormatting>
  <conditionalFormatting sqref="H425">
    <cfRule type="expression" dxfId="10584" priority="2349">
      <formula>B425=""</formula>
    </cfRule>
  </conditionalFormatting>
  <conditionalFormatting sqref="H426">
    <cfRule type="expression" dxfId="10583" priority="2348">
      <formula>B426=""</formula>
    </cfRule>
  </conditionalFormatting>
  <conditionalFormatting sqref="H427">
    <cfRule type="expression" dxfId="10582" priority="2347">
      <formula>B427=""</formula>
    </cfRule>
  </conditionalFormatting>
  <conditionalFormatting sqref="H428">
    <cfRule type="expression" dxfId="10581" priority="2346">
      <formula>B428=""</formula>
    </cfRule>
  </conditionalFormatting>
  <conditionalFormatting sqref="C430:C450">
    <cfRule type="expression" dxfId="10580" priority="2345">
      <formula>B430=""</formula>
    </cfRule>
  </conditionalFormatting>
  <conditionalFormatting sqref="C431 C433 C435 C437 C439 C441 C443 C445 C447 C449">
    <cfRule type="expression" dxfId="10579" priority="2344">
      <formula>B431=""</formula>
    </cfRule>
  </conditionalFormatting>
  <conditionalFormatting sqref="C432:C442">
    <cfRule type="expression" dxfId="10578" priority="2343">
      <formula>B432=""</formula>
    </cfRule>
  </conditionalFormatting>
  <conditionalFormatting sqref="C443">
    <cfRule type="expression" dxfId="10577" priority="2342">
      <formula>B443=""</formula>
    </cfRule>
  </conditionalFormatting>
  <conditionalFormatting sqref="C444">
    <cfRule type="expression" dxfId="10576" priority="2341">
      <formula>B444=""</formula>
    </cfRule>
  </conditionalFormatting>
  <conditionalFormatting sqref="C445">
    <cfRule type="expression" dxfId="10575" priority="2340">
      <formula>B445=""</formula>
    </cfRule>
  </conditionalFormatting>
  <conditionalFormatting sqref="C446">
    <cfRule type="expression" dxfId="10574" priority="2339">
      <formula>B446=""</formula>
    </cfRule>
  </conditionalFormatting>
  <conditionalFormatting sqref="C447">
    <cfRule type="expression" dxfId="10573" priority="2338">
      <formula>B447=""</formula>
    </cfRule>
  </conditionalFormatting>
  <conditionalFormatting sqref="C448">
    <cfRule type="expression" dxfId="10572" priority="2337">
      <formula>B448=""</formula>
    </cfRule>
  </conditionalFormatting>
  <conditionalFormatting sqref="C449">
    <cfRule type="expression" dxfId="10571" priority="2336">
      <formula>B449=""</formula>
    </cfRule>
  </conditionalFormatting>
  <conditionalFormatting sqref="C450">
    <cfRule type="expression" dxfId="10570" priority="2335">
      <formula>B450=""</formula>
    </cfRule>
  </conditionalFormatting>
  <conditionalFormatting sqref="D430 D432 D434 D436 D438 D440 D442 D444 D446 D448">
    <cfRule type="expression" dxfId="10569" priority="2334">
      <formula>B430=""</formula>
    </cfRule>
  </conditionalFormatting>
  <conditionalFormatting sqref="D431 D433 D435 D437 D439 D441 D443 D445 D447 D449">
    <cfRule type="expression" dxfId="10568" priority="2333">
      <formula>B431=""</formula>
    </cfRule>
  </conditionalFormatting>
  <conditionalFormatting sqref="D432:D442">
    <cfRule type="expression" dxfId="10567" priority="2332">
      <formula>B432=""</formula>
    </cfRule>
  </conditionalFormatting>
  <conditionalFormatting sqref="D443">
    <cfRule type="expression" dxfId="10566" priority="2331">
      <formula>B443=""</formula>
    </cfRule>
  </conditionalFormatting>
  <conditionalFormatting sqref="D444">
    <cfRule type="expression" dxfId="10565" priority="2330">
      <formula>B444=""</formula>
    </cfRule>
  </conditionalFormatting>
  <conditionalFormatting sqref="D445">
    <cfRule type="expression" dxfId="10564" priority="2329">
      <formula>B445=""</formula>
    </cfRule>
  </conditionalFormatting>
  <conditionalFormatting sqref="D446">
    <cfRule type="expression" dxfId="10563" priority="2328">
      <formula>B446=""</formula>
    </cfRule>
  </conditionalFormatting>
  <conditionalFormatting sqref="D447">
    <cfRule type="expression" dxfId="10562" priority="2327">
      <formula>B447=""</formula>
    </cfRule>
  </conditionalFormatting>
  <conditionalFormatting sqref="D448">
    <cfRule type="expression" dxfId="10561" priority="2326">
      <formula>B448=""</formula>
    </cfRule>
  </conditionalFormatting>
  <conditionalFormatting sqref="D449">
    <cfRule type="expression" dxfId="10560" priority="2325">
      <formula>B449=""</formula>
    </cfRule>
  </conditionalFormatting>
  <conditionalFormatting sqref="D450">
    <cfRule type="expression" dxfId="10559" priority="2324">
      <formula>B450=""</formula>
    </cfRule>
  </conditionalFormatting>
  <conditionalFormatting sqref="E430 E432 E434 E436 E438 E440 E442 E444 E446 E448">
    <cfRule type="expression" dxfId="10558" priority="2323">
      <formula>B430=""</formula>
    </cfRule>
  </conditionalFormatting>
  <conditionalFormatting sqref="E431 E433 E435 E437 E439 E441 E443 E445 E447 E449">
    <cfRule type="expression" dxfId="10557" priority="2322">
      <formula>B431=""</formula>
    </cfRule>
  </conditionalFormatting>
  <conditionalFormatting sqref="E432:E442">
    <cfRule type="expression" dxfId="10556" priority="2321">
      <formula>B432=""</formula>
    </cfRule>
  </conditionalFormatting>
  <conditionalFormatting sqref="E443">
    <cfRule type="expression" dxfId="10555" priority="2320">
      <formula>B443=""</formula>
    </cfRule>
  </conditionalFormatting>
  <conditionalFormatting sqref="E444">
    <cfRule type="expression" dxfId="10554" priority="2319">
      <formula>B444=""</formula>
    </cfRule>
  </conditionalFormatting>
  <conditionalFormatting sqref="E445">
    <cfRule type="expression" dxfId="10553" priority="2318">
      <formula>B445=""</formula>
    </cfRule>
  </conditionalFormatting>
  <conditionalFormatting sqref="E446">
    <cfRule type="expression" dxfId="10552" priority="2317">
      <formula>B446=""</formula>
    </cfRule>
  </conditionalFormatting>
  <conditionalFormatting sqref="E447">
    <cfRule type="expression" dxfId="10551" priority="2316">
      <formula>B447=""</formula>
    </cfRule>
  </conditionalFormatting>
  <conditionalFormatting sqref="E448">
    <cfRule type="expression" dxfId="10550" priority="2315">
      <formula>B448=""</formula>
    </cfRule>
  </conditionalFormatting>
  <conditionalFormatting sqref="E449">
    <cfRule type="expression" dxfId="10549" priority="2314">
      <formula>B449=""</formula>
    </cfRule>
  </conditionalFormatting>
  <conditionalFormatting sqref="E450">
    <cfRule type="expression" dxfId="10548" priority="2313">
      <formula>B450=""</formula>
    </cfRule>
  </conditionalFormatting>
  <conditionalFormatting sqref="F430 F432 F434 F436 F438 F440 F442 F444 F446 F448">
    <cfRule type="expression" dxfId="10547" priority="2312">
      <formula>B430=""</formula>
    </cfRule>
  </conditionalFormatting>
  <conditionalFormatting sqref="F431 F433 F435 F437 F439 F441 F443 F445 F447 F449">
    <cfRule type="expression" dxfId="10546" priority="2311">
      <formula>B431=""</formula>
    </cfRule>
  </conditionalFormatting>
  <conditionalFormatting sqref="F432:F442">
    <cfRule type="expression" dxfId="10545" priority="2310">
      <formula>B432=""</formula>
    </cfRule>
  </conditionalFormatting>
  <conditionalFormatting sqref="F443">
    <cfRule type="expression" dxfId="10544" priority="2309">
      <formula>B443=""</formula>
    </cfRule>
  </conditionalFormatting>
  <conditionalFormatting sqref="F444">
    <cfRule type="expression" dxfId="10543" priority="2308">
      <formula>B444=""</formula>
    </cfRule>
  </conditionalFormatting>
  <conditionalFormatting sqref="F445">
    <cfRule type="expression" dxfId="10542" priority="2307">
      <formula>B445=""</formula>
    </cfRule>
  </conditionalFormatting>
  <conditionalFormatting sqref="F446">
    <cfRule type="expression" dxfId="10541" priority="2306">
      <formula>B446=""</formula>
    </cfRule>
  </conditionalFormatting>
  <conditionalFormatting sqref="F447">
    <cfRule type="expression" dxfId="10540" priority="2305">
      <formula>B447=""</formula>
    </cfRule>
  </conditionalFormatting>
  <conditionalFormatting sqref="F448">
    <cfRule type="expression" dxfId="10539" priority="2304">
      <formula>B448=""</formula>
    </cfRule>
  </conditionalFormatting>
  <conditionalFormatting sqref="F449">
    <cfRule type="expression" dxfId="10538" priority="2303">
      <formula>B449=""</formula>
    </cfRule>
  </conditionalFormatting>
  <conditionalFormatting sqref="F450">
    <cfRule type="expression" dxfId="10537" priority="2302">
      <formula>B450=""</formula>
    </cfRule>
  </conditionalFormatting>
  <conditionalFormatting sqref="E431 E433 E435 E437 E439 E441 E443 E445 E447 E449">
    <cfRule type="expression" dxfId="10536" priority="2301">
      <formula>B431=""</formula>
    </cfRule>
  </conditionalFormatting>
  <conditionalFormatting sqref="E432:E442">
    <cfRule type="expression" dxfId="10535" priority="2300">
      <formula>B432=""</formula>
    </cfRule>
  </conditionalFormatting>
  <conditionalFormatting sqref="E443">
    <cfRule type="expression" dxfId="10534" priority="2299">
      <formula>B443=""</formula>
    </cfRule>
  </conditionalFormatting>
  <conditionalFormatting sqref="E444">
    <cfRule type="expression" dxfId="10533" priority="2298">
      <formula>B444=""</formula>
    </cfRule>
  </conditionalFormatting>
  <conditionalFormatting sqref="E445">
    <cfRule type="expression" dxfId="10532" priority="2297">
      <formula>B445=""</formula>
    </cfRule>
  </conditionalFormatting>
  <conditionalFormatting sqref="E446">
    <cfRule type="expression" dxfId="10531" priority="2296">
      <formula>B446=""</formula>
    </cfRule>
  </conditionalFormatting>
  <conditionalFormatting sqref="E447">
    <cfRule type="expression" dxfId="10530" priority="2295">
      <formula>B447=""</formula>
    </cfRule>
  </conditionalFormatting>
  <conditionalFormatting sqref="E448">
    <cfRule type="expression" dxfId="10529" priority="2294">
      <formula>B448=""</formula>
    </cfRule>
  </conditionalFormatting>
  <conditionalFormatting sqref="E449">
    <cfRule type="expression" dxfId="10528" priority="2293">
      <formula>B449=""</formula>
    </cfRule>
  </conditionalFormatting>
  <conditionalFormatting sqref="E450">
    <cfRule type="expression" dxfId="10527" priority="2292">
      <formula>B450=""</formula>
    </cfRule>
  </conditionalFormatting>
  <conditionalFormatting sqref="G430 G432 G434 G436 G438 G440 G442 G444 G446 G448">
    <cfRule type="expression" dxfId="10526" priority="2291">
      <formula>B430=""</formula>
    </cfRule>
  </conditionalFormatting>
  <conditionalFormatting sqref="G431 G433 G435 G437 G439 G441 G443 G445 G447 G449">
    <cfRule type="expression" dxfId="10525" priority="2290">
      <formula>B431=""</formula>
    </cfRule>
  </conditionalFormatting>
  <conditionalFormatting sqref="G432:G442">
    <cfRule type="expression" dxfId="10524" priority="2289">
      <formula>B432=""</formula>
    </cfRule>
  </conditionalFormatting>
  <conditionalFormatting sqref="G443">
    <cfRule type="expression" dxfId="10523" priority="2288">
      <formula>B443=""</formula>
    </cfRule>
  </conditionalFormatting>
  <conditionalFormatting sqref="G444">
    <cfRule type="expression" dxfId="10522" priority="2287">
      <formula>B444=""</formula>
    </cfRule>
  </conditionalFormatting>
  <conditionalFormatting sqref="G445">
    <cfRule type="expression" dxfId="10521" priority="2286">
      <formula>B445=""</formula>
    </cfRule>
  </conditionalFormatting>
  <conditionalFormatting sqref="G446">
    <cfRule type="expression" dxfId="10520" priority="2285">
      <formula>B446=""</formula>
    </cfRule>
  </conditionalFormatting>
  <conditionalFormatting sqref="G447">
    <cfRule type="expression" dxfId="10519" priority="2284">
      <formula>B447=""</formula>
    </cfRule>
  </conditionalFormatting>
  <conditionalFormatting sqref="G448">
    <cfRule type="expression" dxfId="10518" priority="2283">
      <formula>B448=""</formula>
    </cfRule>
  </conditionalFormatting>
  <conditionalFormatting sqref="G449">
    <cfRule type="expression" dxfId="10517" priority="2282">
      <formula>B449=""</formula>
    </cfRule>
  </conditionalFormatting>
  <conditionalFormatting sqref="G450">
    <cfRule type="expression" dxfId="10516" priority="2281">
      <formula>B450=""</formula>
    </cfRule>
  </conditionalFormatting>
  <conditionalFormatting sqref="H430 H432 H434 H436 H438 H440 H442 H444 H446 H448">
    <cfRule type="expression" dxfId="10515" priority="2280">
      <formula>B430=""</formula>
    </cfRule>
  </conditionalFormatting>
  <conditionalFormatting sqref="H431 H433 H435 H437 H439 H441 H443 H445 H447 H449">
    <cfRule type="expression" dxfId="10514" priority="2279">
      <formula>B431=""</formula>
    </cfRule>
  </conditionalFormatting>
  <conditionalFormatting sqref="H432:H442">
    <cfRule type="expression" dxfId="10513" priority="2278">
      <formula>B432=""</formula>
    </cfRule>
  </conditionalFormatting>
  <conditionalFormatting sqref="H443">
    <cfRule type="expression" dxfId="10512" priority="2277">
      <formula>B443=""</formula>
    </cfRule>
  </conditionalFormatting>
  <conditionalFormatting sqref="H444">
    <cfRule type="expression" dxfId="10511" priority="2276">
      <formula>B444=""</formula>
    </cfRule>
  </conditionalFormatting>
  <conditionalFormatting sqref="H445">
    <cfRule type="expression" dxfId="10510" priority="2275">
      <formula>B445=""</formula>
    </cfRule>
  </conditionalFormatting>
  <conditionalFormatting sqref="H446">
    <cfRule type="expression" dxfId="10509" priority="2274">
      <formula>B446=""</formula>
    </cfRule>
  </conditionalFormatting>
  <conditionalFormatting sqref="H447">
    <cfRule type="expression" dxfId="10508" priority="2273">
      <formula>B447=""</formula>
    </cfRule>
  </conditionalFormatting>
  <conditionalFormatting sqref="H448">
    <cfRule type="expression" dxfId="10507" priority="2272">
      <formula>B448=""</formula>
    </cfRule>
  </conditionalFormatting>
  <conditionalFormatting sqref="H449">
    <cfRule type="expression" dxfId="10506" priority="2271">
      <formula>B449=""</formula>
    </cfRule>
  </conditionalFormatting>
  <conditionalFormatting sqref="H450">
    <cfRule type="expression" dxfId="10505" priority="2270">
      <formula>B450=""</formula>
    </cfRule>
  </conditionalFormatting>
  <conditionalFormatting sqref="C452:C471">
    <cfRule type="expression" dxfId="10504" priority="2269">
      <formula>B452=""</formula>
    </cfRule>
  </conditionalFormatting>
  <conditionalFormatting sqref="C453 C455 C457 C459 C461 C463 C465 C467 C469 C471">
    <cfRule type="expression" dxfId="10503" priority="2268">
      <formula>B453=""</formula>
    </cfRule>
  </conditionalFormatting>
  <conditionalFormatting sqref="C454:C464">
    <cfRule type="expression" dxfId="10502" priority="2267">
      <formula>B454=""</formula>
    </cfRule>
  </conditionalFormatting>
  <conditionalFormatting sqref="C465">
    <cfRule type="expression" dxfId="10501" priority="2266">
      <formula>B465=""</formula>
    </cfRule>
  </conditionalFormatting>
  <conditionalFormatting sqref="C466">
    <cfRule type="expression" dxfId="10500" priority="2265">
      <formula>B466=""</formula>
    </cfRule>
  </conditionalFormatting>
  <conditionalFormatting sqref="C467">
    <cfRule type="expression" dxfId="10499" priority="2264">
      <formula>B467=""</formula>
    </cfRule>
  </conditionalFormatting>
  <conditionalFormatting sqref="C468">
    <cfRule type="expression" dxfId="10498" priority="2263">
      <formula>B468=""</formula>
    </cfRule>
  </conditionalFormatting>
  <conditionalFormatting sqref="C469">
    <cfRule type="expression" dxfId="10497" priority="2262">
      <formula>B469=""</formula>
    </cfRule>
  </conditionalFormatting>
  <conditionalFormatting sqref="C470">
    <cfRule type="expression" dxfId="10496" priority="2261">
      <formula>B470=""</formula>
    </cfRule>
  </conditionalFormatting>
  <conditionalFormatting sqref="C471">
    <cfRule type="expression" dxfId="10495" priority="2260">
      <formula>B471=""</formula>
    </cfRule>
  </conditionalFormatting>
  <conditionalFormatting sqref="C472">
    <cfRule type="expression" dxfId="10494" priority="2259">
      <formula>B472=""</formula>
    </cfRule>
  </conditionalFormatting>
  <conditionalFormatting sqref="D452 D454 D456 D458 D460 D462 D464 D466 D468 D470">
    <cfRule type="expression" dxfId="10493" priority="2258">
      <formula>B452=""</formula>
    </cfRule>
  </conditionalFormatting>
  <conditionalFormatting sqref="D453 D455 D457 D459 D461 D463 D465 D467 D469 D471">
    <cfRule type="expression" dxfId="10492" priority="2257">
      <formula>B453=""</formula>
    </cfRule>
  </conditionalFormatting>
  <conditionalFormatting sqref="D454:D464">
    <cfRule type="expression" dxfId="10491" priority="2256">
      <formula>B454=""</formula>
    </cfRule>
  </conditionalFormatting>
  <conditionalFormatting sqref="D465">
    <cfRule type="expression" dxfId="10490" priority="2255">
      <formula>B465=""</formula>
    </cfRule>
  </conditionalFormatting>
  <conditionalFormatting sqref="D466">
    <cfRule type="expression" dxfId="10489" priority="2254">
      <formula>B466=""</formula>
    </cfRule>
  </conditionalFormatting>
  <conditionalFormatting sqref="D467">
    <cfRule type="expression" dxfId="10488" priority="2253">
      <formula>B467=""</formula>
    </cfRule>
  </conditionalFormatting>
  <conditionalFormatting sqref="D468">
    <cfRule type="expression" dxfId="10487" priority="2252">
      <formula>B468=""</formula>
    </cfRule>
  </conditionalFormatting>
  <conditionalFormatting sqref="D469">
    <cfRule type="expression" dxfId="10486" priority="2251">
      <formula>B469=""</formula>
    </cfRule>
  </conditionalFormatting>
  <conditionalFormatting sqref="D470">
    <cfRule type="expression" dxfId="10485" priority="2250">
      <formula>B470=""</formula>
    </cfRule>
  </conditionalFormatting>
  <conditionalFormatting sqref="D471">
    <cfRule type="expression" dxfId="10484" priority="2249">
      <formula>B471=""</formula>
    </cfRule>
  </conditionalFormatting>
  <conditionalFormatting sqref="D472">
    <cfRule type="expression" dxfId="10483" priority="2248">
      <formula>B472=""</formula>
    </cfRule>
  </conditionalFormatting>
  <conditionalFormatting sqref="E452 E454 E456 E458 E460 E462 E464 E466 E468 E470">
    <cfRule type="expression" dxfId="10482" priority="2247">
      <formula>B452=""</formula>
    </cfRule>
  </conditionalFormatting>
  <conditionalFormatting sqref="E453 E455 E457 E459 E461 E463 E465 E467 E469 E471">
    <cfRule type="expression" dxfId="10481" priority="2246">
      <formula>B453=""</formula>
    </cfRule>
  </conditionalFormatting>
  <conditionalFormatting sqref="E454:E464">
    <cfRule type="expression" dxfId="10480" priority="2245">
      <formula>B454=""</formula>
    </cfRule>
  </conditionalFormatting>
  <conditionalFormatting sqref="E465">
    <cfRule type="expression" dxfId="10479" priority="2244">
      <formula>B465=""</formula>
    </cfRule>
  </conditionalFormatting>
  <conditionalFormatting sqref="E466">
    <cfRule type="expression" dxfId="10478" priority="2243">
      <formula>B466=""</formula>
    </cfRule>
  </conditionalFormatting>
  <conditionalFormatting sqref="E467">
    <cfRule type="expression" dxfId="10477" priority="2242">
      <formula>B467=""</formula>
    </cfRule>
  </conditionalFormatting>
  <conditionalFormatting sqref="E468">
    <cfRule type="expression" dxfId="10476" priority="2241">
      <formula>B468=""</formula>
    </cfRule>
  </conditionalFormatting>
  <conditionalFormatting sqref="E469">
    <cfRule type="expression" dxfId="10475" priority="2240">
      <formula>B469=""</formula>
    </cfRule>
  </conditionalFormatting>
  <conditionalFormatting sqref="E470">
    <cfRule type="expression" dxfId="10474" priority="2239">
      <formula>B470=""</formula>
    </cfRule>
  </conditionalFormatting>
  <conditionalFormatting sqref="E471">
    <cfRule type="expression" dxfId="10473" priority="2238">
      <formula>B471=""</formula>
    </cfRule>
  </conditionalFormatting>
  <conditionalFormatting sqref="E472">
    <cfRule type="expression" dxfId="10472" priority="2237">
      <formula>B472=""</formula>
    </cfRule>
  </conditionalFormatting>
  <conditionalFormatting sqref="F452 F454 F456 F458 F460 F462 F464 F466 F468 F470">
    <cfRule type="expression" dxfId="10471" priority="2236">
      <formula>B452=""</formula>
    </cfRule>
  </conditionalFormatting>
  <conditionalFormatting sqref="F453 F455 F457 F459 F461 F463 F465 F467 F469 F471">
    <cfRule type="expression" dxfId="10470" priority="2235">
      <formula>B453=""</formula>
    </cfRule>
  </conditionalFormatting>
  <conditionalFormatting sqref="F454:F464">
    <cfRule type="expression" dxfId="10469" priority="2234">
      <formula>B454=""</formula>
    </cfRule>
  </conditionalFormatting>
  <conditionalFormatting sqref="F465">
    <cfRule type="expression" dxfId="10468" priority="2233">
      <formula>B465=""</formula>
    </cfRule>
  </conditionalFormatting>
  <conditionalFormatting sqref="F466">
    <cfRule type="expression" dxfId="10467" priority="2232">
      <formula>B466=""</formula>
    </cfRule>
  </conditionalFormatting>
  <conditionalFormatting sqref="F467">
    <cfRule type="expression" dxfId="10466" priority="2231">
      <formula>B467=""</formula>
    </cfRule>
  </conditionalFormatting>
  <conditionalFormatting sqref="F468">
    <cfRule type="expression" dxfId="10465" priority="2230">
      <formula>B468=""</formula>
    </cfRule>
  </conditionalFormatting>
  <conditionalFormatting sqref="F469">
    <cfRule type="expression" dxfId="10464" priority="2229">
      <formula>B469=""</formula>
    </cfRule>
  </conditionalFormatting>
  <conditionalFormatting sqref="F470">
    <cfRule type="expression" dxfId="10463" priority="2228">
      <formula>B470=""</formula>
    </cfRule>
  </conditionalFormatting>
  <conditionalFormatting sqref="F471">
    <cfRule type="expression" dxfId="10462" priority="2227">
      <formula>B471=""</formula>
    </cfRule>
  </conditionalFormatting>
  <conditionalFormatting sqref="F472">
    <cfRule type="expression" dxfId="10461" priority="2226">
      <formula>B472=""</formula>
    </cfRule>
  </conditionalFormatting>
  <conditionalFormatting sqref="E453 E455 E457 E459 E461 E463 E465 E467 E469 E471">
    <cfRule type="expression" dxfId="10460" priority="2225">
      <formula>B453=""</formula>
    </cfRule>
  </conditionalFormatting>
  <conditionalFormatting sqref="E454:E464">
    <cfRule type="expression" dxfId="10459" priority="2224">
      <formula>B454=""</formula>
    </cfRule>
  </conditionalFormatting>
  <conditionalFormatting sqref="E465">
    <cfRule type="expression" dxfId="10458" priority="2223">
      <formula>B465=""</formula>
    </cfRule>
  </conditionalFormatting>
  <conditionalFormatting sqref="E466">
    <cfRule type="expression" dxfId="10457" priority="2222">
      <formula>B466=""</formula>
    </cfRule>
  </conditionalFormatting>
  <conditionalFormatting sqref="E467">
    <cfRule type="expression" dxfId="10456" priority="2221">
      <formula>B467=""</formula>
    </cfRule>
  </conditionalFormatting>
  <conditionalFormatting sqref="E468">
    <cfRule type="expression" dxfId="10455" priority="2220">
      <formula>B468=""</formula>
    </cfRule>
  </conditionalFormatting>
  <conditionalFormatting sqref="E469">
    <cfRule type="expression" dxfId="10454" priority="2219">
      <formula>B469=""</formula>
    </cfRule>
  </conditionalFormatting>
  <conditionalFormatting sqref="E470">
    <cfRule type="expression" dxfId="10453" priority="2218">
      <formula>B470=""</formula>
    </cfRule>
  </conditionalFormatting>
  <conditionalFormatting sqref="E471">
    <cfRule type="expression" dxfId="10452" priority="2217">
      <formula>B471=""</formula>
    </cfRule>
  </conditionalFormatting>
  <conditionalFormatting sqref="E472">
    <cfRule type="expression" dxfId="10451" priority="2216">
      <formula>B472=""</formula>
    </cfRule>
  </conditionalFormatting>
  <conditionalFormatting sqref="G452 G454 G456 G458 G460 G462 G464 G466 G468 G470">
    <cfRule type="expression" dxfId="10450" priority="2215">
      <formula>B452=""</formula>
    </cfRule>
  </conditionalFormatting>
  <conditionalFormatting sqref="G453 G455 G457 G459 G461 G463 G465 G467 G469 G471">
    <cfRule type="expression" dxfId="10449" priority="2214">
      <formula>B453=""</formula>
    </cfRule>
  </conditionalFormatting>
  <conditionalFormatting sqref="G454:G464">
    <cfRule type="expression" dxfId="10448" priority="2213">
      <formula>B454=""</formula>
    </cfRule>
  </conditionalFormatting>
  <conditionalFormatting sqref="G465">
    <cfRule type="expression" dxfId="10447" priority="2212">
      <formula>B465=""</formula>
    </cfRule>
  </conditionalFormatting>
  <conditionalFormatting sqref="G466">
    <cfRule type="expression" dxfId="10446" priority="2211">
      <formula>B466=""</formula>
    </cfRule>
  </conditionalFormatting>
  <conditionalFormatting sqref="G467">
    <cfRule type="expression" dxfId="10445" priority="2210">
      <formula>B467=""</formula>
    </cfRule>
  </conditionalFormatting>
  <conditionalFormatting sqref="G468">
    <cfRule type="expression" dxfId="10444" priority="2209">
      <formula>B468=""</formula>
    </cfRule>
  </conditionalFormatting>
  <conditionalFormatting sqref="G469">
    <cfRule type="expression" dxfId="10443" priority="2208">
      <formula>B469=""</formula>
    </cfRule>
  </conditionalFormatting>
  <conditionalFormatting sqref="G470">
    <cfRule type="expression" dxfId="10442" priority="2207">
      <formula>B470=""</formula>
    </cfRule>
  </conditionalFormatting>
  <conditionalFormatting sqref="G471">
    <cfRule type="expression" dxfId="10441" priority="2206">
      <formula>B471=""</formula>
    </cfRule>
  </conditionalFormatting>
  <conditionalFormatting sqref="G472">
    <cfRule type="expression" dxfId="10440" priority="2205">
      <formula>B472=""</formula>
    </cfRule>
  </conditionalFormatting>
  <conditionalFormatting sqref="H452 H454 H456 H458 H460 H462 H464 H466 H468 H470">
    <cfRule type="expression" dxfId="10439" priority="2204">
      <formula>B452=""</formula>
    </cfRule>
  </conditionalFormatting>
  <conditionalFormatting sqref="H453 H455 H457 H459 H461 H463 H465 H467 H469 H471">
    <cfRule type="expression" dxfId="10438" priority="2203">
      <formula>B453=""</formula>
    </cfRule>
  </conditionalFormatting>
  <conditionalFormatting sqref="H454:H464">
    <cfRule type="expression" dxfId="10437" priority="2202">
      <formula>B454=""</formula>
    </cfRule>
  </conditionalFormatting>
  <conditionalFormatting sqref="H465">
    <cfRule type="expression" dxfId="10436" priority="2201">
      <formula>B465=""</formula>
    </cfRule>
  </conditionalFormatting>
  <conditionalFormatting sqref="H466">
    <cfRule type="expression" dxfId="10435" priority="2200">
      <formula>B466=""</formula>
    </cfRule>
  </conditionalFormatting>
  <conditionalFormatting sqref="H467">
    <cfRule type="expression" dxfId="10434" priority="2199">
      <formula>B467=""</formula>
    </cfRule>
  </conditionalFormatting>
  <conditionalFormatting sqref="H468">
    <cfRule type="expression" dxfId="10433" priority="2198">
      <formula>B468=""</formula>
    </cfRule>
  </conditionalFormatting>
  <conditionalFormatting sqref="H469">
    <cfRule type="expression" dxfId="10432" priority="2197">
      <formula>B469=""</formula>
    </cfRule>
  </conditionalFormatting>
  <conditionalFormatting sqref="H470">
    <cfRule type="expression" dxfId="10431" priority="2196">
      <formula>B470=""</formula>
    </cfRule>
  </conditionalFormatting>
  <conditionalFormatting sqref="H471">
    <cfRule type="expression" dxfId="10430" priority="2195">
      <formula>B471=""</formula>
    </cfRule>
  </conditionalFormatting>
  <conditionalFormatting sqref="H472">
    <cfRule type="expression" dxfId="10429" priority="2194">
      <formula>B472=""</formula>
    </cfRule>
  </conditionalFormatting>
  <conditionalFormatting sqref="C474:C494">
    <cfRule type="expression" dxfId="10428" priority="2193">
      <formula>B474=""</formula>
    </cfRule>
  </conditionalFormatting>
  <conditionalFormatting sqref="C475 C477 C479 C481 C483 C485 C487 C489 C491 C493">
    <cfRule type="expression" dxfId="10427" priority="2192">
      <formula>B475=""</formula>
    </cfRule>
  </conditionalFormatting>
  <conditionalFormatting sqref="C476:C486">
    <cfRule type="expression" dxfId="10426" priority="2191">
      <formula>B476=""</formula>
    </cfRule>
  </conditionalFormatting>
  <conditionalFormatting sqref="C487">
    <cfRule type="expression" dxfId="10425" priority="2190">
      <formula>B487=""</formula>
    </cfRule>
  </conditionalFormatting>
  <conditionalFormatting sqref="C488">
    <cfRule type="expression" dxfId="10424" priority="2189">
      <formula>B488=""</formula>
    </cfRule>
  </conditionalFormatting>
  <conditionalFormatting sqref="C489">
    <cfRule type="expression" dxfId="10423" priority="2188">
      <formula>B489=""</formula>
    </cfRule>
  </conditionalFormatting>
  <conditionalFormatting sqref="C490">
    <cfRule type="expression" dxfId="10422" priority="2187">
      <formula>B490=""</formula>
    </cfRule>
  </conditionalFormatting>
  <conditionalFormatting sqref="C491">
    <cfRule type="expression" dxfId="10421" priority="2186">
      <formula>B491=""</formula>
    </cfRule>
  </conditionalFormatting>
  <conditionalFormatting sqref="C492">
    <cfRule type="expression" dxfId="10420" priority="2185">
      <formula>B492=""</formula>
    </cfRule>
  </conditionalFormatting>
  <conditionalFormatting sqref="C493">
    <cfRule type="expression" dxfId="10419" priority="2184">
      <formula>B493=""</formula>
    </cfRule>
  </conditionalFormatting>
  <conditionalFormatting sqref="C494">
    <cfRule type="expression" dxfId="10418" priority="2183">
      <formula>B494=""</formula>
    </cfRule>
  </conditionalFormatting>
  <conditionalFormatting sqref="D474 D476 D478 D480 D482 D484 D486 D488 D490 D492">
    <cfRule type="expression" dxfId="10417" priority="2182">
      <formula>B474=""</formula>
    </cfRule>
  </conditionalFormatting>
  <conditionalFormatting sqref="D475 D477 D479 D481 D483 D485 D487 D489 D491 D493">
    <cfRule type="expression" dxfId="10416" priority="2181">
      <formula>B475=""</formula>
    </cfRule>
  </conditionalFormatting>
  <conditionalFormatting sqref="D476:D486">
    <cfRule type="expression" dxfId="10415" priority="2180">
      <formula>B476=""</formula>
    </cfRule>
  </conditionalFormatting>
  <conditionalFormatting sqref="D487">
    <cfRule type="expression" dxfId="10414" priority="2179">
      <formula>B487=""</formula>
    </cfRule>
  </conditionalFormatting>
  <conditionalFormatting sqref="D488">
    <cfRule type="expression" dxfId="10413" priority="2178">
      <formula>B488=""</formula>
    </cfRule>
  </conditionalFormatting>
  <conditionalFormatting sqref="D489">
    <cfRule type="expression" dxfId="10412" priority="2177">
      <formula>B489=""</formula>
    </cfRule>
  </conditionalFormatting>
  <conditionalFormatting sqref="D490">
    <cfRule type="expression" dxfId="10411" priority="2176">
      <formula>B490=""</formula>
    </cfRule>
  </conditionalFormatting>
  <conditionalFormatting sqref="D491">
    <cfRule type="expression" dxfId="10410" priority="2175">
      <formula>B491=""</formula>
    </cfRule>
  </conditionalFormatting>
  <conditionalFormatting sqref="D492">
    <cfRule type="expression" dxfId="10409" priority="2174">
      <formula>B492=""</formula>
    </cfRule>
  </conditionalFormatting>
  <conditionalFormatting sqref="D493">
    <cfRule type="expression" dxfId="10408" priority="2173">
      <formula>B493=""</formula>
    </cfRule>
  </conditionalFormatting>
  <conditionalFormatting sqref="D494">
    <cfRule type="expression" dxfId="10407" priority="2172">
      <formula>B494=""</formula>
    </cfRule>
  </conditionalFormatting>
  <conditionalFormatting sqref="E474 E476 E478 E480 E482 E484 E486 E488 E490 E492">
    <cfRule type="expression" dxfId="10406" priority="2171">
      <formula>B474=""</formula>
    </cfRule>
  </conditionalFormatting>
  <conditionalFormatting sqref="E475 E477 E479 E481 E483 E485 E487 E489 E491 E493">
    <cfRule type="expression" dxfId="10405" priority="2170">
      <formula>B475=""</formula>
    </cfRule>
  </conditionalFormatting>
  <conditionalFormatting sqref="E476:E486">
    <cfRule type="expression" dxfId="10404" priority="2169">
      <formula>B476=""</formula>
    </cfRule>
  </conditionalFormatting>
  <conditionalFormatting sqref="E487">
    <cfRule type="expression" dxfId="10403" priority="2168">
      <formula>B487=""</formula>
    </cfRule>
  </conditionalFormatting>
  <conditionalFormatting sqref="E488">
    <cfRule type="expression" dxfId="10402" priority="2167">
      <formula>B488=""</formula>
    </cfRule>
  </conditionalFormatting>
  <conditionalFormatting sqref="E489">
    <cfRule type="expression" dxfId="10401" priority="2166">
      <formula>B489=""</formula>
    </cfRule>
  </conditionalFormatting>
  <conditionalFormatting sqref="E490">
    <cfRule type="expression" dxfId="10400" priority="2165">
      <formula>B490=""</formula>
    </cfRule>
  </conditionalFormatting>
  <conditionalFormatting sqref="E491">
    <cfRule type="expression" dxfId="10399" priority="2164">
      <formula>B491=""</formula>
    </cfRule>
  </conditionalFormatting>
  <conditionalFormatting sqref="E492">
    <cfRule type="expression" dxfId="10398" priority="2163">
      <formula>B492=""</formula>
    </cfRule>
  </conditionalFormatting>
  <conditionalFormatting sqref="E493">
    <cfRule type="expression" dxfId="10397" priority="2162">
      <formula>B493=""</formula>
    </cfRule>
  </conditionalFormatting>
  <conditionalFormatting sqref="E494">
    <cfRule type="expression" dxfId="10396" priority="2161">
      <formula>B494=""</formula>
    </cfRule>
  </conditionalFormatting>
  <conditionalFormatting sqref="F474 F476 F478 F480 F482 F484 F486 F488 F490 F492">
    <cfRule type="expression" dxfId="10395" priority="2160">
      <formula>B474=""</formula>
    </cfRule>
  </conditionalFormatting>
  <conditionalFormatting sqref="F475 F477 F479 F481 F483 F485 F487 F489 F491 F493">
    <cfRule type="expression" dxfId="10394" priority="2159">
      <formula>B475=""</formula>
    </cfRule>
  </conditionalFormatting>
  <conditionalFormatting sqref="F476:F486">
    <cfRule type="expression" dxfId="10393" priority="2158">
      <formula>B476=""</formula>
    </cfRule>
  </conditionalFormatting>
  <conditionalFormatting sqref="F487">
    <cfRule type="expression" dxfId="10392" priority="2157">
      <formula>B487=""</formula>
    </cfRule>
  </conditionalFormatting>
  <conditionalFormatting sqref="F488">
    <cfRule type="expression" dxfId="10391" priority="2156">
      <formula>B488=""</formula>
    </cfRule>
  </conditionalFormatting>
  <conditionalFormatting sqref="F489">
    <cfRule type="expression" dxfId="10390" priority="2155">
      <formula>B489=""</formula>
    </cfRule>
  </conditionalFormatting>
  <conditionalFormatting sqref="F490">
    <cfRule type="expression" dxfId="10389" priority="2154">
      <formula>B490=""</formula>
    </cfRule>
  </conditionalFormatting>
  <conditionalFormatting sqref="F491">
    <cfRule type="expression" dxfId="10388" priority="2153">
      <formula>B491=""</formula>
    </cfRule>
  </conditionalFormatting>
  <conditionalFormatting sqref="F492">
    <cfRule type="expression" dxfId="10387" priority="2152">
      <formula>B492=""</formula>
    </cfRule>
  </conditionalFormatting>
  <conditionalFormatting sqref="F493">
    <cfRule type="expression" dxfId="10386" priority="2151">
      <formula>B493=""</formula>
    </cfRule>
  </conditionalFormatting>
  <conditionalFormatting sqref="F494">
    <cfRule type="expression" dxfId="10385" priority="2150">
      <formula>B494=""</formula>
    </cfRule>
  </conditionalFormatting>
  <conditionalFormatting sqref="E475 E477 E479 E481 E483 E485 E487 E489 E491 E493">
    <cfRule type="expression" dxfId="10384" priority="2149">
      <formula>B475=""</formula>
    </cfRule>
  </conditionalFormatting>
  <conditionalFormatting sqref="E476:E486">
    <cfRule type="expression" dxfId="10383" priority="2148">
      <formula>B476=""</formula>
    </cfRule>
  </conditionalFormatting>
  <conditionalFormatting sqref="E487">
    <cfRule type="expression" dxfId="10382" priority="2147">
      <formula>B487=""</formula>
    </cfRule>
  </conditionalFormatting>
  <conditionalFormatting sqref="E488">
    <cfRule type="expression" dxfId="10381" priority="2146">
      <formula>B488=""</formula>
    </cfRule>
  </conditionalFormatting>
  <conditionalFormatting sqref="E489">
    <cfRule type="expression" dxfId="10380" priority="2145">
      <formula>B489=""</formula>
    </cfRule>
  </conditionalFormatting>
  <conditionalFormatting sqref="E490">
    <cfRule type="expression" dxfId="10379" priority="2144">
      <formula>B490=""</formula>
    </cfRule>
  </conditionalFormatting>
  <conditionalFormatting sqref="E491">
    <cfRule type="expression" dxfId="10378" priority="2143">
      <formula>B491=""</formula>
    </cfRule>
  </conditionalFormatting>
  <conditionalFormatting sqref="E492">
    <cfRule type="expression" dxfId="10377" priority="2142">
      <formula>B492=""</formula>
    </cfRule>
  </conditionalFormatting>
  <conditionalFormatting sqref="E493">
    <cfRule type="expression" dxfId="10376" priority="2141">
      <formula>B493=""</formula>
    </cfRule>
  </conditionalFormatting>
  <conditionalFormatting sqref="E494">
    <cfRule type="expression" dxfId="10375" priority="2140">
      <formula>B494=""</formula>
    </cfRule>
  </conditionalFormatting>
  <conditionalFormatting sqref="G474 G476 G478 G480 G482 G484 G486 G488 G490 G492">
    <cfRule type="expression" dxfId="10374" priority="2139">
      <formula>B474=""</formula>
    </cfRule>
  </conditionalFormatting>
  <conditionalFormatting sqref="G475 G477 G479 G481 G483 G485 G487 G489 G491 G493">
    <cfRule type="expression" dxfId="10373" priority="2138">
      <formula>B475=""</formula>
    </cfRule>
  </conditionalFormatting>
  <conditionalFormatting sqref="G476:G486">
    <cfRule type="expression" dxfId="10372" priority="2137">
      <formula>B476=""</formula>
    </cfRule>
  </conditionalFormatting>
  <conditionalFormatting sqref="G487">
    <cfRule type="expression" dxfId="10371" priority="2136">
      <formula>B487=""</formula>
    </cfRule>
  </conditionalFormatting>
  <conditionalFormatting sqref="G488">
    <cfRule type="expression" dxfId="10370" priority="2135">
      <formula>B488=""</formula>
    </cfRule>
  </conditionalFormatting>
  <conditionalFormatting sqref="G489">
    <cfRule type="expression" dxfId="10369" priority="2134">
      <formula>B489=""</formula>
    </cfRule>
  </conditionalFormatting>
  <conditionalFormatting sqref="G490">
    <cfRule type="expression" dxfId="10368" priority="2133">
      <formula>B490=""</formula>
    </cfRule>
  </conditionalFormatting>
  <conditionalFormatting sqref="G491">
    <cfRule type="expression" dxfId="10367" priority="2132">
      <formula>B491=""</formula>
    </cfRule>
  </conditionalFormatting>
  <conditionalFormatting sqref="G492">
    <cfRule type="expression" dxfId="10366" priority="2131">
      <formula>B492=""</formula>
    </cfRule>
  </conditionalFormatting>
  <conditionalFormatting sqref="G493">
    <cfRule type="expression" dxfId="10365" priority="2130">
      <formula>B493=""</formula>
    </cfRule>
  </conditionalFormatting>
  <conditionalFormatting sqref="G494">
    <cfRule type="expression" dxfId="10364" priority="2129">
      <formula>B494=""</formula>
    </cfRule>
  </conditionalFormatting>
  <conditionalFormatting sqref="H474 H476 H478 H480 H482 H484 H486 H488 H490 H492">
    <cfRule type="expression" dxfId="10363" priority="2128">
      <formula>B474=""</formula>
    </cfRule>
  </conditionalFormatting>
  <conditionalFormatting sqref="H475 H477 H479 H481 H483 H485 H487 H489 H491 H493">
    <cfRule type="expression" dxfId="10362" priority="2127">
      <formula>B475=""</formula>
    </cfRule>
  </conditionalFormatting>
  <conditionalFormatting sqref="H476:H486">
    <cfRule type="expression" dxfId="10361" priority="2126">
      <formula>B476=""</formula>
    </cfRule>
  </conditionalFormatting>
  <conditionalFormatting sqref="H487">
    <cfRule type="expression" dxfId="10360" priority="2125">
      <formula>B487=""</formula>
    </cfRule>
  </conditionalFormatting>
  <conditionalFormatting sqref="H488">
    <cfRule type="expression" dxfId="10359" priority="2124">
      <formula>B488=""</formula>
    </cfRule>
  </conditionalFormatting>
  <conditionalFormatting sqref="H489">
    <cfRule type="expression" dxfId="10358" priority="2123">
      <formula>B489=""</formula>
    </cfRule>
  </conditionalFormatting>
  <conditionalFormatting sqref="H490">
    <cfRule type="expression" dxfId="10357" priority="2122">
      <formula>B490=""</formula>
    </cfRule>
  </conditionalFormatting>
  <conditionalFormatting sqref="H491">
    <cfRule type="expression" dxfId="10356" priority="2121">
      <formula>B491=""</formula>
    </cfRule>
  </conditionalFormatting>
  <conditionalFormatting sqref="H492">
    <cfRule type="expression" dxfId="10355" priority="2120">
      <formula>B492=""</formula>
    </cfRule>
  </conditionalFormatting>
  <conditionalFormatting sqref="H493">
    <cfRule type="expression" dxfId="10354" priority="2119">
      <formula>B493=""</formula>
    </cfRule>
  </conditionalFormatting>
  <conditionalFormatting sqref="H494">
    <cfRule type="expression" dxfId="10353" priority="2118">
      <formula>B494=""</formula>
    </cfRule>
  </conditionalFormatting>
  <conditionalFormatting sqref="C449">
    <cfRule type="expression" dxfId="10352" priority="2117">
      <formula>B449=""</formula>
    </cfRule>
  </conditionalFormatting>
  <conditionalFormatting sqref="C471">
    <cfRule type="expression" dxfId="10351" priority="2116">
      <formula>B471=""</formula>
    </cfRule>
  </conditionalFormatting>
  <conditionalFormatting sqref="C493">
    <cfRule type="expression" dxfId="10350" priority="2115">
      <formula>B493=""</formula>
    </cfRule>
  </conditionalFormatting>
  <conditionalFormatting sqref="C408:C428">
    <cfRule type="expression" dxfId="10349" priority="2114">
      <formula>B408=""</formula>
    </cfRule>
  </conditionalFormatting>
  <conditionalFormatting sqref="C409 C411 C413 C415 C417 C419 C421 C423 C425 C427">
    <cfRule type="expression" dxfId="10348" priority="2113">
      <formula>B409=""</formula>
    </cfRule>
  </conditionalFormatting>
  <conditionalFormatting sqref="C410:C420">
    <cfRule type="expression" dxfId="10347" priority="2112">
      <formula>B410=""</formula>
    </cfRule>
  </conditionalFormatting>
  <conditionalFormatting sqref="C421">
    <cfRule type="expression" dxfId="10346" priority="2111">
      <formula>B421=""</formula>
    </cfRule>
  </conditionalFormatting>
  <conditionalFormatting sqref="C422">
    <cfRule type="expression" dxfId="10345" priority="2110">
      <formula>B422=""</formula>
    </cfRule>
  </conditionalFormatting>
  <conditionalFormatting sqref="C423">
    <cfRule type="expression" dxfId="10344" priority="2109">
      <formula>B423=""</formula>
    </cfRule>
  </conditionalFormatting>
  <conditionalFormatting sqref="C424">
    <cfRule type="expression" dxfId="10343" priority="2108">
      <formula>B424=""</formula>
    </cfRule>
  </conditionalFormatting>
  <conditionalFormatting sqref="C425">
    <cfRule type="expression" dxfId="10342" priority="2107">
      <formula>B425=""</formula>
    </cfRule>
  </conditionalFormatting>
  <conditionalFormatting sqref="C426">
    <cfRule type="expression" dxfId="10341" priority="2106">
      <formula>B426=""</formula>
    </cfRule>
  </conditionalFormatting>
  <conditionalFormatting sqref="C427">
    <cfRule type="expression" dxfId="10340" priority="2105">
      <formula>B427=""</formula>
    </cfRule>
  </conditionalFormatting>
  <conditionalFormatting sqref="C428">
    <cfRule type="expression" dxfId="10339" priority="2104">
      <formula>B428=""</formula>
    </cfRule>
  </conditionalFormatting>
  <conditionalFormatting sqref="C430:C450">
    <cfRule type="expression" dxfId="10338" priority="2103">
      <formula>B430=""</formula>
    </cfRule>
  </conditionalFormatting>
  <conditionalFormatting sqref="C431 C433 C435 C437 C439 C441 C443 C445 C447 C449">
    <cfRule type="expression" dxfId="10337" priority="2102">
      <formula>B431=""</formula>
    </cfRule>
  </conditionalFormatting>
  <conditionalFormatting sqref="C432:C442">
    <cfRule type="expression" dxfId="10336" priority="2101">
      <formula>B432=""</formula>
    </cfRule>
  </conditionalFormatting>
  <conditionalFormatting sqref="C443">
    <cfRule type="expression" dxfId="10335" priority="2100">
      <formula>B443=""</formula>
    </cfRule>
  </conditionalFormatting>
  <conditionalFormatting sqref="C444">
    <cfRule type="expression" dxfId="10334" priority="2099">
      <formula>B444=""</formula>
    </cfRule>
  </conditionalFormatting>
  <conditionalFormatting sqref="C445">
    <cfRule type="expression" dxfId="10333" priority="2098">
      <formula>B445=""</formula>
    </cfRule>
  </conditionalFormatting>
  <conditionalFormatting sqref="C446">
    <cfRule type="expression" dxfId="10332" priority="2097">
      <formula>B446=""</formula>
    </cfRule>
  </conditionalFormatting>
  <conditionalFormatting sqref="C447">
    <cfRule type="expression" dxfId="10331" priority="2096">
      <formula>B447=""</formula>
    </cfRule>
  </conditionalFormatting>
  <conditionalFormatting sqref="C448">
    <cfRule type="expression" dxfId="10330" priority="2095">
      <formula>B448=""</formula>
    </cfRule>
  </conditionalFormatting>
  <conditionalFormatting sqref="C449">
    <cfRule type="expression" dxfId="10329" priority="2094">
      <formula>B449=""</formula>
    </cfRule>
  </conditionalFormatting>
  <conditionalFormatting sqref="C450">
    <cfRule type="expression" dxfId="10328" priority="2093">
      <formula>B450=""</formula>
    </cfRule>
  </conditionalFormatting>
  <conditionalFormatting sqref="C452:C471">
    <cfRule type="expression" dxfId="10327" priority="2092">
      <formula>B452=""</formula>
    </cfRule>
  </conditionalFormatting>
  <conditionalFormatting sqref="C453 C455 C457 C459 C461 C463 C465 C467 C469 C471">
    <cfRule type="expression" dxfId="10326" priority="2091">
      <formula>B453=""</formula>
    </cfRule>
  </conditionalFormatting>
  <conditionalFormatting sqref="C454:C464">
    <cfRule type="expression" dxfId="10325" priority="2090">
      <formula>B454=""</formula>
    </cfRule>
  </conditionalFormatting>
  <conditionalFormatting sqref="C465">
    <cfRule type="expression" dxfId="10324" priority="2089">
      <formula>B465=""</formula>
    </cfRule>
  </conditionalFormatting>
  <conditionalFormatting sqref="C466">
    <cfRule type="expression" dxfId="10323" priority="2088">
      <formula>B466=""</formula>
    </cfRule>
  </conditionalFormatting>
  <conditionalFormatting sqref="C467">
    <cfRule type="expression" dxfId="10322" priority="2087">
      <formula>B467=""</formula>
    </cfRule>
  </conditionalFormatting>
  <conditionalFormatting sqref="C468">
    <cfRule type="expression" dxfId="10321" priority="2086">
      <formula>B468=""</formula>
    </cfRule>
  </conditionalFormatting>
  <conditionalFormatting sqref="C469">
    <cfRule type="expression" dxfId="10320" priority="2085">
      <formula>B469=""</formula>
    </cfRule>
  </conditionalFormatting>
  <conditionalFormatting sqref="C470">
    <cfRule type="expression" dxfId="10319" priority="2084">
      <formula>B470=""</formula>
    </cfRule>
  </conditionalFormatting>
  <conditionalFormatting sqref="C471">
    <cfRule type="expression" dxfId="10318" priority="2083">
      <formula>B471=""</formula>
    </cfRule>
  </conditionalFormatting>
  <conditionalFormatting sqref="C472">
    <cfRule type="expression" dxfId="10317" priority="2082">
      <formula>B472=""</formula>
    </cfRule>
  </conditionalFormatting>
  <conditionalFormatting sqref="C474:C494">
    <cfRule type="expression" dxfId="10316" priority="2081">
      <formula>B474=""</formula>
    </cfRule>
  </conditionalFormatting>
  <conditionalFormatting sqref="C475 C477 C479 C481 C483 C485 C487 C489 C491 C493">
    <cfRule type="expression" dxfId="10315" priority="2080">
      <formula>B475=""</formula>
    </cfRule>
  </conditionalFormatting>
  <conditionalFormatting sqref="C476:C486">
    <cfRule type="expression" dxfId="10314" priority="2079">
      <formula>B476=""</formula>
    </cfRule>
  </conditionalFormatting>
  <conditionalFormatting sqref="C487">
    <cfRule type="expression" dxfId="10313" priority="2078">
      <formula>B487=""</formula>
    </cfRule>
  </conditionalFormatting>
  <conditionalFormatting sqref="C488">
    <cfRule type="expression" dxfId="10312" priority="2077">
      <formula>B488=""</formula>
    </cfRule>
  </conditionalFormatting>
  <conditionalFormatting sqref="C489">
    <cfRule type="expression" dxfId="10311" priority="2076">
      <formula>B489=""</formula>
    </cfRule>
  </conditionalFormatting>
  <conditionalFormatting sqref="C490">
    <cfRule type="expression" dxfId="10310" priority="2075">
      <formula>B490=""</formula>
    </cfRule>
  </conditionalFormatting>
  <conditionalFormatting sqref="C491">
    <cfRule type="expression" dxfId="10309" priority="2074">
      <formula>B491=""</formula>
    </cfRule>
  </conditionalFormatting>
  <conditionalFormatting sqref="C492">
    <cfRule type="expression" dxfId="10308" priority="2073">
      <formula>B492=""</formula>
    </cfRule>
  </conditionalFormatting>
  <conditionalFormatting sqref="C493">
    <cfRule type="expression" dxfId="10307" priority="2072">
      <formula>B493=""</formula>
    </cfRule>
  </conditionalFormatting>
  <conditionalFormatting sqref="C494">
    <cfRule type="expression" dxfId="10306" priority="2071">
      <formula>B494=""</formula>
    </cfRule>
  </conditionalFormatting>
  <conditionalFormatting sqref="C408:C428">
    <cfRule type="expression" dxfId="10305" priority="2070">
      <formula>B408=""</formula>
    </cfRule>
  </conditionalFormatting>
  <conditionalFormatting sqref="C409 C411 C413 C415 C417 C419 C421 C423 C425 C427">
    <cfRule type="expression" dxfId="10304" priority="2069">
      <formula>B409=""</formula>
    </cfRule>
  </conditionalFormatting>
  <conditionalFormatting sqref="C410:C420">
    <cfRule type="expression" dxfId="10303" priority="2068">
      <formula>B410=""</formula>
    </cfRule>
  </conditionalFormatting>
  <conditionalFormatting sqref="C421">
    <cfRule type="expression" dxfId="10302" priority="2067">
      <formula>B421=""</formula>
    </cfRule>
  </conditionalFormatting>
  <conditionalFormatting sqref="C422">
    <cfRule type="expression" dxfId="10301" priority="2066">
      <formula>B422=""</formula>
    </cfRule>
  </conditionalFormatting>
  <conditionalFormatting sqref="C423">
    <cfRule type="expression" dxfId="10300" priority="2065">
      <formula>B423=""</formula>
    </cfRule>
  </conditionalFormatting>
  <conditionalFormatting sqref="C424">
    <cfRule type="expression" dxfId="10299" priority="2064">
      <formula>B424=""</formula>
    </cfRule>
  </conditionalFormatting>
  <conditionalFormatting sqref="C425">
    <cfRule type="expression" dxfId="10298" priority="2063">
      <formula>B425=""</formula>
    </cfRule>
  </conditionalFormatting>
  <conditionalFormatting sqref="C426">
    <cfRule type="expression" dxfId="10297" priority="2062">
      <formula>B426=""</formula>
    </cfRule>
  </conditionalFormatting>
  <conditionalFormatting sqref="C427">
    <cfRule type="expression" dxfId="10296" priority="2061">
      <formula>B427=""</formula>
    </cfRule>
  </conditionalFormatting>
  <conditionalFormatting sqref="D408 D410 D412 D414 D416 D418 D420 D422 D424 D426">
    <cfRule type="expression" dxfId="10295" priority="2060">
      <formula>B408=""</formula>
    </cfRule>
  </conditionalFormatting>
  <conditionalFormatting sqref="D409 D411 D413 D415 D417 D419 D421 D423 D425 D427">
    <cfRule type="expression" dxfId="10294" priority="2059">
      <formula>B409=""</formula>
    </cfRule>
  </conditionalFormatting>
  <conditionalFormatting sqref="D410:D420">
    <cfRule type="expression" dxfId="10293" priority="2058">
      <formula>B410=""</formula>
    </cfRule>
  </conditionalFormatting>
  <conditionalFormatting sqref="D421">
    <cfRule type="expression" dxfId="10292" priority="2057">
      <formula>B421=""</formula>
    </cfRule>
  </conditionalFormatting>
  <conditionalFormatting sqref="D422">
    <cfRule type="expression" dxfId="10291" priority="2056">
      <formula>B422=""</formula>
    </cfRule>
  </conditionalFormatting>
  <conditionalFormatting sqref="D423">
    <cfRule type="expression" dxfId="10290" priority="2055">
      <formula>B423=""</formula>
    </cfRule>
  </conditionalFormatting>
  <conditionalFormatting sqref="D424">
    <cfRule type="expression" dxfId="10289" priority="2054">
      <formula>B424=""</formula>
    </cfRule>
  </conditionalFormatting>
  <conditionalFormatting sqref="D425">
    <cfRule type="expression" dxfId="10288" priority="2053">
      <formula>B425=""</formula>
    </cfRule>
  </conditionalFormatting>
  <conditionalFormatting sqref="D426">
    <cfRule type="expression" dxfId="10287" priority="2052">
      <formula>B426=""</formula>
    </cfRule>
  </conditionalFormatting>
  <conditionalFormatting sqref="D427">
    <cfRule type="expression" dxfId="10286" priority="2051">
      <formula>B427=""</formula>
    </cfRule>
  </conditionalFormatting>
  <conditionalFormatting sqref="E408:E427">
    <cfRule type="expression" dxfId="10285" priority="2050">
      <formula>B408=""</formula>
    </cfRule>
  </conditionalFormatting>
  <conditionalFormatting sqref="E409 E411 E413 E415 E417 E419 E421 E423 E425 E427">
    <cfRule type="expression" dxfId="10284" priority="2049">
      <formula>B409=""</formula>
    </cfRule>
  </conditionalFormatting>
  <conditionalFormatting sqref="E410:E420">
    <cfRule type="expression" dxfId="10283" priority="2048">
      <formula>B410=""</formula>
    </cfRule>
  </conditionalFormatting>
  <conditionalFormatting sqref="E421">
    <cfRule type="expression" dxfId="10282" priority="2047">
      <formula>B421=""</formula>
    </cfRule>
  </conditionalFormatting>
  <conditionalFormatting sqref="E422">
    <cfRule type="expression" dxfId="10281" priority="2046">
      <formula>B422=""</formula>
    </cfRule>
  </conditionalFormatting>
  <conditionalFormatting sqref="E423">
    <cfRule type="expression" dxfId="10280" priority="2045">
      <formula>B423=""</formula>
    </cfRule>
  </conditionalFormatting>
  <conditionalFormatting sqref="E424">
    <cfRule type="expression" dxfId="10279" priority="2044">
      <formula>B424=""</formula>
    </cfRule>
  </conditionalFormatting>
  <conditionalFormatting sqref="E425">
    <cfRule type="expression" dxfId="10278" priority="2043">
      <formula>B425=""</formula>
    </cfRule>
  </conditionalFormatting>
  <conditionalFormatting sqref="E426">
    <cfRule type="expression" dxfId="10277" priority="2042">
      <formula>B426=""</formula>
    </cfRule>
  </conditionalFormatting>
  <conditionalFormatting sqref="E427">
    <cfRule type="expression" dxfId="10276" priority="2041">
      <formula>B427=""</formula>
    </cfRule>
  </conditionalFormatting>
  <conditionalFormatting sqref="F408:F427">
    <cfRule type="expression" dxfId="10275" priority="2040">
      <formula>B408=""</formula>
    </cfRule>
  </conditionalFormatting>
  <conditionalFormatting sqref="F409 F411 F413 F415 F417 F419 F421 F423 F425 F427">
    <cfRule type="expression" dxfId="10274" priority="2039">
      <formula>B409=""</formula>
    </cfRule>
  </conditionalFormatting>
  <conditionalFormatting sqref="F410:F420">
    <cfRule type="expression" dxfId="10273" priority="2038">
      <formula>B410=""</formula>
    </cfRule>
  </conditionalFormatting>
  <conditionalFormatting sqref="F421">
    <cfRule type="expression" dxfId="10272" priority="2037">
      <formula>B421=""</formula>
    </cfRule>
  </conditionalFormatting>
  <conditionalFormatting sqref="F422">
    <cfRule type="expression" dxfId="10271" priority="2036">
      <formula>B422=""</formula>
    </cfRule>
  </conditionalFormatting>
  <conditionalFormatting sqref="F423">
    <cfRule type="expression" dxfId="10270" priority="2035">
      <formula>B423=""</formula>
    </cfRule>
  </conditionalFormatting>
  <conditionalFormatting sqref="F424">
    <cfRule type="expression" dxfId="10269" priority="2034">
      <formula>B424=""</formula>
    </cfRule>
  </conditionalFormatting>
  <conditionalFormatting sqref="F425">
    <cfRule type="expression" dxfId="10268" priority="2033">
      <formula>B425=""</formula>
    </cfRule>
  </conditionalFormatting>
  <conditionalFormatting sqref="F426">
    <cfRule type="expression" dxfId="10267" priority="2032">
      <formula>B426=""</formula>
    </cfRule>
  </conditionalFormatting>
  <conditionalFormatting sqref="F427">
    <cfRule type="expression" dxfId="10266" priority="2031">
      <formula>B427=""</formula>
    </cfRule>
  </conditionalFormatting>
  <conditionalFormatting sqref="E409 E411 E413 E415 E417 E419 E421 E423 E425 E427">
    <cfRule type="expression" dxfId="10265" priority="2030">
      <formula>B409=""</formula>
    </cfRule>
  </conditionalFormatting>
  <conditionalFormatting sqref="E410:E420">
    <cfRule type="expression" dxfId="10264" priority="2029">
      <formula>B410=""</formula>
    </cfRule>
  </conditionalFormatting>
  <conditionalFormatting sqref="E421">
    <cfRule type="expression" dxfId="10263" priority="2028">
      <formula>B421=""</formula>
    </cfRule>
  </conditionalFormatting>
  <conditionalFormatting sqref="E422">
    <cfRule type="expression" dxfId="10262" priority="2027">
      <formula>B422=""</formula>
    </cfRule>
  </conditionalFormatting>
  <conditionalFormatting sqref="E423">
    <cfRule type="expression" dxfId="10261" priority="2026">
      <formula>B423=""</formula>
    </cfRule>
  </conditionalFormatting>
  <conditionalFormatting sqref="E424">
    <cfRule type="expression" dxfId="10260" priority="2025">
      <formula>B424=""</formula>
    </cfRule>
  </conditionalFormatting>
  <conditionalFormatting sqref="E425">
    <cfRule type="expression" dxfId="10259" priority="2024">
      <formula>B425=""</formula>
    </cfRule>
  </conditionalFormatting>
  <conditionalFormatting sqref="E426">
    <cfRule type="expression" dxfId="10258" priority="2023">
      <formula>B426=""</formula>
    </cfRule>
  </conditionalFormatting>
  <conditionalFormatting sqref="E427">
    <cfRule type="expression" dxfId="10257" priority="2022">
      <formula>B427=""</formula>
    </cfRule>
  </conditionalFormatting>
  <conditionalFormatting sqref="G408:G427">
    <cfRule type="expression" dxfId="10256" priority="2021">
      <formula>B408=""</formula>
    </cfRule>
  </conditionalFormatting>
  <conditionalFormatting sqref="G409 G411 G413 G415 G417 G419 G421 G423 G425 G427">
    <cfRule type="expression" dxfId="10255" priority="2020">
      <formula>B409=""</formula>
    </cfRule>
  </conditionalFormatting>
  <conditionalFormatting sqref="G410:G420">
    <cfRule type="expression" dxfId="10254" priority="2019">
      <formula>B410=""</formula>
    </cfRule>
  </conditionalFormatting>
  <conditionalFormatting sqref="G421">
    <cfRule type="expression" dxfId="10253" priority="2018">
      <formula>B421=""</formula>
    </cfRule>
  </conditionalFormatting>
  <conditionalFormatting sqref="G422">
    <cfRule type="expression" dxfId="10252" priority="2017">
      <formula>B422=""</formula>
    </cfRule>
  </conditionalFormatting>
  <conditionalFormatting sqref="G423">
    <cfRule type="expression" dxfId="10251" priority="2016">
      <formula>B423=""</formula>
    </cfRule>
  </conditionalFormatting>
  <conditionalFormatting sqref="G424">
    <cfRule type="expression" dxfId="10250" priority="2015">
      <formula>B424=""</formula>
    </cfRule>
  </conditionalFormatting>
  <conditionalFormatting sqref="G425">
    <cfRule type="expression" dxfId="10249" priority="2014">
      <formula>B425=""</formula>
    </cfRule>
  </conditionalFormatting>
  <conditionalFormatting sqref="G426">
    <cfRule type="expression" dxfId="10248" priority="2013">
      <formula>B426=""</formula>
    </cfRule>
  </conditionalFormatting>
  <conditionalFormatting sqref="G427">
    <cfRule type="expression" dxfId="10247" priority="2012">
      <formula>B427=""</formula>
    </cfRule>
  </conditionalFormatting>
  <conditionalFormatting sqref="H408 H410 H412 H414 H416 H418 H420 H422 H424 H426">
    <cfRule type="expression" dxfId="10246" priority="2011">
      <formula>B408=""</formula>
    </cfRule>
  </conditionalFormatting>
  <conditionalFormatting sqref="H409 H411 H413 H415 H417 H419 H421 H423 H425 H427">
    <cfRule type="expression" dxfId="10245" priority="2010">
      <formula>B409=""</formula>
    </cfRule>
  </conditionalFormatting>
  <conditionalFormatting sqref="H410:H420">
    <cfRule type="expression" dxfId="10244" priority="2009">
      <formula>B410=""</formula>
    </cfRule>
  </conditionalFormatting>
  <conditionalFormatting sqref="H421">
    <cfRule type="expression" dxfId="10243" priority="2008">
      <formula>B421=""</formula>
    </cfRule>
  </conditionalFormatting>
  <conditionalFormatting sqref="H422">
    <cfRule type="expression" dxfId="10242" priority="2007">
      <formula>B422=""</formula>
    </cfRule>
  </conditionalFormatting>
  <conditionalFormatting sqref="H423">
    <cfRule type="expression" dxfId="10241" priority="2006">
      <formula>B423=""</formula>
    </cfRule>
  </conditionalFormatting>
  <conditionalFormatting sqref="H424">
    <cfRule type="expression" dxfId="10240" priority="2005">
      <formula>B424=""</formula>
    </cfRule>
  </conditionalFormatting>
  <conditionalFormatting sqref="H425">
    <cfRule type="expression" dxfId="10239" priority="2004">
      <formula>B425=""</formula>
    </cfRule>
  </conditionalFormatting>
  <conditionalFormatting sqref="H426">
    <cfRule type="expression" dxfId="10238" priority="2003">
      <formula>B426=""</formula>
    </cfRule>
  </conditionalFormatting>
  <conditionalFormatting sqref="H427">
    <cfRule type="expression" dxfId="10237" priority="2002">
      <formula>B427=""</formula>
    </cfRule>
  </conditionalFormatting>
  <conditionalFormatting sqref="F408 F410 F412 F414 F416 F418 F420 F422 F424 F426">
    <cfRule type="expression" dxfId="10236" priority="2001">
      <formula>B408=""</formula>
    </cfRule>
  </conditionalFormatting>
  <conditionalFormatting sqref="F409 F411 F413 F415 F417 F419 F421 F423 F425 F427">
    <cfRule type="expression" dxfId="10235" priority="2000">
      <formula>B409=""</formula>
    </cfRule>
  </conditionalFormatting>
  <conditionalFormatting sqref="F410:F420">
    <cfRule type="expression" dxfId="10234" priority="1999">
      <formula>B410=""</formula>
    </cfRule>
  </conditionalFormatting>
  <conditionalFormatting sqref="F421">
    <cfRule type="expression" dxfId="10233" priority="1998">
      <formula>B421=""</formula>
    </cfRule>
  </conditionalFormatting>
  <conditionalFormatting sqref="F422">
    <cfRule type="expression" dxfId="10232" priority="1997">
      <formula>B422=""</formula>
    </cfRule>
  </conditionalFormatting>
  <conditionalFormatting sqref="F423">
    <cfRule type="expression" dxfId="10231" priority="1996">
      <formula>B423=""</formula>
    </cfRule>
  </conditionalFormatting>
  <conditionalFormatting sqref="F424">
    <cfRule type="expression" dxfId="10230" priority="1995">
      <formula>B424=""</formula>
    </cfRule>
  </conditionalFormatting>
  <conditionalFormatting sqref="F425">
    <cfRule type="expression" dxfId="10229" priority="1994">
      <formula>B425=""</formula>
    </cfRule>
  </conditionalFormatting>
  <conditionalFormatting sqref="F426">
    <cfRule type="expression" dxfId="10228" priority="1993">
      <formula>B426=""</formula>
    </cfRule>
  </conditionalFormatting>
  <conditionalFormatting sqref="F427">
    <cfRule type="expression" dxfId="10227" priority="1992">
      <formula>B427=""</formula>
    </cfRule>
  </conditionalFormatting>
  <conditionalFormatting sqref="C430:C449">
    <cfRule type="expression" dxfId="10226" priority="1991">
      <formula>B430=""</formula>
    </cfRule>
  </conditionalFormatting>
  <conditionalFormatting sqref="C431 C433 C435 C437 C439 C441 C443 C445 C447 C449">
    <cfRule type="expression" dxfId="10225" priority="1990">
      <formula>B431=""</formula>
    </cfRule>
  </conditionalFormatting>
  <conditionalFormatting sqref="C432:C442">
    <cfRule type="expression" dxfId="10224" priority="1989">
      <formula>B432=""</formula>
    </cfRule>
  </conditionalFormatting>
  <conditionalFormatting sqref="C443">
    <cfRule type="expression" dxfId="10223" priority="1988">
      <formula>B443=""</formula>
    </cfRule>
  </conditionalFormatting>
  <conditionalFormatting sqref="C444">
    <cfRule type="expression" dxfId="10222" priority="1987">
      <formula>B444=""</formula>
    </cfRule>
  </conditionalFormatting>
  <conditionalFormatting sqref="C445">
    <cfRule type="expression" dxfId="10221" priority="1986">
      <formula>B445=""</formula>
    </cfRule>
  </conditionalFormatting>
  <conditionalFormatting sqref="C446">
    <cfRule type="expression" dxfId="10220" priority="1985">
      <formula>B446=""</formula>
    </cfRule>
  </conditionalFormatting>
  <conditionalFormatting sqref="C447">
    <cfRule type="expression" dxfId="10219" priority="1984">
      <formula>B447=""</formula>
    </cfRule>
  </conditionalFormatting>
  <conditionalFormatting sqref="C448">
    <cfRule type="expression" dxfId="10218" priority="1983">
      <formula>B448=""</formula>
    </cfRule>
  </conditionalFormatting>
  <conditionalFormatting sqref="C449">
    <cfRule type="expression" dxfId="10217" priority="1982">
      <formula>B449=""</formula>
    </cfRule>
  </conditionalFormatting>
  <conditionalFormatting sqref="D430 D432 D434 D436 D438 D440 D442 D444 D446 D448">
    <cfRule type="expression" dxfId="10216" priority="1981">
      <formula>B430=""</formula>
    </cfRule>
  </conditionalFormatting>
  <conditionalFormatting sqref="D431 D433 D435 D437 D439 D441 D443 D445 D447 D449">
    <cfRule type="expression" dxfId="10215" priority="1980">
      <formula>B431=""</formula>
    </cfRule>
  </conditionalFormatting>
  <conditionalFormatting sqref="D432:D442">
    <cfRule type="expression" dxfId="10214" priority="1979">
      <formula>B432=""</formula>
    </cfRule>
  </conditionalFormatting>
  <conditionalFormatting sqref="D443">
    <cfRule type="expression" dxfId="10213" priority="1978">
      <formula>B443=""</formula>
    </cfRule>
  </conditionalFormatting>
  <conditionalFormatting sqref="D444">
    <cfRule type="expression" dxfId="10212" priority="1977">
      <formula>B444=""</formula>
    </cfRule>
  </conditionalFormatting>
  <conditionalFormatting sqref="D445">
    <cfRule type="expression" dxfId="10211" priority="1976">
      <formula>B445=""</formula>
    </cfRule>
  </conditionalFormatting>
  <conditionalFormatting sqref="D446">
    <cfRule type="expression" dxfId="10210" priority="1975">
      <formula>B446=""</formula>
    </cfRule>
  </conditionalFormatting>
  <conditionalFormatting sqref="D447">
    <cfRule type="expression" dxfId="10209" priority="1974">
      <formula>B447=""</formula>
    </cfRule>
  </conditionalFormatting>
  <conditionalFormatting sqref="D448">
    <cfRule type="expression" dxfId="10208" priority="1973">
      <formula>B448=""</formula>
    </cfRule>
  </conditionalFormatting>
  <conditionalFormatting sqref="D449">
    <cfRule type="expression" dxfId="10207" priority="1972">
      <formula>B449=""</formula>
    </cfRule>
  </conditionalFormatting>
  <conditionalFormatting sqref="E430 E432 E434 E436 E438 E440 E442 E444 E446 E448">
    <cfRule type="expression" dxfId="10206" priority="1971">
      <formula>B430=""</formula>
    </cfRule>
  </conditionalFormatting>
  <conditionalFormatting sqref="E431 E433 E435 E437 E439 E441 E443 E445 E447 E449">
    <cfRule type="expression" dxfId="10205" priority="1970">
      <formula>B431=""</formula>
    </cfRule>
  </conditionalFormatting>
  <conditionalFormatting sqref="E432:E442">
    <cfRule type="expression" dxfId="10204" priority="1969">
      <formula>B432=""</formula>
    </cfRule>
  </conditionalFormatting>
  <conditionalFormatting sqref="E443">
    <cfRule type="expression" dxfId="10203" priority="1968">
      <formula>B443=""</formula>
    </cfRule>
  </conditionalFormatting>
  <conditionalFormatting sqref="E444">
    <cfRule type="expression" dxfId="10202" priority="1967">
      <formula>B444=""</formula>
    </cfRule>
  </conditionalFormatting>
  <conditionalFormatting sqref="E445">
    <cfRule type="expression" dxfId="10201" priority="1966">
      <formula>B445=""</formula>
    </cfRule>
  </conditionalFormatting>
  <conditionalFormatting sqref="E446">
    <cfRule type="expression" dxfId="10200" priority="1965">
      <formula>B446=""</formula>
    </cfRule>
  </conditionalFormatting>
  <conditionalFormatting sqref="E447">
    <cfRule type="expression" dxfId="10199" priority="1964">
      <formula>B447=""</formula>
    </cfRule>
  </conditionalFormatting>
  <conditionalFormatting sqref="E448">
    <cfRule type="expression" dxfId="10198" priority="1963">
      <formula>B448=""</formula>
    </cfRule>
  </conditionalFormatting>
  <conditionalFormatting sqref="E449">
    <cfRule type="expression" dxfId="10197" priority="1962">
      <formula>B449=""</formula>
    </cfRule>
  </conditionalFormatting>
  <conditionalFormatting sqref="F430 F432 F434 F436 F438 F440 F442 F444 F446 F448">
    <cfRule type="expression" dxfId="10196" priority="1961">
      <formula>B430=""</formula>
    </cfRule>
  </conditionalFormatting>
  <conditionalFormatting sqref="F431 F433 F435 F437 F439 F441 F443 F445 F447 F449">
    <cfRule type="expression" dxfId="10195" priority="1960">
      <formula>B431=""</formula>
    </cfRule>
  </conditionalFormatting>
  <conditionalFormatting sqref="F432:F442">
    <cfRule type="expression" dxfId="10194" priority="1959">
      <formula>B432=""</formula>
    </cfRule>
  </conditionalFormatting>
  <conditionalFormatting sqref="F443">
    <cfRule type="expression" dxfId="10193" priority="1958">
      <formula>B443=""</formula>
    </cfRule>
  </conditionalFormatting>
  <conditionalFormatting sqref="F444">
    <cfRule type="expression" dxfId="10192" priority="1957">
      <formula>B444=""</formula>
    </cfRule>
  </conditionalFormatting>
  <conditionalFormatting sqref="F445">
    <cfRule type="expression" dxfId="10191" priority="1956">
      <formula>B445=""</formula>
    </cfRule>
  </conditionalFormatting>
  <conditionalFormatting sqref="F446">
    <cfRule type="expression" dxfId="10190" priority="1955">
      <formula>B446=""</formula>
    </cfRule>
  </conditionalFormatting>
  <conditionalFormatting sqref="F447">
    <cfRule type="expression" dxfId="10189" priority="1954">
      <formula>B447=""</formula>
    </cfRule>
  </conditionalFormatting>
  <conditionalFormatting sqref="F448">
    <cfRule type="expression" dxfId="10188" priority="1953">
      <formula>B448=""</formula>
    </cfRule>
  </conditionalFormatting>
  <conditionalFormatting sqref="F449">
    <cfRule type="expression" dxfId="10187" priority="1952">
      <formula>B449=""</formula>
    </cfRule>
  </conditionalFormatting>
  <conditionalFormatting sqref="E431 E433 E435 E437 E439 E441 E443 E445 E447 E449">
    <cfRule type="expression" dxfId="10186" priority="1951">
      <formula>B431=""</formula>
    </cfRule>
  </conditionalFormatting>
  <conditionalFormatting sqref="E432:E442">
    <cfRule type="expression" dxfId="10185" priority="1950">
      <formula>B432=""</formula>
    </cfRule>
  </conditionalFormatting>
  <conditionalFormatting sqref="E443">
    <cfRule type="expression" dxfId="10184" priority="1949">
      <formula>B443=""</formula>
    </cfRule>
  </conditionalFormatting>
  <conditionalFormatting sqref="E444">
    <cfRule type="expression" dxfId="10183" priority="1948">
      <formula>B444=""</formula>
    </cfRule>
  </conditionalFormatting>
  <conditionalFormatting sqref="E445">
    <cfRule type="expression" dxfId="10182" priority="1947">
      <formula>B445=""</formula>
    </cfRule>
  </conditionalFormatting>
  <conditionalFormatting sqref="E446">
    <cfRule type="expression" dxfId="10181" priority="1946">
      <formula>B446=""</formula>
    </cfRule>
  </conditionalFormatting>
  <conditionalFormatting sqref="E447">
    <cfRule type="expression" dxfId="10180" priority="1945">
      <formula>B447=""</formula>
    </cfRule>
  </conditionalFormatting>
  <conditionalFormatting sqref="E448">
    <cfRule type="expression" dxfId="10179" priority="1944">
      <formula>B448=""</formula>
    </cfRule>
  </conditionalFormatting>
  <conditionalFormatting sqref="E449">
    <cfRule type="expression" dxfId="10178" priority="1943">
      <formula>B449=""</formula>
    </cfRule>
  </conditionalFormatting>
  <conditionalFormatting sqref="G430 G432 G434 G436 G438 G440 G442 G444 G446 G448">
    <cfRule type="expression" dxfId="10177" priority="1942">
      <formula>B430=""</formula>
    </cfRule>
  </conditionalFormatting>
  <conditionalFormatting sqref="G431 G433 G435 G437 G439 G441 G443 G445 G447 G449">
    <cfRule type="expression" dxfId="10176" priority="1941">
      <formula>B431=""</formula>
    </cfRule>
  </conditionalFormatting>
  <conditionalFormatting sqref="G432:G442">
    <cfRule type="expression" dxfId="10175" priority="1940">
      <formula>B432=""</formula>
    </cfRule>
  </conditionalFormatting>
  <conditionalFormatting sqref="G443">
    <cfRule type="expression" dxfId="10174" priority="1939">
      <formula>B443=""</formula>
    </cfRule>
  </conditionalFormatting>
  <conditionalFormatting sqref="G444">
    <cfRule type="expression" dxfId="10173" priority="1938">
      <formula>B444=""</formula>
    </cfRule>
  </conditionalFormatting>
  <conditionalFormatting sqref="G445">
    <cfRule type="expression" dxfId="10172" priority="1937">
      <formula>B445=""</formula>
    </cfRule>
  </conditionalFormatting>
  <conditionalFormatting sqref="G446">
    <cfRule type="expression" dxfId="10171" priority="1936">
      <formula>B446=""</formula>
    </cfRule>
  </conditionalFormatting>
  <conditionalFormatting sqref="G447">
    <cfRule type="expression" dxfId="10170" priority="1935">
      <formula>B447=""</formula>
    </cfRule>
  </conditionalFormatting>
  <conditionalFormatting sqref="G448">
    <cfRule type="expression" dxfId="10169" priority="1934">
      <formula>B448=""</formula>
    </cfRule>
  </conditionalFormatting>
  <conditionalFormatting sqref="G449">
    <cfRule type="expression" dxfId="10168" priority="1933">
      <formula>B449=""</formula>
    </cfRule>
  </conditionalFormatting>
  <conditionalFormatting sqref="H430 H432 H434 H436 H438 H440 H442 H444 H446 H448">
    <cfRule type="expression" dxfId="10167" priority="1932">
      <formula>B430=""</formula>
    </cfRule>
  </conditionalFormatting>
  <conditionalFormatting sqref="H431 H433 H435 H437 H439 H441 H443 H445 H447 H449">
    <cfRule type="expression" dxfId="10166" priority="1931">
      <formula>B431=""</formula>
    </cfRule>
  </conditionalFormatting>
  <conditionalFormatting sqref="H432:H442">
    <cfRule type="expression" dxfId="10165" priority="1930">
      <formula>B432=""</formula>
    </cfRule>
  </conditionalFormatting>
  <conditionalFormatting sqref="H443">
    <cfRule type="expression" dxfId="10164" priority="1929">
      <formula>B443=""</formula>
    </cfRule>
  </conditionalFormatting>
  <conditionalFormatting sqref="H444">
    <cfRule type="expression" dxfId="10163" priority="1928">
      <formula>B444=""</formula>
    </cfRule>
  </conditionalFormatting>
  <conditionalFormatting sqref="H445">
    <cfRule type="expression" dxfId="10162" priority="1927">
      <formula>B445=""</formula>
    </cfRule>
  </conditionalFormatting>
  <conditionalFormatting sqref="H446">
    <cfRule type="expression" dxfId="10161" priority="1926">
      <formula>B446=""</formula>
    </cfRule>
  </conditionalFormatting>
  <conditionalFormatting sqref="H447">
    <cfRule type="expression" dxfId="10160" priority="1925">
      <formula>B447=""</formula>
    </cfRule>
  </conditionalFormatting>
  <conditionalFormatting sqref="H448">
    <cfRule type="expression" dxfId="10159" priority="1924">
      <formula>B448=""</formula>
    </cfRule>
  </conditionalFormatting>
  <conditionalFormatting sqref="H449">
    <cfRule type="expression" dxfId="10158" priority="1923">
      <formula>B449=""</formula>
    </cfRule>
  </conditionalFormatting>
  <conditionalFormatting sqref="C430:C449">
    <cfRule type="expression" dxfId="10157" priority="1922">
      <formula>B430=""</formula>
    </cfRule>
  </conditionalFormatting>
  <conditionalFormatting sqref="C431 C433 C435 C437 C439 C441 C443 C445 C447 C449">
    <cfRule type="expression" dxfId="10156" priority="1921">
      <formula>B431=""</formula>
    </cfRule>
  </conditionalFormatting>
  <conditionalFormatting sqref="C432:C442">
    <cfRule type="expression" dxfId="10155" priority="1920">
      <formula>B432=""</formula>
    </cfRule>
  </conditionalFormatting>
  <conditionalFormatting sqref="C443">
    <cfRule type="expression" dxfId="10154" priority="1919">
      <formula>B443=""</formula>
    </cfRule>
  </conditionalFormatting>
  <conditionalFormatting sqref="C444">
    <cfRule type="expression" dxfId="10153" priority="1918">
      <formula>B444=""</formula>
    </cfRule>
  </conditionalFormatting>
  <conditionalFormatting sqref="C445">
    <cfRule type="expression" dxfId="10152" priority="1917">
      <formula>B445=""</formula>
    </cfRule>
  </conditionalFormatting>
  <conditionalFormatting sqref="C446">
    <cfRule type="expression" dxfId="10151" priority="1916">
      <formula>B446=""</formula>
    </cfRule>
  </conditionalFormatting>
  <conditionalFormatting sqref="C447">
    <cfRule type="expression" dxfId="10150" priority="1915">
      <formula>B447=""</formula>
    </cfRule>
  </conditionalFormatting>
  <conditionalFormatting sqref="C448">
    <cfRule type="expression" dxfId="10149" priority="1914">
      <formula>B448=""</formula>
    </cfRule>
  </conditionalFormatting>
  <conditionalFormatting sqref="C449">
    <cfRule type="expression" dxfId="10148" priority="1913">
      <formula>B449=""</formula>
    </cfRule>
  </conditionalFormatting>
  <conditionalFormatting sqref="C430 C432 C434 C436 C438 C440 C442 C444 C446 C448">
    <cfRule type="expression" dxfId="10147" priority="1912">
      <formula>B430=""</formula>
    </cfRule>
  </conditionalFormatting>
  <conditionalFormatting sqref="C431 C433 C435 C437 C439 C441 C443 C445 C447 C449">
    <cfRule type="expression" dxfId="10146" priority="1911">
      <formula>B431=""</formula>
    </cfRule>
  </conditionalFormatting>
  <conditionalFormatting sqref="C432:C442">
    <cfRule type="expression" dxfId="10145" priority="1910">
      <formula>B432=""</formula>
    </cfRule>
  </conditionalFormatting>
  <conditionalFormatting sqref="C443">
    <cfRule type="expression" dxfId="10144" priority="1909">
      <formula>B443=""</formula>
    </cfRule>
  </conditionalFormatting>
  <conditionalFormatting sqref="C444">
    <cfRule type="expression" dxfId="10143" priority="1908">
      <formula>B444=""</formula>
    </cfRule>
  </conditionalFormatting>
  <conditionalFormatting sqref="C445">
    <cfRule type="expression" dxfId="10142" priority="1907">
      <formula>B445=""</formula>
    </cfRule>
  </conditionalFormatting>
  <conditionalFormatting sqref="C446">
    <cfRule type="expression" dxfId="10141" priority="1906">
      <formula>B446=""</formula>
    </cfRule>
  </conditionalFormatting>
  <conditionalFormatting sqref="C447">
    <cfRule type="expression" dxfId="10140" priority="1905">
      <formula>B447=""</formula>
    </cfRule>
  </conditionalFormatting>
  <conditionalFormatting sqref="C448">
    <cfRule type="expression" dxfId="10139" priority="1904">
      <formula>B448=""</formula>
    </cfRule>
  </conditionalFormatting>
  <conditionalFormatting sqref="C449">
    <cfRule type="expression" dxfId="10138" priority="1903">
      <formula>B449=""</formula>
    </cfRule>
  </conditionalFormatting>
  <conditionalFormatting sqref="D430 D432 D434 D436 D438 D440 D442 D444 D446 D448">
    <cfRule type="expression" dxfId="10137" priority="1902">
      <formula>B430=""</formula>
    </cfRule>
  </conditionalFormatting>
  <conditionalFormatting sqref="D431 D433 D435 D437 D439 D441 D443 D445 D447 D449">
    <cfRule type="expression" dxfId="10136" priority="1901">
      <formula>B431=""</formula>
    </cfRule>
  </conditionalFormatting>
  <conditionalFormatting sqref="D432:D442">
    <cfRule type="expression" dxfId="10135" priority="1900">
      <formula>B432=""</formula>
    </cfRule>
  </conditionalFormatting>
  <conditionalFormatting sqref="D443">
    <cfRule type="expression" dxfId="10134" priority="1899">
      <formula>B443=""</formula>
    </cfRule>
  </conditionalFormatting>
  <conditionalFormatting sqref="D444">
    <cfRule type="expression" dxfId="10133" priority="1898">
      <formula>B444=""</formula>
    </cfRule>
  </conditionalFormatting>
  <conditionalFormatting sqref="D445">
    <cfRule type="expression" dxfId="10132" priority="1897">
      <formula>B445=""</formula>
    </cfRule>
  </conditionalFormatting>
  <conditionalFormatting sqref="D446">
    <cfRule type="expression" dxfId="10131" priority="1896">
      <formula>B446=""</formula>
    </cfRule>
  </conditionalFormatting>
  <conditionalFormatting sqref="D447">
    <cfRule type="expression" dxfId="10130" priority="1895">
      <formula>B447=""</formula>
    </cfRule>
  </conditionalFormatting>
  <conditionalFormatting sqref="D448">
    <cfRule type="expression" dxfId="10129" priority="1894">
      <formula>B448=""</formula>
    </cfRule>
  </conditionalFormatting>
  <conditionalFormatting sqref="D449">
    <cfRule type="expression" dxfId="10128" priority="1893">
      <formula>B449=""</formula>
    </cfRule>
  </conditionalFormatting>
  <conditionalFormatting sqref="E430:E449">
    <cfRule type="expression" dxfId="10127" priority="1892">
      <formula>B430=""</formula>
    </cfRule>
  </conditionalFormatting>
  <conditionalFormatting sqref="E431 E433 E435 E437 E439 E441 E443 E445 E447 E449">
    <cfRule type="expression" dxfId="10126" priority="1891">
      <formula>B431=""</formula>
    </cfRule>
  </conditionalFormatting>
  <conditionalFormatting sqref="E432:E442">
    <cfRule type="expression" dxfId="10125" priority="1890">
      <formula>B432=""</formula>
    </cfRule>
  </conditionalFormatting>
  <conditionalFormatting sqref="E443">
    <cfRule type="expression" dxfId="10124" priority="1889">
      <formula>B443=""</formula>
    </cfRule>
  </conditionalFormatting>
  <conditionalFormatting sqref="E444">
    <cfRule type="expression" dxfId="10123" priority="1888">
      <formula>B444=""</formula>
    </cfRule>
  </conditionalFormatting>
  <conditionalFormatting sqref="E445">
    <cfRule type="expression" dxfId="10122" priority="1887">
      <formula>B445=""</formula>
    </cfRule>
  </conditionalFormatting>
  <conditionalFormatting sqref="E446">
    <cfRule type="expression" dxfId="10121" priority="1886">
      <formula>B446=""</formula>
    </cfRule>
  </conditionalFormatting>
  <conditionalFormatting sqref="E447">
    <cfRule type="expression" dxfId="10120" priority="1885">
      <formula>B447=""</formula>
    </cfRule>
  </conditionalFormatting>
  <conditionalFormatting sqref="E448">
    <cfRule type="expression" dxfId="10119" priority="1884">
      <formula>B448=""</formula>
    </cfRule>
  </conditionalFormatting>
  <conditionalFormatting sqref="E449">
    <cfRule type="expression" dxfId="10118" priority="1883">
      <formula>B449=""</formula>
    </cfRule>
  </conditionalFormatting>
  <conditionalFormatting sqref="F430:F449">
    <cfRule type="expression" dxfId="10117" priority="1882">
      <formula>B430=""</formula>
    </cfRule>
  </conditionalFormatting>
  <conditionalFormatting sqref="F431 F433 F435 F437 F439 F441 F443 F445 F447 F449">
    <cfRule type="expression" dxfId="10116" priority="1881">
      <formula>B431=""</formula>
    </cfRule>
  </conditionalFormatting>
  <conditionalFormatting sqref="F432:F442">
    <cfRule type="expression" dxfId="10115" priority="1880">
      <formula>B432=""</formula>
    </cfRule>
  </conditionalFormatting>
  <conditionalFormatting sqref="F443">
    <cfRule type="expression" dxfId="10114" priority="1879">
      <formula>B443=""</formula>
    </cfRule>
  </conditionalFormatting>
  <conditionalFormatting sqref="F444">
    <cfRule type="expression" dxfId="10113" priority="1878">
      <formula>B444=""</formula>
    </cfRule>
  </conditionalFormatting>
  <conditionalFormatting sqref="F445">
    <cfRule type="expression" dxfId="10112" priority="1877">
      <formula>B445=""</formula>
    </cfRule>
  </conditionalFormatting>
  <conditionalFormatting sqref="F446">
    <cfRule type="expression" dxfId="10111" priority="1876">
      <formula>B446=""</formula>
    </cfRule>
  </conditionalFormatting>
  <conditionalFormatting sqref="F447">
    <cfRule type="expression" dxfId="10110" priority="1875">
      <formula>B447=""</formula>
    </cfRule>
  </conditionalFormatting>
  <conditionalFormatting sqref="F448">
    <cfRule type="expression" dxfId="10109" priority="1874">
      <formula>B448=""</formula>
    </cfRule>
  </conditionalFormatting>
  <conditionalFormatting sqref="F449">
    <cfRule type="expression" dxfId="10108" priority="1873">
      <formula>B449=""</formula>
    </cfRule>
  </conditionalFormatting>
  <conditionalFormatting sqref="E431 E433 E435 E437 E439 E441 E443 E445 E447 E449">
    <cfRule type="expression" dxfId="10107" priority="1872">
      <formula>B431=""</formula>
    </cfRule>
  </conditionalFormatting>
  <conditionalFormatting sqref="E432:E442">
    <cfRule type="expression" dxfId="10106" priority="1871">
      <formula>B432=""</formula>
    </cfRule>
  </conditionalFormatting>
  <conditionalFormatting sqref="E443">
    <cfRule type="expression" dxfId="10105" priority="1870">
      <formula>B443=""</formula>
    </cfRule>
  </conditionalFormatting>
  <conditionalFormatting sqref="E444">
    <cfRule type="expression" dxfId="10104" priority="1869">
      <formula>B444=""</formula>
    </cfRule>
  </conditionalFormatting>
  <conditionalFormatting sqref="E445">
    <cfRule type="expression" dxfId="10103" priority="1868">
      <formula>B445=""</formula>
    </cfRule>
  </conditionalFormatting>
  <conditionalFormatting sqref="E446">
    <cfRule type="expression" dxfId="10102" priority="1867">
      <formula>B446=""</formula>
    </cfRule>
  </conditionalFormatting>
  <conditionalFormatting sqref="E447">
    <cfRule type="expression" dxfId="10101" priority="1866">
      <formula>B447=""</formula>
    </cfRule>
  </conditionalFormatting>
  <conditionalFormatting sqref="E448">
    <cfRule type="expression" dxfId="10100" priority="1865">
      <formula>B448=""</formula>
    </cfRule>
  </conditionalFormatting>
  <conditionalFormatting sqref="E449">
    <cfRule type="expression" dxfId="10099" priority="1864">
      <formula>B449=""</formula>
    </cfRule>
  </conditionalFormatting>
  <conditionalFormatting sqref="G430:G449">
    <cfRule type="expression" dxfId="10098" priority="1863">
      <formula>B430=""</formula>
    </cfRule>
  </conditionalFormatting>
  <conditionalFormatting sqref="G431 G433 G435 G437 G439 G441 G443 G445 G447 G449">
    <cfRule type="expression" dxfId="10097" priority="1862">
      <formula>B431=""</formula>
    </cfRule>
  </conditionalFormatting>
  <conditionalFormatting sqref="G432:G442">
    <cfRule type="expression" dxfId="10096" priority="1861">
      <formula>B432=""</formula>
    </cfRule>
  </conditionalFormatting>
  <conditionalFormatting sqref="G443">
    <cfRule type="expression" dxfId="10095" priority="1860">
      <formula>B443=""</formula>
    </cfRule>
  </conditionalFormatting>
  <conditionalFormatting sqref="G444">
    <cfRule type="expression" dxfId="10094" priority="1859">
      <formula>B444=""</formula>
    </cfRule>
  </conditionalFormatting>
  <conditionalFormatting sqref="G445">
    <cfRule type="expression" dxfId="10093" priority="1858">
      <formula>B445=""</formula>
    </cfRule>
  </conditionalFormatting>
  <conditionalFormatting sqref="G446">
    <cfRule type="expression" dxfId="10092" priority="1857">
      <formula>B446=""</formula>
    </cfRule>
  </conditionalFormatting>
  <conditionalFormatting sqref="G447">
    <cfRule type="expression" dxfId="10091" priority="1856">
      <formula>B447=""</formula>
    </cfRule>
  </conditionalFormatting>
  <conditionalFormatting sqref="G448">
    <cfRule type="expression" dxfId="10090" priority="1855">
      <formula>B448=""</formula>
    </cfRule>
  </conditionalFormatting>
  <conditionalFormatting sqref="G449">
    <cfRule type="expression" dxfId="10089" priority="1854">
      <formula>B449=""</formula>
    </cfRule>
  </conditionalFormatting>
  <conditionalFormatting sqref="H430 H432 H434 H436 H438 H440 H442 H444 H446 H448">
    <cfRule type="expression" dxfId="10088" priority="1853">
      <formula>B430=""</formula>
    </cfRule>
  </conditionalFormatting>
  <conditionalFormatting sqref="H431 H433 H435 H437 H439 H441 H443 H445 H447 H449">
    <cfRule type="expression" dxfId="10087" priority="1852">
      <formula>B431=""</formula>
    </cfRule>
  </conditionalFormatting>
  <conditionalFormatting sqref="H432:H442">
    <cfRule type="expression" dxfId="10086" priority="1851">
      <formula>B432=""</formula>
    </cfRule>
  </conditionalFormatting>
  <conditionalFormatting sqref="H443">
    <cfRule type="expression" dxfId="10085" priority="1850">
      <formula>B443=""</formula>
    </cfRule>
  </conditionalFormatting>
  <conditionalFormatting sqref="H444">
    <cfRule type="expression" dxfId="10084" priority="1849">
      <formula>B444=""</formula>
    </cfRule>
  </conditionalFormatting>
  <conditionalFormatting sqref="H445">
    <cfRule type="expression" dxfId="10083" priority="1848">
      <formula>B445=""</formula>
    </cfRule>
  </conditionalFormatting>
  <conditionalFormatting sqref="H446">
    <cfRule type="expression" dxfId="10082" priority="1847">
      <formula>B446=""</formula>
    </cfRule>
  </conditionalFormatting>
  <conditionalFormatting sqref="H447">
    <cfRule type="expression" dxfId="10081" priority="1846">
      <formula>B447=""</formula>
    </cfRule>
  </conditionalFormatting>
  <conditionalFormatting sqref="H448">
    <cfRule type="expression" dxfId="10080" priority="1845">
      <formula>B448=""</formula>
    </cfRule>
  </conditionalFormatting>
  <conditionalFormatting sqref="H449">
    <cfRule type="expression" dxfId="10079" priority="1844">
      <formula>B449=""</formula>
    </cfRule>
  </conditionalFormatting>
  <conditionalFormatting sqref="F430 F432 F434 F436 F438 F440 F442 F444 F446 F448">
    <cfRule type="expression" dxfId="10078" priority="1843">
      <formula>B430=""</formula>
    </cfRule>
  </conditionalFormatting>
  <conditionalFormatting sqref="F431 F433 F435 F437 F439 F441 F443 F445 F447 F449">
    <cfRule type="expression" dxfId="10077" priority="1842">
      <formula>B431=""</formula>
    </cfRule>
  </conditionalFormatting>
  <conditionalFormatting sqref="F432:F442">
    <cfRule type="expression" dxfId="10076" priority="1841">
      <formula>B432=""</formula>
    </cfRule>
  </conditionalFormatting>
  <conditionalFormatting sqref="F443">
    <cfRule type="expression" dxfId="10075" priority="1840">
      <formula>B443=""</formula>
    </cfRule>
  </conditionalFormatting>
  <conditionalFormatting sqref="F444">
    <cfRule type="expression" dxfId="10074" priority="1839">
      <formula>B444=""</formula>
    </cfRule>
  </conditionalFormatting>
  <conditionalFormatting sqref="F445">
    <cfRule type="expression" dxfId="10073" priority="1838">
      <formula>B445=""</formula>
    </cfRule>
  </conditionalFormatting>
  <conditionalFormatting sqref="F446">
    <cfRule type="expression" dxfId="10072" priority="1837">
      <formula>B446=""</formula>
    </cfRule>
  </conditionalFormatting>
  <conditionalFormatting sqref="F447">
    <cfRule type="expression" dxfId="10071" priority="1836">
      <formula>B447=""</formula>
    </cfRule>
  </conditionalFormatting>
  <conditionalFormatting sqref="F448">
    <cfRule type="expression" dxfId="10070" priority="1835">
      <formula>B448=""</formula>
    </cfRule>
  </conditionalFormatting>
  <conditionalFormatting sqref="F449">
    <cfRule type="expression" dxfId="10069" priority="1834">
      <formula>B449=""</formula>
    </cfRule>
  </conditionalFormatting>
  <conditionalFormatting sqref="C452:C471">
    <cfRule type="expression" dxfId="10068" priority="1833">
      <formula>B452=""</formula>
    </cfRule>
  </conditionalFormatting>
  <conditionalFormatting sqref="C453 C455 C457 C459 C461 C463 C465 C467 C469 C471">
    <cfRule type="expression" dxfId="10067" priority="1832">
      <formula>B453=""</formula>
    </cfRule>
  </conditionalFormatting>
  <conditionalFormatting sqref="C454:C464">
    <cfRule type="expression" dxfId="10066" priority="1831">
      <formula>B454=""</formula>
    </cfRule>
  </conditionalFormatting>
  <conditionalFormatting sqref="C465">
    <cfRule type="expression" dxfId="10065" priority="1830">
      <formula>B465=""</formula>
    </cfRule>
  </conditionalFormatting>
  <conditionalFormatting sqref="C466">
    <cfRule type="expression" dxfId="10064" priority="1829">
      <formula>B466=""</formula>
    </cfRule>
  </conditionalFormatting>
  <conditionalFormatting sqref="C467">
    <cfRule type="expression" dxfId="10063" priority="1828">
      <formula>B467=""</formula>
    </cfRule>
  </conditionalFormatting>
  <conditionalFormatting sqref="C468">
    <cfRule type="expression" dxfId="10062" priority="1827">
      <formula>B468=""</formula>
    </cfRule>
  </conditionalFormatting>
  <conditionalFormatting sqref="C469">
    <cfRule type="expression" dxfId="10061" priority="1826">
      <formula>B469=""</formula>
    </cfRule>
  </conditionalFormatting>
  <conditionalFormatting sqref="C470">
    <cfRule type="expression" dxfId="10060" priority="1825">
      <formula>B470=""</formula>
    </cfRule>
  </conditionalFormatting>
  <conditionalFormatting sqref="C471">
    <cfRule type="expression" dxfId="10059" priority="1824">
      <formula>B471=""</formula>
    </cfRule>
  </conditionalFormatting>
  <conditionalFormatting sqref="C471">
    <cfRule type="expression" dxfId="10058" priority="1823">
      <formula>B471=""</formula>
    </cfRule>
  </conditionalFormatting>
  <conditionalFormatting sqref="C452:C471">
    <cfRule type="expression" dxfId="10057" priority="1822">
      <formula>B452=""</formula>
    </cfRule>
  </conditionalFormatting>
  <conditionalFormatting sqref="C453 C455 C457 C459 C461 C463 C465 C467 C469 C471">
    <cfRule type="expression" dxfId="10056" priority="1821">
      <formula>B453=""</formula>
    </cfRule>
  </conditionalFormatting>
  <conditionalFormatting sqref="C454:C464">
    <cfRule type="expression" dxfId="10055" priority="1820">
      <formula>B454=""</formula>
    </cfRule>
  </conditionalFormatting>
  <conditionalFormatting sqref="C465">
    <cfRule type="expression" dxfId="10054" priority="1819">
      <formula>B465=""</formula>
    </cfRule>
  </conditionalFormatting>
  <conditionalFormatting sqref="C466">
    <cfRule type="expression" dxfId="10053" priority="1818">
      <formula>B466=""</formula>
    </cfRule>
  </conditionalFormatting>
  <conditionalFormatting sqref="C467">
    <cfRule type="expression" dxfId="10052" priority="1817">
      <formula>B467=""</formula>
    </cfRule>
  </conditionalFormatting>
  <conditionalFormatting sqref="C468">
    <cfRule type="expression" dxfId="10051" priority="1816">
      <formula>B468=""</formula>
    </cfRule>
  </conditionalFormatting>
  <conditionalFormatting sqref="C469">
    <cfRule type="expression" dxfId="10050" priority="1815">
      <formula>B469=""</formula>
    </cfRule>
  </conditionalFormatting>
  <conditionalFormatting sqref="C470">
    <cfRule type="expression" dxfId="10049" priority="1814">
      <formula>B470=""</formula>
    </cfRule>
  </conditionalFormatting>
  <conditionalFormatting sqref="C471">
    <cfRule type="expression" dxfId="10048" priority="1813">
      <formula>B471=""</formula>
    </cfRule>
  </conditionalFormatting>
  <conditionalFormatting sqref="C452:C471">
    <cfRule type="expression" dxfId="10047" priority="1812">
      <formula>B452=""</formula>
    </cfRule>
  </conditionalFormatting>
  <conditionalFormatting sqref="C453 C455 C457 C459 C461 C463 C465 C467 C469 C471">
    <cfRule type="expression" dxfId="10046" priority="1811">
      <formula>B453=""</formula>
    </cfRule>
  </conditionalFormatting>
  <conditionalFormatting sqref="C454:C464">
    <cfRule type="expression" dxfId="10045" priority="1810">
      <formula>B454=""</formula>
    </cfRule>
  </conditionalFormatting>
  <conditionalFormatting sqref="C465">
    <cfRule type="expression" dxfId="10044" priority="1809">
      <formula>B465=""</formula>
    </cfRule>
  </conditionalFormatting>
  <conditionalFormatting sqref="C466">
    <cfRule type="expression" dxfId="10043" priority="1808">
      <formula>B466=""</formula>
    </cfRule>
  </conditionalFormatting>
  <conditionalFormatting sqref="C467">
    <cfRule type="expression" dxfId="10042" priority="1807">
      <formula>B467=""</formula>
    </cfRule>
  </conditionalFormatting>
  <conditionalFormatting sqref="C468">
    <cfRule type="expression" dxfId="10041" priority="1806">
      <formula>B468=""</formula>
    </cfRule>
  </conditionalFormatting>
  <conditionalFormatting sqref="C469">
    <cfRule type="expression" dxfId="10040" priority="1805">
      <formula>B469=""</formula>
    </cfRule>
  </conditionalFormatting>
  <conditionalFormatting sqref="C470">
    <cfRule type="expression" dxfId="10039" priority="1804">
      <formula>B470=""</formula>
    </cfRule>
  </conditionalFormatting>
  <conditionalFormatting sqref="C471">
    <cfRule type="expression" dxfId="10038" priority="1803">
      <formula>B471=""</formula>
    </cfRule>
  </conditionalFormatting>
  <conditionalFormatting sqref="C452:C471">
    <cfRule type="expression" dxfId="10037" priority="1802">
      <formula>B452=""</formula>
    </cfRule>
  </conditionalFormatting>
  <conditionalFormatting sqref="C453 C455 C457 C459 C461 C463 C465 C467 C469 C471">
    <cfRule type="expression" dxfId="10036" priority="1801">
      <formula>B453=""</formula>
    </cfRule>
  </conditionalFormatting>
  <conditionalFormatting sqref="C454:C464">
    <cfRule type="expression" dxfId="10035" priority="1800">
      <formula>B454=""</formula>
    </cfRule>
  </conditionalFormatting>
  <conditionalFormatting sqref="C465">
    <cfRule type="expression" dxfId="10034" priority="1799">
      <formula>B465=""</formula>
    </cfRule>
  </conditionalFormatting>
  <conditionalFormatting sqref="C466">
    <cfRule type="expression" dxfId="10033" priority="1798">
      <formula>B466=""</formula>
    </cfRule>
  </conditionalFormatting>
  <conditionalFormatting sqref="C467">
    <cfRule type="expression" dxfId="10032" priority="1797">
      <formula>B467=""</formula>
    </cfRule>
  </conditionalFormatting>
  <conditionalFormatting sqref="C468">
    <cfRule type="expression" dxfId="10031" priority="1796">
      <formula>B468=""</formula>
    </cfRule>
  </conditionalFormatting>
  <conditionalFormatting sqref="C469">
    <cfRule type="expression" dxfId="10030" priority="1795">
      <formula>B469=""</formula>
    </cfRule>
  </conditionalFormatting>
  <conditionalFormatting sqref="C470">
    <cfRule type="expression" dxfId="10029" priority="1794">
      <formula>B470=""</formula>
    </cfRule>
  </conditionalFormatting>
  <conditionalFormatting sqref="C471">
    <cfRule type="expression" dxfId="10028" priority="1793">
      <formula>B471=""</formula>
    </cfRule>
  </conditionalFormatting>
  <conditionalFormatting sqref="C452 C454 C456 C458 C460 C462 C464 C466 C468 C470">
    <cfRule type="expression" dxfId="10027" priority="1792">
      <formula>B452=""</formula>
    </cfRule>
  </conditionalFormatting>
  <conditionalFormatting sqref="C453 C455 C457 C459 C461 C463 C465 C467 C469 C471">
    <cfRule type="expression" dxfId="10026" priority="1791">
      <formula>B453=""</formula>
    </cfRule>
  </conditionalFormatting>
  <conditionalFormatting sqref="C454:C464">
    <cfRule type="expression" dxfId="10025" priority="1790">
      <formula>B454=""</formula>
    </cfRule>
  </conditionalFormatting>
  <conditionalFormatting sqref="C465">
    <cfRule type="expression" dxfId="10024" priority="1789">
      <formula>B465=""</formula>
    </cfRule>
  </conditionalFormatting>
  <conditionalFormatting sqref="C466">
    <cfRule type="expression" dxfId="10023" priority="1788">
      <formula>B466=""</formula>
    </cfRule>
  </conditionalFormatting>
  <conditionalFormatting sqref="C467">
    <cfRule type="expression" dxfId="10022" priority="1787">
      <formula>B467=""</formula>
    </cfRule>
  </conditionalFormatting>
  <conditionalFormatting sqref="C468">
    <cfRule type="expression" dxfId="10021" priority="1786">
      <formula>B468=""</formula>
    </cfRule>
  </conditionalFormatting>
  <conditionalFormatting sqref="C469">
    <cfRule type="expression" dxfId="10020" priority="1785">
      <formula>B469=""</formula>
    </cfRule>
  </conditionalFormatting>
  <conditionalFormatting sqref="C470">
    <cfRule type="expression" dxfId="10019" priority="1784">
      <formula>B470=""</formula>
    </cfRule>
  </conditionalFormatting>
  <conditionalFormatting sqref="C471">
    <cfRule type="expression" dxfId="10018" priority="1783">
      <formula>B471=""</formula>
    </cfRule>
  </conditionalFormatting>
  <conditionalFormatting sqref="C474:C493">
    <cfRule type="expression" dxfId="10017" priority="1782">
      <formula>B474=""</formula>
    </cfRule>
  </conditionalFormatting>
  <conditionalFormatting sqref="C475 C477 C479 C481 C483 C485 C487 C489 C491 C493">
    <cfRule type="expression" dxfId="10016" priority="1781">
      <formula>B475=""</formula>
    </cfRule>
  </conditionalFormatting>
  <conditionalFormatting sqref="C476:C486">
    <cfRule type="expression" dxfId="10015" priority="1780">
      <formula>B476=""</formula>
    </cfRule>
  </conditionalFormatting>
  <conditionalFormatting sqref="C487">
    <cfRule type="expression" dxfId="10014" priority="1779">
      <formula>B487=""</formula>
    </cfRule>
  </conditionalFormatting>
  <conditionalFormatting sqref="C488">
    <cfRule type="expression" dxfId="10013" priority="1778">
      <formula>B488=""</formula>
    </cfRule>
  </conditionalFormatting>
  <conditionalFormatting sqref="C489">
    <cfRule type="expression" dxfId="10012" priority="1777">
      <formula>B489=""</formula>
    </cfRule>
  </conditionalFormatting>
  <conditionalFormatting sqref="C490">
    <cfRule type="expression" dxfId="10011" priority="1776">
      <formula>B490=""</formula>
    </cfRule>
  </conditionalFormatting>
  <conditionalFormatting sqref="C491">
    <cfRule type="expression" dxfId="10010" priority="1775">
      <formula>B491=""</formula>
    </cfRule>
  </conditionalFormatting>
  <conditionalFormatting sqref="C492">
    <cfRule type="expression" dxfId="10009" priority="1774">
      <formula>B492=""</formula>
    </cfRule>
  </conditionalFormatting>
  <conditionalFormatting sqref="C493">
    <cfRule type="expression" dxfId="10008" priority="1773">
      <formula>B493=""</formula>
    </cfRule>
  </conditionalFormatting>
  <conditionalFormatting sqref="C493">
    <cfRule type="expression" dxfId="10007" priority="1772">
      <formula>B493=""</formula>
    </cfRule>
  </conditionalFormatting>
  <conditionalFormatting sqref="C474:C493">
    <cfRule type="expression" dxfId="10006" priority="1771">
      <formula>B474=""</formula>
    </cfRule>
  </conditionalFormatting>
  <conditionalFormatting sqref="C475 C477 C479 C481 C483 C485 C487 C489 C491 C493">
    <cfRule type="expression" dxfId="10005" priority="1770">
      <formula>B475=""</formula>
    </cfRule>
  </conditionalFormatting>
  <conditionalFormatting sqref="C476:C486">
    <cfRule type="expression" dxfId="10004" priority="1769">
      <formula>B476=""</formula>
    </cfRule>
  </conditionalFormatting>
  <conditionalFormatting sqref="C487">
    <cfRule type="expression" dxfId="10003" priority="1768">
      <formula>B487=""</formula>
    </cfRule>
  </conditionalFormatting>
  <conditionalFormatting sqref="C488">
    <cfRule type="expression" dxfId="10002" priority="1767">
      <formula>B488=""</formula>
    </cfRule>
  </conditionalFormatting>
  <conditionalFormatting sqref="C489">
    <cfRule type="expression" dxfId="10001" priority="1766">
      <formula>B489=""</formula>
    </cfRule>
  </conditionalFormatting>
  <conditionalFormatting sqref="C490">
    <cfRule type="expression" dxfId="10000" priority="1765">
      <formula>B490=""</formula>
    </cfRule>
  </conditionalFormatting>
  <conditionalFormatting sqref="C491">
    <cfRule type="expression" dxfId="9999" priority="1764">
      <formula>B491=""</formula>
    </cfRule>
  </conditionalFormatting>
  <conditionalFormatting sqref="C492">
    <cfRule type="expression" dxfId="9998" priority="1763">
      <formula>B492=""</formula>
    </cfRule>
  </conditionalFormatting>
  <conditionalFormatting sqref="C493">
    <cfRule type="expression" dxfId="9997" priority="1762">
      <formula>B493=""</formula>
    </cfRule>
  </conditionalFormatting>
  <conditionalFormatting sqref="C474:C493">
    <cfRule type="expression" dxfId="9996" priority="1761">
      <formula>B474=""</formula>
    </cfRule>
  </conditionalFormatting>
  <conditionalFormatting sqref="C475 C477 C479 C481 C483 C485 C487 C489 C491 C493">
    <cfRule type="expression" dxfId="9995" priority="1760">
      <formula>B475=""</formula>
    </cfRule>
  </conditionalFormatting>
  <conditionalFormatting sqref="C476:C486">
    <cfRule type="expression" dxfId="9994" priority="1759">
      <formula>B476=""</formula>
    </cfRule>
  </conditionalFormatting>
  <conditionalFormatting sqref="C487">
    <cfRule type="expression" dxfId="9993" priority="1758">
      <formula>B487=""</formula>
    </cfRule>
  </conditionalFormatting>
  <conditionalFormatting sqref="C488">
    <cfRule type="expression" dxfId="9992" priority="1757">
      <formula>B488=""</formula>
    </cfRule>
  </conditionalFormatting>
  <conditionalFormatting sqref="C489">
    <cfRule type="expression" dxfId="9991" priority="1756">
      <formula>B489=""</formula>
    </cfRule>
  </conditionalFormatting>
  <conditionalFormatting sqref="C490">
    <cfRule type="expression" dxfId="9990" priority="1755">
      <formula>B490=""</formula>
    </cfRule>
  </conditionalFormatting>
  <conditionalFormatting sqref="C491">
    <cfRule type="expression" dxfId="9989" priority="1754">
      <formula>B491=""</formula>
    </cfRule>
  </conditionalFormatting>
  <conditionalFormatting sqref="C492">
    <cfRule type="expression" dxfId="9988" priority="1753">
      <formula>B492=""</formula>
    </cfRule>
  </conditionalFormatting>
  <conditionalFormatting sqref="C493">
    <cfRule type="expression" dxfId="9987" priority="1752">
      <formula>B493=""</formula>
    </cfRule>
  </conditionalFormatting>
  <conditionalFormatting sqref="C493">
    <cfRule type="expression" dxfId="9986" priority="1751">
      <formula>B493=""</formula>
    </cfRule>
  </conditionalFormatting>
  <conditionalFormatting sqref="C474:C493">
    <cfRule type="expression" dxfId="9985" priority="1750">
      <formula>B474=""</formula>
    </cfRule>
  </conditionalFormatting>
  <conditionalFormatting sqref="C475 C477 C479 C481 C483 C485 C487 C489 C491 C493">
    <cfRule type="expression" dxfId="9984" priority="1749">
      <formula>B475=""</formula>
    </cfRule>
  </conditionalFormatting>
  <conditionalFormatting sqref="C476:C486">
    <cfRule type="expression" dxfId="9983" priority="1748">
      <formula>B476=""</formula>
    </cfRule>
  </conditionalFormatting>
  <conditionalFormatting sqref="C487">
    <cfRule type="expression" dxfId="9982" priority="1747">
      <formula>B487=""</formula>
    </cfRule>
  </conditionalFormatting>
  <conditionalFormatting sqref="C488">
    <cfRule type="expression" dxfId="9981" priority="1746">
      <formula>B488=""</formula>
    </cfRule>
  </conditionalFormatting>
  <conditionalFormatting sqref="C489">
    <cfRule type="expression" dxfId="9980" priority="1745">
      <formula>B489=""</formula>
    </cfRule>
  </conditionalFormatting>
  <conditionalFormatting sqref="C490">
    <cfRule type="expression" dxfId="9979" priority="1744">
      <formula>B490=""</formula>
    </cfRule>
  </conditionalFormatting>
  <conditionalFormatting sqref="C491">
    <cfRule type="expression" dxfId="9978" priority="1743">
      <formula>B491=""</formula>
    </cfRule>
  </conditionalFormatting>
  <conditionalFormatting sqref="C492">
    <cfRule type="expression" dxfId="9977" priority="1742">
      <formula>B492=""</formula>
    </cfRule>
  </conditionalFormatting>
  <conditionalFormatting sqref="C493">
    <cfRule type="expression" dxfId="9976" priority="1741">
      <formula>B493=""</formula>
    </cfRule>
  </conditionalFormatting>
  <conditionalFormatting sqref="C474:C493">
    <cfRule type="expression" dxfId="9975" priority="1740">
      <formula>B474=""</formula>
    </cfRule>
  </conditionalFormatting>
  <conditionalFormatting sqref="C475 C477 C479 C481 C483 C485 C487 C489 C491 C493">
    <cfRule type="expression" dxfId="9974" priority="1739">
      <formula>B475=""</formula>
    </cfRule>
  </conditionalFormatting>
  <conditionalFormatting sqref="C476:C486">
    <cfRule type="expression" dxfId="9973" priority="1738">
      <formula>B476=""</formula>
    </cfRule>
  </conditionalFormatting>
  <conditionalFormatting sqref="C487">
    <cfRule type="expression" dxfId="9972" priority="1737">
      <formula>B487=""</formula>
    </cfRule>
  </conditionalFormatting>
  <conditionalFormatting sqref="C488">
    <cfRule type="expression" dxfId="9971" priority="1736">
      <formula>B488=""</formula>
    </cfRule>
  </conditionalFormatting>
  <conditionalFormatting sqref="C489">
    <cfRule type="expression" dxfId="9970" priority="1735">
      <formula>B489=""</formula>
    </cfRule>
  </conditionalFormatting>
  <conditionalFormatting sqref="C490">
    <cfRule type="expression" dxfId="9969" priority="1734">
      <formula>B490=""</formula>
    </cfRule>
  </conditionalFormatting>
  <conditionalFormatting sqref="C491">
    <cfRule type="expression" dxfId="9968" priority="1733">
      <formula>B491=""</formula>
    </cfRule>
  </conditionalFormatting>
  <conditionalFormatting sqref="C492">
    <cfRule type="expression" dxfId="9967" priority="1732">
      <formula>B492=""</formula>
    </cfRule>
  </conditionalFormatting>
  <conditionalFormatting sqref="C493">
    <cfRule type="expression" dxfId="9966" priority="1731">
      <formula>B493=""</formula>
    </cfRule>
  </conditionalFormatting>
  <conditionalFormatting sqref="C474:C493">
    <cfRule type="expression" dxfId="9965" priority="1730">
      <formula>B474=""</formula>
    </cfRule>
  </conditionalFormatting>
  <conditionalFormatting sqref="C475 C477 C479 C481 C483 C485 C487 C489 C491 C493">
    <cfRule type="expression" dxfId="9964" priority="1729">
      <formula>B475=""</formula>
    </cfRule>
  </conditionalFormatting>
  <conditionalFormatting sqref="C476:C486">
    <cfRule type="expression" dxfId="9963" priority="1728">
      <formula>B476=""</formula>
    </cfRule>
  </conditionalFormatting>
  <conditionalFormatting sqref="C487">
    <cfRule type="expression" dxfId="9962" priority="1727">
      <formula>B487=""</formula>
    </cfRule>
  </conditionalFormatting>
  <conditionalFormatting sqref="C488">
    <cfRule type="expression" dxfId="9961" priority="1726">
      <formula>B488=""</formula>
    </cfRule>
  </conditionalFormatting>
  <conditionalFormatting sqref="C489">
    <cfRule type="expression" dxfId="9960" priority="1725">
      <formula>B489=""</formula>
    </cfRule>
  </conditionalFormatting>
  <conditionalFormatting sqref="C490">
    <cfRule type="expression" dxfId="9959" priority="1724">
      <formula>B490=""</formula>
    </cfRule>
  </conditionalFormatting>
  <conditionalFormatting sqref="C491">
    <cfRule type="expression" dxfId="9958" priority="1723">
      <formula>B491=""</formula>
    </cfRule>
  </conditionalFormatting>
  <conditionalFormatting sqref="C492">
    <cfRule type="expression" dxfId="9957" priority="1722">
      <formula>B492=""</formula>
    </cfRule>
  </conditionalFormatting>
  <conditionalFormatting sqref="C493">
    <cfRule type="expression" dxfId="9956" priority="1721">
      <formula>B493=""</formula>
    </cfRule>
  </conditionalFormatting>
  <conditionalFormatting sqref="C474 C476 C478 C480 C482 C484 C486 C488 C490 C492">
    <cfRule type="expression" dxfId="9955" priority="1720">
      <formula>B474=""</formula>
    </cfRule>
  </conditionalFormatting>
  <conditionalFormatting sqref="C475 C477 C479 C481 C483 C485 C487 C489 C491 C493">
    <cfRule type="expression" dxfId="9954" priority="1719">
      <formula>B475=""</formula>
    </cfRule>
  </conditionalFormatting>
  <conditionalFormatting sqref="C476:C486">
    <cfRule type="expression" dxfId="9953" priority="1718">
      <formula>B476=""</formula>
    </cfRule>
  </conditionalFormatting>
  <conditionalFormatting sqref="C487">
    <cfRule type="expression" dxfId="9952" priority="1717">
      <formula>B487=""</formula>
    </cfRule>
  </conditionalFormatting>
  <conditionalFormatting sqref="C488">
    <cfRule type="expression" dxfId="9951" priority="1716">
      <formula>B488=""</formula>
    </cfRule>
  </conditionalFormatting>
  <conditionalFormatting sqref="C489">
    <cfRule type="expression" dxfId="9950" priority="1715">
      <formula>B489=""</formula>
    </cfRule>
  </conditionalFormatting>
  <conditionalFormatting sqref="C490">
    <cfRule type="expression" dxfId="9949" priority="1714">
      <formula>B490=""</formula>
    </cfRule>
  </conditionalFormatting>
  <conditionalFormatting sqref="C491">
    <cfRule type="expression" dxfId="9948" priority="1713">
      <formula>B491=""</formula>
    </cfRule>
  </conditionalFormatting>
  <conditionalFormatting sqref="C492">
    <cfRule type="expression" dxfId="9947" priority="1712">
      <formula>B492=""</formula>
    </cfRule>
  </conditionalFormatting>
  <conditionalFormatting sqref="C493">
    <cfRule type="expression" dxfId="9946" priority="1711">
      <formula>B493=""</formula>
    </cfRule>
  </conditionalFormatting>
  <conditionalFormatting sqref="E52:E72">
    <cfRule type="expression" dxfId="9945" priority="1710">
      <formula>B52=""</formula>
    </cfRule>
  </conditionalFormatting>
  <conditionalFormatting sqref="E52:E72">
    <cfRule type="expression" dxfId="9944" priority="1709">
      <formula>B52=""</formula>
    </cfRule>
  </conditionalFormatting>
  <conditionalFormatting sqref="E52:E72">
    <cfRule type="expression" dxfId="9943" priority="1708">
      <formula>B52=""</formula>
    </cfRule>
  </conditionalFormatting>
  <conditionalFormatting sqref="E74:E94">
    <cfRule type="expression" dxfId="9942" priority="1707">
      <formula>B74=""</formula>
    </cfRule>
  </conditionalFormatting>
  <conditionalFormatting sqref="E75 E77 E79 E81 E83 E85 E87 E89 E91 E93">
    <cfRule type="expression" dxfId="9941" priority="1706">
      <formula>B75=""</formula>
    </cfRule>
  </conditionalFormatting>
  <conditionalFormatting sqref="E76 E78 E80 E82 E84 E86 E88 E90 E92">
    <cfRule type="expression" dxfId="9940" priority="1705">
      <formula>B76=""</formula>
    </cfRule>
  </conditionalFormatting>
  <conditionalFormatting sqref="E77:E87">
    <cfRule type="expression" dxfId="9939" priority="1704">
      <formula>B77=""</formula>
    </cfRule>
  </conditionalFormatting>
  <conditionalFormatting sqref="E88">
    <cfRule type="expression" dxfId="9938" priority="1703">
      <formula>B88=""</formula>
    </cfRule>
  </conditionalFormatting>
  <conditionalFormatting sqref="E89">
    <cfRule type="expression" dxfId="9937" priority="1702">
      <formula>B89=""</formula>
    </cfRule>
  </conditionalFormatting>
  <conditionalFormatting sqref="E90">
    <cfRule type="expression" dxfId="9936" priority="1701">
      <formula>B90=""</formula>
    </cfRule>
  </conditionalFormatting>
  <conditionalFormatting sqref="E91">
    <cfRule type="expression" dxfId="9935" priority="1700">
      <formula>B91=""</formula>
    </cfRule>
  </conditionalFormatting>
  <conditionalFormatting sqref="E92">
    <cfRule type="expression" dxfId="9934" priority="1699">
      <formula>B92=""</formula>
    </cfRule>
  </conditionalFormatting>
  <conditionalFormatting sqref="E93">
    <cfRule type="expression" dxfId="9933" priority="1698">
      <formula>B93=""</formula>
    </cfRule>
  </conditionalFormatting>
  <conditionalFormatting sqref="E94">
    <cfRule type="expression" dxfId="9932" priority="1697">
      <formula>B94=""</formula>
    </cfRule>
  </conditionalFormatting>
  <conditionalFormatting sqref="E75 E77 E79 E81 E83 E85 E87 E89 E91 E93">
    <cfRule type="expression" dxfId="9931" priority="1696">
      <formula>B75=""</formula>
    </cfRule>
  </conditionalFormatting>
  <conditionalFormatting sqref="E76 E78 E80 E82 E84 E86 E88 E90 E92">
    <cfRule type="expression" dxfId="9930" priority="1695">
      <formula>B76=""</formula>
    </cfRule>
  </conditionalFormatting>
  <conditionalFormatting sqref="E77:E87">
    <cfRule type="expression" dxfId="9929" priority="1694">
      <formula>B77=""</formula>
    </cfRule>
  </conditionalFormatting>
  <conditionalFormatting sqref="E88">
    <cfRule type="expression" dxfId="9928" priority="1693">
      <formula>B88=""</formula>
    </cfRule>
  </conditionalFormatting>
  <conditionalFormatting sqref="E89">
    <cfRule type="expression" dxfId="9927" priority="1692">
      <formula>B89=""</formula>
    </cfRule>
  </conditionalFormatting>
  <conditionalFormatting sqref="E90">
    <cfRule type="expression" dxfId="9926" priority="1691">
      <formula>B90=""</formula>
    </cfRule>
  </conditionalFormatting>
  <conditionalFormatting sqref="E91">
    <cfRule type="expression" dxfId="9925" priority="1690">
      <formula>B91=""</formula>
    </cfRule>
  </conditionalFormatting>
  <conditionalFormatting sqref="E92">
    <cfRule type="expression" dxfId="9924" priority="1689">
      <formula>B92=""</formula>
    </cfRule>
  </conditionalFormatting>
  <conditionalFormatting sqref="E93">
    <cfRule type="expression" dxfId="9923" priority="1688">
      <formula>B93=""</formula>
    </cfRule>
  </conditionalFormatting>
  <conditionalFormatting sqref="E94">
    <cfRule type="expression" dxfId="9922" priority="1687">
      <formula>B94=""</formula>
    </cfRule>
  </conditionalFormatting>
  <conditionalFormatting sqref="E74:E94">
    <cfRule type="expression" dxfId="9921" priority="1686">
      <formula>B74=""</formula>
    </cfRule>
  </conditionalFormatting>
  <conditionalFormatting sqref="E74:E94">
    <cfRule type="expression" dxfId="9920" priority="1685">
      <formula>B74=""</formula>
    </cfRule>
  </conditionalFormatting>
  <conditionalFormatting sqref="E74:E94">
    <cfRule type="expression" dxfId="9919" priority="1684">
      <formula>B74=""</formula>
    </cfRule>
  </conditionalFormatting>
  <conditionalFormatting sqref="E108">
    <cfRule type="expression" dxfId="9918" priority="1683">
      <formula>B108=""</formula>
    </cfRule>
  </conditionalFormatting>
  <conditionalFormatting sqref="E109 E111 E113 E115 E117 E119 E121 E123 E125 E127">
    <cfRule type="expression" dxfId="9917" priority="1682">
      <formula>B109=""</formula>
    </cfRule>
  </conditionalFormatting>
  <conditionalFormatting sqref="E122">
    <cfRule type="expression" dxfId="9916" priority="1679">
      <formula>B122=""</formula>
    </cfRule>
  </conditionalFormatting>
  <conditionalFormatting sqref="E123">
    <cfRule type="expression" dxfId="9915" priority="1678">
      <formula>B123=""</formula>
    </cfRule>
  </conditionalFormatting>
  <conditionalFormatting sqref="E124">
    <cfRule type="expression" dxfId="9914" priority="1677">
      <formula>B124=""</formula>
    </cfRule>
  </conditionalFormatting>
  <conditionalFormatting sqref="E125">
    <cfRule type="expression" dxfId="9913" priority="1676">
      <formula>B125=""</formula>
    </cfRule>
  </conditionalFormatting>
  <conditionalFormatting sqref="E126">
    <cfRule type="expression" dxfId="9912" priority="1675">
      <formula>B126=""</formula>
    </cfRule>
  </conditionalFormatting>
  <conditionalFormatting sqref="E127:E128">
    <cfRule type="expression" dxfId="9911" priority="1674">
      <formula>B127=""</formula>
    </cfRule>
  </conditionalFormatting>
  <conditionalFormatting sqref="E128">
    <cfRule type="expression" dxfId="9910" priority="1673">
      <formula>B128=""</formula>
    </cfRule>
  </conditionalFormatting>
  <conditionalFormatting sqref="E109 E111 E113 E115 E117 E119 E121 E123 E125 E127">
    <cfRule type="expression" dxfId="9909" priority="1672">
      <formula>B109=""</formula>
    </cfRule>
  </conditionalFormatting>
  <conditionalFormatting sqref="E122">
    <cfRule type="expression" dxfId="9908" priority="1669">
      <formula>B122=""</formula>
    </cfRule>
  </conditionalFormatting>
  <conditionalFormatting sqref="E123">
    <cfRule type="expression" dxfId="9907" priority="1668">
      <formula>B123=""</formula>
    </cfRule>
  </conditionalFormatting>
  <conditionalFormatting sqref="E124">
    <cfRule type="expression" dxfId="9906" priority="1667">
      <formula>B124=""</formula>
    </cfRule>
  </conditionalFormatting>
  <conditionalFormatting sqref="E125">
    <cfRule type="expression" dxfId="9905" priority="1666">
      <formula>B125=""</formula>
    </cfRule>
  </conditionalFormatting>
  <conditionalFormatting sqref="E126">
    <cfRule type="expression" dxfId="9904" priority="1665">
      <formula>B126=""</formula>
    </cfRule>
  </conditionalFormatting>
  <conditionalFormatting sqref="E127:E128">
    <cfRule type="expression" dxfId="9903" priority="1664">
      <formula>B127=""</formula>
    </cfRule>
  </conditionalFormatting>
  <conditionalFormatting sqref="E128">
    <cfRule type="expression" dxfId="9902" priority="1663">
      <formula>B128=""</formula>
    </cfRule>
  </conditionalFormatting>
  <conditionalFormatting sqref="E130 E132 E134 E136 E138 E140 E142 E144 E146 E148">
    <cfRule type="expression" dxfId="9901" priority="1662">
      <formula>B130=""</formula>
    </cfRule>
  </conditionalFormatting>
  <conditionalFormatting sqref="E131 E133 E135 E137 E139 E141 E143 E145 E147 E149">
    <cfRule type="expression" dxfId="9900" priority="1661">
      <formula>B131=""</formula>
    </cfRule>
  </conditionalFormatting>
  <conditionalFormatting sqref="E132:E142">
    <cfRule type="expression" dxfId="9899" priority="1660">
      <formula>B132=""</formula>
    </cfRule>
  </conditionalFormatting>
  <conditionalFormatting sqref="E143">
    <cfRule type="expression" dxfId="9898" priority="1659">
      <formula>B143=""</formula>
    </cfRule>
  </conditionalFormatting>
  <conditionalFormatting sqref="E144">
    <cfRule type="expression" dxfId="9897" priority="1658">
      <formula>B144=""</formula>
    </cfRule>
  </conditionalFormatting>
  <conditionalFormatting sqref="E145">
    <cfRule type="expression" dxfId="9896" priority="1657">
      <formula>B145=""</formula>
    </cfRule>
  </conditionalFormatting>
  <conditionalFormatting sqref="E146">
    <cfRule type="expression" dxfId="9895" priority="1656">
      <formula>B146=""</formula>
    </cfRule>
  </conditionalFormatting>
  <conditionalFormatting sqref="E147">
    <cfRule type="expression" dxfId="9894" priority="1655">
      <formula>B147=""</formula>
    </cfRule>
  </conditionalFormatting>
  <conditionalFormatting sqref="E148">
    <cfRule type="expression" dxfId="9893" priority="1654">
      <formula>B148=""</formula>
    </cfRule>
  </conditionalFormatting>
  <conditionalFormatting sqref="E149:E150">
    <cfRule type="expression" dxfId="9892" priority="1653">
      <formula>B149=""</formula>
    </cfRule>
  </conditionalFormatting>
  <conditionalFormatting sqref="E150">
    <cfRule type="expression" dxfId="9891" priority="1652">
      <formula>B150=""</formula>
    </cfRule>
  </conditionalFormatting>
  <conditionalFormatting sqref="E131 E133 E135 E137 E139 E141 E143 E145 E147 E149">
    <cfRule type="expression" dxfId="9890" priority="1651">
      <formula>B131=""</formula>
    </cfRule>
  </conditionalFormatting>
  <conditionalFormatting sqref="E132:E142">
    <cfRule type="expression" dxfId="9889" priority="1650">
      <formula>B132=""</formula>
    </cfRule>
  </conditionalFormatting>
  <conditionalFormatting sqref="E143">
    <cfRule type="expression" dxfId="9888" priority="1649">
      <formula>B143=""</formula>
    </cfRule>
  </conditionalFormatting>
  <conditionalFormatting sqref="E144">
    <cfRule type="expression" dxfId="9887" priority="1648">
      <formula>B144=""</formula>
    </cfRule>
  </conditionalFormatting>
  <conditionalFormatting sqref="E145">
    <cfRule type="expression" dxfId="9886" priority="1647">
      <formula>B145=""</formula>
    </cfRule>
  </conditionalFormatting>
  <conditionalFormatting sqref="E146">
    <cfRule type="expression" dxfId="9885" priority="1646">
      <formula>B146=""</formula>
    </cfRule>
  </conditionalFormatting>
  <conditionalFormatting sqref="E147">
    <cfRule type="expression" dxfId="9884" priority="1645">
      <formula>B147=""</formula>
    </cfRule>
  </conditionalFormatting>
  <conditionalFormatting sqref="E148">
    <cfRule type="expression" dxfId="9883" priority="1644">
      <formula>B148=""</formula>
    </cfRule>
  </conditionalFormatting>
  <conditionalFormatting sqref="E149:E150">
    <cfRule type="expression" dxfId="9882" priority="1643">
      <formula>B149=""</formula>
    </cfRule>
  </conditionalFormatting>
  <conditionalFormatting sqref="E150">
    <cfRule type="expression" dxfId="9881" priority="1642">
      <formula>B150=""</formula>
    </cfRule>
  </conditionalFormatting>
  <conditionalFormatting sqref="E152:E172">
    <cfRule type="expression" dxfId="9880" priority="1641">
      <formula>B152=""</formula>
    </cfRule>
  </conditionalFormatting>
  <conditionalFormatting sqref="E153 E155 E157 E159 E161 E163 E165 E167 E169">
    <cfRule type="expression" dxfId="9879" priority="1640">
      <formula>B153=""</formula>
    </cfRule>
  </conditionalFormatting>
  <conditionalFormatting sqref="E154:E164">
    <cfRule type="expression" dxfId="9878" priority="1639">
      <formula>B154=""</formula>
    </cfRule>
  </conditionalFormatting>
  <conditionalFormatting sqref="E165">
    <cfRule type="expression" dxfId="9877" priority="1638">
      <formula>B165=""</formula>
    </cfRule>
  </conditionalFormatting>
  <conditionalFormatting sqref="E166">
    <cfRule type="expression" dxfId="9876" priority="1637">
      <formula>B166=""</formula>
    </cfRule>
  </conditionalFormatting>
  <conditionalFormatting sqref="E167">
    <cfRule type="expression" dxfId="9875" priority="1636">
      <formula>B167=""</formula>
    </cfRule>
  </conditionalFormatting>
  <conditionalFormatting sqref="E168">
    <cfRule type="expression" dxfId="9874" priority="1635">
      <formula>B168=""</formula>
    </cfRule>
  </conditionalFormatting>
  <conditionalFormatting sqref="E169">
    <cfRule type="expression" dxfId="9873" priority="1634">
      <formula>B169=""</formula>
    </cfRule>
  </conditionalFormatting>
  <conditionalFormatting sqref="E170">
    <cfRule type="expression" dxfId="9872" priority="1633">
      <formula>B170=""</formula>
    </cfRule>
  </conditionalFormatting>
  <conditionalFormatting sqref="E171">
    <cfRule type="expression" dxfId="9871" priority="1632">
      <formula>B171=""</formula>
    </cfRule>
  </conditionalFormatting>
  <conditionalFormatting sqref="E172">
    <cfRule type="expression" dxfId="9870" priority="1631">
      <formula>B172=""</formula>
    </cfRule>
  </conditionalFormatting>
  <conditionalFormatting sqref="E153 E155 E157 E159 E161 E163 E165 E167 E169">
    <cfRule type="expression" dxfId="9869" priority="1630">
      <formula>B153=""</formula>
    </cfRule>
  </conditionalFormatting>
  <conditionalFormatting sqref="E154:E164">
    <cfRule type="expression" dxfId="9868" priority="1629">
      <formula>B154=""</formula>
    </cfRule>
  </conditionalFormatting>
  <conditionalFormatting sqref="E165">
    <cfRule type="expression" dxfId="9867" priority="1628">
      <formula>B165=""</formula>
    </cfRule>
  </conditionalFormatting>
  <conditionalFormatting sqref="E166">
    <cfRule type="expression" dxfId="9866" priority="1627">
      <formula>B166=""</formula>
    </cfRule>
  </conditionalFormatting>
  <conditionalFormatting sqref="E167">
    <cfRule type="expression" dxfId="9865" priority="1626">
      <formula>B167=""</formula>
    </cfRule>
  </conditionalFormatting>
  <conditionalFormatting sqref="E168">
    <cfRule type="expression" dxfId="9864" priority="1625">
      <formula>B168=""</formula>
    </cfRule>
  </conditionalFormatting>
  <conditionalFormatting sqref="E169">
    <cfRule type="expression" dxfId="9863" priority="1624">
      <formula>B169=""</formula>
    </cfRule>
  </conditionalFormatting>
  <conditionalFormatting sqref="E170">
    <cfRule type="expression" dxfId="9862" priority="1623">
      <formula>B170=""</formula>
    </cfRule>
  </conditionalFormatting>
  <conditionalFormatting sqref="E171">
    <cfRule type="expression" dxfId="9861" priority="1622">
      <formula>B171=""</formula>
    </cfRule>
  </conditionalFormatting>
  <conditionalFormatting sqref="E172">
    <cfRule type="expression" dxfId="9860" priority="1621">
      <formula>B172=""</formula>
    </cfRule>
  </conditionalFormatting>
  <conditionalFormatting sqref="E174 E176 E178 E180 E182 E184 E186 E188 E190 E192">
    <cfRule type="expression" dxfId="9859" priority="1620">
      <formula>B174=""</formula>
    </cfRule>
  </conditionalFormatting>
  <conditionalFormatting sqref="E175 E177 E179 E181 E183 E185 E187 E189 E191 E193">
    <cfRule type="expression" dxfId="9858" priority="1619">
      <formula>B175=""</formula>
    </cfRule>
  </conditionalFormatting>
  <conditionalFormatting sqref="E176:E186">
    <cfRule type="expression" dxfId="9857" priority="1618">
      <formula>B176=""</formula>
    </cfRule>
  </conditionalFormatting>
  <conditionalFormatting sqref="E187">
    <cfRule type="expression" dxfId="9856" priority="1617">
      <formula>B187=""</formula>
    </cfRule>
  </conditionalFormatting>
  <conditionalFormatting sqref="E188">
    <cfRule type="expression" dxfId="9855" priority="1616">
      <formula>B188=""</formula>
    </cfRule>
  </conditionalFormatting>
  <conditionalFormatting sqref="E189">
    <cfRule type="expression" dxfId="9854" priority="1615">
      <formula>B189=""</formula>
    </cfRule>
  </conditionalFormatting>
  <conditionalFormatting sqref="E190">
    <cfRule type="expression" dxfId="9853" priority="1614">
      <formula>B190=""</formula>
    </cfRule>
  </conditionalFormatting>
  <conditionalFormatting sqref="E191">
    <cfRule type="expression" dxfId="9852" priority="1613">
      <formula>B191=""</formula>
    </cfRule>
  </conditionalFormatting>
  <conditionalFormatting sqref="E192">
    <cfRule type="expression" dxfId="9851" priority="1612">
      <formula>B192=""</formula>
    </cfRule>
  </conditionalFormatting>
  <conditionalFormatting sqref="E193">
    <cfRule type="expression" dxfId="9850" priority="1611">
      <formula>B193=""</formula>
    </cfRule>
  </conditionalFormatting>
  <conditionalFormatting sqref="E194">
    <cfRule type="expression" dxfId="9849" priority="1610">
      <formula>B194=""</formula>
    </cfRule>
  </conditionalFormatting>
  <conditionalFormatting sqref="E175 E177 E179 E181 E183 E185 E187 E189 E191 E193">
    <cfRule type="expression" dxfId="9848" priority="1609">
      <formula>B175=""</formula>
    </cfRule>
  </conditionalFormatting>
  <conditionalFormatting sqref="E176:E186">
    <cfRule type="expression" dxfId="9847" priority="1608">
      <formula>B176=""</formula>
    </cfRule>
  </conditionalFormatting>
  <conditionalFormatting sqref="E187">
    <cfRule type="expression" dxfId="9846" priority="1607">
      <formula>B187=""</formula>
    </cfRule>
  </conditionalFormatting>
  <conditionalFormatting sqref="E188">
    <cfRule type="expression" dxfId="9845" priority="1606">
      <formula>B188=""</formula>
    </cfRule>
  </conditionalFormatting>
  <conditionalFormatting sqref="E189">
    <cfRule type="expression" dxfId="9844" priority="1605">
      <formula>B189=""</formula>
    </cfRule>
  </conditionalFormatting>
  <conditionalFormatting sqref="E190">
    <cfRule type="expression" dxfId="9843" priority="1604">
      <formula>B190=""</formula>
    </cfRule>
  </conditionalFormatting>
  <conditionalFormatting sqref="E191">
    <cfRule type="expression" dxfId="9842" priority="1603">
      <formula>B191=""</formula>
    </cfRule>
  </conditionalFormatting>
  <conditionalFormatting sqref="E192">
    <cfRule type="expression" dxfId="9841" priority="1602">
      <formula>B192=""</formula>
    </cfRule>
  </conditionalFormatting>
  <conditionalFormatting sqref="E193">
    <cfRule type="expression" dxfId="9840" priority="1601">
      <formula>B193=""</formula>
    </cfRule>
  </conditionalFormatting>
  <conditionalFormatting sqref="E194">
    <cfRule type="expression" dxfId="9839" priority="1600">
      <formula>B194=""</formula>
    </cfRule>
  </conditionalFormatting>
  <conditionalFormatting sqref="E109 E111 E113 E115 E117 E119 E121 E123 E125 E127">
    <cfRule type="expression" dxfId="9838" priority="1598">
      <formula>B109=""</formula>
    </cfRule>
  </conditionalFormatting>
  <conditionalFormatting sqref="E122">
    <cfRule type="expression" dxfId="9837" priority="1595">
      <formula>B122=""</formula>
    </cfRule>
  </conditionalFormatting>
  <conditionalFormatting sqref="E123">
    <cfRule type="expression" dxfId="9836" priority="1594">
      <formula>B123=""</formula>
    </cfRule>
  </conditionalFormatting>
  <conditionalFormatting sqref="E124">
    <cfRule type="expression" dxfId="9835" priority="1593">
      <formula>B124=""</formula>
    </cfRule>
  </conditionalFormatting>
  <conditionalFormatting sqref="E125">
    <cfRule type="expression" dxfId="9834" priority="1592">
      <formula>B125=""</formula>
    </cfRule>
  </conditionalFormatting>
  <conditionalFormatting sqref="E126">
    <cfRule type="expression" dxfId="9833" priority="1591">
      <formula>B126=""</formula>
    </cfRule>
  </conditionalFormatting>
  <conditionalFormatting sqref="E127:E128">
    <cfRule type="expression" dxfId="9832" priority="1590">
      <formula>B127=""</formula>
    </cfRule>
  </conditionalFormatting>
  <conditionalFormatting sqref="E109 E111 E113 E115 E117 E119 E121 E123 E125 E127">
    <cfRule type="expression" dxfId="9831" priority="1589">
      <formula>B109=""</formula>
    </cfRule>
  </conditionalFormatting>
  <conditionalFormatting sqref="E122">
    <cfRule type="expression" dxfId="9830" priority="1586">
      <formula>B122=""</formula>
    </cfRule>
  </conditionalFormatting>
  <conditionalFormatting sqref="E123">
    <cfRule type="expression" dxfId="9829" priority="1585">
      <formula>B123=""</formula>
    </cfRule>
  </conditionalFormatting>
  <conditionalFormatting sqref="E124">
    <cfRule type="expression" dxfId="9828" priority="1584">
      <formula>B124=""</formula>
    </cfRule>
  </conditionalFormatting>
  <conditionalFormatting sqref="E125">
    <cfRule type="expression" dxfId="9827" priority="1583">
      <formula>B125=""</formula>
    </cfRule>
  </conditionalFormatting>
  <conditionalFormatting sqref="E126">
    <cfRule type="expression" dxfId="9826" priority="1582">
      <formula>B126=""</formula>
    </cfRule>
  </conditionalFormatting>
  <conditionalFormatting sqref="E127:E128">
    <cfRule type="expression" dxfId="9825" priority="1581">
      <formula>B127=""</formula>
    </cfRule>
  </conditionalFormatting>
  <conditionalFormatting sqref="E130 E132 E134 E136 E138 E140 E142 E144 E146 E148">
    <cfRule type="expression" dxfId="9824" priority="1580">
      <formula>B130=""</formula>
    </cfRule>
  </conditionalFormatting>
  <conditionalFormatting sqref="E131 E133 E135 E137 E139 E141 E143 E145 E147 E149">
    <cfRule type="expression" dxfId="9823" priority="1579">
      <formula>B131=""</formula>
    </cfRule>
  </conditionalFormatting>
  <conditionalFormatting sqref="E132:E142">
    <cfRule type="expression" dxfId="9822" priority="1578">
      <formula>B132=""</formula>
    </cfRule>
  </conditionalFormatting>
  <conditionalFormatting sqref="E143">
    <cfRule type="expression" dxfId="9821" priority="1577">
      <formula>B143=""</formula>
    </cfRule>
  </conditionalFormatting>
  <conditionalFormatting sqref="E144">
    <cfRule type="expression" dxfId="9820" priority="1576">
      <formula>B144=""</formula>
    </cfRule>
  </conditionalFormatting>
  <conditionalFormatting sqref="E145">
    <cfRule type="expression" dxfId="9819" priority="1575">
      <formula>B145=""</formula>
    </cfRule>
  </conditionalFormatting>
  <conditionalFormatting sqref="E146">
    <cfRule type="expression" dxfId="9818" priority="1574">
      <formula>B146=""</formula>
    </cfRule>
  </conditionalFormatting>
  <conditionalFormatting sqref="E147">
    <cfRule type="expression" dxfId="9817" priority="1573">
      <formula>B147=""</formula>
    </cfRule>
  </conditionalFormatting>
  <conditionalFormatting sqref="E148">
    <cfRule type="expression" dxfId="9816" priority="1572">
      <formula>B148=""</formula>
    </cfRule>
  </conditionalFormatting>
  <conditionalFormatting sqref="E149:E150">
    <cfRule type="expression" dxfId="9815" priority="1571">
      <formula>B149=""</formula>
    </cfRule>
  </conditionalFormatting>
  <conditionalFormatting sqref="E131 E133 E135 E137 E139 E141 E143 E145 E147 E149">
    <cfRule type="expression" dxfId="9814" priority="1570">
      <formula>B131=""</formula>
    </cfRule>
  </conditionalFormatting>
  <conditionalFormatting sqref="E132:E142">
    <cfRule type="expression" dxfId="9813" priority="1569">
      <formula>B132=""</formula>
    </cfRule>
  </conditionalFormatting>
  <conditionalFormatting sqref="E143">
    <cfRule type="expression" dxfId="9812" priority="1568">
      <formula>B143=""</formula>
    </cfRule>
  </conditionalFormatting>
  <conditionalFormatting sqref="E144">
    <cfRule type="expression" dxfId="9811" priority="1567">
      <formula>B144=""</formula>
    </cfRule>
  </conditionalFormatting>
  <conditionalFormatting sqref="E145">
    <cfRule type="expression" dxfId="9810" priority="1566">
      <formula>B145=""</formula>
    </cfRule>
  </conditionalFormatting>
  <conditionalFormatting sqref="E146">
    <cfRule type="expression" dxfId="9809" priority="1565">
      <formula>B146=""</formula>
    </cfRule>
  </conditionalFormatting>
  <conditionalFormatting sqref="E147">
    <cfRule type="expression" dxfId="9808" priority="1564">
      <formula>B147=""</formula>
    </cfRule>
  </conditionalFormatting>
  <conditionalFormatting sqref="E148">
    <cfRule type="expression" dxfId="9807" priority="1563">
      <formula>B148=""</formula>
    </cfRule>
  </conditionalFormatting>
  <conditionalFormatting sqref="E149:E150">
    <cfRule type="expression" dxfId="9806" priority="1562">
      <formula>B149=""</formula>
    </cfRule>
  </conditionalFormatting>
  <conditionalFormatting sqref="E130:E150">
    <cfRule type="expression" dxfId="9805" priority="1561">
      <formula>B130=""</formula>
    </cfRule>
  </conditionalFormatting>
  <conditionalFormatting sqref="E131 E133 E135 E137 E139 E141 E143 E145 E147 E149">
    <cfRule type="expression" dxfId="9804" priority="1560">
      <formula>B131=""</formula>
    </cfRule>
  </conditionalFormatting>
  <conditionalFormatting sqref="E132:E142">
    <cfRule type="expression" dxfId="9803" priority="1559">
      <formula>B132=""</formula>
    </cfRule>
  </conditionalFormatting>
  <conditionalFormatting sqref="E143">
    <cfRule type="expression" dxfId="9802" priority="1558">
      <formula>B143=""</formula>
    </cfRule>
  </conditionalFormatting>
  <conditionalFormatting sqref="E144">
    <cfRule type="expression" dxfId="9801" priority="1557">
      <formula>B144=""</formula>
    </cfRule>
  </conditionalFormatting>
  <conditionalFormatting sqref="E145">
    <cfRule type="expression" dxfId="9800" priority="1556">
      <formula>B145=""</formula>
    </cfRule>
  </conditionalFormatting>
  <conditionalFormatting sqref="E146">
    <cfRule type="expression" dxfId="9799" priority="1555">
      <formula>B146=""</formula>
    </cfRule>
  </conditionalFormatting>
  <conditionalFormatting sqref="E147">
    <cfRule type="expression" dxfId="9798" priority="1554">
      <formula>B147=""</formula>
    </cfRule>
  </conditionalFormatting>
  <conditionalFormatting sqref="E148">
    <cfRule type="expression" dxfId="9797" priority="1553">
      <formula>B148=""</formula>
    </cfRule>
  </conditionalFormatting>
  <conditionalFormatting sqref="E149:E150">
    <cfRule type="expression" dxfId="9796" priority="1552">
      <formula>B149=""</formula>
    </cfRule>
  </conditionalFormatting>
  <conditionalFormatting sqref="E131 E133 E135 E137 E139 E141 E143 E145 E147 E149">
    <cfRule type="expression" dxfId="9795" priority="1551">
      <formula>B131=""</formula>
    </cfRule>
  </conditionalFormatting>
  <conditionalFormatting sqref="E132:E142">
    <cfRule type="expression" dxfId="9794" priority="1550">
      <formula>B132=""</formula>
    </cfRule>
  </conditionalFormatting>
  <conditionalFormatting sqref="E143">
    <cfRule type="expression" dxfId="9793" priority="1549">
      <formula>B143=""</formula>
    </cfRule>
  </conditionalFormatting>
  <conditionalFormatting sqref="E144">
    <cfRule type="expression" dxfId="9792" priority="1548">
      <formula>B144=""</formula>
    </cfRule>
  </conditionalFormatting>
  <conditionalFormatting sqref="E145">
    <cfRule type="expression" dxfId="9791" priority="1547">
      <formula>B145=""</formula>
    </cfRule>
  </conditionalFormatting>
  <conditionalFormatting sqref="E146">
    <cfRule type="expression" dxfId="9790" priority="1546">
      <formula>B146=""</formula>
    </cfRule>
  </conditionalFormatting>
  <conditionalFormatting sqref="E147">
    <cfRule type="expression" dxfId="9789" priority="1545">
      <formula>B147=""</formula>
    </cfRule>
  </conditionalFormatting>
  <conditionalFormatting sqref="E148">
    <cfRule type="expression" dxfId="9788" priority="1544">
      <formula>B148=""</formula>
    </cfRule>
  </conditionalFormatting>
  <conditionalFormatting sqref="E149:E150">
    <cfRule type="expression" dxfId="9787" priority="1543">
      <formula>B149=""</formula>
    </cfRule>
  </conditionalFormatting>
  <conditionalFormatting sqref="E152:E172">
    <cfRule type="expression" dxfId="9786" priority="1542">
      <formula>B152=""</formula>
    </cfRule>
  </conditionalFormatting>
  <conditionalFormatting sqref="E152:E172">
    <cfRule type="expression" dxfId="9785" priority="1541">
      <formula>B152=""</formula>
    </cfRule>
  </conditionalFormatting>
  <conditionalFormatting sqref="E152:E172">
    <cfRule type="expression" dxfId="9784" priority="1540">
      <formula>B152=""</formula>
    </cfRule>
  </conditionalFormatting>
  <conditionalFormatting sqref="E174:E194">
    <cfRule type="expression" dxfId="9783" priority="1539">
      <formula>B174=""</formula>
    </cfRule>
  </conditionalFormatting>
  <conditionalFormatting sqref="E175 E177 E179 E181 E183 E185 E187 E189 E191 E193">
    <cfRule type="expression" dxfId="9782" priority="1538">
      <formula>B175=""</formula>
    </cfRule>
  </conditionalFormatting>
  <conditionalFormatting sqref="E176:E186">
    <cfRule type="expression" dxfId="9781" priority="1537">
      <formula>B176=""</formula>
    </cfRule>
  </conditionalFormatting>
  <conditionalFormatting sqref="E187">
    <cfRule type="expression" dxfId="9780" priority="1536">
      <formula>B187=""</formula>
    </cfRule>
  </conditionalFormatting>
  <conditionalFormatting sqref="E188">
    <cfRule type="expression" dxfId="9779" priority="1535">
      <formula>B188=""</formula>
    </cfRule>
  </conditionalFormatting>
  <conditionalFormatting sqref="E189">
    <cfRule type="expression" dxfId="9778" priority="1534">
      <formula>B189=""</formula>
    </cfRule>
  </conditionalFormatting>
  <conditionalFormatting sqref="E190">
    <cfRule type="expression" dxfId="9777" priority="1533">
      <formula>B190=""</formula>
    </cfRule>
  </conditionalFormatting>
  <conditionalFormatting sqref="E191">
    <cfRule type="expression" dxfId="9776" priority="1532">
      <formula>B191=""</formula>
    </cfRule>
  </conditionalFormatting>
  <conditionalFormatting sqref="E192">
    <cfRule type="expression" dxfId="9775" priority="1531">
      <formula>B192=""</formula>
    </cfRule>
  </conditionalFormatting>
  <conditionalFormatting sqref="E193">
    <cfRule type="expression" dxfId="9774" priority="1530">
      <formula>B193=""</formula>
    </cfRule>
  </conditionalFormatting>
  <conditionalFormatting sqref="E194">
    <cfRule type="expression" dxfId="9773" priority="1529">
      <formula>B194=""</formula>
    </cfRule>
  </conditionalFormatting>
  <conditionalFormatting sqref="E175 E177 E179 E181 E183 E185 E187 E189 E191 E193">
    <cfRule type="expression" dxfId="9772" priority="1528">
      <formula>B175=""</formula>
    </cfRule>
  </conditionalFormatting>
  <conditionalFormatting sqref="E176:E186">
    <cfRule type="expression" dxfId="9771" priority="1527">
      <formula>B176=""</formula>
    </cfRule>
  </conditionalFormatting>
  <conditionalFormatting sqref="E187">
    <cfRule type="expression" dxfId="9770" priority="1526">
      <formula>B187=""</formula>
    </cfRule>
  </conditionalFormatting>
  <conditionalFormatting sqref="E188">
    <cfRule type="expression" dxfId="9769" priority="1525">
      <formula>B188=""</formula>
    </cfRule>
  </conditionalFormatting>
  <conditionalFormatting sqref="E189">
    <cfRule type="expression" dxfId="9768" priority="1524">
      <formula>B189=""</formula>
    </cfRule>
  </conditionalFormatting>
  <conditionalFormatting sqref="E190">
    <cfRule type="expression" dxfId="9767" priority="1523">
      <formula>B190=""</formula>
    </cfRule>
  </conditionalFormatting>
  <conditionalFormatting sqref="E191">
    <cfRule type="expression" dxfId="9766" priority="1522">
      <formula>B191=""</formula>
    </cfRule>
  </conditionalFormatting>
  <conditionalFormatting sqref="E192">
    <cfRule type="expression" dxfId="9765" priority="1521">
      <formula>B192=""</formula>
    </cfRule>
  </conditionalFormatting>
  <conditionalFormatting sqref="E193">
    <cfRule type="expression" dxfId="9764" priority="1520">
      <formula>B193=""</formula>
    </cfRule>
  </conditionalFormatting>
  <conditionalFormatting sqref="E194">
    <cfRule type="expression" dxfId="9763" priority="1519">
      <formula>B194=""</formula>
    </cfRule>
  </conditionalFormatting>
  <conditionalFormatting sqref="E174:E194">
    <cfRule type="expression" dxfId="9762" priority="1518">
      <formula>B174=""</formula>
    </cfRule>
  </conditionalFormatting>
  <conditionalFormatting sqref="E174:E194">
    <cfRule type="expression" dxfId="9761" priority="1517">
      <formula>B174=""</formula>
    </cfRule>
  </conditionalFormatting>
  <conditionalFormatting sqref="E174:E194">
    <cfRule type="expression" dxfId="9760" priority="1516">
      <formula>B174=""</formula>
    </cfRule>
  </conditionalFormatting>
  <conditionalFormatting sqref="E208 E210 E212 E214 E216 E218 E220 E222 E224 E226">
    <cfRule type="expression" dxfId="9759" priority="1515">
      <formula>B208=""</formula>
    </cfRule>
  </conditionalFormatting>
  <conditionalFormatting sqref="E209 E211 E213 E215 E217 E219 E221 E223 E225 E227">
    <cfRule type="expression" dxfId="9758" priority="1514">
      <formula>B209=""</formula>
    </cfRule>
  </conditionalFormatting>
  <conditionalFormatting sqref="E210:E220">
    <cfRule type="expression" dxfId="9757" priority="1513">
      <formula>B210=""</formula>
    </cfRule>
  </conditionalFormatting>
  <conditionalFormatting sqref="E221">
    <cfRule type="expression" dxfId="9756" priority="1512">
      <formula>B221=""</formula>
    </cfRule>
  </conditionalFormatting>
  <conditionalFormatting sqref="E222">
    <cfRule type="expression" dxfId="9755" priority="1511">
      <formula>B222=""</formula>
    </cfRule>
  </conditionalFormatting>
  <conditionalFormatting sqref="E223">
    <cfRule type="expression" dxfId="9754" priority="1510">
      <formula>B223=""</formula>
    </cfRule>
  </conditionalFormatting>
  <conditionalFormatting sqref="E224">
    <cfRule type="expression" dxfId="9753" priority="1509">
      <formula>B224=""</formula>
    </cfRule>
  </conditionalFormatting>
  <conditionalFormatting sqref="E225">
    <cfRule type="expression" dxfId="9752" priority="1508">
      <formula>B225=""</formula>
    </cfRule>
  </conditionalFormatting>
  <conditionalFormatting sqref="E226">
    <cfRule type="expression" dxfId="9751" priority="1507">
      <formula>B226=""</formula>
    </cfRule>
  </conditionalFormatting>
  <conditionalFormatting sqref="E227">
    <cfRule type="expression" dxfId="9750" priority="1506">
      <formula>B227=""</formula>
    </cfRule>
  </conditionalFormatting>
  <conditionalFormatting sqref="E228">
    <cfRule type="expression" dxfId="9749" priority="1505">
      <formula>B228=""</formula>
    </cfRule>
  </conditionalFormatting>
  <conditionalFormatting sqref="E209 E211 E213 E215 E217 E219 E221 E223 E225 E227">
    <cfRule type="expression" dxfId="9748" priority="1504">
      <formula>B209=""</formula>
    </cfRule>
  </conditionalFormatting>
  <conditionalFormatting sqref="E210:E220">
    <cfRule type="expression" dxfId="9747" priority="1503">
      <formula>B210=""</formula>
    </cfRule>
  </conditionalFormatting>
  <conditionalFormatting sqref="E221">
    <cfRule type="expression" dxfId="9746" priority="1502">
      <formula>B221=""</formula>
    </cfRule>
  </conditionalFormatting>
  <conditionalFormatting sqref="E222">
    <cfRule type="expression" dxfId="9745" priority="1501">
      <formula>B222=""</formula>
    </cfRule>
  </conditionalFormatting>
  <conditionalFormatting sqref="E223">
    <cfRule type="expression" dxfId="9744" priority="1500">
      <formula>B223=""</formula>
    </cfRule>
  </conditionalFormatting>
  <conditionalFormatting sqref="E224">
    <cfRule type="expression" dxfId="9743" priority="1499">
      <formula>B224=""</formula>
    </cfRule>
  </conditionalFormatting>
  <conditionalFormatting sqref="E225">
    <cfRule type="expression" dxfId="9742" priority="1498">
      <formula>B225=""</formula>
    </cfRule>
  </conditionalFormatting>
  <conditionalFormatting sqref="E226">
    <cfRule type="expression" dxfId="9741" priority="1497">
      <formula>B226=""</formula>
    </cfRule>
  </conditionalFormatting>
  <conditionalFormatting sqref="E227">
    <cfRule type="expression" dxfId="9740" priority="1496">
      <formula>B227=""</formula>
    </cfRule>
  </conditionalFormatting>
  <conditionalFormatting sqref="E228">
    <cfRule type="expression" dxfId="9739" priority="1495">
      <formula>B228=""</formula>
    </cfRule>
  </conditionalFormatting>
  <conditionalFormatting sqref="E230 E232 E234 E236 E238 E240 E242 E244 E246 E248">
    <cfRule type="expression" dxfId="9738" priority="1494">
      <formula>B230=""</formula>
    </cfRule>
  </conditionalFormatting>
  <conditionalFormatting sqref="E231 E233 E235 E237 E239 E241 E243 E245 E247 E249">
    <cfRule type="expression" dxfId="9737" priority="1493">
      <formula>B231=""</formula>
    </cfRule>
  </conditionalFormatting>
  <conditionalFormatting sqref="E232:E242">
    <cfRule type="expression" dxfId="9736" priority="1492">
      <formula>B232=""</formula>
    </cfRule>
  </conditionalFormatting>
  <conditionalFormatting sqref="E243">
    <cfRule type="expression" dxfId="9735" priority="1491">
      <formula>B243=""</formula>
    </cfRule>
  </conditionalFormatting>
  <conditionalFormatting sqref="E244">
    <cfRule type="expression" dxfId="9734" priority="1490">
      <formula>B244=""</formula>
    </cfRule>
  </conditionalFormatting>
  <conditionalFormatting sqref="E245">
    <cfRule type="expression" dxfId="9733" priority="1489">
      <formula>B245=""</formula>
    </cfRule>
  </conditionalFormatting>
  <conditionalFormatting sqref="E246">
    <cfRule type="expression" dxfId="9732" priority="1488">
      <formula>B246=""</formula>
    </cfRule>
  </conditionalFormatting>
  <conditionalFormatting sqref="E247">
    <cfRule type="expression" dxfId="9731" priority="1487">
      <formula>B247=""</formula>
    </cfRule>
  </conditionalFormatting>
  <conditionalFormatting sqref="E248">
    <cfRule type="expression" dxfId="9730" priority="1486">
      <formula>B248=""</formula>
    </cfRule>
  </conditionalFormatting>
  <conditionalFormatting sqref="E249">
    <cfRule type="expression" dxfId="9729" priority="1485">
      <formula>B249=""</formula>
    </cfRule>
  </conditionalFormatting>
  <conditionalFormatting sqref="E250">
    <cfRule type="expression" dxfId="9728" priority="1484">
      <formula>B250=""</formula>
    </cfRule>
  </conditionalFormatting>
  <conditionalFormatting sqref="E231 E233 E235 E237 E239 E241 E243 E245 E247 E249">
    <cfRule type="expression" dxfId="9727" priority="1483">
      <formula>B231=""</formula>
    </cfRule>
  </conditionalFormatting>
  <conditionalFormatting sqref="E232:E242">
    <cfRule type="expression" dxfId="9726" priority="1482">
      <formula>B232=""</formula>
    </cfRule>
  </conditionalFormatting>
  <conditionalFormatting sqref="E243">
    <cfRule type="expression" dxfId="9725" priority="1481">
      <formula>B243=""</formula>
    </cfRule>
  </conditionalFormatting>
  <conditionalFormatting sqref="E244">
    <cfRule type="expression" dxfId="9724" priority="1480">
      <formula>B244=""</formula>
    </cfRule>
  </conditionalFormatting>
  <conditionalFormatting sqref="E245">
    <cfRule type="expression" dxfId="9723" priority="1479">
      <formula>B245=""</formula>
    </cfRule>
  </conditionalFormatting>
  <conditionalFormatting sqref="E246">
    <cfRule type="expression" dxfId="9722" priority="1478">
      <formula>B246=""</formula>
    </cfRule>
  </conditionalFormatting>
  <conditionalFormatting sqref="E247">
    <cfRule type="expression" dxfId="9721" priority="1477">
      <formula>B247=""</formula>
    </cfRule>
  </conditionalFormatting>
  <conditionalFormatting sqref="E248">
    <cfRule type="expression" dxfId="9720" priority="1476">
      <formula>B248=""</formula>
    </cfRule>
  </conditionalFormatting>
  <conditionalFormatting sqref="E249">
    <cfRule type="expression" dxfId="9719" priority="1475">
      <formula>B249=""</formula>
    </cfRule>
  </conditionalFormatting>
  <conditionalFormatting sqref="E250">
    <cfRule type="expression" dxfId="9718" priority="1474">
      <formula>B250=""</formula>
    </cfRule>
  </conditionalFormatting>
  <conditionalFormatting sqref="E252 E254 E256 E258 E260 E262 E264 E266 E268 E270">
    <cfRule type="expression" dxfId="9717" priority="1473">
      <formula>B252=""</formula>
    </cfRule>
  </conditionalFormatting>
  <conditionalFormatting sqref="E253 E255 E257 E259 E261 E263 E265 E267 E269 E271">
    <cfRule type="expression" dxfId="9716" priority="1472">
      <formula>B253=""</formula>
    </cfRule>
  </conditionalFormatting>
  <conditionalFormatting sqref="E254:E264">
    <cfRule type="expression" dxfId="9715" priority="1471">
      <formula>B254=""</formula>
    </cfRule>
  </conditionalFormatting>
  <conditionalFormatting sqref="E265">
    <cfRule type="expression" dxfId="9714" priority="1470">
      <formula>B265=""</formula>
    </cfRule>
  </conditionalFormatting>
  <conditionalFormatting sqref="E266">
    <cfRule type="expression" dxfId="9713" priority="1469">
      <formula>B266=""</formula>
    </cfRule>
  </conditionalFormatting>
  <conditionalFormatting sqref="E267">
    <cfRule type="expression" dxfId="9712" priority="1468">
      <formula>B267=""</formula>
    </cfRule>
  </conditionalFormatting>
  <conditionalFormatting sqref="E268">
    <cfRule type="expression" dxfId="9711" priority="1467">
      <formula>B268=""</formula>
    </cfRule>
  </conditionalFormatting>
  <conditionalFormatting sqref="E269">
    <cfRule type="expression" dxfId="9710" priority="1466">
      <formula>B269=""</formula>
    </cfRule>
  </conditionalFormatting>
  <conditionalFormatting sqref="E270">
    <cfRule type="expression" dxfId="9709" priority="1465">
      <formula>B270=""</formula>
    </cfRule>
  </conditionalFormatting>
  <conditionalFormatting sqref="E271">
    <cfRule type="expression" dxfId="9708" priority="1464">
      <formula>B271=""</formula>
    </cfRule>
  </conditionalFormatting>
  <conditionalFormatting sqref="E272">
    <cfRule type="expression" dxfId="9707" priority="1463">
      <formula>B272=""</formula>
    </cfRule>
  </conditionalFormatting>
  <conditionalFormatting sqref="E253 E255 E257 E259 E261 E263 E265 E267 E269 E271">
    <cfRule type="expression" dxfId="9706" priority="1462">
      <formula>B253=""</formula>
    </cfRule>
  </conditionalFormatting>
  <conditionalFormatting sqref="E254:E264">
    <cfRule type="expression" dxfId="9705" priority="1461">
      <formula>B254=""</formula>
    </cfRule>
  </conditionalFormatting>
  <conditionalFormatting sqref="E265">
    <cfRule type="expression" dxfId="9704" priority="1460">
      <formula>B265=""</formula>
    </cfRule>
  </conditionalFormatting>
  <conditionalFormatting sqref="E266">
    <cfRule type="expression" dxfId="9703" priority="1459">
      <formula>B266=""</formula>
    </cfRule>
  </conditionalFormatting>
  <conditionalFormatting sqref="E267">
    <cfRule type="expression" dxfId="9702" priority="1458">
      <formula>B267=""</formula>
    </cfRule>
  </conditionalFormatting>
  <conditionalFormatting sqref="E268">
    <cfRule type="expression" dxfId="9701" priority="1457">
      <formula>B268=""</formula>
    </cfRule>
  </conditionalFormatting>
  <conditionalFormatting sqref="E269">
    <cfRule type="expression" dxfId="9700" priority="1456">
      <formula>B269=""</formula>
    </cfRule>
  </conditionalFormatting>
  <conditionalFormatting sqref="E270">
    <cfRule type="expression" dxfId="9699" priority="1455">
      <formula>B270=""</formula>
    </cfRule>
  </conditionalFormatting>
  <conditionalFormatting sqref="E271">
    <cfRule type="expression" dxfId="9698" priority="1454">
      <formula>B271=""</formula>
    </cfRule>
  </conditionalFormatting>
  <conditionalFormatting sqref="E272">
    <cfRule type="expression" dxfId="9697" priority="1453">
      <formula>B272=""</formula>
    </cfRule>
  </conditionalFormatting>
  <conditionalFormatting sqref="E274 E276 E278 E280 E282 E284 E286 E288 E290 E292">
    <cfRule type="expression" dxfId="9696" priority="1452">
      <formula>B274=""</formula>
    </cfRule>
  </conditionalFormatting>
  <conditionalFormatting sqref="E275 E277 E279 E281 E283 E285 E287 E289 E291 E293">
    <cfRule type="expression" dxfId="9695" priority="1451">
      <formula>B275=""</formula>
    </cfRule>
  </conditionalFormatting>
  <conditionalFormatting sqref="E276:E286">
    <cfRule type="expression" dxfId="9694" priority="1450">
      <formula>B276=""</formula>
    </cfRule>
  </conditionalFormatting>
  <conditionalFormatting sqref="E287">
    <cfRule type="expression" dxfId="9693" priority="1449">
      <formula>B287=""</formula>
    </cfRule>
  </conditionalFormatting>
  <conditionalFormatting sqref="E288">
    <cfRule type="expression" dxfId="9692" priority="1448">
      <formula>B288=""</formula>
    </cfRule>
  </conditionalFormatting>
  <conditionalFormatting sqref="E289">
    <cfRule type="expression" dxfId="9691" priority="1447">
      <formula>B289=""</formula>
    </cfRule>
  </conditionalFormatting>
  <conditionalFormatting sqref="E290">
    <cfRule type="expression" dxfId="9690" priority="1446">
      <formula>B290=""</formula>
    </cfRule>
  </conditionalFormatting>
  <conditionalFormatting sqref="E291">
    <cfRule type="expression" dxfId="9689" priority="1445">
      <formula>B291=""</formula>
    </cfRule>
  </conditionalFormatting>
  <conditionalFormatting sqref="E292">
    <cfRule type="expression" dxfId="9688" priority="1444">
      <formula>B292=""</formula>
    </cfRule>
  </conditionalFormatting>
  <conditionalFormatting sqref="E293">
    <cfRule type="expression" dxfId="9687" priority="1443">
      <formula>B293=""</formula>
    </cfRule>
  </conditionalFormatting>
  <conditionalFormatting sqref="E294">
    <cfRule type="expression" dxfId="9686" priority="1442">
      <formula>B294=""</formula>
    </cfRule>
  </conditionalFormatting>
  <conditionalFormatting sqref="E275 E277 E279 E281 E283 E285 E287 E289 E291 E293">
    <cfRule type="expression" dxfId="9685" priority="1441">
      <formula>B275=""</formula>
    </cfRule>
  </conditionalFormatting>
  <conditionalFormatting sqref="E276:E286">
    <cfRule type="expression" dxfId="9684" priority="1440">
      <formula>B276=""</formula>
    </cfRule>
  </conditionalFormatting>
  <conditionalFormatting sqref="E287">
    <cfRule type="expression" dxfId="9683" priority="1439">
      <formula>B287=""</formula>
    </cfRule>
  </conditionalFormatting>
  <conditionalFormatting sqref="E288">
    <cfRule type="expression" dxfId="9682" priority="1438">
      <formula>B288=""</formula>
    </cfRule>
  </conditionalFormatting>
  <conditionalFormatting sqref="E289">
    <cfRule type="expression" dxfId="9681" priority="1437">
      <formula>B289=""</formula>
    </cfRule>
  </conditionalFormatting>
  <conditionalFormatting sqref="E290">
    <cfRule type="expression" dxfId="9680" priority="1436">
      <formula>B290=""</formula>
    </cfRule>
  </conditionalFormatting>
  <conditionalFormatting sqref="E291">
    <cfRule type="expression" dxfId="9679" priority="1435">
      <formula>B291=""</formula>
    </cfRule>
  </conditionalFormatting>
  <conditionalFormatting sqref="E292">
    <cfRule type="expression" dxfId="9678" priority="1434">
      <formula>B292=""</formula>
    </cfRule>
  </conditionalFormatting>
  <conditionalFormatting sqref="E293">
    <cfRule type="expression" dxfId="9677" priority="1433">
      <formula>B293=""</formula>
    </cfRule>
  </conditionalFormatting>
  <conditionalFormatting sqref="E294">
    <cfRule type="expression" dxfId="9676" priority="1432">
      <formula>B294=""</formula>
    </cfRule>
  </conditionalFormatting>
  <conditionalFormatting sqref="E208:E227">
    <cfRule type="expression" dxfId="9675" priority="1431">
      <formula>B208=""</formula>
    </cfRule>
  </conditionalFormatting>
  <conditionalFormatting sqref="E209 E211 E213 E215 E217 E219 E221 E223 E225 E227">
    <cfRule type="expression" dxfId="9674" priority="1430">
      <formula>B209=""</formula>
    </cfRule>
  </conditionalFormatting>
  <conditionalFormatting sqref="E210:E220">
    <cfRule type="expression" dxfId="9673" priority="1429">
      <formula>B210=""</formula>
    </cfRule>
  </conditionalFormatting>
  <conditionalFormatting sqref="E221">
    <cfRule type="expression" dxfId="9672" priority="1428">
      <formula>B221=""</formula>
    </cfRule>
  </conditionalFormatting>
  <conditionalFormatting sqref="E222">
    <cfRule type="expression" dxfId="9671" priority="1427">
      <formula>B222=""</formula>
    </cfRule>
  </conditionalFormatting>
  <conditionalFormatting sqref="E223">
    <cfRule type="expression" dxfId="9670" priority="1426">
      <formula>B223=""</formula>
    </cfRule>
  </conditionalFormatting>
  <conditionalFormatting sqref="E224">
    <cfRule type="expression" dxfId="9669" priority="1425">
      <formula>B224=""</formula>
    </cfRule>
  </conditionalFormatting>
  <conditionalFormatting sqref="E225">
    <cfRule type="expression" dxfId="9668" priority="1424">
      <formula>B225=""</formula>
    </cfRule>
  </conditionalFormatting>
  <conditionalFormatting sqref="E226">
    <cfRule type="expression" dxfId="9667" priority="1423">
      <formula>B226=""</formula>
    </cfRule>
  </conditionalFormatting>
  <conditionalFormatting sqref="E227">
    <cfRule type="expression" dxfId="9666" priority="1422">
      <formula>B227=""</formula>
    </cfRule>
  </conditionalFormatting>
  <conditionalFormatting sqref="E209 E211 E213 E215 E217 E219 E221 E223 E225 E227">
    <cfRule type="expression" dxfId="9665" priority="1421">
      <formula>B209=""</formula>
    </cfRule>
  </conditionalFormatting>
  <conditionalFormatting sqref="E210:E220">
    <cfRule type="expression" dxfId="9664" priority="1420">
      <formula>B210=""</formula>
    </cfRule>
  </conditionalFormatting>
  <conditionalFormatting sqref="E221">
    <cfRule type="expression" dxfId="9663" priority="1419">
      <formula>B221=""</formula>
    </cfRule>
  </conditionalFormatting>
  <conditionalFormatting sqref="E222">
    <cfRule type="expression" dxfId="9662" priority="1418">
      <formula>B222=""</formula>
    </cfRule>
  </conditionalFormatting>
  <conditionalFormatting sqref="E223">
    <cfRule type="expression" dxfId="9661" priority="1417">
      <formula>B223=""</formula>
    </cfRule>
  </conditionalFormatting>
  <conditionalFormatting sqref="E224">
    <cfRule type="expression" dxfId="9660" priority="1416">
      <formula>B224=""</formula>
    </cfRule>
  </conditionalFormatting>
  <conditionalFormatting sqref="E225">
    <cfRule type="expression" dxfId="9659" priority="1415">
      <formula>B225=""</formula>
    </cfRule>
  </conditionalFormatting>
  <conditionalFormatting sqref="E226">
    <cfRule type="expression" dxfId="9658" priority="1414">
      <formula>B226=""</formula>
    </cfRule>
  </conditionalFormatting>
  <conditionalFormatting sqref="E227">
    <cfRule type="expression" dxfId="9657" priority="1413">
      <formula>B227=""</formula>
    </cfRule>
  </conditionalFormatting>
  <conditionalFormatting sqref="E230 E232 E234 E236 E238 E240 E242 E244 E246 E248">
    <cfRule type="expression" dxfId="9656" priority="1412">
      <formula>B230=""</formula>
    </cfRule>
  </conditionalFormatting>
  <conditionalFormatting sqref="E231 E233 E235 E237 E239 E241 E243 E245 E247 E249">
    <cfRule type="expression" dxfId="9655" priority="1411">
      <formula>B231=""</formula>
    </cfRule>
  </conditionalFormatting>
  <conditionalFormatting sqref="E232:E242">
    <cfRule type="expression" dxfId="9654" priority="1410">
      <formula>B232=""</formula>
    </cfRule>
  </conditionalFormatting>
  <conditionalFormatting sqref="E243">
    <cfRule type="expression" dxfId="9653" priority="1409">
      <formula>B243=""</formula>
    </cfRule>
  </conditionalFormatting>
  <conditionalFormatting sqref="E244">
    <cfRule type="expression" dxfId="9652" priority="1408">
      <formula>B244=""</formula>
    </cfRule>
  </conditionalFormatting>
  <conditionalFormatting sqref="E245">
    <cfRule type="expression" dxfId="9651" priority="1407">
      <formula>B245=""</formula>
    </cfRule>
  </conditionalFormatting>
  <conditionalFormatting sqref="E246">
    <cfRule type="expression" dxfId="9650" priority="1406">
      <formula>B246=""</formula>
    </cfRule>
  </conditionalFormatting>
  <conditionalFormatting sqref="E247">
    <cfRule type="expression" dxfId="9649" priority="1405">
      <formula>B247=""</formula>
    </cfRule>
  </conditionalFormatting>
  <conditionalFormatting sqref="E248">
    <cfRule type="expression" dxfId="9648" priority="1404">
      <formula>B248=""</formula>
    </cfRule>
  </conditionalFormatting>
  <conditionalFormatting sqref="E249">
    <cfRule type="expression" dxfId="9647" priority="1403">
      <formula>B249=""</formula>
    </cfRule>
  </conditionalFormatting>
  <conditionalFormatting sqref="E231 E233 E235 E237 E239 E241 E243 E245 E247 E249">
    <cfRule type="expression" dxfId="9646" priority="1402">
      <formula>B231=""</formula>
    </cfRule>
  </conditionalFormatting>
  <conditionalFormatting sqref="E232:E242">
    <cfRule type="expression" dxfId="9645" priority="1401">
      <formula>B232=""</formula>
    </cfRule>
  </conditionalFormatting>
  <conditionalFormatting sqref="E243">
    <cfRule type="expression" dxfId="9644" priority="1400">
      <formula>B243=""</formula>
    </cfRule>
  </conditionalFormatting>
  <conditionalFormatting sqref="E244">
    <cfRule type="expression" dxfId="9643" priority="1399">
      <formula>B244=""</formula>
    </cfRule>
  </conditionalFormatting>
  <conditionalFormatting sqref="E245">
    <cfRule type="expression" dxfId="9642" priority="1398">
      <formula>B245=""</formula>
    </cfRule>
  </conditionalFormatting>
  <conditionalFormatting sqref="E246">
    <cfRule type="expression" dxfId="9641" priority="1397">
      <formula>B246=""</formula>
    </cfRule>
  </conditionalFormatting>
  <conditionalFormatting sqref="E247">
    <cfRule type="expression" dxfId="9640" priority="1396">
      <formula>B247=""</formula>
    </cfRule>
  </conditionalFormatting>
  <conditionalFormatting sqref="E248">
    <cfRule type="expression" dxfId="9639" priority="1395">
      <formula>B248=""</formula>
    </cfRule>
  </conditionalFormatting>
  <conditionalFormatting sqref="E249">
    <cfRule type="expression" dxfId="9638" priority="1394">
      <formula>B249=""</formula>
    </cfRule>
  </conditionalFormatting>
  <conditionalFormatting sqref="E230:E249">
    <cfRule type="expression" dxfId="9637" priority="1393">
      <formula>B230=""</formula>
    </cfRule>
  </conditionalFormatting>
  <conditionalFormatting sqref="E231 E233 E235 E237 E239 E241 E243 E245 E247 E249">
    <cfRule type="expression" dxfId="9636" priority="1392">
      <formula>B231=""</formula>
    </cfRule>
  </conditionalFormatting>
  <conditionalFormatting sqref="E232:E242">
    <cfRule type="expression" dxfId="9635" priority="1391">
      <formula>B232=""</formula>
    </cfRule>
  </conditionalFormatting>
  <conditionalFormatting sqref="E243">
    <cfRule type="expression" dxfId="9634" priority="1390">
      <formula>B243=""</formula>
    </cfRule>
  </conditionalFormatting>
  <conditionalFormatting sqref="E244">
    <cfRule type="expression" dxfId="9633" priority="1389">
      <formula>B244=""</formula>
    </cfRule>
  </conditionalFormatting>
  <conditionalFormatting sqref="E245">
    <cfRule type="expression" dxfId="9632" priority="1388">
      <formula>B245=""</formula>
    </cfRule>
  </conditionalFormatting>
  <conditionalFormatting sqref="E246">
    <cfRule type="expression" dxfId="9631" priority="1387">
      <formula>B246=""</formula>
    </cfRule>
  </conditionalFormatting>
  <conditionalFormatting sqref="E247">
    <cfRule type="expression" dxfId="9630" priority="1386">
      <formula>B247=""</formula>
    </cfRule>
  </conditionalFormatting>
  <conditionalFormatting sqref="E248">
    <cfRule type="expression" dxfId="9629" priority="1385">
      <formula>B248=""</formula>
    </cfRule>
  </conditionalFormatting>
  <conditionalFormatting sqref="E249">
    <cfRule type="expression" dxfId="9628" priority="1384">
      <formula>B249=""</formula>
    </cfRule>
  </conditionalFormatting>
  <conditionalFormatting sqref="E231 E233 E235 E237 E239 E241 E243 E245 E247 E249">
    <cfRule type="expression" dxfId="9627" priority="1383">
      <formula>B231=""</formula>
    </cfRule>
  </conditionalFormatting>
  <conditionalFormatting sqref="E232:E242">
    <cfRule type="expression" dxfId="9626" priority="1382">
      <formula>B232=""</formula>
    </cfRule>
  </conditionalFormatting>
  <conditionalFormatting sqref="E243">
    <cfRule type="expression" dxfId="9625" priority="1381">
      <formula>B243=""</formula>
    </cfRule>
  </conditionalFormatting>
  <conditionalFormatting sqref="E244">
    <cfRule type="expression" dxfId="9624" priority="1380">
      <formula>B244=""</formula>
    </cfRule>
  </conditionalFormatting>
  <conditionalFormatting sqref="E245">
    <cfRule type="expression" dxfId="9623" priority="1379">
      <formula>B245=""</formula>
    </cfRule>
  </conditionalFormatting>
  <conditionalFormatting sqref="E246">
    <cfRule type="expression" dxfId="9622" priority="1378">
      <formula>B246=""</formula>
    </cfRule>
  </conditionalFormatting>
  <conditionalFormatting sqref="E247">
    <cfRule type="expression" dxfId="9621" priority="1377">
      <formula>B247=""</formula>
    </cfRule>
  </conditionalFormatting>
  <conditionalFormatting sqref="E248">
    <cfRule type="expression" dxfId="9620" priority="1376">
      <formula>B248=""</formula>
    </cfRule>
  </conditionalFormatting>
  <conditionalFormatting sqref="E249">
    <cfRule type="expression" dxfId="9619" priority="1375">
      <formula>B249=""</formula>
    </cfRule>
  </conditionalFormatting>
  <conditionalFormatting sqref="E208 E210 E212 E214 E216 E218 E220 E222 E224 E226">
    <cfRule type="expression" dxfId="9618" priority="1374">
      <formula>B208=""</formula>
    </cfRule>
  </conditionalFormatting>
  <conditionalFormatting sqref="E209 E211 E213 E215 E217 E219 E221 E223 E225 E227">
    <cfRule type="expression" dxfId="9617" priority="1373">
      <formula>B209=""</formula>
    </cfRule>
  </conditionalFormatting>
  <conditionalFormatting sqref="E210:E220">
    <cfRule type="expression" dxfId="9616" priority="1372">
      <formula>B210=""</formula>
    </cfRule>
  </conditionalFormatting>
  <conditionalFormatting sqref="E221:E223">
    <cfRule type="expression" dxfId="9615" priority="1371">
      <formula>B221=""</formula>
    </cfRule>
  </conditionalFormatting>
  <conditionalFormatting sqref="E222">
    <cfRule type="expression" dxfId="9614" priority="1370">
      <formula>B222=""</formula>
    </cfRule>
  </conditionalFormatting>
  <conditionalFormatting sqref="E223">
    <cfRule type="expression" dxfId="9613" priority="1369">
      <formula>B223=""</formula>
    </cfRule>
  </conditionalFormatting>
  <conditionalFormatting sqref="E224">
    <cfRule type="expression" dxfId="9612" priority="1368">
      <formula>B224=""</formula>
    </cfRule>
  </conditionalFormatting>
  <conditionalFormatting sqref="E225">
    <cfRule type="expression" dxfId="9611" priority="1367">
      <formula>B225=""</formula>
    </cfRule>
  </conditionalFormatting>
  <conditionalFormatting sqref="E226">
    <cfRule type="expression" dxfId="9610" priority="1366">
      <formula>B226=""</formula>
    </cfRule>
  </conditionalFormatting>
  <conditionalFormatting sqref="E227:E228">
    <cfRule type="expression" dxfId="9609" priority="1365">
      <formula>B227=""</formula>
    </cfRule>
  </conditionalFormatting>
  <conditionalFormatting sqref="E228">
    <cfRule type="expression" dxfId="9608" priority="1364">
      <formula>B228=""</formula>
    </cfRule>
  </conditionalFormatting>
  <conditionalFormatting sqref="E209 E211 E213 E215 E217 E219 E221 E223 E225 E227">
    <cfRule type="expression" dxfId="9607" priority="1363">
      <formula>B209=""</formula>
    </cfRule>
  </conditionalFormatting>
  <conditionalFormatting sqref="E210:E220">
    <cfRule type="expression" dxfId="9606" priority="1362">
      <formula>B210=""</formula>
    </cfRule>
  </conditionalFormatting>
  <conditionalFormatting sqref="E221:E223">
    <cfRule type="expression" dxfId="9605" priority="1361">
      <formula>B221=""</formula>
    </cfRule>
  </conditionalFormatting>
  <conditionalFormatting sqref="E222">
    <cfRule type="expression" dxfId="9604" priority="1360">
      <formula>B222=""</formula>
    </cfRule>
  </conditionalFormatting>
  <conditionalFormatting sqref="E223">
    <cfRule type="expression" dxfId="9603" priority="1359">
      <formula>B223=""</formula>
    </cfRule>
  </conditionalFormatting>
  <conditionalFormatting sqref="E224">
    <cfRule type="expression" dxfId="9602" priority="1358">
      <formula>B224=""</formula>
    </cfRule>
  </conditionalFormatting>
  <conditionalFormatting sqref="E225">
    <cfRule type="expression" dxfId="9601" priority="1357">
      <formula>B225=""</formula>
    </cfRule>
  </conditionalFormatting>
  <conditionalFormatting sqref="E226">
    <cfRule type="expression" dxfId="9600" priority="1356">
      <formula>B226=""</formula>
    </cfRule>
  </conditionalFormatting>
  <conditionalFormatting sqref="E227:E228">
    <cfRule type="expression" dxfId="9599" priority="1355">
      <formula>B227=""</formula>
    </cfRule>
  </conditionalFormatting>
  <conditionalFormatting sqref="E228">
    <cfRule type="expression" dxfId="9598" priority="1354">
      <formula>B228=""</formula>
    </cfRule>
  </conditionalFormatting>
  <conditionalFormatting sqref="E230 E232 E234 E236 E238 E240 E242 E244 E246 E248">
    <cfRule type="expression" dxfId="9597" priority="1353">
      <formula>B230=""</formula>
    </cfRule>
  </conditionalFormatting>
  <conditionalFormatting sqref="E231 E233 E235 E237 E239 E241 E243 E245 E247 E249">
    <cfRule type="expression" dxfId="9596" priority="1352">
      <formula>B231=""</formula>
    </cfRule>
  </conditionalFormatting>
  <conditionalFormatting sqref="E232:E242">
    <cfRule type="expression" dxfId="9595" priority="1351">
      <formula>B232=""</formula>
    </cfRule>
  </conditionalFormatting>
  <conditionalFormatting sqref="E243">
    <cfRule type="expression" dxfId="9594" priority="1350">
      <formula>B243=""</formula>
    </cfRule>
  </conditionalFormatting>
  <conditionalFormatting sqref="E244">
    <cfRule type="expression" dxfId="9593" priority="1349">
      <formula>B244=""</formula>
    </cfRule>
  </conditionalFormatting>
  <conditionalFormatting sqref="E245">
    <cfRule type="expression" dxfId="9592" priority="1348">
      <formula>B245=""</formula>
    </cfRule>
  </conditionalFormatting>
  <conditionalFormatting sqref="E246">
    <cfRule type="expression" dxfId="9591" priority="1347">
      <formula>B246=""</formula>
    </cfRule>
  </conditionalFormatting>
  <conditionalFormatting sqref="E247">
    <cfRule type="expression" dxfId="9590" priority="1346">
      <formula>B247=""</formula>
    </cfRule>
  </conditionalFormatting>
  <conditionalFormatting sqref="E248">
    <cfRule type="expression" dxfId="9589" priority="1345">
      <formula>B248=""</formula>
    </cfRule>
  </conditionalFormatting>
  <conditionalFormatting sqref="E249:E250">
    <cfRule type="expression" dxfId="9588" priority="1344">
      <formula>B249=""</formula>
    </cfRule>
  </conditionalFormatting>
  <conditionalFormatting sqref="E250">
    <cfRule type="expression" dxfId="9587" priority="1343">
      <formula>B250=""</formula>
    </cfRule>
  </conditionalFormatting>
  <conditionalFormatting sqref="E231 E233 E235 E237 E239 E241 E243 E245 E247 E249">
    <cfRule type="expression" dxfId="9586" priority="1342">
      <formula>B231=""</formula>
    </cfRule>
  </conditionalFormatting>
  <conditionalFormatting sqref="E232:E242">
    <cfRule type="expression" dxfId="9585" priority="1341">
      <formula>B232=""</formula>
    </cfRule>
  </conditionalFormatting>
  <conditionalFormatting sqref="E243">
    <cfRule type="expression" dxfId="9584" priority="1340">
      <formula>B243=""</formula>
    </cfRule>
  </conditionalFormatting>
  <conditionalFormatting sqref="E244">
    <cfRule type="expression" dxfId="9583" priority="1339">
      <formula>B244=""</formula>
    </cfRule>
  </conditionalFormatting>
  <conditionalFormatting sqref="E245">
    <cfRule type="expression" dxfId="9582" priority="1338">
      <formula>B245=""</formula>
    </cfRule>
  </conditionalFormatting>
  <conditionalFormatting sqref="E246">
    <cfRule type="expression" dxfId="9581" priority="1337">
      <formula>B246=""</formula>
    </cfRule>
  </conditionalFormatting>
  <conditionalFormatting sqref="E247">
    <cfRule type="expression" dxfId="9580" priority="1336">
      <formula>B247=""</formula>
    </cfRule>
  </conditionalFormatting>
  <conditionalFormatting sqref="E248">
    <cfRule type="expression" dxfId="9579" priority="1335">
      <formula>B248=""</formula>
    </cfRule>
  </conditionalFormatting>
  <conditionalFormatting sqref="E249:E250">
    <cfRule type="expression" dxfId="9578" priority="1334">
      <formula>B249=""</formula>
    </cfRule>
  </conditionalFormatting>
  <conditionalFormatting sqref="E250">
    <cfRule type="expression" dxfId="9577" priority="1333">
      <formula>B250=""</formula>
    </cfRule>
  </conditionalFormatting>
  <conditionalFormatting sqref="E252:E272">
    <cfRule type="expression" dxfId="9576" priority="1332">
      <formula>B252=""</formula>
    </cfRule>
  </conditionalFormatting>
  <conditionalFormatting sqref="E253 E255 E257 E259 E261 E263 E265 E267 E269 E271">
    <cfRule type="expression" dxfId="9575" priority="1331">
      <formula>B253=""</formula>
    </cfRule>
  </conditionalFormatting>
  <conditionalFormatting sqref="E254:E264">
    <cfRule type="expression" dxfId="9574" priority="1330">
      <formula>B254=""</formula>
    </cfRule>
  </conditionalFormatting>
  <conditionalFormatting sqref="E265">
    <cfRule type="expression" dxfId="9573" priority="1329">
      <formula>B265=""</formula>
    </cfRule>
  </conditionalFormatting>
  <conditionalFormatting sqref="E266">
    <cfRule type="expression" dxfId="9572" priority="1328">
      <formula>B266=""</formula>
    </cfRule>
  </conditionalFormatting>
  <conditionalFormatting sqref="E267">
    <cfRule type="expression" dxfId="9571" priority="1327">
      <formula>B267=""</formula>
    </cfRule>
  </conditionalFormatting>
  <conditionalFormatting sqref="E268">
    <cfRule type="expression" dxfId="9570" priority="1326">
      <formula>B268=""</formula>
    </cfRule>
  </conditionalFormatting>
  <conditionalFormatting sqref="E269">
    <cfRule type="expression" dxfId="9569" priority="1325">
      <formula>B269=""</formula>
    </cfRule>
  </conditionalFormatting>
  <conditionalFormatting sqref="E270">
    <cfRule type="expression" dxfId="9568" priority="1324">
      <formula>B270=""</formula>
    </cfRule>
  </conditionalFormatting>
  <conditionalFormatting sqref="E271">
    <cfRule type="expression" dxfId="9567" priority="1323">
      <formula>B271=""</formula>
    </cfRule>
  </conditionalFormatting>
  <conditionalFormatting sqref="E272">
    <cfRule type="expression" dxfId="9566" priority="1322">
      <formula>B272=""</formula>
    </cfRule>
  </conditionalFormatting>
  <conditionalFormatting sqref="E253 E255 E257 E259 E261 E263 E265 E267 E269 E271">
    <cfRule type="expression" dxfId="9565" priority="1321">
      <formula>B253=""</formula>
    </cfRule>
  </conditionalFormatting>
  <conditionalFormatting sqref="E254:E264">
    <cfRule type="expression" dxfId="9564" priority="1320">
      <formula>B254=""</formula>
    </cfRule>
  </conditionalFormatting>
  <conditionalFormatting sqref="E265">
    <cfRule type="expression" dxfId="9563" priority="1319">
      <formula>B265=""</formula>
    </cfRule>
  </conditionalFormatting>
  <conditionalFormatting sqref="E266">
    <cfRule type="expression" dxfId="9562" priority="1318">
      <formula>B266=""</formula>
    </cfRule>
  </conditionalFormatting>
  <conditionalFormatting sqref="E267">
    <cfRule type="expression" dxfId="9561" priority="1317">
      <formula>B267=""</formula>
    </cfRule>
  </conditionalFormatting>
  <conditionalFormatting sqref="E268">
    <cfRule type="expression" dxfId="9560" priority="1316">
      <formula>B268=""</formula>
    </cfRule>
  </conditionalFormatting>
  <conditionalFormatting sqref="E269">
    <cfRule type="expression" dxfId="9559" priority="1315">
      <formula>B269=""</formula>
    </cfRule>
  </conditionalFormatting>
  <conditionalFormatting sqref="E270">
    <cfRule type="expression" dxfId="9558" priority="1314">
      <formula>B270=""</formula>
    </cfRule>
  </conditionalFormatting>
  <conditionalFormatting sqref="E271">
    <cfRule type="expression" dxfId="9557" priority="1313">
      <formula>B271=""</formula>
    </cfRule>
  </conditionalFormatting>
  <conditionalFormatting sqref="E272">
    <cfRule type="expression" dxfId="9556" priority="1312">
      <formula>B272=""</formula>
    </cfRule>
  </conditionalFormatting>
  <conditionalFormatting sqref="E274 E276 E278 E280 E282 E284 E286 E288 E290 E292">
    <cfRule type="expression" dxfId="9555" priority="1311">
      <formula>B274=""</formula>
    </cfRule>
  </conditionalFormatting>
  <conditionalFormatting sqref="E275 E277 E279 E281 E283 E285 E287 E289 E291 E293">
    <cfRule type="expression" dxfId="9554" priority="1310">
      <formula>B275=""</formula>
    </cfRule>
  </conditionalFormatting>
  <conditionalFormatting sqref="E276:E286">
    <cfRule type="expression" dxfId="9553" priority="1309">
      <formula>B276=""</formula>
    </cfRule>
  </conditionalFormatting>
  <conditionalFormatting sqref="E287">
    <cfRule type="expression" dxfId="9552" priority="1308">
      <formula>B287=""</formula>
    </cfRule>
  </conditionalFormatting>
  <conditionalFormatting sqref="E288">
    <cfRule type="expression" dxfId="9551" priority="1307">
      <formula>B288=""</formula>
    </cfRule>
  </conditionalFormatting>
  <conditionalFormatting sqref="E289">
    <cfRule type="expression" dxfId="9550" priority="1306">
      <formula>B289=""</formula>
    </cfRule>
  </conditionalFormatting>
  <conditionalFormatting sqref="E290">
    <cfRule type="expression" dxfId="9549" priority="1305">
      <formula>B290=""</formula>
    </cfRule>
  </conditionalFormatting>
  <conditionalFormatting sqref="E291">
    <cfRule type="expression" dxfId="9548" priority="1304">
      <formula>B291=""</formula>
    </cfRule>
  </conditionalFormatting>
  <conditionalFormatting sqref="E292">
    <cfRule type="expression" dxfId="9547" priority="1303">
      <formula>B292=""</formula>
    </cfRule>
  </conditionalFormatting>
  <conditionalFormatting sqref="E293">
    <cfRule type="expression" dxfId="9546" priority="1302">
      <formula>B293=""</formula>
    </cfRule>
  </conditionalFormatting>
  <conditionalFormatting sqref="E294">
    <cfRule type="expression" dxfId="9545" priority="1301">
      <formula>B294=""</formula>
    </cfRule>
  </conditionalFormatting>
  <conditionalFormatting sqref="E275 E277 E279 E281 E283 E285 E287 E289 E291 E293">
    <cfRule type="expression" dxfId="9544" priority="1300">
      <formula>B275=""</formula>
    </cfRule>
  </conditionalFormatting>
  <conditionalFormatting sqref="E276:E286">
    <cfRule type="expression" dxfId="9543" priority="1299">
      <formula>B276=""</formula>
    </cfRule>
  </conditionalFormatting>
  <conditionalFormatting sqref="E287">
    <cfRule type="expression" dxfId="9542" priority="1298">
      <formula>B287=""</formula>
    </cfRule>
  </conditionalFormatting>
  <conditionalFormatting sqref="E288">
    <cfRule type="expression" dxfId="9541" priority="1297">
      <formula>B288=""</formula>
    </cfRule>
  </conditionalFormatting>
  <conditionalFormatting sqref="E289">
    <cfRule type="expression" dxfId="9540" priority="1296">
      <formula>B289=""</formula>
    </cfRule>
  </conditionalFormatting>
  <conditionalFormatting sqref="E290">
    <cfRule type="expression" dxfId="9539" priority="1295">
      <formula>B290=""</formula>
    </cfRule>
  </conditionalFormatting>
  <conditionalFormatting sqref="E291">
    <cfRule type="expression" dxfId="9538" priority="1294">
      <formula>B291=""</formula>
    </cfRule>
  </conditionalFormatting>
  <conditionalFormatting sqref="E292">
    <cfRule type="expression" dxfId="9537" priority="1293">
      <formula>B292=""</formula>
    </cfRule>
  </conditionalFormatting>
  <conditionalFormatting sqref="E293">
    <cfRule type="expression" dxfId="9536" priority="1292">
      <formula>B293=""</formula>
    </cfRule>
  </conditionalFormatting>
  <conditionalFormatting sqref="E294">
    <cfRule type="expression" dxfId="9535" priority="1291">
      <formula>B294=""</formula>
    </cfRule>
  </conditionalFormatting>
  <conditionalFormatting sqref="E208:E228">
    <cfRule type="expression" dxfId="9534" priority="1290">
      <formula>B208=""</formula>
    </cfRule>
  </conditionalFormatting>
  <conditionalFormatting sqref="E209 E211 E213 E215 E217 E219 E221 E223 E225 E227">
    <cfRule type="expression" dxfId="9533" priority="1289">
      <formula>B209=""</formula>
    </cfRule>
  </conditionalFormatting>
  <conditionalFormatting sqref="E210:E220">
    <cfRule type="expression" dxfId="9532" priority="1288">
      <formula>B210=""</formula>
    </cfRule>
  </conditionalFormatting>
  <conditionalFormatting sqref="E221:E223">
    <cfRule type="expression" dxfId="9531" priority="1287">
      <formula>B221=""</formula>
    </cfRule>
  </conditionalFormatting>
  <conditionalFormatting sqref="E222">
    <cfRule type="expression" dxfId="9530" priority="1286">
      <formula>B222=""</formula>
    </cfRule>
  </conditionalFormatting>
  <conditionalFormatting sqref="E223">
    <cfRule type="expression" dxfId="9529" priority="1285">
      <formula>B223=""</formula>
    </cfRule>
  </conditionalFormatting>
  <conditionalFormatting sqref="E224">
    <cfRule type="expression" dxfId="9528" priority="1284">
      <formula>B224=""</formula>
    </cfRule>
  </conditionalFormatting>
  <conditionalFormatting sqref="E225">
    <cfRule type="expression" dxfId="9527" priority="1283">
      <formula>B225=""</formula>
    </cfRule>
  </conditionalFormatting>
  <conditionalFormatting sqref="E226">
    <cfRule type="expression" dxfId="9526" priority="1282">
      <formula>B226=""</formula>
    </cfRule>
  </conditionalFormatting>
  <conditionalFormatting sqref="E227:E228">
    <cfRule type="expression" dxfId="9525" priority="1281">
      <formula>B227=""</formula>
    </cfRule>
  </conditionalFormatting>
  <conditionalFormatting sqref="E209 E211 E213 E215 E217 E219 E221 E223 E225 E227">
    <cfRule type="expression" dxfId="9524" priority="1280">
      <formula>B209=""</formula>
    </cfRule>
  </conditionalFormatting>
  <conditionalFormatting sqref="E210:E220">
    <cfRule type="expression" dxfId="9523" priority="1279">
      <formula>B210=""</formula>
    </cfRule>
  </conditionalFormatting>
  <conditionalFormatting sqref="E221:E223">
    <cfRule type="expression" dxfId="9522" priority="1278">
      <formula>B221=""</formula>
    </cfRule>
  </conditionalFormatting>
  <conditionalFormatting sqref="E222">
    <cfRule type="expression" dxfId="9521" priority="1277">
      <formula>B222=""</formula>
    </cfRule>
  </conditionalFormatting>
  <conditionalFormatting sqref="E223">
    <cfRule type="expression" dxfId="9520" priority="1276">
      <formula>B223=""</formula>
    </cfRule>
  </conditionalFormatting>
  <conditionalFormatting sqref="E224">
    <cfRule type="expression" dxfId="9519" priority="1275">
      <formula>B224=""</formula>
    </cfRule>
  </conditionalFormatting>
  <conditionalFormatting sqref="E225">
    <cfRule type="expression" dxfId="9518" priority="1274">
      <formula>B225=""</formula>
    </cfRule>
  </conditionalFormatting>
  <conditionalFormatting sqref="E226">
    <cfRule type="expression" dxfId="9517" priority="1273">
      <formula>B226=""</formula>
    </cfRule>
  </conditionalFormatting>
  <conditionalFormatting sqref="E227:E228">
    <cfRule type="expression" dxfId="9516" priority="1272">
      <formula>B227=""</formula>
    </cfRule>
  </conditionalFormatting>
  <conditionalFormatting sqref="E230 E232 E234 E236 E238 E240 E242 E244 E246 E248">
    <cfRule type="expression" dxfId="9515" priority="1271">
      <formula>B230=""</formula>
    </cfRule>
  </conditionalFormatting>
  <conditionalFormatting sqref="E231 E233 E235 E237 E239 E241 E243 E245 E247 E249">
    <cfRule type="expression" dxfId="9514" priority="1270">
      <formula>B231=""</formula>
    </cfRule>
  </conditionalFormatting>
  <conditionalFormatting sqref="E232:E242">
    <cfRule type="expression" dxfId="9513" priority="1269">
      <formula>B232=""</formula>
    </cfRule>
  </conditionalFormatting>
  <conditionalFormatting sqref="E243">
    <cfRule type="expression" dxfId="9512" priority="1268">
      <formula>B243=""</formula>
    </cfRule>
  </conditionalFormatting>
  <conditionalFormatting sqref="E244">
    <cfRule type="expression" dxfId="9511" priority="1267">
      <formula>B244=""</formula>
    </cfRule>
  </conditionalFormatting>
  <conditionalFormatting sqref="E245">
    <cfRule type="expression" dxfId="9510" priority="1266">
      <formula>B245=""</formula>
    </cfRule>
  </conditionalFormatting>
  <conditionalFormatting sqref="E246">
    <cfRule type="expression" dxfId="9509" priority="1265">
      <formula>B246=""</formula>
    </cfRule>
  </conditionalFormatting>
  <conditionalFormatting sqref="E247">
    <cfRule type="expression" dxfId="9508" priority="1264">
      <formula>B247=""</formula>
    </cfRule>
  </conditionalFormatting>
  <conditionalFormatting sqref="E248">
    <cfRule type="expression" dxfId="9507" priority="1263">
      <formula>B248=""</formula>
    </cfRule>
  </conditionalFormatting>
  <conditionalFormatting sqref="E249:E250">
    <cfRule type="expression" dxfId="9506" priority="1262">
      <formula>B249=""</formula>
    </cfRule>
  </conditionalFormatting>
  <conditionalFormatting sqref="E231 E233 E235 E237 E239 E241 E243 E245 E247 E249">
    <cfRule type="expression" dxfId="9505" priority="1261">
      <formula>B231=""</formula>
    </cfRule>
  </conditionalFormatting>
  <conditionalFormatting sqref="E232:E242">
    <cfRule type="expression" dxfId="9504" priority="1260">
      <formula>B232=""</formula>
    </cfRule>
  </conditionalFormatting>
  <conditionalFormatting sqref="E243">
    <cfRule type="expression" dxfId="9503" priority="1259">
      <formula>B243=""</formula>
    </cfRule>
  </conditionalFormatting>
  <conditionalFormatting sqref="E244">
    <cfRule type="expression" dxfId="9502" priority="1258">
      <formula>B244=""</formula>
    </cfRule>
  </conditionalFormatting>
  <conditionalFormatting sqref="E245">
    <cfRule type="expression" dxfId="9501" priority="1257">
      <formula>B245=""</formula>
    </cfRule>
  </conditionalFormatting>
  <conditionalFormatting sqref="E246">
    <cfRule type="expression" dxfId="9500" priority="1256">
      <formula>B246=""</formula>
    </cfRule>
  </conditionalFormatting>
  <conditionalFormatting sqref="E247">
    <cfRule type="expression" dxfId="9499" priority="1255">
      <formula>B247=""</formula>
    </cfRule>
  </conditionalFormatting>
  <conditionalFormatting sqref="E248">
    <cfRule type="expression" dxfId="9498" priority="1254">
      <formula>B248=""</formula>
    </cfRule>
  </conditionalFormatting>
  <conditionalFormatting sqref="E249:E250">
    <cfRule type="expression" dxfId="9497" priority="1253">
      <formula>B249=""</formula>
    </cfRule>
  </conditionalFormatting>
  <conditionalFormatting sqref="E230:E250">
    <cfRule type="expression" dxfId="9496" priority="1252">
      <formula>B230=""</formula>
    </cfRule>
  </conditionalFormatting>
  <conditionalFormatting sqref="E231 E233 E235 E237 E239 E241 E243 E245 E247 E249">
    <cfRule type="expression" dxfId="9495" priority="1251">
      <formula>B231=""</formula>
    </cfRule>
  </conditionalFormatting>
  <conditionalFormatting sqref="E232:E242">
    <cfRule type="expression" dxfId="9494" priority="1250">
      <formula>B232=""</formula>
    </cfRule>
  </conditionalFormatting>
  <conditionalFormatting sqref="E243">
    <cfRule type="expression" dxfId="9493" priority="1249">
      <formula>B243=""</formula>
    </cfRule>
  </conditionalFormatting>
  <conditionalFormatting sqref="E244">
    <cfRule type="expression" dxfId="9492" priority="1248">
      <formula>B244=""</formula>
    </cfRule>
  </conditionalFormatting>
  <conditionalFormatting sqref="E245">
    <cfRule type="expression" dxfId="9491" priority="1247">
      <formula>B245=""</formula>
    </cfRule>
  </conditionalFormatting>
  <conditionalFormatting sqref="E246">
    <cfRule type="expression" dxfId="9490" priority="1246">
      <formula>B246=""</formula>
    </cfRule>
  </conditionalFormatting>
  <conditionalFormatting sqref="E247">
    <cfRule type="expression" dxfId="9489" priority="1245">
      <formula>B247=""</formula>
    </cfRule>
  </conditionalFormatting>
  <conditionalFormatting sqref="E248">
    <cfRule type="expression" dxfId="9488" priority="1244">
      <formula>B248=""</formula>
    </cfRule>
  </conditionalFormatting>
  <conditionalFormatting sqref="E249:E250">
    <cfRule type="expression" dxfId="9487" priority="1243">
      <formula>B249=""</formula>
    </cfRule>
  </conditionalFormatting>
  <conditionalFormatting sqref="E231 E233 E235 E237 E239 E241 E243 E245 E247 E249">
    <cfRule type="expression" dxfId="9486" priority="1242">
      <formula>B231=""</formula>
    </cfRule>
  </conditionalFormatting>
  <conditionalFormatting sqref="E232:E242">
    <cfRule type="expression" dxfId="9485" priority="1241">
      <formula>B232=""</formula>
    </cfRule>
  </conditionalFormatting>
  <conditionalFormatting sqref="E243">
    <cfRule type="expression" dxfId="9484" priority="1240">
      <formula>B243=""</formula>
    </cfRule>
  </conditionalFormatting>
  <conditionalFormatting sqref="E244">
    <cfRule type="expression" dxfId="9483" priority="1239">
      <formula>B244=""</formula>
    </cfRule>
  </conditionalFormatting>
  <conditionalFormatting sqref="E245">
    <cfRule type="expression" dxfId="9482" priority="1238">
      <formula>B245=""</formula>
    </cfRule>
  </conditionalFormatting>
  <conditionalFormatting sqref="E246">
    <cfRule type="expression" dxfId="9481" priority="1237">
      <formula>B246=""</formula>
    </cfRule>
  </conditionalFormatting>
  <conditionalFormatting sqref="E247">
    <cfRule type="expression" dxfId="9480" priority="1236">
      <formula>B247=""</formula>
    </cfRule>
  </conditionalFormatting>
  <conditionalFormatting sqref="E248">
    <cfRule type="expression" dxfId="9479" priority="1235">
      <formula>B248=""</formula>
    </cfRule>
  </conditionalFormatting>
  <conditionalFormatting sqref="E249:E250">
    <cfRule type="expression" dxfId="9478" priority="1234">
      <formula>B249=""</formula>
    </cfRule>
  </conditionalFormatting>
  <conditionalFormatting sqref="E252:E272">
    <cfRule type="expression" dxfId="9477" priority="1233">
      <formula>B252=""</formula>
    </cfRule>
  </conditionalFormatting>
  <conditionalFormatting sqref="E252:E272">
    <cfRule type="expression" dxfId="9476" priority="1232">
      <formula>B252=""</formula>
    </cfRule>
  </conditionalFormatting>
  <conditionalFormatting sqref="E252:E272">
    <cfRule type="expression" dxfId="9475" priority="1231">
      <formula>B252=""</formula>
    </cfRule>
  </conditionalFormatting>
  <conditionalFormatting sqref="E274:E294">
    <cfRule type="expression" dxfId="9474" priority="1230">
      <formula>B274=""</formula>
    </cfRule>
  </conditionalFormatting>
  <conditionalFormatting sqref="E275 E277 E279 E281 E283 E285 E287 E289 E291 E293">
    <cfRule type="expression" dxfId="9473" priority="1229">
      <formula>B275=""</formula>
    </cfRule>
  </conditionalFormatting>
  <conditionalFormatting sqref="E276:E286">
    <cfRule type="expression" dxfId="9472" priority="1228">
      <formula>B276=""</formula>
    </cfRule>
  </conditionalFormatting>
  <conditionalFormatting sqref="E287">
    <cfRule type="expression" dxfId="9471" priority="1227">
      <formula>B287=""</formula>
    </cfRule>
  </conditionalFormatting>
  <conditionalFormatting sqref="E288">
    <cfRule type="expression" dxfId="9470" priority="1226">
      <formula>B288=""</formula>
    </cfRule>
  </conditionalFormatting>
  <conditionalFormatting sqref="E289">
    <cfRule type="expression" dxfId="9469" priority="1225">
      <formula>B289=""</formula>
    </cfRule>
  </conditionalFormatting>
  <conditionalFormatting sqref="E290">
    <cfRule type="expression" dxfId="9468" priority="1224">
      <formula>B290=""</formula>
    </cfRule>
  </conditionalFormatting>
  <conditionalFormatting sqref="E291">
    <cfRule type="expression" dxfId="9467" priority="1223">
      <formula>B291=""</formula>
    </cfRule>
  </conditionalFormatting>
  <conditionalFormatting sqref="E292">
    <cfRule type="expression" dxfId="9466" priority="1222">
      <formula>B292=""</formula>
    </cfRule>
  </conditionalFormatting>
  <conditionalFormatting sqref="E293">
    <cfRule type="expression" dxfId="9465" priority="1221">
      <formula>B293=""</formula>
    </cfRule>
  </conditionalFormatting>
  <conditionalFormatting sqref="E294">
    <cfRule type="expression" dxfId="9464" priority="1220">
      <formula>B294=""</formula>
    </cfRule>
  </conditionalFormatting>
  <conditionalFormatting sqref="E275 E277 E279 E281 E283 E285 E287 E289 E291 E293">
    <cfRule type="expression" dxfId="9463" priority="1219">
      <formula>B275=""</formula>
    </cfRule>
  </conditionalFormatting>
  <conditionalFormatting sqref="E276:E286">
    <cfRule type="expression" dxfId="9462" priority="1218">
      <formula>B276=""</formula>
    </cfRule>
  </conditionalFormatting>
  <conditionalFormatting sqref="E287">
    <cfRule type="expression" dxfId="9461" priority="1217">
      <formula>B287=""</formula>
    </cfRule>
  </conditionalFormatting>
  <conditionalFormatting sqref="E288">
    <cfRule type="expression" dxfId="9460" priority="1216">
      <formula>B288=""</formula>
    </cfRule>
  </conditionalFormatting>
  <conditionalFormatting sqref="E289">
    <cfRule type="expression" dxfId="9459" priority="1215">
      <formula>B289=""</formula>
    </cfRule>
  </conditionalFormatting>
  <conditionalFormatting sqref="E290">
    <cfRule type="expression" dxfId="9458" priority="1214">
      <formula>B290=""</formula>
    </cfRule>
  </conditionalFormatting>
  <conditionalFormatting sqref="E291">
    <cfRule type="expression" dxfId="9457" priority="1213">
      <formula>B291=""</formula>
    </cfRule>
  </conditionalFormatting>
  <conditionalFormatting sqref="E292">
    <cfRule type="expression" dxfId="9456" priority="1212">
      <formula>B292=""</formula>
    </cfRule>
  </conditionalFormatting>
  <conditionalFormatting sqref="E293">
    <cfRule type="expression" dxfId="9455" priority="1211">
      <formula>B293=""</formula>
    </cfRule>
  </conditionalFormatting>
  <conditionalFormatting sqref="E294">
    <cfRule type="expression" dxfId="9454" priority="1210">
      <formula>B294=""</formula>
    </cfRule>
  </conditionalFormatting>
  <conditionalFormatting sqref="E274:E294">
    <cfRule type="expression" dxfId="9453" priority="1209">
      <formula>B274=""</formula>
    </cfRule>
  </conditionalFormatting>
  <conditionalFormatting sqref="E274:E294">
    <cfRule type="expression" dxfId="9452" priority="1208">
      <formula>B274=""</formula>
    </cfRule>
  </conditionalFormatting>
  <conditionalFormatting sqref="E274:E294">
    <cfRule type="expression" dxfId="9451" priority="1207">
      <formula>B274=""</formula>
    </cfRule>
  </conditionalFormatting>
  <conditionalFormatting sqref="E308 E310 E312 E314 E316 E318 E320 E322 E324 E326">
    <cfRule type="expression" dxfId="9450" priority="1206">
      <formula>B308=""</formula>
    </cfRule>
  </conditionalFormatting>
  <conditionalFormatting sqref="E309 E311 E313 E315 E317 E319 E321 E323 E325 E327">
    <cfRule type="expression" dxfId="9449" priority="1205">
      <formula>B309=""</formula>
    </cfRule>
  </conditionalFormatting>
  <conditionalFormatting sqref="E310:E320">
    <cfRule type="expression" dxfId="9448" priority="1204">
      <formula>B310=""</formula>
    </cfRule>
  </conditionalFormatting>
  <conditionalFormatting sqref="E321">
    <cfRule type="expression" dxfId="9447" priority="1203">
      <formula>B321=""</formula>
    </cfRule>
  </conditionalFormatting>
  <conditionalFormatting sqref="E322">
    <cfRule type="expression" dxfId="9446" priority="1202">
      <formula>B322=""</formula>
    </cfRule>
  </conditionalFormatting>
  <conditionalFormatting sqref="E323">
    <cfRule type="expression" dxfId="9445" priority="1201">
      <formula>B323=""</formula>
    </cfRule>
  </conditionalFormatting>
  <conditionalFormatting sqref="E324">
    <cfRule type="expression" dxfId="9444" priority="1200">
      <formula>B324=""</formula>
    </cfRule>
  </conditionalFormatting>
  <conditionalFormatting sqref="E325">
    <cfRule type="expression" dxfId="9443" priority="1199">
      <formula>B325=""</formula>
    </cfRule>
  </conditionalFormatting>
  <conditionalFormatting sqref="E326">
    <cfRule type="expression" dxfId="9442" priority="1198">
      <formula>B326=""</formula>
    </cfRule>
  </conditionalFormatting>
  <conditionalFormatting sqref="E327">
    <cfRule type="expression" dxfId="9441" priority="1197">
      <formula>B327=""</formula>
    </cfRule>
  </conditionalFormatting>
  <conditionalFormatting sqref="E328">
    <cfRule type="expression" dxfId="9440" priority="1196">
      <formula>B328=""</formula>
    </cfRule>
  </conditionalFormatting>
  <conditionalFormatting sqref="E309 E311 E313 E315 E317 E319 E321 E323 E325 E327">
    <cfRule type="expression" dxfId="9439" priority="1195">
      <formula>B309=""</formula>
    </cfRule>
  </conditionalFormatting>
  <conditionalFormatting sqref="E310:E320">
    <cfRule type="expression" dxfId="9438" priority="1194">
      <formula>B310=""</formula>
    </cfRule>
  </conditionalFormatting>
  <conditionalFormatting sqref="E321">
    <cfRule type="expression" dxfId="9437" priority="1193">
      <formula>B321=""</formula>
    </cfRule>
  </conditionalFormatting>
  <conditionalFormatting sqref="E322">
    <cfRule type="expression" dxfId="9436" priority="1192">
      <formula>B322=""</formula>
    </cfRule>
  </conditionalFormatting>
  <conditionalFormatting sqref="E323">
    <cfRule type="expression" dxfId="9435" priority="1191">
      <formula>B323=""</formula>
    </cfRule>
  </conditionalFormatting>
  <conditionalFormatting sqref="E324">
    <cfRule type="expression" dxfId="9434" priority="1190">
      <formula>B324=""</formula>
    </cfRule>
  </conditionalFormatting>
  <conditionalFormatting sqref="E325">
    <cfRule type="expression" dxfId="9433" priority="1189">
      <formula>B325=""</formula>
    </cfRule>
  </conditionalFormatting>
  <conditionalFormatting sqref="E326">
    <cfRule type="expression" dxfId="9432" priority="1188">
      <formula>B326=""</formula>
    </cfRule>
  </conditionalFormatting>
  <conditionalFormatting sqref="E327">
    <cfRule type="expression" dxfId="9431" priority="1187">
      <formula>B327=""</formula>
    </cfRule>
  </conditionalFormatting>
  <conditionalFormatting sqref="E328">
    <cfRule type="expression" dxfId="9430" priority="1186">
      <formula>B328=""</formula>
    </cfRule>
  </conditionalFormatting>
  <conditionalFormatting sqref="E330 E332 E334 E336 E338 E340 E342 E344 E346 E348">
    <cfRule type="expression" dxfId="9429" priority="1185">
      <formula>B330=""</formula>
    </cfRule>
  </conditionalFormatting>
  <conditionalFormatting sqref="E331 E333 E335 E337 E339 E341 E343 E345 E347 E349">
    <cfRule type="expression" dxfId="9428" priority="1184">
      <formula>B331=""</formula>
    </cfRule>
  </conditionalFormatting>
  <conditionalFormatting sqref="E332:E342">
    <cfRule type="expression" dxfId="9427" priority="1183">
      <formula>B332=""</formula>
    </cfRule>
  </conditionalFormatting>
  <conditionalFormatting sqref="E343">
    <cfRule type="expression" dxfId="9426" priority="1182">
      <formula>B343=""</formula>
    </cfRule>
  </conditionalFormatting>
  <conditionalFormatting sqref="E344">
    <cfRule type="expression" dxfId="9425" priority="1181">
      <formula>B344=""</formula>
    </cfRule>
  </conditionalFormatting>
  <conditionalFormatting sqref="E345">
    <cfRule type="expression" dxfId="9424" priority="1180">
      <formula>B345=""</formula>
    </cfRule>
  </conditionalFormatting>
  <conditionalFormatting sqref="E346">
    <cfRule type="expression" dxfId="9423" priority="1179">
      <formula>B346=""</formula>
    </cfRule>
  </conditionalFormatting>
  <conditionalFormatting sqref="E347">
    <cfRule type="expression" dxfId="9422" priority="1178">
      <formula>B347=""</formula>
    </cfRule>
  </conditionalFormatting>
  <conditionalFormatting sqref="E348">
    <cfRule type="expression" dxfId="9421" priority="1177">
      <formula>B348=""</formula>
    </cfRule>
  </conditionalFormatting>
  <conditionalFormatting sqref="E349">
    <cfRule type="expression" dxfId="9420" priority="1176">
      <formula>B349=""</formula>
    </cfRule>
  </conditionalFormatting>
  <conditionalFormatting sqref="E350">
    <cfRule type="expression" dxfId="9419" priority="1175">
      <formula>B350=""</formula>
    </cfRule>
  </conditionalFormatting>
  <conditionalFormatting sqref="E331 E333 E335 E337 E339 E341 E343 E345 E347 E349">
    <cfRule type="expression" dxfId="9418" priority="1174">
      <formula>B331=""</formula>
    </cfRule>
  </conditionalFormatting>
  <conditionalFormatting sqref="E332:E342">
    <cfRule type="expression" dxfId="9417" priority="1173">
      <formula>B332=""</formula>
    </cfRule>
  </conditionalFormatting>
  <conditionalFormatting sqref="E343">
    <cfRule type="expression" dxfId="9416" priority="1172">
      <formula>B343=""</formula>
    </cfRule>
  </conditionalFormatting>
  <conditionalFormatting sqref="E344">
    <cfRule type="expression" dxfId="9415" priority="1171">
      <formula>B344=""</formula>
    </cfRule>
  </conditionalFormatting>
  <conditionalFormatting sqref="E345">
    <cfRule type="expression" dxfId="9414" priority="1170">
      <formula>B345=""</formula>
    </cfRule>
  </conditionalFormatting>
  <conditionalFormatting sqref="E346">
    <cfRule type="expression" dxfId="9413" priority="1169">
      <formula>B346=""</formula>
    </cfRule>
  </conditionalFormatting>
  <conditionalFormatting sqref="E347">
    <cfRule type="expression" dxfId="9412" priority="1168">
      <formula>B347=""</formula>
    </cfRule>
  </conditionalFormatting>
  <conditionalFormatting sqref="E348">
    <cfRule type="expression" dxfId="9411" priority="1167">
      <formula>B348=""</formula>
    </cfRule>
  </conditionalFormatting>
  <conditionalFormatting sqref="E349">
    <cfRule type="expression" dxfId="9410" priority="1166">
      <formula>B349=""</formula>
    </cfRule>
  </conditionalFormatting>
  <conditionalFormatting sqref="E350">
    <cfRule type="expression" dxfId="9409" priority="1165">
      <formula>B350=""</formula>
    </cfRule>
  </conditionalFormatting>
  <conditionalFormatting sqref="E352 E354 E356 E358 E360 E362 E364 E366 E368 E370">
    <cfRule type="expression" dxfId="9408" priority="1164">
      <formula>B352=""</formula>
    </cfRule>
  </conditionalFormatting>
  <conditionalFormatting sqref="E353 E355 E357 E359 E361 E363 E365 E367 E369 E371">
    <cfRule type="expression" dxfId="9407" priority="1163">
      <formula>B353=""</formula>
    </cfRule>
  </conditionalFormatting>
  <conditionalFormatting sqref="E354:E364">
    <cfRule type="expression" dxfId="9406" priority="1162">
      <formula>B354=""</formula>
    </cfRule>
  </conditionalFormatting>
  <conditionalFormatting sqref="E365">
    <cfRule type="expression" dxfId="9405" priority="1161">
      <formula>B365=""</formula>
    </cfRule>
  </conditionalFormatting>
  <conditionalFormatting sqref="E366">
    <cfRule type="expression" dxfId="9404" priority="1160">
      <formula>B366=""</formula>
    </cfRule>
  </conditionalFormatting>
  <conditionalFormatting sqref="E367">
    <cfRule type="expression" dxfId="9403" priority="1159">
      <formula>B367=""</formula>
    </cfRule>
  </conditionalFormatting>
  <conditionalFormatting sqref="E368">
    <cfRule type="expression" dxfId="9402" priority="1158">
      <formula>B368=""</formula>
    </cfRule>
  </conditionalFormatting>
  <conditionalFormatting sqref="E369">
    <cfRule type="expression" dxfId="9401" priority="1157">
      <formula>B369=""</formula>
    </cfRule>
  </conditionalFormatting>
  <conditionalFormatting sqref="E370">
    <cfRule type="expression" dxfId="9400" priority="1156">
      <formula>B370=""</formula>
    </cfRule>
  </conditionalFormatting>
  <conditionalFormatting sqref="E371">
    <cfRule type="expression" dxfId="9399" priority="1155">
      <formula>B371=""</formula>
    </cfRule>
  </conditionalFormatting>
  <conditionalFormatting sqref="E372">
    <cfRule type="expression" dxfId="9398" priority="1154">
      <formula>B372=""</formula>
    </cfRule>
  </conditionalFormatting>
  <conditionalFormatting sqref="E353 E355 E357 E359 E361 E363 E365 E367 E369 E371">
    <cfRule type="expression" dxfId="9397" priority="1153">
      <formula>B353=""</formula>
    </cfRule>
  </conditionalFormatting>
  <conditionalFormatting sqref="E354:E364">
    <cfRule type="expression" dxfId="9396" priority="1152">
      <formula>B354=""</formula>
    </cfRule>
  </conditionalFormatting>
  <conditionalFormatting sqref="E365">
    <cfRule type="expression" dxfId="9395" priority="1151">
      <formula>B365=""</formula>
    </cfRule>
  </conditionalFormatting>
  <conditionalFormatting sqref="E366">
    <cfRule type="expression" dxfId="9394" priority="1150">
      <formula>B366=""</formula>
    </cfRule>
  </conditionalFormatting>
  <conditionalFormatting sqref="E367">
    <cfRule type="expression" dxfId="9393" priority="1149">
      <formula>B367=""</formula>
    </cfRule>
  </conditionalFormatting>
  <conditionalFormatting sqref="E368">
    <cfRule type="expression" dxfId="9392" priority="1148">
      <formula>B368=""</formula>
    </cfRule>
  </conditionalFormatting>
  <conditionalFormatting sqref="E369">
    <cfRule type="expression" dxfId="9391" priority="1147">
      <formula>B369=""</formula>
    </cfRule>
  </conditionalFormatting>
  <conditionalFormatting sqref="E370">
    <cfRule type="expression" dxfId="9390" priority="1146">
      <formula>B370=""</formula>
    </cfRule>
  </conditionalFormatting>
  <conditionalFormatting sqref="E371">
    <cfRule type="expression" dxfId="9389" priority="1145">
      <formula>B371=""</formula>
    </cfRule>
  </conditionalFormatting>
  <conditionalFormatting sqref="E372">
    <cfRule type="expression" dxfId="9388" priority="1144">
      <formula>B372=""</formula>
    </cfRule>
  </conditionalFormatting>
  <conditionalFormatting sqref="E374 E376 E378 E380 E382 E384 E386 E388 E390 E392">
    <cfRule type="expression" dxfId="9387" priority="1143">
      <formula>B374=""</formula>
    </cfRule>
  </conditionalFormatting>
  <conditionalFormatting sqref="E375 E377 E379 E381 E383 E385 E387 E389 E391 E393">
    <cfRule type="expression" dxfId="9386" priority="1142">
      <formula>B375=""</formula>
    </cfRule>
  </conditionalFormatting>
  <conditionalFormatting sqref="E376:E386">
    <cfRule type="expression" dxfId="9385" priority="1141">
      <formula>B376=""</formula>
    </cfRule>
  </conditionalFormatting>
  <conditionalFormatting sqref="E387">
    <cfRule type="expression" dxfId="9384" priority="1140">
      <formula>B387=""</formula>
    </cfRule>
  </conditionalFormatting>
  <conditionalFormatting sqref="E388">
    <cfRule type="expression" dxfId="9383" priority="1139">
      <formula>B388=""</formula>
    </cfRule>
  </conditionalFormatting>
  <conditionalFormatting sqref="E389">
    <cfRule type="expression" dxfId="9382" priority="1138">
      <formula>B389=""</formula>
    </cfRule>
  </conditionalFormatting>
  <conditionalFormatting sqref="E390">
    <cfRule type="expression" dxfId="9381" priority="1137">
      <formula>B390=""</formula>
    </cfRule>
  </conditionalFormatting>
  <conditionalFormatting sqref="E391">
    <cfRule type="expression" dxfId="9380" priority="1136">
      <formula>B391=""</formula>
    </cfRule>
  </conditionalFormatting>
  <conditionalFormatting sqref="E392">
    <cfRule type="expression" dxfId="9379" priority="1135">
      <formula>B392=""</formula>
    </cfRule>
  </conditionalFormatting>
  <conditionalFormatting sqref="E393">
    <cfRule type="expression" dxfId="9378" priority="1134">
      <formula>B393=""</formula>
    </cfRule>
  </conditionalFormatting>
  <conditionalFormatting sqref="E394">
    <cfRule type="expression" dxfId="9377" priority="1133">
      <formula>B394=""</formula>
    </cfRule>
  </conditionalFormatting>
  <conditionalFormatting sqref="E375 E377 E379 E381 E383 E385 E387 E389 E391 E393">
    <cfRule type="expression" dxfId="9376" priority="1132">
      <formula>B375=""</formula>
    </cfRule>
  </conditionalFormatting>
  <conditionalFormatting sqref="E376:E386">
    <cfRule type="expression" dxfId="9375" priority="1131">
      <formula>B376=""</formula>
    </cfRule>
  </conditionalFormatting>
  <conditionalFormatting sqref="E387">
    <cfRule type="expression" dxfId="9374" priority="1130">
      <formula>B387=""</formula>
    </cfRule>
  </conditionalFormatting>
  <conditionalFormatting sqref="E388">
    <cfRule type="expression" dxfId="9373" priority="1129">
      <formula>B388=""</formula>
    </cfRule>
  </conditionalFormatting>
  <conditionalFormatting sqref="E389">
    <cfRule type="expression" dxfId="9372" priority="1128">
      <formula>B389=""</formula>
    </cfRule>
  </conditionalFormatting>
  <conditionalFormatting sqref="E390">
    <cfRule type="expression" dxfId="9371" priority="1127">
      <formula>B390=""</formula>
    </cfRule>
  </conditionalFormatting>
  <conditionalFormatting sqref="E391">
    <cfRule type="expression" dxfId="9370" priority="1126">
      <formula>B391=""</formula>
    </cfRule>
  </conditionalFormatting>
  <conditionalFormatting sqref="E392">
    <cfRule type="expression" dxfId="9369" priority="1125">
      <formula>B392=""</formula>
    </cfRule>
  </conditionalFormatting>
  <conditionalFormatting sqref="E393">
    <cfRule type="expression" dxfId="9368" priority="1124">
      <formula>B393=""</formula>
    </cfRule>
  </conditionalFormatting>
  <conditionalFormatting sqref="E394">
    <cfRule type="expression" dxfId="9367" priority="1123">
      <formula>B394=""</formula>
    </cfRule>
  </conditionalFormatting>
  <conditionalFormatting sqref="E308:E327">
    <cfRule type="expression" dxfId="9366" priority="1122">
      <formula>B308=""</formula>
    </cfRule>
  </conditionalFormatting>
  <conditionalFormatting sqref="E309 E311 E313 E315 E317 E319 E321 E323 E325 E327">
    <cfRule type="expression" dxfId="9365" priority="1121">
      <formula>B309=""</formula>
    </cfRule>
  </conditionalFormatting>
  <conditionalFormatting sqref="E310:E320">
    <cfRule type="expression" dxfId="9364" priority="1120">
      <formula>B310=""</formula>
    </cfRule>
  </conditionalFormatting>
  <conditionalFormatting sqref="E321">
    <cfRule type="expression" dxfId="9363" priority="1119">
      <formula>B321=""</formula>
    </cfRule>
  </conditionalFormatting>
  <conditionalFormatting sqref="E322">
    <cfRule type="expression" dxfId="9362" priority="1118">
      <formula>B322=""</formula>
    </cfRule>
  </conditionalFormatting>
  <conditionalFormatting sqref="E323">
    <cfRule type="expression" dxfId="9361" priority="1117">
      <formula>B323=""</formula>
    </cfRule>
  </conditionalFormatting>
  <conditionalFormatting sqref="E324">
    <cfRule type="expression" dxfId="9360" priority="1116">
      <formula>B324=""</formula>
    </cfRule>
  </conditionalFormatting>
  <conditionalFormatting sqref="E325">
    <cfRule type="expression" dxfId="9359" priority="1115">
      <formula>B325=""</formula>
    </cfRule>
  </conditionalFormatting>
  <conditionalFormatting sqref="E326">
    <cfRule type="expression" dxfId="9358" priority="1114">
      <formula>B326=""</formula>
    </cfRule>
  </conditionalFormatting>
  <conditionalFormatting sqref="E327">
    <cfRule type="expression" dxfId="9357" priority="1113">
      <formula>B327=""</formula>
    </cfRule>
  </conditionalFormatting>
  <conditionalFormatting sqref="E309 E311 E313 E315 E317 E319 E321 E323 E325 E327">
    <cfRule type="expression" dxfId="9356" priority="1112">
      <formula>B309=""</formula>
    </cfRule>
  </conditionalFormatting>
  <conditionalFormatting sqref="E310:E320">
    <cfRule type="expression" dxfId="9355" priority="1111">
      <formula>B310=""</formula>
    </cfRule>
  </conditionalFormatting>
  <conditionalFormatting sqref="E321">
    <cfRule type="expression" dxfId="9354" priority="1110">
      <formula>B321=""</formula>
    </cfRule>
  </conditionalFormatting>
  <conditionalFormatting sqref="E322">
    <cfRule type="expression" dxfId="9353" priority="1109">
      <formula>B322=""</formula>
    </cfRule>
  </conditionalFormatting>
  <conditionalFormatting sqref="E323">
    <cfRule type="expression" dxfId="9352" priority="1108">
      <formula>B323=""</formula>
    </cfRule>
  </conditionalFormatting>
  <conditionalFormatting sqref="E324">
    <cfRule type="expression" dxfId="9351" priority="1107">
      <formula>B324=""</formula>
    </cfRule>
  </conditionalFormatting>
  <conditionalFormatting sqref="E325">
    <cfRule type="expression" dxfId="9350" priority="1106">
      <formula>B325=""</formula>
    </cfRule>
  </conditionalFormatting>
  <conditionalFormatting sqref="E326">
    <cfRule type="expression" dxfId="9349" priority="1105">
      <formula>B326=""</formula>
    </cfRule>
  </conditionalFormatting>
  <conditionalFormatting sqref="E327">
    <cfRule type="expression" dxfId="9348" priority="1104">
      <formula>B327=""</formula>
    </cfRule>
  </conditionalFormatting>
  <conditionalFormatting sqref="E330 E332 E334 E336 E338 E340 E342 E344 E346 E348">
    <cfRule type="expression" dxfId="9347" priority="1103">
      <formula>B330=""</formula>
    </cfRule>
  </conditionalFormatting>
  <conditionalFormatting sqref="E331 E333 E335 E337 E339 E341 E343 E345 E347 E349">
    <cfRule type="expression" dxfId="9346" priority="1102">
      <formula>B331=""</formula>
    </cfRule>
  </conditionalFormatting>
  <conditionalFormatting sqref="E332:E342">
    <cfRule type="expression" dxfId="9345" priority="1101">
      <formula>B332=""</formula>
    </cfRule>
  </conditionalFormatting>
  <conditionalFormatting sqref="E343">
    <cfRule type="expression" dxfId="9344" priority="1100">
      <formula>B343=""</formula>
    </cfRule>
  </conditionalFormatting>
  <conditionalFormatting sqref="E344">
    <cfRule type="expression" dxfId="9343" priority="1099">
      <formula>B344=""</formula>
    </cfRule>
  </conditionalFormatting>
  <conditionalFormatting sqref="E345">
    <cfRule type="expression" dxfId="9342" priority="1098">
      <formula>B345=""</formula>
    </cfRule>
  </conditionalFormatting>
  <conditionalFormatting sqref="E346">
    <cfRule type="expression" dxfId="9341" priority="1097">
      <formula>B346=""</formula>
    </cfRule>
  </conditionalFormatting>
  <conditionalFormatting sqref="E347">
    <cfRule type="expression" dxfId="9340" priority="1096">
      <formula>B347=""</formula>
    </cfRule>
  </conditionalFormatting>
  <conditionalFormatting sqref="E348">
    <cfRule type="expression" dxfId="9339" priority="1095">
      <formula>B348=""</formula>
    </cfRule>
  </conditionalFormatting>
  <conditionalFormatting sqref="E349">
    <cfRule type="expression" dxfId="9338" priority="1094">
      <formula>B349=""</formula>
    </cfRule>
  </conditionalFormatting>
  <conditionalFormatting sqref="E331 E333 E335 E337 E339 E341 E343 E345 E347 E349">
    <cfRule type="expression" dxfId="9337" priority="1093">
      <formula>B331=""</formula>
    </cfRule>
  </conditionalFormatting>
  <conditionalFormatting sqref="E332:E342">
    <cfRule type="expression" dxfId="9336" priority="1092">
      <formula>B332=""</formula>
    </cfRule>
  </conditionalFormatting>
  <conditionalFormatting sqref="E343">
    <cfRule type="expression" dxfId="9335" priority="1091">
      <formula>B343=""</formula>
    </cfRule>
  </conditionalFormatting>
  <conditionalFormatting sqref="E344">
    <cfRule type="expression" dxfId="9334" priority="1090">
      <formula>B344=""</formula>
    </cfRule>
  </conditionalFormatting>
  <conditionalFormatting sqref="E345">
    <cfRule type="expression" dxfId="9333" priority="1089">
      <formula>B345=""</formula>
    </cfRule>
  </conditionalFormatting>
  <conditionalFormatting sqref="E346">
    <cfRule type="expression" dxfId="9332" priority="1088">
      <formula>B346=""</formula>
    </cfRule>
  </conditionalFormatting>
  <conditionalFormatting sqref="E347">
    <cfRule type="expression" dxfId="9331" priority="1087">
      <formula>B347=""</formula>
    </cfRule>
  </conditionalFormatting>
  <conditionalFormatting sqref="E348">
    <cfRule type="expression" dxfId="9330" priority="1086">
      <formula>B348=""</formula>
    </cfRule>
  </conditionalFormatting>
  <conditionalFormatting sqref="E349">
    <cfRule type="expression" dxfId="9329" priority="1085">
      <formula>B349=""</formula>
    </cfRule>
  </conditionalFormatting>
  <conditionalFormatting sqref="E330:E349">
    <cfRule type="expression" dxfId="9328" priority="1084">
      <formula>B330=""</formula>
    </cfRule>
  </conditionalFormatting>
  <conditionalFormatting sqref="E331 E333 E335 E337 E339 E341 E343 E345 E347 E349">
    <cfRule type="expression" dxfId="9327" priority="1083">
      <formula>B331=""</formula>
    </cfRule>
  </conditionalFormatting>
  <conditionalFormatting sqref="E332:E342">
    <cfRule type="expression" dxfId="9326" priority="1082">
      <formula>B332=""</formula>
    </cfRule>
  </conditionalFormatting>
  <conditionalFormatting sqref="E343">
    <cfRule type="expression" dxfId="9325" priority="1081">
      <formula>B343=""</formula>
    </cfRule>
  </conditionalFormatting>
  <conditionalFormatting sqref="E344">
    <cfRule type="expression" dxfId="9324" priority="1080">
      <formula>B344=""</formula>
    </cfRule>
  </conditionalFormatting>
  <conditionalFormatting sqref="E345">
    <cfRule type="expression" dxfId="9323" priority="1079">
      <formula>B345=""</formula>
    </cfRule>
  </conditionalFormatting>
  <conditionalFormatting sqref="E346">
    <cfRule type="expression" dxfId="9322" priority="1078">
      <formula>B346=""</formula>
    </cfRule>
  </conditionalFormatting>
  <conditionalFormatting sqref="E347">
    <cfRule type="expression" dxfId="9321" priority="1077">
      <formula>B347=""</formula>
    </cfRule>
  </conditionalFormatting>
  <conditionalFormatting sqref="E348">
    <cfRule type="expression" dxfId="9320" priority="1076">
      <formula>B348=""</formula>
    </cfRule>
  </conditionalFormatting>
  <conditionalFormatting sqref="E349">
    <cfRule type="expression" dxfId="9319" priority="1075">
      <formula>B349=""</formula>
    </cfRule>
  </conditionalFormatting>
  <conditionalFormatting sqref="E331 E333 E335 E337 E339 E341 E343 E345 E347 E349">
    <cfRule type="expression" dxfId="9318" priority="1074">
      <formula>B331=""</formula>
    </cfRule>
  </conditionalFormatting>
  <conditionalFormatting sqref="E332:E342">
    <cfRule type="expression" dxfId="9317" priority="1073">
      <formula>B332=""</formula>
    </cfRule>
  </conditionalFormatting>
  <conditionalFormatting sqref="E343">
    <cfRule type="expression" dxfId="9316" priority="1072">
      <formula>B343=""</formula>
    </cfRule>
  </conditionalFormatting>
  <conditionalFormatting sqref="E344">
    <cfRule type="expression" dxfId="9315" priority="1071">
      <formula>B344=""</formula>
    </cfRule>
  </conditionalFormatting>
  <conditionalFormatting sqref="E345">
    <cfRule type="expression" dxfId="9314" priority="1070">
      <formula>B345=""</formula>
    </cfRule>
  </conditionalFormatting>
  <conditionalFormatting sqref="E346">
    <cfRule type="expression" dxfId="9313" priority="1069">
      <formula>B346=""</formula>
    </cfRule>
  </conditionalFormatting>
  <conditionalFormatting sqref="E347">
    <cfRule type="expression" dxfId="9312" priority="1068">
      <formula>B347=""</formula>
    </cfRule>
  </conditionalFormatting>
  <conditionalFormatting sqref="E348">
    <cfRule type="expression" dxfId="9311" priority="1067">
      <formula>B348=""</formula>
    </cfRule>
  </conditionalFormatting>
  <conditionalFormatting sqref="E349">
    <cfRule type="expression" dxfId="9310" priority="1066">
      <formula>B349=""</formula>
    </cfRule>
  </conditionalFormatting>
  <conditionalFormatting sqref="E308 E310 E312 E314 E316 E318 E320 E322 E324 E326">
    <cfRule type="expression" dxfId="9309" priority="1065">
      <formula>B308=""</formula>
    </cfRule>
  </conditionalFormatting>
  <conditionalFormatting sqref="E309 E311 E313 E315 E317 E319 E321 E323 E325 E327">
    <cfRule type="expression" dxfId="9308" priority="1064">
      <formula>B309=""</formula>
    </cfRule>
  </conditionalFormatting>
  <conditionalFormatting sqref="E310:E320">
    <cfRule type="expression" dxfId="9307" priority="1063">
      <formula>B310=""</formula>
    </cfRule>
  </conditionalFormatting>
  <conditionalFormatting sqref="E321">
    <cfRule type="expression" dxfId="9306" priority="1062">
      <formula>B321=""</formula>
    </cfRule>
  </conditionalFormatting>
  <conditionalFormatting sqref="E322">
    <cfRule type="expression" dxfId="9305" priority="1061">
      <formula>B322=""</formula>
    </cfRule>
  </conditionalFormatting>
  <conditionalFormatting sqref="E323">
    <cfRule type="expression" dxfId="9304" priority="1060">
      <formula>B323=""</formula>
    </cfRule>
  </conditionalFormatting>
  <conditionalFormatting sqref="E324">
    <cfRule type="expression" dxfId="9303" priority="1059">
      <formula>B324=""</formula>
    </cfRule>
  </conditionalFormatting>
  <conditionalFormatting sqref="E325">
    <cfRule type="expression" dxfId="9302" priority="1058">
      <formula>B325=""</formula>
    </cfRule>
  </conditionalFormatting>
  <conditionalFormatting sqref="E326">
    <cfRule type="expression" dxfId="9301" priority="1057">
      <formula>B326=""</formula>
    </cfRule>
  </conditionalFormatting>
  <conditionalFormatting sqref="E327">
    <cfRule type="expression" dxfId="9300" priority="1056">
      <formula>B327=""</formula>
    </cfRule>
  </conditionalFormatting>
  <conditionalFormatting sqref="E328">
    <cfRule type="expression" dxfId="9299" priority="1055">
      <formula>B328=""</formula>
    </cfRule>
  </conditionalFormatting>
  <conditionalFormatting sqref="E309 E311 E313 E315 E317 E319 E321 E323 E325 E327">
    <cfRule type="expression" dxfId="9298" priority="1054">
      <formula>B309=""</formula>
    </cfRule>
  </conditionalFormatting>
  <conditionalFormatting sqref="E310:E320">
    <cfRule type="expression" dxfId="9297" priority="1053">
      <formula>B310=""</formula>
    </cfRule>
  </conditionalFormatting>
  <conditionalFormatting sqref="E321">
    <cfRule type="expression" dxfId="9296" priority="1052">
      <formula>B321=""</formula>
    </cfRule>
  </conditionalFormatting>
  <conditionalFormatting sqref="E322">
    <cfRule type="expression" dxfId="9295" priority="1051">
      <formula>B322=""</formula>
    </cfRule>
  </conditionalFormatting>
  <conditionalFormatting sqref="E323">
    <cfRule type="expression" dxfId="9294" priority="1050">
      <formula>B323=""</formula>
    </cfRule>
  </conditionalFormatting>
  <conditionalFormatting sqref="E324">
    <cfRule type="expression" dxfId="9293" priority="1049">
      <formula>B324=""</formula>
    </cfRule>
  </conditionalFormatting>
  <conditionalFormatting sqref="E325">
    <cfRule type="expression" dxfId="9292" priority="1048">
      <formula>B325=""</formula>
    </cfRule>
  </conditionalFormatting>
  <conditionalFormatting sqref="E326">
    <cfRule type="expression" dxfId="9291" priority="1047">
      <formula>B326=""</formula>
    </cfRule>
  </conditionalFormatting>
  <conditionalFormatting sqref="E327">
    <cfRule type="expression" dxfId="9290" priority="1046">
      <formula>B327=""</formula>
    </cfRule>
  </conditionalFormatting>
  <conditionalFormatting sqref="E328">
    <cfRule type="expression" dxfId="9289" priority="1045">
      <formula>B328=""</formula>
    </cfRule>
  </conditionalFormatting>
  <conditionalFormatting sqref="E330 E332 E334 E336 E338 E340 E342 E344 E346 E348">
    <cfRule type="expression" dxfId="9288" priority="1044">
      <formula>B330=""</formula>
    </cfRule>
  </conditionalFormatting>
  <conditionalFormatting sqref="E331 E333 E335 E337 E339 E341 E343 E345 E347 E349">
    <cfRule type="expression" dxfId="9287" priority="1043">
      <formula>B331=""</formula>
    </cfRule>
  </conditionalFormatting>
  <conditionalFormatting sqref="E332:E342">
    <cfRule type="expression" dxfId="9286" priority="1042">
      <formula>B332=""</formula>
    </cfRule>
  </conditionalFormatting>
  <conditionalFormatting sqref="E343">
    <cfRule type="expression" dxfId="9285" priority="1041">
      <formula>B343=""</formula>
    </cfRule>
  </conditionalFormatting>
  <conditionalFormatting sqref="E344">
    <cfRule type="expression" dxfId="9284" priority="1040">
      <formula>B344=""</formula>
    </cfRule>
  </conditionalFormatting>
  <conditionalFormatting sqref="E345">
    <cfRule type="expression" dxfId="9283" priority="1039">
      <formula>B345=""</formula>
    </cfRule>
  </conditionalFormatting>
  <conditionalFormatting sqref="E346">
    <cfRule type="expression" dxfId="9282" priority="1038">
      <formula>B346=""</formula>
    </cfRule>
  </conditionalFormatting>
  <conditionalFormatting sqref="E347">
    <cfRule type="expression" dxfId="9281" priority="1037">
      <formula>B347=""</formula>
    </cfRule>
  </conditionalFormatting>
  <conditionalFormatting sqref="E348">
    <cfRule type="expression" dxfId="9280" priority="1036">
      <formula>B348=""</formula>
    </cfRule>
  </conditionalFormatting>
  <conditionalFormatting sqref="E349">
    <cfRule type="expression" dxfId="9279" priority="1035">
      <formula>B349=""</formula>
    </cfRule>
  </conditionalFormatting>
  <conditionalFormatting sqref="E350">
    <cfRule type="expression" dxfId="9278" priority="1034">
      <formula>B350=""</formula>
    </cfRule>
  </conditionalFormatting>
  <conditionalFormatting sqref="E331 E333 E335 E337 E339 E341 E343 E345 E347 E349">
    <cfRule type="expression" dxfId="9277" priority="1033">
      <formula>B331=""</formula>
    </cfRule>
  </conditionalFormatting>
  <conditionalFormatting sqref="E332:E342">
    <cfRule type="expression" dxfId="9276" priority="1032">
      <formula>B332=""</formula>
    </cfRule>
  </conditionalFormatting>
  <conditionalFormatting sqref="E343">
    <cfRule type="expression" dxfId="9275" priority="1031">
      <formula>B343=""</formula>
    </cfRule>
  </conditionalFormatting>
  <conditionalFormatting sqref="E344">
    <cfRule type="expression" dxfId="9274" priority="1030">
      <formula>B344=""</formula>
    </cfRule>
  </conditionalFormatting>
  <conditionalFormatting sqref="E345">
    <cfRule type="expression" dxfId="9273" priority="1029">
      <formula>B345=""</formula>
    </cfRule>
  </conditionalFormatting>
  <conditionalFormatting sqref="E346">
    <cfRule type="expression" dxfId="9272" priority="1028">
      <formula>B346=""</formula>
    </cfRule>
  </conditionalFormatting>
  <conditionalFormatting sqref="E347">
    <cfRule type="expression" dxfId="9271" priority="1027">
      <formula>B347=""</formula>
    </cfRule>
  </conditionalFormatting>
  <conditionalFormatting sqref="E348">
    <cfRule type="expression" dxfId="9270" priority="1026">
      <formula>B348=""</formula>
    </cfRule>
  </conditionalFormatting>
  <conditionalFormatting sqref="E349">
    <cfRule type="expression" dxfId="9269" priority="1025">
      <formula>B349=""</formula>
    </cfRule>
  </conditionalFormatting>
  <conditionalFormatting sqref="E350">
    <cfRule type="expression" dxfId="9268" priority="1024">
      <formula>B350=""</formula>
    </cfRule>
  </conditionalFormatting>
  <conditionalFormatting sqref="E352 E354 E356 E358 E360 E362 E364 E366 E368 E370">
    <cfRule type="expression" dxfId="9267" priority="1023">
      <formula>B352=""</formula>
    </cfRule>
  </conditionalFormatting>
  <conditionalFormatting sqref="E353 E355 E357 E359 E361 E363 E365 E367 E369 E371">
    <cfRule type="expression" dxfId="9266" priority="1022">
      <formula>B353=""</formula>
    </cfRule>
  </conditionalFormatting>
  <conditionalFormatting sqref="E354:E364">
    <cfRule type="expression" dxfId="9265" priority="1021">
      <formula>B354=""</formula>
    </cfRule>
  </conditionalFormatting>
  <conditionalFormatting sqref="E365">
    <cfRule type="expression" dxfId="9264" priority="1020">
      <formula>B365=""</formula>
    </cfRule>
  </conditionalFormatting>
  <conditionalFormatting sqref="E366">
    <cfRule type="expression" dxfId="9263" priority="1019">
      <formula>B366=""</formula>
    </cfRule>
  </conditionalFormatting>
  <conditionalFormatting sqref="E367">
    <cfRule type="expression" dxfId="9262" priority="1018">
      <formula>B367=""</formula>
    </cfRule>
  </conditionalFormatting>
  <conditionalFormatting sqref="E368">
    <cfRule type="expression" dxfId="9261" priority="1017">
      <formula>B368=""</formula>
    </cfRule>
  </conditionalFormatting>
  <conditionalFormatting sqref="E369">
    <cfRule type="expression" dxfId="9260" priority="1016">
      <formula>B369=""</formula>
    </cfRule>
  </conditionalFormatting>
  <conditionalFormatting sqref="E370">
    <cfRule type="expression" dxfId="9259" priority="1015">
      <formula>B370=""</formula>
    </cfRule>
  </conditionalFormatting>
  <conditionalFormatting sqref="E371">
    <cfRule type="expression" dxfId="9258" priority="1014">
      <formula>B371=""</formula>
    </cfRule>
  </conditionalFormatting>
  <conditionalFormatting sqref="E372">
    <cfRule type="expression" dxfId="9257" priority="1013">
      <formula>B372=""</formula>
    </cfRule>
  </conditionalFormatting>
  <conditionalFormatting sqref="E353 E355 E357 E359 E361 E363 E365 E367 E369 E371">
    <cfRule type="expression" dxfId="9256" priority="1012">
      <formula>B353=""</formula>
    </cfRule>
  </conditionalFormatting>
  <conditionalFormatting sqref="E354:E364">
    <cfRule type="expression" dxfId="9255" priority="1011">
      <formula>B354=""</formula>
    </cfRule>
  </conditionalFormatting>
  <conditionalFormatting sqref="E365">
    <cfRule type="expression" dxfId="9254" priority="1010">
      <formula>B365=""</formula>
    </cfRule>
  </conditionalFormatting>
  <conditionalFormatting sqref="E366">
    <cfRule type="expression" dxfId="9253" priority="1009">
      <formula>B366=""</formula>
    </cfRule>
  </conditionalFormatting>
  <conditionalFormatting sqref="E367">
    <cfRule type="expression" dxfId="9252" priority="1008">
      <formula>B367=""</formula>
    </cfRule>
  </conditionalFormatting>
  <conditionalFormatting sqref="E368">
    <cfRule type="expression" dxfId="9251" priority="1007">
      <formula>B368=""</formula>
    </cfRule>
  </conditionalFormatting>
  <conditionalFormatting sqref="E369">
    <cfRule type="expression" dxfId="9250" priority="1006">
      <formula>B369=""</formula>
    </cfRule>
  </conditionalFormatting>
  <conditionalFormatting sqref="E370">
    <cfRule type="expression" dxfId="9249" priority="1005">
      <formula>B370=""</formula>
    </cfRule>
  </conditionalFormatting>
  <conditionalFormatting sqref="E371">
    <cfRule type="expression" dxfId="9248" priority="1004">
      <formula>B371=""</formula>
    </cfRule>
  </conditionalFormatting>
  <conditionalFormatting sqref="E372">
    <cfRule type="expression" dxfId="9247" priority="1003">
      <formula>B372=""</formula>
    </cfRule>
  </conditionalFormatting>
  <conditionalFormatting sqref="E374 E376 E378 E380 E382 E384 E386 E388 E390 E392">
    <cfRule type="expression" dxfId="9246" priority="1002">
      <formula>B374=""</formula>
    </cfRule>
  </conditionalFormatting>
  <conditionalFormatting sqref="E375 E377 E379 E381 E383 E385 E387 E389 E391 E393">
    <cfRule type="expression" dxfId="9245" priority="1001">
      <formula>B375=""</formula>
    </cfRule>
  </conditionalFormatting>
  <conditionalFormatting sqref="E376:E386">
    <cfRule type="expression" dxfId="9244" priority="1000">
      <formula>B376=""</formula>
    </cfRule>
  </conditionalFormatting>
  <conditionalFormatting sqref="E387">
    <cfRule type="expression" dxfId="9243" priority="999">
      <formula>B387=""</formula>
    </cfRule>
  </conditionalFormatting>
  <conditionalFormatting sqref="E388">
    <cfRule type="expression" dxfId="9242" priority="998">
      <formula>B388=""</formula>
    </cfRule>
  </conditionalFormatting>
  <conditionalFormatting sqref="E389">
    <cfRule type="expression" dxfId="9241" priority="997">
      <formula>B389=""</formula>
    </cfRule>
  </conditionalFormatting>
  <conditionalFormatting sqref="E390">
    <cfRule type="expression" dxfId="9240" priority="996">
      <formula>B390=""</formula>
    </cfRule>
  </conditionalFormatting>
  <conditionalFormatting sqref="E391">
    <cfRule type="expression" dxfId="9239" priority="995">
      <formula>B391=""</formula>
    </cfRule>
  </conditionalFormatting>
  <conditionalFormatting sqref="E392">
    <cfRule type="expression" dxfId="9238" priority="994">
      <formula>B392=""</formula>
    </cfRule>
  </conditionalFormatting>
  <conditionalFormatting sqref="E393">
    <cfRule type="expression" dxfId="9237" priority="993">
      <formula>B393=""</formula>
    </cfRule>
  </conditionalFormatting>
  <conditionalFormatting sqref="E394">
    <cfRule type="expression" dxfId="9236" priority="992">
      <formula>B394=""</formula>
    </cfRule>
  </conditionalFormatting>
  <conditionalFormatting sqref="E375 E377 E379 E381 E383 E385 E387 E389 E391 E393">
    <cfRule type="expression" dxfId="9235" priority="991">
      <formula>B375=""</formula>
    </cfRule>
  </conditionalFormatting>
  <conditionalFormatting sqref="E376:E386">
    <cfRule type="expression" dxfId="9234" priority="990">
      <formula>B376=""</formula>
    </cfRule>
  </conditionalFormatting>
  <conditionalFormatting sqref="E387">
    <cfRule type="expression" dxfId="9233" priority="989">
      <formula>B387=""</formula>
    </cfRule>
  </conditionalFormatting>
  <conditionalFormatting sqref="E388">
    <cfRule type="expression" dxfId="9232" priority="988">
      <formula>B388=""</formula>
    </cfRule>
  </conditionalFormatting>
  <conditionalFormatting sqref="E389">
    <cfRule type="expression" dxfId="9231" priority="987">
      <formula>B389=""</formula>
    </cfRule>
  </conditionalFormatting>
  <conditionalFormatting sqref="E390">
    <cfRule type="expression" dxfId="9230" priority="986">
      <formula>B390=""</formula>
    </cfRule>
  </conditionalFormatting>
  <conditionalFormatting sqref="E391">
    <cfRule type="expression" dxfId="9229" priority="985">
      <formula>B391=""</formula>
    </cfRule>
  </conditionalFormatting>
  <conditionalFormatting sqref="E392">
    <cfRule type="expression" dxfId="9228" priority="984">
      <formula>B392=""</formula>
    </cfRule>
  </conditionalFormatting>
  <conditionalFormatting sqref="E393">
    <cfRule type="expression" dxfId="9227" priority="983">
      <formula>B393=""</formula>
    </cfRule>
  </conditionalFormatting>
  <conditionalFormatting sqref="E394">
    <cfRule type="expression" dxfId="9226" priority="982">
      <formula>B394=""</formula>
    </cfRule>
  </conditionalFormatting>
  <conditionalFormatting sqref="E308:E327">
    <cfRule type="expression" dxfId="9225" priority="981">
      <formula>B308=""</formula>
    </cfRule>
  </conditionalFormatting>
  <conditionalFormatting sqref="E309 E311 E313 E315 E317 E319 E321 E323 E325 E327">
    <cfRule type="expression" dxfId="9224" priority="980">
      <formula>B309=""</formula>
    </cfRule>
  </conditionalFormatting>
  <conditionalFormatting sqref="E310:E320">
    <cfRule type="expression" dxfId="9223" priority="979">
      <formula>B310=""</formula>
    </cfRule>
  </conditionalFormatting>
  <conditionalFormatting sqref="E321">
    <cfRule type="expression" dxfId="9222" priority="978">
      <formula>B321=""</formula>
    </cfRule>
  </conditionalFormatting>
  <conditionalFormatting sqref="E322">
    <cfRule type="expression" dxfId="9221" priority="977">
      <formula>B322=""</formula>
    </cfRule>
  </conditionalFormatting>
  <conditionalFormatting sqref="E323">
    <cfRule type="expression" dxfId="9220" priority="976">
      <formula>B323=""</formula>
    </cfRule>
  </conditionalFormatting>
  <conditionalFormatting sqref="E324">
    <cfRule type="expression" dxfId="9219" priority="975">
      <formula>B324=""</formula>
    </cfRule>
  </conditionalFormatting>
  <conditionalFormatting sqref="E325">
    <cfRule type="expression" dxfId="9218" priority="974">
      <formula>B325=""</formula>
    </cfRule>
  </conditionalFormatting>
  <conditionalFormatting sqref="E326">
    <cfRule type="expression" dxfId="9217" priority="973">
      <formula>B326=""</formula>
    </cfRule>
  </conditionalFormatting>
  <conditionalFormatting sqref="E327">
    <cfRule type="expression" dxfId="9216" priority="972">
      <formula>B327=""</formula>
    </cfRule>
  </conditionalFormatting>
  <conditionalFormatting sqref="E309 E311 E313 E315 E317 E319 E321 E323 E325 E327">
    <cfRule type="expression" dxfId="9215" priority="971">
      <formula>B309=""</formula>
    </cfRule>
  </conditionalFormatting>
  <conditionalFormatting sqref="E310:E320">
    <cfRule type="expression" dxfId="9214" priority="970">
      <formula>B310=""</formula>
    </cfRule>
  </conditionalFormatting>
  <conditionalFormatting sqref="E321">
    <cfRule type="expression" dxfId="9213" priority="969">
      <formula>B321=""</formula>
    </cfRule>
  </conditionalFormatting>
  <conditionalFormatting sqref="E322">
    <cfRule type="expression" dxfId="9212" priority="968">
      <formula>B322=""</formula>
    </cfRule>
  </conditionalFormatting>
  <conditionalFormatting sqref="E323">
    <cfRule type="expression" dxfId="9211" priority="967">
      <formula>B323=""</formula>
    </cfRule>
  </conditionalFormatting>
  <conditionalFormatting sqref="E324">
    <cfRule type="expression" dxfId="9210" priority="966">
      <formula>B324=""</formula>
    </cfRule>
  </conditionalFormatting>
  <conditionalFormatting sqref="E325">
    <cfRule type="expression" dxfId="9209" priority="965">
      <formula>B325=""</formula>
    </cfRule>
  </conditionalFormatting>
  <conditionalFormatting sqref="E326">
    <cfRule type="expression" dxfId="9208" priority="964">
      <formula>B326=""</formula>
    </cfRule>
  </conditionalFormatting>
  <conditionalFormatting sqref="E327">
    <cfRule type="expression" dxfId="9207" priority="963">
      <formula>B327=""</formula>
    </cfRule>
  </conditionalFormatting>
  <conditionalFormatting sqref="E330 E332 E334 E336 E338 E340 E342 E344 E346 E348">
    <cfRule type="expression" dxfId="9206" priority="962">
      <formula>B330=""</formula>
    </cfRule>
  </conditionalFormatting>
  <conditionalFormatting sqref="E331 E333 E335 E337 E339 E341 E343 E345 E347 E349">
    <cfRule type="expression" dxfId="9205" priority="961">
      <formula>B331=""</formula>
    </cfRule>
  </conditionalFormatting>
  <conditionalFormatting sqref="E332:E342">
    <cfRule type="expression" dxfId="9204" priority="960">
      <formula>B332=""</formula>
    </cfRule>
  </conditionalFormatting>
  <conditionalFormatting sqref="E343">
    <cfRule type="expression" dxfId="9203" priority="959">
      <formula>B343=""</formula>
    </cfRule>
  </conditionalFormatting>
  <conditionalFormatting sqref="E344">
    <cfRule type="expression" dxfId="9202" priority="958">
      <formula>B344=""</formula>
    </cfRule>
  </conditionalFormatting>
  <conditionalFormatting sqref="E345">
    <cfRule type="expression" dxfId="9201" priority="957">
      <formula>B345=""</formula>
    </cfRule>
  </conditionalFormatting>
  <conditionalFormatting sqref="E346">
    <cfRule type="expression" dxfId="9200" priority="956">
      <formula>B346=""</formula>
    </cfRule>
  </conditionalFormatting>
  <conditionalFormatting sqref="E347">
    <cfRule type="expression" dxfId="9199" priority="955">
      <formula>B347=""</formula>
    </cfRule>
  </conditionalFormatting>
  <conditionalFormatting sqref="E348">
    <cfRule type="expression" dxfId="9198" priority="954">
      <formula>B348=""</formula>
    </cfRule>
  </conditionalFormatting>
  <conditionalFormatting sqref="E349">
    <cfRule type="expression" dxfId="9197" priority="953">
      <formula>B349=""</formula>
    </cfRule>
  </conditionalFormatting>
  <conditionalFormatting sqref="E331 E333 E335 E337 E339 E341 E343 E345 E347 E349">
    <cfRule type="expression" dxfId="9196" priority="952">
      <formula>B331=""</formula>
    </cfRule>
  </conditionalFormatting>
  <conditionalFormatting sqref="E332:E342">
    <cfRule type="expression" dxfId="9195" priority="951">
      <formula>B332=""</formula>
    </cfRule>
  </conditionalFormatting>
  <conditionalFormatting sqref="E343">
    <cfRule type="expression" dxfId="9194" priority="950">
      <formula>B343=""</formula>
    </cfRule>
  </conditionalFormatting>
  <conditionalFormatting sqref="E344">
    <cfRule type="expression" dxfId="9193" priority="949">
      <formula>B344=""</formula>
    </cfRule>
  </conditionalFormatting>
  <conditionalFormatting sqref="E345">
    <cfRule type="expression" dxfId="9192" priority="948">
      <formula>B345=""</formula>
    </cfRule>
  </conditionalFormatting>
  <conditionalFormatting sqref="E346">
    <cfRule type="expression" dxfId="9191" priority="947">
      <formula>B346=""</formula>
    </cfRule>
  </conditionalFormatting>
  <conditionalFormatting sqref="E347">
    <cfRule type="expression" dxfId="9190" priority="946">
      <formula>B347=""</formula>
    </cfRule>
  </conditionalFormatting>
  <conditionalFormatting sqref="E348">
    <cfRule type="expression" dxfId="9189" priority="945">
      <formula>B348=""</formula>
    </cfRule>
  </conditionalFormatting>
  <conditionalFormatting sqref="E349">
    <cfRule type="expression" dxfId="9188" priority="944">
      <formula>B349=""</formula>
    </cfRule>
  </conditionalFormatting>
  <conditionalFormatting sqref="E330:E349">
    <cfRule type="expression" dxfId="9187" priority="943">
      <formula>B330=""</formula>
    </cfRule>
  </conditionalFormatting>
  <conditionalFormatting sqref="E331 E333 E335 E337 E339 E341 E343 E345 E347 E349">
    <cfRule type="expression" dxfId="9186" priority="942">
      <formula>B331=""</formula>
    </cfRule>
  </conditionalFormatting>
  <conditionalFormatting sqref="E332:E342">
    <cfRule type="expression" dxfId="9185" priority="941">
      <formula>B332=""</formula>
    </cfRule>
  </conditionalFormatting>
  <conditionalFormatting sqref="E343">
    <cfRule type="expression" dxfId="9184" priority="940">
      <formula>B343=""</formula>
    </cfRule>
  </conditionalFormatting>
  <conditionalFormatting sqref="E344">
    <cfRule type="expression" dxfId="9183" priority="939">
      <formula>B344=""</formula>
    </cfRule>
  </conditionalFormatting>
  <conditionalFormatting sqref="E345">
    <cfRule type="expression" dxfId="9182" priority="938">
      <formula>B345=""</formula>
    </cfRule>
  </conditionalFormatting>
  <conditionalFormatting sqref="E346">
    <cfRule type="expression" dxfId="9181" priority="937">
      <formula>B346=""</formula>
    </cfRule>
  </conditionalFormatting>
  <conditionalFormatting sqref="E347">
    <cfRule type="expression" dxfId="9180" priority="936">
      <formula>B347=""</formula>
    </cfRule>
  </conditionalFormatting>
  <conditionalFormatting sqref="E348">
    <cfRule type="expression" dxfId="9179" priority="935">
      <formula>B348=""</formula>
    </cfRule>
  </conditionalFormatting>
  <conditionalFormatting sqref="E349">
    <cfRule type="expression" dxfId="9178" priority="934">
      <formula>B349=""</formula>
    </cfRule>
  </conditionalFormatting>
  <conditionalFormatting sqref="E331 E333 E335 E337 E339 E341 E343 E345 E347 E349">
    <cfRule type="expression" dxfId="9177" priority="933">
      <formula>B331=""</formula>
    </cfRule>
  </conditionalFormatting>
  <conditionalFormatting sqref="E332:E342">
    <cfRule type="expression" dxfId="9176" priority="932">
      <formula>B332=""</formula>
    </cfRule>
  </conditionalFormatting>
  <conditionalFormatting sqref="E343">
    <cfRule type="expression" dxfId="9175" priority="931">
      <formula>B343=""</formula>
    </cfRule>
  </conditionalFormatting>
  <conditionalFormatting sqref="E344">
    <cfRule type="expression" dxfId="9174" priority="930">
      <formula>B344=""</formula>
    </cfRule>
  </conditionalFormatting>
  <conditionalFormatting sqref="E345">
    <cfRule type="expression" dxfId="9173" priority="929">
      <formula>B345=""</formula>
    </cfRule>
  </conditionalFormatting>
  <conditionalFormatting sqref="E346">
    <cfRule type="expression" dxfId="9172" priority="928">
      <formula>B346=""</formula>
    </cfRule>
  </conditionalFormatting>
  <conditionalFormatting sqref="E347">
    <cfRule type="expression" dxfId="9171" priority="927">
      <formula>B347=""</formula>
    </cfRule>
  </conditionalFormatting>
  <conditionalFormatting sqref="E348">
    <cfRule type="expression" dxfId="9170" priority="926">
      <formula>B348=""</formula>
    </cfRule>
  </conditionalFormatting>
  <conditionalFormatting sqref="E349">
    <cfRule type="expression" dxfId="9169" priority="925">
      <formula>B349=""</formula>
    </cfRule>
  </conditionalFormatting>
  <conditionalFormatting sqref="E308 E310 E312 E314 E316 E318 E320 E322 E324 E326">
    <cfRule type="expression" dxfId="9168" priority="924">
      <formula>B308=""</formula>
    </cfRule>
  </conditionalFormatting>
  <conditionalFormatting sqref="E309 E311 E313 E315 E317 E319 E321 E323 E325 E327">
    <cfRule type="expression" dxfId="9167" priority="923">
      <formula>B309=""</formula>
    </cfRule>
  </conditionalFormatting>
  <conditionalFormatting sqref="E310:E320">
    <cfRule type="expression" dxfId="9166" priority="922">
      <formula>B310=""</formula>
    </cfRule>
  </conditionalFormatting>
  <conditionalFormatting sqref="E321:E323">
    <cfRule type="expression" dxfId="9165" priority="921">
      <formula>B321=""</formula>
    </cfRule>
  </conditionalFormatting>
  <conditionalFormatting sqref="E322">
    <cfRule type="expression" dxfId="9164" priority="920">
      <formula>B322=""</formula>
    </cfRule>
  </conditionalFormatting>
  <conditionalFormatting sqref="E323">
    <cfRule type="expression" dxfId="9163" priority="919">
      <formula>B323=""</formula>
    </cfRule>
  </conditionalFormatting>
  <conditionalFormatting sqref="E324">
    <cfRule type="expression" dxfId="9162" priority="918">
      <formula>B324=""</formula>
    </cfRule>
  </conditionalFormatting>
  <conditionalFormatting sqref="E325">
    <cfRule type="expression" dxfId="9161" priority="917">
      <formula>B325=""</formula>
    </cfRule>
  </conditionalFormatting>
  <conditionalFormatting sqref="E326">
    <cfRule type="expression" dxfId="9160" priority="916">
      <formula>B326=""</formula>
    </cfRule>
  </conditionalFormatting>
  <conditionalFormatting sqref="E327:E328">
    <cfRule type="expression" dxfId="9159" priority="915">
      <formula>B327=""</formula>
    </cfRule>
  </conditionalFormatting>
  <conditionalFormatting sqref="E328">
    <cfRule type="expression" dxfId="9158" priority="914">
      <formula>B328=""</formula>
    </cfRule>
  </conditionalFormatting>
  <conditionalFormatting sqref="E309 E311 E313 E315 E317 E319 E321 E323 E325 E327">
    <cfRule type="expression" dxfId="9157" priority="913">
      <formula>B309=""</formula>
    </cfRule>
  </conditionalFormatting>
  <conditionalFormatting sqref="E310:E320">
    <cfRule type="expression" dxfId="9156" priority="912">
      <formula>B310=""</formula>
    </cfRule>
  </conditionalFormatting>
  <conditionalFormatting sqref="E321:E323">
    <cfRule type="expression" dxfId="9155" priority="911">
      <formula>B321=""</formula>
    </cfRule>
  </conditionalFormatting>
  <conditionalFormatting sqref="E322">
    <cfRule type="expression" dxfId="9154" priority="910">
      <formula>B322=""</formula>
    </cfRule>
  </conditionalFormatting>
  <conditionalFormatting sqref="E323">
    <cfRule type="expression" dxfId="9153" priority="909">
      <formula>B323=""</formula>
    </cfRule>
  </conditionalFormatting>
  <conditionalFormatting sqref="E324">
    <cfRule type="expression" dxfId="9152" priority="908">
      <formula>B324=""</formula>
    </cfRule>
  </conditionalFormatting>
  <conditionalFormatting sqref="E325">
    <cfRule type="expression" dxfId="9151" priority="907">
      <formula>B325=""</formula>
    </cfRule>
  </conditionalFormatting>
  <conditionalFormatting sqref="E326">
    <cfRule type="expression" dxfId="9150" priority="906">
      <formula>B326=""</formula>
    </cfRule>
  </conditionalFormatting>
  <conditionalFormatting sqref="E327:E328">
    <cfRule type="expression" dxfId="9149" priority="905">
      <formula>B327=""</formula>
    </cfRule>
  </conditionalFormatting>
  <conditionalFormatting sqref="E328">
    <cfRule type="expression" dxfId="9148" priority="904">
      <formula>B328=""</formula>
    </cfRule>
  </conditionalFormatting>
  <conditionalFormatting sqref="E330 E332 E334 E336 E338 E340 E342 E344 E346 E348">
    <cfRule type="expression" dxfId="9147" priority="903">
      <formula>B330=""</formula>
    </cfRule>
  </conditionalFormatting>
  <conditionalFormatting sqref="E331 E333 E335 E337 E339 E341 E343 E345 E347 E349">
    <cfRule type="expression" dxfId="9146" priority="902">
      <formula>B331=""</formula>
    </cfRule>
  </conditionalFormatting>
  <conditionalFormatting sqref="E332:E342">
    <cfRule type="expression" dxfId="9145" priority="901">
      <formula>B332=""</formula>
    </cfRule>
  </conditionalFormatting>
  <conditionalFormatting sqref="E343">
    <cfRule type="expression" dxfId="9144" priority="900">
      <formula>B343=""</formula>
    </cfRule>
  </conditionalFormatting>
  <conditionalFormatting sqref="E344">
    <cfRule type="expression" dxfId="9143" priority="899">
      <formula>B344=""</formula>
    </cfRule>
  </conditionalFormatting>
  <conditionalFormatting sqref="E345">
    <cfRule type="expression" dxfId="9142" priority="898">
      <formula>B345=""</formula>
    </cfRule>
  </conditionalFormatting>
  <conditionalFormatting sqref="E346">
    <cfRule type="expression" dxfId="9141" priority="897">
      <formula>B346=""</formula>
    </cfRule>
  </conditionalFormatting>
  <conditionalFormatting sqref="E347">
    <cfRule type="expression" dxfId="9140" priority="896">
      <formula>B347=""</formula>
    </cfRule>
  </conditionalFormatting>
  <conditionalFormatting sqref="E348">
    <cfRule type="expression" dxfId="9139" priority="895">
      <formula>B348=""</formula>
    </cfRule>
  </conditionalFormatting>
  <conditionalFormatting sqref="E349:E350">
    <cfRule type="expression" dxfId="9138" priority="894">
      <formula>B349=""</formula>
    </cfRule>
  </conditionalFormatting>
  <conditionalFormatting sqref="E350">
    <cfRule type="expression" dxfId="9137" priority="893">
      <formula>B350=""</formula>
    </cfRule>
  </conditionalFormatting>
  <conditionalFormatting sqref="E331 E333 E335 E337 E339 E341 E343 E345 E347 E349">
    <cfRule type="expression" dxfId="9136" priority="892">
      <formula>B331=""</formula>
    </cfRule>
  </conditionalFormatting>
  <conditionalFormatting sqref="E332:E342">
    <cfRule type="expression" dxfId="9135" priority="891">
      <formula>B332=""</formula>
    </cfRule>
  </conditionalFormatting>
  <conditionalFormatting sqref="E343">
    <cfRule type="expression" dxfId="9134" priority="890">
      <formula>B343=""</formula>
    </cfRule>
  </conditionalFormatting>
  <conditionalFormatting sqref="E344">
    <cfRule type="expression" dxfId="9133" priority="889">
      <formula>B344=""</formula>
    </cfRule>
  </conditionalFormatting>
  <conditionalFormatting sqref="E345">
    <cfRule type="expression" dxfId="9132" priority="888">
      <formula>B345=""</formula>
    </cfRule>
  </conditionalFormatting>
  <conditionalFormatting sqref="E346">
    <cfRule type="expression" dxfId="9131" priority="887">
      <formula>B346=""</formula>
    </cfRule>
  </conditionalFormatting>
  <conditionalFormatting sqref="E347">
    <cfRule type="expression" dxfId="9130" priority="886">
      <formula>B347=""</formula>
    </cfRule>
  </conditionalFormatting>
  <conditionalFormatting sqref="E348">
    <cfRule type="expression" dxfId="9129" priority="885">
      <formula>B348=""</formula>
    </cfRule>
  </conditionalFormatting>
  <conditionalFormatting sqref="E349:E350">
    <cfRule type="expression" dxfId="9128" priority="884">
      <formula>B349=""</formula>
    </cfRule>
  </conditionalFormatting>
  <conditionalFormatting sqref="E350">
    <cfRule type="expression" dxfId="9127" priority="883">
      <formula>B350=""</formula>
    </cfRule>
  </conditionalFormatting>
  <conditionalFormatting sqref="E352:E372">
    <cfRule type="expression" dxfId="9126" priority="882">
      <formula>B352=""</formula>
    </cfRule>
  </conditionalFormatting>
  <conditionalFormatting sqref="E353 E355 E357 E359 E361 E363 E365 E367 E369 E371">
    <cfRule type="expression" dxfId="9125" priority="881">
      <formula>B353=""</formula>
    </cfRule>
  </conditionalFormatting>
  <conditionalFormatting sqref="E354:E364">
    <cfRule type="expression" dxfId="9124" priority="880">
      <formula>B354=""</formula>
    </cfRule>
  </conditionalFormatting>
  <conditionalFormatting sqref="E365">
    <cfRule type="expression" dxfId="9123" priority="879">
      <formula>B365=""</formula>
    </cfRule>
  </conditionalFormatting>
  <conditionalFormatting sqref="E366">
    <cfRule type="expression" dxfId="9122" priority="878">
      <formula>B366=""</formula>
    </cfRule>
  </conditionalFormatting>
  <conditionalFormatting sqref="E367">
    <cfRule type="expression" dxfId="9121" priority="877">
      <formula>B367=""</formula>
    </cfRule>
  </conditionalFormatting>
  <conditionalFormatting sqref="E368">
    <cfRule type="expression" dxfId="9120" priority="876">
      <formula>B368=""</formula>
    </cfRule>
  </conditionalFormatting>
  <conditionalFormatting sqref="E369">
    <cfRule type="expression" dxfId="9119" priority="875">
      <formula>B369=""</formula>
    </cfRule>
  </conditionalFormatting>
  <conditionalFormatting sqref="E370">
    <cfRule type="expression" dxfId="9118" priority="874">
      <formula>B370=""</formula>
    </cfRule>
  </conditionalFormatting>
  <conditionalFormatting sqref="E371">
    <cfRule type="expression" dxfId="9117" priority="873">
      <formula>B371=""</formula>
    </cfRule>
  </conditionalFormatting>
  <conditionalFormatting sqref="E372">
    <cfRule type="expression" dxfId="9116" priority="872">
      <formula>B372=""</formula>
    </cfRule>
  </conditionalFormatting>
  <conditionalFormatting sqref="E353 E355 E357 E359 E361 E363 E365 E367 E369 E371">
    <cfRule type="expression" dxfId="9115" priority="871">
      <formula>B353=""</formula>
    </cfRule>
  </conditionalFormatting>
  <conditionalFormatting sqref="E354:E364">
    <cfRule type="expression" dxfId="9114" priority="870">
      <formula>B354=""</formula>
    </cfRule>
  </conditionalFormatting>
  <conditionalFormatting sqref="E365">
    <cfRule type="expression" dxfId="9113" priority="869">
      <formula>B365=""</formula>
    </cfRule>
  </conditionalFormatting>
  <conditionalFormatting sqref="E366">
    <cfRule type="expression" dxfId="9112" priority="868">
      <formula>B366=""</formula>
    </cfRule>
  </conditionalFormatting>
  <conditionalFormatting sqref="E367">
    <cfRule type="expression" dxfId="9111" priority="867">
      <formula>B367=""</formula>
    </cfRule>
  </conditionalFormatting>
  <conditionalFormatting sqref="E368">
    <cfRule type="expression" dxfId="9110" priority="866">
      <formula>B368=""</formula>
    </cfRule>
  </conditionalFormatting>
  <conditionalFormatting sqref="E369">
    <cfRule type="expression" dxfId="9109" priority="865">
      <formula>B369=""</formula>
    </cfRule>
  </conditionalFormatting>
  <conditionalFormatting sqref="E370">
    <cfRule type="expression" dxfId="9108" priority="864">
      <formula>B370=""</formula>
    </cfRule>
  </conditionalFormatting>
  <conditionalFormatting sqref="E371">
    <cfRule type="expression" dxfId="9107" priority="863">
      <formula>B371=""</formula>
    </cfRule>
  </conditionalFormatting>
  <conditionalFormatting sqref="E372">
    <cfRule type="expression" dxfId="9106" priority="862">
      <formula>B372=""</formula>
    </cfRule>
  </conditionalFormatting>
  <conditionalFormatting sqref="E374 E376 E378 E380 E382 E384 E386 E388 E390 E392">
    <cfRule type="expression" dxfId="9105" priority="861">
      <formula>B374=""</formula>
    </cfRule>
  </conditionalFormatting>
  <conditionalFormatting sqref="E375 E377 E379 E381 E383 E385 E387 E389 E391 E393">
    <cfRule type="expression" dxfId="9104" priority="860">
      <formula>B375=""</formula>
    </cfRule>
  </conditionalFormatting>
  <conditionalFormatting sqref="E376:E386">
    <cfRule type="expression" dxfId="9103" priority="859">
      <formula>B376=""</formula>
    </cfRule>
  </conditionalFormatting>
  <conditionalFormatting sqref="E387">
    <cfRule type="expression" dxfId="9102" priority="858">
      <formula>B387=""</formula>
    </cfRule>
  </conditionalFormatting>
  <conditionalFormatting sqref="E388">
    <cfRule type="expression" dxfId="9101" priority="857">
      <formula>B388=""</formula>
    </cfRule>
  </conditionalFormatting>
  <conditionalFormatting sqref="E389">
    <cfRule type="expression" dxfId="9100" priority="856">
      <formula>B389=""</formula>
    </cfRule>
  </conditionalFormatting>
  <conditionalFormatting sqref="E390">
    <cfRule type="expression" dxfId="9099" priority="855">
      <formula>B390=""</formula>
    </cfRule>
  </conditionalFormatting>
  <conditionalFormatting sqref="E391">
    <cfRule type="expression" dxfId="9098" priority="854">
      <formula>B391=""</formula>
    </cfRule>
  </conditionalFormatting>
  <conditionalFormatting sqref="E392">
    <cfRule type="expression" dxfId="9097" priority="853">
      <formula>B392=""</formula>
    </cfRule>
  </conditionalFormatting>
  <conditionalFormatting sqref="E393">
    <cfRule type="expression" dxfId="9096" priority="852">
      <formula>B393=""</formula>
    </cfRule>
  </conditionalFormatting>
  <conditionalFormatting sqref="E394">
    <cfRule type="expression" dxfId="9095" priority="851">
      <formula>B394=""</formula>
    </cfRule>
  </conditionalFormatting>
  <conditionalFormatting sqref="E375 E377 E379 E381 E383 E385 E387 E389 E391 E393">
    <cfRule type="expression" dxfId="9094" priority="850">
      <formula>B375=""</formula>
    </cfRule>
  </conditionalFormatting>
  <conditionalFormatting sqref="E376:E386">
    <cfRule type="expression" dxfId="9093" priority="849">
      <formula>B376=""</formula>
    </cfRule>
  </conditionalFormatting>
  <conditionalFormatting sqref="E387">
    <cfRule type="expression" dxfId="9092" priority="848">
      <formula>B387=""</formula>
    </cfRule>
  </conditionalFormatting>
  <conditionalFormatting sqref="E388">
    <cfRule type="expression" dxfId="9091" priority="847">
      <formula>B388=""</formula>
    </cfRule>
  </conditionalFormatting>
  <conditionalFormatting sqref="E389">
    <cfRule type="expression" dxfId="9090" priority="846">
      <formula>B389=""</formula>
    </cfRule>
  </conditionalFormatting>
  <conditionalFormatting sqref="E390">
    <cfRule type="expression" dxfId="9089" priority="845">
      <formula>B390=""</formula>
    </cfRule>
  </conditionalFormatting>
  <conditionalFormatting sqref="E391">
    <cfRule type="expression" dxfId="9088" priority="844">
      <formula>B391=""</formula>
    </cfRule>
  </conditionalFormatting>
  <conditionalFormatting sqref="E392">
    <cfRule type="expression" dxfId="9087" priority="843">
      <formula>B392=""</formula>
    </cfRule>
  </conditionalFormatting>
  <conditionalFormatting sqref="E393">
    <cfRule type="expression" dxfId="9086" priority="842">
      <formula>B393=""</formula>
    </cfRule>
  </conditionalFormatting>
  <conditionalFormatting sqref="E394">
    <cfRule type="expression" dxfId="9085" priority="841">
      <formula>B394=""</formula>
    </cfRule>
  </conditionalFormatting>
  <conditionalFormatting sqref="E308:E328">
    <cfRule type="expression" dxfId="9084" priority="840">
      <formula>B308=""</formula>
    </cfRule>
  </conditionalFormatting>
  <conditionalFormatting sqref="E309 E311 E313 E315 E317 E319 E321 E323 E325 E327">
    <cfRule type="expression" dxfId="9083" priority="839">
      <formula>B309=""</formula>
    </cfRule>
  </conditionalFormatting>
  <conditionalFormatting sqref="E310:E320">
    <cfRule type="expression" dxfId="9082" priority="838">
      <formula>B310=""</formula>
    </cfRule>
  </conditionalFormatting>
  <conditionalFormatting sqref="E321:E323">
    <cfRule type="expression" dxfId="9081" priority="837">
      <formula>B321=""</formula>
    </cfRule>
  </conditionalFormatting>
  <conditionalFormatting sqref="E322">
    <cfRule type="expression" dxfId="9080" priority="836">
      <formula>B322=""</formula>
    </cfRule>
  </conditionalFormatting>
  <conditionalFormatting sqref="E323">
    <cfRule type="expression" dxfId="9079" priority="835">
      <formula>B323=""</formula>
    </cfRule>
  </conditionalFormatting>
  <conditionalFormatting sqref="E324">
    <cfRule type="expression" dxfId="9078" priority="834">
      <formula>B324=""</formula>
    </cfRule>
  </conditionalFormatting>
  <conditionalFormatting sqref="E325">
    <cfRule type="expression" dxfId="9077" priority="833">
      <formula>B325=""</formula>
    </cfRule>
  </conditionalFormatting>
  <conditionalFormatting sqref="E326">
    <cfRule type="expression" dxfId="9076" priority="832">
      <formula>B326=""</formula>
    </cfRule>
  </conditionalFormatting>
  <conditionalFormatting sqref="E327:E328">
    <cfRule type="expression" dxfId="9075" priority="831">
      <formula>B327=""</formula>
    </cfRule>
  </conditionalFormatting>
  <conditionalFormatting sqref="E309 E311 E313 E315 E317 E319 E321 E323 E325 E327">
    <cfRule type="expression" dxfId="9074" priority="830">
      <formula>B309=""</formula>
    </cfRule>
  </conditionalFormatting>
  <conditionalFormatting sqref="E310:E320">
    <cfRule type="expression" dxfId="9073" priority="829">
      <formula>B310=""</formula>
    </cfRule>
  </conditionalFormatting>
  <conditionalFormatting sqref="E321:E323">
    <cfRule type="expression" dxfId="9072" priority="828">
      <formula>B321=""</formula>
    </cfRule>
  </conditionalFormatting>
  <conditionalFormatting sqref="E322">
    <cfRule type="expression" dxfId="9071" priority="827">
      <formula>B322=""</formula>
    </cfRule>
  </conditionalFormatting>
  <conditionalFormatting sqref="E323">
    <cfRule type="expression" dxfId="9070" priority="826">
      <formula>B323=""</formula>
    </cfRule>
  </conditionalFormatting>
  <conditionalFormatting sqref="E324">
    <cfRule type="expression" dxfId="9069" priority="825">
      <formula>B324=""</formula>
    </cfRule>
  </conditionalFormatting>
  <conditionalFormatting sqref="E325">
    <cfRule type="expression" dxfId="9068" priority="824">
      <formula>B325=""</formula>
    </cfRule>
  </conditionalFormatting>
  <conditionalFormatting sqref="E326">
    <cfRule type="expression" dxfId="9067" priority="823">
      <formula>B326=""</formula>
    </cfRule>
  </conditionalFormatting>
  <conditionalFormatting sqref="E327:E328">
    <cfRule type="expression" dxfId="9066" priority="822">
      <formula>B327=""</formula>
    </cfRule>
  </conditionalFormatting>
  <conditionalFormatting sqref="E330 E332 E334 E336 E338 E340 E342 E344 E346 E348">
    <cfRule type="expression" dxfId="9065" priority="821">
      <formula>B330=""</formula>
    </cfRule>
  </conditionalFormatting>
  <conditionalFormatting sqref="E331 E333 E335 E337 E339 E341 E343 E345 E347 E349">
    <cfRule type="expression" dxfId="9064" priority="820">
      <formula>B331=""</formula>
    </cfRule>
  </conditionalFormatting>
  <conditionalFormatting sqref="E332:E342">
    <cfRule type="expression" dxfId="9063" priority="819">
      <formula>B332=""</formula>
    </cfRule>
  </conditionalFormatting>
  <conditionalFormatting sqref="E343">
    <cfRule type="expression" dxfId="9062" priority="818">
      <formula>B343=""</formula>
    </cfRule>
  </conditionalFormatting>
  <conditionalFormatting sqref="E344">
    <cfRule type="expression" dxfId="9061" priority="817">
      <formula>B344=""</formula>
    </cfRule>
  </conditionalFormatting>
  <conditionalFormatting sqref="E345">
    <cfRule type="expression" dxfId="9060" priority="816">
      <formula>B345=""</formula>
    </cfRule>
  </conditionalFormatting>
  <conditionalFormatting sqref="E346">
    <cfRule type="expression" dxfId="9059" priority="815">
      <formula>B346=""</formula>
    </cfRule>
  </conditionalFormatting>
  <conditionalFormatting sqref="E347">
    <cfRule type="expression" dxfId="9058" priority="814">
      <formula>B347=""</formula>
    </cfRule>
  </conditionalFormatting>
  <conditionalFormatting sqref="E348">
    <cfRule type="expression" dxfId="9057" priority="813">
      <formula>B348=""</formula>
    </cfRule>
  </conditionalFormatting>
  <conditionalFormatting sqref="E349:E350">
    <cfRule type="expression" dxfId="9056" priority="812">
      <formula>B349=""</formula>
    </cfRule>
  </conditionalFormatting>
  <conditionalFormatting sqref="E331 E333 E335 E337 E339 E341 E343 E345 E347 E349">
    <cfRule type="expression" dxfId="9055" priority="811">
      <formula>B331=""</formula>
    </cfRule>
  </conditionalFormatting>
  <conditionalFormatting sqref="E332:E342">
    <cfRule type="expression" dxfId="9054" priority="810">
      <formula>B332=""</formula>
    </cfRule>
  </conditionalFormatting>
  <conditionalFormatting sqref="E343">
    <cfRule type="expression" dxfId="9053" priority="809">
      <formula>B343=""</formula>
    </cfRule>
  </conditionalFormatting>
  <conditionalFormatting sqref="E344">
    <cfRule type="expression" dxfId="9052" priority="808">
      <formula>B344=""</formula>
    </cfRule>
  </conditionalFormatting>
  <conditionalFormatting sqref="E345">
    <cfRule type="expression" dxfId="9051" priority="807">
      <formula>B345=""</formula>
    </cfRule>
  </conditionalFormatting>
  <conditionalFormatting sqref="E346">
    <cfRule type="expression" dxfId="9050" priority="806">
      <formula>B346=""</formula>
    </cfRule>
  </conditionalFormatting>
  <conditionalFormatting sqref="E347">
    <cfRule type="expression" dxfId="9049" priority="805">
      <formula>B347=""</formula>
    </cfRule>
  </conditionalFormatting>
  <conditionalFormatting sqref="E348">
    <cfRule type="expression" dxfId="9048" priority="804">
      <formula>B348=""</formula>
    </cfRule>
  </conditionalFormatting>
  <conditionalFormatting sqref="E349:E350">
    <cfRule type="expression" dxfId="9047" priority="803">
      <formula>B349=""</formula>
    </cfRule>
  </conditionalFormatting>
  <conditionalFormatting sqref="E330:E350">
    <cfRule type="expression" dxfId="9046" priority="802">
      <formula>B330=""</formula>
    </cfRule>
  </conditionalFormatting>
  <conditionalFormatting sqref="E331 E333 E335 E337 E339 E341 E343 E345 E347 E349">
    <cfRule type="expression" dxfId="9045" priority="801">
      <formula>B331=""</formula>
    </cfRule>
  </conditionalFormatting>
  <conditionalFormatting sqref="E332:E342">
    <cfRule type="expression" dxfId="9044" priority="800">
      <formula>B332=""</formula>
    </cfRule>
  </conditionalFormatting>
  <conditionalFormatting sqref="E343">
    <cfRule type="expression" dxfId="9043" priority="799">
      <formula>B343=""</formula>
    </cfRule>
  </conditionalFormatting>
  <conditionalFormatting sqref="E344">
    <cfRule type="expression" dxfId="9042" priority="798">
      <formula>B344=""</formula>
    </cfRule>
  </conditionalFormatting>
  <conditionalFormatting sqref="E345">
    <cfRule type="expression" dxfId="9041" priority="797">
      <formula>B345=""</formula>
    </cfRule>
  </conditionalFormatting>
  <conditionalFormatting sqref="E346">
    <cfRule type="expression" dxfId="9040" priority="796">
      <formula>B346=""</formula>
    </cfRule>
  </conditionalFormatting>
  <conditionalFormatting sqref="E347">
    <cfRule type="expression" dxfId="9039" priority="795">
      <formula>B347=""</formula>
    </cfRule>
  </conditionalFormatting>
  <conditionalFormatting sqref="E348">
    <cfRule type="expression" dxfId="9038" priority="794">
      <formula>B348=""</formula>
    </cfRule>
  </conditionalFormatting>
  <conditionalFormatting sqref="E349:E350">
    <cfRule type="expression" dxfId="9037" priority="793">
      <formula>B349=""</formula>
    </cfRule>
  </conditionalFormatting>
  <conditionalFormatting sqref="E331 E333 E335 E337 E339 E341 E343 E345 E347 E349">
    <cfRule type="expression" dxfId="9036" priority="792">
      <formula>B331=""</formula>
    </cfRule>
  </conditionalFormatting>
  <conditionalFormatting sqref="E332:E342">
    <cfRule type="expression" dxfId="9035" priority="791">
      <formula>B332=""</formula>
    </cfRule>
  </conditionalFormatting>
  <conditionalFormatting sqref="E343">
    <cfRule type="expression" dxfId="9034" priority="790">
      <formula>B343=""</formula>
    </cfRule>
  </conditionalFormatting>
  <conditionalFormatting sqref="E344">
    <cfRule type="expression" dxfId="9033" priority="789">
      <formula>B344=""</formula>
    </cfRule>
  </conditionalFormatting>
  <conditionalFormatting sqref="E345">
    <cfRule type="expression" dxfId="9032" priority="788">
      <formula>B345=""</formula>
    </cfRule>
  </conditionalFormatting>
  <conditionalFormatting sqref="E346">
    <cfRule type="expression" dxfId="9031" priority="787">
      <formula>B346=""</formula>
    </cfRule>
  </conditionalFormatting>
  <conditionalFormatting sqref="E347">
    <cfRule type="expression" dxfId="9030" priority="786">
      <formula>B347=""</formula>
    </cfRule>
  </conditionalFormatting>
  <conditionalFormatting sqref="E348">
    <cfRule type="expression" dxfId="9029" priority="785">
      <formula>B348=""</formula>
    </cfRule>
  </conditionalFormatting>
  <conditionalFormatting sqref="E349:E350">
    <cfRule type="expression" dxfId="9028" priority="784">
      <formula>B349=""</formula>
    </cfRule>
  </conditionalFormatting>
  <conditionalFormatting sqref="E352:E372">
    <cfRule type="expression" dxfId="9027" priority="783">
      <formula>B352=""</formula>
    </cfRule>
  </conditionalFormatting>
  <conditionalFormatting sqref="E352:E372">
    <cfRule type="expression" dxfId="9026" priority="782">
      <formula>B352=""</formula>
    </cfRule>
  </conditionalFormatting>
  <conditionalFormatting sqref="E352:E372">
    <cfRule type="expression" dxfId="9025" priority="781">
      <formula>B352=""</formula>
    </cfRule>
  </conditionalFormatting>
  <conditionalFormatting sqref="E374:E394">
    <cfRule type="expression" dxfId="9024" priority="780">
      <formula>B374=""</formula>
    </cfRule>
  </conditionalFormatting>
  <conditionalFormatting sqref="E375 E377 E379 E381 E383 E385 E387 E389 E391 E393">
    <cfRule type="expression" dxfId="9023" priority="779">
      <formula>B375=""</formula>
    </cfRule>
  </conditionalFormatting>
  <conditionalFormatting sqref="E376:E386">
    <cfRule type="expression" dxfId="9022" priority="778">
      <formula>B376=""</formula>
    </cfRule>
  </conditionalFormatting>
  <conditionalFormatting sqref="E387">
    <cfRule type="expression" dxfId="9021" priority="777">
      <formula>B387=""</formula>
    </cfRule>
  </conditionalFormatting>
  <conditionalFormatting sqref="E388">
    <cfRule type="expression" dxfId="9020" priority="776">
      <formula>B388=""</formula>
    </cfRule>
  </conditionalFormatting>
  <conditionalFormatting sqref="E389">
    <cfRule type="expression" dxfId="9019" priority="775">
      <formula>B389=""</formula>
    </cfRule>
  </conditionalFormatting>
  <conditionalFormatting sqref="E390">
    <cfRule type="expression" dxfId="9018" priority="774">
      <formula>B390=""</formula>
    </cfRule>
  </conditionalFormatting>
  <conditionalFormatting sqref="E391">
    <cfRule type="expression" dxfId="9017" priority="773">
      <formula>B391=""</formula>
    </cfRule>
  </conditionalFormatting>
  <conditionalFormatting sqref="E392">
    <cfRule type="expression" dxfId="9016" priority="772">
      <formula>B392=""</formula>
    </cfRule>
  </conditionalFormatting>
  <conditionalFormatting sqref="E393">
    <cfRule type="expression" dxfId="9015" priority="771">
      <formula>B393=""</formula>
    </cfRule>
  </conditionalFormatting>
  <conditionalFormatting sqref="E394">
    <cfRule type="expression" dxfId="9014" priority="770">
      <formula>B394=""</formula>
    </cfRule>
  </conditionalFormatting>
  <conditionalFormatting sqref="E375 E377 E379 E381 E383 E385 E387 E389 E391 E393">
    <cfRule type="expression" dxfId="9013" priority="769">
      <formula>B375=""</formula>
    </cfRule>
  </conditionalFormatting>
  <conditionalFormatting sqref="E376:E386">
    <cfRule type="expression" dxfId="9012" priority="768">
      <formula>B376=""</formula>
    </cfRule>
  </conditionalFormatting>
  <conditionalFormatting sqref="E387">
    <cfRule type="expression" dxfId="9011" priority="767">
      <formula>B387=""</formula>
    </cfRule>
  </conditionalFormatting>
  <conditionalFormatting sqref="E388">
    <cfRule type="expression" dxfId="9010" priority="766">
      <formula>B388=""</formula>
    </cfRule>
  </conditionalFormatting>
  <conditionalFormatting sqref="E389">
    <cfRule type="expression" dxfId="9009" priority="765">
      <formula>B389=""</formula>
    </cfRule>
  </conditionalFormatting>
  <conditionalFormatting sqref="E390">
    <cfRule type="expression" dxfId="9008" priority="764">
      <formula>B390=""</formula>
    </cfRule>
  </conditionalFormatting>
  <conditionalFormatting sqref="E391">
    <cfRule type="expression" dxfId="9007" priority="763">
      <formula>B391=""</formula>
    </cfRule>
  </conditionalFormatting>
  <conditionalFormatting sqref="E392">
    <cfRule type="expression" dxfId="9006" priority="762">
      <formula>B392=""</formula>
    </cfRule>
  </conditionalFormatting>
  <conditionalFormatting sqref="E393">
    <cfRule type="expression" dxfId="9005" priority="761">
      <formula>B393=""</formula>
    </cfRule>
  </conditionalFormatting>
  <conditionalFormatting sqref="E394">
    <cfRule type="expression" dxfId="9004" priority="760">
      <formula>B394=""</formula>
    </cfRule>
  </conditionalFormatting>
  <conditionalFormatting sqref="E374:E394">
    <cfRule type="expression" dxfId="9003" priority="759">
      <formula>B374=""</formula>
    </cfRule>
  </conditionalFormatting>
  <conditionalFormatting sqref="E374:E394">
    <cfRule type="expression" dxfId="9002" priority="758">
      <formula>B374=""</formula>
    </cfRule>
  </conditionalFormatting>
  <conditionalFormatting sqref="E374:E394">
    <cfRule type="expression" dxfId="9001" priority="757">
      <formula>B374=""</formula>
    </cfRule>
  </conditionalFormatting>
  <conditionalFormatting sqref="E408 E410 E412 E414 E416 E418 E420 E422 E424 E426">
    <cfRule type="expression" dxfId="9000" priority="756">
      <formula>B408=""</formula>
    </cfRule>
  </conditionalFormatting>
  <conditionalFormatting sqref="E409 E411 E413 E415 E417 E419 E421 E423 E425 E427">
    <cfRule type="expression" dxfId="8999" priority="755">
      <formula>B409=""</formula>
    </cfRule>
  </conditionalFormatting>
  <conditionalFormatting sqref="E410:E420">
    <cfRule type="expression" dxfId="8998" priority="754">
      <formula>B410=""</formula>
    </cfRule>
  </conditionalFormatting>
  <conditionalFormatting sqref="E421">
    <cfRule type="expression" dxfId="8997" priority="753">
      <formula>B421=""</formula>
    </cfRule>
  </conditionalFormatting>
  <conditionalFormatting sqref="E422">
    <cfRule type="expression" dxfId="8996" priority="752">
      <formula>B422=""</formula>
    </cfRule>
  </conditionalFormatting>
  <conditionalFormatting sqref="E423">
    <cfRule type="expression" dxfId="8995" priority="751">
      <formula>B423=""</formula>
    </cfRule>
  </conditionalFormatting>
  <conditionalFormatting sqref="E424">
    <cfRule type="expression" dxfId="8994" priority="750">
      <formula>B424=""</formula>
    </cfRule>
  </conditionalFormatting>
  <conditionalFormatting sqref="E425">
    <cfRule type="expression" dxfId="8993" priority="749">
      <formula>B425=""</formula>
    </cfRule>
  </conditionalFormatting>
  <conditionalFormatting sqref="E426">
    <cfRule type="expression" dxfId="8992" priority="748">
      <formula>B426=""</formula>
    </cfRule>
  </conditionalFormatting>
  <conditionalFormatting sqref="E427">
    <cfRule type="expression" dxfId="8991" priority="747">
      <formula>B427=""</formula>
    </cfRule>
  </conditionalFormatting>
  <conditionalFormatting sqref="E428">
    <cfRule type="expression" dxfId="8990" priority="746">
      <formula>B428=""</formula>
    </cfRule>
  </conditionalFormatting>
  <conditionalFormatting sqref="E409 E411 E413 E415 E417 E419 E421 E423 E425 E427">
    <cfRule type="expression" dxfId="8989" priority="745">
      <formula>B409=""</formula>
    </cfRule>
  </conditionalFormatting>
  <conditionalFormatting sqref="E410:E420">
    <cfRule type="expression" dxfId="8988" priority="744">
      <formula>B410=""</formula>
    </cfRule>
  </conditionalFormatting>
  <conditionalFormatting sqref="E421">
    <cfRule type="expression" dxfId="8987" priority="743">
      <formula>B421=""</formula>
    </cfRule>
  </conditionalFormatting>
  <conditionalFormatting sqref="E422">
    <cfRule type="expression" dxfId="8986" priority="742">
      <formula>B422=""</formula>
    </cfRule>
  </conditionalFormatting>
  <conditionalFormatting sqref="E423">
    <cfRule type="expression" dxfId="8985" priority="741">
      <formula>B423=""</formula>
    </cfRule>
  </conditionalFormatting>
  <conditionalFormatting sqref="E424">
    <cfRule type="expression" dxfId="8984" priority="740">
      <formula>B424=""</formula>
    </cfRule>
  </conditionalFormatting>
  <conditionalFormatting sqref="E425">
    <cfRule type="expression" dxfId="8983" priority="739">
      <formula>B425=""</formula>
    </cfRule>
  </conditionalFormatting>
  <conditionalFormatting sqref="E426">
    <cfRule type="expression" dxfId="8982" priority="738">
      <formula>B426=""</formula>
    </cfRule>
  </conditionalFormatting>
  <conditionalFormatting sqref="E427">
    <cfRule type="expression" dxfId="8981" priority="737">
      <formula>B427=""</formula>
    </cfRule>
  </conditionalFormatting>
  <conditionalFormatting sqref="E428">
    <cfRule type="expression" dxfId="8980" priority="736">
      <formula>B428=""</formula>
    </cfRule>
  </conditionalFormatting>
  <conditionalFormatting sqref="E430 E432 E434 E436 E438 E440 E442 E444 E446 E448">
    <cfRule type="expression" dxfId="8979" priority="735">
      <formula>B430=""</formula>
    </cfRule>
  </conditionalFormatting>
  <conditionalFormatting sqref="E431 E433 E435 E437 E439 E441 E443 E445 E447 E449">
    <cfRule type="expression" dxfId="8978" priority="734">
      <formula>B431=""</formula>
    </cfRule>
  </conditionalFormatting>
  <conditionalFormatting sqref="E432:E442">
    <cfRule type="expression" dxfId="8977" priority="733">
      <formula>B432=""</formula>
    </cfRule>
  </conditionalFormatting>
  <conditionalFormatting sqref="E443">
    <cfRule type="expression" dxfId="8976" priority="732">
      <formula>B443=""</formula>
    </cfRule>
  </conditionalFormatting>
  <conditionalFormatting sqref="E444">
    <cfRule type="expression" dxfId="8975" priority="731">
      <formula>B444=""</formula>
    </cfRule>
  </conditionalFormatting>
  <conditionalFormatting sqref="E445">
    <cfRule type="expression" dxfId="8974" priority="730">
      <formula>B445=""</formula>
    </cfRule>
  </conditionalFormatting>
  <conditionalFormatting sqref="E446">
    <cfRule type="expression" dxfId="8973" priority="729">
      <formula>B446=""</formula>
    </cfRule>
  </conditionalFormatting>
  <conditionalFormatting sqref="E447">
    <cfRule type="expression" dxfId="8972" priority="728">
      <formula>B447=""</formula>
    </cfRule>
  </conditionalFormatting>
  <conditionalFormatting sqref="E448">
    <cfRule type="expression" dxfId="8971" priority="727">
      <formula>B448=""</formula>
    </cfRule>
  </conditionalFormatting>
  <conditionalFormatting sqref="E449">
    <cfRule type="expression" dxfId="8970" priority="726">
      <formula>B449=""</formula>
    </cfRule>
  </conditionalFormatting>
  <conditionalFormatting sqref="E450">
    <cfRule type="expression" dxfId="8969" priority="725">
      <formula>B450=""</formula>
    </cfRule>
  </conditionalFormatting>
  <conditionalFormatting sqref="E431 E433 E435 E437 E439 E441 E443 E445 E447 E449">
    <cfRule type="expression" dxfId="8968" priority="724">
      <formula>B431=""</formula>
    </cfRule>
  </conditionalFormatting>
  <conditionalFormatting sqref="E432:E442">
    <cfRule type="expression" dxfId="8967" priority="723">
      <formula>B432=""</formula>
    </cfRule>
  </conditionalFormatting>
  <conditionalFormatting sqref="E443">
    <cfRule type="expression" dxfId="8966" priority="722">
      <formula>B443=""</formula>
    </cfRule>
  </conditionalFormatting>
  <conditionalFormatting sqref="E444">
    <cfRule type="expression" dxfId="8965" priority="721">
      <formula>B444=""</formula>
    </cfRule>
  </conditionalFormatting>
  <conditionalFormatting sqref="E445">
    <cfRule type="expression" dxfId="8964" priority="720">
      <formula>B445=""</formula>
    </cfRule>
  </conditionalFormatting>
  <conditionalFormatting sqref="E446">
    <cfRule type="expression" dxfId="8963" priority="719">
      <formula>B446=""</formula>
    </cfRule>
  </conditionalFormatting>
  <conditionalFormatting sqref="E447">
    <cfRule type="expression" dxfId="8962" priority="718">
      <formula>B447=""</formula>
    </cfRule>
  </conditionalFormatting>
  <conditionalFormatting sqref="E448">
    <cfRule type="expression" dxfId="8961" priority="717">
      <formula>B448=""</formula>
    </cfRule>
  </conditionalFormatting>
  <conditionalFormatting sqref="E449">
    <cfRule type="expression" dxfId="8960" priority="716">
      <formula>B449=""</formula>
    </cfRule>
  </conditionalFormatting>
  <conditionalFormatting sqref="E450">
    <cfRule type="expression" dxfId="8959" priority="715">
      <formula>B450=""</formula>
    </cfRule>
  </conditionalFormatting>
  <conditionalFormatting sqref="E452 E454 E456 E458 E460 E462 E464 E466 E468 E470">
    <cfRule type="expression" dxfId="8958" priority="714">
      <formula>B452=""</formula>
    </cfRule>
  </conditionalFormatting>
  <conditionalFormatting sqref="E453 E455 E457 E459 E461 E463 E465 E467 E469 E471">
    <cfRule type="expression" dxfId="8957" priority="713">
      <formula>B453=""</formula>
    </cfRule>
  </conditionalFormatting>
  <conditionalFormatting sqref="E454:E464">
    <cfRule type="expression" dxfId="8956" priority="712">
      <formula>B454=""</formula>
    </cfRule>
  </conditionalFormatting>
  <conditionalFormatting sqref="E465">
    <cfRule type="expression" dxfId="8955" priority="711">
      <formula>B465=""</formula>
    </cfRule>
  </conditionalFormatting>
  <conditionalFormatting sqref="E466">
    <cfRule type="expression" dxfId="8954" priority="710">
      <formula>B466=""</formula>
    </cfRule>
  </conditionalFormatting>
  <conditionalFormatting sqref="E467">
    <cfRule type="expression" dxfId="8953" priority="709">
      <formula>B467=""</formula>
    </cfRule>
  </conditionalFormatting>
  <conditionalFormatting sqref="E468">
    <cfRule type="expression" dxfId="8952" priority="708">
      <formula>B468=""</formula>
    </cfRule>
  </conditionalFormatting>
  <conditionalFormatting sqref="E469">
    <cfRule type="expression" dxfId="8951" priority="707">
      <formula>B469=""</formula>
    </cfRule>
  </conditionalFormatting>
  <conditionalFormatting sqref="E470">
    <cfRule type="expression" dxfId="8950" priority="706">
      <formula>B470=""</formula>
    </cfRule>
  </conditionalFormatting>
  <conditionalFormatting sqref="E471">
    <cfRule type="expression" dxfId="8949" priority="705">
      <formula>B471=""</formula>
    </cfRule>
  </conditionalFormatting>
  <conditionalFormatting sqref="E472">
    <cfRule type="expression" dxfId="8948" priority="704">
      <formula>B472=""</formula>
    </cfRule>
  </conditionalFormatting>
  <conditionalFormatting sqref="E453 E455 E457 E459 E461 E463 E465 E467 E469 E471">
    <cfRule type="expression" dxfId="8947" priority="703">
      <formula>B453=""</formula>
    </cfRule>
  </conditionalFormatting>
  <conditionalFormatting sqref="E454:E464">
    <cfRule type="expression" dxfId="8946" priority="702">
      <formula>B454=""</formula>
    </cfRule>
  </conditionalFormatting>
  <conditionalFormatting sqref="E465">
    <cfRule type="expression" dxfId="8945" priority="701">
      <formula>B465=""</formula>
    </cfRule>
  </conditionalFormatting>
  <conditionalFormatting sqref="E466">
    <cfRule type="expression" dxfId="8944" priority="700">
      <formula>B466=""</formula>
    </cfRule>
  </conditionalFormatting>
  <conditionalFormatting sqref="E467">
    <cfRule type="expression" dxfId="8943" priority="699">
      <formula>B467=""</formula>
    </cfRule>
  </conditionalFormatting>
  <conditionalFormatting sqref="E468">
    <cfRule type="expression" dxfId="8942" priority="698">
      <formula>B468=""</formula>
    </cfRule>
  </conditionalFormatting>
  <conditionalFormatting sqref="E469">
    <cfRule type="expression" dxfId="8941" priority="697">
      <formula>B469=""</formula>
    </cfRule>
  </conditionalFormatting>
  <conditionalFormatting sqref="E470">
    <cfRule type="expression" dxfId="8940" priority="696">
      <formula>B470=""</formula>
    </cfRule>
  </conditionalFormatting>
  <conditionalFormatting sqref="E471">
    <cfRule type="expression" dxfId="8939" priority="695">
      <formula>B471=""</formula>
    </cfRule>
  </conditionalFormatting>
  <conditionalFormatting sqref="E472">
    <cfRule type="expression" dxfId="8938" priority="694">
      <formula>B472=""</formula>
    </cfRule>
  </conditionalFormatting>
  <conditionalFormatting sqref="E474 E476 E478 E480 E482 E484 E486 E488 E490 E492">
    <cfRule type="expression" dxfId="8937" priority="693">
      <formula>B474=""</formula>
    </cfRule>
  </conditionalFormatting>
  <conditionalFormatting sqref="E475 E477 E479 E481 E483 E485 E487 E489 E491 E493">
    <cfRule type="expression" dxfId="8936" priority="692">
      <formula>B475=""</formula>
    </cfRule>
  </conditionalFormatting>
  <conditionalFormatting sqref="E476:E486">
    <cfRule type="expression" dxfId="8935" priority="691">
      <formula>B476=""</formula>
    </cfRule>
  </conditionalFormatting>
  <conditionalFormatting sqref="E487">
    <cfRule type="expression" dxfId="8934" priority="690">
      <formula>B487=""</formula>
    </cfRule>
  </conditionalFormatting>
  <conditionalFormatting sqref="E488">
    <cfRule type="expression" dxfId="8933" priority="689">
      <formula>B488=""</formula>
    </cfRule>
  </conditionalFormatting>
  <conditionalFormatting sqref="E489">
    <cfRule type="expression" dxfId="8932" priority="688">
      <formula>B489=""</formula>
    </cfRule>
  </conditionalFormatting>
  <conditionalFormatting sqref="E490">
    <cfRule type="expression" dxfId="8931" priority="687">
      <formula>B490=""</formula>
    </cfRule>
  </conditionalFormatting>
  <conditionalFormatting sqref="E491">
    <cfRule type="expression" dxfId="8930" priority="686">
      <formula>B491=""</formula>
    </cfRule>
  </conditionalFormatting>
  <conditionalFormatting sqref="E492">
    <cfRule type="expression" dxfId="8929" priority="685">
      <formula>B492=""</formula>
    </cfRule>
  </conditionalFormatting>
  <conditionalFormatting sqref="E493">
    <cfRule type="expression" dxfId="8928" priority="684">
      <formula>B493=""</formula>
    </cfRule>
  </conditionalFormatting>
  <conditionalFormatting sqref="E494">
    <cfRule type="expression" dxfId="8927" priority="683">
      <formula>B494=""</formula>
    </cfRule>
  </conditionalFormatting>
  <conditionalFormatting sqref="E475 E477 E479 E481 E483 E485 E487 E489 E491 E493">
    <cfRule type="expression" dxfId="8926" priority="682">
      <formula>B475=""</formula>
    </cfRule>
  </conditionalFormatting>
  <conditionalFormatting sqref="E476:E486">
    <cfRule type="expression" dxfId="8925" priority="681">
      <formula>B476=""</formula>
    </cfRule>
  </conditionalFormatting>
  <conditionalFormatting sqref="E487">
    <cfRule type="expression" dxfId="8924" priority="680">
      <formula>B487=""</formula>
    </cfRule>
  </conditionalFormatting>
  <conditionalFormatting sqref="E488">
    <cfRule type="expression" dxfId="8923" priority="679">
      <formula>B488=""</formula>
    </cfRule>
  </conditionalFormatting>
  <conditionalFormatting sqref="E489">
    <cfRule type="expression" dxfId="8922" priority="678">
      <formula>B489=""</formula>
    </cfRule>
  </conditionalFormatting>
  <conditionalFormatting sqref="E490">
    <cfRule type="expression" dxfId="8921" priority="677">
      <formula>B490=""</formula>
    </cfRule>
  </conditionalFormatting>
  <conditionalFormatting sqref="E491">
    <cfRule type="expression" dxfId="8920" priority="676">
      <formula>B491=""</formula>
    </cfRule>
  </conditionalFormatting>
  <conditionalFormatting sqref="E492">
    <cfRule type="expression" dxfId="8919" priority="675">
      <formula>B492=""</formula>
    </cfRule>
  </conditionalFormatting>
  <conditionalFormatting sqref="E493">
    <cfRule type="expression" dxfId="8918" priority="674">
      <formula>B493=""</formula>
    </cfRule>
  </conditionalFormatting>
  <conditionalFormatting sqref="E494">
    <cfRule type="expression" dxfId="8917" priority="673">
      <formula>B494=""</formula>
    </cfRule>
  </conditionalFormatting>
  <conditionalFormatting sqref="E408:E427">
    <cfRule type="expression" dxfId="8916" priority="672">
      <formula>B408=""</formula>
    </cfRule>
  </conditionalFormatting>
  <conditionalFormatting sqref="E409 E411 E413 E415 E417 E419 E421 E423 E425 E427">
    <cfRule type="expression" dxfId="8915" priority="671">
      <formula>B409=""</formula>
    </cfRule>
  </conditionalFormatting>
  <conditionalFormatting sqref="E410:E420">
    <cfRule type="expression" dxfId="8914" priority="670">
      <formula>B410=""</formula>
    </cfRule>
  </conditionalFormatting>
  <conditionalFormatting sqref="E421">
    <cfRule type="expression" dxfId="8913" priority="669">
      <formula>B421=""</formula>
    </cfRule>
  </conditionalFormatting>
  <conditionalFormatting sqref="E422">
    <cfRule type="expression" dxfId="8912" priority="668">
      <formula>B422=""</formula>
    </cfRule>
  </conditionalFormatting>
  <conditionalFormatting sqref="E423">
    <cfRule type="expression" dxfId="8911" priority="667">
      <formula>B423=""</formula>
    </cfRule>
  </conditionalFormatting>
  <conditionalFormatting sqref="E424">
    <cfRule type="expression" dxfId="8910" priority="666">
      <formula>B424=""</formula>
    </cfRule>
  </conditionalFormatting>
  <conditionalFormatting sqref="E425">
    <cfRule type="expression" dxfId="8909" priority="665">
      <formula>B425=""</formula>
    </cfRule>
  </conditionalFormatting>
  <conditionalFormatting sqref="E426">
    <cfRule type="expression" dxfId="8908" priority="664">
      <formula>B426=""</formula>
    </cfRule>
  </conditionalFormatting>
  <conditionalFormatting sqref="E427">
    <cfRule type="expression" dxfId="8907" priority="663">
      <formula>B427=""</formula>
    </cfRule>
  </conditionalFormatting>
  <conditionalFormatting sqref="E409 E411 E413 E415 E417 E419 E421 E423 E425 E427">
    <cfRule type="expression" dxfId="8906" priority="662">
      <formula>B409=""</formula>
    </cfRule>
  </conditionalFormatting>
  <conditionalFormatting sqref="E410:E420">
    <cfRule type="expression" dxfId="8905" priority="661">
      <formula>B410=""</formula>
    </cfRule>
  </conditionalFormatting>
  <conditionalFormatting sqref="E421">
    <cfRule type="expression" dxfId="8904" priority="660">
      <formula>B421=""</formula>
    </cfRule>
  </conditionalFormatting>
  <conditionalFormatting sqref="E422">
    <cfRule type="expression" dxfId="8903" priority="659">
      <formula>B422=""</formula>
    </cfRule>
  </conditionalFormatting>
  <conditionalFormatting sqref="E423">
    <cfRule type="expression" dxfId="8902" priority="658">
      <formula>B423=""</formula>
    </cfRule>
  </conditionalFormatting>
  <conditionalFormatting sqref="E424">
    <cfRule type="expression" dxfId="8901" priority="657">
      <formula>B424=""</formula>
    </cfRule>
  </conditionalFormatting>
  <conditionalFormatting sqref="E425">
    <cfRule type="expression" dxfId="8900" priority="656">
      <formula>B425=""</formula>
    </cfRule>
  </conditionalFormatting>
  <conditionalFormatting sqref="E426">
    <cfRule type="expression" dxfId="8899" priority="655">
      <formula>B426=""</formula>
    </cfRule>
  </conditionalFormatting>
  <conditionalFormatting sqref="E427">
    <cfRule type="expression" dxfId="8898" priority="654">
      <formula>B427=""</formula>
    </cfRule>
  </conditionalFormatting>
  <conditionalFormatting sqref="E430 E432 E434 E436 E438 E440 E442 E444 E446 E448">
    <cfRule type="expression" dxfId="8897" priority="653">
      <formula>B430=""</formula>
    </cfRule>
  </conditionalFormatting>
  <conditionalFormatting sqref="E431 E433 E435 E437 E439 E441 E443 E445 E447 E449">
    <cfRule type="expression" dxfId="8896" priority="652">
      <formula>B431=""</formula>
    </cfRule>
  </conditionalFormatting>
  <conditionalFormatting sqref="E432:E442">
    <cfRule type="expression" dxfId="8895" priority="651">
      <formula>B432=""</formula>
    </cfRule>
  </conditionalFormatting>
  <conditionalFormatting sqref="E443">
    <cfRule type="expression" dxfId="8894" priority="650">
      <formula>B443=""</formula>
    </cfRule>
  </conditionalFormatting>
  <conditionalFormatting sqref="E444">
    <cfRule type="expression" dxfId="8893" priority="649">
      <formula>B444=""</formula>
    </cfRule>
  </conditionalFormatting>
  <conditionalFormatting sqref="E445">
    <cfRule type="expression" dxfId="8892" priority="648">
      <formula>B445=""</formula>
    </cfRule>
  </conditionalFormatting>
  <conditionalFormatting sqref="E446">
    <cfRule type="expression" dxfId="8891" priority="647">
      <formula>B446=""</formula>
    </cfRule>
  </conditionalFormatting>
  <conditionalFormatting sqref="E447">
    <cfRule type="expression" dxfId="8890" priority="646">
      <formula>B447=""</formula>
    </cfRule>
  </conditionalFormatting>
  <conditionalFormatting sqref="E448">
    <cfRule type="expression" dxfId="8889" priority="645">
      <formula>B448=""</formula>
    </cfRule>
  </conditionalFormatting>
  <conditionalFormatting sqref="E449">
    <cfRule type="expression" dxfId="8888" priority="644">
      <formula>B449=""</formula>
    </cfRule>
  </conditionalFormatting>
  <conditionalFormatting sqref="E431 E433 E435 E437 E439 E441 E443 E445 E447 E449">
    <cfRule type="expression" dxfId="8887" priority="643">
      <formula>B431=""</formula>
    </cfRule>
  </conditionalFormatting>
  <conditionalFormatting sqref="E432:E442">
    <cfRule type="expression" dxfId="8886" priority="642">
      <formula>B432=""</formula>
    </cfRule>
  </conditionalFormatting>
  <conditionalFormatting sqref="E443">
    <cfRule type="expression" dxfId="8885" priority="641">
      <formula>B443=""</formula>
    </cfRule>
  </conditionalFormatting>
  <conditionalFormatting sqref="E444">
    <cfRule type="expression" dxfId="8884" priority="640">
      <formula>B444=""</formula>
    </cfRule>
  </conditionalFormatting>
  <conditionalFormatting sqref="E445">
    <cfRule type="expression" dxfId="8883" priority="639">
      <formula>B445=""</formula>
    </cfRule>
  </conditionalFormatting>
  <conditionalFormatting sqref="E446">
    <cfRule type="expression" dxfId="8882" priority="638">
      <formula>B446=""</formula>
    </cfRule>
  </conditionalFormatting>
  <conditionalFormatting sqref="E447">
    <cfRule type="expression" dxfId="8881" priority="637">
      <formula>B447=""</formula>
    </cfRule>
  </conditionalFormatting>
  <conditionalFormatting sqref="E448">
    <cfRule type="expression" dxfId="8880" priority="636">
      <formula>B448=""</formula>
    </cfRule>
  </conditionalFormatting>
  <conditionalFormatting sqref="E449">
    <cfRule type="expression" dxfId="8879" priority="635">
      <formula>B449=""</formula>
    </cfRule>
  </conditionalFormatting>
  <conditionalFormatting sqref="E430:E449">
    <cfRule type="expression" dxfId="8878" priority="634">
      <formula>B430=""</formula>
    </cfRule>
  </conditionalFormatting>
  <conditionalFormatting sqref="E431 E433 E435 E437 E439 E441 E443 E445 E447 E449">
    <cfRule type="expression" dxfId="8877" priority="633">
      <formula>B431=""</formula>
    </cfRule>
  </conditionalFormatting>
  <conditionalFormatting sqref="E432:E442">
    <cfRule type="expression" dxfId="8876" priority="632">
      <formula>B432=""</formula>
    </cfRule>
  </conditionalFormatting>
  <conditionalFormatting sqref="E443">
    <cfRule type="expression" dxfId="8875" priority="631">
      <formula>B443=""</formula>
    </cfRule>
  </conditionalFormatting>
  <conditionalFormatting sqref="E444">
    <cfRule type="expression" dxfId="8874" priority="630">
      <formula>B444=""</formula>
    </cfRule>
  </conditionalFormatting>
  <conditionalFormatting sqref="E445">
    <cfRule type="expression" dxfId="8873" priority="629">
      <formula>B445=""</formula>
    </cfRule>
  </conditionalFormatting>
  <conditionalFormatting sqref="E446">
    <cfRule type="expression" dxfId="8872" priority="628">
      <formula>B446=""</formula>
    </cfRule>
  </conditionalFormatting>
  <conditionalFormatting sqref="E447">
    <cfRule type="expression" dxfId="8871" priority="627">
      <formula>B447=""</formula>
    </cfRule>
  </conditionalFormatting>
  <conditionalFormatting sqref="E448">
    <cfRule type="expression" dxfId="8870" priority="626">
      <formula>B448=""</formula>
    </cfRule>
  </conditionalFormatting>
  <conditionalFormatting sqref="E449">
    <cfRule type="expression" dxfId="8869" priority="625">
      <formula>B449=""</formula>
    </cfRule>
  </conditionalFormatting>
  <conditionalFormatting sqref="E431 E433 E435 E437 E439 E441 E443 E445 E447 E449">
    <cfRule type="expression" dxfId="8868" priority="624">
      <formula>B431=""</formula>
    </cfRule>
  </conditionalFormatting>
  <conditionalFormatting sqref="E432:E442">
    <cfRule type="expression" dxfId="8867" priority="623">
      <formula>B432=""</formula>
    </cfRule>
  </conditionalFormatting>
  <conditionalFormatting sqref="E443">
    <cfRule type="expression" dxfId="8866" priority="622">
      <formula>B443=""</formula>
    </cfRule>
  </conditionalFormatting>
  <conditionalFormatting sqref="E444">
    <cfRule type="expression" dxfId="8865" priority="621">
      <formula>B444=""</formula>
    </cfRule>
  </conditionalFormatting>
  <conditionalFormatting sqref="E445">
    <cfRule type="expression" dxfId="8864" priority="620">
      <formula>B445=""</formula>
    </cfRule>
  </conditionalFormatting>
  <conditionalFormatting sqref="E446">
    <cfRule type="expression" dxfId="8863" priority="619">
      <formula>B446=""</formula>
    </cfRule>
  </conditionalFormatting>
  <conditionalFormatting sqref="E447">
    <cfRule type="expression" dxfId="8862" priority="618">
      <formula>B447=""</formula>
    </cfRule>
  </conditionalFormatting>
  <conditionalFormatting sqref="E448">
    <cfRule type="expression" dxfId="8861" priority="617">
      <formula>B448=""</formula>
    </cfRule>
  </conditionalFormatting>
  <conditionalFormatting sqref="E449">
    <cfRule type="expression" dxfId="8860" priority="616">
      <formula>B449=""</formula>
    </cfRule>
  </conditionalFormatting>
  <conditionalFormatting sqref="E408 E410 E412 E414 E416 E418 E420 E422 E424 E426">
    <cfRule type="expression" dxfId="8859" priority="615">
      <formula>B408=""</formula>
    </cfRule>
  </conditionalFormatting>
  <conditionalFormatting sqref="E409 E411 E413 E415 E417 E419 E421 E423 E425 E427">
    <cfRule type="expression" dxfId="8858" priority="614">
      <formula>B409=""</formula>
    </cfRule>
  </conditionalFormatting>
  <conditionalFormatting sqref="E410:E420">
    <cfRule type="expression" dxfId="8857" priority="613">
      <formula>B410=""</formula>
    </cfRule>
  </conditionalFormatting>
  <conditionalFormatting sqref="E421">
    <cfRule type="expression" dxfId="8856" priority="612">
      <formula>B421=""</formula>
    </cfRule>
  </conditionalFormatting>
  <conditionalFormatting sqref="E422">
    <cfRule type="expression" dxfId="8855" priority="611">
      <formula>B422=""</formula>
    </cfRule>
  </conditionalFormatting>
  <conditionalFormatting sqref="E423">
    <cfRule type="expression" dxfId="8854" priority="610">
      <formula>B423=""</formula>
    </cfRule>
  </conditionalFormatting>
  <conditionalFormatting sqref="E424">
    <cfRule type="expression" dxfId="8853" priority="609">
      <formula>B424=""</formula>
    </cfRule>
  </conditionalFormatting>
  <conditionalFormatting sqref="E425">
    <cfRule type="expression" dxfId="8852" priority="608">
      <formula>B425=""</formula>
    </cfRule>
  </conditionalFormatting>
  <conditionalFormatting sqref="E426">
    <cfRule type="expression" dxfId="8851" priority="607">
      <formula>B426=""</formula>
    </cfRule>
  </conditionalFormatting>
  <conditionalFormatting sqref="E427">
    <cfRule type="expression" dxfId="8850" priority="606">
      <formula>B427=""</formula>
    </cfRule>
  </conditionalFormatting>
  <conditionalFormatting sqref="E428">
    <cfRule type="expression" dxfId="8849" priority="605">
      <formula>B428=""</formula>
    </cfRule>
  </conditionalFormatting>
  <conditionalFormatting sqref="E409 E411 E413 E415 E417 E419 E421 E423 E425 E427">
    <cfRule type="expression" dxfId="8848" priority="604">
      <formula>B409=""</formula>
    </cfRule>
  </conditionalFormatting>
  <conditionalFormatting sqref="E410:E420">
    <cfRule type="expression" dxfId="8847" priority="603">
      <formula>B410=""</formula>
    </cfRule>
  </conditionalFormatting>
  <conditionalFormatting sqref="E421">
    <cfRule type="expression" dxfId="8846" priority="602">
      <formula>B421=""</formula>
    </cfRule>
  </conditionalFormatting>
  <conditionalFormatting sqref="E422">
    <cfRule type="expression" dxfId="8845" priority="601">
      <formula>B422=""</formula>
    </cfRule>
  </conditionalFormatting>
  <conditionalFormatting sqref="E423">
    <cfRule type="expression" dxfId="8844" priority="600">
      <formula>B423=""</formula>
    </cfRule>
  </conditionalFormatting>
  <conditionalFormatting sqref="E424">
    <cfRule type="expression" dxfId="8843" priority="599">
      <formula>B424=""</formula>
    </cfRule>
  </conditionalFormatting>
  <conditionalFormatting sqref="E425">
    <cfRule type="expression" dxfId="8842" priority="598">
      <formula>B425=""</formula>
    </cfRule>
  </conditionalFormatting>
  <conditionalFormatting sqref="E426">
    <cfRule type="expression" dxfId="8841" priority="597">
      <formula>B426=""</formula>
    </cfRule>
  </conditionalFormatting>
  <conditionalFormatting sqref="E427">
    <cfRule type="expression" dxfId="8840" priority="596">
      <formula>B427=""</formula>
    </cfRule>
  </conditionalFormatting>
  <conditionalFormatting sqref="E428">
    <cfRule type="expression" dxfId="8839" priority="595">
      <formula>B428=""</formula>
    </cfRule>
  </conditionalFormatting>
  <conditionalFormatting sqref="E430 E432 E434 E436 E438 E440 E442 E444 E446 E448">
    <cfRule type="expression" dxfId="8838" priority="594">
      <formula>B430=""</formula>
    </cfRule>
  </conditionalFormatting>
  <conditionalFormatting sqref="E431 E433 E435 E437 E439 E441 E443 E445 E447 E449">
    <cfRule type="expression" dxfId="8837" priority="593">
      <formula>B431=""</formula>
    </cfRule>
  </conditionalFormatting>
  <conditionalFormatting sqref="E432:E442">
    <cfRule type="expression" dxfId="8836" priority="592">
      <formula>B432=""</formula>
    </cfRule>
  </conditionalFormatting>
  <conditionalFormatting sqref="E443">
    <cfRule type="expression" dxfId="8835" priority="591">
      <formula>B443=""</formula>
    </cfRule>
  </conditionalFormatting>
  <conditionalFormatting sqref="E444">
    <cfRule type="expression" dxfId="8834" priority="590">
      <formula>B444=""</formula>
    </cfRule>
  </conditionalFormatting>
  <conditionalFormatting sqref="E445">
    <cfRule type="expression" dxfId="8833" priority="589">
      <formula>B445=""</formula>
    </cfRule>
  </conditionalFormatting>
  <conditionalFormatting sqref="E446">
    <cfRule type="expression" dxfId="8832" priority="588">
      <formula>B446=""</formula>
    </cfRule>
  </conditionalFormatting>
  <conditionalFormatting sqref="E447">
    <cfRule type="expression" dxfId="8831" priority="587">
      <formula>B447=""</formula>
    </cfRule>
  </conditionalFormatting>
  <conditionalFormatting sqref="E448">
    <cfRule type="expression" dxfId="8830" priority="586">
      <formula>B448=""</formula>
    </cfRule>
  </conditionalFormatting>
  <conditionalFormatting sqref="E449">
    <cfRule type="expression" dxfId="8829" priority="585">
      <formula>B449=""</formula>
    </cfRule>
  </conditionalFormatting>
  <conditionalFormatting sqref="E450">
    <cfRule type="expression" dxfId="8828" priority="584">
      <formula>B450=""</formula>
    </cfRule>
  </conditionalFormatting>
  <conditionalFormatting sqref="E431 E433 E435 E437 E439 E441 E443 E445 E447 E449">
    <cfRule type="expression" dxfId="8827" priority="583">
      <formula>B431=""</formula>
    </cfRule>
  </conditionalFormatting>
  <conditionalFormatting sqref="E432:E442">
    <cfRule type="expression" dxfId="8826" priority="582">
      <formula>B432=""</formula>
    </cfRule>
  </conditionalFormatting>
  <conditionalFormatting sqref="E443">
    <cfRule type="expression" dxfId="8825" priority="581">
      <formula>B443=""</formula>
    </cfRule>
  </conditionalFormatting>
  <conditionalFormatting sqref="E444">
    <cfRule type="expression" dxfId="8824" priority="580">
      <formula>B444=""</formula>
    </cfRule>
  </conditionalFormatting>
  <conditionalFormatting sqref="E445">
    <cfRule type="expression" dxfId="8823" priority="579">
      <formula>B445=""</formula>
    </cfRule>
  </conditionalFormatting>
  <conditionalFormatting sqref="E446">
    <cfRule type="expression" dxfId="8822" priority="578">
      <formula>B446=""</formula>
    </cfRule>
  </conditionalFormatting>
  <conditionalFormatting sqref="E447">
    <cfRule type="expression" dxfId="8821" priority="577">
      <formula>B447=""</formula>
    </cfRule>
  </conditionalFormatting>
  <conditionalFormatting sqref="E448">
    <cfRule type="expression" dxfId="8820" priority="576">
      <formula>B448=""</formula>
    </cfRule>
  </conditionalFormatting>
  <conditionalFormatting sqref="E449">
    <cfRule type="expression" dxfId="8819" priority="575">
      <formula>B449=""</formula>
    </cfRule>
  </conditionalFormatting>
  <conditionalFormatting sqref="E450">
    <cfRule type="expression" dxfId="8818" priority="574">
      <formula>B450=""</formula>
    </cfRule>
  </conditionalFormatting>
  <conditionalFormatting sqref="E452 E454 E456 E458 E460 E462 E464 E466 E468 E470">
    <cfRule type="expression" dxfId="8817" priority="573">
      <formula>B452=""</formula>
    </cfRule>
  </conditionalFormatting>
  <conditionalFormatting sqref="E453 E455 E457 E459 E461 E463 E465 E467 E469 E471">
    <cfRule type="expression" dxfId="8816" priority="572">
      <formula>B453=""</formula>
    </cfRule>
  </conditionalFormatting>
  <conditionalFormatting sqref="E454:E464">
    <cfRule type="expression" dxfId="8815" priority="571">
      <formula>B454=""</formula>
    </cfRule>
  </conditionalFormatting>
  <conditionalFormatting sqref="E465">
    <cfRule type="expression" dxfId="8814" priority="570">
      <formula>B465=""</formula>
    </cfRule>
  </conditionalFormatting>
  <conditionalFormatting sqref="E466">
    <cfRule type="expression" dxfId="8813" priority="569">
      <formula>B466=""</formula>
    </cfRule>
  </conditionalFormatting>
  <conditionalFormatting sqref="E467">
    <cfRule type="expression" dxfId="8812" priority="568">
      <formula>B467=""</formula>
    </cfRule>
  </conditionalFormatting>
  <conditionalFormatting sqref="E468">
    <cfRule type="expression" dxfId="8811" priority="567">
      <formula>B468=""</formula>
    </cfRule>
  </conditionalFormatting>
  <conditionalFormatting sqref="E469">
    <cfRule type="expression" dxfId="8810" priority="566">
      <formula>B469=""</formula>
    </cfRule>
  </conditionalFormatting>
  <conditionalFormatting sqref="E470">
    <cfRule type="expression" dxfId="8809" priority="565">
      <formula>B470=""</formula>
    </cfRule>
  </conditionalFormatting>
  <conditionalFormatting sqref="E471">
    <cfRule type="expression" dxfId="8808" priority="564">
      <formula>B471=""</formula>
    </cfRule>
  </conditionalFormatting>
  <conditionalFormatting sqref="E472">
    <cfRule type="expression" dxfId="8807" priority="563">
      <formula>B472=""</formula>
    </cfRule>
  </conditionalFormatting>
  <conditionalFormatting sqref="E453 E455 E457 E459 E461 E463 E465 E467 E469 E471">
    <cfRule type="expression" dxfId="8806" priority="562">
      <formula>B453=""</formula>
    </cfRule>
  </conditionalFormatting>
  <conditionalFormatting sqref="E454:E464">
    <cfRule type="expression" dxfId="8805" priority="561">
      <formula>B454=""</formula>
    </cfRule>
  </conditionalFormatting>
  <conditionalFormatting sqref="E465">
    <cfRule type="expression" dxfId="8804" priority="560">
      <formula>B465=""</formula>
    </cfRule>
  </conditionalFormatting>
  <conditionalFormatting sqref="E466">
    <cfRule type="expression" dxfId="8803" priority="559">
      <formula>B466=""</formula>
    </cfRule>
  </conditionalFormatting>
  <conditionalFormatting sqref="E467">
    <cfRule type="expression" dxfId="8802" priority="558">
      <formula>B467=""</formula>
    </cfRule>
  </conditionalFormatting>
  <conditionalFormatting sqref="E468">
    <cfRule type="expression" dxfId="8801" priority="557">
      <formula>B468=""</formula>
    </cfRule>
  </conditionalFormatting>
  <conditionalFormatting sqref="E469">
    <cfRule type="expression" dxfId="8800" priority="556">
      <formula>B469=""</formula>
    </cfRule>
  </conditionalFormatting>
  <conditionalFormatting sqref="E470">
    <cfRule type="expression" dxfId="8799" priority="555">
      <formula>B470=""</formula>
    </cfRule>
  </conditionalFormatting>
  <conditionalFormatting sqref="E471">
    <cfRule type="expression" dxfId="8798" priority="554">
      <formula>B471=""</formula>
    </cfRule>
  </conditionalFormatting>
  <conditionalFormatting sqref="E472">
    <cfRule type="expression" dxfId="8797" priority="553">
      <formula>B472=""</formula>
    </cfRule>
  </conditionalFormatting>
  <conditionalFormatting sqref="E474 E476 E478 E480 E482 E484 E486 E488 E490 E492">
    <cfRule type="expression" dxfId="8796" priority="552">
      <formula>B474=""</formula>
    </cfRule>
  </conditionalFormatting>
  <conditionalFormatting sqref="E475 E477 E479 E481 E483 E485 E487 E489 E491 E493">
    <cfRule type="expression" dxfId="8795" priority="551">
      <formula>B475=""</formula>
    </cfRule>
  </conditionalFormatting>
  <conditionalFormatting sqref="E476:E486">
    <cfRule type="expression" dxfId="8794" priority="550">
      <formula>B476=""</formula>
    </cfRule>
  </conditionalFormatting>
  <conditionalFormatting sqref="E487">
    <cfRule type="expression" dxfId="8793" priority="549">
      <formula>B487=""</formula>
    </cfRule>
  </conditionalFormatting>
  <conditionalFormatting sqref="E488">
    <cfRule type="expression" dxfId="8792" priority="548">
      <formula>B488=""</formula>
    </cfRule>
  </conditionalFormatting>
  <conditionalFormatting sqref="E489">
    <cfRule type="expression" dxfId="8791" priority="547">
      <formula>B489=""</formula>
    </cfRule>
  </conditionalFormatting>
  <conditionalFormatting sqref="E490">
    <cfRule type="expression" dxfId="8790" priority="546">
      <formula>B490=""</formula>
    </cfRule>
  </conditionalFormatting>
  <conditionalFormatting sqref="E491">
    <cfRule type="expression" dxfId="8789" priority="545">
      <formula>B491=""</formula>
    </cfRule>
  </conditionalFormatting>
  <conditionalFormatting sqref="E492">
    <cfRule type="expression" dxfId="8788" priority="544">
      <formula>B492=""</formula>
    </cfRule>
  </conditionalFormatting>
  <conditionalFormatting sqref="E493">
    <cfRule type="expression" dxfId="8787" priority="543">
      <formula>B493=""</formula>
    </cfRule>
  </conditionalFormatting>
  <conditionalFormatting sqref="E494">
    <cfRule type="expression" dxfId="8786" priority="542">
      <formula>B494=""</formula>
    </cfRule>
  </conditionalFormatting>
  <conditionalFormatting sqref="E475 E477 E479 E481 E483 E485 E487 E489 E491 E493">
    <cfRule type="expression" dxfId="8785" priority="541">
      <formula>B475=""</formula>
    </cfRule>
  </conditionalFormatting>
  <conditionalFormatting sqref="E476:E486">
    <cfRule type="expression" dxfId="8784" priority="540">
      <formula>B476=""</formula>
    </cfRule>
  </conditionalFormatting>
  <conditionalFormatting sqref="E487">
    <cfRule type="expression" dxfId="8783" priority="539">
      <formula>B487=""</formula>
    </cfRule>
  </conditionalFormatting>
  <conditionalFormatting sqref="E488">
    <cfRule type="expression" dxfId="8782" priority="538">
      <formula>B488=""</formula>
    </cfRule>
  </conditionalFormatting>
  <conditionalFormatting sqref="E489">
    <cfRule type="expression" dxfId="8781" priority="537">
      <formula>B489=""</formula>
    </cfRule>
  </conditionalFormatting>
  <conditionalFormatting sqref="E490">
    <cfRule type="expression" dxfId="8780" priority="536">
      <formula>B490=""</formula>
    </cfRule>
  </conditionalFormatting>
  <conditionalFormatting sqref="E491">
    <cfRule type="expression" dxfId="8779" priority="535">
      <formula>B491=""</formula>
    </cfRule>
  </conditionalFormatting>
  <conditionalFormatting sqref="E492">
    <cfRule type="expression" dxfId="8778" priority="534">
      <formula>B492=""</formula>
    </cfRule>
  </conditionalFormatting>
  <conditionalFormatting sqref="E493">
    <cfRule type="expression" dxfId="8777" priority="533">
      <formula>B493=""</formula>
    </cfRule>
  </conditionalFormatting>
  <conditionalFormatting sqref="E494">
    <cfRule type="expression" dxfId="8776" priority="532">
      <formula>B494=""</formula>
    </cfRule>
  </conditionalFormatting>
  <conditionalFormatting sqref="E408:E427">
    <cfRule type="expression" dxfId="8775" priority="531">
      <formula>B408=""</formula>
    </cfRule>
  </conditionalFormatting>
  <conditionalFormatting sqref="E409 E411 E413 E415 E417 E419 E421 E423 E425 E427">
    <cfRule type="expression" dxfId="8774" priority="530">
      <formula>B409=""</formula>
    </cfRule>
  </conditionalFormatting>
  <conditionalFormatting sqref="E410:E420">
    <cfRule type="expression" dxfId="8773" priority="529">
      <formula>B410=""</formula>
    </cfRule>
  </conditionalFormatting>
  <conditionalFormatting sqref="E421">
    <cfRule type="expression" dxfId="8772" priority="528">
      <formula>B421=""</formula>
    </cfRule>
  </conditionalFormatting>
  <conditionalFormatting sqref="E422">
    <cfRule type="expression" dxfId="8771" priority="527">
      <formula>B422=""</formula>
    </cfRule>
  </conditionalFormatting>
  <conditionalFormatting sqref="E423">
    <cfRule type="expression" dxfId="8770" priority="526">
      <formula>B423=""</formula>
    </cfRule>
  </conditionalFormatting>
  <conditionalFormatting sqref="E424">
    <cfRule type="expression" dxfId="8769" priority="525">
      <formula>B424=""</formula>
    </cfRule>
  </conditionalFormatting>
  <conditionalFormatting sqref="E425">
    <cfRule type="expression" dxfId="8768" priority="524">
      <formula>B425=""</formula>
    </cfRule>
  </conditionalFormatting>
  <conditionalFormatting sqref="E426">
    <cfRule type="expression" dxfId="8767" priority="523">
      <formula>B426=""</formula>
    </cfRule>
  </conditionalFormatting>
  <conditionalFormatting sqref="E427">
    <cfRule type="expression" dxfId="8766" priority="522">
      <formula>B427=""</formula>
    </cfRule>
  </conditionalFormatting>
  <conditionalFormatting sqref="E409 E411 E413 E415 E417 E419 E421 E423 E425 E427">
    <cfRule type="expression" dxfId="8765" priority="521">
      <formula>B409=""</formula>
    </cfRule>
  </conditionalFormatting>
  <conditionalFormatting sqref="E410:E420">
    <cfRule type="expression" dxfId="8764" priority="520">
      <formula>B410=""</formula>
    </cfRule>
  </conditionalFormatting>
  <conditionalFormatting sqref="E421">
    <cfRule type="expression" dxfId="8763" priority="519">
      <formula>B421=""</formula>
    </cfRule>
  </conditionalFormatting>
  <conditionalFormatting sqref="E422">
    <cfRule type="expression" dxfId="8762" priority="518">
      <formula>B422=""</formula>
    </cfRule>
  </conditionalFormatting>
  <conditionalFormatting sqref="E423">
    <cfRule type="expression" dxfId="8761" priority="517">
      <formula>B423=""</formula>
    </cfRule>
  </conditionalFormatting>
  <conditionalFormatting sqref="E424">
    <cfRule type="expression" dxfId="8760" priority="516">
      <formula>B424=""</formula>
    </cfRule>
  </conditionalFormatting>
  <conditionalFormatting sqref="E425">
    <cfRule type="expression" dxfId="8759" priority="515">
      <formula>B425=""</formula>
    </cfRule>
  </conditionalFormatting>
  <conditionalFormatting sqref="E426">
    <cfRule type="expression" dxfId="8758" priority="514">
      <formula>B426=""</formula>
    </cfRule>
  </conditionalFormatting>
  <conditionalFormatting sqref="E427">
    <cfRule type="expression" dxfId="8757" priority="513">
      <formula>B427=""</formula>
    </cfRule>
  </conditionalFormatting>
  <conditionalFormatting sqref="E430 E432 E434 E436 E438 E440 E442 E444 E446 E448">
    <cfRule type="expression" dxfId="8756" priority="512">
      <formula>B430=""</formula>
    </cfRule>
  </conditionalFormatting>
  <conditionalFormatting sqref="E431 E433 E435 E437 E439 E441 E443 E445 E447 E449">
    <cfRule type="expression" dxfId="8755" priority="511">
      <formula>B431=""</formula>
    </cfRule>
  </conditionalFormatting>
  <conditionalFormatting sqref="E432:E442">
    <cfRule type="expression" dxfId="8754" priority="510">
      <formula>B432=""</formula>
    </cfRule>
  </conditionalFormatting>
  <conditionalFormatting sqref="E443">
    <cfRule type="expression" dxfId="8753" priority="509">
      <formula>B443=""</formula>
    </cfRule>
  </conditionalFormatting>
  <conditionalFormatting sqref="E444">
    <cfRule type="expression" dxfId="8752" priority="508">
      <formula>B444=""</formula>
    </cfRule>
  </conditionalFormatting>
  <conditionalFormatting sqref="E445">
    <cfRule type="expression" dxfId="8751" priority="507">
      <formula>B445=""</formula>
    </cfRule>
  </conditionalFormatting>
  <conditionalFormatting sqref="E446">
    <cfRule type="expression" dxfId="8750" priority="506">
      <formula>B446=""</formula>
    </cfRule>
  </conditionalFormatting>
  <conditionalFormatting sqref="E447">
    <cfRule type="expression" dxfId="8749" priority="505">
      <formula>B447=""</formula>
    </cfRule>
  </conditionalFormatting>
  <conditionalFormatting sqref="E448">
    <cfRule type="expression" dxfId="8748" priority="504">
      <formula>B448=""</formula>
    </cfRule>
  </conditionalFormatting>
  <conditionalFormatting sqref="E449">
    <cfRule type="expression" dxfId="8747" priority="503">
      <formula>B449=""</formula>
    </cfRule>
  </conditionalFormatting>
  <conditionalFormatting sqref="E431 E433 E435 E437 E439 E441 E443 E445 E447 E449">
    <cfRule type="expression" dxfId="8746" priority="502">
      <formula>B431=""</formula>
    </cfRule>
  </conditionalFormatting>
  <conditionalFormatting sqref="E432:E442">
    <cfRule type="expression" dxfId="8745" priority="501">
      <formula>B432=""</formula>
    </cfRule>
  </conditionalFormatting>
  <conditionalFormatting sqref="E443">
    <cfRule type="expression" dxfId="8744" priority="500">
      <formula>B443=""</formula>
    </cfRule>
  </conditionalFormatting>
  <conditionalFormatting sqref="E444">
    <cfRule type="expression" dxfId="8743" priority="499">
      <formula>B444=""</formula>
    </cfRule>
  </conditionalFormatting>
  <conditionalFormatting sqref="E445">
    <cfRule type="expression" dxfId="8742" priority="498">
      <formula>B445=""</formula>
    </cfRule>
  </conditionalFormatting>
  <conditionalFormatting sqref="E446">
    <cfRule type="expression" dxfId="8741" priority="497">
      <formula>B446=""</formula>
    </cfRule>
  </conditionalFormatting>
  <conditionalFormatting sqref="E447">
    <cfRule type="expression" dxfId="8740" priority="496">
      <formula>B447=""</formula>
    </cfRule>
  </conditionalFormatting>
  <conditionalFormatting sqref="E448">
    <cfRule type="expression" dxfId="8739" priority="495">
      <formula>B448=""</formula>
    </cfRule>
  </conditionalFormatting>
  <conditionalFormatting sqref="E449">
    <cfRule type="expression" dxfId="8738" priority="494">
      <formula>B449=""</formula>
    </cfRule>
  </conditionalFormatting>
  <conditionalFormatting sqref="E430:E449">
    <cfRule type="expression" dxfId="8737" priority="493">
      <formula>B430=""</formula>
    </cfRule>
  </conditionalFormatting>
  <conditionalFormatting sqref="E431 E433 E435 E437 E439 E441 E443 E445 E447 E449">
    <cfRule type="expression" dxfId="8736" priority="492">
      <formula>B431=""</formula>
    </cfRule>
  </conditionalFormatting>
  <conditionalFormatting sqref="E432:E442">
    <cfRule type="expression" dxfId="8735" priority="491">
      <formula>B432=""</formula>
    </cfRule>
  </conditionalFormatting>
  <conditionalFormatting sqref="E443">
    <cfRule type="expression" dxfId="8734" priority="490">
      <formula>B443=""</formula>
    </cfRule>
  </conditionalFormatting>
  <conditionalFormatting sqref="E444">
    <cfRule type="expression" dxfId="8733" priority="489">
      <formula>B444=""</formula>
    </cfRule>
  </conditionalFormatting>
  <conditionalFormatting sqref="E445">
    <cfRule type="expression" dxfId="8732" priority="488">
      <formula>B445=""</formula>
    </cfRule>
  </conditionalFormatting>
  <conditionalFormatting sqref="E446">
    <cfRule type="expression" dxfId="8731" priority="487">
      <formula>B446=""</formula>
    </cfRule>
  </conditionalFormatting>
  <conditionalFormatting sqref="E447">
    <cfRule type="expression" dxfId="8730" priority="486">
      <formula>B447=""</formula>
    </cfRule>
  </conditionalFormatting>
  <conditionalFormatting sqref="E448">
    <cfRule type="expression" dxfId="8729" priority="485">
      <formula>B448=""</formula>
    </cfRule>
  </conditionalFormatting>
  <conditionalFormatting sqref="E449">
    <cfRule type="expression" dxfId="8728" priority="484">
      <formula>B449=""</formula>
    </cfRule>
  </conditionalFormatting>
  <conditionalFormatting sqref="E431 E433 E435 E437 E439 E441 E443 E445 E447 E449">
    <cfRule type="expression" dxfId="8727" priority="483">
      <formula>B431=""</formula>
    </cfRule>
  </conditionalFormatting>
  <conditionalFormatting sqref="E432:E442">
    <cfRule type="expression" dxfId="8726" priority="482">
      <formula>B432=""</formula>
    </cfRule>
  </conditionalFormatting>
  <conditionalFormatting sqref="E443">
    <cfRule type="expression" dxfId="8725" priority="481">
      <formula>B443=""</formula>
    </cfRule>
  </conditionalFormatting>
  <conditionalFormatting sqref="E444">
    <cfRule type="expression" dxfId="8724" priority="480">
      <formula>B444=""</formula>
    </cfRule>
  </conditionalFormatting>
  <conditionalFormatting sqref="E445">
    <cfRule type="expression" dxfId="8723" priority="479">
      <formula>B445=""</formula>
    </cfRule>
  </conditionalFormatting>
  <conditionalFormatting sqref="E446">
    <cfRule type="expression" dxfId="8722" priority="478">
      <formula>B446=""</formula>
    </cfRule>
  </conditionalFormatting>
  <conditionalFormatting sqref="E447">
    <cfRule type="expression" dxfId="8721" priority="477">
      <formula>B447=""</formula>
    </cfRule>
  </conditionalFormatting>
  <conditionalFormatting sqref="E448">
    <cfRule type="expression" dxfId="8720" priority="476">
      <formula>B448=""</formula>
    </cfRule>
  </conditionalFormatting>
  <conditionalFormatting sqref="E449">
    <cfRule type="expression" dxfId="8719" priority="475">
      <formula>B449=""</formula>
    </cfRule>
  </conditionalFormatting>
  <conditionalFormatting sqref="E408 E410 E412 E414 E416 E418 E420 E422 E424 E426">
    <cfRule type="expression" dxfId="8718" priority="474">
      <formula>B408=""</formula>
    </cfRule>
  </conditionalFormatting>
  <conditionalFormatting sqref="E409 E411 E413 E415 E417 E419 E421 E423 E425 E427">
    <cfRule type="expression" dxfId="8717" priority="473">
      <formula>B409=""</formula>
    </cfRule>
  </conditionalFormatting>
  <conditionalFormatting sqref="E410:E420">
    <cfRule type="expression" dxfId="8716" priority="472">
      <formula>B410=""</formula>
    </cfRule>
  </conditionalFormatting>
  <conditionalFormatting sqref="E421">
    <cfRule type="expression" dxfId="8715" priority="471">
      <formula>B421=""</formula>
    </cfRule>
  </conditionalFormatting>
  <conditionalFormatting sqref="E422">
    <cfRule type="expression" dxfId="8714" priority="470">
      <formula>B422=""</formula>
    </cfRule>
  </conditionalFormatting>
  <conditionalFormatting sqref="E423">
    <cfRule type="expression" dxfId="8713" priority="469">
      <formula>B423=""</formula>
    </cfRule>
  </conditionalFormatting>
  <conditionalFormatting sqref="E424">
    <cfRule type="expression" dxfId="8712" priority="468">
      <formula>B424=""</formula>
    </cfRule>
  </conditionalFormatting>
  <conditionalFormatting sqref="E425">
    <cfRule type="expression" dxfId="8711" priority="467">
      <formula>B425=""</formula>
    </cfRule>
  </conditionalFormatting>
  <conditionalFormatting sqref="E426">
    <cfRule type="expression" dxfId="8710" priority="466">
      <formula>B426=""</formula>
    </cfRule>
  </conditionalFormatting>
  <conditionalFormatting sqref="E427">
    <cfRule type="expression" dxfId="8709" priority="465">
      <formula>B427=""</formula>
    </cfRule>
  </conditionalFormatting>
  <conditionalFormatting sqref="E428">
    <cfRule type="expression" dxfId="8708" priority="464">
      <formula>B428=""</formula>
    </cfRule>
  </conditionalFormatting>
  <conditionalFormatting sqref="E409 E411 E413 E415 E417 E419 E421 E423 E425 E427">
    <cfRule type="expression" dxfId="8707" priority="463">
      <formula>B409=""</formula>
    </cfRule>
  </conditionalFormatting>
  <conditionalFormatting sqref="E410:E420">
    <cfRule type="expression" dxfId="8706" priority="462">
      <formula>B410=""</formula>
    </cfRule>
  </conditionalFormatting>
  <conditionalFormatting sqref="E421">
    <cfRule type="expression" dxfId="8705" priority="461">
      <formula>B421=""</formula>
    </cfRule>
  </conditionalFormatting>
  <conditionalFormatting sqref="E422">
    <cfRule type="expression" dxfId="8704" priority="460">
      <formula>B422=""</formula>
    </cfRule>
  </conditionalFormatting>
  <conditionalFormatting sqref="E423">
    <cfRule type="expression" dxfId="8703" priority="459">
      <formula>B423=""</formula>
    </cfRule>
  </conditionalFormatting>
  <conditionalFormatting sqref="E424">
    <cfRule type="expression" dxfId="8702" priority="458">
      <formula>B424=""</formula>
    </cfRule>
  </conditionalFormatting>
  <conditionalFormatting sqref="E425">
    <cfRule type="expression" dxfId="8701" priority="457">
      <formula>B425=""</formula>
    </cfRule>
  </conditionalFormatting>
  <conditionalFormatting sqref="E426">
    <cfRule type="expression" dxfId="8700" priority="456">
      <formula>B426=""</formula>
    </cfRule>
  </conditionalFormatting>
  <conditionalFormatting sqref="E427">
    <cfRule type="expression" dxfId="8699" priority="455">
      <formula>B427=""</formula>
    </cfRule>
  </conditionalFormatting>
  <conditionalFormatting sqref="E428">
    <cfRule type="expression" dxfId="8698" priority="454">
      <formula>B428=""</formula>
    </cfRule>
  </conditionalFormatting>
  <conditionalFormatting sqref="E430 E432 E434 E436 E438 E440 E442 E444 E446 E448">
    <cfRule type="expression" dxfId="8697" priority="453">
      <formula>B430=""</formula>
    </cfRule>
  </conditionalFormatting>
  <conditionalFormatting sqref="E431 E433 E435 E437 E439 E441 E443 E445 E447 E449">
    <cfRule type="expression" dxfId="8696" priority="452">
      <formula>B431=""</formula>
    </cfRule>
  </conditionalFormatting>
  <conditionalFormatting sqref="E432:E442">
    <cfRule type="expression" dxfId="8695" priority="451">
      <formula>B432=""</formula>
    </cfRule>
  </conditionalFormatting>
  <conditionalFormatting sqref="E443">
    <cfRule type="expression" dxfId="8694" priority="450">
      <formula>B443=""</formula>
    </cfRule>
  </conditionalFormatting>
  <conditionalFormatting sqref="E444">
    <cfRule type="expression" dxfId="8693" priority="449">
      <formula>B444=""</formula>
    </cfRule>
  </conditionalFormatting>
  <conditionalFormatting sqref="E445">
    <cfRule type="expression" dxfId="8692" priority="448">
      <formula>B445=""</formula>
    </cfRule>
  </conditionalFormatting>
  <conditionalFormatting sqref="E446">
    <cfRule type="expression" dxfId="8691" priority="447">
      <formula>B446=""</formula>
    </cfRule>
  </conditionalFormatting>
  <conditionalFormatting sqref="E447">
    <cfRule type="expression" dxfId="8690" priority="446">
      <formula>B447=""</formula>
    </cfRule>
  </conditionalFormatting>
  <conditionalFormatting sqref="E448">
    <cfRule type="expression" dxfId="8689" priority="445">
      <formula>B448=""</formula>
    </cfRule>
  </conditionalFormatting>
  <conditionalFormatting sqref="E449">
    <cfRule type="expression" dxfId="8688" priority="444">
      <formula>B449=""</formula>
    </cfRule>
  </conditionalFormatting>
  <conditionalFormatting sqref="E450">
    <cfRule type="expression" dxfId="8687" priority="443">
      <formula>B450=""</formula>
    </cfRule>
  </conditionalFormatting>
  <conditionalFormatting sqref="E431 E433 E435 E437 E439 E441 E443 E445 E447 E449">
    <cfRule type="expression" dxfId="8686" priority="442">
      <formula>B431=""</formula>
    </cfRule>
  </conditionalFormatting>
  <conditionalFormatting sqref="E432:E442">
    <cfRule type="expression" dxfId="8685" priority="441">
      <formula>B432=""</formula>
    </cfRule>
  </conditionalFormatting>
  <conditionalFormatting sqref="E443">
    <cfRule type="expression" dxfId="8684" priority="440">
      <formula>B443=""</formula>
    </cfRule>
  </conditionalFormatting>
  <conditionalFormatting sqref="E444">
    <cfRule type="expression" dxfId="8683" priority="439">
      <formula>B444=""</formula>
    </cfRule>
  </conditionalFormatting>
  <conditionalFormatting sqref="E445">
    <cfRule type="expression" dxfId="8682" priority="438">
      <formula>B445=""</formula>
    </cfRule>
  </conditionalFormatting>
  <conditionalFormatting sqref="E446">
    <cfRule type="expression" dxfId="8681" priority="437">
      <formula>B446=""</formula>
    </cfRule>
  </conditionalFormatting>
  <conditionalFormatting sqref="E447">
    <cfRule type="expression" dxfId="8680" priority="436">
      <formula>B447=""</formula>
    </cfRule>
  </conditionalFormatting>
  <conditionalFormatting sqref="E448">
    <cfRule type="expression" dxfId="8679" priority="435">
      <formula>B448=""</formula>
    </cfRule>
  </conditionalFormatting>
  <conditionalFormatting sqref="E449">
    <cfRule type="expression" dxfId="8678" priority="434">
      <formula>B449=""</formula>
    </cfRule>
  </conditionalFormatting>
  <conditionalFormatting sqref="E450">
    <cfRule type="expression" dxfId="8677" priority="433">
      <formula>B450=""</formula>
    </cfRule>
  </conditionalFormatting>
  <conditionalFormatting sqref="E452 E454 E456 E458 E460 E462 E464 E466 E468 E470">
    <cfRule type="expression" dxfId="8676" priority="432">
      <formula>B452=""</formula>
    </cfRule>
  </conditionalFormatting>
  <conditionalFormatting sqref="E453 E455 E457 E459 E461 E463 E465 E467 E469 E471">
    <cfRule type="expression" dxfId="8675" priority="431">
      <formula>B453=""</formula>
    </cfRule>
  </conditionalFormatting>
  <conditionalFormatting sqref="E454:E464">
    <cfRule type="expression" dxfId="8674" priority="430">
      <formula>B454=""</formula>
    </cfRule>
  </conditionalFormatting>
  <conditionalFormatting sqref="E465">
    <cfRule type="expression" dxfId="8673" priority="429">
      <formula>B465=""</formula>
    </cfRule>
  </conditionalFormatting>
  <conditionalFormatting sqref="E466">
    <cfRule type="expression" dxfId="8672" priority="428">
      <formula>B466=""</formula>
    </cfRule>
  </conditionalFormatting>
  <conditionalFormatting sqref="E467">
    <cfRule type="expression" dxfId="8671" priority="427">
      <formula>B467=""</formula>
    </cfRule>
  </conditionalFormatting>
  <conditionalFormatting sqref="E468">
    <cfRule type="expression" dxfId="8670" priority="426">
      <formula>B468=""</formula>
    </cfRule>
  </conditionalFormatting>
  <conditionalFormatting sqref="E469">
    <cfRule type="expression" dxfId="8669" priority="425">
      <formula>B469=""</formula>
    </cfRule>
  </conditionalFormatting>
  <conditionalFormatting sqref="E470">
    <cfRule type="expression" dxfId="8668" priority="424">
      <formula>B470=""</formula>
    </cfRule>
  </conditionalFormatting>
  <conditionalFormatting sqref="E471">
    <cfRule type="expression" dxfId="8667" priority="423">
      <formula>B471=""</formula>
    </cfRule>
  </conditionalFormatting>
  <conditionalFormatting sqref="E472">
    <cfRule type="expression" dxfId="8666" priority="422">
      <formula>B472=""</formula>
    </cfRule>
  </conditionalFormatting>
  <conditionalFormatting sqref="E453 E455 E457 E459 E461 E463 E465 E467 E469 E471">
    <cfRule type="expression" dxfId="8665" priority="421">
      <formula>B453=""</formula>
    </cfRule>
  </conditionalFormatting>
  <conditionalFormatting sqref="E454:E464">
    <cfRule type="expression" dxfId="8664" priority="420">
      <formula>B454=""</formula>
    </cfRule>
  </conditionalFormatting>
  <conditionalFormatting sqref="E465">
    <cfRule type="expression" dxfId="8663" priority="419">
      <formula>B465=""</formula>
    </cfRule>
  </conditionalFormatting>
  <conditionalFormatting sqref="E466">
    <cfRule type="expression" dxfId="8662" priority="418">
      <formula>B466=""</formula>
    </cfRule>
  </conditionalFormatting>
  <conditionalFormatting sqref="E467">
    <cfRule type="expression" dxfId="8661" priority="417">
      <formula>B467=""</formula>
    </cfRule>
  </conditionalFormatting>
  <conditionalFormatting sqref="E468">
    <cfRule type="expression" dxfId="8660" priority="416">
      <formula>B468=""</formula>
    </cfRule>
  </conditionalFormatting>
  <conditionalFormatting sqref="E469">
    <cfRule type="expression" dxfId="8659" priority="415">
      <formula>B469=""</formula>
    </cfRule>
  </conditionalFormatting>
  <conditionalFormatting sqref="E470">
    <cfRule type="expression" dxfId="8658" priority="414">
      <formula>B470=""</formula>
    </cfRule>
  </conditionalFormatting>
  <conditionalFormatting sqref="E471">
    <cfRule type="expression" dxfId="8657" priority="413">
      <formula>B471=""</formula>
    </cfRule>
  </conditionalFormatting>
  <conditionalFormatting sqref="E472">
    <cfRule type="expression" dxfId="8656" priority="412">
      <formula>B472=""</formula>
    </cfRule>
  </conditionalFormatting>
  <conditionalFormatting sqref="E474 E476 E478 E480 E482 E484 E486 E488 E490 E492">
    <cfRule type="expression" dxfId="8655" priority="411">
      <formula>B474=""</formula>
    </cfRule>
  </conditionalFormatting>
  <conditionalFormatting sqref="E475 E477 E479 E481 E483 E485 E487 E489 E491 E493">
    <cfRule type="expression" dxfId="8654" priority="410">
      <formula>B475=""</formula>
    </cfRule>
  </conditionalFormatting>
  <conditionalFormatting sqref="E476:E486">
    <cfRule type="expression" dxfId="8653" priority="409">
      <formula>B476=""</formula>
    </cfRule>
  </conditionalFormatting>
  <conditionalFormatting sqref="E487">
    <cfRule type="expression" dxfId="8652" priority="408">
      <formula>B487=""</formula>
    </cfRule>
  </conditionalFormatting>
  <conditionalFormatting sqref="E488">
    <cfRule type="expression" dxfId="8651" priority="407">
      <formula>B488=""</formula>
    </cfRule>
  </conditionalFormatting>
  <conditionalFormatting sqref="E489">
    <cfRule type="expression" dxfId="8650" priority="406">
      <formula>B489=""</formula>
    </cfRule>
  </conditionalFormatting>
  <conditionalFormatting sqref="E490">
    <cfRule type="expression" dxfId="8649" priority="405">
      <formula>B490=""</formula>
    </cfRule>
  </conditionalFormatting>
  <conditionalFormatting sqref="E491">
    <cfRule type="expression" dxfId="8648" priority="404">
      <formula>B491=""</formula>
    </cfRule>
  </conditionalFormatting>
  <conditionalFormatting sqref="E492">
    <cfRule type="expression" dxfId="8647" priority="403">
      <formula>B492=""</formula>
    </cfRule>
  </conditionalFormatting>
  <conditionalFormatting sqref="E493">
    <cfRule type="expression" dxfId="8646" priority="402">
      <formula>B493=""</formula>
    </cfRule>
  </conditionalFormatting>
  <conditionalFormatting sqref="E494">
    <cfRule type="expression" dxfId="8645" priority="401">
      <formula>B494=""</formula>
    </cfRule>
  </conditionalFormatting>
  <conditionalFormatting sqref="E475 E477 E479 E481 E483 E485 E487 E489 E491 E493">
    <cfRule type="expression" dxfId="8644" priority="400">
      <formula>B475=""</formula>
    </cfRule>
  </conditionalFormatting>
  <conditionalFormatting sqref="E476:E486">
    <cfRule type="expression" dxfId="8643" priority="399">
      <formula>B476=""</formula>
    </cfRule>
  </conditionalFormatting>
  <conditionalFormatting sqref="E487">
    <cfRule type="expression" dxfId="8642" priority="398">
      <formula>B487=""</formula>
    </cfRule>
  </conditionalFormatting>
  <conditionalFormatting sqref="E488">
    <cfRule type="expression" dxfId="8641" priority="397">
      <formula>B488=""</formula>
    </cfRule>
  </conditionalFormatting>
  <conditionalFormatting sqref="E489">
    <cfRule type="expression" dxfId="8640" priority="396">
      <formula>B489=""</formula>
    </cfRule>
  </conditionalFormatting>
  <conditionalFormatting sqref="E490">
    <cfRule type="expression" dxfId="8639" priority="395">
      <formula>B490=""</formula>
    </cfRule>
  </conditionalFormatting>
  <conditionalFormatting sqref="E491">
    <cfRule type="expression" dxfId="8638" priority="394">
      <formula>B491=""</formula>
    </cfRule>
  </conditionalFormatting>
  <conditionalFormatting sqref="E492">
    <cfRule type="expression" dxfId="8637" priority="393">
      <formula>B492=""</formula>
    </cfRule>
  </conditionalFormatting>
  <conditionalFormatting sqref="E493">
    <cfRule type="expression" dxfId="8636" priority="392">
      <formula>B493=""</formula>
    </cfRule>
  </conditionalFormatting>
  <conditionalFormatting sqref="E494">
    <cfRule type="expression" dxfId="8635" priority="391">
      <formula>B494=""</formula>
    </cfRule>
  </conditionalFormatting>
  <conditionalFormatting sqref="E408:E427">
    <cfRule type="expression" dxfId="8634" priority="390">
      <formula>B408=""</formula>
    </cfRule>
  </conditionalFormatting>
  <conditionalFormatting sqref="E409 E411 E413 E415 E417 E419 E421 E423 E425 E427">
    <cfRule type="expression" dxfId="8633" priority="389">
      <formula>B409=""</formula>
    </cfRule>
  </conditionalFormatting>
  <conditionalFormatting sqref="E410:E420">
    <cfRule type="expression" dxfId="8632" priority="388">
      <formula>B410=""</formula>
    </cfRule>
  </conditionalFormatting>
  <conditionalFormatting sqref="E421">
    <cfRule type="expression" dxfId="8631" priority="387">
      <formula>B421=""</formula>
    </cfRule>
  </conditionalFormatting>
  <conditionalFormatting sqref="E422">
    <cfRule type="expression" dxfId="8630" priority="386">
      <formula>B422=""</formula>
    </cfRule>
  </conditionalFormatting>
  <conditionalFormatting sqref="E423">
    <cfRule type="expression" dxfId="8629" priority="385">
      <formula>B423=""</formula>
    </cfRule>
  </conditionalFormatting>
  <conditionalFormatting sqref="E424">
    <cfRule type="expression" dxfId="8628" priority="384">
      <formula>B424=""</formula>
    </cfRule>
  </conditionalFormatting>
  <conditionalFormatting sqref="E425">
    <cfRule type="expression" dxfId="8627" priority="383">
      <formula>B425=""</formula>
    </cfRule>
  </conditionalFormatting>
  <conditionalFormatting sqref="E426">
    <cfRule type="expression" dxfId="8626" priority="382">
      <formula>B426=""</formula>
    </cfRule>
  </conditionalFormatting>
  <conditionalFormatting sqref="E427">
    <cfRule type="expression" dxfId="8625" priority="381">
      <formula>B427=""</formula>
    </cfRule>
  </conditionalFormatting>
  <conditionalFormatting sqref="E409 E411 E413 E415 E417 E419 E421 E423 E425 E427">
    <cfRule type="expression" dxfId="8624" priority="380">
      <formula>B409=""</formula>
    </cfRule>
  </conditionalFormatting>
  <conditionalFormatting sqref="E410:E420">
    <cfRule type="expression" dxfId="8623" priority="379">
      <formula>B410=""</formula>
    </cfRule>
  </conditionalFormatting>
  <conditionalFormatting sqref="E421">
    <cfRule type="expression" dxfId="8622" priority="378">
      <formula>B421=""</formula>
    </cfRule>
  </conditionalFormatting>
  <conditionalFormatting sqref="E422">
    <cfRule type="expression" dxfId="8621" priority="377">
      <formula>B422=""</formula>
    </cfRule>
  </conditionalFormatting>
  <conditionalFormatting sqref="E423">
    <cfRule type="expression" dxfId="8620" priority="376">
      <formula>B423=""</formula>
    </cfRule>
  </conditionalFormatting>
  <conditionalFormatting sqref="E424">
    <cfRule type="expression" dxfId="8619" priority="375">
      <formula>B424=""</formula>
    </cfRule>
  </conditionalFormatting>
  <conditionalFormatting sqref="E425">
    <cfRule type="expression" dxfId="8618" priority="374">
      <formula>B425=""</formula>
    </cfRule>
  </conditionalFormatting>
  <conditionalFormatting sqref="E426">
    <cfRule type="expression" dxfId="8617" priority="373">
      <formula>B426=""</formula>
    </cfRule>
  </conditionalFormatting>
  <conditionalFormatting sqref="E427">
    <cfRule type="expression" dxfId="8616" priority="372">
      <formula>B427=""</formula>
    </cfRule>
  </conditionalFormatting>
  <conditionalFormatting sqref="E430 E432 E434 E436 E438 E440 E442 E444 E446 E448">
    <cfRule type="expression" dxfId="8615" priority="371">
      <formula>B430=""</formula>
    </cfRule>
  </conditionalFormatting>
  <conditionalFormatting sqref="E431 E433 E435 E437 E439 E441 E443 E445 E447 E449">
    <cfRule type="expression" dxfId="8614" priority="370">
      <formula>B431=""</formula>
    </cfRule>
  </conditionalFormatting>
  <conditionalFormatting sqref="E432:E442">
    <cfRule type="expression" dxfId="8613" priority="369">
      <formula>B432=""</formula>
    </cfRule>
  </conditionalFormatting>
  <conditionalFormatting sqref="E443">
    <cfRule type="expression" dxfId="8612" priority="368">
      <formula>B443=""</formula>
    </cfRule>
  </conditionalFormatting>
  <conditionalFormatting sqref="E444">
    <cfRule type="expression" dxfId="8611" priority="367">
      <formula>B444=""</formula>
    </cfRule>
  </conditionalFormatting>
  <conditionalFormatting sqref="E445">
    <cfRule type="expression" dxfId="8610" priority="366">
      <formula>B445=""</formula>
    </cfRule>
  </conditionalFormatting>
  <conditionalFormatting sqref="E446">
    <cfRule type="expression" dxfId="8609" priority="365">
      <formula>B446=""</formula>
    </cfRule>
  </conditionalFormatting>
  <conditionalFormatting sqref="E447">
    <cfRule type="expression" dxfId="8608" priority="364">
      <formula>B447=""</formula>
    </cfRule>
  </conditionalFormatting>
  <conditionalFormatting sqref="E448">
    <cfRule type="expression" dxfId="8607" priority="363">
      <formula>B448=""</formula>
    </cfRule>
  </conditionalFormatting>
  <conditionalFormatting sqref="E449">
    <cfRule type="expression" dxfId="8606" priority="362">
      <formula>B449=""</formula>
    </cfRule>
  </conditionalFormatting>
  <conditionalFormatting sqref="E431 E433 E435 E437 E439 E441 E443 E445 E447 E449">
    <cfRule type="expression" dxfId="8605" priority="361">
      <formula>B431=""</formula>
    </cfRule>
  </conditionalFormatting>
  <conditionalFormatting sqref="E432:E442">
    <cfRule type="expression" dxfId="8604" priority="360">
      <formula>B432=""</formula>
    </cfRule>
  </conditionalFormatting>
  <conditionalFormatting sqref="E443">
    <cfRule type="expression" dxfId="8603" priority="359">
      <formula>B443=""</formula>
    </cfRule>
  </conditionalFormatting>
  <conditionalFormatting sqref="E444">
    <cfRule type="expression" dxfId="8602" priority="358">
      <formula>B444=""</formula>
    </cfRule>
  </conditionalFormatting>
  <conditionalFormatting sqref="E445">
    <cfRule type="expression" dxfId="8601" priority="357">
      <formula>B445=""</formula>
    </cfRule>
  </conditionalFormatting>
  <conditionalFormatting sqref="E446">
    <cfRule type="expression" dxfId="8600" priority="356">
      <formula>B446=""</formula>
    </cfRule>
  </conditionalFormatting>
  <conditionalFormatting sqref="E447">
    <cfRule type="expression" dxfId="8599" priority="355">
      <formula>B447=""</formula>
    </cfRule>
  </conditionalFormatting>
  <conditionalFormatting sqref="E448">
    <cfRule type="expression" dxfId="8598" priority="354">
      <formula>B448=""</formula>
    </cfRule>
  </conditionalFormatting>
  <conditionalFormatting sqref="E449">
    <cfRule type="expression" dxfId="8597" priority="353">
      <formula>B449=""</formula>
    </cfRule>
  </conditionalFormatting>
  <conditionalFormatting sqref="E430:E449">
    <cfRule type="expression" dxfId="8596" priority="352">
      <formula>B430=""</formula>
    </cfRule>
  </conditionalFormatting>
  <conditionalFormatting sqref="E431 E433 E435 E437 E439 E441 E443 E445 E447 E449">
    <cfRule type="expression" dxfId="8595" priority="351">
      <formula>B431=""</formula>
    </cfRule>
  </conditionalFormatting>
  <conditionalFormatting sqref="E432:E442">
    <cfRule type="expression" dxfId="8594" priority="350">
      <formula>B432=""</formula>
    </cfRule>
  </conditionalFormatting>
  <conditionalFormatting sqref="E443">
    <cfRule type="expression" dxfId="8593" priority="349">
      <formula>B443=""</formula>
    </cfRule>
  </conditionalFormatting>
  <conditionalFormatting sqref="E444">
    <cfRule type="expression" dxfId="8592" priority="348">
      <formula>B444=""</formula>
    </cfRule>
  </conditionalFormatting>
  <conditionalFormatting sqref="E445">
    <cfRule type="expression" dxfId="8591" priority="347">
      <formula>B445=""</formula>
    </cfRule>
  </conditionalFormatting>
  <conditionalFormatting sqref="E446">
    <cfRule type="expression" dxfId="8590" priority="346">
      <formula>B446=""</formula>
    </cfRule>
  </conditionalFormatting>
  <conditionalFormatting sqref="E447">
    <cfRule type="expression" dxfId="8589" priority="345">
      <formula>B447=""</formula>
    </cfRule>
  </conditionalFormatting>
  <conditionalFormatting sqref="E448">
    <cfRule type="expression" dxfId="8588" priority="344">
      <formula>B448=""</formula>
    </cfRule>
  </conditionalFormatting>
  <conditionalFormatting sqref="E449">
    <cfRule type="expression" dxfId="8587" priority="343">
      <formula>B449=""</formula>
    </cfRule>
  </conditionalFormatting>
  <conditionalFormatting sqref="E431 E433 E435 E437 E439 E441 E443 E445 E447 E449">
    <cfRule type="expression" dxfId="8586" priority="342">
      <formula>B431=""</formula>
    </cfRule>
  </conditionalFormatting>
  <conditionalFormatting sqref="E432:E442">
    <cfRule type="expression" dxfId="8585" priority="341">
      <formula>B432=""</formula>
    </cfRule>
  </conditionalFormatting>
  <conditionalFormatting sqref="E443">
    <cfRule type="expression" dxfId="8584" priority="340">
      <formula>B443=""</formula>
    </cfRule>
  </conditionalFormatting>
  <conditionalFormatting sqref="E444">
    <cfRule type="expression" dxfId="8583" priority="339">
      <formula>B444=""</formula>
    </cfRule>
  </conditionalFormatting>
  <conditionalFormatting sqref="E445">
    <cfRule type="expression" dxfId="8582" priority="338">
      <formula>B445=""</formula>
    </cfRule>
  </conditionalFormatting>
  <conditionalFormatting sqref="E446">
    <cfRule type="expression" dxfId="8581" priority="337">
      <formula>B446=""</formula>
    </cfRule>
  </conditionalFormatting>
  <conditionalFormatting sqref="E447">
    <cfRule type="expression" dxfId="8580" priority="336">
      <formula>B447=""</formula>
    </cfRule>
  </conditionalFormatting>
  <conditionalFormatting sqref="E448">
    <cfRule type="expression" dxfId="8579" priority="335">
      <formula>B448=""</formula>
    </cfRule>
  </conditionalFormatting>
  <conditionalFormatting sqref="E449">
    <cfRule type="expression" dxfId="8578" priority="334">
      <formula>B449=""</formula>
    </cfRule>
  </conditionalFormatting>
  <conditionalFormatting sqref="E408 E410 E412 E414 E416 E418 E420 E422 E424 E426">
    <cfRule type="expression" dxfId="8577" priority="333">
      <formula>B408=""</formula>
    </cfRule>
  </conditionalFormatting>
  <conditionalFormatting sqref="E409 E411 E413 E415 E417 E419 E421 E423 E425 E427">
    <cfRule type="expression" dxfId="8576" priority="332">
      <formula>B409=""</formula>
    </cfRule>
  </conditionalFormatting>
  <conditionalFormatting sqref="E410:E420">
    <cfRule type="expression" dxfId="8575" priority="331">
      <formula>B410=""</formula>
    </cfRule>
  </conditionalFormatting>
  <conditionalFormatting sqref="E421:E423">
    <cfRule type="expression" dxfId="8574" priority="330">
      <formula>B421=""</formula>
    </cfRule>
  </conditionalFormatting>
  <conditionalFormatting sqref="E422">
    <cfRule type="expression" dxfId="8573" priority="329">
      <formula>B422=""</formula>
    </cfRule>
  </conditionalFormatting>
  <conditionalFormatting sqref="E423">
    <cfRule type="expression" dxfId="8572" priority="328">
      <formula>B423=""</formula>
    </cfRule>
  </conditionalFormatting>
  <conditionalFormatting sqref="E424">
    <cfRule type="expression" dxfId="8571" priority="327">
      <formula>B424=""</formula>
    </cfRule>
  </conditionalFormatting>
  <conditionalFormatting sqref="E425">
    <cfRule type="expression" dxfId="8570" priority="326">
      <formula>B425=""</formula>
    </cfRule>
  </conditionalFormatting>
  <conditionalFormatting sqref="E426">
    <cfRule type="expression" dxfId="8569" priority="325">
      <formula>B426=""</formula>
    </cfRule>
  </conditionalFormatting>
  <conditionalFormatting sqref="E427:E428">
    <cfRule type="expression" dxfId="8568" priority="324">
      <formula>B427=""</formula>
    </cfRule>
  </conditionalFormatting>
  <conditionalFormatting sqref="E428">
    <cfRule type="expression" dxfId="8567" priority="323">
      <formula>B428=""</formula>
    </cfRule>
  </conditionalFormatting>
  <conditionalFormatting sqref="E409 E411 E413 E415 E417 E419 E421 E423 E425 E427">
    <cfRule type="expression" dxfId="8566" priority="322">
      <formula>B409=""</formula>
    </cfRule>
  </conditionalFormatting>
  <conditionalFormatting sqref="E410:E420">
    <cfRule type="expression" dxfId="8565" priority="321">
      <formula>B410=""</formula>
    </cfRule>
  </conditionalFormatting>
  <conditionalFormatting sqref="E421:E423">
    <cfRule type="expression" dxfId="8564" priority="320">
      <formula>B421=""</formula>
    </cfRule>
  </conditionalFormatting>
  <conditionalFormatting sqref="E422">
    <cfRule type="expression" dxfId="8563" priority="319">
      <formula>B422=""</formula>
    </cfRule>
  </conditionalFormatting>
  <conditionalFormatting sqref="E423">
    <cfRule type="expression" dxfId="8562" priority="318">
      <formula>B423=""</formula>
    </cfRule>
  </conditionalFormatting>
  <conditionalFormatting sqref="E424">
    <cfRule type="expression" dxfId="8561" priority="317">
      <formula>B424=""</formula>
    </cfRule>
  </conditionalFormatting>
  <conditionalFormatting sqref="E425">
    <cfRule type="expression" dxfId="8560" priority="316">
      <formula>B425=""</formula>
    </cfRule>
  </conditionalFormatting>
  <conditionalFormatting sqref="E426">
    <cfRule type="expression" dxfId="8559" priority="315">
      <formula>B426=""</formula>
    </cfRule>
  </conditionalFormatting>
  <conditionalFormatting sqref="E427:E428">
    <cfRule type="expression" dxfId="8558" priority="314">
      <formula>B427=""</formula>
    </cfRule>
  </conditionalFormatting>
  <conditionalFormatting sqref="E428">
    <cfRule type="expression" dxfId="8557" priority="313">
      <formula>B428=""</formula>
    </cfRule>
  </conditionalFormatting>
  <conditionalFormatting sqref="E430 E432 E434 E436 E438 E440 E442 E444 E446 E448">
    <cfRule type="expression" dxfId="8556" priority="312">
      <formula>B430=""</formula>
    </cfRule>
  </conditionalFormatting>
  <conditionalFormatting sqref="E431 E433 E435 E437 E439 E441 E443 E445 E447 E449">
    <cfRule type="expression" dxfId="8555" priority="311">
      <formula>B431=""</formula>
    </cfRule>
  </conditionalFormatting>
  <conditionalFormatting sqref="E432:E442">
    <cfRule type="expression" dxfId="8554" priority="310">
      <formula>B432=""</formula>
    </cfRule>
  </conditionalFormatting>
  <conditionalFormatting sqref="E443">
    <cfRule type="expression" dxfId="8553" priority="309">
      <formula>B443=""</formula>
    </cfRule>
  </conditionalFormatting>
  <conditionalFormatting sqref="E444">
    <cfRule type="expression" dxfId="8552" priority="308">
      <formula>B444=""</formula>
    </cfRule>
  </conditionalFormatting>
  <conditionalFormatting sqref="E445">
    <cfRule type="expression" dxfId="8551" priority="307">
      <formula>B445=""</formula>
    </cfRule>
  </conditionalFormatting>
  <conditionalFormatting sqref="E446">
    <cfRule type="expression" dxfId="8550" priority="306">
      <formula>B446=""</formula>
    </cfRule>
  </conditionalFormatting>
  <conditionalFormatting sqref="E447">
    <cfRule type="expression" dxfId="8549" priority="305">
      <formula>B447=""</formula>
    </cfRule>
  </conditionalFormatting>
  <conditionalFormatting sqref="E448">
    <cfRule type="expression" dxfId="8548" priority="304">
      <formula>B448=""</formula>
    </cfRule>
  </conditionalFormatting>
  <conditionalFormatting sqref="E449:E450">
    <cfRule type="expression" dxfId="8547" priority="303">
      <formula>B449=""</formula>
    </cfRule>
  </conditionalFormatting>
  <conditionalFormatting sqref="E450">
    <cfRule type="expression" dxfId="8546" priority="302">
      <formula>B450=""</formula>
    </cfRule>
  </conditionalFormatting>
  <conditionalFormatting sqref="E431 E433 E435 E437 E439 E441 E443 E445 E447 E449">
    <cfRule type="expression" dxfId="8545" priority="301">
      <formula>B431=""</formula>
    </cfRule>
  </conditionalFormatting>
  <conditionalFormatting sqref="E432:E442">
    <cfRule type="expression" dxfId="8544" priority="300">
      <formula>B432=""</formula>
    </cfRule>
  </conditionalFormatting>
  <conditionalFormatting sqref="E443">
    <cfRule type="expression" dxfId="8543" priority="299">
      <formula>B443=""</formula>
    </cfRule>
  </conditionalFormatting>
  <conditionalFormatting sqref="E444">
    <cfRule type="expression" dxfId="8542" priority="298">
      <formula>B444=""</formula>
    </cfRule>
  </conditionalFormatting>
  <conditionalFormatting sqref="E445">
    <cfRule type="expression" dxfId="8541" priority="297">
      <formula>B445=""</formula>
    </cfRule>
  </conditionalFormatting>
  <conditionalFormatting sqref="E446">
    <cfRule type="expression" dxfId="8540" priority="296">
      <formula>B446=""</formula>
    </cfRule>
  </conditionalFormatting>
  <conditionalFormatting sqref="E447">
    <cfRule type="expression" dxfId="8539" priority="295">
      <formula>B447=""</formula>
    </cfRule>
  </conditionalFormatting>
  <conditionalFormatting sqref="E448">
    <cfRule type="expression" dxfId="8538" priority="294">
      <formula>B448=""</formula>
    </cfRule>
  </conditionalFormatting>
  <conditionalFormatting sqref="E449:E450">
    <cfRule type="expression" dxfId="8537" priority="293">
      <formula>B449=""</formula>
    </cfRule>
  </conditionalFormatting>
  <conditionalFormatting sqref="E450">
    <cfRule type="expression" dxfId="8536" priority="292">
      <formula>B450=""</formula>
    </cfRule>
  </conditionalFormatting>
  <conditionalFormatting sqref="E452:E472">
    <cfRule type="expression" dxfId="8535" priority="291">
      <formula>B452=""</formula>
    </cfRule>
  </conditionalFormatting>
  <conditionalFormatting sqref="E453 E455 E457 E459 E461 E463 E465 E467 E469 E471">
    <cfRule type="expression" dxfId="8534" priority="290">
      <formula>B453=""</formula>
    </cfRule>
  </conditionalFormatting>
  <conditionalFormatting sqref="E454:E464">
    <cfRule type="expression" dxfId="8533" priority="289">
      <formula>B454=""</formula>
    </cfRule>
  </conditionalFormatting>
  <conditionalFormatting sqref="E465">
    <cfRule type="expression" dxfId="8532" priority="288">
      <formula>B465=""</formula>
    </cfRule>
  </conditionalFormatting>
  <conditionalFormatting sqref="E466">
    <cfRule type="expression" dxfId="8531" priority="287">
      <formula>B466=""</formula>
    </cfRule>
  </conditionalFormatting>
  <conditionalFormatting sqref="E467">
    <cfRule type="expression" dxfId="8530" priority="286">
      <formula>B467=""</formula>
    </cfRule>
  </conditionalFormatting>
  <conditionalFormatting sqref="E468">
    <cfRule type="expression" dxfId="8529" priority="285">
      <formula>B468=""</formula>
    </cfRule>
  </conditionalFormatting>
  <conditionalFormatting sqref="E469">
    <cfRule type="expression" dxfId="8528" priority="284">
      <formula>B469=""</formula>
    </cfRule>
  </conditionalFormatting>
  <conditionalFormatting sqref="E470">
    <cfRule type="expression" dxfId="8527" priority="283">
      <formula>B470=""</formula>
    </cfRule>
  </conditionalFormatting>
  <conditionalFormatting sqref="E471">
    <cfRule type="expression" dxfId="8526" priority="282">
      <formula>B471=""</formula>
    </cfRule>
  </conditionalFormatting>
  <conditionalFormatting sqref="E472">
    <cfRule type="expression" dxfId="8525" priority="281">
      <formula>B472=""</formula>
    </cfRule>
  </conditionalFormatting>
  <conditionalFormatting sqref="E453 E455 E457 E459 E461 E463 E465 E467 E469 E471">
    <cfRule type="expression" dxfId="8524" priority="280">
      <formula>B453=""</formula>
    </cfRule>
  </conditionalFormatting>
  <conditionalFormatting sqref="E454:E464">
    <cfRule type="expression" dxfId="8523" priority="279">
      <formula>B454=""</formula>
    </cfRule>
  </conditionalFormatting>
  <conditionalFormatting sqref="E465">
    <cfRule type="expression" dxfId="8522" priority="278">
      <formula>B465=""</formula>
    </cfRule>
  </conditionalFormatting>
  <conditionalFormatting sqref="E466">
    <cfRule type="expression" dxfId="8521" priority="277">
      <formula>B466=""</formula>
    </cfRule>
  </conditionalFormatting>
  <conditionalFormatting sqref="E467">
    <cfRule type="expression" dxfId="8520" priority="276">
      <formula>B467=""</formula>
    </cfRule>
  </conditionalFormatting>
  <conditionalFormatting sqref="E468">
    <cfRule type="expression" dxfId="8519" priority="275">
      <formula>B468=""</formula>
    </cfRule>
  </conditionalFormatting>
  <conditionalFormatting sqref="E469">
    <cfRule type="expression" dxfId="8518" priority="274">
      <formula>B469=""</formula>
    </cfRule>
  </conditionalFormatting>
  <conditionalFormatting sqref="E470">
    <cfRule type="expression" dxfId="8517" priority="273">
      <formula>B470=""</formula>
    </cfRule>
  </conditionalFormatting>
  <conditionalFormatting sqref="E471">
    <cfRule type="expression" dxfId="8516" priority="272">
      <formula>B471=""</formula>
    </cfRule>
  </conditionalFormatting>
  <conditionalFormatting sqref="E472">
    <cfRule type="expression" dxfId="8515" priority="271">
      <formula>B472=""</formula>
    </cfRule>
  </conditionalFormatting>
  <conditionalFormatting sqref="E474 E476 E478 E480 E482 E484 E486 E488 E490 E492">
    <cfRule type="expression" dxfId="8514" priority="270">
      <formula>B474=""</formula>
    </cfRule>
  </conditionalFormatting>
  <conditionalFormatting sqref="E475 E477 E479 E481 E483 E485 E487 E489 E491 E493">
    <cfRule type="expression" dxfId="8513" priority="269">
      <formula>B475=""</formula>
    </cfRule>
  </conditionalFormatting>
  <conditionalFormatting sqref="E476:E486">
    <cfRule type="expression" dxfId="8512" priority="268">
      <formula>B476=""</formula>
    </cfRule>
  </conditionalFormatting>
  <conditionalFormatting sqref="E487">
    <cfRule type="expression" dxfId="8511" priority="267">
      <formula>B487=""</formula>
    </cfRule>
  </conditionalFormatting>
  <conditionalFormatting sqref="E488">
    <cfRule type="expression" dxfId="8510" priority="266">
      <formula>B488=""</formula>
    </cfRule>
  </conditionalFormatting>
  <conditionalFormatting sqref="E489">
    <cfRule type="expression" dxfId="8509" priority="265">
      <formula>B489=""</formula>
    </cfRule>
  </conditionalFormatting>
  <conditionalFormatting sqref="E490">
    <cfRule type="expression" dxfId="8508" priority="264">
      <formula>B490=""</formula>
    </cfRule>
  </conditionalFormatting>
  <conditionalFormatting sqref="E491">
    <cfRule type="expression" dxfId="8507" priority="263">
      <formula>B491=""</formula>
    </cfRule>
  </conditionalFormatting>
  <conditionalFormatting sqref="E492">
    <cfRule type="expression" dxfId="8506" priority="262">
      <formula>B492=""</formula>
    </cfRule>
  </conditionalFormatting>
  <conditionalFormatting sqref="E493">
    <cfRule type="expression" dxfId="8505" priority="261">
      <formula>B493=""</formula>
    </cfRule>
  </conditionalFormatting>
  <conditionalFormatting sqref="E494">
    <cfRule type="expression" dxfId="8504" priority="260">
      <formula>B494=""</formula>
    </cfRule>
  </conditionalFormatting>
  <conditionalFormatting sqref="E475 E477 E479 E481 E483 E485 E487 E489 E491 E493">
    <cfRule type="expression" dxfId="8503" priority="259">
      <formula>B475=""</formula>
    </cfRule>
  </conditionalFormatting>
  <conditionalFormatting sqref="E476:E486">
    <cfRule type="expression" dxfId="8502" priority="258">
      <formula>B476=""</formula>
    </cfRule>
  </conditionalFormatting>
  <conditionalFormatting sqref="E487">
    <cfRule type="expression" dxfId="8501" priority="257">
      <formula>B487=""</formula>
    </cfRule>
  </conditionalFormatting>
  <conditionalFormatting sqref="E488">
    <cfRule type="expression" dxfId="8500" priority="256">
      <formula>B488=""</formula>
    </cfRule>
  </conditionalFormatting>
  <conditionalFormatting sqref="E489">
    <cfRule type="expression" dxfId="8499" priority="255">
      <formula>B489=""</formula>
    </cfRule>
  </conditionalFormatting>
  <conditionalFormatting sqref="E490">
    <cfRule type="expression" dxfId="8498" priority="254">
      <formula>B490=""</formula>
    </cfRule>
  </conditionalFormatting>
  <conditionalFormatting sqref="E491">
    <cfRule type="expression" dxfId="8497" priority="253">
      <formula>B491=""</formula>
    </cfRule>
  </conditionalFormatting>
  <conditionalFormatting sqref="E492">
    <cfRule type="expression" dxfId="8496" priority="252">
      <formula>B492=""</formula>
    </cfRule>
  </conditionalFormatting>
  <conditionalFormatting sqref="E493">
    <cfRule type="expression" dxfId="8495" priority="251">
      <formula>B493=""</formula>
    </cfRule>
  </conditionalFormatting>
  <conditionalFormatting sqref="E494">
    <cfRule type="expression" dxfId="8494" priority="250">
      <formula>B494=""</formula>
    </cfRule>
  </conditionalFormatting>
  <conditionalFormatting sqref="E408:E428">
    <cfRule type="expression" dxfId="8493" priority="249">
      <formula>B408=""</formula>
    </cfRule>
  </conditionalFormatting>
  <conditionalFormatting sqref="E409 E411 E413 E415 E417 E419 E421 E423 E425 E427">
    <cfRule type="expression" dxfId="8492" priority="248">
      <formula>B409=""</formula>
    </cfRule>
  </conditionalFormatting>
  <conditionalFormatting sqref="E410:E420">
    <cfRule type="expression" dxfId="8491" priority="247">
      <formula>B410=""</formula>
    </cfRule>
  </conditionalFormatting>
  <conditionalFormatting sqref="E421:E423">
    <cfRule type="expression" dxfId="8490" priority="246">
      <formula>B421=""</formula>
    </cfRule>
  </conditionalFormatting>
  <conditionalFormatting sqref="E422">
    <cfRule type="expression" dxfId="8489" priority="245">
      <formula>B422=""</formula>
    </cfRule>
  </conditionalFormatting>
  <conditionalFormatting sqref="E423">
    <cfRule type="expression" dxfId="8488" priority="244">
      <formula>B423=""</formula>
    </cfRule>
  </conditionalFormatting>
  <conditionalFormatting sqref="E424">
    <cfRule type="expression" dxfId="8487" priority="243">
      <formula>B424=""</formula>
    </cfRule>
  </conditionalFormatting>
  <conditionalFormatting sqref="E425">
    <cfRule type="expression" dxfId="8486" priority="242">
      <formula>B425=""</formula>
    </cfRule>
  </conditionalFormatting>
  <conditionalFormatting sqref="E426">
    <cfRule type="expression" dxfId="8485" priority="241">
      <formula>B426=""</formula>
    </cfRule>
  </conditionalFormatting>
  <conditionalFormatting sqref="E427:E428">
    <cfRule type="expression" dxfId="8484" priority="240">
      <formula>B427=""</formula>
    </cfRule>
  </conditionalFormatting>
  <conditionalFormatting sqref="E409 E411 E413 E415 E417 E419 E421 E423 E425 E427">
    <cfRule type="expression" dxfId="8483" priority="239">
      <formula>B409=""</formula>
    </cfRule>
  </conditionalFormatting>
  <conditionalFormatting sqref="E410:E420">
    <cfRule type="expression" dxfId="8482" priority="238">
      <formula>B410=""</formula>
    </cfRule>
  </conditionalFormatting>
  <conditionalFormatting sqref="E421:E423">
    <cfRule type="expression" dxfId="8481" priority="237">
      <formula>B421=""</formula>
    </cfRule>
  </conditionalFormatting>
  <conditionalFormatting sqref="E422">
    <cfRule type="expression" dxfId="8480" priority="236">
      <formula>B422=""</formula>
    </cfRule>
  </conditionalFormatting>
  <conditionalFormatting sqref="E423">
    <cfRule type="expression" dxfId="8479" priority="235">
      <formula>B423=""</formula>
    </cfRule>
  </conditionalFormatting>
  <conditionalFormatting sqref="E424">
    <cfRule type="expression" dxfId="8478" priority="234">
      <formula>B424=""</formula>
    </cfRule>
  </conditionalFormatting>
  <conditionalFormatting sqref="E425">
    <cfRule type="expression" dxfId="8477" priority="233">
      <formula>B425=""</formula>
    </cfRule>
  </conditionalFormatting>
  <conditionalFormatting sqref="E426">
    <cfRule type="expression" dxfId="8476" priority="232">
      <formula>B426=""</formula>
    </cfRule>
  </conditionalFormatting>
  <conditionalFormatting sqref="E427:E428">
    <cfRule type="expression" dxfId="8475" priority="231">
      <formula>B427=""</formula>
    </cfRule>
  </conditionalFormatting>
  <conditionalFormatting sqref="E430 E432 E434 E436 E438 E440 E442 E444 E446 E448">
    <cfRule type="expression" dxfId="8474" priority="230">
      <formula>B430=""</formula>
    </cfRule>
  </conditionalFormatting>
  <conditionalFormatting sqref="E431 E433 E435 E437 E439 E441 E443 E445 E447 E449">
    <cfRule type="expression" dxfId="8473" priority="229">
      <formula>B431=""</formula>
    </cfRule>
  </conditionalFormatting>
  <conditionalFormatting sqref="E432:E442">
    <cfRule type="expression" dxfId="8472" priority="228">
      <formula>B432=""</formula>
    </cfRule>
  </conditionalFormatting>
  <conditionalFormatting sqref="E443">
    <cfRule type="expression" dxfId="8471" priority="227">
      <formula>B443=""</formula>
    </cfRule>
  </conditionalFormatting>
  <conditionalFormatting sqref="E444">
    <cfRule type="expression" dxfId="8470" priority="226">
      <formula>B444=""</formula>
    </cfRule>
  </conditionalFormatting>
  <conditionalFormatting sqref="E445">
    <cfRule type="expression" dxfId="8469" priority="225">
      <formula>B445=""</formula>
    </cfRule>
  </conditionalFormatting>
  <conditionalFormatting sqref="E446">
    <cfRule type="expression" dxfId="8468" priority="224">
      <formula>B446=""</formula>
    </cfRule>
  </conditionalFormatting>
  <conditionalFormatting sqref="E447">
    <cfRule type="expression" dxfId="8467" priority="223">
      <formula>B447=""</formula>
    </cfRule>
  </conditionalFormatting>
  <conditionalFormatting sqref="E448">
    <cfRule type="expression" dxfId="8466" priority="222">
      <formula>B448=""</formula>
    </cfRule>
  </conditionalFormatting>
  <conditionalFormatting sqref="E449:E450">
    <cfRule type="expression" dxfId="8465" priority="221">
      <formula>B449=""</formula>
    </cfRule>
  </conditionalFormatting>
  <conditionalFormatting sqref="E431 E433 E435 E437 E439 E441 E443 E445 E447 E449">
    <cfRule type="expression" dxfId="8464" priority="220">
      <formula>B431=""</formula>
    </cfRule>
  </conditionalFormatting>
  <conditionalFormatting sqref="E432:E442">
    <cfRule type="expression" dxfId="8463" priority="219">
      <formula>B432=""</formula>
    </cfRule>
  </conditionalFormatting>
  <conditionalFormatting sqref="E443">
    <cfRule type="expression" dxfId="8462" priority="218">
      <formula>B443=""</formula>
    </cfRule>
  </conditionalFormatting>
  <conditionalFormatting sqref="E444">
    <cfRule type="expression" dxfId="8461" priority="217">
      <formula>B444=""</formula>
    </cfRule>
  </conditionalFormatting>
  <conditionalFormatting sqref="E445">
    <cfRule type="expression" dxfId="8460" priority="216">
      <formula>B445=""</formula>
    </cfRule>
  </conditionalFormatting>
  <conditionalFormatting sqref="E446">
    <cfRule type="expression" dxfId="8459" priority="215">
      <formula>B446=""</formula>
    </cfRule>
  </conditionalFormatting>
  <conditionalFormatting sqref="E447">
    <cfRule type="expression" dxfId="8458" priority="214">
      <formula>B447=""</formula>
    </cfRule>
  </conditionalFormatting>
  <conditionalFormatting sqref="E448">
    <cfRule type="expression" dxfId="8457" priority="213">
      <formula>B448=""</formula>
    </cfRule>
  </conditionalFormatting>
  <conditionalFormatting sqref="E449:E450">
    <cfRule type="expression" dxfId="8456" priority="212">
      <formula>B449=""</formula>
    </cfRule>
  </conditionalFormatting>
  <conditionalFormatting sqref="E430:E450">
    <cfRule type="expression" dxfId="8455" priority="211">
      <formula>B430=""</formula>
    </cfRule>
  </conditionalFormatting>
  <conditionalFormatting sqref="E431 E433 E435 E437 E439 E441 E443 E445 E447 E449">
    <cfRule type="expression" dxfId="8454" priority="210">
      <formula>B431=""</formula>
    </cfRule>
  </conditionalFormatting>
  <conditionalFormatting sqref="E432:E442">
    <cfRule type="expression" dxfId="8453" priority="209">
      <formula>B432=""</formula>
    </cfRule>
  </conditionalFormatting>
  <conditionalFormatting sqref="E443">
    <cfRule type="expression" dxfId="8452" priority="208">
      <formula>B443=""</formula>
    </cfRule>
  </conditionalFormatting>
  <conditionalFormatting sqref="E444">
    <cfRule type="expression" dxfId="8451" priority="207">
      <formula>B444=""</formula>
    </cfRule>
  </conditionalFormatting>
  <conditionalFormatting sqref="E445">
    <cfRule type="expression" dxfId="8450" priority="206">
      <formula>B445=""</formula>
    </cfRule>
  </conditionalFormatting>
  <conditionalFormatting sqref="E446">
    <cfRule type="expression" dxfId="8449" priority="205">
      <formula>B446=""</formula>
    </cfRule>
  </conditionalFormatting>
  <conditionalFormatting sqref="E447">
    <cfRule type="expression" dxfId="8448" priority="204">
      <formula>B447=""</formula>
    </cfRule>
  </conditionalFormatting>
  <conditionalFormatting sqref="E448">
    <cfRule type="expression" dxfId="8447" priority="203">
      <formula>B448=""</formula>
    </cfRule>
  </conditionalFormatting>
  <conditionalFormatting sqref="E449:E450">
    <cfRule type="expression" dxfId="8446" priority="202">
      <formula>B449=""</formula>
    </cfRule>
  </conditionalFormatting>
  <conditionalFormatting sqref="E431 E433 E435 E437 E439 E441 E443 E445 E447 E449">
    <cfRule type="expression" dxfId="8445" priority="201">
      <formula>B431=""</formula>
    </cfRule>
  </conditionalFormatting>
  <conditionalFormatting sqref="E432:E442">
    <cfRule type="expression" dxfId="8444" priority="200">
      <formula>B432=""</formula>
    </cfRule>
  </conditionalFormatting>
  <conditionalFormatting sqref="E443">
    <cfRule type="expression" dxfId="8443" priority="199">
      <formula>B443=""</formula>
    </cfRule>
  </conditionalFormatting>
  <conditionalFormatting sqref="E444">
    <cfRule type="expression" dxfId="8442" priority="198">
      <formula>B444=""</formula>
    </cfRule>
  </conditionalFormatting>
  <conditionalFormatting sqref="E445">
    <cfRule type="expression" dxfId="8441" priority="197">
      <formula>B445=""</formula>
    </cfRule>
  </conditionalFormatting>
  <conditionalFormatting sqref="E446">
    <cfRule type="expression" dxfId="8440" priority="196">
      <formula>B446=""</formula>
    </cfRule>
  </conditionalFormatting>
  <conditionalFormatting sqref="E447">
    <cfRule type="expression" dxfId="8439" priority="195">
      <formula>B447=""</formula>
    </cfRule>
  </conditionalFormatting>
  <conditionalFormatting sqref="E448">
    <cfRule type="expression" dxfId="8438" priority="194">
      <formula>B448=""</formula>
    </cfRule>
  </conditionalFormatting>
  <conditionalFormatting sqref="E449:E450">
    <cfRule type="expression" dxfId="8437" priority="193">
      <formula>B449=""</formula>
    </cfRule>
  </conditionalFormatting>
  <conditionalFormatting sqref="E452:E472">
    <cfRule type="expression" dxfId="8436" priority="192">
      <formula>B452=""</formula>
    </cfRule>
  </conditionalFormatting>
  <conditionalFormatting sqref="E452:E472">
    <cfRule type="expression" dxfId="8435" priority="191">
      <formula>B452=""</formula>
    </cfRule>
  </conditionalFormatting>
  <conditionalFormatting sqref="E452:E472">
    <cfRule type="expression" dxfId="8434" priority="190">
      <formula>B452=""</formula>
    </cfRule>
  </conditionalFormatting>
  <conditionalFormatting sqref="E474:E494">
    <cfRule type="expression" dxfId="8433" priority="189">
      <formula>B474=""</formula>
    </cfRule>
  </conditionalFormatting>
  <conditionalFormatting sqref="E475 E477 E479 E481 E483 E485 E487 E489 E491 E493">
    <cfRule type="expression" dxfId="8432" priority="188">
      <formula>B475=""</formula>
    </cfRule>
  </conditionalFormatting>
  <conditionalFormatting sqref="E476:E486">
    <cfRule type="expression" dxfId="8431" priority="187">
      <formula>B476=""</formula>
    </cfRule>
  </conditionalFormatting>
  <conditionalFormatting sqref="E487">
    <cfRule type="expression" dxfId="8430" priority="186">
      <formula>B487=""</formula>
    </cfRule>
  </conditionalFormatting>
  <conditionalFormatting sqref="E488">
    <cfRule type="expression" dxfId="8429" priority="185">
      <formula>B488=""</formula>
    </cfRule>
  </conditionalFormatting>
  <conditionalFormatting sqref="E489">
    <cfRule type="expression" dxfId="8428" priority="184">
      <formula>B489=""</formula>
    </cfRule>
  </conditionalFormatting>
  <conditionalFormatting sqref="E490">
    <cfRule type="expression" dxfId="8427" priority="183">
      <formula>B490=""</formula>
    </cfRule>
  </conditionalFormatting>
  <conditionalFormatting sqref="E491">
    <cfRule type="expression" dxfId="8426" priority="182">
      <formula>B491=""</formula>
    </cfRule>
  </conditionalFormatting>
  <conditionalFormatting sqref="E492">
    <cfRule type="expression" dxfId="8425" priority="181">
      <formula>B492=""</formula>
    </cfRule>
  </conditionalFormatting>
  <conditionalFormatting sqref="E493">
    <cfRule type="expression" dxfId="8424" priority="180">
      <formula>B493=""</formula>
    </cfRule>
  </conditionalFormatting>
  <conditionalFormatting sqref="E494">
    <cfRule type="expression" dxfId="8423" priority="179">
      <formula>B494=""</formula>
    </cfRule>
  </conditionalFormatting>
  <conditionalFormatting sqref="E475 E477 E479 E481 E483 E485 E487 E489 E491 E493">
    <cfRule type="expression" dxfId="8422" priority="178">
      <formula>B475=""</formula>
    </cfRule>
  </conditionalFormatting>
  <conditionalFormatting sqref="E476:E486">
    <cfRule type="expression" dxfId="8421" priority="177">
      <formula>B476=""</formula>
    </cfRule>
  </conditionalFormatting>
  <conditionalFormatting sqref="E487">
    <cfRule type="expression" dxfId="8420" priority="176">
      <formula>B487=""</formula>
    </cfRule>
  </conditionalFormatting>
  <conditionalFormatting sqref="E488">
    <cfRule type="expression" dxfId="8419" priority="175">
      <formula>B488=""</formula>
    </cfRule>
  </conditionalFormatting>
  <conditionalFormatting sqref="E489">
    <cfRule type="expression" dxfId="8418" priority="174">
      <formula>B489=""</formula>
    </cfRule>
  </conditionalFormatting>
  <conditionalFormatting sqref="E490">
    <cfRule type="expression" dxfId="8417" priority="173">
      <formula>B490=""</formula>
    </cfRule>
  </conditionalFormatting>
  <conditionalFormatting sqref="E491">
    <cfRule type="expression" dxfId="8416" priority="172">
      <formula>B491=""</formula>
    </cfRule>
  </conditionalFormatting>
  <conditionalFormatting sqref="E492">
    <cfRule type="expression" dxfId="8415" priority="171">
      <formula>B492=""</formula>
    </cfRule>
  </conditionalFormatting>
  <conditionalFormatting sqref="E493">
    <cfRule type="expression" dxfId="8414" priority="170">
      <formula>B493=""</formula>
    </cfRule>
  </conditionalFormatting>
  <conditionalFormatting sqref="E494">
    <cfRule type="expression" dxfId="8413" priority="169">
      <formula>B494=""</formula>
    </cfRule>
  </conditionalFormatting>
  <conditionalFormatting sqref="E474:E494">
    <cfRule type="expression" dxfId="8412" priority="168">
      <formula>B474=""</formula>
    </cfRule>
  </conditionalFormatting>
  <conditionalFormatting sqref="E474:E494">
    <cfRule type="expression" dxfId="8411" priority="167">
      <formula>B474=""</formula>
    </cfRule>
  </conditionalFormatting>
  <conditionalFormatting sqref="E474:E494">
    <cfRule type="expression" dxfId="8410" priority="166">
      <formula>B474=""</formula>
    </cfRule>
  </conditionalFormatting>
  <conditionalFormatting sqref="B208:B227">
    <cfRule type="containsBlanks" dxfId="8409" priority="165">
      <formula>LEN(TRIM(B208))=0</formula>
    </cfRule>
  </conditionalFormatting>
  <conditionalFormatting sqref="C208:C227">
    <cfRule type="expression" dxfId="8408" priority="164">
      <formula>B208=""</formula>
    </cfRule>
  </conditionalFormatting>
  <conditionalFormatting sqref="C208:C227">
    <cfRule type="expression" dxfId="8407" priority="163">
      <formula>B208=""</formula>
    </cfRule>
  </conditionalFormatting>
  <conditionalFormatting sqref="C209">
    <cfRule type="expression" dxfId="8406" priority="162">
      <formula>B209=""</formula>
    </cfRule>
  </conditionalFormatting>
  <conditionalFormatting sqref="C222">
    <cfRule type="expression" dxfId="8405" priority="161">
      <formula>B222=""</formula>
    </cfRule>
  </conditionalFormatting>
  <conditionalFormatting sqref="C223">
    <cfRule type="expression" dxfId="8404" priority="160">
      <formula>B223=""</formula>
    </cfRule>
  </conditionalFormatting>
  <conditionalFormatting sqref="C224">
    <cfRule type="expression" dxfId="8403" priority="159">
      <formula>B224=""</formula>
    </cfRule>
  </conditionalFormatting>
  <conditionalFormatting sqref="C225">
    <cfRule type="expression" dxfId="8402" priority="158">
      <formula>B225=""</formula>
    </cfRule>
  </conditionalFormatting>
  <conditionalFormatting sqref="C226">
    <cfRule type="expression" dxfId="8401" priority="157">
      <formula>B226=""</formula>
    </cfRule>
  </conditionalFormatting>
  <conditionalFormatting sqref="C227">
    <cfRule type="expression" dxfId="8400" priority="156">
      <formula>B227=""</formula>
    </cfRule>
  </conditionalFormatting>
  <conditionalFormatting sqref="C209">
    <cfRule type="expression" dxfId="8399" priority="155">
      <formula>B209=""</formula>
    </cfRule>
  </conditionalFormatting>
  <conditionalFormatting sqref="C222">
    <cfRule type="expression" dxfId="8398" priority="154">
      <formula>B222=""</formula>
    </cfRule>
  </conditionalFormatting>
  <conditionalFormatting sqref="C223">
    <cfRule type="expression" dxfId="8397" priority="153">
      <formula>B223=""</formula>
    </cfRule>
  </conditionalFormatting>
  <conditionalFormatting sqref="C224">
    <cfRule type="expression" dxfId="8396" priority="152">
      <formula>B224=""</formula>
    </cfRule>
  </conditionalFormatting>
  <conditionalFormatting sqref="C225">
    <cfRule type="expression" dxfId="8395" priority="151">
      <formula>B225=""</formula>
    </cfRule>
  </conditionalFormatting>
  <conditionalFormatting sqref="C226">
    <cfRule type="expression" dxfId="8394" priority="150">
      <formula>B226=""</formula>
    </cfRule>
  </conditionalFormatting>
  <conditionalFormatting sqref="C227">
    <cfRule type="expression" dxfId="8393" priority="149">
      <formula>B227=""</formula>
    </cfRule>
  </conditionalFormatting>
  <conditionalFormatting sqref="C209">
    <cfRule type="expression" dxfId="8392" priority="148">
      <formula>B209=""</formula>
    </cfRule>
  </conditionalFormatting>
  <conditionalFormatting sqref="C222">
    <cfRule type="expression" dxfId="8391" priority="147">
      <formula>B222=""</formula>
    </cfRule>
  </conditionalFormatting>
  <conditionalFormatting sqref="C223">
    <cfRule type="expression" dxfId="8390" priority="146">
      <formula>B223=""</formula>
    </cfRule>
  </conditionalFormatting>
  <conditionalFormatting sqref="C224">
    <cfRule type="expression" dxfId="8389" priority="145">
      <formula>B224=""</formula>
    </cfRule>
  </conditionalFormatting>
  <conditionalFormatting sqref="C225">
    <cfRule type="expression" dxfId="8388" priority="144">
      <formula>B225=""</formula>
    </cfRule>
  </conditionalFormatting>
  <conditionalFormatting sqref="C226">
    <cfRule type="expression" dxfId="8387" priority="143">
      <formula>B226=""</formula>
    </cfRule>
  </conditionalFormatting>
  <conditionalFormatting sqref="C227">
    <cfRule type="expression" dxfId="8386" priority="142">
      <formula>B227=""</formula>
    </cfRule>
  </conditionalFormatting>
  <conditionalFormatting sqref="B308:B327">
    <cfRule type="containsBlanks" dxfId="8385" priority="141">
      <formula>LEN(TRIM(B308))=0</formula>
    </cfRule>
  </conditionalFormatting>
  <conditionalFormatting sqref="C308:C327">
    <cfRule type="expression" dxfId="8384" priority="140">
      <formula>B308=""</formula>
    </cfRule>
  </conditionalFormatting>
  <conditionalFormatting sqref="C309">
    <cfRule type="expression" dxfId="8383" priority="139">
      <formula>B309=""</formula>
    </cfRule>
  </conditionalFormatting>
  <conditionalFormatting sqref="C310:C320">
    <cfRule type="expression" dxfId="8382" priority="138">
      <formula>B310=""</formula>
    </cfRule>
  </conditionalFormatting>
  <conditionalFormatting sqref="C321">
    <cfRule type="expression" dxfId="8381" priority="137">
      <formula>B321=""</formula>
    </cfRule>
  </conditionalFormatting>
  <conditionalFormatting sqref="C322">
    <cfRule type="expression" dxfId="8380" priority="136">
      <formula>B322=""</formula>
    </cfRule>
  </conditionalFormatting>
  <conditionalFormatting sqref="C323">
    <cfRule type="expression" dxfId="8379" priority="135">
      <formula>B323=""</formula>
    </cfRule>
  </conditionalFormatting>
  <conditionalFormatting sqref="C324">
    <cfRule type="expression" dxfId="8378" priority="134">
      <formula>B324=""</formula>
    </cfRule>
  </conditionalFormatting>
  <conditionalFormatting sqref="C325">
    <cfRule type="expression" dxfId="8377" priority="133">
      <formula>B325=""</formula>
    </cfRule>
  </conditionalFormatting>
  <conditionalFormatting sqref="C326">
    <cfRule type="expression" dxfId="8376" priority="132">
      <formula>B326=""</formula>
    </cfRule>
  </conditionalFormatting>
  <conditionalFormatting sqref="C327">
    <cfRule type="expression" dxfId="8375" priority="131">
      <formula>B327=""</formula>
    </cfRule>
  </conditionalFormatting>
  <conditionalFormatting sqref="C308:C327">
    <cfRule type="expression" dxfId="8374" priority="130">
      <formula>B308=""</formula>
    </cfRule>
  </conditionalFormatting>
  <conditionalFormatting sqref="C309">
    <cfRule type="expression" dxfId="8373" priority="129">
      <formula>B309=""</formula>
    </cfRule>
  </conditionalFormatting>
  <conditionalFormatting sqref="C310:C320">
    <cfRule type="expression" dxfId="8372" priority="128">
      <formula>B310=""</formula>
    </cfRule>
  </conditionalFormatting>
  <conditionalFormatting sqref="C321">
    <cfRule type="expression" dxfId="8371" priority="127">
      <formula>B321=""</formula>
    </cfRule>
  </conditionalFormatting>
  <conditionalFormatting sqref="C322">
    <cfRule type="expression" dxfId="8370" priority="126">
      <formula>B322=""</formula>
    </cfRule>
  </conditionalFormatting>
  <conditionalFormatting sqref="C323">
    <cfRule type="expression" dxfId="8369" priority="125">
      <formula>B323=""</formula>
    </cfRule>
  </conditionalFormatting>
  <conditionalFormatting sqref="C324">
    <cfRule type="expression" dxfId="8368" priority="124">
      <formula>B324=""</formula>
    </cfRule>
  </conditionalFormatting>
  <conditionalFormatting sqref="C325">
    <cfRule type="expression" dxfId="8367" priority="123">
      <formula>B325=""</formula>
    </cfRule>
  </conditionalFormatting>
  <conditionalFormatting sqref="C326">
    <cfRule type="expression" dxfId="8366" priority="122">
      <formula>B326=""</formula>
    </cfRule>
  </conditionalFormatting>
  <conditionalFormatting sqref="C327">
    <cfRule type="expression" dxfId="8365" priority="121">
      <formula>B327=""</formula>
    </cfRule>
  </conditionalFormatting>
  <conditionalFormatting sqref="C308:C327">
    <cfRule type="expression" dxfId="8364" priority="120">
      <formula>B308=""</formula>
    </cfRule>
  </conditionalFormatting>
  <conditionalFormatting sqref="C309">
    <cfRule type="expression" dxfId="8363" priority="119">
      <formula>B309=""</formula>
    </cfRule>
  </conditionalFormatting>
  <conditionalFormatting sqref="C310:C320">
    <cfRule type="expression" dxfId="8362" priority="118">
      <formula>B310=""</formula>
    </cfRule>
  </conditionalFormatting>
  <conditionalFormatting sqref="C321">
    <cfRule type="expression" dxfId="8361" priority="117">
      <formula>B321=""</formula>
    </cfRule>
  </conditionalFormatting>
  <conditionalFormatting sqref="C322">
    <cfRule type="expression" dxfId="8360" priority="116">
      <formula>B322=""</formula>
    </cfRule>
  </conditionalFormatting>
  <conditionalFormatting sqref="C323">
    <cfRule type="expression" dxfId="8359" priority="115">
      <formula>B323=""</formula>
    </cfRule>
  </conditionalFormatting>
  <conditionalFormatting sqref="C324">
    <cfRule type="expression" dxfId="8358" priority="114">
      <formula>B324=""</formula>
    </cfRule>
  </conditionalFormatting>
  <conditionalFormatting sqref="C325">
    <cfRule type="expression" dxfId="8357" priority="113">
      <formula>B325=""</formula>
    </cfRule>
  </conditionalFormatting>
  <conditionalFormatting sqref="C326">
    <cfRule type="expression" dxfId="8356" priority="112">
      <formula>B326=""</formula>
    </cfRule>
  </conditionalFormatting>
  <conditionalFormatting sqref="C327">
    <cfRule type="expression" dxfId="8355" priority="111">
      <formula>B327=""</formula>
    </cfRule>
  </conditionalFormatting>
  <conditionalFormatting sqref="B308:B327">
    <cfRule type="containsBlanks" dxfId="8354" priority="110">
      <formula>LEN(TRIM(B308))=0</formula>
    </cfRule>
  </conditionalFormatting>
  <conditionalFormatting sqref="C308:C327">
    <cfRule type="expression" dxfId="8353" priority="109">
      <formula>B308=""</formula>
    </cfRule>
  </conditionalFormatting>
  <conditionalFormatting sqref="C308:C327">
    <cfRule type="expression" dxfId="8352" priority="108">
      <formula>B308=""</formula>
    </cfRule>
  </conditionalFormatting>
  <conditionalFormatting sqref="C309">
    <cfRule type="expression" dxfId="8351" priority="107">
      <formula>B309=""</formula>
    </cfRule>
  </conditionalFormatting>
  <conditionalFormatting sqref="C322">
    <cfRule type="expression" dxfId="8350" priority="106">
      <formula>B322=""</formula>
    </cfRule>
  </conditionalFormatting>
  <conditionalFormatting sqref="C323">
    <cfRule type="expression" dxfId="8349" priority="105">
      <formula>B323=""</formula>
    </cfRule>
  </conditionalFormatting>
  <conditionalFormatting sqref="C324">
    <cfRule type="expression" dxfId="8348" priority="104">
      <formula>B324=""</formula>
    </cfRule>
  </conditionalFormatting>
  <conditionalFormatting sqref="C325">
    <cfRule type="expression" dxfId="8347" priority="103">
      <formula>B325=""</formula>
    </cfRule>
  </conditionalFormatting>
  <conditionalFormatting sqref="C326">
    <cfRule type="expression" dxfId="8346" priority="102">
      <formula>B326=""</formula>
    </cfRule>
  </conditionalFormatting>
  <conditionalFormatting sqref="C327">
    <cfRule type="expression" dxfId="8345" priority="101">
      <formula>B327=""</formula>
    </cfRule>
  </conditionalFormatting>
  <conditionalFormatting sqref="C309">
    <cfRule type="expression" dxfId="8344" priority="100">
      <formula>B309=""</formula>
    </cfRule>
  </conditionalFormatting>
  <conditionalFormatting sqref="C322">
    <cfRule type="expression" dxfId="8343" priority="99">
      <formula>B322=""</formula>
    </cfRule>
  </conditionalFormatting>
  <conditionalFormatting sqref="C323">
    <cfRule type="expression" dxfId="8342" priority="98">
      <formula>B323=""</formula>
    </cfRule>
  </conditionalFormatting>
  <conditionalFormatting sqref="C324">
    <cfRule type="expression" dxfId="8341" priority="97">
      <formula>B324=""</formula>
    </cfRule>
  </conditionalFormatting>
  <conditionalFormatting sqref="C325">
    <cfRule type="expression" dxfId="8340" priority="96">
      <formula>B325=""</formula>
    </cfRule>
  </conditionalFormatting>
  <conditionalFormatting sqref="C326">
    <cfRule type="expression" dxfId="8339" priority="95">
      <formula>B326=""</formula>
    </cfRule>
  </conditionalFormatting>
  <conditionalFormatting sqref="C327">
    <cfRule type="expression" dxfId="8338" priority="94">
      <formula>B327=""</formula>
    </cfRule>
  </conditionalFormatting>
  <conditionalFormatting sqref="C309">
    <cfRule type="expression" dxfId="8337" priority="93">
      <formula>B309=""</formula>
    </cfRule>
  </conditionalFormatting>
  <conditionalFormatting sqref="C322">
    <cfRule type="expression" dxfId="8336" priority="92">
      <formula>B322=""</formula>
    </cfRule>
  </conditionalFormatting>
  <conditionalFormatting sqref="C323">
    <cfRule type="expression" dxfId="8335" priority="91">
      <formula>B323=""</formula>
    </cfRule>
  </conditionalFormatting>
  <conditionalFormatting sqref="C324">
    <cfRule type="expression" dxfId="8334" priority="90">
      <formula>B324=""</formula>
    </cfRule>
  </conditionalFormatting>
  <conditionalFormatting sqref="C325">
    <cfRule type="expression" dxfId="8333" priority="89">
      <formula>B325=""</formula>
    </cfRule>
  </conditionalFormatting>
  <conditionalFormatting sqref="C326">
    <cfRule type="expression" dxfId="8332" priority="88">
      <formula>B326=""</formula>
    </cfRule>
  </conditionalFormatting>
  <conditionalFormatting sqref="C327">
    <cfRule type="expression" dxfId="8331" priority="87">
      <formula>B327=""</formula>
    </cfRule>
  </conditionalFormatting>
  <conditionalFormatting sqref="B408:B427">
    <cfRule type="containsBlanks" dxfId="8330" priority="86">
      <formula>LEN(TRIM(B408))=0</formula>
    </cfRule>
  </conditionalFormatting>
  <conditionalFormatting sqref="C408:C427">
    <cfRule type="expression" dxfId="8329" priority="85">
      <formula>B408=""</formula>
    </cfRule>
  </conditionalFormatting>
  <conditionalFormatting sqref="C409">
    <cfRule type="expression" dxfId="8328" priority="84">
      <formula>B409=""</formula>
    </cfRule>
  </conditionalFormatting>
  <conditionalFormatting sqref="C410:C420">
    <cfRule type="expression" dxfId="8327" priority="83">
      <formula>B410=""</formula>
    </cfRule>
  </conditionalFormatting>
  <conditionalFormatting sqref="C421">
    <cfRule type="expression" dxfId="8326" priority="82">
      <formula>B421=""</formula>
    </cfRule>
  </conditionalFormatting>
  <conditionalFormatting sqref="C422">
    <cfRule type="expression" dxfId="8325" priority="81">
      <formula>B422=""</formula>
    </cfRule>
  </conditionalFormatting>
  <conditionalFormatting sqref="C423">
    <cfRule type="expression" dxfId="8324" priority="80">
      <formula>B423=""</formula>
    </cfRule>
  </conditionalFormatting>
  <conditionalFormatting sqref="C424">
    <cfRule type="expression" dxfId="8323" priority="79">
      <formula>B424=""</formula>
    </cfRule>
  </conditionalFormatting>
  <conditionalFormatting sqref="C425">
    <cfRule type="expression" dxfId="8322" priority="78">
      <formula>B425=""</formula>
    </cfRule>
  </conditionalFormatting>
  <conditionalFormatting sqref="C426">
    <cfRule type="expression" dxfId="8321" priority="77">
      <formula>B426=""</formula>
    </cfRule>
  </conditionalFormatting>
  <conditionalFormatting sqref="C427">
    <cfRule type="expression" dxfId="8320" priority="76">
      <formula>B427=""</formula>
    </cfRule>
  </conditionalFormatting>
  <conditionalFormatting sqref="C408:C427">
    <cfRule type="expression" dxfId="8319" priority="75">
      <formula>B408=""</formula>
    </cfRule>
  </conditionalFormatting>
  <conditionalFormatting sqref="C409">
    <cfRule type="expression" dxfId="8318" priority="74">
      <formula>B409=""</formula>
    </cfRule>
  </conditionalFormatting>
  <conditionalFormatting sqref="C410:C420">
    <cfRule type="expression" dxfId="8317" priority="73">
      <formula>B410=""</formula>
    </cfRule>
  </conditionalFormatting>
  <conditionalFormatting sqref="C421">
    <cfRule type="expression" dxfId="8316" priority="72">
      <formula>B421=""</formula>
    </cfRule>
  </conditionalFormatting>
  <conditionalFormatting sqref="C422">
    <cfRule type="expression" dxfId="8315" priority="71">
      <formula>B422=""</formula>
    </cfRule>
  </conditionalFormatting>
  <conditionalFormatting sqref="C423">
    <cfRule type="expression" dxfId="8314" priority="70">
      <formula>B423=""</formula>
    </cfRule>
  </conditionalFormatting>
  <conditionalFormatting sqref="C424">
    <cfRule type="expression" dxfId="8313" priority="69">
      <formula>B424=""</formula>
    </cfRule>
  </conditionalFormatting>
  <conditionalFormatting sqref="C425">
    <cfRule type="expression" dxfId="8312" priority="68">
      <formula>B425=""</formula>
    </cfRule>
  </conditionalFormatting>
  <conditionalFormatting sqref="C426">
    <cfRule type="expression" dxfId="8311" priority="67">
      <formula>B426=""</formula>
    </cfRule>
  </conditionalFormatting>
  <conditionalFormatting sqref="C427">
    <cfRule type="expression" dxfId="8310" priority="66">
      <formula>B427=""</formula>
    </cfRule>
  </conditionalFormatting>
  <conditionalFormatting sqref="C408:C427">
    <cfRule type="expression" dxfId="8309" priority="65">
      <formula>B408=""</formula>
    </cfRule>
  </conditionalFormatting>
  <conditionalFormatting sqref="C409">
    <cfRule type="expression" dxfId="8308" priority="64">
      <formula>B409=""</formula>
    </cfRule>
  </conditionalFormatting>
  <conditionalFormatting sqref="C410:C420">
    <cfRule type="expression" dxfId="8307" priority="63">
      <formula>B410=""</formula>
    </cfRule>
  </conditionalFormatting>
  <conditionalFormatting sqref="C421">
    <cfRule type="expression" dxfId="8306" priority="62">
      <formula>B421=""</formula>
    </cfRule>
  </conditionalFormatting>
  <conditionalFormatting sqref="C422">
    <cfRule type="expression" dxfId="8305" priority="61">
      <formula>B422=""</formula>
    </cfRule>
  </conditionalFormatting>
  <conditionalFormatting sqref="C423">
    <cfRule type="expression" dxfId="8304" priority="60">
      <formula>B423=""</formula>
    </cfRule>
  </conditionalFormatting>
  <conditionalFormatting sqref="C424">
    <cfRule type="expression" dxfId="8303" priority="59">
      <formula>B424=""</formula>
    </cfRule>
  </conditionalFormatting>
  <conditionalFormatting sqref="C425">
    <cfRule type="expression" dxfId="8302" priority="58">
      <formula>B425=""</formula>
    </cfRule>
  </conditionalFormatting>
  <conditionalFormatting sqref="C426">
    <cfRule type="expression" dxfId="8301" priority="57">
      <formula>B426=""</formula>
    </cfRule>
  </conditionalFormatting>
  <conditionalFormatting sqref="C427">
    <cfRule type="expression" dxfId="8300" priority="56">
      <formula>B427=""</formula>
    </cfRule>
  </conditionalFormatting>
  <conditionalFormatting sqref="B408:B427">
    <cfRule type="containsBlanks" dxfId="8299" priority="55">
      <formula>LEN(TRIM(B408))=0</formula>
    </cfRule>
  </conditionalFormatting>
  <conditionalFormatting sqref="C408:C427">
    <cfRule type="expression" dxfId="8298" priority="54">
      <formula>B408=""</formula>
    </cfRule>
  </conditionalFormatting>
  <conditionalFormatting sqref="C409">
    <cfRule type="expression" dxfId="8297" priority="53">
      <formula>B409=""</formula>
    </cfRule>
  </conditionalFormatting>
  <conditionalFormatting sqref="C410:C420">
    <cfRule type="expression" dxfId="8296" priority="52">
      <formula>B410=""</formula>
    </cfRule>
  </conditionalFormatting>
  <conditionalFormatting sqref="C421">
    <cfRule type="expression" dxfId="8295" priority="51">
      <formula>B421=""</formula>
    </cfRule>
  </conditionalFormatting>
  <conditionalFormatting sqref="C422">
    <cfRule type="expression" dxfId="8294" priority="50">
      <formula>B422=""</formula>
    </cfRule>
  </conditionalFormatting>
  <conditionalFormatting sqref="C423">
    <cfRule type="expression" dxfId="8293" priority="49">
      <formula>B423=""</formula>
    </cfRule>
  </conditionalFormatting>
  <conditionalFormatting sqref="C424">
    <cfRule type="expression" dxfId="8292" priority="48">
      <formula>B424=""</formula>
    </cfRule>
  </conditionalFormatting>
  <conditionalFormatting sqref="C425">
    <cfRule type="expression" dxfId="8291" priority="47">
      <formula>B425=""</formula>
    </cfRule>
  </conditionalFormatting>
  <conditionalFormatting sqref="C426">
    <cfRule type="expression" dxfId="8290" priority="46">
      <formula>B426=""</formula>
    </cfRule>
  </conditionalFormatting>
  <conditionalFormatting sqref="C427">
    <cfRule type="expression" dxfId="8289" priority="45">
      <formula>B427=""</formula>
    </cfRule>
  </conditionalFormatting>
  <conditionalFormatting sqref="C408:C427">
    <cfRule type="expression" dxfId="8288" priority="44">
      <formula>B408=""</formula>
    </cfRule>
  </conditionalFormatting>
  <conditionalFormatting sqref="C409">
    <cfRule type="expression" dxfId="8287" priority="43">
      <formula>B409=""</formula>
    </cfRule>
  </conditionalFormatting>
  <conditionalFormatting sqref="C410:C420">
    <cfRule type="expression" dxfId="8286" priority="42">
      <formula>B410=""</formula>
    </cfRule>
  </conditionalFormatting>
  <conditionalFormatting sqref="C421">
    <cfRule type="expression" dxfId="8285" priority="41">
      <formula>B421=""</formula>
    </cfRule>
  </conditionalFormatting>
  <conditionalFormatting sqref="C422">
    <cfRule type="expression" dxfId="8284" priority="40">
      <formula>B422=""</formula>
    </cfRule>
  </conditionalFormatting>
  <conditionalFormatting sqref="C423">
    <cfRule type="expression" dxfId="8283" priority="39">
      <formula>B423=""</formula>
    </cfRule>
  </conditionalFormatting>
  <conditionalFormatting sqref="C424">
    <cfRule type="expression" dxfId="8282" priority="38">
      <formula>B424=""</formula>
    </cfRule>
  </conditionalFormatting>
  <conditionalFormatting sqref="C425">
    <cfRule type="expression" dxfId="8281" priority="37">
      <formula>B425=""</formula>
    </cfRule>
  </conditionalFormatting>
  <conditionalFormatting sqref="C426">
    <cfRule type="expression" dxfId="8280" priority="36">
      <formula>B426=""</formula>
    </cfRule>
  </conditionalFormatting>
  <conditionalFormatting sqref="C427">
    <cfRule type="expression" dxfId="8279" priority="35">
      <formula>B427=""</formula>
    </cfRule>
  </conditionalFormatting>
  <conditionalFormatting sqref="C408:C427">
    <cfRule type="expression" dxfId="8278" priority="34">
      <formula>B408=""</formula>
    </cfRule>
  </conditionalFormatting>
  <conditionalFormatting sqref="C409">
    <cfRule type="expression" dxfId="8277" priority="33">
      <formula>B409=""</formula>
    </cfRule>
  </conditionalFormatting>
  <conditionalFormatting sqref="C410:C420">
    <cfRule type="expression" dxfId="8276" priority="32">
      <formula>B410=""</formula>
    </cfRule>
  </conditionalFormatting>
  <conditionalFormatting sqref="C421">
    <cfRule type="expression" dxfId="8275" priority="31">
      <formula>B421=""</formula>
    </cfRule>
  </conditionalFormatting>
  <conditionalFormatting sqref="C422">
    <cfRule type="expression" dxfId="8274" priority="30">
      <formula>B422=""</formula>
    </cfRule>
  </conditionalFormatting>
  <conditionalFormatting sqref="C423">
    <cfRule type="expression" dxfId="8273" priority="29">
      <formula>B423=""</formula>
    </cfRule>
  </conditionalFormatting>
  <conditionalFormatting sqref="C424">
    <cfRule type="expression" dxfId="8272" priority="28">
      <formula>B424=""</formula>
    </cfRule>
  </conditionalFormatting>
  <conditionalFormatting sqref="C425">
    <cfRule type="expression" dxfId="8271" priority="27">
      <formula>B425=""</formula>
    </cfRule>
  </conditionalFormatting>
  <conditionalFormatting sqref="C426">
    <cfRule type="expression" dxfId="8270" priority="26">
      <formula>B426=""</formula>
    </cfRule>
  </conditionalFormatting>
  <conditionalFormatting sqref="C427">
    <cfRule type="expression" dxfId="8269" priority="25">
      <formula>B427=""</formula>
    </cfRule>
  </conditionalFormatting>
  <conditionalFormatting sqref="B408:B427">
    <cfRule type="containsBlanks" dxfId="8268" priority="24">
      <formula>LEN(TRIM(B408))=0</formula>
    </cfRule>
  </conditionalFormatting>
  <conditionalFormatting sqref="C408:C427">
    <cfRule type="expression" dxfId="8267" priority="23">
      <formula>B408=""</formula>
    </cfRule>
  </conditionalFormatting>
  <conditionalFormatting sqref="C408:C427">
    <cfRule type="expression" dxfId="8266" priority="22">
      <formula>B408=""</formula>
    </cfRule>
  </conditionalFormatting>
  <conditionalFormatting sqref="C409">
    <cfRule type="expression" dxfId="8265" priority="21">
      <formula>B409=""</formula>
    </cfRule>
  </conditionalFormatting>
  <conditionalFormatting sqref="C422">
    <cfRule type="expression" dxfId="8264" priority="20">
      <formula>B422=""</formula>
    </cfRule>
  </conditionalFormatting>
  <conditionalFormatting sqref="C423">
    <cfRule type="expression" dxfId="8263" priority="19">
      <formula>B423=""</formula>
    </cfRule>
  </conditionalFormatting>
  <conditionalFormatting sqref="C424">
    <cfRule type="expression" dxfId="8262" priority="18">
      <formula>B424=""</formula>
    </cfRule>
  </conditionalFormatting>
  <conditionalFormatting sqref="C425">
    <cfRule type="expression" dxfId="8261" priority="17">
      <formula>B425=""</formula>
    </cfRule>
  </conditionalFormatting>
  <conditionalFormatting sqref="C426">
    <cfRule type="expression" dxfId="8260" priority="16">
      <formula>B426=""</formula>
    </cfRule>
  </conditionalFormatting>
  <conditionalFormatting sqref="C427">
    <cfRule type="expression" dxfId="8259" priority="15">
      <formula>B427=""</formula>
    </cfRule>
  </conditionalFormatting>
  <conditionalFormatting sqref="C409">
    <cfRule type="expression" dxfId="8258" priority="14">
      <formula>B409=""</formula>
    </cfRule>
  </conditionalFormatting>
  <conditionalFormatting sqref="C422">
    <cfRule type="expression" dxfId="8257" priority="13">
      <formula>B422=""</formula>
    </cfRule>
  </conditionalFormatting>
  <conditionalFormatting sqref="C423">
    <cfRule type="expression" dxfId="8256" priority="12">
      <formula>B423=""</formula>
    </cfRule>
  </conditionalFormatting>
  <conditionalFormatting sqref="C424">
    <cfRule type="expression" dxfId="8255" priority="11">
      <formula>B424=""</formula>
    </cfRule>
  </conditionalFormatting>
  <conditionalFormatting sqref="C425">
    <cfRule type="expression" dxfId="8254" priority="10">
      <formula>B425=""</formula>
    </cfRule>
  </conditionalFormatting>
  <conditionalFormatting sqref="C426">
    <cfRule type="expression" dxfId="8253" priority="9">
      <formula>B426=""</formula>
    </cfRule>
  </conditionalFormatting>
  <conditionalFormatting sqref="C427">
    <cfRule type="expression" dxfId="8252" priority="8">
      <formula>B427=""</formula>
    </cfRule>
  </conditionalFormatting>
  <conditionalFormatting sqref="C409">
    <cfRule type="expression" dxfId="8251" priority="7">
      <formula>B409=""</formula>
    </cfRule>
  </conditionalFormatting>
  <conditionalFormatting sqref="C422">
    <cfRule type="expression" dxfId="8250" priority="6">
      <formula>B422=""</formula>
    </cfRule>
  </conditionalFormatting>
  <conditionalFormatting sqref="C423">
    <cfRule type="expression" dxfId="8249" priority="5">
      <formula>B423=""</formula>
    </cfRule>
  </conditionalFormatting>
  <conditionalFormatting sqref="C424">
    <cfRule type="expression" dxfId="8248" priority="4">
      <formula>B424=""</formula>
    </cfRule>
  </conditionalFormatting>
  <conditionalFormatting sqref="C425">
    <cfRule type="expression" dxfId="8247" priority="3">
      <formula>B425=""</formula>
    </cfRule>
  </conditionalFormatting>
  <conditionalFormatting sqref="C426">
    <cfRule type="expression" dxfId="8246" priority="2">
      <formula>B426=""</formula>
    </cfRule>
  </conditionalFormatting>
  <conditionalFormatting sqref="C427">
    <cfRule type="expression" dxfId="8245" priority="1">
      <formula>B427=""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452:E472 E108:E128 E130:E150 E152:E172 E174:E194 E208:E228 E230:E250 E252:E272 E274:E294 E308:E328 E330:E350 E352:E372 E374:E394 E408:E428 E430:E450 E74:E94 E30:E50 E52:E72 E8:E28 E474:E494" xr:uid="{00000000-0002-0000-0300-000000000000}">
      <formula1>0</formula1>
    </dataValidation>
  </dataValidations>
  <printOptions horizontalCentered="1"/>
  <pageMargins left="0.19685039370078741" right="0.23622047244094491" top="0.51181102362204722" bottom="0.43" header="0.15748031496062992" footer="0.15748031496062992"/>
  <pageSetup paperSize="9" scale="78" fitToHeight="0" orientation="portrait" r:id="rId1"/>
  <headerFooter>
    <oddHeader>&amp;L&amp;"Calibri"&amp;10&amp;K000000Sensitivity - General&amp;1#</oddHeader>
  </headerFooter>
  <rowBreaks count="4" manualBreakCount="4">
    <brk id="103" max="16383" man="1"/>
    <brk id="203" max="16383" man="1"/>
    <brk id="303" max="16383" man="1"/>
    <brk id="4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5">
    <tabColor rgb="FFFF0000"/>
  </sheetPr>
  <dimension ref="B1:H96"/>
  <sheetViews>
    <sheetView workbookViewId="0"/>
  </sheetViews>
  <sheetFormatPr defaultRowHeight="1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42578125" customWidth="1"/>
    <col min="8" max="8" width="17.140625" customWidth="1"/>
    <col min="10" max="10" width="14.7109375" customWidth="1"/>
  </cols>
  <sheetData>
    <row r="1" spans="2:8" ht="23.25">
      <c r="B1" s="214" t="str">
        <f>DATA!C1004</f>
        <v>NRA.N.011-050-2012/1F</v>
      </c>
      <c r="F1" s="214" t="str">
        <f>DATA!B1010</f>
        <v>Road works</v>
      </c>
    </row>
    <row r="2" spans="2:8" ht="26.25">
      <c r="C2" s="232" t="str">
        <f>'All Hours'!D1</f>
        <v>PLEASE INSERT TENDERER NAME ON INPUT DATA SHEET</v>
      </c>
      <c r="E2" s="920" t="str">
        <f>IF(DATA!$D$1010="None","NOT USED IN THIS TENDER","")</f>
        <v/>
      </c>
    </row>
    <row r="3" spans="2:8">
      <c r="B3" t="str">
        <f>IF(DATA!D1010="None",DATA!B1010 &amp; " NOT SPECIFIED FOR THIS PROJECT", "")</f>
        <v/>
      </c>
      <c r="E3" t="str">
        <f>'Non Fee Hours'!E2</f>
        <v>ONLY INSERT KEY PERSONS HOURS, NOT ALTERNATES.</v>
      </c>
    </row>
    <row r="4" spans="2:8" ht="15.7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.75" thickBot="1">
      <c r="B5" s="2" t="s">
        <v>5</v>
      </c>
      <c r="C5" s="3"/>
      <c r="D5" s="12"/>
      <c r="E5" s="12"/>
      <c r="F5" s="15"/>
      <c r="G5" s="3"/>
      <c r="H5" s="4"/>
    </row>
    <row r="6" spans="2:8" ht="15.75" thickBot="1">
      <c r="B6" s="25" t="str">
        <f>DATA!B1010</f>
        <v>Road works</v>
      </c>
      <c r="C6" s="26"/>
      <c r="D6" s="211" t="s">
        <v>6</v>
      </c>
      <c r="E6" s="694">
        <f>IF('SUMMARY TENDERED FEE'!C7="none",0,ROUND((E7*(F7/F73)+E29*(F29/F73)+E51*(F51/F73)+E73),2))</f>
        <v>0</v>
      </c>
      <c r="F6" s="28" t="str">
        <f>"Norm. Hours"</f>
        <v>Norm. Hours</v>
      </c>
      <c r="G6" s="913">
        <f>IF('SUMMARY TENDERED FEE'!C7="none",0,1)</f>
        <v>1</v>
      </c>
      <c r="H6" s="29">
        <f>IF('SUMMARY TENDERED FEE'!C7="none",0,SUM(H7:H94))</f>
        <v>0</v>
      </c>
    </row>
    <row r="7" spans="2:8">
      <c r="B7" s="19" t="s">
        <v>7</v>
      </c>
      <c r="C7" s="20"/>
      <c r="D7" s="21" t="s">
        <v>8</v>
      </c>
      <c r="E7" s="693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IF(B8="","",ROUND((F8*E8),2))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10" si="0">IF(B9="","",ROUND((F9*E9),2))</f>
        <v>0</v>
      </c>
      <c r="H9" s="62"/>
    </row>
    <row r="10" spans="2:8">
      <c r="B10" s="118" t="str">
        <f>IF(DATA!A1053="","",DATA!A1053)</f>
        <v>DS3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IF(B11="","",ROUND((F11*E11),2))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.7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ref="G28" si="3">IF(B28="","",(F28*E28))</f>
        <v>0</v>
      </c>
      <c r="H28" s="7"/>
    </row>
    <row r="29" spans="2:8">
      <c r="B29" s="19" t="s">
        <v>10</v>
      </c>
      <c r="C29" s="20"/>
      <c r="D29" s="21" t="s">
        <v>8</v>
      </c>
      <c r="E29" s="693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 t="shared" ref="B31:C31" si="4">B9</f>
        <v>DS1</v>
      </c>
      <c r="C31" s="59" t="str">
        <f t="shared" si="4"/>
        <v/>
      </c>
      <c r="D31" s="59"/>
      <c r="E31" s="895">
        <v>0</v>
      </c>
      <c r="F31" s="16">
        <f>IF(B31="","",$F$29)</f>
        <v>2796</v>
      </c>
      <c r="G31" s="61">
        <f t="shared" ref="G31:G50" si="5">IF(B31="","",(F31*E31))</f>
        <v>0</v>
      </c>
      <c r="H31" s="62"/>
    </row>
    <row r="32" spans="2:8">
      <c r="B32" s="118" t="str">
        <f t="shared" ref="B32:C32" si="6">B10</f>
        <v>DS3</v>
      </c>
      <c r="C32" s="59" t="str">
        <f t="shared" si="6"/>
        <v/>
      </c>
      <c r="D32" s="59"/>
      <c r="E32" s="895">
        <v>0</v>
      </c>
      <c r="F32" s="16">
        <f t="shared" ref="F32:F39" si="7">IF(B32="","",$F$29)</f>
        <v>2796</v>
      </c>
      <c r="G32" s="61">
        <f t="shared" si="5"/>
        <v>0</v>
      </c>
      <c r="H32" s="62"/>
    </row>
    <row r="33" spans="2:8">
      <c r="B33" s="118" t="str">
        <f t="shared" ref="B33:C33" si="8">B11</f>
        <v/>
      </c>
      <c r="C33" s="59" t="str">
        <f t="shared" si="8"/>
        <v/>
      </c>
      <c r="D33" s="59"/>
      <c r="E33" s="895">
        <v>0</v>
      </c>
      <c r="F33" s="16" t="str">
        <f t="shared" si="7"/>
        <v/>
      </c>
      <c r="G33" s="61" t="str">
        <f t="shared" ref="G33:G39" si="9">IF(B33="","",(F33*E33))</f>
        <v/>
      </c>
      <c r="H33" s="62"/>
    </row>
    <row r="34" spans="2:8">
      <c r="B34" s="118" t="str">
        <f t="shared" ref="B34:C34" si="10">B12</f>
        <v/>
      </c>
      <c r="C34" s="59" t="str">
        <f t="shared" si="10"/>
        <v/>
      </c>
      <c r="D34" s="59"/>
      <c r="E34" s="895">
        <v>0</v>
      </c>
      <c r="F34" s="16" t="str">
        <f t="shared" si="7"/>
        <v/>
      </c>
      <c r="G34" s="61" t="str">
        <f t="shared" si="9"/>
        <v/>
      </c>
      <c r="H34" s="62"/>
    </row>
    <row r="35" spans="2:8">
      <c r="B35" s="118" t="str">
        <f t="shared" ref="B35:C35" si="11">B13</f>
        <v/>
      </c>
      <c r="C35" s="59" t="str">
        <f t="shared" si="11"/>
        <v/>
      </c>
      <c r="D35" s="59"/>
      <c r="E35" s="895">
        <v>0</v>
      </c>
      <c r="F35" s="16" t="str">
        <f t="shared" si="7"/>
        <v/>
      </c>
      <c r="G35" s="61" t="str">
        <f t="shared" si="9"/>
        <v/>
      </c>
      <c r="H35" s="62"/>
    </row>
    <row r="36" spans="2:8">
      <c r="B36" s="118" t="str">
        <f t="shared" ref="B36:C36" si="12">B14</f>
        <v/>
      </c>
      <c r="C36" s="59" t="str">
        <f t="shared" si="12"/>
        <v/>
      </c>
      <c r="D36" s="59"/>
      <c r="E36" s="895">
        <v>0</v>
      </c>
      <c r="F36" s="16" t="str">
        <f t="shared" si="7"/>
        <v/>
      </c>
      <c r="G36" s="61" t="str">
        <f t="shared" si="9"/>
        <v/>
      </c>
      <c r="H36" s="62"/>
    </row>
    <row r="37" spans="2:8">
      <c r="B37" s="118" t="str">
        <f t="shared" ref="B37:C37" si="13">B15</f>
        <v/>
      </c>
      <c r="C37" s="59" t="str">
        <f t="shared" si="13"/>
        <v/>
      </c>
      <c r="D37" s="59"/>
      <c r="E37" s="895">
        <v>0</v>
      </c>
      <c r="F37" s="16" t="str">
        <f t="shared" si="7"/>
        <v/>
      </c>
      <c r="G37" s="61" t="str">
        <f t="shared" si="9"/>
        <v/>
      </c>
      <c r="H37" s="62"/>
    </row>
    <row r="38" spans="2:8">
      <c r="B38" s="118" t="str">
        <f t="shared" ref="B38:C38" si="14">B16</f>
        <v/>
      </c>
      <c r="C38" s="59" t="str">
        <f t="shared" si="14"/>
        <v/>
      </c>
      <c r="D38" s="59"/>
      <c r="E38" s="895">
        <v>0</v>
      </c>
      <c r="F38" s="16" t="str">
        <f t="shared" si="7"/>
        <v/>
      </c>
      <c r="G38" s="61" t="str">
        <f t="shared" si="9"/>
        <v/>
      </c>
      <c r="H38" s="62"/>
    </row>
    <row r="39" spans="2:8">
      <c r="B39" s="118" t="str">
        <f t="shared" ref="B39:C39" si="15">B17</f>
        <v/>
      </c>
      <c r="C39" s="59" t="str">
        <f t="shared" si="15"/>
        <v/>
      </c>
      <c r="D39" s="59"/>
      <c r="E39" s="895">
        <v>0</v>
      </c>
      <c r="F39" s="16" t="str">
        <f t="shared" si="7"/>
        <v/>
      </c>
      <c r="G39" s="61" t="str">
        <f t="shared" si="9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.75" thickBot="1">
      <c r="B50" s="118" t="str">
        <f t="shared" ref="B50:C50" si="16">B28</f>
        <v>OTHER</v>
      </c>
      <c r="C50" s="59" t="str">
        <f t="shared" si="16"/>
        <v>Various non-key personnel</v>
      </c>
      <c r="D50" s="5"/>
      <c r="E50" s="899">
        <v>0</v>
      </c>
      <c r="F50" s="16">
        <f>IF(B50="","",$F$29)</f>
        <v>2796</v>
      </c>
      <c r="G50" s="6">
        <f t="shared" si="5"/>
        <v>0</v>
      </c>
      <c r="H50" s="7"/>
    </row>
    <row r="51" spans="2:8">
      <c r="B51" s="19" t="s">
        <v>11</v>
      </c>
      <c r="C51" s="20"/>
      <c r="D51" s="21" t="s">
        <v>8</v>
      </c>
      <c r="E51" s="693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 t="shared" ref="B53:C53" si="17">B9</f>
        <v>DS1</v>
      </c>
      <c r="C53" s="59" t="str">
        <f t="shared" si="17"/>
        <v/>
      </c>
      <c r="D53" s="5"/>
      <c r="E53" s="899">
        <v>0</v>
      </c>
      <c r="F53" s="16">
        <f>IF(B53="","",$F$51)</f>
        <v>2403</v>
      </c>
      <c r="G53" s="6">
        <f t="shared" ref="G53:G72" si="18">IF(B53="","",(F53*E53))</f>
        <v>0</v>
      </c>
      <c r="H53" s="7"/>
    </row>
    <row r="54" spans="2:8">
      <c r="B54" s="118" t="str">
        <f t="shared" ref="B54:C54" si="19">B10</f>
        <v>DS3</v>
      </c>
      <c r="C54" s="59" t="str">
        <f t="shared" si="19"/>
        <v/>
      </c>
      <c r="D54" s="5"/>
      <c r="E54" s="899">
        <v>0</v>
      </c>
      <c r="F54" s="16">
        <f t="shared" ref="F54:F61" si="20">IF(B54="","",$F$51)</f>
        <v>2403</v>
      </c>
      <c r="G54" s="6">
        <f t="shared" si="18"/>
        <v>0</v>
      </c>
      <c r="H54" s="7"/>
    </row>
    <row r="55" spans="2:8">
      <c r="B55" s="118" t="str">
        <f t="shared" ref="B55:C55" si="21">B11</f>
        <v/>
      </c>
      <c r="C55" s="59" t="str">
        <f t="shared" si="21"/>
        <v/>
      </c>
      <c r="D55" s="5"/>
      <c r="E55" s="899">
        <v>0</v>
      </c>
      <c r="F55" s="16" t="str">
        <f t="shared" si="20"/>
        <v/>
      </c>
      <c r="G55" s="6" t="str">
        <f t="shared" ref="G55:G61" si="22">IF(B55="","",(F55*E55))</f>
        <v/>
      </c>
      <c r="H55" s="7"/>
    </row>
    <row r="56" spans="2:8">
      <c r="B56" s="118" t="str">
        <f t="shared" ref="B56:C56" si="23">B12</f>
        <v/>
      </c>
      <c r="C56" s="59" t="str">
        <f t="shared" si="23"/>
        <v/>
      </c>
      <c r="D56" s="5"/>
      <c r="E56" s="899">
        <v>0</v>
      </c>
      <c r="F56" s="16" t="str">
        <f t="shared" si="20"/>
        <v/>
      </c>
      <c r="G56" s="6" t="str">
        <f t="shared" si="22"/>
        <v/>
      </c>
      <c r="H56" s="7"/>
    </row>
    <row r="57" spans="2:8">
      <c r="B57" s="118" t="str">
        <f t="shared" ref="B57:C57" si="24">B13</f>
        <v/>
      </c>
      <c r="C57" s="59" t="str">
        <f t="shared" si="24"/>
        <v/>
      </c>
      <c r="D57" s="5"/>
      <c r="E57" s="899">
        <v>0</v>
      </c>
      <c r="F57" s="16" t="str">
        <f t="shared" si="20"/>
        <v/>
      </c>
      <c r="G57" s="6" t="str">
        <f t="shared" si="22"/>
        <v/>
      </c>
      <c r="H57" s="7"/>
    </row>
    <row r="58" spans="2:8">
      <c r="B58" s="118" t="str">
        <f t="shared" ref="B58:C58" si="25">B14</f>
        <v/>
      </c>
      <c r="C58" s="59" t="str">
        <f t="shared" si="25"/>
        <v/>
      </c>
      <c r="D58" s="5"/>
      <c r="E58" s="899">
        <v>0</v>
      </c>
      <c r="F58" s="16" t="str">
        <f t="shared" si="20"/>
        <v/>
      </c>
      <c r="G58" s="6" t="str">
        <f t="shared" si="22"/>
        <v/>
      </c>
      <c r="H58" s="7"/>
    </row>
    <row r="59" spans="2:8">
      <c r="B59" s="118" t="str">
        <f t="shared" ref="B59:C59" si="26">B15</f>
        <v/>
      </c>
      <c r="C59" s="59" t="str">
        <f t="shared" si="26"/>
        <v/>
      </c>
      <c r="D59" s="5"/>
      <c r="E59" s="899">
        <v>0</v>
      </c>
      <c r="F59" s="16" t="str">
        <f t="shared" si="20"/>
        <v/>
      </c>
      <c r="G59" s="6" t="str">
        <f t="shared" si="22"/>
        <v/>
      </c>
      <c r="H59" s="7"/>
    </row>
    <row r="60" spans="2:8">
      <c r="B60" s="118" t="str">
        <f t="shared" ref="B60:C60" si="27">B16</f>
        <v/>
      </c>
      <c r="C60" s="59" t="str">
        <f t="shared" si="27"/>
        <v/>
      </c>
      <c r="D60" s="5"/>
      <c r="E60" s="899">
        <v>0</v>
      </c>
      <c r="F60" s="16" t="str">
        <f t="shared" si="20"/>
        <v/>
      </c>
      <c r="G60" s="6" t="str">
        <f t="shared" si="22"/>
        <v/>
      </c>
      <c r="H60" s="7"/>
    </row>
    <row r="61" spans="2:8">
      <c r="B61" s="118" t="str">
        <f t="shared" ref="B61:C61" si="28">B17</f>
        <v/>
      </c>
      <c r="C61" s="59" t="str">
        <f t="shared" si="28"/>
        <v/>
      </c>
      <c r="D61" s="5"/>
      <c r="E61" s="899">
        <v>0</v>
      </c>
      <c r="F61" s="16" t="str">
        <f t="shared" si="20"/>
        <v/>
      </c>
      <c r="G61" s="6" t="str">
        <f t="shared" si="22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.7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8"/>
        <v>0</v>
      </c>
      <c r="H72" s="7"/>
    </row>
    <row r="73" spans="2:8">
      <c r="B73" s="19" t="s">
        <v>12</v>
      </c>
      <c r="C73" s="20"/>
      <c r="D73" s="21" t="s">
        <v>8</v>
      </c>
      <c r="E73" s="693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 t="shared" ref="B74:C77" si="29">B8</f>
        <v>PL</v>
      </c>
      <c r="C74" s="59" t="str">
        <f t="shared" si="29"/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 t="shared" si="29"/>
        <v>DS1</v>
      </c>
      <c r="C75" s="59" t="str">
        <f t="shared" si="29"/>
        <v/>
      </c>
      <c r="D75" s="5"/>
      <c r="E75" s="899">
        <v>0</v>
      </c>
      <c r="F75" s="16">
        <f>IF(B75="","",$F$73)</f>
        <v>1167</v>
      </c>
      <c r="G75" s="6">
        <f t="shared" ref="G75:G94" si="30">IF(B75="","",(F75*E75))</f>
        <v>0</v>
      </c>
      <c r="H75" s="7"/>
    </row>
    <row r="76" spans="2:8">
      <c r="B76" s="118" t="str">
        <f t="shared" si="29"/>
        <v>DS3</v>
      </c>
      <c r="C76" s="59" t="str">
        <f t="shared" si="29"/>
        <v/>
      </c>
      <c r="D76" s="5"/>
      <c r="E76" s="899">
        <v>0</v>
      </c>
      <c r="F76" s="16">
        <f t="shared" ref="F76:F83" si="31">IF(B76="","",$F$73)</f>
        <v>1167</v>
      </c>
      <c r="G76" s="6">
        <f t="shared" si="30"/>
        <v>0</v>
      </c>
      <c r="H76" s="7"/>
    </row>
    <row r="77" spans="2:8">
      <c r="B77" s="118" t="str">
        <f t="shared" si="29"/>
        <v/>
      </c>
      <c r="C77" s="59" t="str">
        <f t="shared" si="29"/>
        <v/>
      </c>
      <c r="D77" s="5"/>
      <c r="E77" s="899">
        <v>0</v>
      </c>
      <c r="F77" s="16" t="str">
        <f t="shared" si="31"/>
        <v/>
      </c>
      <c r="G77" s="6" t="str">
        <f t="shared" ref="G77:G83" si="32">IF(B77="","",(F77*E77))</f>
        <v/>
      </c>
      <c r="H77" s="7"/>
    </row>
    <row r="78" spans="2:8">
      <c r="B78" s="118" t="str">
        <f t="shared" ref="B78:C78" si="33">B12</f>
        <v/>
      </c>
      <c r="C78" s="59" t="str">
        <f t="shared" si="33"/>
        <v/>
      </c>
      <c r="D78" s="5"/>
      <c r="E78" s="899">
        <v>0</v>
      </c>
      <c r="F78" s="16" t="str">
        <f t="shared" si="31"/>
        <v/>
      </c>
      <c r="G78" s="6" t="str">
        <f t="shared" si="32"/>
        <v/>
      </c>
      <c r="H78" s="7"/>
    </row>
    <row r="79" spans="2:8">
      <c r="B79" s="118" t="str">
        <f t="shared" ref="B79:C79" si="34">B13</f>
        <v/>
      </c>
      <c r="C79" s="59" t="str">
        <f t="shared" si="34"/>
        <v/>
      </c>
      <c r="D79" s="5"/>
      <c r="E79" s="899">
        <v>0</v>
      </c>
      <c r="F79" s="16" t="str">
        <f t="shared" si="31"/>
        <v/>
      </c>
      <c r="G79" s="6" t="str">
        <f t="shared" si="32"/>
        <v/>
      </c>
      <c r="H79" s="7"/>
    </row>
    <row r="80" spans="2:8">
      <c r="B80" s="118" t="str">
        <f t="shared" ref="B80:C80" si="35">B14</f>
        <v/>
      </c>
      <c r="C80" s="59" t="str">
        <f t="shared" si="35"/>
        <v/>
      </c>
      <c r="D80" s="5"/>
      <c r="E80" s="899">
        <v>0</v>
      </c>
      <c r="F80" s="16" t="str">
        <f t="shared" si="31"/>
        <v/>
      </c>
      <c r="G80" s="6" t="str">
        <f t="shared" si="32"/>
        <v/>
      </c>
      <c r="H80" s="7"/>
    </row>
    <row r="81" spans="2:8">
      <c r="B81" s="118" t="str">
        <f t="shared" ref="B81:C81" si="36">B15</f>
        <v/>
      </c>
      <c r="C81" s="59" t="str">
        <f t="shared" si="36"/>
        <v/>
      </c>
      <c r="D81" s="5"/>
      <c r="E81" s="899">
        <v>0</v>
      </c>
      <c r="F81" s="16" t="str">
        <f t="shared" si="31"/>
        <v/>
      </c>
      <c r="G81" s="6" t="str">
        <f t="shared" si="32"/>
        <v/>
      </c>
      <c r="H81" s="7"/>
    </row>
    <row r="82" spans="2:8">
      <c r="B82" s="118" t="str">
        <f t="shared" ref="B82:C82" si="37">B16</f>
        <v/>
      </c>
      <c r="C82" s="59" t="str">
        <f t="shared" si="37"/>
        <v/>
      </c>
      <c r="D82" s="5"/>
      <c r="E82" s="899">
        <v>0</v>
      </c>
      <c r="F82" s="16" t="str">
        <f t="shared" si="31"/>
        <v/>
      </c>
      <c r="G82" s="6" t="str">
        <f t="shared" si="32"/>
        <v/>
      </c>
      <c r="H82" s="7"/>
    </row>
    <row r="83" spans="2:8">
      <c r="B83" s="118" t="str">
        <f t="shared" ref="B83:C83" si="38">B17</f>
        <v/>
      </c>
      <c r="C83" s="59" t="str">
        <f t="shared" si="38"/>
        <v/>
      </c>
      <c r="D83" s="5"/>
      <c r="E83" s="899">
        <v>0</v>
      </c>
      <c r="F83" s="16" t="str">
        <f t="shared" si="31"/>
        <v/>
      </c>
      <c r="G83" s="6" t="str">
        <f t="shared" si="32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.75" thickBot="1">
      <c r="B94" s="119" t="str">
        <f t="shared" ref="B94:C94" si="39">B28</f>
        <v>OTHER</v>
      </c>
      <c r="C94" s="63" t="str">
        <f t="shared" si="39"/>
        <v>Various non-key personnel</v>
      </c>
      <c r="D94" s="8"/>
      <c r="E94" s="900">
        <v>0</v>
      </c>
      <c r="F94" s="17">
        <f>IF(B94="","",$F$73)</f>
        <v>1167</v>
      </c>
      <c r="G94" s="9">
        <f t="shared" si="30"/>
        <v>0</v>
      </c>
      <c r="H94" s="10"/>
    </row>
    <row r="96" spans="2:8">
      <c r="B96" s="1066" t="s">
        <v>989</v>
      </c>
      <c r="C96" s="1" t="s">
        <v>990</v>
      </c>
    </row>
  </sheetData>
  <sheetProtection algorithmName="SHA-512" hashValue="TeqXF1kUOOhiSKUfaXaJC6TTBJfnef+A5OzALVnft/zUBRqqd7EUniO6vY9FwNPkJVgauLcle2uJokcV3tef0w==" saltValue="SiviaqBWv7waj34tki0k5g==" spinCount="100000" sheet="1" objects="1" scenarios="1"/>
  <conditionalFormatting sqref="B8:B28 B30:B50 B52:B72 B74:B94">
    <cfRule type="containsBlanks" dxfId="8244" priority="2031">
      <formula>LEN(TRIM(B8))=0</formula>
    </cfRule>
  </conditionalFormatting>
  <conditionalFormatting sqref="C8:C27">
    <cfRule type="expression" dxfId="8243" priority="1710">
      <formula>B8=""</formula>
    </cfRule>
  </conditionalFormatting>
  <conditionalFormatting sqref="C9 C11 C13 C15 C17:C27">
    <cfRule type="expression" dxfId="8242" priority="1709">
      <formula>B9=""</formula>
    </cfRule>
  </conditionalFormatting>
  <conditionalFormatting sqref="C20:C21">
    <cfRule type="expression" dxfId="8241" priority="1707">
      <formula>B20=""</formula>
    </cfRule>
  </conditionalFormatting>
  <conditionalFormatting sqref="C22">
    <cfRule type="expression" dxfId="8240" priority="1706">
      <formula>B22=""</formula>
    </cfRule>
  </conditionalFormatting>
  <conditionalFormatting sqref="C23">
    <cfRule type="expression" dxfId="8239" priority="1705">
      <formula>B23=""</formula>
    </cfRule>
  </conditionalFormatting>
  <conditionalFormatting sqref="C24">
    <cfRule type="expression" dxfId="8238" priority="1704">
      <formula>B24=""</formula>
    </cfRule>
  </conditionalFormatting>
  <conditionalFormatting sqref="C25">
    <cfRule type="expression" dxfId="8237" priority="1703">
      <formula>B25=""</formula>
    </cfRule>
  </conditionalFormatting>
  <conditionalFormatting sqref="C26">
    <cfRule type="expression" dxfId="8236" priority="1702">
      <formula>B26=""</formula>
    </cfRule>
  </conditionalFormatting>
  <conditionalFormatting sqref="C27">
    <cfRule type="expression" dxfId="8235" priority="1701">
      <formula>B27=""</formula>
    </cfRule>
  </conditionalFormatting>
  <conditionalFormatting sqref="C28">
    <cfRule type="expression" dxfId="8234" priority="1700">
      <formula>B28=""</formula>
    </cfRule>
  </conditionalFormatting>
  <conditionalFormatting sqref="D8 D10:D27">
    <cfRule type="expression" dxfId="8233" priority="1699">
      <formula>B8=""</formula>
    </cfRule>
  </conditionalFormatting>
  <conditionalFormatting sqref="D9 D11 D13 D15 D17:D27">
    <cfRule type="expression" dxfId="8232" priority="1698">
      <formula>B9=""</formula>
    </cfRule>
  </conditionalFormatting>
  <conditionalFormatting sqref="D20:D21">
    <cfRule type="expression" dxfId="8231" priority="1696">
      <formula>B20=""</formula>
    </cfRule>
  </conditionalFormatting>
  <conditionalFormatting sqref="D22">
    <cfRule type="expression" dxfId="8230" priority="1695">
      <formula>B22=""</formula>
    </cfRule>
  </conditionalFormatting>
  <conditionalFormatting sqref="D23">
    <cfRule type="expression" dxfId="8229" priority="1694">
      <formula>B23=""</formula>
    </cfRule>
  </conditionalFormatting>
  <conditionalFormatting sqref="D24">
    <cfRule type="expression" dxfId="8228" priority="1693">
      <formula>B24=""</formula>
    </cfRule>
  </conditionalFormatting>
  <conditionalFormatting sqref="D25">
    <cfRule type="expression" dxfId="8227" priority="1692">
      <formula>B25=""</formula>
    </cfRule>
  </conditionalFormatting>
  <conditionalFormatting sqref="D26">
    <cfRule type="expression" dxfId="8226" priority="1691">
      <formula>B26=""</formula>
    </cfRule>
  </conditionalFormatting>
  <conditionalFormatting sqref="D27">
    <cfRule type="expression" dxfId="8225" priority="1690">
      <formula>B27=""</formula>
    </cfRule>
  </conditionalFormatting>
  <conditionalFormatting sqref="D28">
    <cfRule type="expression" dxfId="8224" priority="1689">
      <formula>B28=""</formula>
    </cfRule>
  </conditionalFormatting>
  <conditionalFormatting sqref="E8:E27">
    <cfRule type="expression" dxfId="8223" priority="1688">
      <formula>B8=""</formula>
    </cfRule>
  </conditionalFormatting>
  <conditionalFormatting sqref="E9:E27">
    <cfRule type="expression" dxfId="8222" priority="1687">
      <formula>B9=""</formula>
    </cfRule>
  </conditionalFormatting>
  <conditionalFormatting sqref="E20:E21">
    <cfRule type="expression" dxfId="8221" priority="1685">
      <formula>B20=""</formula>
    </cfRule>
  </conditionalFormatting>
  <conditionalFormatting sqref="E22">
    <cfRule type="expression" dxfId="8220" priority="1684">
      <formula>B22=""</formula>
    </cfRule>
  </conditionalFormatting>
  <conditionalFormatting sqref="E23">
    <cfRule type="expression" dxfId="8219" priority="1683">
      <formula>B23=""</formula>
    </cfRule>
  </conditionalFormatting>
  <conditionalFormatting sqref="E24">
    <cfRule type="expression" dxfId="8218" priority="1682">
      <formula>B24=""</formula>
    </cfRule>
  </conditionalFormatting>
  <conditionalFormatting sqref="E25">
    <cfRule type="expression" dxfId="8217" priority="1681">
      <formula>B25=""</formula>
    </cfRule>
  </conditionalFormatting>
  <conditionalFormatting sqref="E26">
    <cfRule type="expression" dxfId="8216" priority="1680">
      <formula>B26=""</formula>
    </cfRule>
  </conditionalFormatting>
  <conditionalFormatting sqref="E27">
    <cfRule type="expression" dxfId="8215" priority="1679">
      <formula>B27=""</formula>
    </cfRule>
  </conditionalFormatting>
  <conditionalFormatting sqref="E28">
    <cfRule type="expression" dxfId="8214" priority="1678">
      <formula>B28=""</formula>
    </cfRule>
  </conditionalFormatting>
  <conditionalFormatting sqref="F8 F10:F27">
    <cfRule type="expression" dxfId="8213" priority="1677">
      <formula>B8=""</formula>
    </cfRule>
  </conditionalFormatting>
  <conditionalFormatting sqref="F9 F11 F13 F15 F17:F27">
    <cfRule type="expression" dxfId="8212" priority="1676">
      <formula>B9=""</formula>
    </cfRule>
  </conditionalFormatting>
  <conditionalFormatting sqref="F20:F21">
    <cfRule type="expression" dxfId="8211" priority="1674">
      <formula>B20=""</formula>
    </cfRule>
  </conditionalFormatting>
  <conditionalFormatting sqref="F22">
    <cfRule type="expression" dxfId="8210" priority="1673">
      <formula>B22=""</formula>
    </cfRule>
  </conditionalFormatting>
  <conditionalFormatting sqref="F23">
    <cfRule type="expression" dxfId="8209" priority="1672">
      <formula>B23=""</formula>
    </cfRule>
  </conditionalFormatting>
  <conditionalFormatting sqref="F24">
    <cfRule type="expression" dxfId="8208" priority="1671">
      <formula>B24=""</formula>
    </cfRule>
  </conditionalFormatting>
  <conditionalFormatting sqref="F25">
    <cfRule type="expression" dxfId="8207" priority="1670">
      <formula>B25=""</formula>
    </cfRule>
  </conditionalFormatting>
  <conditionalFormatting sqref="F26">
    <cfRule type="expression" dxfId="8206" priority="1669">
      <formula>B26=""</formula>
    </cfRule>
  </conditionalFormatting>
  <conditionalFormatting sqref="F27">
    <cfRule type="expression" dxfId="8205" priority="1668">
      <formula>B27=""</formula>
    </cfRule>
  </conditionalFormatting>
  <conditionalFormatting sqref="F28">
    <cfRule type="expression" dxfId="8204" priority="1667">
      <formula>B28=""</formula>
    </cfRule>
  </conditionalFormatting>
  <conditionalFormatting sqref="E9 E11 E13 E15 E17:E27">
    <cfRule type="expression" dxfId="8203" priority="1666">
      <formula>B9=""</formula>
    </cfRule>
  </conditionalFormatting>
  <conditionalFormatting sqref="E20:E21">
    <cfRule type="expression" dxfId="8202" priority="1664">
      <formula>B20=""</formula>
    </cfRule>
  </conditionalFormatting>
  <conditionalFormatting sqref="E22">
    <cfRule type="expression" dxfId="8201" priority="1663">
      <formula>B22=""</formula>
    </cfRule>
  </conditionalFormatting>
  <conditionalFormatting sqref="E23">
    <cfRule type="expression" dxfId="8200" priority="1662">
      <formula>B23=""</formula>
    </cfRule>
  </conditionalFormatting>
  <conditionalFormatting sqref="E24">
    <cfRule type="expression" dxfId="8199" priority="1661">
      <formula>B24=""</formula>
    </cfRule>
  </conditionalFormatting>
  <conditionalFormatting sqref="E25">
    <cfRule type="expression" dxfId="8198" priority="1660">
      <formula>B25=""</formula>
    </cfRule>
  </conditionalFormatting>
  <conditionalFormatting sqref="E26">
    <cfRule type="expression" dxfId="8197" priority="1659">
      <formula>B26=""</formula>
    </cfRule>
  </conditionalFormatting>
  <conditionalFormatting sqref="E27">
    <cfRule type="expression" dxfId="8196" priority="1658">
      <formula>B27=""</formula>
    </cfRule>
  </conditionalFormatting>
  <conditionalFormatting sqref="E28">
    <cfRule type="expression" dxfId="8195" priority="1657">
      <formula>B28=""</formula>
    </cfRule>
  </conditionalFormatting>
  <conditionalFormatting sqref="G8:G28">
    <cfRule type="expression" dxfId="8194" priority="1646">
      <formula>B8=""</formula>
    </cfRule>
  </conditionalFormatting>
  <conditionalFormatting sqref="H8 H10:H27">
    <cfRule type="expression" dxfId="8193" priority="1645">
      <formula>B8=""</formula>
    </cfRule>
  </conditionalFormatting>
  <conditionalFormatting sqref="H9 H11 H13 H15 H17:H27">
    <cfRule type="expression" dxfId="8192" priority="1644">
      <formula>B9=""</formula>
    </cfRule>
  </conditionalFormatting>
  <conditionalFormatting sqref="H20:H21">
    <cfRule type="expression" dxfId="8191" priority="1642">
      <formula>B20=""</formula>
    </cfRule>
  </conditionalFormatting>
  <conditionalFormatting sqref="H22">
    <cfRule type="expression" dxfId="8190" priority="1641">
      <formula>B22=""</formula>
    </cfRule>
  </conditionalFormatting>
  <conditionalFormatting sqref="H23">
    <cfRule type="expression" dxfId="8189" priority="1640">
      <formula>B23=""</formula>
    </cfRule>
  </conditionalFormatting>
  <conditionalFormatting sqref="H24">
    <cfRule type="expression" dxfId="8188" priority="1639">
      <formula>B24=""</formula>
    </cfRule>
  </conditionalFormatting>
  <conditionalFormatting sqref="H25">
    <cfRule type="expression" dxfId="8187" priority="1638">
      <formula>B25=""</formula>
    </cfRule>
  </conditionalFormatting>
  <conditionalFormatting sqref="H26">
    <cfRule type="expression" dxfId="8186" priority="1637">
      <formula>B26=""</formula>
    </cfRule>
  </conditionalFormatting>
  <conditionalFormatting sqref="H27">
    <cfRule type="expression" dxfId="8185" priority="1636">
      <formula>B27=""</formula>
    </cfRule>
  </conditionalFormatting>
  <conditionalFormatting sqref="H28">
    <cfRule type="expression" dxfId="8184" priority="1635">
      <formula>B28=""</formula>
    </cfRule>
  </conditionalFormatting>
  <conditionalFormatting sqref="C30:C50">
    <cfRule type="expression" dxfId="8183" priority="1633">
      <formula>B30=""</formula>
    </cfRule>
  </conditionalFormatting>
  <conditionalFormatting sqref="C31 C33 C35 C37 C39 C41 C43 C45 C47 C49">
    <cfRule type="expression" dxfId="8182" priority="1632">
      <formula>B31=""</formula>
    </cfRule>
  </conditionalFormatting>
  <conditionalFormatting sqref="C32:C42">
    <cfRule type="expression" dxfId="8181" priority="1631">
      <formula>B32=""</formula>
    </cfRule>
  </conditionalFormatting>
  <conditionalFormatting sqref="C43">
    <cfRule type="expression" dxfId="8180" priority="1630">
      <formula>B43=""</formula>
    </cfRule>
  </conditionalFormatting>
  <conditionalFormatting sqref="C44">
    <cfRule type="expression" dxfId="8179" priority="1629">
      <formula>B44=""</formula>
    </cfRule>
  </conditionalFormatting>
  <conditionalFormatting sqref="C45">
    <cfRule type="expression" dxfId="8178" priority="1628">
      <formula>B45=""</formula>
    </cfRule>
  </conditionalFormatting>
  <conditionalFormatting sqref="C46">
    <cfRule type="expression" dxfId="8177" priority="1627">
      <formula>B46=""</formula>
    </cfRule>
  </conditionalFormatting>
  <conditionalFormatting sqref="C47">
    <cfRule type="expression" dxfId="8176" priority="1626">
      <formula>B47=""</formula>
    </cfRule>
  </conditionalFormatting>
  <conditionalFormatting sqref="C48">
    <cfRule type="expression" dxfId="8175" priority="1625">
      <formula>B48=""</formula>
    </cfRule>
  </conditionalFormatting>
  <conditionalFormatting sqref="C49">
    <cfRule type="expression" dxfId="8174" priority="1624">
      <formula>B49=""</formula>
    </cfRule>
  </conditionalFormatting>
  <conditionalFormatting sqref="C50">
    <cfRule type="expression" dxfId="8173" priority="1623">
      <formula>B50=""</formula>
    </cfRule>
  </conditionalFormatting>
  <conditionalFormatting sqref="D30 D32 D34 D36 D38 D40 D42 D44 D46 D48">
    <cfRule type="expression" dxfId="8172" priority="1622">
      <formula>B30=""</formula>
    </cfRule>
  </conditionalFormatting>
  <conditionalFormatting sqref="D31 D33 D35 D37 D39 D41 D43 D45 D47 D49">
    <cfRule type="expression" dxfId="8171" priority="1621">
      <formula>B31=""</formula>
    </cfRule>
  </conditionalFormatting>
  <conditionalFormatting sqref="D32:D42">
    <cfRule type="expression" dxfId="8170" priority="1620">
      <formula>B32=""</formula>
    </cfRule>
  </conditionalFormatting>
  <conditionalFormatting sqref="D43">
    <cfRule type="expression" dxfId="8169" priority="1619">
      <formula>B43=""</formula>
    </cfRule>
  </conditionalFormatting>
  <conditionalFormatting sqref="D44">
    <cfRule type="expression" dxfId="8168" priority="1618">
      <formula>B44=""</formula>
    </cfRule>
  </conditionalFormatting>
  <conditionalFormatting sqref="D45">
    <cfRule type="expression" dxfId="8167" priority="1617">
      <formula>B45=""</formula>
    </cfRule>
  </conditionalFormatting>
  <conditionalFormatting sqref="D46">
    <cfRule type="expression" dxfId="8166" priority="1616">
      <formula>B46=""</formula>
    </cfRule>
  </conditionalFormatting>
  <conditionalFormatting sqref="D47">
    <cfRule type="expression" dxfId="8165" priority="1615">
      <formula>B47=""</formula>
    </cfRule>
  </conditionalFormatting>
  <conditionalFormatting sqref="D48">
    <cfRule type="expression" dxfId="8164" priority="1614">
      <formula>B48=""</formula>
    </cfRule>
  </conditionalFormatting>
  <conditionalFormatting sqref="D49">
    <cfRule type="expression" dxfId="8163" priority="1613">
      <formula>B49=""</formula>
    </cfRule>
  </conditionalFormatting>
  <conditionalFormatting sqref="D50">
    <cfRule type="expression" dxfId="8162" priority="1612">
      <formula>B50=""</formula>
    </cfRule>
  </conditionalFormatting>
  <conditionalFormatting sqref="E30 E32 E34 E36 E38 E40 E42 E44 E46 E48">
    <cfRule type="expression" dxfId="8161" priority="1611">
      <formula>B30=""</formula>
    </cfRule>
  </conditionalFormatting>
  <conditionalFormatting sqref="E31 E33 E35 E37 E39 E41 E43 E45 E47 E49">
    <cfRule type="expression" dxfId="8160" priority="1610">
      <formula>B31=""</formula>
    </cfRule>
  </conditionalFormatting>
  <conditionalFormatting sqref="E32:E42">
    <cfRule type="expression" dxfId="8159" priority="1609">
      <formula>B32=""</formula>
    </cfRule>
  </conditionalFormatting>
  <conditionalFormatting sqref="E43">
    <cfRule type="expression" dxfId="8158" priority="1608">
      <formula>B43=""</formula>
    </cfRule>
  </conditionalFormatting>
  <conditionalFormatting sqref="E44">
    <cfRule type="expression" dxfId="8157" priority="1607">
      <formula>B44=""</formula>
    </cfRule>
  </conditionalFormatting>
  <conditionalFormatting sqref="E45">
    <cfRule type="expression" dxfId="8156" priority="1606">
      <formula>B45=""</formula>
    </cfRule>
  </conditionalFormatting>
  <conditionalFormatting sqref="E46">
    <cfRule type="expression" dxfId="8155" priority="1605">
      <formula>B46=""</formula>
    </cfRule>
  </conditionalFormatting>
  <conditionalFormatting sqref="E47">
    <cfRule type="expression" dxfId="8154" priority="1604">
      <formula>B47=""</formula>
    </cfRule>
  </conditionalFormatting>
  <conditionalFormatting sqref="E48">
    <cfRule type="expression" dxfId="8153" priority="1603">
      <formula>B48=""</formula>
    </cfRule>
  </conditionalFormatting>
  <conditionalFormatting sqref="E49">
    <cfRule type="expression" dxfId="8152" priority="1602">
      <formula>B49=""</formula>
    </cfRule>
  </conditionalFormatting>
  <conditionalFormatting sqref="E50">
    <cfRule type="expression" dxfId="8151" priority="1601">
      <formula>B50=""</formula>
    </cfRule>
  </conditionalFormatting>
  <conditionalFormatting sqref="F30 F32 F34 F36 F38 F40 F42 F44 F46 F48">
    <cfRule type="expression" dxfId="8150" priority="1600">
      <formula>B30=""</formula>
    </cfRule>
  </conditionalFormatting>
  <conditionalFormatting sqref="F31 F33 F35 F37 F39 F41 F43 F45 F47 F49">
    <cfRule type="expression" dxfId="8149" priority="1599">
      <formula>B31=""</formula>
    </cfRule>
  </conditionalFormatting>
  <conditionalFormatting sqref="F32:F42">
    <cfRule type="expression" dxfId="8148" priority="1598">
      <formula>B32=""</formula>
    </cfRule>
  </conditionalFormatting>
  <conditionalFormatting sqref="F43">
    <cfRule type="expression" dxfId="8147" priority="1597">
      <formula>B43=""</formula>
    </cfRule>
  </conditionalFormatting>
  <conditionalFormatting sqref="F44">
    <cfRule type="expression" dxfId="8146" priority="1596">
      <formula>B44=""</formula>
    </cfRule>
  </conditionalFormatting>
  <conditionalFormatting sqref="F45">
    <cfRule type="expression" dxfId="8145" priority="1595">
      <formula>B45=""</formula>
    </cfRule>
  </conditionalFormatting>
  <conditionalFormatting sqref="F46">
    <cfRule type="expression" dxfId="8144" priority="1594">
      <formula>B46=""</formula>
    </cfRule>
  </conditionalFormatting>
  <conditionalFormatting sqref="F47">
    <cfRule type="expression" dxfId="8143" priority="1593">
      <formula>B47=""</formula>
    </cfRule>
  </conditionalFormatting>
  <conditionalFormatting sqref="F48">
    <cfRule type="expression" dxfId="8142" priority="1592">
      <formula>B48=""</formula>
    </cfRule>
  </conditionalFormatting>
  <conditionalFormatting sqref="F49">
    <cfRule type="expression" dxfId="8141" priority="1591">
      <formula>B49=""</formula>
    </cfRule>
  </conditionalFormatting>
  <conditionalFormatting sqref="F50">
    <cfRule type="expression" dxfId="8140" priority="1590">
      <formula>B50=""</formula>
    </cfRule>
  </conditionalFormatting>
  <conditionalFormatting sqref="E31 E33 E35 E37 E39 E41 E43 E45 E47 E49">
    <cfRule type="expression" dxfId="8139" priority="1589">
      <formula>B31=""</formula>
    </cfRule>
  </conditionalFormatting>
  <conditionalFormatting sqref="E32:E42">
    <cfRule type="expression" dxfId="8138" priority="1588">
      <formula>B32=""</formula>
    </cfRule>
  </conditionalFormatting>
  <conditionalFormatting sqref="E43">
    <cfRule type="expression" dxfId="8137" priority="1587">
      <formula>B43=""</formula>
    </cfRule>
  </conditionalFormatting>
  <conditionalFormatting sqref="E44">
    <cfRule type="expression" dxfId="8136" priority="1586">
      <formula>B44=""</formula>
    </cfRule>
  </conditionalFormatting>
  <conditionalFormatting sqref="E45">
    <cfRule type="expression" dxfId="8135" priority="1585">
      <formula>B45=""</formula>
    </cfRule>
  </conditionalFormatting>
  <conditionalFormatting sqref="E46">
    <cfRule type="expression" dxfId="8134" priority="1584">
      <formula>B46=""</formula>
    </cfRule>
  </conditionalFormatting>
  <conditionalFormatting sqref="E47">
    <cfRule type="expression" dxfId="8133" priority="1583">
      <formula>B47=""</formula>
    </cfRule>
  </conditionalFormatting>
  <conditionalFormatting sqref="E48">
    <cfRule type="expression" dxfId="8132" priority="1582">
      <formula>B48=""</formula>
    </cfRule>
  </conditionalFormatting>
  <conditionalFormatting sqref="E49">
    <cfRule type="expression" dxfId="8131" priority="1581">
      <formula>B49=""</formula>
    </cfRule>
  </conditionalFormatting>
  <conditionalFormatting sqref="E50">
    <cfRule type="expression" dxfId="8130" priority="1580">
      <formula>B50=""</formula>
    </cfRule>
  </conditionalFormatting>
  <conditionalFormatting sqref="G30 G32 G34 G36 G38 G40 G42 G44 G46 G48">
    <cfRule type="expression" dxfId="8129" priority="1579">
      <formula>B30=""</formula>
    </cfRule>
  </conditionalFormatting>
  <conditionalFormatting sqref="G31 G33 G35 G37 G39 G41 G43 G45 G47 G49">
    <cfRule type="expression" dxfId="8128" priority="1578">
      <formula>B31=""</formula>
    </cfRule>
  </conditionalFormatting>
  <conditionalFormatting sqref="G32:G42">
    <cfRule type="expression" dxfId="8127" priority="1577">
      <formula>B32=""</formula>
    </cfRule>
  </conditionalFormatting>
  <conditionalFormatting sqref="G43">
    <cfRule type="expression" dxfId="8126" priority="1576">
      <formula>B43=""</formula>
    </cfRule>
  </conditionalFormatting>
  <conditionalFormatting sqref="G44">
    <cfRule type="expression" dxfId="8125" priority="1575">
      <formula>B44=""</formula>
    </cfRule>
  </conditionalFormatting>
  <conditionalFormatting sqref="G45">
    <cfRule type="expression" dxfId="8124" priority="1574">
      <formula>B45=""</formula>
    </cfRule>
  </conditionalFormatting>
  <conditionalFormatting sqref="G46">
    <cfRule type="expression" dxfId="8123" priority="1573">
      <formula>B46=""</formula>
    </cfRule>
  </conditionalFormatting>
  <conditionalFormatting sqref="G47">
    <cfRule type="expression" dxfId="8122" priority="1572">
      <formula>B47=""</formula>
    </cfRule>
  </conditionalFormatting>
  <conditionalFormatting sqref="G48">
    <cfRule type="expression" dxfId="8121" priority="1571">
      <formula>B48=""</formula>
    </cfRule>
  </conditionalFormatting>
  <conditionalFormatting sqref="G49">
    <cfRule type="expression" dxfId="8120" priority="1570">
      <formula>B49=""</formula>
    </cfRule>
  </conditionalFormatting>
  <conditionalFormatting sqref="G50">
    <cfRule type="expression" dxfId="8119" priority="1569">
      <formula>B50=""</formula>
    </cfRule>
  </conditionalFormatting>
  <conditionalFormatting sqref="H30 H32 H34 H36 H38 H40 H42 H44 H46 H48">
    <cfRule type="expression" dxfId="8118" priority="1568">
      <formula>B30=""</formula>
    </cfRule>
  </conditionalFormatting>
  <conditionalFormatting sqref="H31 H33 H35 H37 H39 H41 H43 H45 H47 H49">
    <cfRule type="expression" dxfId="8117" priority="1567">
      <formula>B31=""</formula>
    </cfRule>
  </conditionalFormatting>
  <conditionalFormatting sqref="H32:H42">
    <cfRule type="expression" dxfId="8116" priority="1566">
      <formula>B32=""</formula>
    </cfRule>
  </conditionalFormatting>
  <conditionalFormatting sqref="H43">
    <cfRule type="expression" dxfId="8115" priority="1565">
      <formula>B43=""</formula>
    </cfRule>
  </conditionalFormatting>
  <conditionalFormatting sqref="H44">
    <cfRule type="expression" dxfId="8114" priority="1564">
      <formula>B44=""</formula>
    </cfRule>
  </conditionalFormatting>
  <conditionalFormatting sqref="H45">
    <cfRule type="expression" dxfId="8113" priority="1563">
      <formula>B45=""</formula>
    </cfRule>
  </conditionalFormatting>
  <conditionalFormatting sqref="H46">
    <cfRule type="expression" dxfId="8112" priority="1562">
      <formula>B46=""</formula>
    </cfRule>
  </conditionalFormatting>
  <conditionalFormatting sqref="H47">
    <cfRule type="expression" dxfId="8111" priority="1561">
      <formula>B47=""</formula>
    </cfRule>
  </conditionalFormatting>
  <conditionalFormatting sqref="H48">
    <cfRule type="expression" dxfId="8110" priority="1560">
      <formula>B48=""</formula>
    </cfRule>
  </conditionalFormatting>
  <conditionalFormatting sqref="H49">
    <cfRule type="expression" dxfId="8109" priority="1559">
      <formula>B49=""</formula>
    </cfRule>
  </conditionalFormatting>
  <conditionalFormatting sqref="H50">
    <cfRule type="expression" dxfId="8108" priority="1558">
      <formula>B50=""</formula>
    </cfRule>
  </conditionalFormatting>
  <conditionalFormatting sqref="C52:C71">
    <cfRule type="expression" dxfId="8107" priority="1556">
      <formula>B52=""</formula>
    </cfRule>
  </conditionalFormatting>
  <conditionalFormatting sqref="C53 C55 C57 C59 C61 C63 C65 C67 C69 C71">
    <cfRule type="expression" dxfId="8106" priority="1555">
      <formula>B53=""</formula>
    </cfRule>
  </conditionalFormatting>
  <conditionalFormatting sqref="C54:C64">
    <cfRule type="expression" dxfId="8105" priority="1554">
      <formula>B54=""</formula>
    </cfRule>
  </conditionalFormatting>
  <conditionalFormatting sqref="C65">
    <cfRule type="expression" dxfId="8104" priority="1553">
      <formula>B65=""</formula>
    </cfRule>
  </conditionalFormatting>
  <conditionalFormatting sqref="C66">
    <cfRule type="expression" dxfId="8103" priority="1552">
      <formula>B66=""</formula>
    </cfRule>
  </conditionalFormatting>
  <conditionalFormatting sqref="C67">
    <cfRule type="expression" dxfId="8102" priority="1551">
      <formula>B67=""</formula>
    </cfRule>
  </conditionalFormatting>
  <conditionalFormatting sqref="C68">
    <cfRule type="expression" dxfId="8101" priority="1550">
      <formula>B68=""</formula>
    </cfRule>
  </conditionalFormatting>
  <conditionalFormatting sqref="C69">
    <cfRule type="expression" dxfId="8100" priority="1549">
      <formula>B69=""</formula>
    </cfRule>
  </conditionalFormatting>
  <conditionalFormatting sqref="C70">
    <cfRule type="expression" dxfId="8099" priority="1548">
      <formula>B70=""</formula>
    </cfRule>
  </conditionalFormatting>
  <conditionalFormatting sqref="C71">
    <cfRule type="expression" dxfId="8098" priority="1547">
      <formula>B71=""</formula>
    </cfRule>
  </conditionalFormatting>
  <conditionalFormatting sqref="C72">
    <cfRule type="expression" dxfId="8097" priority="1546">
      <formula>B72=""</formula>
    </cfRule>
  </conditionalFormatting>
  <conditionalFormatting sqref="D52 D54 D56 D58 D60 D62 D64 D66 D68 D70">
    <cfRule type="expression" dxfId="8096" priority="1545">
      <formula>B52=""</formula>
    </cfRule>
  </conditionalFormatting>
  <conditionalFormatting sqref="D53 D55 D57 D59 D61 D63 D65 D67 D69 D71">
    <cfRule type="expression" dxfId="8095" priority="1544">
      <formula>B53=""</formula>
    </cfRule>
  </conditionalFormatting>
  <conditionalFormatting sqref="D54:D64">
    <cfRule type="expression" dxfId="8094" priority="1543">
      <formula>B54=""</formula>
    </cfRule>
  </conditionalFormatting>
  <conditionalFormatting sqref="D65">
    <cfRule type="expression" dxfId="8093" priority="1542">
      <formula>B65=""</formula>
    </cfRule>
  </conditionalFormatting>
  <conditionalFormatting sqref="D66">
    <cfRule type="expression" dxfId="8092" priority="1541">
      <formula>B66=""</formula>
    </cfRule>
  </conditionalFormatting>
  <conditionalFormatting sqref="D67">
    <cfRule type="expression" dxfId="8091" priority="1540">
      <formula>B67=""</formula>
    </cfRule>
  </conditionalFormatting>
  <conditionalFormatting sqref="D68">
    <cfRule type="expression" dxfId="8090" priority="1539">
      <formula>B68=""</formula>
    </cfRule>
  </conditionalFormatting>
  <conditionalFormatting sqref="D69">
    <cfRule type="expression" dxfId="8089" priority="1538">
      <formula>B69=""</formula>
    </cfRule>
  </conditionalFormatting>
  <conditionalFormatting sqref="D70">
    <cfRule type="expression" dxfId="8088" priority="1537">
      <formula>B70=""</formula>
    </cfRule>
  </conditionalFormatting>
  <conditionalFormatting sqref="D71">
    <cfRule type="expression" dxfId="8087" priority="1536">
      <formula>B71=""</formula>
    </cfRule>
  </conditionalFormatting>
  <conditionalFormatting sqref="D72">
    <cfRule type="expression" dxfId="8086" priority="1535">
      <formula>B72=""</formula>
    </cfRule>
  </conditionalFormatting>
  <conditionalFormatting sqref="E52 E54 E56 E58 E60 E62 E64 E66 E68 E70">
    <cfRule type="expression" dxfId="8085" priority="1534">
      <formula>B52=""</formula>
    </cfRule>
  </conditionalFormatting>
  <conditionalFormatting sqref="E53 E55 E57 E59 E61 E63 E65 E67 E69 E71">
    <cfRule type="expression" dxfId="8084" priority="1533">
      <formula>B53=""</formula>
    </cfRule>
  </conditionalFormatting>
  <conditionalFormatting sqref="E54:E64">
    <cfRule type="expression" dxfId="8083" priority="1532">
      <formula>B54=""</formula>
    </cfRule>
  </conditionalFormatting>
  <conditionalFormatting sqref="E65">
    <cfRule type="expression" dxfId="8082" priority="1531">
      <formula>B65=""</formula>
    </cfRule>
  </conditionalFormatting>
  <conditionalFormatting sqref="E66">
    <cfRule type="expression" dxfId="8081" priority="1530">
      <formula>B66=""</formula>
    </cfRule>
  </conditionalFormatting>
  <conditionalFormatting sqref="E67">
    <cfRule type="expression" dxfId="8080" priority="1529">
      <formula>B67=""</formula>
    </cfRule>
  </conditionalFormatting>
  <conditionalFormatting sqref="E68">
    <cfRule type="expression" dxfId="8079" priority="1528">
      <formula>B68=""</formula>
    </cfRule>
  </conditionalFormatting>
  <conditionalFormatting sqref="E69">
    <cfRule type="expression" dxfId="8078" priority="1527">
      <formula>B69=""</formula>
    </cfRule>
  </conditionalFormatting>
  <conditionalFormatting sqref="E70">
    <cfRule type="expression" dxfId="8077" priority="1526">
      <formula>B70=""</formula>
    </cfRule>
  </conditionalFormatting>
  <conditionalFormatting sqref="E71">
    <cfRule type="expression" dxfId="8076" priority="1525">
      <formula>B71=""</formula>
    </cfRule>
  </conditionalFormatting>
  <conditionalFormatting sqref="E72">
    <cfRule type="expression" dxfId="8075" priority="1524">
      <formula>B72=""</formula>
    </cfRule>
  </conditionalFormatting>
  <conditionalFormatting sqref="F52 F54 F56 F58 F60 F62 F64 F66 F68 F70">
    <cfRule type="expression" dxfId="8074" priority="1523">
      <formula>B52=""</formula>
    </cfRule>
  </conditionalFormatting>
  <conditionalFormatting sqref="F53 F55 F57 F59 F61 F63 F65 F67 F69 F71">
    <cfRule type="expression" dxfId="8073" priority="1522">
      <formula>B53=""</formula>
    </cfRule>
  </conditionalFormatting>
  <conditionalFormatting sqref="F54:F64">
    <cfRule type="expression" dxfId="8072" priority="1521">
      <formula>B54=""</formula>
    </cfRule>
  </conditionalFormatting>
  <conditionalFormatting sqref="F65">
    <cfRule type="expression" dxfId="8071" priority="1520">
      <formula>B65=""</formula>
    </cfRule>
  </conditionalFormatting>
  <conditionalFormatting sqref="F66">
    <cfRule type="expression" dxfId="8070" priority="1519">
      <formula>B66=""</formula>
    </cfRule>
  </conditionalFormatting>
  <conditionalFormatting sqref="F67">
    <cfRule type="expression" dxfId="8069" priority="1518">
      <formula>B67=""</formula>
    </cfRule>
  </conditionalFormatting>
  <conditionalFormatting sqref="F68">
    <cfRule type="expression" dxfId="8068" priority="1517">
      <formula>B68=""</formula>
    </cfRule>
  </conditionalFormatting>
  <conditionalFormatting sqref="F69">
    <cfRule type="expression" dxfId="8067" priority="1516">
      <formula>B69=""</formula>
    </cfRule>
  </conditionalFormatting>
  <conditionalFormatting sqref="F70">
    <cfRule type="expression" dxfId="8066" priority="1515">
      <formula>B70=""</formula>
    </cfRule>
  </conditionalFormatting>
  <conditionalFormatting sqref="F71">
    <cfRule type="expression" dxfId="8065" priority="1514">
      <formula>B71=""</formula>
    </cfRule>
  </conditionalFormatting>
  <conditionalFormatting sqref="F72">
    <cfRule type="expression" dxfId="8064" priority="1513">
      <formula>B72=""</formula>
    </cfRule>
  </conditionalFormatting>
  <conditionalFormatting sqref="E53 E55 E57 E59 E61 E63 E65 E67 E69 E71">
    <cfRule type="expression" dxfId="8063" priority="1512">
      <formula>B53=""</formula>
    </cfRule>
  </conditionalFormatting>
  <conditionalFormatting sqref="E54:E64">
    <cfRule type="expression" dxfId="8062" priority="1511">
      <formula>B54=""</formula>
    </cfRule>
  </conditionalFormatting>
  <conditionalFormatting sqref="E65">
    <cfRule type="expression" dxfId="8061" priority="1510">
      <formula>B65=""</formula>
    </cfRule>
  </conditionalFormatting>
  <conditionalFormatting sqref="E66">
    <cfRule type="expression" dxfId="8060" priority="1509">
      <formula>B66=""</formula>
    </cfRule>
  </conditionalFormatting>
  <conditionalFormatting sqref="E67">
    <cfRule type="expression" dxfId="8059" priority="1508">
      <formula>B67=""</formula>
    </cfRule>
  </conditionalFormatting>
  <conditionalFormatting sqref="E68">
    <cfRule type="expression" dxfId="8058" priority="1507">
      <formula>B68=""</formula>
    </cfRule>
  </conditionalFormatting>
  <conditionalFormatting sqref="E69">
    <cfRule type="expression" dxfId="8057" priority="1506">
      <formula>B69=""</formula>
    </cfRule>
  </conditionalFormatting>
  <conditionalFormatting sqref="E70">
    <cfRule type="expression" dxfId="8056" priority="1505">
      <formula>B70=""</formula>
    </cfRule>
  </conditionalFormatting>
  <conditionalFormatting sqref="E71">
    <cfRule type="expression" dxfId="8055" priority="1504">
      <formula>B71=""</formula>
    </cfRule>
  </conditionalFormatting>
  <conditionalFormatting sqref="E72">
    <cfRule type="expression" dxfId="8054" priority="1503">
      <formula>B72=""</formula>
    </cfRule>
  </conditionalFormatting>
  <conditionalFormatting sqref="G52 G54 G56 G58 G60 G62 G64 G66 G68 G70">
    <cfRule type="expression" dxfId="8053" priority="1502">
      <formula>B52=""</formula>
    </cfRule>
  </conditionalFormatting>
  <conditionalFormatting sqref="G53 G55 G57 G59 G61 G63 G65 G67 G69 G71">
    <cfRule type="expression" dxfId="8052" priority="1501">
      <formula>B53=""</formula>
    </cfRule>
  </conditionalFormatting>
  <conditionalFormatting sqref="G54:G64">
    <cfRule type="expression" dxfId="8051" priority="1500">
      <formula>B54=""</formula>
    </cfRule>
  </conditionalFormatting>
  <conditionalFormatting sqref="G65">
    <cfRule type="expression" dxfId="8050" priority="1499">
      <formula>B65=""</formula>
    </cfRule>
  </conditionalFormatting>
  <conditionalFormatting sqref="G66">
    <cfRule type="expression" dxfId="8049" priority="1498">
      <formula>B66=""</formula>
    </cfRule>
  </conditionalFormatting>
  <conditionalFormatting sqref="G67">
    <cfRule type="expression" dxfId="8048" priority="1497">
      <formula>B67=""</formula>
    </cfRule>
  </conditionalFormatting>
  <conditionalFormatting sqref="G68">
    <cfRule type="expression" dxfId="8047" priority="1496">
      <formula>B68=""</formula>
    </cfRule>
  </conditionalFormatting>
  <conditionalFormatting sqref="G69">
    <cfRule type="expression" dxfId="8046" priority="1495">
      <formula>B69=""</formula>
    </cfRule>
  </conditionalFormatting>
  <conditionalFormatting sqref="G70">
    <cfRule type="expression" dxfId="8045" priority="1494">
      <formula>B70=""</formula>
    </cfRule>
  </conditionalFormatting>
  <conditionalFormatting sqref="G71">
    <cfRule type="expression" dxfId="8044" priority="1493">
      <formula>B71=""</formula>
    </cfRule>
  </conditionalFormatting>
  <conditionalFormatting sqref="G72">
    <cfRule type="expression" dxfId="8043" priority="1492">
      <formula>B72=""</formula>
    </cfRule>
  </conditionalFormatting>
  <conditionalFormatting sqref="H52 H54 H56 H58 H60 H62 H64 H66 H68 H70">
    <cfRule type="expression" dxfId="8042" priority="1491">
      <formula>B52=""</formula>
    </cfRule>
  </conditionalFormatting>
  <conditionalFormatting sqref="H53 H55 H57 H59 H61 H63 H65 H67 H69 H71">
    <cfRule type="expression" dxfId="8041" priority="1490">
      <formula>B53=""</formula>
    </cfRule>
  </conditionalFormatting>
  <conditionalFormatting sqref="H54:H64">
    <cfRule type="expression" dxfId="8040" priority="1489">
      <formula>B54=""</formula>
    </cfRule>
  </conditionalFormatting>
  <conditionalFormatting sqref="H65">
    <cfRule type="expression" dxfId="8039" priority="1488">
      <formula>B65=""</formula>
    </cfRule>
  </conditionalFormatting>
  <conditionalFormatting sqref="H66">
    <cfRule type="expression" dxfId="8038" priority="1487">
      <formula>B66=""</formula>
    </cfRule>
  </conditionalFormatting>
  <conditionalFormatting sqref="H67">
    <cfRule type="expression" dxfId="8037" priority="1486">
      <formula>B67=""</formula>
    </cfRule>
  </conditionalFormatting>
  <conditionalFormatting sqref="H68">
    <cfRule type="expression" dxfId="8036" priority="1485">
      <formula>B68=""</formula>
    </cfRule>
  </conditionalFormatting>
  <conditionalFormatting sqref="H69">
    <cfRule type="expression" dxfId="8035" priority="1484">
      <formula>B69=""</formula>
    </cfRule>
  </conditionalFormatting>
  <conditionalFormatting sqref="H70">
    <cfRule type="expression" dxfId="8034" priority="1483">
      <formula>B70=""</formula>
    </cfRule>
  </conditionalFormatting>
  <conditionalFormatting sqref="H71">
    <cfRule type="expression" dxfId="8033" priority="1482">
      <formula>B71=""</formula>
    </cfRule>
  </conditionalFormatting>
  <conditionalFormatting sqref="H72">
    <cfRule type="expression" dxfId="8032" priority="1481">
      <formula>B72=""</formula>
    </cfRule>
  </conditionalFormatting>
  <conditionalFormatting sqref="C74:C94">
    <cfRule type="expression" dxfId="8031" priority="1479">
      <formula>B74=""</formula>
    </cfRule>
  </conditionalFormatting>
  <conditionalFormatting sqref="C75 C77 C79 C81 C83 C85 C87 C89 C91 C93">
    <cfRule type="expression" dxfId="8030" priority="1478">
      <formula>B75=""</formula>
    </cfRule>
  </conditionalFormatting>
  <conditionalFormatting sqref="C76:C86">
    <cfRule type="expression" dxfId="8029" priority="1477">
      <formula>B76=""</formula>
    </cfRule>
  </conditionalFormatting>
  <conditionalFormatting sqref="C87">
    <cfRule type="expression" dxfId="8028" priority="1476">
      <formula>B87=""</formula>
    </cfRule>
  </conditionalFormatting>
  <conditionalFormatting sqref="C88">
    <cfRule type="expression" dxfId="8027" priority="1475">
      <formula>B88=""</formula>
    </cfRule>
  </conditionalFormatting>
  <conditionalFormatting sqref="C89">
    <cfRule type="expression" dxfId="8026" priority="1474">
      <formula>B89=""</formula>
    </cfRule>
  </conditionalFormatting>
  <conditionalFormatting sqref="C90">
    <cfRule type="expression" dxfId="8025" priority="1473">
      <formula>B90=""</formula>
    </cfRule>
  </conditionalFormatting>
  <conditionalFormatting sqref="C91">
    <cfRule type="expression" dxfId="8024" priority="1472">
      <formula>B91=""</formula>
    </cfRule>
  </conditionalFormatting>
  <conditionalFormatting sqref="C92">
    <cfRule type="expression" dxfId="8023" priority="1471">
      <formula>B92=""</formula>
    </cfRule>
  </conditionalFormatting>
  <conditionalFormatting sqref="C93">
    <cfRule type="expression" dxfId="8022" priority="1470">
      <formula>B93=""</formula>
    </cfRule>
  </conditionalFormatting>
  <conditionalFormatting sqref="C94">
    <cfRule type="expression" dxfId="8021" priority="1469">
      <formula>B94=""</formula>
    </cfRule>
  </conditionalFormatting>
  <conditionalFormatting sqref="D74 D76 D78 D80 D82 D84 D86 D88 D90 D92">
    <cfRule type="expression" dxfId="8020" priority="1468">
      <formula>B74=""</formula>
    </cfRule>
  </conditionalFormatting>
  <conditionalFormatting sqref="D75 D77 D79 D81 D83 D85 D87 D89 D91 D93">
    <cfRule type="expression" dxfId="8019" priority="1467">
      <formula>B75=""</formula>
    </cfRule>
  </conditionalFormatting>
  <conditionalFormatting sqref="D76:D86">
    <cfRule type="expression" dxfId="8018" priority="1466">
      <formula>B76=""</formula>
    </cfRule>
  </conditionalFormatting>
  <conditionalFormatting sqref="D87">
    <cfRule type="expression" dxfId="8017" priority="1465">
      <formula>B87=""</formula>
    </cfRule>
  </conditionalFormatting>
  <conditionalFormatting sqref="D88">
    <cfRule type="expression" dxfId="8016" priority="1464">
      <formula>B88=""</formula>
    </cfRule>
  </conditionalFormatting>
  <conditionalFormatting sqref="D89">
    <cfRule type="expression" dxfId="8015" priority="1463">
      <formula>B89=""</formula>
    </cfRule>
  </conditionalFormatting>
  <conditionalFormatting sqref="D90">
    <cfRule type="expression" dxfId="8014" priority="1462">
      <formula>B90=""</formula>
    </cfRule>
  </conditionalFormatting>
  <conditionalFormatting sqref="D91">
    <cfRule type="expression" dxfId="8013" priority="1461">
      <formula>B91=""</formula>
    </cfRule>
  </conditionalFormatting>
  <conditionalFormatting sqref="D92">
    <cfRule type="expression" dxfId="8012" priority="1460">
      <formula>B92=""</formula>
    </cfRule>
  </conditionalFormatting>
  <conditionalFormatting sqref="D93">
    <cfRule type="expression" dxfId="8011" priority="1459">
      <formula>B93=""</formula>
    </cfRule>
  </conditionalFormatting>
  <conditionalFormatting sqref="D94">
    <cfRule type="expression" dxfId="8010" priority="1458">
      <formula>B94=""</formula>
    </cfRule>
  </conditionalFormatting>
  <conditionalFormatting sqref="E74 E76 E78 E80 E82 E84 E86 E88 E90 E92">
    <cfRule type="expression" dxfId="8009" priority="1457">
      <formula>B74=""</formula>
    </cfRule>
  </conditionalFormatting>
  <conditionalFormatting sqref="E75 E77 E79 E81 E83 E85 E87 E89 E91 E93">
    <cfRule type="expression" dxfId="8008" priority="1456">
      <formula>B75=""</formula>
    </cfRule>
  </conditionalFormatting>
  <conditionalFormatting sqref="E76:E86">
    <cfRule type="expression" dxfId="8007" priority="1455">
      <formula>B76=""</formula>
    </cfRule>
  </conditionalFormatting>
  <conditionalFormatting sqref="E87">
    <cfRule type="expression" dxfId="8006" priority="1454">
      <formula>B87=""</formula>
    </cfRule>
  </conditionalFormatting>
  <conditionalFormatting sqref="E88">
    <cfRule type="expression" dxfId="8005" priority="1453">
      <formula>B88=""</formula>
    </cfRule>
  </conditionalFormatting>
  <conditionalFormatting sqref="E89">
    <cfRule type="expression" dxfId="8004" priority="1452">
      <formula>B89=""</formula>
    </cfRule>
  </conditionalFormatting>
  <conditionalFormatting sqref="E90">
    <cfRule type="expression" dxfId="8003" priority="1451">
      <formula>B90=""</formula>
    </cfRule>
  </conditionalFormatting>
  <conditionalFormatting sqref="E91">
    <cfRule type="expression" dxfId="8002" priority="1450">
      <formula>B91=""</formula>
    </cfRule>
  </conditionalFormatting>
  <conditionalFormatting sqref="E92">
    <cfRule type="expression" dxfId="8001" priority="1449">
      <formula>B92=""</formula>
    </cfRule>
  </conditionalFormatting>
  <conditionalFormatting sqref="E93">
    <cfRule type="expression" dxfId="8000" priority="1448">
      <formula>B93=""</formula>
    </cfRule>
  </conditionalFormatting>
  <conditionalFormatting sqref="E94">
    <cfRule type="expression" dxfId="7999" priority="1447">
      <formula>B94=""</formula>
    </cfRule>
  </conditionalFormatting>
  <conditionalFormatting sqref="F74 F76 F78 F80 F82 F84 F86 F88 F90 F92">
    <cfRule type="expression" dxfId="7998" priority="1446">
      <formula>B74=""</formula>
    </cfRule>
  </conditionalFormatting>
  <conditionalFormatting sqref="F75 F77 F79 F81 F83 F85 F87 F89 F91 F93">
    <cfRule type="expression" dxfId="7997" priority="1445">
      <formula>B75=""</formula>
    </cfRule>
  </conditionalFormatting>
  <conditionalFormatting sqref="F76:F86">
    <cfRule type="expression" dxfId="7996" priority="1444">
      <formula>B76=""</formula>
    </cfRule>
  </conditionalFormatting>
  <conditionalFormatting sqref="F87">
    <cfRule type="expression" dxfId="7995" priority="1443">
      <formula>B87=""</formula>
    </cfRule>
  </conditionalFormatting>
  <conditionalFormatting sqref="F88">
    <cfRule type="expression" dxfId="7994" priority="1442">
      <formula>B88=""</formula>
    </cfRule>
  </conditionalFormatting>
  <conditionalFormatting sqref="F89">
    <cfRule type="expression" dxfId="7993" priority="1441">
      <formula>B89=""</formula>
    </cfRule>
  </conditionalFormatting>
  <conditionalFormatting sqref="F90">
    <cfRule type="expression" dxfId="7992" priority="1440">
      <formula>B90=""</formula>
    </cfRule>
  </conditionalFormatting>
  <conditionalFormatting sqref="F91">
    <cfRule type="expression" dxfId="7991" priority="1439">
      <formula>B91=""</formula>
    </cfRule>
  </conditionalFormatting>
  <conditionalFormatting sqref="F92">
    <cfRule type="expression" dxfId="7990" priority="1438">
      <formula>B92=""</formula>
    </cfRule>
  </conditionalFormatting>
  <conditionalFormatting sqref="F93">
    <cfRule type="expression" dxfId="7989" priority="1437">
      <formula>B93=""</formula>
    </cfRule>
  </conditionalFormatting>
  <conditionalFormatting sqref="F94">
    <cfRule type="expression" dxfId="7988" priority="1436">
      <formula>B94=""</formula>
    </cfRule>
  </conditionalFormatting>
  <conditionalFormatting sqref="E75 E77 E79 E81 E83 E85 E87 E89 E91 E93">
    <cfRule type="expression" dxfId="7987" priority="1435">
      <formula>B75=""</formula>
    </cfRule>
  </conditionalFormatting>
  <conditionalFormatting sqref="E76:E86">
    <cfRule type="expression" dxfId="7986" priority="1434">
      <formula>B76=""</formula>
    </cfRule>
  </conditionalFormatting>
  <conditionalFormatting sqref="E87">
    <cfRule type="expression" dxfId="7985" priority="1433">
      <formula>B87=""</formula>
    </cfRule>
  </conditionalFormatting>
  <conditionalFormatting sqref="E88">
    <cfRule type="expression" dxfId="7984" priority="1432">
      <formula>B88=""</formula>
    </cfRule>
  </conditionalFormatting>
  <conditionalFormatting sqref="E89">
    <cfRule type="expression" dxfId="7983" priority="1431">
      <formula>B89=""</formula>
    </cfRule>
  </conditionalFormatting>
  <conditionalFormatting sqref="E90">
    <cfRule type="expression" dxfId="7982" priority="1430">
      <formula>B90=""</formula>
    </cfRule>
  </conditionalFormatting>
  <conditionalFormatting sqref="E91">
    <cfRule type="expression" dxfId="7981" priority="1429">
      <formula>B91=""</formula>
    </cfRule>
  </conditionalFormatting>
  <conditionalFormatting sqref="E92">
    <cfRule type="expression" dxfId="7980" priority="1428">
      <formula>B92=""</formula>
    </cfRule>
  </conditionalFormatting>
  <conditionalFormatting sqref="E93">
    <cfRule type="expression" dxfId="7979" priority="1427">
      <formula>B93=""</formula>
    </cfRule>
  </conditionalFormatting>
  <conditionalFormatting sqref="E94">
    <cfRule type="expression" dxfId="7978" priority="1426">
      <formula>B94=""</formula>
    </cfRule>
  </conditionalFormatting>
  <conditionalFormatting sqref="G74 G76 G78 G80 G82 G84 G86 G88 G90 G92">
    <cfRule type="expression" dxfId="7977" priority="1425">
      <formula>B74=""</formula>
    </cfRule>
  </conditionalFormatting>
  <conditionalFormatting sqref="G75 G77 G79 G81 G83 G85 G87 G89 G91 G93">
    <cfRule type="expression" dxfId="7976" priority="1424">
      <formula>B75=""</formula>
    </cfRule>
  </conditionalFormatting>
  <conditionalFormatting sqref="G76:G86">
    <cfRule type="expression" dxfId="7975" priority="1423">
      <formula>B76=""</formula>
    </cfRule>
  </conditionalFormatting>
  <conditionalFormatting sqref="G87">
    <cfRule type="expression" dxfId="7974" priority="1422">
      <formula>B87=""</formula>
    </cfRule>
  </conditionalFormatting>
  <conditionalFormatting sqref="G88">
    <cfRule type="expression" dxfId="7973" priority="1421">
      <formula>B88=""</formula>
    </cfRule>
  </conditionalFormatting>
  <conditionalFormatting sqref="G89">
    <cfRule type="expression" dxfId="7972" priority="1420">
      <formula>B89=""</formula>
    </cfRule>
  </conditionalFormatting>
  <conditionalFormatting sqref="G90">
    <cfRule type="expression" dxfId="7971" priority="1419">
      <formula>B90=""</formula>
    </cfRule>
  </conditionalFormatting>
  <conditionalFormatting sqref="G91">
    <cfRule type="expression" dxfId="7970" priority="1418">
      <formula>B91=""</formula>
    </cfRule>
  </conditionalFormatting>
  <conditionalFormatting sqref="G92">
    <cfRule type="expression" dxfId="7969" priority="1417">
      <formula>B92=""</formula>
    </cfRule>
  </conditionalFormatting>
  <conditionalFormatting sqref="G93">
    <cfRule type="expression" dxfId="7968" priority="1416">
      <formula>B93=""</formula>
    </cfRule>
  </conditionalFormatting>
  <conditionalFormatting sqref="G94">
    <cfRule type="expression" dxfId="7967" priority="1415">
      <formula>B94=""</formula>
    </cfRule>
  </conditionalFormatting>
  <conditionalFormatting sqref="H74 H76 H78 H80 H82 H84 H86 H88 H90 H92">
    <cfRule type="expression" dxfId="7966" priority="1414">
      <formula>B74=""</formula>
    </cfRule>
  </conditionalFormatting>
  <conditionalFormatting sqref="H75 H77 H79 H81 H83 H85 H87 H89 H91 H93">
    <cfRule type="expression" dxfId="7965" priority="1413">
      <formula>B75=""</formula>
    </cfRule>
  </conditionalFormatting>
  <conditionalFormatting sqref="H76:H86">
    <cfRule type="expression" dxfId="7964" priority="1412">
      <formula>B76=""</formula>
    </cfRule>
  </conditionalFormatting>
  <conditionalFormatting sqref="H87">
    <cfRule type="expression" dxfId="7963" priority="1411">
      <formula>B87=""</formula>
    </cfRule>
  </conditionalFormatting>
  <conditionalFormatting sqref="H88">
    <cfRule type="expression" dxfId="7962" priority="1410">
      <formula>B88=""</formula>
    </cfRule>
  </conditionalFormatting>
  <conditionalFormatting sqref="H89">
    <cfRule type="expression" dxfId="7961" priority="1409">
      <formula>B89=""</formula>
    </cfRule>
  </conditionalFormatting>
  <conditionalFormatting sqref="H90">
    <cfRule type="expression" dxfId="7960" priority="1408">
      <formula>B90=""</formula>
    </cfRule>
  </conditionalFormatting>
  <conditionalFormatting sqref="H91">
    <cfRule type="expression" dxfId="7959" priority="1407">
      <formula>B91=""</formula>
    </cfRule>
  </conditionalFormatting>
  <conditionalFormatting sqref="H92">
    <cfRule type="expression" dxfId="7958" priority="1406">
      <formula>B92=""</formula>
    </cfRule>
  </conditionalFormatting>
  <conditionalFormatting sqref="H93">
    <cfRule type="expression" dxfId="7957" priority="1405">
      <formula>B93=""</formula>
    </cfRule>
  </conditionalFormatting>
  <conditionalFormatting sqref="H94">
    <cfRule type="expression" dxfId="7956" priority="1404">
      <formula>B94=""</formula>
    </cfRule>
  </conditionalFormatting>
  <conditionalFormatting sqref="C49">
    <cfRule type="expression" dxfId="7955" priority="1402">
      <formula>B49=""</formula>
    </cfRule>
  </conditionalFormatting>
  <conditionalFormatting sqref="C71">
    <cfRule type="expression" dxfId="7954" priority="1400">
      <formula>B71=""</formula>
    </cfRule>
  </conditionalFormatting>
  <conditionalFormatting sqref="C93">
    <cfRule type="expression" dxfId="7953" priority="1398">
      <formula>B93=""</formula>
    </cfRule>
  </conditionalFormatting>
  <conditionalFormatting sqref="C9 C11 C13 C15 C17:C27">
    <cfRule type="expression" dxfId="7952" priority="530">
      <formula>B9=""</formula>
    </cfRule>
  </conditionalFormatting>
  <conditionalFormatting sqref="C20:C21">
    <cfRule type="expression" dxfId="7951" priority="528">
      <formula>B20=""</formula>
    </cfRule>
  </conditionalFormatting>
  <conditionalFormatting sqref="C22">
    <cfRule type="expression" dxfId="7950" priority="527">
      <formula>B22=""</formula>
    </cfRule>
  </conditionalFormatting>
  <conditionalFormatting sqref="C23">
    <cfRule type="expression" dxfId="7949" priority="526">
      <formula>B23=""</formula>
    </cfRule>
  </conditionalFormatting>
  <conditionalFormatting sqref="C24">
    <cfRule type="expression" dxfId="7948" priority="525">
      <formula>B24=""</formula>
    </cfRule>
  </conditionalFormatting>
  <conditionalFormatting sqref="C25">
    <cfRule type="expression" dxfId="7947" priority="524">
      <formula>B25=""</formula>
    </cfRule>
  </conditionalFormatting>
  <conditionalFormatting sqref="C26">
    <cfRule type="expression" dxfId="7946" priority="523">
      <formula>B26=""</formula>
    </cfRule>
  </conditionalFormatting>
  <conditionalFormatting sqref="C27">
    <cfRule type="expression" dxfId="7945" priority="522">
      <formula>B27=""</formula>
    </cfRule>
  </conditionalFormatting>
  <conditionalFormatting sqref="C28">
    <cfRule type="expression" dxfId="7944" priority="521">
      <formula>B28=""</formula>
    </cfRule>
  </conditionalFormatting>
  <conditionalFormatting sqref="C30:C50">
    <cfRule type="expression" dxfId="7943" priority="519">
      <formula>B30=""</formula>
    </cfRule>
  </conditionalFormatting>
  <conditionalFormatting sqref="C31 C33 C35 C37 C39 C41 C43 C45 C47 C49">
    <cfRule type="expression" dxfId="7942" priority="518">
      <formula>B31=""</formula>
    </cfRule>
  </conditionalFormatting>
  <conditionalFormatting sqref="C32:C42">
    <cfRule type="expression" dxfId="7941" priority="517">
      <formula>B32=""</formula>
    </cfRule>
  </conditionalFormatting>
  <conditionalFormatting sqref="C43">
    <cfRule type="expression" dxfId="7940" priority="516">
      <formula>B43=""</formula>
    </cfRule>
  </conditionalFormatting>
  <conditionalFormatting sqref="C44">
    <cfRule type="expression" dxfId="7939" priority="515">
      <formula>B44=""</formula>
    </cfRule>
  </conditionalFormatting>
  <conditionalFormatting sqref="C45">
    <cfRule type="expression" dxfId="7938" priority="514">
      <formula>B45=""</formula>
    </cfRule>
  </conditionalFormatting>
  <conditionalFormatting sqref="C46">
    <cfRule type="expression" dxfId="7937" priority="513">
      <formula>B46=""</formula>
    </cfRule>
  </conditionalFormatting>
  <conditionalFormatting sqref="C47">
    <cfRule type="expression" dxfId="7936" priority="512">
      <formula>B47=""</formula>
    </cfRule>
  </conditionalFormatting>
  <conditionalFormatting sqref="C48">
    <cfRule type="expression" dxfId="7935" priority="511">
      <formula>B48=""</formula>
    </cfRule>
  </conditionalFormatting>
  <conditionalFormatting sqref="C49">
    <cfRule type="expression" dxfId="7934" priority="510">
      <formula>B49=""</formula>
    </cfRule>
  </conditionalFormatting>
  <conditionalFormatting sqref="C50">
    <cfRule type="expression" dxfId="7933" priority="509">
      <formula>B50=""</formula>
    </cfRule>
  </conditionalFormatting>
  <conditionalFormatting sqref="C52:C71">
    <cfRule type="expression" dxfId="7932" priority="507">
      <formula>B52=""</formula>
    </cfRule>
  </conditionalFormatting>
  <conditionalFormatting sqref="C53 C55 C57 C59 C61 C63 C65 C67 C69 C71">
    <cfRule type="expression" dxfId="7931" priority="506">
      <formula>B53=""</formula>
    </cfRule>
  </conditionalFormatting>
  <conditionalFormatting sqref="C54:C64">
    <cfRule type="expression" dxfId="7930" priority="505">
      <formula>B54=""</formula>
    </cfRule>
  </conditionalFormatting>
  <conditionalFormatting sqref="C65">
    <cfRule type="expression" dxfId="7929" priority="504">
      <formula>B65=""</formula>
    </cfRule>
  </conditionalFormatting>
  <conditionalFormatting sqref="C66">
    <cfRule type="expression" dxfId="7928" priority="503">
      <formula>B66=""</formula>
    </cfRule>
  </conditionalFormatting>
  <conditionalFormatting sqref="C67">
    <cfRule type="expression" dxfId="7927" priority="502">
      <formula>B67=""</formula>
    </cfRule>
  </conditionalFormatting>
  <conditionalFormatting sqref="C68">
    <cfRule type="expression" dxfId="7926" priority="501">
      <formula>B68=""</formula>
    </cfRule>
  </conditionalFormatting>
  <conditionalFormatting sqref="C69">
    <cfRule type="expression" dxfId="7925" priority="500">
      <formula>B69=""</formula>
    </cfRule>
  </conditionalFormatting>
  <conditionalFormatting sqref="C70">
    <cfRule type="expression" dxfId="7924" priority="499">
      <formula>B70=""</formula>
    </cfRule>
  </conditionalFormatting>
  <conditionalFormatting sqref="C71">
    <cfRule type="expression" dxfId="7923" priority="498">
      <formula>B71=""</formula>
    </cfRule>
  </conditionalFormatting>
  <conditionalFormatting sqref="C72">
    <cfRule type="expression" dxfId="7922" priority="497">
      <formula>B72=""</formula>
    </cfRule>
  </conditionalFormatting>
  <conditionalFormatting sqref="C74:C94">
    <cfRule type="expression" dxfId="7921" priority="495">
      <formula>B74=""</formula>
    </cfRule>
  </conditionalFormatting>
  <conditionalFormatting sqref="C75 C77 C79 C81 C83 C85 C87 C89 C91 C93">
    <cfRule type="expression" dxfId="7920" priority="494">
      <formula>B75=""</formula>
    </cfRule>
  </conditionalFormatting>
  <conditionalFormatting sqref="C76:C86">
    <cfRule type="expression" dxfId="7919" priority="493">
      <formula>B76=""</formula>
    </cfRule>
  </conditionalFormatting>
  <conditionalFormatting sqref="C87">
    <cfRule type="expression" dxfId="7918" priority="492">
      <formula>B87=""</formula>
    </cfRule>
  </conditionalFormatting>
  <conditionalFormatting sqref="C88">
    <cfRule type="expression" dxfId="7917" priority="491">
      <formula>B88=""</formula>
    </cfRule>
  </conditionalFormatting>
  <conditionalFormatting sqref="C89">
    <cfRule type="expression" dxfId="7916" priority="490">
      <formula>B89=""</formula>
    </cfRule>
  </conditionalFormatting>
  <conditionalFormatting sqref="C90">
    <cfRule type="expression" dxfId="7915" priority="489">
      <formula>B90=""</formula>
    </cfRule>
  </conditionalFormatting>
  <conditionalFormatting sqref="C91">
    <cfRule type="expression" dxfId="7914" priority="488">
      <formula>B91=""</formula>
    </cfRule>
  </conditionalFormatting>
  <conditionalFormatting sqref="C92">
    <cfRule type="expression" dxfId="7913" priority="487">
      <formula>B92=""</formula>
    </cfRule>
  </conditionalFormatting>
  <conditionalFormatting sqref="C93">
    <cfRule type="expression" dxfId="7912" priority="486">
      <formula>B93=""</formula>
    </cfRule>
  </conditionalFormatting>
  <conditionalFormatting sqref="C94">
    <cfRule type="expression" dxfId="7911" priority="485">
      <formula>B94=""</formula>
    </cfRule>
  </conditionalFormatting>
  <conditionalFormatting sqref="C8 C10:C27">
    <cfRule type="expression" dxfId="7910" priority="388">
      <formula>B8=""</formula>
    </cfRule>
  </conditionalFormatting>
  <conditionalFormatting sqref="C9 C11 C13 C15 C17:C27">
    <cfRule type="expression" dxfId="7909" priority="387">
      <formula>B9=""</formula>
    </cfRule>
  </conditionalFormatting>
  <conditionalFormatting sqref="C20:C21">
    <cfRule type="expression" dxfId="7908" priority="385">
      <formula>B20=""</formula>
    </cfRule>
  </conditionalFormatting>
  <conditionalFormatting sqref="C22">
    <cfRule type="expression" dxfId="7907" priority="384">
      <formula>B22=""</formula>
    </cfRule>
  </conditionalFormatting>
  <conditionalFormatting sqref="C23">
    <cfRule type="expression" dxfId="7906" priority="383">
      <formula>B23=""</formula>
    </cfRule>
  </conditionalFormatting>
  <conditionalFormatting sqref="C24">
    <cfRule type="expression" dxfId="7905" priority="382">
      <formula>B24=""</formula>
    </cfRule>
  </conditionalFormatting>
  <conditionalFormatting sqref="C25">
    <cfRule type="expression" dxfId="7904" priority="381">
      <formula>B25=""</formula>
    </cfRule>
  </conditionalFormatting>
  <conditionalFormatting sqref="C26">
    <cfRule type="expression" dxfId="7903" priority="380">
      <formula>B26=""</formula>
    </cfRule>
  </conditionalFormatting>
  <conditionalFormatting sqref="C27">
    <cfRule type="expression" dxfId="7902" priority="379">
      <formula>B27=""</formula>
    </cfRule>
  </conditionalFormatting>
  <conditionalFormatting sqref="D8 D10 D12 D14 D16 D18:D27">
    <cfRule type="expression" dxfId="7901" priority="378">
      <formula>B8=""</formula>
    </cfRule>
  </conditionalFormatting>
  <conditionalFormatting sqref="D9 D11 D13 D15 D17:D27">
    <cfRule type="expression" dxfId="7900" priority="377">
      <formula>B9=""</formula>
    </cfRule>
  </conditionalFormatting>
  <conditionalFormatting sqref="D20:D21">
    <cfRule type="expression" dxfId="7899" priority="375">
      <formula>B20=""</formula>
    </cfRule>
  </conditionalFormatting>
  <conditionalFormatting sqref="D22">
    <cfRule type="expression" dxfId="7898" priority="374">
      <formula>B22=""</formula>
    </cfRule>
  </conditionalFormatting>
  <conditionalFormatting sqref="D23">
    <cfRule type="expression" dxfId="7897" priority="373">
      <formula>B23=""</formula>
    </cfRule>
  </conditionalFormatting>
  <conditionalFormatting sqref="D24">
    <cfRule type="expression" dxfId="7896" priority="372">
      <formula>B24=""</formula>
    </cfRule>
  </conditionalFormatting>
  <conditionalFormatting sqref="D25">
    <cfRule type="expression" dxfId="7895" priority="371">
      <formula>B25=""</formula>
    </cfRule>
  </conditionalFormatting>
  <conditionalFormatting sqref="D26">
    <cfRule type="expression" dxfId="7894" priority="370">
      <formula>B26=""</formula>
    </cfRule>
  </conditionalFormatting>
  <conditionalFormatting sqref="D27">
    <cfRule type="expression" dxfId="7893" priority="369">
      <formula>B27=""</formula>
    </cfRule>
  </conditionalFormatting>
  <conditionalFormatting sqref="E9 E11 E13 E15 E17:E27">
    <cfRule type="expression" dxfId="7892" priority="367">
      <formula>B9=""</formula>
    </cfRule>
  </conditionalFormatting>
  <conditionalFormatting sqref="E20:E21">
    <cfRule type="expression" dxfId="7891" priority="365">
      <formula>B20=""</formula>
    </cfRule>
  </conditionalFormatting>
  <conditionalFormatting sqref="E22">
    <cfRule type="expression" dxfId="7890" priority="364">
      <formula>B22=""</formula>
    </cfRule>
  </conditionalFormatting>
  <conditionalFormatting sqref="E23">
    <cfRule type="expression" dxfId="7889" priority="363">
      <formula>B23=""</formula>
    </cfRule>
  </conditionalFormatting>
  <conditionalFormatting sqref="E24">
    <cfRule type="expression" dxfId="7888" priority="362">
      <formula>B24=""</formula>
    </cfRule>
  </conditionalFormatting>
  <conditionalFormatting sqref="E25">
    <cfRule type="expression" dxfId="7887" priority="361">
      <formula>B25=""</formula>
    </cfRule>
  </conditionalFormatting>
  <conditionalFormatting sqref="E26">
    <cfRule type="expression" dxfId="7886" priority="360">
      <formula>B26=""</formula>
    </cfRule>
  </conditionalFormatting>
  <conditionalFormatting sqref="E27">
    <cfRule type="expression" dxfId="7885" priority="359">
      <formula>B27=""</formula>
    </cfRule>
  </conditionalFormatting>
  <conditionalFormatting sqref="F8:F27">
    <cfRule type="expression" dxfId="7884" priority="358">
      <formula>B8=""</formula>
    </cfRule>
  </conditionalFormatting>
  <conditionalFormatting sqref="F9 F11 F13 F15 F17:F27">
    <cfRule type="expression" dxfId="7883" priority="357">
      <formula>B9=""</formula>
    </cfRule>
  </conditionalFormatting>
  <conditionalFormatting sqref="F20:F21">
    <cfRule type="expression" dxfId="7882" priority="355">
      <formula>B20=""</formula>
    </cfRule>
  </conditionalFormatting>
  <conditionalFormatting sqref="F22">
    <cfRule type="expression" dxfId="7881" priority="354">
      <formula>B22=""</formula>
    </cfRule>
  </conditionalFormatting>
  <conditionalFormatting sqref="F23">
    <cfRule type="expression" dxfId="7880" priority="353">
      <formula>B23=""</formula>
    </cfRule>
  </conditionalFormatting>
  <conditionalFormatting sqref="F24">
    <cfRule type="expression" dxfId="7879" priority="352">
      <formula>B24=""</formula>
    </cfRule>
  </conditionalFormatting>
  <conditionalFormatting sqref="F25">
    <cfRule type="expression" dxfId="7878" priority="351">
      <formula>B25=""</formula>
    </cfRule>
  </conditionalFormatting>
  <conditionalFormatting sqref="F26">
    <cfRule type="expression" dxfId="7877" priority="350">
      <formula>B26=""</formula>
    </cfRule>
  </conditionalFormatting>
  <conditionalFormatting sqref="F27">
    <cfRule type="expression" dxfId="7876" priority="349">
      <formula>B27=""</formula>
    </cfRule>
  </conditionalFormatting>
  <conditionalFormatting sqref="E9 E11 E13 E15 E17:E27">
    <cfRule type="expression" dxfId="7875" priority="348">
      <formula>B9=""</formula>
    </cfRule>
  </conditionalFormatting>
  <conditionalFormatting sqref="E20:E21">
    <cfRule type="expression" dxfId="7874" priority="346">
      <formula>B20=""</formula>
    </cfRule>
  </conditionalFormatting>
  <conditionalFormatting sqref="E22">
    <cfRule type="expression" dxfId="7873" priority="345">
      <formula>B22=""</formula>
    </cfRule>
  </conditionalFormatting>
  <conditionalFormatting sqref="E23">
    <cfRule type="expression" dxfId="7872" priority="344">
      <formula>B23=""</formula>
    </cfRule>
  </conditionalFormatting>
  <conditionalFormatting sqref="E24">
    <cfRule type="expression" dxfId="7871" priority="343">
      <formula>B24=""</formula>
    </cfRule>
  </conditionalFormatting>
  <conditionalFormatting sqref="E25">
    <cfRule type="expression" dxfId="7870" priority="342">
      <formula>B25=""</formula>
    </cfRule>
  </conditionalFormatting>
  <conditionalFormatting sqref="E26">
    <cfRule type="expression" dxfId="7869" priority="341">
      <formula>B26=""</formula>
    </cfRule>
  </conditionalFormatting>
  <conditionalFormatting sqref="E27">
    <cfRule type="expression" dxfId="7868" priority="340">
      <formula>B27=""</formula>
    </cfRule>
  </conditionalFormatting>
  <conditionalFormatting sqref="G9 G11 G13 G15 G17:G27">
    <cfRule type="expression" dxfId="7867" priority="338">
      <formula>B9=""</formula>
    </cfRule>
  </conditionalFormatting>
  <conditionalFormatting sqref="G20:G21">
    <cfRule type="expression" dxfId="7866" priority="336">
      <formula>B20=""</formula>
    </cfRule>
  </conditionalFormatting>
  <conditionalFormatting sqref="G22">
    <cfRule type="expression" dxfId="7865" priority="335">
      <formula>B22=""</formula>
    </cfRule>
  </conditionalFormatting>
  <conditionalFormatting sqref="G23">
    <cfRule type="expression" dxfId="7864" priority="334">
      <formula>B23=""</formula>
    </cfRule>
  </conditionalFormatting>
  <conditionalFormatting sqref="G24">
    <cfRule type="expression" dxfId="7863" priority="333">
      <formula>B24=""</formula>
    </cfRule>
  </conditionalFormatting>
  <conditionalFormatting sqref="G25">
    <cfRule type="expression" dxfId="7862" priority="332">
      <formula>B25=""</formula>
    </cfRule>
  </conditionalFormatting>
  <conditionalFormatting sqref="G26">
    <cfRule type="expression" dxfId="7861" priority="331">
      <formula>B26=""</formula>
    </cfRule>
  </conditionalFormatting>
  <conditionalFormatting sqref="G27">
    <cfRule type="expression" dxfId="7860" priority="330">
      <formula>B27=""</formula>
    </cfRule>
  </conditionalFormatting>
  <conditionalFormatting sqref="H8 H10 H12 H14 H16 H18:H27">
    <cfRule type="expression" dxfId="7859" priority="329">
      <formula>B8=""</formula>
    </cfRule>
  </conditionalFormatting>
  <conditionalFormatting sqref="H9 H11 H13 H15 H17:H27">
    <cfRule type="expression" dxfId="7858" priority="328">
      <formula>B9=""</formula>
    </cfRule>
  </conditionalFormatting>
  <conditionalFormatting sqref="H20:H21">
    <cfRule type="expression" dxfId="7857" priority="326">
      <formula>B20=""</formula>
    </cfRule>
  </conditionalFormatting>
  <conditionalFormatting sqref="H22">
    <cfRule type="expression" dxfId="7856" priority="325">
      <formula>B22=""</formula>
    </cfRule>
  </conditionalFormatting>
  <conditionalFormatting sqref="H23">
    <cfRule type="expression" dxfId="7855" priority="324">
      <formula>B23=""</formula>
    </cfRule>
  </conditionalFormatting>
  <conditionalFormatting sqref="H24">
    <cfRule type="expression" dxfId="7854" priority="323">
      <formula>B24=""</formula>
    </cfRule>
  </conditionalFormatting>
  <conditionalFormatting sqref="H25">
    <cfRule type="expression" dxfId="7853" priority="322">
      <formula>B25=""</formula>
    </cfRule>
  </conditionalFormatting>
  <conditionalFormatting sqref="H26">
    <cfRule type="expression" dxfId="7852" priority="321">
      <formula>B26=""</formula>
    </cfRule>
  </conditionalFormatting>
  <conditionalFormatting sqref="H27">
    <cfRule type="expression" dxfId="7851" priority="320">
      <formula>B27=""</formula>
    </cfRule>
  </conditionalFormatting>
  <conditionalFormatting sqref="F8 F10 F12 F14 F16 F18:F27">
    <cfRule type="expression" dxfId="7850" priority="319">
      <formula>B8=""</formula>
    </cfRule>
  </conditionalFormatting>
  <conditionalFormatting sqref="F9 F11 F13 F15 F17:F27">
    <cfRule type="expression" dxfId="7849" priority="318">
      <formula>B9=""</formula>
    </cfRule>
  </conditionalFormatting>
  <conditionalFormatting sqref="F20:F21">
    <cfRule type="expression" dxfId="7848" priority="316">
      <formula>B20=""</formula>
    </cfRule>
  </conditionalFormatting>
  <conditionalFormatting sqref="F22">
    <cfRule type="expression" dxfId="7847" priority="315">
      <formula>B22=""</formula>
    </cfRule>
  </conditionalFormatting>
  <conditionalFormatting sqref="F23">
    <cfRule type="expression" dxfId="7846" priority="314">
      <formula>B23=""</formula>
    </cfRule>
  </conditionalFormatting>
  <conditionalFormatting sqref="F24">
    <cfRule type="expression" dxfId="7845" priority="313">
      <formula>B24=""</formula>
    </cfRule>
  </conditionalFormatting>
  <conditionalFormatting sqref="F25">
    <cfRule type="expression" dxfId="7844" priority="312">
      <formula>B25=""</formula>
    </cfRule>
  </conditionalFormatting>
  <conditionalFormatting sqref="F26">
    <cfRule type="expression" dxfId="7843" priority="311">
      <formula>B26=""</formula>
    </cfRule>
  </conditionalFormatting>
  <conditionalFormatting sqref="F27">
    <cfRule type="expression" dxfId="7842" priority="310">
      <formula>B27=""</formula>
    </cfRule>
  </conditionalFormatting>
  <conditionalFormatting sqref="C30:C49">
    <cfRule type="expression" dxfId="7841" priority="308">
      <formula>B30=""</formula>
    </cfRule>
  </conditionalFormatting>
  <conditionalFormatting sqref="C31 C33 C35 C37 C39 C41 C43 C45 C47 C49">
    <cfRule type="expression" dxfId="7840" priority="307">
      <formula>B31=""</formula>
    </cfRule>
  </conditionalFormatting>
  <conditionalFormatting sqref="C32:C42">
    <cfRule type="expression" dxfId="7839" priority="306">
      <formula>B32=""</formula>
    </cfRule>
  </conditionalFormatting>
  <conditionalFormatting sqref="C43">
    <cfRule type="expression" dxfId="7838" priority="305">
      <formula>B43=""</formula>
    </cfRule>
  </conditionalFormatting>
  <conditionalFormatting sqref="C44">
    <cfRule type="expression" dxfId="7837" priority="304">
      <formula>B44=""</formula>
    </cfRule>
  </conditionalFormatting>
  <conditionalFormatting sqref="C45">
    <cfRule type="expression" dxfId="7836" priority="303">
      <formula>B45=""</formula>
    </cfRule>
  </conditionalFormatting>
  <conditionalFormatting sqref="C46">
    <cfRule type="expression" dxfId="7835" priority="302">
      <formula>B46=""</formula>
    </cfRule>
  </conditionalFormatting>
  <conditionalFormatting sqref="C47">
    <cfRule type="expression" dxfId="7834" priority="301">
      <formula>B47=""</formula>
    </cfRule>
  </conditionalFormatting>
  <conditionalFormatting sqref="C48">
    <cfRule type="expression" dxfId="7833" priority="300">
      <formula>B48=""</formula>
    </cfRule>
  </conditionalFormatting>
  <conditionalFormatting sqref="C49">
    <cfRule type="expression" dxfId="7832" priority="299">
      <formula>B49=""</formula>
    </cfRule>
  </conditionalFormatting>
  <conditionalFormatting sqref="D30 D32 D34 D36 D38 D40 D42 D44 D46 D48">
    <cfRule type="expression" dxfId="7831" priority="298">
      <formula>B30=""</formula>
    </cfRule>
  </conditionalFormatting>
  <conditionalFormatting sqref="D31 D33 D35 D37 D39 D41 D43 D45 D47 D49">
    <cfRule type="expression" dxfId="7830" priority="297">
      <formula>B31=""</formula>
    </cfRule>
  </conditionalFormatting>
  <conditionalFormatting sqref="D32:D42">
    <cfRule type="expression" dxfId="7829" priority="296">
      <formula>B32=""</formula>
    </cfRule>
  </conditionalFormatting>
  <conditionalFormatting sqref="D43">
    <cfRule type="expression" dxfId="7828" priority="295">
      <formula>B43=""</formula>
    </cfRule>
  </conditionalFormatting>
  <conditionalFormatting sqref="D44">
    <cfRule type="expression" dxfId="7827" priority="294">
      <formula>B44=""</formula>
    </cfRule>
  </conditionalFormatting>
  <conditionalFormatting sqref="D45">
    <cfRule type="expression" dxfId="7826" priority="293">
      <formula>B45=""</formula>
    </cfRule>
  </conditionalFormatting>
  <conditionalFormatting sqref="D46">
    <cfRule type="expression" dxfId="7825" priority="292">
      <formula>B46=""</formula>
    </cfRule>
  </conditionalFormatting>
  <conditionalFormatting sqref="D47">
    <cfRule type="expression" dxfId="7824" priority="291">
      <formula>B47=""</formula>
    </cfRule>
  </conditionalFormatting>
  <conditionalFormatting sqref="D48">
    <cfRule type="expression" dxfId="7823" priority="290">
      <formula>B48=""</formula>
    </cfRule>
  </conditionalFormatting>
  <conditionalFormatting sqref="D49">
    <cfRule type="expression" dxfId="7822" priority="289">
      <formula>B49=""</formula>
    </cfRule>
  </conditionalFormatting>
  <conditionalFormatting sqref="E30 E32 E34 E36 E38 E40 E42 E44 E46 E48">
    <cfRule type="expression" dxfId="7821" priority="288">
      <formula>B30=""</formula>
    </cfRule>
  </conditionalFormatting>
  <conditionalFormatting sqref="E31 E33 E35 E37 E39 E41 E43 E45 E47 E49">
    <cfRule type="expression" dxfId="7820" priority="287">
      <formula>B31=""</formula>
    </cfRule>
  </conditionalFormatting>
  <conditionalFormatting sqref="E32:E42">
    <cfRule type="expression" dxfId="7819" priority="286">
      <formula>B32=""</formula>
    </cfRule>
  </conditionalFormatting>
  <conditionalFormatting sqref="E43">
    <cfRule type="expression" dxfId="7818" priority="285">
      <formula>B43=""</formula>
    </cfRule>
  </conditionalFormatting>
  <conditionalFormatting sqref="E44">
    <cfRule type="expression" dxfId="7817" priority="284">
      <formula>B44=""</formula>
    </cfRule>
  </conditionalFormatting>
  <conditionalFormatting sqref="E45">
    <cfRule type="expression" dxfId="7816" priority="283">
      <formula>B45=""</formula>
    </cfRule>
  </conditionalFormatting>
  <conditionalFormatting sqref="E46">
    <cfRule type="expression" dxfId="7815" priority="282">
      <formula>B46=""</formula>
    </cfRule>
  </conditionalFormatting>
  <conditionalFormatting sqref="E47">
    <cfRule type="expression" dxfId="7814" priority="281">
      <formula>B47=""</formula>
    </cfRule>
  </conditionalFormatting>
  <conditionalFormatting sqref="E48">
    <cfRule type="expression" dxfId="7813" priority="280">
      <formula>B48=""</formula>
    </cfRule>
  </conditionalFormatting>
  <conditionalFormatting sqref="E49">
    <cfRule type="expression" dxfId="7812" priority="279">
      <formula>B49=""</formula>
    </cfRule>
  </conditionalFormatting>
  <conditionalFormatting sqref="F30 F32 F34 F36 F38 F40 F42 F44 F46 F48">
    <cfRule type="expression" dxfId="7811" priority="278">
      <formula>B30=""</formula>
    </cfRule>
  </conditionalFormatting>
  <conditionalFormatting sqref="F31 F33 F35 F37 F39 F41 F43 F45 F47 F49">
    <cfRule type="expression" dxfId="7810" priority="277">
      <formula>B31=""</formula>
    </cfRule>
  </conditionalFormatting>
  <conditionalFormatting sqref="F32:F42">
    <cfRule type="expression" dxfId="7809" priority="276">
      <formula>B32=""</formula>
    </cfRule>
  </conditionalFormatting>
  <conditionalFormatting sqref="F43">
    <cfRule type="expression" dxfId="7808" priority="275">
      <formula>B43=""</formula>
    </cfRule>
  </conditionalFormatting>
  <conditionalFormatting sqref="F44">
    <cfRule type="expression" dxfId="7807" priority="274">
      <formula>B44=""</formula>
    </cfRule>
  </conditionalFormatting>
  <conditionalFormatting sqref="F45">
    <cfRule type="expression" dxfId="7806" priority="273">
      <formula>B45=""</formula>
    </cfRule>
  </conditionalFormatting>
  <conditionalFormatting sqref="F46">
    <cfRule type="expression" dxfId="7805" priority="272">
      <formula>B46=""</formula>
    </cfRule>
  </conditionalFormatting>
  <conditionalFormatting sqref="F47">
    <cfRule type="expression" dxfId="7804" priority="271">
      <formula>B47=""</formula>
    </cfRule>
  </conditionalFormatting>
  <conditionalFormatting sqref="F48">
    <cfRule type="expression" dxfId="7803" priority="270">
      <formula>B48=""</formula>
    </cfRule>
  </conditionalFormatting>
  <conditionalFormatting sqref="F49">
    <cfRule type="expression" dxfId="7802" priority="269">
      <formula>B49=""</formula>
    </cfRule>
  </conditionalFormatting>
  <conditionalFormatting sqref="E31 E33 E35 E37 E39 E41 E43 E45 E47 E49">
    <cfRule type="expression" dxfId="7801" priority="268">
      <formula>B31=""</formula>
    </cfRule>
  </conditionalFormatting>
  <conditionalFormatting sqref="E32:E42">
    <cfRule type="expression" dxfId="7800" priority="267">
      <formula>B32=""</formula>
    </cfRule>
  </conditionalFormatting>
  <conditionalFormatting sqref="E43">
    <cfRule type="expression" dxfId="7799" priority="266">
      <formula>B43=""</formula>
    </cfRule>
  </conditionalFormatting>
  <conditionalFormatting sqref="E44">
    <cfRule type="expression" dxfId="7798" priority="265">
      <formula>B44=""</formula>
    </cfRule>
  </conditionalFormatting>
  <conditionalFormatting sqref="E45">
    <cfRule type="expression" dxfId="7797" priority="264">
      <formula>B45=""</formula>
    </cfRule>
  </conditionalFormatting>
  <conditionalFormatting sqref="E46">
    <cfRule type="expression" dxfId="7796" priority="263">
      <formula>B46=""</formula>
    </cfRule>
  </conditionalFormatting>
  <conditionalFormatting sqref="E47">
    <cfRule type="expression" dxfId="7795" priority="262">
      <formula>B47=""</formula>
    </cfRule>
  </conditionalFormatting>
  <conditionalFormatting sqref="E48">
    <cfRule type="expression" dxfId="7794" priority="261">
      <formula>B48=""</formula>
    </cfRule>
  </conditionalFormatting>
  <conditionalFormatting sqref="E49">
    <cfRule type="expression" dxfId="7793" priority="260">
      <formula>B49=""</formula>
    </cfRule>
  </conditionalFormatting>
  <conditionalFormatting sqref="G30 G32 G34 G36 G38 G40 G42 G44 G46 G48">
    <cfRule type="expression" dxfId="7792" priority="259">
      <formula>B30=""</formula>
    </cfRule>
  </conditionalFormatting>
  <conditionalFormatting sqref="G31 G33 G35 G37 G39 G41 G43 G45 G47 G49">
    <cfRule type="expression" dxfId="7791" priority="258">
      <formula>B31=""</formula>
    </cfRule>
  </conditionalFormatting>
  <conditionalFormatting sqref="G32:G42">
    <cfRule type="expression" dxfId="7790" priority="257">
      <formula>B32=""</formula>
    </cfRule>
  </conditionalFormatting>
  <conditionalFormatting sqref="G43">
    <cfRule type="expression" dxfId="7789" priority="256">
      <formula>B43=""</formula>
    </cfRule>
  </conditionalFormatting>
  <conditionalFormatting sqref="G44">
    <cfRule type="expression" dxfId="7788" priority="255">
      <formula>B44=""</formula>
    </cfRule>
  </conditionalFormatting>
  <conditionalFormatting sqref="G45">
    <cfRule type="expression" dxfId="7787" priority="254">
      <formula>B45=""</formula>
    </cfRule>
  </conditionalFormatting>
  <conditionalFormatting sqref="G46">
    <cfRule type="expression" dxfId="7786" priority="253">
      <formula>B46=""</formula>
    </cfRule>
  </conditionalFormatting>
  <conditionalFormatting sqref="G47">
    <cfRule type="expression" dxfId="7785" priority="252">
      <formula>B47=""</formula>
    </cfRule>
  </conditionalFormatting>
  <conditionalFormatting sqref="G48">
    <cfRule type="expression" dxfId="7784" priority="251">
      <formula>B48=""</formula>
    </cfRule>
  </conditionalFormatting>
  <conditionalFormatting sqref="G49">
    <cfRule type="expression" dxfId="7783" priority="250">
      <formula>B49=""</formula>
    </cfRule>
  </conditionalFormatting>
  <conditionalFormatting sqref="H30 H32 H34 H36 H38 H40 H42 H44 H46 H48">
    <cfRule type="expression" dxfId="7782" priority="249">
      <formula>B30=""</formula>
    </cfRule>
  </conditionalFormatting>
  <conditionalFormatting sqref="H31 H33 H35 H37 H39 H41 H43 H45 H47 H49">
    <cfRule type="expression" dxfId="7781" priority="248">
      <formula>B31=""</formula>
    </cfRule>
  </conditionalFormatting>
  <conditionalFormatting sqref="H32:H42">
    <cfRule type="expression" dxfId="7780" priority="247">
      <formula>B32=""</formula>
    </cfRule>
  </conditionalFormatting>
  <conditionalFormatting sqref="H43">
    <cfRule type="expression" dxfId="7779" priority="246">
      <formula>B43=""</formula>
    </cfRule>
  </conditionalFormatting>
  <conditionalFormatting sqref="H44">
    <cfRule type="expression" dxfId="7778" priority="245">
      <formula>B44=""</formula>
    </cfRule>
  </conditionalFormatting>
  <conditionalFormatting sqref="H45">
    <cfRule type="expression" dxfId="7777" priority="244">
      <formula>B45=""</formula>
    </cfRule>
  </conditionalFormatting>
  <conditionalFormatting sqref="H46">
    <cfRule type="expression" dxfId="7776" priority="243">
      <formula>B46=""</formula>
    </cfRule>
  </conditionalFormatting>
  <conditionalFormatting sqref="H47">
    <cfRule type="expression" dxfId="7775" priority="242">
      <formula>B47=""</formula>
    </cfRule>
  </conditionalFormatting>
  <conditionalFormatting sqref="H48">
    <cfRule type="expression" dxfId="7774" priority="241">
      <formula>B48=""</formula>
    </cfRule>
  </conditionalFormatting>
  <conditionalFormatting sqref="H49">
    <cfRule type="expression" dxfId="7773" priority="240">
      <formula>B49=""</formula>
    </cfRule>
  </conditionalFormatting>
  <conditionalFormatting sqref="C30:C49">
    <cfRule type="expression" dxfId="7772" priority="238">
      <formula>B30=""</formula>
    </cfRule>
  </conditionalFormatting>
  <conditionalFormatting sqref="C31 C33 C35 C37 C39 C41 C43 C45 C47 C49">
    <cfRule type="expression" dxfId="7771" priority="237">
      <formula>B31=""</formula>
    </cfRule>
  </conditionalFormatting>
  <conditionalFormatting sqref="C32:C42">
    <cfRule type="expression" dxfId="7770" priority="236">
      <formula>B32=""</formula>
    </cfRule>
  </conditionalFormatting>
  <conditionalFormatting sqref="C43">
    <cfRule type="expression" dxfId="7769" priority="235">
      <formula>B43=""</formula>
    </cfRule>
  </conditionalFormatting>
  <conditionalFormatting sqref="C44">
    <cfRule type="expression" dxfId="7768" priority="234">
      <formula>B44=""</formula>
    </cfRule>
  </conditionalFormatting>
  <conditionalFormatting sqref="C45">
    <cfRule type="expression" dxfId="7767" priority="233">
      <formula>B45=""</formula>
    </cfRule>
  </conditionalFormatting>
  <conditionalFormatting sqref="C46">
    <cfRule type="expression" dxfId="7766" priority="232">
      <formula>B46=""</formula>
    </cfRule>
  </conditionalFormatting>
  <conditionalFormatting sqref="C47">
    <cfRule type="expression" dxfId="7765" priority="231">
      <formula>B47=""</formula>
    </cfRule>
  </conditionalFormatting>
  <conditionalFormatting sqref="C48">
    <cfRule type="expression" dxfId="7764" priority="230">
      <formula>B48=""</formula>
    </cfRule>
  </conditionalFormatting>
  <conditionalFormatting sqref="C49">
    <cfRule type="expression" dxfId="7763" priority="229">
      <formula>B49=""</formula>
    </cfRule>
  </conditionalFormatting>
  <conditionalFormatting sqref="C30 C32 C34 C36 C38 C40 C42 C44 C46 C48">
    <cfRule type="expression" dxfId="7762" priority="227">
      <formula>B30=""</formula>
    </cfRule>
  </conditionalFormatting>
  <conditionalFormatting sqref="C31 C33 C35 C37 C39 C41 C43 C45 C47 C49">
    <cfRule type="expression" dxfId="7761" priority="226">
      <formula>B31=""</formula>
    </cfRule>
  </conditionalFormatting>
  <conditionalFormatting sqref="C32:C42">
    <cfRule type="expression" dxfId="7760" priority="225">
      <formula>B32=""</formula>
    </cfRule>
  </conditionalFormatting>
  <conditionalFormatting sqref="C43">
    <cfRule type="expression" dxfId="7759" priority="224">
      <formula>B43=""</formula>
    </cfRule>
  </conditionalFormatting>
  <conditionalFormatting sqref="C44">
    <cfRule type="expression" dxfId="7758" priority="223">
      <formula>B44=""</formula>
    </cfRule>
  </conditionalFormatting>
  <conditionalFormatting sqref="C45">
    <cfRule type="expression" dxfId="7757" priority="222">
      <formula>B45=""</formula>
    </cfRule>
  </conditionalFormatting>
  <conditionalFormatting sqref="C46">
    <cfRule type="expression" dxfId="7756" priority="221">
      <formula>B46=""</formula>
    </cfRule>
  </conditionalFormatting>
  <conditionalFormatting sqref="C47">
    <cfRule type="expression" dxfId="7755" priority="220">
      <formula>B47=""</formula>
    </cfRule>
  </conditionalFormatting>
  <conditionalFormatting sqref="C48">
    <cfRule type="expression" dxfId="7754" priority="219">
      <formula>B48=""</formula>
    </cfRule>
  </conditionalFormatting>
  <conditionalFormatting sqref="C49">
    <cfRule type="expression" dxfId="7753" priority="218">
      <formula>B49=""</formula>
    </cfRule>
  </conditionalFormatting>
  <conditionalFormatting sqref="D30 D32 D34 D36 D38 D40 D42 D44 D46 D48">
    <cfRule type="expression" dxfId="7752" priority="217">
      <formula>B30=""</formula>
    </cfRule>
  </conditionalFormatting>
  <conditionalFormatting sqref="D31 D33 D35 D37 D39 D41 D43 D45 D47 D49">
    <cfRule type="expression" dxfId="7751" priority="216">
      <formula>B31=""</formula>
    </cfRule>
  </conditionalFormatting>
  <conditionalFormatting sqref="D32:D42">
    <cfRule type="expression" dxfId="7750" priority="215">
      <formula>B32=""</formula>
    </cfRule>
  </conditionalFormatting>
  <conditionalFormatting sqref="D43">
    <cfRule type="expression" dxfId="7749" priority="214">
      <formula>B43=""</formula>
    </cfRule>
  </conditionalFormatting>
  <conditionalFormatting sqref="D44">
    <cfRule type="expression" dxfId="7748" priority="213">
      <formula>B44=""</formula>
    </cfRule>
  </conditionalFormatting>
  <conditionalFormatting sqref="D45">
    <cfRule type="expression" dxfId="7747" priority="212">
      <formula>B45=""</formula>
    </cfRule>
  </conditionalFormatting>
  <conditionalFormatting sqref="D46">
    <cfRule type="expression" dxfId="7746" priority="211">
      <formula>B46=""</formula>
    </cfRule>
  </conditionalFormatting>
  <conditionalFormatting sqref="D47">
    <cfRule type="expression" dxfId="7745" priority="210">
      <formula>B47=""</formula>
    </cfRule>
  </conditionalFormatting>
  <conditionalFormatting sqref="D48">
    <cfRule type="expression" dxfId="7744" priority="209">
      <formula>B48=""</formula>
    </cfRule>
  </conditionalFormatting>
  <conditionalFormatting sqref="D49">
    <cfRule type="expression" dxfId="7743" priority="208">
      <formula>B49=""</formula>
    </cfRule>
  </conditionalFormatting>
  <conditionalFormatting sqref="E30:E49">
    <cfRule type="expression" dxfId="7742" priority="207">
      <formula>B30=""</formula>
    </cfRule>
  </conditionalFormatting>
  <conditionalFormatting sqref="E31 E33 E35 E37 E39 E41 E43 E45 E47 E49">
    <cfRule type="expression" dxfId="7741" priority="206">
      <formula>B31=""</formula>
    </cfRule>
  </conditionalFormatting>
  <conditionalFormatting sqref="E32:E42">
    <cfRule type="expression" dxfId="7740" priority="205">
      <formula>B32=""</formula>
    </cfRule>
  </conditionalFormatting>
  <conditionalFormatting sqref="E43">
    <cfRule type="expression" dxfId="7739" priority="204">
      <formula>B43=""</formula>
    </cfRule>
  </conditionalFormatting>
  <conditionalFormatting sqref="E44">
    <cfRule type="expression" dxfId="7738" priority="203">
      <formula>B44=""</formula>
    </cfRule>
  </conditionalFormatting>
  <conditionalFormatting sqref="E45">
    <cfRule type="expression" dxfId="7737" priority="202">
      <formula>B45=""</formula>
    </cfRule>
  </conditionalFormatting>
  <conditionalFormatting sqref="E46">
    <cfRule type="expression" dxfId="7736" priority="201">
      <formula>B46=""</formula>
    </cfRule>
  </conditionalFormatting>
  <conditionalFormatting sqref="E47">
    <cfRule type="expression" dxfId="7735" priority="200">
      <formula>B47=""</formula>
    </cfRule>
  </conditionalFormatting>
  <conditionalFormatting sqref="E48">
    <cfRule type="expression" dxfId="7734" priority="199">
      <formula>B48=""</formula>
    </cfRule>
  </conditionalFormatting>
  <conditionalFormatting sqref="E49">
    <cfRule type="expression" dxfId="7733" priority="198">
      <formula>B49=""</formula>
    </cfRule>
  </conditionalFormatting>
  <conditionalFormatting sqref="F30:F49">
    <cfRule type="expression" dxfId="7732" priority="197">
      <formula>B30=""</formula>
    </cfRule>
  </conditionalFormatting>
  <conditionalFormatting sqref="F31 F33 F35 F37 F39 F41 F43 F45 F47 F49">
    <cfRule type="expression" dxfId="7731" priority="196">
      <formula>B31=""</formula>
    </cfRule>
  </conditionalFormatting>
  <conditionalFormatting sqref="F32:F42">
    <cfRule type="expression" dxfId="7730" priority="195">
      <formula>B32=""</formula>
    </cfRule>
  </conditionalFormatting>
  <conditionalFormatting sqref="F43">
    <cfRule type="expression" dxfId="7729" priority="194">
      <formula>B43=""</formula>
    </cfRule>
  </conditionalFormatting>
  <conditionalFormatting sqref="F44">
    <cfRule type="expression" dxfId="7728" priority="193">
      <formula>B44=""</formula>
    </cfRule>
  </conditionalFormatting>
  <conditionalFormatting sqref="F45">
    <cfRule type="expression" dxfId="7727" priority="192">
      <formula>B45=""</formula>
    </cfRule>
  </conditionalFormatting>
  <conditionalFormatting sqref="F46">
    <cfRule type="expression" dxfId="7726" priority="191">
      <formula>B46=""</formula>
    </cfRule>
  </conditionalFormatting>
  <conditionalFormatting sqref="F47">
    <cfRule type="expression" dxfId="7725" priority="190">
      <formula>B47=""</formula>
    </cfRule>
  </conditionalFormatting>
  <conditionalFormatting sqref="F48">
    <cfRule type="expression" dxfId="7724" priority="189">
      <formula>B48=""</formula>
    </cfRule>
  </conditionalFormatting>
  <conditionalFormatting sqref="F49">
    <cfRule type="expression" dxfId="7723" priority="188">
      <formula>B49=""</formula>
    </cfRule>
  </conditionalFormatting>
  <conditionalFormatting sqref="E31 E33 E35 E37 E39 E41 E43 E45 E47 E49">
    <cfRule type="expression" dxfId="7722" priority="187">
      <formula>B31=""</formula>
    </cfRule>
  </conditionalFormatting>
  <conditionalFormatting sqref="E32:E42">
    <cfRule type="expression" dxfId="7721" priority="186">
      <formula>B32=""</formula>
    </cfRule>
  </conditionalFormatting>
  <conditionalFormatting sqref="E43">
    <cfRule type="expression" dxfId="7720" priority="185">
      <formula>B43=""</formula>
    </cfRule>
  </conditionalFormatting>
  <conditionalFormatting sqref="E44">
    <cfRule type="expression" dxfId="7719" priority="184">
      <formula>B44=""</formula>
    </cfRule>
  </conditionalFormatting>
  <conditionalFormatting sqref="E45">
    <cfRule type="expression" dxfId="7718" priority="183">
      <formula>B45=""</formula>
    </cfRule>
  </conditionalFormatting>
  <conditionalFormatting sqref="E46">
    <cfRule type="expression" dxfId="7717" priority="182">
      <formula>B46=""</formula>
    </cfRule>
  </conditionalFormatting>
  <conditionalFormatting sqref="E47">
    <cfRule type="expression" dxfId="7716" priority="181">
      <formula>B47=""</formula>
    </cfRule>
  </conditionalFormatting>
  <conditionalFormatting sqref="E48">
    <cfRule type="expression" dxfId="7715" priority="180">
      <formula>B48=""</formula>
    </cfRule>
  </conditionalFormatting>
  <conditionalFormatting sqref="E49">
    <cfRule type="expression" dxfId="7714" priority="179">
      <formula>B49=""</formula>
    </cfRule>
  </conditionalFormatting>
  <conditionalFormatting sqref="G30:G49">
    <cfRule type="expression" dxfId="7713" priority="178">
      <formula>B30=""</formula>
    </cfRule>
  </conditionalFormatting>
  <conditionalFormatting sqref="G31 G33 G35 G37 G39 G41 G43 G45 G47 G49">
    <cfRule type="expression" dxfId="7712" priority="177">
      <formula>B31=""</formula>
    </cfRule>
  </conditionalFormatting>
  <conditionalFormatting sqref="G32:G42">
    <cfRule type="expression" dxfId="7711" priority="176">
      <formula>B32=""</formula>
    </cfRule>
  </conditionalFormatting>
  <conditionalFormatting sqref="G43">
    <cfRule type="expression" dxfId="7710" priority="175">
      <formula>B43=""</formula>
    </cfRule>
  </conditionalFormatting>
  <conditionalFormatting sqref="G44">
    <cfRule type="expression" dxfId="7709" priority="174">
      <formula>B44=""</formula>
    </cfRule>
  </conditionalFormatting>
  <conditionalFormatting sqref="G45">
    <cfRule type="expression" dxfId="7708" priority="173">
      <formula>B45=""</formula>
    </cfRule>
  </conditionalFormatting>
  <conditionalFormatting sqref="G46">
    <cfRule type="expression" dxfId="7707" priority="172">
      <formula>B46=""</formula>
    </cfRule>
  </conditionalFormatting>
  <conditionalFormatting sqref="G47">
    <cfRule type="expression" dxfId="7706" priority="171">
      <formula>B47=""</formula>
    </cfRule>
  </conditionalFormatting>
  <conditionalFormatting sqref="G48">
    <cfRule type="expression" dxfId="7705" priority="170">
      <formula>B48=""</formula>
    </cfRule>
  </conditionalFormatting>
  <conditionalFormatting sqref="G49">
    <cfRule type="expression" dxfId="7704" priority="169">
      <formula>B49=""</formula>
    </cfRule>
  </conditionalFormatting>
  <conditionalFormatting sqref="H30 H32 H34 H36 H38 H40 H42 H44 H46 H48">
    <cfRule type="expression" dxfId="7703" priority="168">
      <formula>B30=""</formula>
    </cfRule>
  </conditionalFormatting>
  <conditionalFormatting sqref="H31 H33 H35 H37 H39 H41 H43 H45 H47 H49">
    <cfRule type="expression" dxfId="7702" priority="167">
      <formula>B31=""</formula>
    </cfRule>
  </conditionalFormatting>
  <conditionalFormatting sqref="H32:H42">
    <cfRule type="expression" dxfId="7701" priority="166">
      <formula>B32=""</formula>
    </cfRule>
  </conditionalFormatting>
  <conditionalFormatting sqref="H43">
    <cfRule type="expression" dxfId="7700" priority="165">
      <formula>B43=""</formula>
    </cfRule>
  </conditionalFormatting>
  <conditionalFormatting sqref="H44">
    <cfRule type="expression" dxfId="7699" priority="164">
      <formula>B44=""</formula>
    </cfRule>
  </conditionalFormatting>
  <conditionalFormatting sqref="H45">
    <cfRule type="expression" dxfId="7698" priority="163">
      <formula>B45=""</formula>
    </cfRule>
  </conditionalFormatting>
  <conditionalFormatting sqref="H46">
    <cfRule type="expression" dxfId="7697" priority="162">
      <formula>B46=""</formula>
    </cfRule>
  </conditionalFormatting>
  <conditionalFormatting sqref="H47">
    <cfRule type="expression" dxfId="7696" priority="161">
      <formula>B47=""</formula>
    </cfRule>
  </conditionalFormatting>
  <conditionalFormatting sqref="H48">
    <cfRule type="expression" dxfId="7695" priority="160">
      <formula>B48=""</formula>
    </cfRule>
  </conditionalFormatting>
  <conditionalFormatting sqref="H49">
    <cfRule type="expression" dxfId="7694" priority="159">
      <formula>B49=""</formula>
    </cfRule>
  </conditionalFormatting>
  <conditionalFormatting sqref="F30 F32 F34 F36 F38 F40 F42 F44 F46 F48">
    <cfRule type="expression" dxfId="7693" priority="158">
      <formula>B30=""</formula>
    </cfRule>
  </conditionalFormatting>
  <conditionalFormatting sqref="F31 F33 F35 F37 F39 F41 F43 F45 F47 F49">
    <cfRule type="expression" dxfId="7692" priority="157">
      <formula>B31=""</formula>
    </cfRule>
  </conditionalFormatting>
  <conditionalFormatting sqref="F32:F42">
    <cfRule type="expression" dxfId="7691" priority="156">
      <formula>B32=""</formula>
    </cfRule>
  </conditionalFormatting>
  <conditionalFormatting sqref="F43">
    <cfRule type="expression" dxfId="7690" priority="155">
      <formula>B43=""</formula>
    </cfRule>
  </conditionalFormatting>
  <conditionalFormatting sqref="F44">
    <cfRule type="expression" dxfId="7689" priority="154">
      <formula>B44=""</formula>
    </cfRule>
  </conditionalFormatting>
  <conditionalFormatting sqref="F45">
    <cfRule type="expression" dxfId="7688" priority="153">
      <formula>B45=""</formula>
    </cfRule>
  </conditionalFormatting>
  <conditionalFormatting sqref="F46">
    <cfRule type="expression" dxfId="7687" priority="152">
      <formula>B46=""</formula>
    </cfRule>
  </conditionalFormatting>
  <conditionalFormatting sqref="F47">
    <cfRule type="expression" dxfId="7686" priority="151">
      <formula>B47=""</formula>
    </cfRule>
  </conditionalFormatting>
  <conditionalFormatting sqref="F48">
    <cfRule type="expression" dxfId="7685" priority="150">
      <formula>B48=""</formula>
    </cfRule>
  </conditionalFormatting>
  <conditionalFormatting sqref="F49">
    <cfRule type="expression" dxfId="7684" priority="149">
      <formula>B49=""</formula>
    </cfRule>
  </conditionalFormatting>
  <conditionalFormatting sqref="C52:C71">
    <cfRule type="expression" dxfId="7683" priority="146">
      <formula>B52=""</formula>
    </cfRule>
  </conditionalFormatting>
  <conditionalFormatting sqref="C53 C55 C57 C59 C61 C63 C65 C67 C69 C71">
    <cfRule type="expression" dxfId="7682" priority="145">
      <formula>B53=""</formula>
    </cfRule>
  </conditionalFormatting>
  <conditionalFormatting sqref="C54:C64">
    <cfRule type="expression" dxfId="7681" priority="144">
      <formula>B54=""</formula>
    </cfRule>
  </conditionalFormatting>
  <conditionalFormatting sqref="C65">
    <cfRule type="expression" dxfId="7680" priority="143">
      <formula>B65=""</formula>
    </cfRule>
  </conditionalFormatting>
  <conditionalFormatting sqref="C66">
    <cfRule type="expression" dxfId="7679" priority="142">
      <formula>B66=""</formula>
    </cfRule>
  </conditionalFormatting>
  <conditionalFormatting sqref="C67">
    <cfRule type="expression" dxfId="7678" priority="141">
      <formula>B67=""</formula>
    </cfRule>
  </conditionalFormatting>
  <conditionalFormatting sqref="C68">
    <cfRule type="expression" dxfId="7677" priority="140">
      <formula>B68=""</formula>
    </cfRule>
  </conditionalFormatting>
  <conditionalFormatting sqref="C69">
    <cfRule type="expression" dxfId="7676" priority="139">
      <formula>B69=""</formula>
    </cfRule>
  </conditionalFormatting>
  <conditionalFormatting sqref="C70">
    <cfRule type="expression" dxfId="7675" priority="138">
      <formula>B70=""</formula>
    </cfRule>
  </conditionalFormatting>
  <conditionalFormatting sqref="C71">
    <cfRule type="expression" dxfId="7674" priority="137">
      <formula>B71=""</formula>
    </cfRule>
  </conditionalFormatting>
  <conditionalFormatting sqref="C71">
    <cfRule type="expression" dxfId="7673" priority="135">
      <formula>B71=""</formula>
    </cfRule>
  </conditionalFormatting>
  <conditionalFormatting sqref="C52:C71">
    <cfRule type="expression" dxfId="7672" priority="133">
      <formula>B52=""</formula>
    </cfRule>
  </conditionalFormatting>
  <conditionalFormatting sqref="C53 C55 C57 C59 C61 C63 C65 C67 C69 C71">
    <cfRule type="expression" dxfId="7671" priority="132">
      <formula>B53=""</formula>
    </cfRule>
  </conditionalFormatting>
  <conditionalFormatting sqref="C54:C64">
    <cfRule type="expression" dxfId="7670" priority="131">
      <formula>B54=""</formula>
    </cfRule>
  </conditionalFormatting>
  <conditionalFormatting sqref="C65">
    <cfRule type="expression" dxfId="7669" priority="130">
      <formula>B65=""</formula>
    </cfRule>
  </conditionalFormatting>
  <conditionalFormatting sqref="C66">
    <cfRule type="expression" dxfId="7668" priority="129">
      <formula>B66=""</formula>
    </cfRule>
  </conditionalFormatting>
  <conditionalFormatting sqref="C67">
    <cfRule type="expression" dxfId="7667" priority="128">
      <formula>B67=""</formula>
    </cfRule>
  </conditionalFormatting>
  <conditionalFormatting sqref="C68">
    <cfRule type="expression" dxfId="7666" priority="127">
      <formula>B68=""</formula>
    </cfRule>
  </conditionalFormatting>
  <conditionalFormatting sqref="C69">
    <cfRule type="expression" dxfId="7665" priority="126">
      <formula>B69=""</formula>
    </cfRule>
  </conditionalFormatting>
  <conditionalFormatting sqref="C70">
    <cfRule type="expression" dxfId="7664" priority="125">
      <formula>B70=""</formula>
    </cfRule>
  </conditionalFormatting>
  <conditionalFormatting sqref="C71">
    <cfRule type="expression" dxfId="7663" priority="124">
      <formula>B71=""</formula>
    </cfRule>
  </conditionalFormatting>
  <conditionalFormatting sqref="C52:C71">
    <cfRule type="expression" dxfId="7662" priority="122">
      <formula>B52=""</formula>
    </cfRule>
  </conditionalFormatting>
  <conditionalFormatting sqref="C53 C55 C57 C59 C61 C63 C65 C67 C69 C71">
    <cfRule type="expression" dxfId="7661" priority="121">
      <formula>B53=""</formula>
    </cfRule>
  </conditionalFormatting>
  <conditionalFormatting sqref="C54:C64">
    <cfRule type="expression" dxfId="7660" priority="120">
      <formula>B54=""</formula>
    </cfRule>
  </conditionalFormatting>
  <conditionalFormatting sqref="C65">
    <cfRule type="expression" dxfId="7659" priority="119">
      <formula>B65=""</formula>
    </cfRule>
  </conditionalFormatting>
  <conditionalFormatting sqref="C66">
    <cfRule type="expression" dxfId="7658" priority="118">
      <formula>B66=""</formula>
    </cfRule>
  </conditionalFormatting>
  <conditionalFormatting sqref="C67">
    <cfRule type="expression" dxfId="7657" priority="117">
      <formula>B67=""</formula>
    </cfRule>
  </conditionalFormatting>
  <conditionalFormatting sqref="C68">
    <cfRule type="expression" dxfId="7656" priority="116">
      <formula>B68=""</formula>
    </cfRule>
  </conditionalFormatting>
  <conditionalFormatting sqref="C69">
    <cfRule type="expression" dxfId="7655" priority="115">
      <formula>B69=""</formula>
    </cfRule>
  </conditionalFormatting>
  <conditionalFormatting sqref="C70">
    <cfRule type="expression" dxfId="7654" priority="114">
      <formula>B70=""</formula>
    </cfRule>
  </conditionalFormatting>
  <conditionalFormatting sqref="C71">
    <cfRule type="expression" dxfId="7653" priority="113">
      <formula>B71=""</formula>
    </cfRule>
  </conditionalFormatting>
  <conditionalFormatting sqref="C52:C71">
    <cfRule type="expression" dxfId="7652" priority="111">
      <formula>B52=""</formula>
    </cfRule>
  </conditionalFormatting>
  <conditionalFormatting sqref="C53 C55 C57 C59 C61 C63 C65 C67 C69 C71">
    <cfRule type="expression" dxfId="7651" priority="110">
      <formula>B53=""</formula>
    </cfRule>
  </conditionalFormatting>
  <conditionalFormatting sqref="C54:C64">
    <cfRule type="expression" dxfId="7650" priority="109">
      <formula>B54=""</formula>
    </cfRule>
  </conditionalFormatting>
  <conditionalFormatting sqref="C65">
    <cfRule type="expression" dxfId="7649" priority="108">
      <formula>B65=""</formula>
    </cfRule>
  </conditionalFormatting>
  <conditionalFormatting sqref="C66">
    <cfRule type="expression" dxfId="7648" priority="107">
      <formula>B66=""</formula>
    </cfRule>
  </conditionalFormatting>
  <conditionalFormatting sqref="C67">
    <cfRule type="expression" dxfId="7647" priority="106">
      <formula>B67=""</formula>
    </cfRule>
  </conditionalFormatting>
  <conditionalFormatting sqref="C68">
    <cfRule type="expression" dxfId="7646" priority="105">
      <formula>B68=""</formula>
    </cfRule>
  </conditionalFormatting>
  <conditionalFormatting sqref="C69">
    <cfRule type="expression" dxfId="7645" priority="104">
      <formula>B69=""</formula>
    </cfRule>
  </conditionalFormatting>
  <conditionalFormatting sqref="C70">
    <cfRule type="expression" dxfId="7644" priority="103">
      <formula>B70=""</formula>
    </cfRule>
  </conditionalFormatting>
  <conditionalFormatting sqref="C71">
    <cfRule type="expression" dxfId="7643" priority="102">
      <formula>B71=""</formula>
    </cfRule>
  </conditionalFormatting>
  <conditionalFormatting sqref="C52 C54 C56 C58 C60 C62 C64 C66 C68 C70">
    <cfRule type="expression" dxfId="7642" priority="100">
      <formula>B52=""</formula>
    </cfRule>
  </conditionalFormatting>
  <conditionalFormatting sqref="C53 C55 C57 C59 C61 C63 C65 C67 C69 C71">
    <cfRule type="expression" dxfId="7641" priority="99">
      <formula>B53=""</formula>
    </cfRule>
  </conditionalFormatting>
  <conditionalFormatting sqref="C54:C64">
    <cfRule type="expression" dxfId="7640" priority="98">
      <formula>B54=""</formula>
    </cfRule>
  </conditionalFormatting>
  <conditionalFormatting sqref="C65">
    <cfRule type="expression" dxfId="7639" priority="97">
      <formula>B65=""</formula>
    </cfRule>
  </conditionalFormatting>
  <conditionalFormatting sqref="C66">
    <cfRule type="expression" dxfId="7638" priority="96">
      <formula>B66=""</formula>
    </cfRule>
  </conditionalFormatting>
  <conditionalFormatting sqref="C67">
    <cfRule type="expression" dxfId="7637" priority="95">
      <formula>B67=""</formula>
    </cfRule>
  </conditionalFormatting>
  <conditionalFormatting sqref="C68">
    <cfRule type="expression" dxfId="7636" priority="94">
      <formula>B68=""</formula>
    </cfRule>
  </conditionalFormatting>
  <conditionalFormatting sqref="C69">
    <cfRule type="expression" dxfId="7635" priority="93">
      <formula>B69=""</formula>
    </cfRule>
  </conditionalFormatting>
  <conditionalFormatting sqref="C70">
    <cfRule type="expression" dxfId="7634" priority="92">
      <formula>B70=""</formula>
    </cfRule>
  </conditionalFormatting>
  <conditionalFormatting sqref="C71">
    <cfRule type="expression" dxfId="7633" priority="91">
      <formula>B71=""</formula>
    </cfRule>
  </conditionalFormatting>
  <conditionalFormatting sqref="C74:C93">
    <cfRule type="expression" dxfId="7632" priority="88">
      <formula>B74=""</formula>
    </cfRule>
  </conditionalFormatting>
  <conditionalFormatting sqref="C75 C77 C79 C81 C83 C85 C87 C89 C91 C93">
    <cfRule type="expression" dxfId="7631" priority="87">
      <formula>B75=""</formula>
    </cfRule>
  </conditionalFormatting>
  <conditionalFormatting sqref="C76:C86">
    <cfRule type="expression" dxfId="7630" priority="86">
      <formula>B76=""</formula>
    </cfRule>
  </conditionalFormatting>
  <conditionalFormatting sqref="C87">
    <cfRule type="expression" dxfId="7629" priority="85">
      <formula>B87=""</formula>
    </cfRule>
  </conditionalFormatting>
  <conditionalFormatting sqref="C88">
    <cfRule type="expression" dxfId="7628" priority="84">
      <formula>B88=""</formula>
    </cfRule>
  </conditionalFormatting>
  <conditionalFormatting sqref="C89">
    <cfRule type="expression" dxfId="7627" priority="83">
      <formula>B89=""</formula>
    </cfRule>
  </conditionalFormatting>
  <conditionalFormatting sqref="C90">
    <cfRule type="expression" dxfId="7626" priority="82">
      <formula>B90=""</formula>
    </cfRule>
  </conditionalFormatting>
  <conditionalFormatting sqref="C91">
    <cfRule type="expression" dxfId="7625" priority="81">
      <formula>B91=""</formula>
    </cfRule>
  </conditionalFormatting>
  <conditionalFormatting sqref="C92">
    <cfRule type="expression" dxfId="7624" priority="80">
      <formula>B92=""</formula>
    </cfRule>
  </conditionalFormatting>
  <conditionalFormatting sqref="C93">
    <cfRule type="expression" dxfId="7623" priority="79">
      <formula>B93=""</formula>
    </cfRule>
  </conditionalFormatting>
  <conditionalFormatting sqref="C93">
    <cfRule type="expression" dxfId="7622" priority="77">
      <formula>B93=""</formula>
    </cfRule>
  </conditionalFormatting>
  <conditionalFormatting sqref="C74:C93">
    <cfRule type="expression" dxfId="7621" priority="75">
      <formula>B74=""</formula>
    </cfRule>
  </conditionalFormatting>
  <conditionalFormatting sqref="C75 C77 C79 C81 C83 C85 C87 C89 C91 C93">
    <cfRule type="expression" dxfId="7620" priority="74">
      <formula>B75=""</formula>
    </cfRule>
  </conditionalFormatting>
  <conditionalFormatting sqref="C76:C86">
    <cfRule type="expression" dxfId="7619" priority="73">
      <formula>B76=""</formula>
    </cfRule>
  </conditionalFormatting>
  <conditionalFormatting sqref="C87">
    <cfRule type="expression" dxfId="7618" priority="72">
      <formula>B87=""</formula>
    </cfRule>
  </conditionalFormatting>
  <conditionalFormatting sqref="C88">
    <cfRule type="expression" dxfId="7617" priority="71">
      <formula>B88=""</formula>
    </cfRule>
  </conditionalFormatting>
  <conditionalFormatting sqref="C89">
    <cfRule type="expression" dxfId="7616" priority="70">
      <formula>B89=""</formula>
    </cfRule>
  </conditionalFormatting>
  <conditionalFormatting sqref="C90">
    <cfRule type="expression" dxfId="7615" priority="69">
      <formula>B90=""</formula>
    </cfRule>
  </conditionalFormatting>
  <conditionalFormatting sqref="C91">
    <cfRule type="expression" dxfId="7614" priority="68">
      <formula>B91=""</formula>
    </cfRule>
  </conditionalFormatting>
  <conditionalFormatting sqref="C92">
    <cfRule type="expression" dxfId="7613" priority="67">
      <formula>B92=""</formula>
    </cfRule>
  </conditionalFormatting>
  <conditionalFormatting sqref="C93">
    <cfRule type="expression" dxfId="7612" priority="66">
      <formula>B93=""</formula>
    </cfRule>
  </conditionalFormatting>
  <conditionalFormatting sqref="C74:C93">
    <cfRule type="expression" dxfId="7611" priority="63">
      <formula>B74=""</formula>
    </cfRule>
  </conditionalFormatting>
  <conditionalFormatting sqref="C75 C77 C79 C81 C83 C85 C87 C89 C91 C93">
    <cfRule type="expression" dxfId="7610" priority="62">
      <formula>B75=""</formula>
    </cfRule>
  </conditionalFormatting>
  <conditionalFormatting sqref="C76:C86">
    <cfRule type="expression" dxfId="7609" priority="61">
      <formula>B76=""</formula>
    </cfRule>
  </conditionalFormatting>
  <conditionalFormatting sqref="C87">
    <cfRule type="expression" dxfId="7608" priority="60">
      <formula>B87=""</formula>
    </cfRule>
  </conditionalFormatting>
  <conditionalFormatting sqref="C88">
    <cfRule type="expression" dxfId="7607" priority="59">
      <formula>B88=""</formula>
    </cfRule>
  </conditionalFormatting>
  <conditionalFormatting sqref="C89">
    <cfRule type="expression" dxfId="7606" priority="58">
      <formula>B89=""</formula>
    </cfRule>
  </conditionalFormatting>
  <conditionalFormatting sqref="C90">
    <cfRule type="expression" dxfId="7605" priority="57">
      <formula>B90=""</formula>
    </cfRule>
  </conditionalFormatting>
  <conditionalFormatting sqref="C91">
    <cfRule type="expression" dxfId="7604" priority="56">
      <formula>B91=""</formula>
    </cfRule>
  </conditionalFormatting>
  <conditionalFormatting sqref="C92">
    <cfRule type="expression" dxfId="7603" priority="55">
      <formula>B92=""</formula>
    </cfRule>
  </conditionalFormatting>
  <conditionalFormatting sqref="C93">
    <cfRule type="expression" dxfId="7602" priority="54">
      <formula>B93=""</formula>
    </cfRule>
  </conditionalFormatting>
  <conditionalFormatting sqref="C93">
    <cfRule type="expression" dxfId="7601" priority="52">
      <formula>B93=""</formula>
    </cfRule>
  </conditionalFormatting>
  <conditionalFormatting sqref="C74:C93">
    <cfRule type="expression" dxfId="7600" priority="50">
      <formula>B74=""</formula>
    </cfRule>
  </conditionalFormatting>
  <conditionalFormatting sqref="C75 C77 C79 C81 C83 C85 C87 C89 C91 C93">
    <cfRule type="expression" dxfId="7599" priority="49">
      <formula>B75=""</formula>
    </cfRule>
  </conditionalFormatting>
  <conditionalFormatting sqref="C76:C86">
    <cfRule type="expression" dxfId="7598" priority="48">
      <formula>B76=""</formula>
    </cfRule>
  </conditionalFormatting>
  <conditionalFormatting sqref="C87">
    <cfRule type="expression" dxfId="7597" priority="47">
      <formula>B87=""</formula>
    </cfRule>
  </conditionalFormatting>
  <conditionalFormatting sqref="C88">
    <cfRule type="expression" dxfId="7596" priority="46">
      <formula>B88=""</formula>
    </cfRule>
  </conditionalFormatting>
  <conditionalFormatting sqref="C89">
    <cfRule type="expression" dxfId="7595" priority="45">
      <formula>B89=""</formula>
    </cfRule>
  </conditionalFormatting>
  <conditionalFormatting sqref="C90">
    <cfRule type="expression" dxfId="7594" priority="44">
      <formula>B90=""</formula>
    </cfRule>
  </conditionalFormatting>
  <conditionalFormatting sqref="C91">
    <cfRule type="expression" dxfId="7593" priority="43">
      <formula>B91=""</formula>
    </cfRule>
  </conditionalFormatting>
  <conditionalFormatting sqref="C92">
    <cfRule type="expression" dxfId="7592" priority="42">
      <formula>B92=""</formula>
    </cfRule>
  </conditionalFormatting>
  <conditionalFormatting sqref="C93">
    <cfRule type="expression" dxfId="7591" priority="41">
      <formula>B93=""</formula>
    </cfRule>
  </conditionalFormatting>
  <conditionalFormatting sqref="C74:C93">
    <cfRule type="expression" dxfId="7590" priority="39">
      <formula>B74=""</formula>
    </cfRule>
  </conditionalFormatting>
  <conditionalFormatting sqref="C75 C77 C79 C81 C83 C85 C87 C89 C91 C93">
    <cfRule type="expression" dxfId="7589" priority="38">
      <formula>B75=""</formula>
    </cfRule>
  </conditionalFormatting>
  <conditionalFormatting sqref="C76:C86">
    <cfRule type="expression" dxfId="7588" priority="37">
      <formula>B76=""</formula>
    </cfRule>
  </conditionalFormatting>
  <conditionalFormatting sqref="C87">
    <cfRule type="expression" dxfId="7587" priority="36">
      <formula>B87=""</formula>
    </cfRule>
  </conditionalFormatting>
  <conditionalFormatting sqref="C88">
    <cfRule type="expression" dxfId="7586" priority="35">
      <formula>B88=""</formula>
    </cfRule>
  </conditionalFormatting>
  <conditionalFormatting sqref="C89">
    <cfRule type="expression" dxfId="7585" priority="34">
      <formula>B89=""</formula>
    </cfRule>
  </conditionalFormatting>
  <conditionalFormatting sqref="C90">
    <cfRule type="expression" dxfId="7584" priority="33">
      <formula>B90=""</formula>
    </cfRule>
  </conditionalFormatting>
  <conditionalFormatting sqref="C91">
    <cfRule type="expression" dxfId="7583" priority="32">
      <formula>B91=""</formula>
    </cfRule>
  </conditionalFormatting>
  <conditionalFormatting sqref="C92">
    <cfRule type="expression" dxfId="7582" priority="31">
      <formula>B92=""</formula>
    </cfRule>
  </conditionalFormatting>
  <conditionalFormatting sqref="C93">
    <cfRule type="expression" dxfId="7581" priority="30">
      <formula>B93=""</formula>
    </cfRule>
  </conditionalFormatting>
  <conditionalFormatting sqref="C74:C93">
    <cfRule type="expression" dxfId="7580" priority="28">
      <formula>B74=""</formula>
    </cfRule>
  </conditionalFormatting>
  <conditionalFormatting sqref="C75 C77 C79 C81 C83 C85 C87 C89 C91 C93">
    <cfRule type="expression" dxfId="7579" priority="27">
      <formula>B75=""</formula>
    </cfRule>
  </conditionalFormatting>
  <conditionalFormatting sqref="C76:C86">
    <cfRule type="expression" dxfId="7578" priority="26">
      <formula>B76=""</formula>
    </cfRule>
  </conditionalFormatting>
  <conditionalFormatting sqref="C87">
    <cfRule type="expression" dxfId="7577" priority="25">
      <formula>B87=""</formula>
    </cfRule>
  </conditionalFormatting>
  <conditionalFormatting sqref="C88">
    <cfRule type="expression" dxfId="7576" priority="24">
      <formula>B88=""</formula>
    </cfRule>
  </conditionalFormatting>
  <conditionalFormatting sqref="C89">
    <cfRule type="expression" dxfId="7575" priority="23">
      <formula>B89=""</formula>
    </cfRule>
  </conditionalFormatting>
  <conditionalFormatting sqref="C90">
    <cfRule type="expression" dxfId="7574" priority="22">
      <formula>B90=""</formula>
    </cfRule>
  </conditionalFormatting>
  <conditionalFormatting sqref="C91">
    <cfRule type="expression" dxfId="7573" priority="21">
      <formula>B91=""</formula>
    </cfRule>
  </conditionalFormatting>
  <conditionalFormatting sqref="C92">
    <cfRule type="expression" dxfId="7572" priority="20">
      <formula>B92=""</formula>
    </cfRule>
  </conditionalFormatting>
  <conditionalFormatting sqref="C93">
    <cfRule type="expression" dxfId="7571" priority="19">
      <formula>B93=""</formula>
    </cfRule>
  </conditionalFormatting>
  <conditionalFormatting sqref="C74 C76 C78 C80 C82 C84 C86 C88 C90 C92">
    <cfRule type="expression" dxfId="7570" priority="17">
      <formula>B74=""</formula>
    </cfRule>
  </conditionalFormatting>
  <conditionalFormatting sqref="C75 C77 C79 C81 C83 C85 C87 C89 C91 C93">
    <cfRule type="expression" dxfId="7569" priority="16">
      <formula>B75=""</formula>
    </cfRule>
  </conditionalFormatting>
  <conditionalFormatting sqref="C76:C86">
    <cfRule type="expression" dxfId="7568" priority="15">
      <formula>B76=""</formula>
    </cfRule>
  </conditionalFormatting>
  <conditionalFormatting sqref="C87">
    <cfRule type="expression" dxfId="7567" priority="14">
      <formula>B87=""</formula>
    </cfRule>
  </conditionalFormatting>
  <conditionalFormatting sqref="C88">
    <cfRule type="expression" dxfId="7566" priority="13">
      <formula>B88=""</formula>
    </cfRule>
  </conditionalFormatting>
  <conditionalFormatting sqref="C89">
    <cfRule type="expression" dxfId="7565" priority="12">
      <formula>B89=""</formula>
    </cfRule>
  </conditionalFormatting>
  <conditionalFormatting sqref="C90">
    <cfRule type="expression" dxfId="7564" priority="11">
      <formula>B90=""</formula>
    </cfRule>
  </conditionalFormatting>
  <conditionalFormatting sqref="C91">
    <cfRule type="expression" dxfId="7563" priority="10">
      <formula>B91=""</formula>
    </cfRule>
  </conditionalFormatting>
  <conditionalFormatting sqref="C92">
    <cfRule type="expression" dxfId="7562" priority="9">
      <formula>B92=""</formula>
    </cfRule>
  </conditionalFormatting>
  <conditionalFormatting sqref="C93">
    <cfRule type="expression" dxfId="7561" priority="8">
      <formula>B93=""</formula>
    </cfRule>
  </conditionalFormatting>
  <conditionalFormatting sqref="C8:C27">
    <cfRule type="expression" dxfId="7560" priority="7">
      <formula>B8=""</formula>
    </cfRule>
  </conditionalFormatting>
  <conditionalFormatting sqref="C9 C11 C13 C15 C17 C19 C21:C27">
    <cfRule type="expression" dxfId="7559" priority="6">
      <formula>B9=""</formula>
    </cfRule>
  </conditionalFormatting>
  <conditionalFormatting sqref="C8:C27">
    <cfRule type="expression" dxfId="7558" priority="5">
      <formula>B8=""</formula>
    </cfRule>
  </conditionalFormatting>
  <conditionalFormatting sqref="C9 C11 C13 C15 C17 C19 C21:C27">
    <cfRule type="expression" dxfId="7557" priority="4">
      <formula>B9=""</formula>
    </cfRule>
  </conditionalFormatting>
  <conditionalFormatting sqref="C8:C27">
    <cfRule type="expression" dxfId="7556" priority="3">
      <formula>B8=""</formula>
    </cfRule>
  </conditionalFormatting>
  <conditionalFormatting sqref="C9 C11 C13 C15 C17 C19 C21:C27">
    <cfRule type="expression" dxfId="7555" priority="2">
      <formula>B9=""</formula>
    </cfRule>
  </conditionalFormatting>
  <conditionalFormatting sqref="B8:B27">
    <cfRule type="containsBlanks" dxfId="7554" priority="1">
      <formula>LEN(TRIM(B8))=0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4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8" fitToHeight="2" orientation="portrait" r:id="rId1"/>
  <headerFooter>
    <oddHeader>&amp;L&amp;"Calibri"&amp;10&amp;K000000Sensitivity - General&amp;1#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6">
    <tabColor rgb="FFFF0000"/>
  </sheetPr>
  <dimension ref="B1:H96"/>
  <sheetViews>
    <sheetView workbookViewId="0"/>
  </sheetViews>
  <sheetFormatPr defaultRowHeight="1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140625" customWidth="1"/>
    <col min="8" max="8" width="17.140625" customWidth="1"/>
    <col min="10" max="10" width="14.7109375" customWidth="1"/>
  </cols>
  <sheetData>
    <row r="1" spans="2:8" ht="23.25">
      <c r="B1" s="214" t="str">
        <f>DATA!C1004</f>
        <v>NRA.N.011-050-2012/1F</v>
      </c>
      <c r="F1" s="214" t="str">
        <f>DATA!B1011</f>
        <v>Structures</v>
      </c>
    </row>
    <row r="2" spans="2:8" ht="26.25">
      <c r="C2" s="232" t="str">
        <f>'All Hours'!D1</f>
        <v>PLEASE INSERT TENDERER NAME ON INPUT DATA SHEET</v>
      </c>
      <c r="E2" s="920" t="str">
        <f>IF(DATA!$D$1011="None","NOT USED IN THIS TENDER","")</f>
        <v/>
      </c>
    </row>
    <row r="3" spans="2:8">
      <c r="B3" t="str">
        <f>IF(DATA!D1011="None",DATA!B1011 &amp; " NOT SPECIFIED FOR THIS PROJECT", "")</f>
        <v/>
      </c>
      <c r="E3" t="str">
        <f>'Non Fee Hours'!E2</f>
        <v>ONLY INSERT KEY PERSONS HOURS, NOT ALTERNATES.</v>
      </c>
    </row>
    <row r="4" spans="2:8" ht="15.7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.75" thickBot="1">
      <c r="B5" s="2" t="s">
        <v>5</v>
      </c>
      <c r="C5" s="3"/>
      <c r="D5" s="12"/>
      <c r="E5" s="12"/>
      <c r="F5" s="15"/>
      <c r="G5" s="3"/>
      <c r="H5" s="4"/>
    </row>
    <row r="6" spans="2:8" ht="15.75" thickBot="1">
      <c r="B6" s="25" t="str">
        <f>DATA!B1011</f>
        <v>Structures</v>
      </c>
      <c r="C6" s="26"/>
      <c r="D6" s="211" t="s">
        <v>6</v>
      </c>
      <c r="E6" s="27">
        <f>IF('SUMMARY TENDERED FEE'!C8="none",0,ROUND((E7*(F7/F73)+E29*(F29/F73)+E51*(F51/F73)+E73),2))</f>
        <v>0</v>
      </c>
      <c r="F6" s="28" t="str">
        <f>"Norm. Hours"</f>
        <v>Norm. Hours</v>
      </c>
      <c r="G6" s="913">
        <f>IF('SUMMARY TENDERED FEE'!C8="none",0,1)</f>
        <v>1</v>
      </c>
      <c r="H6" s="29">
        <f>IF('SUMMARY TENDERED FEE'!C8="none",0,SUM(H7:H94))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>DS3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.75" thickBot="1">
      <c r="B28" s="119" t="str">
        <f>'All Hours'!B30</f>
        <v>OTHER</v>
      </c>
      <c r="C28" s="63" t="str">
        <f>'All Hours'!C30</f>
        <v>Various non-key personnel</v>
      </c>
      <c r="D28" s="5"/>
      <c r="E28" s="895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210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210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>DS3</v>
      </c>
      <c r="C32" s="210" t="str">
        <f t="shared" si="4"/>
        <v/>
      </c>
      <c r="D32" s="59"/>
      <c r="E32" s="895">
        <v>0</v>
      </c>
      <c r="F32" s="16">
        <f t="shared" ref="F32:F39" si="5">IF(B32="","",$F$29)</f>
        <v>2796</v>
      </c>
      <c r="G32" s="61">
        <f t="shared" si="3"/>
        <v>0</v>
      </c>
      <c r="H32" s="62"/>
    </row>
    <row r="33" spans="2:8">
      <c r="B33" s="118" t="str">
        <f t="shared" ref="B33:C33" si="6">B11</f>
        <v/>
      </c>
      <c r="C33" s="210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210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210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210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210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210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210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210"/>
      <c r="D40" s="59"/>
      <c r="E40" s="895"/>
      <c r="F40" s="16"/>
      <c r="G40" s="61"/>
      <c r="H40" s="62"/>
    </row>
    <row r="41" spans="2:8" hidden="1">
      <c r="B41" s="118"/>
      <c r="C41" s="210"/>
      <c r="D41" s="59"/>
      <c r="E41" s="895"/>
      <c r="F41" s="16"/>
      <c r="G41" s="61"/>
      <c r="H41" s="62"/>
    </row>
    <row r="42" spans="2:8" hidden="1">
      <c r="B42" s="118"/>
      <c r="C42" s="210"/>
      <c r="D42" s="59"/>
      <c r="E42" s="895"/>
      <c r="F42" s="16"/>
      <c r="G42" s="61"/>
      <c r="H42" s="62"/>
    </row>
    <row r="43" spans="2:8" hidden="1">
      <c r="B43" s="118"/>
      <c r="C43" s="210"/>
      <c r="D43" s="59"/>
      <c r="E43" s="895"/>
      <c r="F43" s="16"/>
      <c r="G43" s="61"/>
      <c r="H43" s="62"/>
    </row>
    <row r="44" spans="2:8" hidden="1">
      <c r="B44" s="118"/>
      <c r="C44" s="210"/>
      <c r="D44" s="59"/>
      <c r="E44" s="895"/>
      <c r="F44" s="16"/>
      <c r="G44" s="61"/>
      <c r="H44" s="62"/>
    </row>
    <row r="45" spans="2:8" hidden="1">
      <c r="B45" s="118"/>
      <c r="C45" s="210"/>
      <c r="D45" s="59"/>
      <c r="E45" s="895"/>
      <c r="F45" s="16"/>
      <c r="G45" s="61"/>
      <c r="H45" s="62"/>
    </row>
    <row r="46" spans="2:8" hidden="1">
      <c r="B46" s="118"/>
      <c r="C46" s="210"/>
      <c r="D46" s="59"/>
      <c r="E46" s="895"/>
      <c r="F46" s="16"/>
      <c r="G46" s="61"/>
      <c r="H46" s="62"/>
    </row>
    <row r="47" spans="2:8" hidden="1">
      <c r="B47" s="118"/>
      <c r="C47" s="210"/>
      <c r="D47" s="59"/>
      <c r="E47" s="895"/>
      <c r="F47" s="16"/>
      <c r="G47" s="61"/>
      <c r="H47" s="62"/>
    </row>
    <row r="48" spans="2:8" hidden="1">
      <c r="B48" s="118"/>
      <c r="C48" s="210"/>
      <c r="D48" s="59"/>
      <c r="E48" s="895"/>
      <c r="F48" s="16"/>
      <c r="G48" s="61"/>
      <c r="H48" s="62"/>
    </row>
    <row r="49" spans="2:8" hidden="1">
      <c r="B49" s="118"/>
      <c r="C49" s="210"/>
      <c r="D49" s="59"/>
      <c r="E49" s="895"/>
      <c r="F49" s="16"/>
      <c r="G49" s="61"/>
      <c r="H49" s="62"/>
    </row>
    <row r="50" spans="2:8" ht="15.7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5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210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210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>DS3</v>
      </c>
      <c r="C54" s="210" t="str">
        <f t="shared" si="16"/>
        <v/>
      </c>
      <c r="D54" s="5"/>
      <c r="E54" s="899">
        <v>0</v>
      </c>
      <c r="F54" s="16">
        <f t="shared" ref="F54:F61" si="17">IF(B54="","",$F$51)</f>
        <v>2403</v>
      </c>
      <c r="G54" s="6">
        <f t="shared" si="15"/>
        <v>0</v>
      </c>
      <c r="H54" s="7"/>
    </row>
    <row r="55" spans="2:8">
      <c r="B55" s="118" t="str">
        <f t="shared" ref="B55:C55" si="18">B11</f>
        <v/>
      </c>
      <c r="C55" s="210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210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210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210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210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210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210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210"/>
      <c r="D62" s="5"/>
      <c r="E62" s="899"/>
      <c r="F62" s="16"/>
      <c r="G62" s="6"/>
      <c r="H62" s="7"/>
    </row>
    <row r="63" spans="2:8" hidden="1">
      <c r="B63" s="118"/>
      <c r="C63" s="210"/>
      <c r="D63" s="5"/>
      <c r="E63" s="899"/>
      <c r="F63" s="16"/>
      <c r="G63" s="6"/>
      <c r="H63" s="7"/>
    </row>
    <row r="64" spans="2:8" hidden="1">
      <c r="B64" s="118"/>
      <c r="C64" s="210"/>
      <c r="D64" s="5"/>
      <c r="E64" s="899"/>
      <c r="F64" s="16"/>
      <c r="G64" s="6"/>
      <c r="H64" s="7"/>
    </row>
    <row r="65" spans="2:8" hidden="1">
      <c r="B65" s="118"/>
      <c r="C65" s="210"/>
      <c r="D65" s="5"/>
      <c r="E65" s="899"/>
      <c r="F65" s="16"/>
      <c r="G65" s="6"/>
      <c r="H65" s="7"/>
    </row>
    <row r="66" spans="2:8" hidden="1">
      <c r="B66" s="118"/>
      <c r="C66" s="210"/>
      <c r="D66" s="5"/>
      <c r="E66" s="899"/>
      <c r="F66" s="16"/>
      <c r="G66" s="6"/>
      <c r="H66" s="7"/>
    </row>
    <row r="67" spans="2:8" hidden="1">
      <c r="B67" s="118"/>
      <c r="C67" s="210"/>
      <c r="D67" s="5"/>
      <c r="E67" s="899"/>
      <c r="F67" s="16"/>
      <c r="G67" s="6"/>
      <c r="H67" s="7"/>
    </row>
    <row r="68" spans="2:8" hidden="1">
      <c r="B68" s="118"/>
      <c r="C68" s="210"/>
      <c r="D68" s="5"/>
      <c r="E68" s="899"/>
      <c r="F68" s="16"/>
      <c r="G68" s="6"/>
      <c r="H68" s="7"/>
    </row>
    <row r="69" spans="2:8" hidden="1">
      <c r="B69" s="118"/>
      <c r="C69" s="210"/>
      <c r="D69" s="5"/>
      <c r="E69" s="899"/>
      <c r="F69" s="16"/>
      <c r="G69" s="6"/>
      <c r="H69" s="7"/>
    </row>
    <row r="70" spans="2:8" hidden="1">
      <c r="B70" s="118"/>
      <c r="C70" s="210"/>
      <c r="D70" s="5"/>
      <c r="E70" s="899"/>
      <c r="F70" s="16"/>
      <c r="G70" s="6"/>
      <c r="H70" s="7"/>
    </row>
    <row r="71" spans="2:8" hidden="1">
      <c r="B71" s="118"/>
      <c r="C71" s="210"/>
      <c r="D71" s="5"/>
      <c r="E71" s="899"/>
      <c r="F71" s="16"/>
      <c r="G71" s="6"/>
      <c r="H71" s="7"/>
    </row>
    <row r="72" spans="2:8" ht="15.7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210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210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>DS3</v>
      </c>
      <c r="C76" s="210" t="str">
        <f t="shared" si="27"/>
        <v/>
      </c>
      <c r="D76" s="5"/>
      <c r="E76" s="899">
        <v>0</v>
      </c>
      <c r="F76" s="16">
        <f t="shared" ref="F76:F83" si="28">IF(B76="","",$F$73)</f>
        <v>1167</v>
      </c>
      <c r="G76" s="6">
        <f t="shared" si="26"/>
        <v>0</v>
      </c>
      <c r="H76" s="7"/>
    </row>
    <row r="77" spans="2:8">
      <c r="B77" s="118" t="str">
        <f t="shared" ref="B77:C77" si="29">B11</f>
        <v/>
      </c>
      <c r="C77" s="210" t="str">
        <f t="shared" si="29"/>
        <v/>
      </c>
      <c r="D77" s="5"/>
      <c r="E77" s="89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210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210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210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210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210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210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210"/>
      <c r="D84" s="5"/>
      <c r="E84" s="899"/>
      <c r="F84" s="16"/>
      <c r="G84" s="6"/>
      <c r="H84" s="7"/>
    </row>
    <row r="85" spans="2:8" hidden="1">
      <c r="B85" s="118"/>
      <c r="C85" s="210"/>
      <c r="D85" s="5"/>
      <c r="E85" s="899"/>
      <c r="F85" s="16"/>
      <c r="G85" s="6"/>
      <c r="H85" s="7"/>
    </row>
    <row r="86" spans="2:8" hidden="1">
      <c r="B86" s="118"/>
      <c r="C86" s="210"/>
      <c r="D86" s="5"/>
      <c r="E86" s="899"/>
      <c r="F86" s="16"/>
      <c r="G86" s="6"/>
      <c r="H86" s="7"/>
    </row>
    <row r="87" spans="2:8" hidden="1">
      <c r="B87" s="118"/>
      <c r="C87" s="210"/>
      <c r="D87" s="5"/>
      <c r="E87" s="899"/>
      <c r="F87" s="16"/>
      <c r="G87" s="6"/>
      <c r="H87" s="7"/>
    </row>
    <row r="88" spans="2:8" hidden="1">
      <c r="B88" s="118"/>
      <c r="C88" s="210"/>
      <c r="D88" s="5"/>
      <c r="E88" s="899"/>
      <c r="F88" s="16"/>
      <c r="G88" s="6"/>
      <c r="H88" s="7"/>
    </row>
    <row r="89" spans="2:8" hidden="1">
      <c r="B89" s="118"/>
      <c r="C89" s="210"/>
      <c r="D89" s="5"/>
      <c r="E89" s="899"/>
      <c r="F89" s="16"/>
      <c r="G89" s="6"/>
      <c r="H89" s="7"/>
    </row>
    <row r="90" spans="2:8" hidden="1">
      <c r="B90" s="118"/>
      <c r="C90" s="210"/>
      <c r="D90" s="5"/>
      <c r="E90" s="899"/>
      <c r="F90" s="16"/>
      <c r="G90" s="6"/>
      <c r="H90" s="7"/>
    </row>
    <row r="91" spans="2:8" hidden="1">
      <c r="B91" s="118"/>
      <c r="C91" s="210"/>
      <c r="D91" s="5"/>
      <c r="E91" s="899"/>
      <c r="F91" s="16"/>
      <c r="G91" s="6"/>
      <c r="H91" s="7"/>
    </row>
    <row r="92" spans="2:8" hidden="1">
      <c r="B92" s="118"/>
      <c r="C92" s="210"/>
      <c r="D92" s="5"/>
      <c r="E92" s="899"/>
      <c r="F92" s="16"/>
      <c r="G92" s="6"/>
      <c r="H92" s="7"/>
    </row>
    <row r="93" spans="2:8" hidden="1">
      <c r="B93" s="118"/>
      <c r="C93" s="210"/>
      <c r="D93" s="5"/>
      <c r="E93" s="899"/>
      <c r="F93" s="16"/>
      <c r="G93" s="6"/>
      <c r="H93" s="7"/>
    </row>
    <row r="94" spans="2:8" ht="15.7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989</v>
      </c>
      <c r="C96" s="1" t="s">
        <v>990</v>
      </c>
    </row>
  </sheetData>
  <sheetProtection algorithmName="SHA-512" hashValue="CBDoaaWb9hEtEfxf9q+SpOrtZAyLZQmbPypD+ezXEPTAA1Jm/LNK4mNkyQ0xZMrZ3Gdx0Z2xzS/NbIykb/EEgQ==" saltValue="qtJdrTrNtiQqdSBimTnsGQ==" spinCount="100000" sheet="1" objects="1" scenarios="1"/>
  <conditionalFormatting sqref="B8:B28 B30:B50 B52:B72 B74:B94">
    <cfRule type="containsBlanks" dxfId="7553" priority="747">
      <formula>LEN(TRIM(B8))=0</formula>
    </cfRule>
  </conditionalFormatting>
  <conditionalFormatting sqref="C8:C27">
    <cfRule type="expression" dxfId="7552" priority="746">
      <formula>B8=""</formula>
    </cfRule>
  </conditionalFormatting>
  <conditionalFormatting sqref="C9 C11 C13 C15 C17 C19 C21 C23 C25 C27">
    <cfRule type="expression" dxfId="7551" priority="745">
      <formula>B9=""</formula>
    </cfRule>
  </conditionalFormatting>
  <conditionalFormatting sqref="C10:C20">
    <cfRule type="expression" dxfId="7550" priority="744">
      <formula>B10=""</formula>
    </cfRule>
  </conditionalFormatting>
  <conditionalFormatting sqref="C21">
    <cfRule type="expression" dxfId="7549" priority="743">
      <formula>B21=""</formula>
    </cfRule>
  </conditionalFormatting>
  <conditionalFormatting sqref="C22">
    <cfRule type="expression" dxfId="7548" priority="742">
      <formula>B22=""</formula>
    </cfRule>
  </conditionalFormatting>
  <conditionalFormatting sqref="C23">
    <cfRule type="expression" dxfId="7547" priority="741">
      <formula>B23=""</formula>
    </cfRule>
  </conditionalFormatting>
  <conditionalFormatting sqref="C24">
    <cfRule type="expression" dxfId="7546" priority="740">
      <formula>B24=""</formula>
    </cfRule>
  </conditionalFormatting>
  <conditionalFormatting sqref="C25">
    <cfRule type="expression" dxfId="7545" priority="739">
      <formula>B25=""</formula>
    </cfRule>
  </conditionalFormatting>
  <conditionalFormatting sqref="C26">
    <cfRule type="expression" dxfId="7544" priority="738">
      <formula>B26=""</formula>
    </cfRule>
  </conditionalFormatting>
  <conditionalFormatting sqref="C27">
    <cfRule type="expression" dxfId="7543" priority="737">
      <formula>B27=""</formula>
    </cfRule>
  </conditionalFormatting>
  <conditionalFormatting sqref="C28">
    <cfRule type="expression" dxfId="7542" priority="736">
      <formula>B28=""</formula>
    </cfRule>
  </conditionalFormatting>
  <conditionalFormatting sqref="D8 D10 D12 D14 D16 D18 D20 D22 D24 D26">
    <cfRule type="expression" dxfId="7541" priority="735">
      <formula>B8=""</formula>
    </cfRule>
  </conditionalFormatting>
  <conditionalFormatting sqref="D9 D11 D13 D15 D17 D19 D21 D23 D25 D27">
    <cfRule type="expression" dxfId="7540" priority="734">
      <formula>B9=""</formula>
    </cfRule>
  </conditionalFormatting>
  <conditionalFormatting sqref="D10:D20">
    <cfRule type="expression" dxfId="7539" priority="733">
      <formula>B10=""</formula>
    </cfRule>
  </conditionalFormatting>
  <conditionalFormatting sqref="D21">
    <cfRule type="expression" dxfId="7538" priority="732">
      <formula>B21=""</formula>
    </cfRule>
  </conditionalFormatting>
  <conditionalFormatting sqref="D22">
    <cfRule type="expression" dxfId="7537" priority="731">
      <formula>B22=""</formula>
    </cfRule>
  </conditionalFormatting>
  <conditionalFormatting sqref="D23">
    <cfRule type="expression" dxfId="7536" priority="730">
      <formula>B23=""</formula>
    </cfRule>
  </conditionalFormatting>
  <conditionalFormatting sqref="D24">
    <cfRule type="expression" dxfId="7535" priority="729">
      <formula>B24=""</formula>
    </cfRule>
  </conditionalFormatting>
  <conditionalFormatting sqref="D25">
    <cfRule type="expression" dxfId="7534" priority="728">
      <formula>B25=""</formula>
    </cfRule>
  </conditionalFormatting>
  <conditionalFormatting sqref="D26">
    <cfRule type="expression" dxfId="7533" priority="727">
      <formula>B26=""</formula>
    </cfRule>
  </conditionalFormatting>
  <conditionalFormatting sqref="D27">
    <cfRule type="expression" dxfId="7532" priority="726">
      <formula>B27=""</formula>
    </cfRule>
  </conditionalFormatting>
  <conditionalFormatting sqref="D28">
    <cfRule type="expression" dxfId="7531" priority="725">
      <formula>B28=""</formula>
    </cfRule>
  </conditionalFormatting>
  <conditionalFormatting sqref="E8 E10 E12 E14 E16 E18 E20 E22 E24 E26">
    <cfRule type="expression" dxfId="7530" priority="724">
      <formula>B8=""</formula>
    </cfRule>
  </conditionalFormatting>
  <conditionalFormatting sqref="E9 E11 E13 E15 E17 E19 E21 E23 E25 E27">
    <cfRule type="expression" dxfId="7529" priority="723">
      <formula>B9=""</formula>
    </cfRule>
  </conditionalFormatting>
  <conditionalFormatting sqref="E10:E20">
    <cfRule type="expression" dxfId="7528" priority="722">
      <formula>B10=""</formula>
    </cfRule>
  </conditionalFormatting>
  <conditionalFormatting sqref="E21">
    <cfRule type="expression" dxfId="7527" priority="721">
      <formula>B21=""</formula>
    </cfRule>
  </conditionalFormatting>
  <conditionalFormatting sqref="E22">
    <cfRule type="expression" dxfId="7526" priority="720">
      <formula>B22=""</formula>
    </cfRule>
  </conditionalFormatting>
  <conditionalFormatting sqref="E23">
    <cfRule type="expression" dxfId="7525" priority="719">
      <formula>B23=""</formula>
    </cfRule>
  </conditionalFormatting>
  <conditionalFormatting sqref="E24">
    <cfRule type="expression" dxfId="7524" priority="718">
      <formula>B24=""</formula>
    </cfRule>
  </conditionalFormatting>
  <conditionalFormatting sqref="E25">
    <cfRule type="expression" dxfId="7523" priority="717">
      <formula>B25=""</formula>
    </cfRule>
  </conditionalFormatting>
  <conditionalFormatting sqref="E26">
    <cfRule type="expression" dxfId="7522" priority="716">
      <formula>B26=""</formula>
    </cfRule>
  </conditionalFormatting>
  <conditionalFormatting sqref="E27">
    <cfRule type="expression" dxfId="7521" priority="715">
      <formula>B27=""</formula>
    </cfRule>
  </conditionalFormatting>
  <conditionalFormatting sqref="E28">
    <cfRule type="expression" dxfId="7520" priority="714">
      <formula>B28=""</formula>
    </cfRule>
  </conditionalFormatting>
  <conditionalFormatting sqref="F8 F10 F12 F14 F16 F18 F20 F22 F24 F26">
    <cfRule type="expression" dxfId="7519" priority="713">
      <formula>B8=""</formula>
    </cfRule>
  </conditionalFormatting>
  <conditionalFormatting sqref="F9 F11 F13 F15 F17 F19 F21 F23 F25 F27">
    <cfRule type="expression" dxfId="7518" priority="712">
      <formula>B9=""</formula>
    </cfRule>
  </conditionalFormatting>
  <conditionalFormatting sqref="F10:F20">
    <cfRule type="expression" dxfId="7517" priority="711">
      <formula>B10=""</formula>
    </cfRule>
  </conditionalFormatting>
  <conditionalFormatting sqref="F21">
    <cfRule type="expression" dxfId="7516" priority="710">
      <formula>B21=""</formula>
    </cfRule>
  </conditionalFormatting>
  <conditionalFormatting sqref="F22">
    <cfRule type="expression" dxfId="7515" priority="709">
      <formula>B22=""</formula>
    </cfRule>
  </conditionalFormatting>
  <conditionalFormatting sqref="F23">
    <cfRule type="expression" dxfId="7514" priority="708">
      <formula>B23=""</formula>
    </cfRule>
  </conditionalFormatting>
  <conditionalFormatting sqref="F24">
    <cfRule type="expression" dxfId="7513" priority="707">
      <formula>B24=""</formula>
    </cfRule>
  </conditionalFormatting>
  <conditionalFormatting sqref="F25">
    <cfRule type="expression" dxfId="7512" priority="706">
      <formula>B25=""</formula>
    </cfRule>
  </conditionalFormatting>
  <conditionalFormatting sqref="F26">
    <cfRule type="expression" dxfId="7511" priority="705">
      <formula>B26=""</formula>
    </cfRule>
  </conditionalFormatting>
  <conditionalFormatting sqref="F27">
    <cfRule type="expression" dxfId="7510" priority="704">
      <formula>B27=""</formula>
    </cfRule>
  </conditionalFormatting>
  <conditionalFormatting sqref="F28">
    <cfRule type="expression" dxfId="7509" priority="703">
      <formula>B28=""</formula>
    </cfRule>
  </conditionalFormatting>
  <conditionalFormatting sqref="E9 E11 E13 E15 E17 E19 E21 E23 E25 E27">
    <cfRule type="expression" dxfId="7508" priority="702">
      <formula>B9=""</formula>
    </cfRule>
  </conditionalFormatting>
  <conditionalFormatting sqref="E10:E20">
    <cfRule type="expression" dxfId="7507" priority="701">
      <formula>B10=""</formula>
    </cfRule>
  </conditionalFormatting>
  <conditionalFormatting sqref="E21">
    <cfRule type="expression" dxfId="7506" priority="700">
      <formula>B21=""</formula>
    </cfRule>
  </conditionalFormatting>
  <conditionalFormatting sqref="E22">
    <cfRule type="expression" dxfId="7505" priority="699">
      <formula>B22=""</formula>
    </cfRule>
  </conditionalFormatting>
  <conditionalFormatting sqref="E23">
    <cfRule type="expression" dxfId="7504" priority="698">
      <formula>B23=""</formula>
    </cfRule>
  </conditionalFormatting>
  <conditionalFormatting sqref="E24">
    <cfRule type="expression" dxfId="7503" priority="697">
      <formula>B24=""</formula>
    </cfRule>
  </conditionalFormatting>
  <conditionalFormatting sqref="E25">
    <cfRule type="expression" dxfId="7502" priority="696">
      <formula>B25=""</formula>
    </cfRule>
  </conditionalFormatting>
  <conditionalFormatting sqref="E26">
    <cfRule type="expression" dxfId="7501" priority="695">
      <formula>B26=""</formula>
    </cfRule>
  </conditionalFormatting>
  <conditionalFormatting sqref="E27">
    <cfRule type="expression" dxfId="7500" priority="694">
      <formula>B27=""</formula>
    </cfRule>
  </conditionalFormatting>
  <conditionalFormatting sqref="E28">
    <cfRule type="expression" dxfId="7499" priority="693">
      <formula>B28=""</formula>
    </cfRule>
  </conditionalFormatting>
  <conditionalFormatting sqref="G8 G10 G12 G14 G16 G18 G20 G22 G24 G26">
    <cfRule type="expression" dxfId="7498" priority="692">
      <formula>B8=""</formula>
    </cfRule>
  </conditionalFormatting>
  <conditionalFormatting sqref="G9 G11 G13 G15 G17 G19 G21 G23 G25 G27">
    <cfRule type="expression" dxfId="7497" priority="691">
      <formula>B9=""</formula>
    </cfRule>
  </conditionalFormatting>
  <conditionalFormatting sqref="G10:G20">
    <cfRule type="expression" dxfId="7496" priority="690">
      <formula>B10=""</formula>
    </cfRule>
  </conditionalFormatting>
  <conditionalFormatting sqref="G21">
    <cfRule type="expression" dxfId="7495" priority="689">
      <formula>B21=""</formula>
    </cfRule>
  </conditionalFormatting>
  <conditionalFormatting sqref="G22">
    <cfRule type="expression" dxfId="7494" priority="688">
      <formula>B22=""</formula>
    </cfRule>
  </conditionalFormatting>
  <conditionalFormatting sqref="G23">
    <cfRule type="expression" dxfId="7493" priority="687">
      <formula>B23=""</formula>
    </cfRule>
  </conditionalFormatting>
  <conditionalFormatting sqref="G24">
    <cfRule type="expression" dxfId="7492" priority="686">
      <formula>B24=""</formula>
    </cfRule>
  </conditionalFormatting>
  <conditionalFormatting sqref="G25">
    <cfRule type="expression" dxfId="7491" priority="685">
      <formula>B25=""</formula>
    </cfRule>
  </conditionalFormatting>
  <conditionalFormatting sqref="G26">
    <cfRule type="expression" dxfId="7490" priority="684">
      <formula>B26=""</formula>
    </cfRule>
  </conditionalFormatting>
  <conditionalFormatting sqref="G27">
    <cfRule type="expression" dxfId="7489" priority="683">
      <formula>B27=""</formula>
    </cfRule>
  </conditionalFormatting>
  <conditionalFormatting sqref="G28">
    <cfRule type="expression" dxfId="7488" priority="682">
      <formula>B28=""</formula>
    </cfRule>
  </conditionalFormatting>
  <conditionalFormatting sqref="H8 H10 H12 H14 H16 H18 H20 H22 H24 H26">
    <cfRule type="expression" dxfId="7487" priority="681">
      <formula>B8=""</formula>
    </cfRule>
  </conditionalFormatting>
  <conditionalFormatting sqref="H9 H11 H13 H15 H17 H19 H21 H23 H25 H27">
    <cfRule type="expression" dxfId="7486" priority="680">
      <formula>B9=""</formula>
    </cfRule>
  </conditionalFormatting>
  <conditionalFormatting sqref="H10:H20">
    <cfRule type="expression" dxfId="7485" priority="679">
      <formula>B10=""</formula>
    </cfRule>
  </conditionalFormatting>
  <conditionalFormatting sqref="H21">
    <cfRule type="expression" dxfId="7484" priority="678">
      <formula>B21=""</formula>
    </cfRule>
  </conditionalFormatting>
  <conditionalFormatting sqref="H22">
    <cfRule type="expression" dxfId="7483" priority="677">
      <formula>B22=""</formula>
    </cfRule>
  </conditionalFormatting>
  <conditionalFormatting sqref="H23">
    <cfRule type="expression" dxfId="7482" priority="676">
      <formula>B23=""</formula>
    </cfRule>
  </conditionalFormatting>
  <conditionalFormatting sqref="H24">
    <cfRule type="expression" dxfId="7481" priority="675">
      <formula>B24=""</formula>
    </cfRule>
  </conditionalFormatting>
  <conditionalFormatting sqref="H25">
    <cfRule type="expression" dxfId="7480" priority="674">
      <formula>B25=""</formula>
    </cfRule>
  </conditionalFormatting>
  <conditionalFormatting sqref="H26">
    <cfRule type="expression" dxfId="7479" priority="673">
      <formula>B26=""</formula>
    </cfRule>
  </conditionalFormatting>
  <conditionalFormatting sqref="H27">
    <cfRule type="expression" dxfId="7478" priority="672">
      <formula>B27=""</formula>
    </cfRule>
  </conditionalFormatting>
  <conditionalFormatting sqref="H28">
    <cfRule type="expression" dxfId="7477" priority="671">
      <formula>B28=""</formula>
    </cfRule>
  </conditionalFormatting>
  <conditionalFormatting sqref="C30:C50">
    <cfRule type="expression" dxfId="7476" priority="670">
      <formula>B30=""</formula>
    </cfRule>
  </conditionalFormatting>
  <conditionalFormatting sqref="C31 C33 C35 C37 C39 C41 C43 C45 C47 C49">
    <cfRule type="expression" dxfId="7475" priority="669">
      <formula>B31=""</formula>
    </cfRule>
  </conditionalFormatting>
  <conditionalFormatting sqref="C32:C42">
    <cfRule type="expression" dxfId="7474" priority="668">
      <formula>B32=""</formula>
    </cfRule>
  </conditionalFormatting>
  <conditionalFormatting sqref="C43">
    <cfRule type="expression" dxfId="7473" priority="667">
      <formula>B43=""</formula>
    </cfRule>
  </conditionalFormatting>
  <conditionalFormatting sqref="C44">
    <cfRule type="expression" dxfId="7472" priority="666">
      <formula>B44=""</formula>
    </cfRule>
  </conditionalFormatting>
  <conditionalFormatting sqref="C45">
    <cfRule type="expression" dxfId="7471" priority="665">
      <formula>B45=""</formula>
    </cfRule>
  </conditionalFormatting>
  <conditionalFormatting sqref="C46">
    <cfRule type="expression" dxfId="7470" priority="664">
      <formula>B46=""</formula>
    </cfRule>
  </conditionalFormatting>
  <conditionalFormatting sqref="C47">
    <cfRule type="expression" dxfId="7469" priority="663">
      <formula>B47=""</formula>
    </cfRule>
  </conditionalFormatting>
  <conditionalFormatting sqref="C48">
    <cfRule type="expression" dxfId="7468" priority="662">
      <formula>B48=""</formula>
    </cfRule>
  </conditionalFormatting>
  <conditionalFormatting sqref="C49">
    <cfRule type="expression" dxfId="7467" priority="661">
      <formula>B49=""</formula>
    </cfRule>
  </conditionalFormatting>
  <conditionalFormatting sqref="C50">
    <cfRule type="expression" dxfId="7466" priority="660">
      <formula>B50=""</formula>
    </cfRule>
  </conditionalFormatting>
  <conditionalFormatting sqref="D30 D32 D34 D36 D38 D40 D42 D44 D46 D48">
    <cfRule type="expression" dxfId="7465" priority="659">
      <formula>B30=""</formula>
    </cfRule>
  </conditionalFormatting>
  <conditionalFormatting sqref="D31 D33 D35 D37 D39 D41 D43 D45 D47 D49">
    <cfRule type="expression" dxfId="7464" priority="658">
      <formula>B31=""</formula>
    </cfRule>
  </conditionalFormatting>
  <conditionalFormatting sqref="D32:D42">
    <cfRule type="expression" dxfId="7463" priority="657">
      <formula>B32=""</formula>
    </cfRule>
  </conditionalFormatting>
  <conditionalFormatting sqref="D43">
    <cfRule type="expression" dxfId="7462" priority="656">
      <formula>B43=""</formula>
    </cfRule>
  </conditionalFormatting>
  <conditionalFormatting sqref="D44">
    <cfRule type="expression" dxfId="7461" priority="655">
      <formula>B44=""</formula>
    </cfRule>
  </conditionalFormatting>
  <conditionalFormatting sqref="D45">
    <cfRule type="expression" dxfId="7460" priority="654">
      <formula>B45=""</formula>
    </cfRule>
  </conditionalFormatting>
  <conditionalFormatting sqref="D46">
    <cfRule type="expression" dxfId="7459" priority="653">
      <formula>B46=""</formula>
    </cfRule>
  </conditionalFormatting>
  <conditionalFormatting sqref="D47">
    <cfRule type="expression" dxfId="7458" priority="652">
      <formula>B47=""</formula>
    </cfRule>
  </conditionalFormatting>
  <conditionalFormatting sqref="D48">
    <cfRule type="expression" dxfId="7457" priority="651">
      <formula>B48=""</formula>
    </cfRule>
  </conditionalFormatting>
  <conditionalFormatting sqref="D49">
    <cfRule type="expression" dxfId="7456" priority="650">
      <formula>B49=""</formula>
    </cfRule>
  </conditionalFormatting>
  <conditionalFormatting sqref="D50">
    <cfRule type="expression" dxfId="7455" priority="649">
      <formula>B50=""</formula>
    </cfRule>
  </conditionalFormatting>
  <conditionalFormatting sqref="E30 E32 E34 E36 E38 E40 E42 E44 E46 E48">
    <cfRule type="expression" dxfId="7454" priority="648">
      <formula>B30=""</formula>
    </cfRule>
  </conditionalFormatting>
  <conditionalFormatting sqref="E31 E33 E35 E37 E39 E41 E43 E45 E47 E49">
    <cfRule type="expression" dxfId="7453" priority="647">
      <formula>B31=""</formula>
    </cfRule>
  </conditionalFormatting>
  <conditionalFormatting sqref="E32:E42">
    <cfRule type="expression" dxfId="7452" priority="646">
      <formula>B32=""</formula>
    </cfRule>
  </conditionalFormatting>
  <conditionalFormatting sqref="E43">
    <cfRule type="expression" dxfId="7451" priority="645">
      <formula>B43=""</formula>
    </cfRule>
  </conditionalFormatting>
  <conditionalFormatting sqref="E44">
    <cfRule type="expression" dxfId="7450" priority="644">
      <formula>B44=""</formula>
    </cfRule>
  </conditionalFormatting>
  <conditionalFormatting sqref="E45">
    <cfRule type="expression" dxfId="7449" priority="643">
      <formula>B45=""</formula>
    </cfRule>
  </conditionalFormatting>
  <conditionalFormatting sqref="E46">
    <cfRule type="expression" dxfId="7448" priority="642">
      <formula>B46=""</formula>
    </cfRule>
  </conditionalFormatting>
  <conditionalFormatting sqref="E47">
    <cfRule type="expression" dxfId="7447" priority="641">
      <formula>B47=""</formula>
    </cfRule>
  </conditionalFormatting>
  <conditionalFormatting sqref="E48">
    <cfRule type="expression" dxfId="7446" priority="640">
      <formula>B48=""</formula>
    </cfRule>
  </conditionalFormatting>
  <conditionalFormatting sqref="E49">
    <cfRule type="expression" dxfId="7445" priority="639">
      <formula>B49=""</formula>
    </cfRule>
  </conditionalFormatting>
  <conditionalFormatting sqref="E50">
    <cfRule type="expression" dxfId="7444" priority="638">
      <formula>B50=""</formula>
    </cfRule>
  </conditionalFormatting>
  <conditionalFormatting sqref="F30 F32 F34 F36 F38 F40 F42 F44 F46 F48">
    <cfRule type="expression" dxfId="7443" priority="637">
      <formula>B30=""</formula>
    </cfRule>
  </conditionalFormatting>
  <conditionalFormatting sqref="F31 F33 F35 F37 F39 F41 F43 F45 F47 F49">
    <cfRule type="expression" dxfId="7442" priority="636">
      <formula>B31=""</formula>
    </cfRule>
  </conditionalFormatting>
  <conditionalFormatting sqref="F32:F42">
    <cfRule type="expression" dxfId="7441" priority="635">
      <formula>B32=""</formula>
    </cfRule>
  </conditionalFormatting>
  <conditionalFormatting sqref="F43">
    <cfRule type="expression" dxfId="7440" priority="634">
      <formula>B43=""</formula>
    </cfRule>
  </conditionalFormatting>
  <conditionalFormatting sqref="F44">
    <cfRule type="expression" dxfId="7439" priority="633">
      <formula>B44=""</formula>
    </cfRule>
  </conditionalFormatting>
  <conditionalFormatting sqref="F45">
    <cfRule type="expression" dxfId="7438" priority="632">
      <formula>B45=""</formula>
    </cfRule>
  </conditionalFormatting>
  <conditionalFormatting sqref="F46">
    <cfRule type="expression" dxfId="7437" priority="631">
      <formula>B46=""</formula>
    </cfRule>
  </conditionalFormatting>
  <conditionalFormatting sqref="F47">
    <cfRule type="expression" dxfId="7436" priority="630">
      <formula>B47=""</formula>
    </cfRule>
  </conditionalFormatting>
  <conditionalFormatting sqref="F48">
    <cfRule type="expression" dxfId="7435" priority="629">
      <formula>B48=""</formula>
    </cfRule>
  </conditionalFormatting>
  <conditionalFormatting sqref="F49">
    <cfRule type="expression" dxfId="7434" priority="628">
      <formula>B49=""</formula>
    </cfRule>
  </conditionalFormatting>
  <conditionalFormatting sqref="F50">
    <cfRule type="expression" dxfId="7433" priority="627">
      <formula>B50=""</formula>
    </cfRule>
  </conditionalFormatting>
  <conditionalFormatting sqref="E31 E33 E35 E37 E39 E41 E43 E45 E47 E49">
    <cfRule type="expression" dxfId="7432" priority="626">
      <formula>B31=""</formula>
    </cfRule>
  </conditionalFormatting>
  <conditionalFormatting sqref="E32:E42">
    <cfRule type="expression" dxfId="7431" priority="625">
      <formula>B32=""</formula>
    </cfRule>
  </conditionalFormatting>
  <conditionalFormatting sqref="E43">
    <cfRule type="expression" dxfId="7430" priority="624">
      <formula>B43=""</formula>
    </cfRule>
  </conditionalFormatting>
  <conditionalFormatting sqref="E44">
    <cfRule type="expression" dxfId="7429" priority="623">
      <formula>B44=""</formula>
    </cfRule>
  </conditionalFormatting>
  <conditionalFormatting sqref="E45">
    <cfRule type="expression" dxfId="7428" priority="622">
      <formula>B45=""</formula>
    </cfRule>
  </conditionalFormatting>
  <conditionalFormatting sqref="E46">
    <cfRule type="expression" dxfId="7427" priority="621">
      <formula>B46=""</formula>
    </cfRule>
  </conditionalFormatting>
  <conditionalFormatting sqref="E47">
    <cfRule type="expression" dxfId="7426" priority="620">
      <formula>B47=""</formula>
    </cfRule>
  </conditionalFormatting>
  <conditionalFormatting sqref="E48">
    <cfRule type="expression" dxfId="7425" priority="619">
      <formula>B48=""</formula>
    </cfRule>
  </conditionalFormatting>
  <conditionalFormatting sqref="E49">
    <cfRule type="expression" dxfId="7424" priority="618">
      <formula>B49=""</formula>
    </cfRule>
  </conditionalFormatting>
  <conditionalFormatting sqref="E50">
    <cfRule type="expression" dxfId="7423" priority="617">
      <formula>B50=""</formula>
    </cfRule>
  </conditionalFormatting>
  <conditionalFormatting sqref="G30 G32 G34 G36 G38 G40 G42 G44 G46 G48">
    <cfRule type="expression" dxfId="7422" priority="616">
      <formula>B30=""</formula>
    </cfRule>
  </conditionalFormatting>
  <conditionalFormatting sqref="G31 G33 G35 G37 G39 G41 G43 G45 G47 G49">
    <cfRule type="expression" dxfId="7421" priority="615">
      <formula>B31=""</formula>
    </cfRule>
  </conditionalFormatting>
  <conditionalFormatting sqref="G32:G42">
    <cfRule type="expression" dxfId="7420" priority="614">
      <formula>B32=""</formula>
    </cfRule>
  </conditionalFormatting>
  <conditionalFormatting sqref="G43">
    <cfRule type="expression" dxfId="7419" priority="613">
      <formula>B43=""</formula>
    </cfRule>
  </conditionalFormatting>
  <conditionalFormatting sqref="G44">
    <cfRule type="expression" dxfId="7418" priority="612">
      <formula>B44=""</formula>
    </cfRule>
  </conditionalFormatting>
  <conditionalFormatting sqref="G45">
    <cfRule type="expression" dxfId="7417" priority="611">
      <formula>B45=""</formula>
    </cfRule>
  </conditionalFormatting>
  <conditionalFormatting sqref="G46">
    <cfRule type="expression" dxfId="7416" priority="610">
      <formula>B46=""</formula>
    </cfRule>
  </conditionalFormatting>
  <conditionalFormatting sqref="G47">
    <cfRule type="expression" dxfId="7415" priority="609">
      <formula>B47=""</formula>
    </cfRule>
  </conditionalFormatting>
  <conditionalFormatting sqref="G48">
    <cfRule type="expression" dxfId="7414" priority="608">
      <formula>B48=""</formula>
    </cfRule>
  </conditionalFormatting>
  <conditionalFormatting sqref="G49">
    <cfRule type="expression" dxfId="7413" priority="607">
      <formula>B49=""</formula>
    </cfRule>
  </conditionalFormatting>
  <conditionalFormatting sqref="G50">
    <cfRule type="expression" dxfId="7412" priority="606">
      <formula>B50=""</formula>
    </cfRule>
  </conditionalFormatting>
  <conditionalFormatting sqref="H30 H32 H34 H36 H38 H40 H42 H44 H46 H48">
    <cfRule type="expression" dxfId="7411" priority="605">
      <formula>B30=""</formula>
    </cfRule>
  </conditionalFormatting>
  <conditionalFormatting sqref="H31 H33 H35 H37 H39 H41 H43 H45 H47 H49">
    <cfRule type="expression" dxfId="7410" priority="604">
      <formula>B31=""</formula>
    </cfRule>
  </conditionalFormatting>
  <conditionalFormatting sqref="H32:H42">
    <cfRule type="expression" dxfId="7409" priority="603">
      <formula>B32=""</formula>
    </cfRule>
  </conditionalFormatting>
  <conditionalFormatting sqref="H43">
    <cfRule type="expression" dxfId="7408" priority="602">
      <formula>B43=""</formula>
    </cfRule>
  </conditionalFormatting>
  <conditionalFormatting sqref="H44">
    <cfRule type="expression" dxfId="7407" priority="601">
      <formula>B44=""</formula>
    </cfRule>
  </conditionalFormatting>
  <conditionalFormatting sqref="H45">
    <cfRule type="expression" dxfId="7406" priority="600">
      <formula>B45=""</formula>
    </cfRule>
  </conditionalFormatting>
  <conditionalFormatting sqref="H46">
    <cfRule type="expression" dxfId="7405" priority="599">
      <formula>B46=""</formula>
    </cfRule>
  </conditionalFormatting>
  <conditionalFormatting sqref="H47">
    <cfRule type="expression" dxfId="7404" priority="598">
      <formula>B47=""</formula>
    </cfRule>
  </conditionalFormatting>
  <conditionalFormatting sqref="H48">
    <cfRule type="expression" dxfId="7403" priority="597">
      <formula>B48=""</formula>
    </cfRule>
  </conditionalFormatting>
  <conditionalFormatting sqref="H49">
    <cfRule type="expression" dxfId="7402" priority="596">
      <formula>B49=""</formula>
    </cfRule>
  </conditionalFormatting>
  <conditionalFormatting sqref="H50">
    <cfRule type="expression" dxfId="7401" priority="595">
      <formula>B50=""</formula>
    </cfRule>
  </conditionalFormatting>
  <conditionalFormatting sqref="C52:C71">
    <cfRule type="expression" dxfId="7400" priority="594">
      <formula>B52=""</formula>
    </cfRule>
  </conditionalFormatting>
  <conditionalFormatting sqref="C53 C55 C57 C59 C61 C63 C65 C67 C69 C71">
    <cfRule type="expression" dxfId="7399" priority="593">
      <formula>B53=""</formula>
    </cfRule>
  </conditionalFormatting>
  <conditionalFormatting sqref="C54:C64">
    <cfRule type="expression" dxfId="7398" priority="592">
      <formula>B54=""</formula>
    </cfRule>
  </conditionalFormatting>
  <conditionalFormatting sqref="C65">
    <cfRule type="expression" dxfId="7397" priority="591">
      <formula>B65=""</formula>
    </cfRule>
  </conditionalFormatting>
  <conditionalFormatting sqref="C66">
    <cfRule type="expression" dxfId="7396" priority="590">
      <formula>B66=""</formula>
    </cfRule>
  </conditionalFormatting>
  <conditionalFormatting sqref="C67">
    <cfRule type="expression" dxfId="7395" priority="589">
      <formula>B67=""</formula>
    </cfRule>
  </conditionalFormatting>
  <conditionalFormatting sqref="C68">
    <cfRule type="expression" dxfId="7394" priority="588">
      <formula>B68=""</formula>
    </cfRule>
  </conditionalFormatting>
  <conditionalFormatting sqref="C69">
    <cfRule type="expression" dxfId="7393" priority="587">
      <formula>B69=""</formula>
    </cfRule>
  </conditionalFormatting>
  <conditionalFormatting sqref="C70">
    <cfRule type="expression" dxfId="7392" priority="586">
      <formula>B70=""</formula>
    </cfRule>
  </conditionalFormatting>
  <conditionalFormatting sqref="C71">
    <cfRule type="expression" dxfId="7391" priority="585">
      <formula>B71=""</formula>
    </cfRule>
  </conditionalFormatting>
  <conditionalFormatting sqref="C72">
    <cfRule type="expression" dxfId="7390" priority="584">
      <formula>B72=""</formula>
    </cfRule>
  </conditionalFormatting>
  <conditionalFormatting sqref="D52 D54 D56 D58 D60 D62 D64 D66 D68 D70">
    <cfRule type="expression" dxfId="7389" priority="583">
      <formula>B52=""</formula>
    </cfRule>
  </conditionalFormatting>
  <conditionalFormatting sqref="D53 D55 D57 D59 D61 D63 D65 D67 D69 D71">
    <cfRule type="expression" dxfId="7388" priority="582">
      <formula>B53=""</formula>
    </cfRule>
  </conditionalFormatting>
  <conditionalFormatting sqref="D54:D64">
    <cfRule type="expression" dxfId="7387" priority="581">
      <formula>B54=""</formula>
    </cfRule>
  </conditionalFormatting>
  <conditionalFormatting sqref="D65">
    <cfRule type="expression" dxfId="7386" priority="580">
      <formula>B65=""</formula>
    </cfRule>
  </conditionalFormatting>
  <conditionalFormatting sqref="D66">
    <cfRule type="expression" dxfId="7385" priority="579">
      <formula>B66=""</formula>
    </cfRule>
  </conditionalFormatting>
  <conditionalFormatting sqref="D67">
    <cfRule type="expression" dxfId="7384" priority="578">
      <formula>B67=""</formula>
    </cfRule>
  </conditionalFormatting>
  <conditionalFormatting sqref="D68">
    <cfRule type="expression" dxfId="7383" priority="577">
      <formula>B68=""</formula>
    </cfRule>
  </conditionalFormatting>
  <conditionalFormatting sqref="D69">
    <cfRule type="expression" dxfId="7382" priority="576">
      <formula>B69=""</formula>
    </cfRule>
  </conditionalFormatting>
  <conditionalFormatting sqref="D70">
    <cfRule type="expression" dxfId="7381" priority="575">
      <formula>B70=""</formula>
    </cfRule>
  </conditionalFormatting>
  <conditionalFormatting sqref="D71">
    <cfRule type="expression" dxfId="7380" priority="574">
      <formula>B71=""</formula>
    </cfRule>
  </conditionalFormatting>
  <conditionalFormatting sqref="D72">
    <cfRule type="expression" dxfId="7379" priority="573">
      <formula>B72=""</formula>
    </cfRule>
  </conditionalFormatting>
  <conditionalFormatting sqref="E52 E54 E56 E58 E60 E62 E64 E66 E68 E70">
    <cfRule type="expression" dxfId="7378" priority="572">
      <formula>B52=""</formula>
    </cfRule>
  </conditionalFormatting>
  <conditionalFormatting sqref="E53 E55 E57 E59 E61 E63 E65 E67 E69 E71">
    <cfRule type="expression" dxfId="7377" priority="571">
      <formula>B53=""</formula>
    </cfRule>
  </conditionalFormatting>
  <conditionalFormatting sqref="E54:E64">
    <cfRule type="expression" dxfId="7376" priority="570">
      <formula>B54=""</formula>
    </cfRule>
  </conditionalFormatting>
  <conditionalFormatting sqref="E65">
    <cfRule type="expression" dxfId="7375" priority="569">
      <formula>B65=""</formula>
    </cfRule>
  </conditionalFormatting>
  <conditionalFormatting sqref="E66">
    <cfRule type="expression" dxfId="7374" priority="568">
      <formula>B66=""</formula>
    </cfRule>
  </conditionalFormatting>
  <conditionalFormatting sqref="E67">
    <cfRule type="expression" dxfId="7373" priority="567">
      <formula>B67=""</formula>
    </cfRule>
  </conditionalFormatting>
  <conditionalFormatting sqref="E68">
    <cfRule type="expression" dxfId="7372" priority="566">
      <formula>B68=""</formula>
    </cfRule>
  </conditionalFormatting>
  <conditionalFormatting sqref="E69">
    <cfRule type="expression" dxfId="7371" priority="565">
      <formula>B69=""</formula>
    </cfRule>
  </conditionalFormatting>
  <conditionalFormatting sqref="E70">
    <cfRule type="expression" dxfId="7370" priority="564">
      <formula>B70=""</formula>
    </cfRule>
  </conditionalFormatting>
  <conditionalFormatting sqref="E71">
    <cfRule type="expression" dxfId="7369" priority="563">
      <formula>B71=""</formula>
    </cfRule>
  </conditionalFormatting>
  <conditionalFormatting sqref="E72">
    <cfRule type="expression" dxfId="7368" priority="562">
      <formula>B72=""</formula>
    </cfRule>
  </conditionalFormatting>
  <conditionalFormatting sqref="F52 F54 F56 F58 F60 F62 F64 F66 F68 F70">
    <cfRule type="expression" dxfId="7367" priority="561">
      <formula>B52=""</formula>
    </cfRule>
  </conditionalFormatting>
  <conditionalFormatting sqref="F53 F55 F57 F59 F61 F63 F65 F67 F69 F71">
    <cfRule type="expression" dxfId="7366" priority="560">
      <formula>B53=""</formula>
    </cfRule>
  </conditionalFormatting>
  <conditionalFormatting sqref="F54:F64">
    <cfRule type="expression" dxfId="7365" priority="559">
      <formula>B54=""</formula>
    </cfRule>
  </conditionalFormatting>
  <conditionalFormatting sqref="F65">
    <cfRule type="expression" dxfId="7364" priority="558">
      <formula>B65=""</formula>
    </cfRule>
  </conditionalFormatting>
  <conditionalFormatting sqref="F66">
    <cfRule type="expression" dxfId="7363" priority="557">
      <formula>B66=""</formula>
    </cfRule>
  </conditionalFormatting>
  <conditionalFormatting sqref="F67">
    <cfRule type="expression" dxfId="7362" priority="556">
      <formula>B67=""</formula>
    </cfRule>
  </conditionalFormatting>
  <conditionalFormatting sqref="F68">
    <cfRule type="expression" dxfId="7361" priority="555">
      <formula>B68=""</formula>
    </cfRule>
  </conditionalFormatting>
  <conditionalFormatting sqref="F69">
    <cfRule type="expression" dxfId="7360" priority="554">
      <formula>B69=""</formula>
    </cfRule>
  </conditionalFormatting>
  <conditionalFormatting sqref="F70">
    <cfRule type="expression" dxfId="7359" priority="553">
      <formula>B70=""</formula>
    </cfRule>
  </conditionalFormatting>
  <conditionalFormatting sqref="F71">
    <cfRule type="expression" dxfId="7358" priority="552">
      <formula>B71=""</formula>
    </cfRule>
  </conditionalFormatting>
  <conditionalFormatting sqref="F72">
    <cfRule type="expression" dxfId="7357" priority="551">
      <formula>B72=""</formula>
    </cfRule>
  </conditionalFormatting>
  <conditionalFormatting sqref="E53 E55 E57 E59 E61 E63 E65 E67 E69 E71">
    <cfRule type="expression" dxfId="7356" priority="550">
      <formula>B53=""</formula>
    </cfRule>
  </conditionalFormatting>
  <conditionalFormatting sqref="E54:E64">
    <cfRule type="expression" dxfId="7355" priority="549">
      <formula>B54=""</formula>
    </cfRule>
  </conditionalFormatting>
  <conditionalFormatting sqref="E65">
    <cfRule type="expression" dxfId="7354" priority="548">
      <formula>B65=""</formula>
    </cfRule>
  </conditionalFormatting>
  <conditionalFormatting sqref="E66">
    <cfRule type="expression" dxfId="7353" priority="547">
      <formula>B66=""</formula>
    </cfRule>
  </conditionalFormatting>
  <conditionalFormatting sqref="E67">
    <cfRule type="expression" dxfId="7352" priority="546">
      <formula>B67=""</formula>
    </cfRule>
  </conditionalFormatting>
  <conditionalFormatting sqref="E68">
    <cfRule type="expression" dxfId="7351" priority="545">
      <formula>B68=""</formula>
    </cfRule>
  </conditionalFormatting>
  <conditionalFormatting sqref="E69">
    <cfRule type="expression" dxfId="7350" priority="544">
      <formula>B69=""</formula>
    </cfRule>
  </conditionalFormatting>
  <conditionalFormatting sqref="E70">
    <cfRule type="expression" dxfId="7349" priority="543">
      <formula>B70=""</formula>
    </cfRule>
  </conditionalFormatting>
  <conditionalFormatting sqref="E71">
    <cfRule type="expression" dxfId="7348" priority="542">
      <formula>B71=""</formula>
    </cfRule>
  </conditionalFormatting>
  <conditionalFormatting sqref="E72">
    <cfRule type="expression" dxfId="7347" priority="541">
      <formula>B72=""</formula>
    </cfRule>
  </conditionalFormatting>
  <conditionalFormatting sqref="G52 G54 G56 G58 G60 G62 G64 G66 G68 G70">
    <cfRule type="expression" dxfId="7346" priority="540">
      <formula>B52=""</formula>
    </cfRule>
  </conditionalFormatting>
  <conditionalFormatting sqref="G53 G55 G57 G59 G61 G63 G65 G67 G69 G71">
    <cfRule type="expression" dxfId="7345" priority="539">
      <formula>B53=""</formula>
    </cfRule>
  </conditionalFormatting>
  <conditionalFormatting sqref="G54:G64">
    <cfRule type="expression" dxfId="7344" priority="538">
      <formula>B54=""</formula>
    </cfRule>
  </conditionalFormatting>
  <conditionalFormatting sqref="G65">
    <cfRule type="expression" dxfId="7343" priority="537">
      <formula>B65=""</formula>
    </cfRule>
  </conditionalFormatting>
  <conditionalFormatting sqref="G66">
    <cfRule type="expression" dxfId="7342" priority="536">
      <formula>B66=""</formula>
    </cfRule>
  </conditionalFormatting>
  <conditionalFormatting sqref="G67">
    <cfRule type="expression" dxfId="7341" priority="535">
      <formula>B67=""</formula>
    </cfRule>
  </conditionalFormatting>
  <conditionalFormatting sqref="G68">
    <cfRule type="expression" dxfId="7340" priority="534">
      <formula>B68=""</formula>
    </cfRule>
  </conditionalFormatting>
  <conditionalFormatting sqref="G69">
    <cfRule type="expression" dxfId="7339" priority="533">
      <formula>B69=""</formula>
    </cfRule>
  </conditionalFormatting>
  <conditionalFormatting sqref="G70">
    <cfRule type="expression" dxfId="7338" priority="532">
      <formula>B70=""</formula>
    </cfRule>
  </conditionalFormatting>
  <conditionalFormatting sqref="G71">
    <cfRule type="expression" dxfId="7337" priority="531">
      <formula>B71=""</formula>
    </cfRule>
  </conditionalFormatting>
  <conditionalFormatting sqref="G72">
    <cfRule type="expression" dxfId="7336" priority="530">
      <formula>B72=""</formula>
    </cfRule>
  </conditionalFormatting>
  <conditionalFormatting sqref="H52 H54 H56 H58 H60 H62 H64 H66 H68 H70">
    <cfRule type="expression" dxfId="7335" priority="529">
      <formula>B52=""</formula>
    </cfRule>
  </conditionalFormatting>
  <conditionalFormatting sqref="H53 H55 H57 H59 H61 H63 H65 H67 H69 H71">
    <cfRule type="expression" dxfId="7334" priority="528">
      <formula>B53=""</formula>
    </cfRule>
  </conditionalFormatting>
  <conditionalFormatting sqref="H54:H64">
    <cfRule type="expression" dxfId="7333" priority="527">
      <formula>B54=""</formula>
    </cfRule>
  </conditionalFormatting>
  <conditionalFormatting sqref="H65">
    <cfRule type="expression" dxfId="7332" priority="526">
      <formula>B65=""</formula>
    </cfRule>
  </conditionalFormatting>
  <conditionalFormatting sqref="H66">
    <cfRule type="expression" dxfId="7331" priority="525">
      <formula>B66=""</formula>
    </cfRule>
  </conditionalFormatting>
  <conditionalFormatting sqref="H67">
    <cfRule type="expression" dxfId="7330" priority="524">
      <formula>B67=""</formula>
    </cfRule>
  </conditionalFormatting>
  <conditionalFormatting sqref="H68">
    <cfRule type="expression" dxfId="7329" priority="523">
      <formula>B68=""</formula>
    </cfRule>
  </conditionalFormatting>
  <conditionalFormatting sqref="H69">
    <cfRule type="expression" dxfId="7328" priority="522">
      <formula>B69=""</formula>
    </cfRule>
  </conditionalFormatting>
  <conditionalFormatting sqref="H70">
    <cfRule type="expression" dxfId="7327" priority="521">
      <formula>B70=""</formula>
    </cfRule>
  </conditionalFormatting>
  <conditionalFormatting sqref="H71">
    <cfRule type="expression" dxfId="7326" priority="520">
      <formula>B71=""</formula>
    </cfRule>
  </conditionalFormatting>
  <conditionalFormatting sqref="H72">
    <cfRule type="expression" dxfId="7325" priority="519">
      <formula>B72=""</formula>
    </cfRule>
  </conditionalFormatting>
  <conditionalFormatting sqref="C74:C94">
    <cfRule type="expression" dxfId="7324" priority="518">
      <formula>B74=""</formula>
    </cfRule>
  </conditionalFormatting>
  <conditionalFormatting sqref="C75 C77 C79 C81 C83 C85 C87 C89 C91 C93">
    <cfRule type="expression" dxfId="7323" priority="517">
      <formula>B75=""</formula>
    </cfRule>
  </conditionalFormatting>
  <conditionalFormatting sqref="C76:C86">
    <cfRule type="expression" dxfId="7322" priority="516">
      <formula>B76=""</formula>
    </cfRule>
  </conditionalFormatting>
  <conditionalFormatting sqref="C87">
    <cfRule type="expression" dxfId="7321" priority="515">
      <formula>B87=""</formula>
    </cfRule>
  </conditionalFormatting>
  <conditionalFormatting sqref="C88">
    <cfRule type="expression" dxfId="7320" priority="514">
      <formula>B88=""</formula>
    </cfRule>
  </conditionalFormatting>
  <conditionalFormatting sqref="C89">
    <cfRule type="expression" dxfId="7319" priority="513">
      <formula>B89=""</formula>
    </cfRule>
  </conditionalFormatting>
  <conditionalFormatting sqref="C90">
    <cfRule type="expression" dxfId="7318" priority="512">
      <formula>B90=""</formula>
    </cfRule>
  </conditionalFormatting>
  <conditionalFormatting sqref="C91">
    <cfRule type="expression" dxfId="7317" priority="511">
      <formula>B91=""</formula>
    </cfRule>
  </conditionalFormatting>
  <conditionalFormatting sqref="C92">
    <cfRule type="expression" dxfId="7316" priority="510">
      <formula>B92=""</formula>
    </cfRule>
  </conditionalFormatting>
  <conditionalFormatting sqref="C93">
    <cfRule type="expression" dxfId="7315" priority="509">
      <formula>B93=""</formula>
    </cfRule>
  </conditionalFormatting>
  <conditionalFormatting sqref="C94">
    <cfRule type="expression" dxfId="7314" priority="508">
      <formula>B94=""</formula>
    </cfRule>
  </conditionalFormatting>
  <conditionalFormatting sqref="D74 D76 D78 D80 D82 D84 D86 D88 D90 D92">
    <cfRule type="expression" dxfId="7313" priority="507">
      <formula>B74=""</formula>
    </cfRule>
  </conditionalFormatting>
  <conditionalFormatting sqref="D75 D77 D79 D81 D83 D85 D87 D89 D91 D93">
    <cfRule type="expression" dxfId="7312" priority="506">
      <formula>B75=""</formula>
    </cfRule>
  </conditionalFormatting>
  <conditionalFormatting sqref="D76:D86">
    <cfRule type="expression" dxfId="7311" priority="505">
      <formula>B76=""</formula>
    </cfRule>
  </conditionalFormatting>
  <conditionalFormatting sqref="D87">
    <cfRule type="expression" dxfId="7310" priority="504">
      <formula>B87=""</formula>
    </cfRule>
  </conditionalFormatting>
  <conditionalFormatting sqref="D88">
    <cfRule type="expression" dxfId="7309" priority="503">
      <formula>B88=""</formula>
    </cfRule>
  </conditionalFormatting>
  <conditionalFormatting sqref="D89">
    <cfRule type="expression" dxfId="7308" priority="502">
      <formula>B89=""</formula>
    </cfRule>
  </conditionalFormatting>
  <conditionalFormatting sqref="D90">
    <cfRule type="expression" dxfId="7307" priority="501">
      <formula>B90=""</formula>
    </cfRule>
  </conditionalFormatting>
  <conditionalFormatting sqref="D91">
    <cfRule type="expression" dxfId="7306" priority="500">
      <formula>B91=""</formula>
    </cfRule>
  </conditionalFormatting>
  <conditionalFormatting sqref="D92">
    <cfRule type="expression" dxfId="7305" priority="499">
      <formula>B92=""</formula>
    </cfRule>
  </conditionalFormatting>
  <conditionalFormatting sqref="D93">
    <cfRule type="expression" dxfId="7304" priority="498">
      <formula>B93=""</formula>
    </cfRule>
  </conditionalFormatting>
  <conditionalFormatting sqref="D94">
    <cfRule type="expression" dxfId="7303" priority="497">
      <formula>B94=""</formula>
    </cfRule>
  </conditionalFormatting>
  <conditionalFormatting sqref="E74 E76 E78 E80 E82 E84 E86 E88 E90 E92">
    <cfRule type="expression" dxfId="7302" priority="496">
      <formula>B74=""</formula>
    </cfRule>
  </conditionalFormatting>
  <conditionalFormatting sqref="E75 E77 E79 E81 E83 E85 E87 E89 E91 E93">
    <cfRule type="expression" dxfId="7301" priority="495">
      <formula>B75=""</formula>
    </cfRule>
  </conditionalFormatting>
  <conditionalFormatting sqref="E76:E86">
    <cfRule type="expression" dxfId="7300" priority="494">
      <formula>B76=""</formula>
    </cfRule>
  </conditionalFormatting>
  <conditionalFormatting sqref="E87">
    <cfRule type="expression" dxfId="7299" priority="493">
      <formula>B87=""</formula>
    </cfRule>
  </conditionalFormatting>
  <conditionalFormatting sqref="E88">
    <cfRule type="expression" dxfId="7298" priority="492">
      <formula>B88=""</formula>
    </cfRule>
  </conditionalFormatting>
  <conditionalFormatting sqref="E89">
    <cfRule type="expression" dxfId="7297" priority="491">
      <formula>B89=""</formula>
    </cfRule>
  </conditionalFormatting>
  <conditionalFormatting sqref="E90">
    <cfRule type="expression" dxfId="7296" priority="490">
      <formula>B90=""</formula>
    </cfRule>
  </conditionalFormatting>
  <conditionalFormatting sqref="E91">
    <cfRule type="expression" dxfId="7295" priority="489">
      <formula>B91=""</formula>
    </cfRule>
  </conditionalFormatting>
  <conditionalFormatting sqref="E92">
    <cfRule type="expression" dxfId="7294" priority="488">
      <formula>B92=""</formula>
    </cfRule>
  </conditionalFormatting>
  <conditionalFormatting sqref="E93">
    <cfRule type="expression" dxfId="7293" priority="487">
      <formula>B93=""</formula>
    </cfRule>
  </conditionalFormatting>
  <conditionalFormatting sqref="E94">
    <cfRule type="expression" dxfId="7292" priority="486">
      <formula>B94=""</formula>
    </cfRule>
  </conditionalFormatting>
  <conditionalFormatting sqref="F74 F76 F78 F80 F82 F84 F86 F88 F90 F92">
    <cfRule type="expression" dxfId="7291" priority="485">
      <formula>B74=""</formula>
    </cfRule>
  </conditionalFormatting>
  <conditionalFormatting sqref="F75 F77 F79 F81 F83 F85 F87 F89 F91 F93">
    <cfRule type="expression" dxfId="7290" priority="484">
      <formula>B75=""</formula>
    </cfRule>
  </conditionalFormatting>
  <conditionalFormatting sqref="F76:F86">
    <cfRule type="expression" dxfId="7289" priority="483">
      <formula>B76=""</formula>
    </cfRule>
  </conditionalFormatting>
  <conditionalFormatting sqref="F87">
    <cfRule type="expression" dxfId="7288" priority="482">
      <formula>B87=""</formula>
    </cfRule>
  </conditionalFormatting>
  <conditionalFormatting sqref="F88">
    <cfRule type="expression" dxfId="7287" priority="481">
      <formula>B88=""</formula>
    </cfRule>
  </conditionalFormatting>
  <conditionalFormatting sqref="F89">
    <cfRule type="expression" dxfId="7286" priority="480">
      <formula>B89=""</formula>
    </cfRule>
  </conditionalFormatting>
  <conditionalFormatting sqref="F90">
    <cfRule type="expression" dxfId="7285" priority="479">
      <formula>B90=""</formula>
    </cfRule>
  </conditionalFormatting>
  <conditionalFormatting sqref="F91">
    <cfRule type="expression" dxfId="7284" priority="478">
      <formula>B91=""</formula>
    </cfRule>
  </conditionalFormatting>
  <conditionalFormatting sqref="F92">
    <cfRule type="expression" dxfId="7283" priority="477">
      <formula>B92=""</formula>
    </cfRule>
  </conditionalFormatting>
  <conditionalFormatting sqref="F93">
    <cfRule type="expression" dxfId="7282" priority="476">
      <formula>B93=""</formula>
    </cfRule>
  </conditionalFormatting>
  <conditionalFormatting sqref="F94">
    <cfRule type="expression" dxfId="7281" priority="475">
      <formula>B94=""</formula>
    </cfRule>
  </conditionalFormatting>
  <conditionalFormatting sqref="E75 E77 E79 E81 E83 E85 E87 E89 E91 E93">
    <cfRule type="expression" dxfId="7280" priority="474">
      <formula>B75=""</formula>
    </cfRule>
  </conditionalFormatting>
  <conditionalFormatting sqref="E76:E86">
    <cfRule type="expression" dxfId="7279" priority="473">
      <formula>B76=""</formula>
    </cfRule>
  </conditionalFormatting>
  <conditionalFormatting sqref="E87">
    <cfRule type="expression" dxfId="7278" priority="472">
      <formula>B87=""</formula>
    </cfRule>
  </conditionalFormatting>
  <conditionalFormatting sqref="E88">
    <cfRule type="expression" dxfId="7277" priority="471">
      <formula>B88=""</formula>
    </cfRule>
  </conditionalFormatting>
  <conditionalFormatting sqref="E89">
    <cfRule type="expression" dxfId="7276" priority="470">
      <formula>B89=""</formula>
    </cfRule>
  </conditionalFormatting>
  <conditionalFormatting sqref="E90">
    <cfRule type="expression" dxfId="7275" priority="469">
      <formula>B90=""</formula>
    </cfRule>
  </conditionalFormatting>
  <conditionalFormatting sqref="E91">
    <cfRule type="expression" dxfId="7274" priority="468">
      <formula>B91=""</formula>
    </cfRule>
  </conditionalFormatting>
  <conditionalFormatting sqref="E92">
    <cfRule type="expression" dxfId="7273" priority="467">
      <formula>B92=""</formula>
    </cfRule>
  </conditionalFormatting>
  <conditionalFormatting sqref="E93">
    <cfRule type="expression" dxfId="7272" priority="466">
      <formula>B93=""</formula>
    </cfRule>
  </conditionalFormatting>
  <conditionalFormatting sqref="E94">
    <cfRule type="expression" dxfId="7271" priority="465">
      <formula>B94=""</formula>
    </cfRule>
  </conditionalFormatting>
  <conditionalFormatting sqref="G74 G76 G78 G80 G82 G84 G86 G88 G90 G92">
    <cfRule type="expression" dxfId="7270" priority="464">
      <formula>B74=""</formula>
    </cfRule>
  </conditionalFormatting>
  <conditionalFormatting sqref="G75 G77 G79 G81 G83 G85 G87 G89 G91 G93">
    <cfRule type="expression" dxfId="7269" priority="463">
      <formula>B75=""</formula>
    </cfRule>
  </conditionalFormatting>
  <conditionalFormatting sqref="G76:G86">
    <cfRule type="expression" dxfId="7268" priority="462">
      <formula>B76=""</formula>
    </cfRule>
  </conditionalFormatting>
  <conditionalFormatting sqref="G87">
    <cfRule type="expression" dxfId="7267" priority="461">
      <formula>B87=""</formula>
    </cfRule>
  </conditionalFormatting>
  <conditionalFormatting sqref="G88">
    <cfRule type="expression" dxfId="7266" priority="460">
      <formula>B88=""</formula>
    </cfRule>
  </conditionalFormatting>
  <conditionalFormatting sqref="G89">
    <cfRule type="expression" dxfId="7265" priority="459">
      <formula>B89=""</formula>
    </cfRule>
  </conditionalFormatting>
  <conditionalFormatting sqref="G90">
    <cfRule type="expression" dxfId="7264" priority="458">
      <formula>B90=""</formula>
    </cfRule>
  </conditionalFormatting>
  <conditionalFormatting sqref="G91">
    <cfRule type="expression" dxfId="7263" priority="457">
      <formula>B91=""</formula>
    </cfRule>
  </conditionalFormatting>
  <conditionalFormatting sqref="G92">
    <cfRule type="expression" dxfId="7262" priority="456">
      <formula>B92=""</formula>
    </cfRule>
  </conditionalFormatting>
  <conditionalFormatting sqref="G93">
    <cfRule type="expression" dxfId="7261" priority="455">
      <formula>B93=""</formula>
    </cfRule>
  </conditionalFormatting>
  <conditionalFormatting sqref="G94">
    <cfRule type="expression" dxfId="7260" priority="454">
      <formula>B94=""</formula>
    </cfRule>
  </conditionalFormatting>
  <conditionalFormatting sqref="H74 H76 H78 H80 H82 H84 H86 H88 H90 H92">
    <cfRule type="expression" dxfId="7259" priority="453">
      <formula>B74=""</formula>
    </cfRule>
  </conditionalFormatting>
  <conditionalFormatting sqref="H75 H77 H79 H81 H83 H85 H87 H89 H91 H93">
    <cfRule type="expression" dxfId="7258" priority="452">
      <formula>B75=""</formula>
    </cfRule>
  </conditionalFormatting>
  <conditionalFormatting sqref="H76:H86">
    <cfRule type="expression" dxfId="7257" priority="451">
      <formula>B76=""</formula>
    </cfRule>
  </conditionalFormatting>
  <conditionalFormatting sqref="H87">
    <cfRule type="expression" dxfId="7256" priority="450">
      <formula>B87=""</formula>
    </cfRule>
  </conditionalFormatting>
  <conditionalFormatting sqref="H88">
    <cfRule type="expression" dxfId="7255" priority="449">
      <formula>B88=""</formula>
    </cfRule>
  </conditionalFormatting>
  <conditionalFormatting sqref="H89">
    <cfRule type="expression" dxfId="7254" priority="448">
      <formula>B89=""</formula>
    </cfRule>
  </conditionalFormatting>
  <conditionalFormatting sqref="H90">
    <cfRule type="expression" dxfId="7253" priority="447">
      <formula>B90=""</formula>
    </cfRule>
  </conditionalFormatting>
  <conditionalFormatting sqref="H91">
    <cfRule type="expression" dxfId="7252" priority="446">
      <formula>B91=""</formula>
    </cfRule>
  </conditionalFormatting>
  <conditionalFormatting sqref="H92">
    <cfRule type="expression" dxfId="7251" priority="445">
      <formula>B92=""</formula>
    </cfRule>
  </conditionalFormatting>
  <conditionalFormatting sqref="H93">
    <cfRule type="expression" dxfId="7250" priority="444">
      <formula>B93=""</formula>
    </cfRule>
  </conditionalFormatting>
  <conditionalFormatting sqref="H94">
    <cfRule type="expression" dxfId="7249" priority="443">
      <formula>B94=""</formula>
    </cfRule>
  </conditionalFormatting>
  <conditionalFormatting sqref="C49">
    <cfRule type="expression" dxfId="7248" priority="442">
      <formula>B49=""</formula>
    </cfRule>
  </conditionalFormatting>
  <conditionalFormatting sqref="C71">
    <cfRule type="expression" dxfId="7247" priority="441">
      <formula>B71=""</formula>
    </cfRule>
  </conditionalFormatting>
  <conditionalFormatting sqref="C93">
    <cfRule type="expression" dxfId="7246" priority="440">
      <formula>B93=""</formula>
    </cfRule>
  </conditionalFormatting>
  <conditionalFormatting sqref="C8:C27">
    <cfRule type="expression" dxfId="7245" priority="439">
      <formula>B8=""</formula>
    </cfRule>
  </conditionalFormatting>
  <conditionalFormatting sqref="C9 C11 C13 C15 C17 C19 C21 C23 C25 C27">
    <cfRule type="expression" dxfId="7244" priority="438">
      <formula>B9=""</formula>
    </cfRule>
  </conditionalFormatting>
  <conditionalFormatting sqref="C10:C20">
    <cfRule type="expression" dxfId="7243" priority="437">
      <formula>B10=""</formula>
    </cfRule>
  </conditionalFormatting>
  <conditionalFormatting sqref="C21">
    <cfRule type="expression" dxfId="7242" priority="436">
      <formula>B21=""</formula>
    </cfRule>
  </conditionalFormatting>
  <conditionalFormatting sqref="C22">
    <cfRule type="expression" dxfId="7241" priority="435">
      <formula>B22=""</formula>
    </cfRule>
  </conditionalFormatting>
  <conditionalFormatting sqref="C23">
    <cfRule type="expression" dxfId="7240" priority="434">
      <formula>B23=""</formula>
    </cfRule>
  </conditionalFormatting>
  <conditionalFormatting sqref="C24">
    <cfRule type="expression" dxfId="7239" priority="433">
      <formula>B24=""</formula>
    </cfRule>
  </conditionalFormatting>
  <conditionalFormatting sqref="C25">
    <cfRule type="expression" dxfId="7238" priority="432">
      <formula>B25=""</formula>
    </cfRule>
  </conditionalFormatting>
  <conditionalFormatting sqref="C26">
    <cfRule type="expression" dxfId="7237" priority="431">
      <formula>B26=""</formula>
    </cfRule>
  </conditionalFormatting>
  <conditionalFormatting sqref="C27">
    <cfRule type="expression" dxfId="7236" priority="430">
      <formula>B27=""</formula>
    </cfRule>
  </conditionalFormatting>
  <conditionalFormatting sqref="C28">
    <cfRule type="expression" dxfId="7235" priority="429">
      <formula>B28=""</formula>
    </cfRule>
  </conditionalFormatting>
  <conditionalFormatting sqref="C30:C50">
    <cfRule type="expression" dxfId="7234" priority="428">
      <formula>B30=""</formula>
    </cfRule>
  </conditionalFormatting>
  <conditionalFormatting sqref="C31 C33 C35 C37 C39 C41 C43 C45 C47 C49">
    <cfRule type="expression" dxfId="7233" priority="427">
      <formula>B31=""</formula>
    </cfRule>
  </conditionalFormatting>
  <conditionalFormatting sqref="C32:C42">
    <cfRule type="expression" dxfId="7232" priority="426">
      <formula>B32=""</formula>
    </cfRule>
  </conditionalFormatting>
  <conditionalFormatting sqref="C43">
    <cfRule type="expression" dxfId="7231" priority="425">
      <formula>B43=""</formula>
    </cfRule>
  </conditionalFormatting>
  <conditionalFormatting sqref="C44">
    <cfRule type="expression" dxfId="7230" priority="424">
      <formula>B44=""</formula>
    </cfRule>
  </conditionalFormatting>
  <conditionalFormatting sqref="C45">
    <cfRule type="expression" dxfId="7229" priority="423">
      <formula>B45=""</formula>
    </cfRule>
  </conditionalFormatting>
  <conditionalFormatting sqref="C46">
    <cfRule type="expression" dxfId="7228" priority="422">
      <formula>B46=""</formula>
    </cfRule>
  </conditionalFormatting>
  <conditionalFormatting sqref="C47">
    <cfRule type="expression" dxfId="7227" priority="421">
      <formula>B47=""</formula>
    </cfRule>
  </conditionalFormatting>
  <conditionalFormatting sqref="C48">
    <cfRule type="expression" dxfId="7226" priority="420">
      <formula>B48=""</formula>
    </cfRule>
  </conditionalFormatting>
  <conditionalFormatting sqref="C49">
    <cfRule type="expression" dxfId="7225" priority="419">
      <formula>B49=""</formula>
    </cfRule>
  </conditionalFormatting>
  <conditionalFormatting sqref="C50">
    <cfRule type="expression" dxfId="7224" priority="418">
      <formula>B50=""</formula>
    </cfRule>
  </conditionalFormatting>
  <conditionalFormatting sqref="C52:C71">
    <cfRule type="expression" dxfId="7223" priority="417">
      <formula>B52=""</formula>
    </cfRule>
  </conditionalFormatting>
  <conditionalFormatting sqref="C53 C55 C57 C59 C61 C63 C65 C67 C69 C71">
    <cfRule type="expression" dxfId="7222" priority="416">
      <formula>B53=""</formula>
    </cfRule>
  </conditionalFormatting>
  <conditionalFormatting sqref="C54:C64">
    <cfRule type="expression" dxfId="7221" priority="415">
      <formula>B54=""</formula>
    </cfRule>
  </conditionalFormatting>
  <conditionalFormatting sqref="C65">
    <cfRule type="expression" dxfId="7220" priority="414">
      <formula>B65=""</formula>
    </cfRule>
  </conditionalFormatting>
  <conditionalFormatting sqref="C66">
    <cfRule type="expression" dxfId="7219" priority="413">
      <formula>B66=""</formula>
    </cfRule>
  </conditionalFormatting>
  <conditionalFormatting sqref="C67">
    <cfRule type="expression" dxfId="7218" priority="412">
      <formula>B67=""</formula>
    </cfRule>
  </conditionalFormatting>
  <conditionalFormatting sqref="C68">
    <cfRule type="expression" dxfId="7217" priority="411">
      <formula>B68=""</formula>
    </cfRule>
  </conditionalFormatting>
  <conditionalFormatting sqref="C69">
    <cfRule type="expression" dxfId="7216" priority="410">
      <formula>B69=""</formula>
    </cfRule>
  </conditionalFormatting>
  <conditionalFormatting sqref="C70">
    <cfRule type="expression" dxfId="7215" priority="409">
      <formula>B70=""</formula>
    </cfRule>
  </conditionalFormatting>
  <conditionalFormatting sqref="C71">
    <cfRule type="expression" dxfId="7214" priority="408">
      <formula>B71=""</formula>
    </cfRule>
  </conditionalFormatting>
  <conditionalFormatting sqref="C72">
    <cfRule type="expression" dxfId="7213" priority="407">
      <formula>B72=""</formula>
    </cfRule>
  </conditionalFormatting>
  <conditionalFormatting sqref="C74:C94">
    <cfRule type="expression" dxfId="7212" priority="406">
      <formula>B74=""</formula>
    </cfRule>
  </conditionalFormatting>
  <conditionalFormatting sqref="C75 C77 C79 C81 C83 C85 C87 C89 C91 C93">
    <cfRule type="expression" dxfId="7211" priority="405">
      <formula>B75=""</formula>
    </cfRule>
  </conditionalFormatting>
  <conditionalFormatting sqref="C76:C86">
    <cfRule type="expression" dxfId="7210" priority="404">
      <formula>B76=""</formula>
    </cfRule>
  </conditionalFormatting>
  <conditionalFormatting sqref="C87">
    <cfRule type="expression" dxfId="7209" priority="403">
      <formula>B87=""</formula>
    </cfRule>
  </conditionalFormatting>
  <conditionalFormatting sqref="C88">
    <cfRule type="expression" dxfId="7208" priority="402">
      <formula>B88=""</formula>
    </cfRule>
  </conditionalFormatting>
  <conditionalFormatting sqref="C89">
    <cfRule type="expression" dxfId="7207" priority="401">
      <formula>B89=""</formula>
    </cfRule>
  </conditionalFormatting>
  <conditionalFormatting sqref="C90">
    <cfRule type="expression" dxfId="7206" priority="400">
      <formula>B90=""</formula>
    </cfRule>
  </conditionalFormatting>
  <conditionalFormatting sqref="C91">
    <cfRule type="expression" dxfId="7205" priority="399">
      <formula>B91=""</formula>
    </cfRule>
  </conditionalFormatting>
  <conditionalFormatting sqref="C92">
    <cfRule type="expression" dxfId="7204" priority="398">
      <formula>B92=""</formula>
    </cfRule>
  </conditionalFormatting>
  <conditionalFormatting sqref="C93">
    <cfRule type="expression" dxfId="7203" priority="397">
      <formula>B93=""</formula>
    </cfRule>
  </conditionalFormatting>
  <conditionalFormatting sqref="C94">
    <cfRule type="expression" dxfId="7202" priority="396">
      <formula>B94=""</formula>
    </cfRule>
  </conditionalFormatting>
  <conditionalFormatting sqref="C8 C10 C12 C14 C16 C18 C20 C22 C24 C26">
    <cfRule type="expression" dxfId="7201" priority="395">
      <formula>B8=""</formula>
    </cfRule>
  </conditionalFormatting>
  <conditionalFormatting sqref="C9 C11 C13 C15 C17 C19 C21 C23 C25 C27">
    <cfRule type="expression" dxfId="7200" priority="394">
      <formula>B9=""</formula>
    </cfRule>
  </conditionalFormatting>
  <conditionalFormatting sqref="C10:C20">
    <cfRule type="expression" dxfId="7199" priority="393">
      <formula>B10=""</formula>
    </cfRule>
  </conditionalFormatting>
  <conditionalFormatting sqref="C21">
    <cfRule type="expression" dxfId="7198" priority="392">
      <formula>B21=""</formula>
    </cfRule>
  </conditionalFormatting>
  <conditionalFormatting sqref="C22">
    <cfRule type="expression" dxfId="7197" priority="391">
      <formula>B22=""</formula>
    </cfRule>
  </conditionalFormatting>
  <conditionalFormatting sqref="C23">
    <cfRule type="expression" dxfId="7196" priority="390">
      <formula>B23=""</formula>
    </cfRule>
  </conditionalFormatting>
  <conditionalFormatting sqref="C24">
    <cfRule type="expression" dxfId="7195" priority="389">
      <formula>B24=""</formula>
    </cfRule>
  </conditionalFormatting>
  <conditionalFormatting sqref="C25">
    <cfRule type="expression" dxfId="7194" priority="388">
      <formula>B25=""</formula>
    </cfRule>
  </conditionalFormatting>
  <conditionalFormatting sqref="C26">
    <cfRule type="expression" dxfId="7193" priority="387">
      <formula>B26=""</formula>
    </cfRule>
  </conditionalFormatting>
  <conditionalFormatting sqref="C27">
    <cfRule type="expression" dxfId="7192" priority="386">
      <formula>B27=""</formula>
    </cfRule>
  </conditionalFormatting>
  <conditionalFormatting sqref="D8 D10 D12 D14 D16 D18 D20 D22 D24 D26">
    <cfRule type="expression" dxfId="7191" priority="385">
      <formula>B8=""</formula>
    </cfRule>
  </conditionalFormatting>
  <conditionalFormatting sqref="D9 D11 D13 D15 D17 D19 D21 D23 D25 D27">
    <cfRule type="expression" dxfId="7190" priority="384">
      <formula>B9=""</formula>
    </cfRule>
  </conditionalFormatting>
  <conditionalFormatting sqref="D10:D20">
    <cfRule type="expression" dxfId="7189" priority="383">
      <formula>B10=""</formula>
    </cfRule>
  </conditionalFormatting>
  <conditionalFormatting sqref="D21">
    <cfRule type="expression" dxfId="7188" priority="382">
      <formula>B21=""</formula>
    </cfRule>
  </conditionalFormatting>
  <conditionalFormatting sqref="D22">
    <cfRule type="expression" dxfId="7187" priority="381">
      <formula>B22=""</formula>
    </cfRule>
  </conditionalFormatting>
  <conditionalFormatting sqref="D23">
    <cfRule type="expression" dxfId="7186" priority="380">
      <formula>B23=""</formula>
    </cfRule>
  </conditionalFormatting>
  <conditionalFormatting sqref="D24">
    <cfRule type="expression" dxfId="7185" priority="379">
      <formula>B24=""</formula>
    </cfRule>
  </conditionalFormatting>
  <conditionalFormatting sqref="D25">
    <cfRule type="expression" dxfId="7184" priority="378">
      <formula>B25=""</formula>
    </cfRule>
  </conditionalFormatting>
  <conditionalFormatting sqref="D26">
    <cfRule type="expression" dxfId="7183" priority="377">
      <formula>B26=""</formula>
    </cfRule>
  </conditionalFormatting>
  <conditionalFormatting sqref="D27">
    <cfRule type="expression" dxfId="7182" priority="376">
      <formula>B27=""</formula>
    </cfRule>
  </conditionalFormatting>
  <conditionalFormatting sqref="E8:E27">
    <cfRule type="expression" dxfId="7181" priority="375">
      <formula>B8=""</formula>
    </cfRule>
  </conditionalFormatting>
  <conditionalFormatting sqref="E9 E11 E13 E15 E17 E19 E21 E23 E25 E27">
    <cfRule type="expression" dxfId="7180" priority="374">
      <formula>B9=""</formula>
    </cfRule>
  </conditionalFormatting>
  <conditionalFormatting sqref="E10:E20">
    <cfRule type="expression" dxfId="7179" priority="373">
      <formula>B10=""</formula>
    </cfRule>
  </conditionalFormatting>
  <conditionalFormatting sqref="E21">
    <cfRule type="expression" dxfId="7178" priority="372">
      <formula>B21=""</formula>
    </cfRule>
  </conditionalFormatting>
  <conditionalFormatting sqref="E22">
    <cfRule type="expression" dxfId="7177" priority="371">
      <formula>B22=""</formula>
    </cfRule>
  </conditionalFormatting>
  <conditionalFormatting sqref="E23">
    <cfRule type="expression" dxfId="7176" priority="370">
      <formula>B23=""</formula>
    </cfRule>
  </conditionalFormatting>
  <conditionalFormatting sqref="E24">
    <cfRule type="expression" dxfId="7175" priority="369">
      <formula>B24=""</formula>
    </cfRule>
  </conditionalFormatting>
  <conditionalFormatting sqref="E25">
    <cfRule type="expression" dxfId="7174" priority="368">
      <formula>B25=""</formula>
    </cfRule>
  </conditionalFormatting>
  <conditionalFormatting sqref="E26">
    <cfRule type="expression" dxfId="7173" priority="367">
      <formula>B26=""</formula>
    </cfRule>
  </conditionalFormatting>
  <conditionalFormatting sqref="E27">
    <cfRule type="expression" dxfId="7172" priority="366">
      <formula>B27=""</formula>
    </cfRule>
  </conditionalFormatting>
  <conditionalFormatting sqref="F8:F27">
    <cfRule type="expression" dxfId="7171" priority="365">
      <formula>B8=""</formula>
    </cfRule>
  </conditionalFormatting>
  <conditionalFormatting sqref="F9 F11 F13 F15 F17 F19 F21 F23 F25 F27">
    <cfRule type="expression" dxfId="7170" priority="364">
      <formula>B9=""</formula>
    </cfRule>
  </conditionalFormatting>
  <conditionalFormatting sqref="F10:F20">
    <cfRule type="expression" dxfId="7169" priority="363">
      <formula>B10=""</formula>
    </cfRule>
  </conditionalFormatting>
  <conditionalFormatting sqref="F21">
    <cfRule type="expression" dxfId="7168" priority="362">
      <formula>B21=""</formula>
    </cfRule>
  </conditionalFormatting>
  <conditionalFormatting sqref="F22">
    <cfRule type="expression" dxfId="7167" priority="361">
      <formula>B22=""</formula>
    </cfRule>
  </conditionalFormatting>
  <conditionalFormatting sqref="F23">
    <cfRule type="expression" dxfId="7166" priority="360">
      <formula>B23=""</formula>
    </cfRule>
  </conditionalFormatting>
  <conditionalFormatting sqref="F24">
    <cfRule type="expression" dxfId="7165" priority="359">
      <formula>B24=""</formula>
    </cfRule>
  </conditionalFormatting>
  <conditionalFormatting sqref="F25">
    <cfRule type="expression" dxfId="7164" priority="358">
      <formula>B25=""</formula>
    </cfRule>
  </conditionalFormatting>
  <conditionalFormatting sqref="F26">
    <cfRule type="expression" dxfId="7163" priority="357">
      <formula>B26=""</formula>
    </cfRule>
  </conditionalFormatting>
  <conditionalFormatting sqref="F27">
    <cfRule type="expression" dxfId="7162" priority="356">
      <formula>B27=""</formula>
    </cfRule>
  </conditionalFormatting>
  <conditionalFormatting sqref="E9 E11 E13 E15 E17 E19 E21 E23 E25 E27">
    <cfRule type="expression" dxfId="7161" priority="355">
      <formula>B9=""</formula>
    </cfRule>
  </conditionalFormatting>
  <conditionalFormatting sqref="E10:E20">
    <cfRule type="expression" dxfId="7160" priority="354">
      <formula>B10=""</formula>
    </cfRule>
  </conditionalFormatting>
  <conditionalFormatting sqref="E21">
    <cfRule type="expression" dxfId="7159" priority="353">
      <formula>B21=""</formula>
    </cfRule>
  </conditionalFormatting>
  <conditionalFormatting sqref="E22">
    <cfRule type="expression" dxfId="7158" priority="352">
      <formula>B22=""</formula>
    </cfRule>
  </conditionalFormatting>
  <conditionalFormatting sqref="E23">
    <cfRule type="expression" dxfId="7157" priority="351">
      <formula>B23=""</formula>
    </cfRule>
  </conditionalFormatting>
  <conditionalFormatting sqref="E24">
    <cfRule type="expression" dxfId="7156" priority="350">
      <formula>B24=""</formula>
    </cfRule>
  </conditionalFormatting>
  <conditionalFormatting sqref="E25">
    <cfRule type="expression" dxfId="7155" priority="349">
      <formula>B25=""</formula>
    </cfRule>
  </conditionalFormatting>
  <conditionalFormatting sqref="E26">
    <cfRule type="expression" dxfId="7154" priority="348">
      <formula>B26=""</formula>
    </cfRule>
  </conditionalFormatting>
  <conditionalFormatting sqref="E27">
    <cfRule type="expression" dxfId="7153" priority="347">
      <formula>B27=""</formula>
    </cfRule>
  </conditionalFormatting>
  <conditionalFormatting sqref="G8:G27">
    <cfRule type="expression" dxfId="7152" priority="346">
      <formula>B8=""</formula>
    </cfRule>
  </conditionalFormatting>
  <conditionalFormatting sqref="G9 G11 G13 G15 G17 G19 G21 G23 G25 G27">
    <cfRule type="expression" dxfId="7151" priority="345">
      <formula>B9=""</formula>
    </cfRule>
  </conditionalFormatting>
  <conditionalFormatting sqref="G10:G20">
    <cfRule type="expression" dxfId="7150" priority="344">
      <formula>B10=""</formula>
    </cfRule>
  </conditionalFormatting>
  <conditionalFormatting sqref="G21">
    <cfRule type="expression" dxfId="7149" priority="343">
      <formula>B21=""</formula>
    </cfRule>
  </conditionalFormatting>
  <conditionalFormatting sqref="G22">
    <cfRule type="expression" dxfId="7148" priority="342">
      <formula>B22=""</formula>
    </cfRule>
  </conditionalFormatting>
  <conditionalFormatting sqref="G23">
    <cfRule type="expression" dxfId="7147" priority="341">
      <formula>B23=""</formula>
    </cfRule>
  </conditionalFormatting>
  <conditionalFormatting sqref="G24">
    <cfRule type="expression" dxfId="7146" priority="340">
      <formula>B24=""</formula>
    </cfRule>
  </conditionalFormatting>
  <conditionalFormatting sqref="G25">
    <cfRule type="expression" dxfId="7145" priority="339">
      <formula>B25=""</formula>
    </cfRule>
  </conditionalFormatting>
  <conditionalFormatting sqref="G26">
    <cfRule type="expression" dxfId="7144" priority="338">
      <formula>B26=""</formula>
    </cfRule>
  </conditionalFormatting>
  <conditionalFormatting sqref="G27">
    <cfRule type="expression" dxfId="7143" priority="337">
      <formula>B27=""</formula>
    </cfRule>
  </conditionalFormatting>
  <conditionalFormatting sqref="H8 H10 H12 H14 H16 H18 H20 H22 H24 H26">
    <cfRule type="expression" dxfId="7142" priority="336">
      <formula>B8=""</formula>
    </cfRule>
  </conditionalFormatting>
  <conditionalFormatting sqref="H9 H11 H13 H15 H17 H19 H21 H23 H25 H27">
    <cfRule type="expression" dxfId="7141" priority="335">
      <formula>B9=""</formula>
    </cfRule>
  </conditionalFormatting>
  <conditionalFormatting sqref="H10:H20">
    <cfRule type="expression" dxfId="7140" priority="334">
      <formula>B10=""</formula>
    </cfRule>
  </conditionalFormatting>
  <conditionalFormatting sqref="H21">
    <cfRule type="expression" dxfId="7139" priority="333">
      <formula>B21=""</formula>
    </cfRule>
  </conditionalFormatting>
  <conditionalFormatting sqref="H22">
    <cfRule type="expression" dxfId="7138" priority="332">
      <formula>B22=""</formula>
    </cfRule>
  </conditionalFormatting>
  <conditionalFormatting sqref="H23">
    <cfRule type="expression" dxfId="7137" priority="331">
      <formula>B23=""</formula>
    </cfRule>
  </conditionalFormatting>
  <conditionalFormatting sqref="H24">
    <cfRule type="expression" dxfId="7136" priority="330">
      <formula>B24=""</formula>
    </cfRule>
  </conditionalFormatting>
  <conditionalFormatting sqref="H25">
    <cfRule type="expression" dxfId="7135" priority="329">
      <formula>B25=""</formula>
    </cfRule>
  </conditionalFormatting>
  <conditionalFormatting sqref="H26">
    <cfRule type="expression" dxfId="7134" priority="328">
      <formula>B26=""</formula>
    </cfRule>
  </conditionalFormatting>
  <conditionalFormatting sqref="H27">
    <cfRule type="expression" dxfId="7133" priority="327">
      <formula>B27=""</formula>
    </cfRule>
  </conditionalFormatting>
  <conditionalFormatting sqref="F8 F10 F12 F14 F16 F18 F20 F22 F24 F26">
    <cfRule type="expression" dxfId="7132" priority="326">
      <formula>B8=""</formula>
    </cfRule>
  </conditionalFormatting>
  <conditionalFormatting sqref="F9 F11 F13 F15 F17 F19 F21 F23 F25 F27">
    <cfRule type="expression" dxfId="7131" priority="325">
      <formula>B9=""</formula>
    </cfRule>
  </conditionalFormatting>
  <conditionalFormatting sqref="F10:F20">
    <cfRule type="expression" dxfId="7130" priority="324">
      <formula>B10=""</formula>
    </cfRule>
  </conditionalFormatting>
  <conditionalFormatting sqref="F21">
    <cfRule type="expression" dxfId="7129" priority="323">
      <formula>B21=""</formula>
    </cfRule>
  </conditionalFormatting>
  <conditionalFormatting sqref="F22">
    <cfRule type="expression" dxfId="7128" priority="322">
      <formula>B22=""</formula>
    </cfRule>
  </conditionalFormatting>
  <conditionalFormatting sqref="F23">
    <cfRule type="expression" dxfId="7127" priority="321">
      <formula>B23=""</formula>
    </cfRule>
  </conditionalFormatting>
  <conditionalFormatting sqref="F24">
    <cfRule type="expression" dxfId="7126" priority="320">
      <formula>B24=""</formula>
    </cfRule>
  </conditionalFormatting>
  <conditionalFormatting sqref="F25">
    <cfRule type="expression" dxfId="7125" priority="319">
      <formula>B25=""</formula>
    </cfRule>
  </conditionalFormatting>
  <conditionalFormatting sqref="F26">
    <cfRule type="expression" dxfId="7124" priority="318">
      <formula>B26=""</formula>
    </cfRule>
  </conditionalFormatting>
  <conditionalFormatting sqref="F27">
    <cfRule type="expression" dxfId="7123" priority="317">
      <formula>B27=""</formula>
    </cfRule>
  </conditionalFormatting>
  <conditionalFormatting sqref="C30:C49">
    <cfRule type="expression" dxfId="7122" priority="316">
      <formula>B30=""</formula>
    </cfRule>
  </conditionalFormatting>
  <conditionalFormatting sqref="C31 C33 C35 C37 C39 C41 C43 C45 C47 C49">
    <cfRule type="expression" dxfId="7121" priority="315">
      <formula>B31=""</formula>
    </cfRule>
  </conditionalFormatting>
  <conditionalFormatting sqref="C32:C42">
    <cfRule type="expression" dxfId="7120" priority="314">
      <formula>B32=""</formula>
    </cfRule>
  </conditionalFormatting>
  <conditionalFormatting sqref="C43">
    <cfRule type="expression" dxfId="7119" priority="313">
      <formula>B43=""</formula>
    </cfRule>
  </conditionalFormatting>
  <conditionalFormatting sqref="C44">
    <cfRule type="expression" dxfId="7118" priority="312">
      <formula>B44=""</formula>
    </cfRule>
  </conditionalFormatting>
  <conditionalFormatting sqref="C45">
    <cfRule type="expression" dxfId="7117" priority="311">
      <formula>B45=""</formula>
    </cfRule>
  </conditionalFormatting>
  <conditionalFormatting sqref="C46">
    <cfRule type="expression" dxfId="7116" priority="310">
      <formula>B46=""</formula>
    </cfRule>
  </conditionalFormatting>
  <conditionalFormatting sqref="C47">
    <cfRule type="expression" dxfId="7115" priority="309">
      <formula>B47=""</formula>
    </cfRule>
  </conditionalFormatting>
  <conditionalFormatting sqref="C48">
    <cfRule type="expression" dxfId="7114" priority="308">
      <formula>B48=""</formula>
    </cfRule>
  </conditionalFormatting>
  <conditionalFormatting sqref="C49">
    <cfRule type="expression" dxfId="7113" priority="307">
      <formula>B49=""</formula>
    </cfRule>
  </conditionalFormatting>
  <conditionalFormatting sqref="D30 D32 D34 D36 D38 D40 D42 D44 D46 D48">
    <cfRule type="expression" dxfId="7112" priority="306">
      <formula>B30=""</formula>
    </cfRule>
  </conditionalFormatting>
  <conditionalFormatting sqref="D31 D33 D35 D37 D39 D41 D43 D45 D47 D49">
    <cfRule type="expression" dxfId="7111" priority="305">
      <formula>B31=""</formula>
    </cfRule>
  </conditionalFormatting>
  <conditionalFormatting sqref="D32:D42">
    <cfRule type="expression" dxfId="7110" priority="304">
      <formula>B32=""</formula>
    </cfRule>
  </conditionalFormatting>
  <conditionalFormatting sqref="D43">
    <cfRule type="expression" dxfId="7109" priority="303">
      <formula>B43=""</formula>
    </cfRule>
  </conditionalFormatting>
  <conditionalFormatting sqref="D44">
    <cfRule type="expression" dxfId="7108" priority="302">
      <formula>B44=""</formula>
    </cfRule>
  </conditionalFormatting>
  <conditionalFormatting sqref="D45">
    <cfRule type="expression" dxfId="7107" priority="301">
      <formula>B45=""</formula>
    </cfRule>
  </conditionalFormatting>
  <conditionalFormatting sqref="D46">
    <cfRule type="expression" dxfId="7106" priority="300">
      <formula>B46=""</formula>
    </cfRule>
  </conditionalFormatting>
  <conditionalFormatting sqref="D47">
    <cfRule type="expression" dxfId="7105" priority="299">
      <formula>B47=""</formula>
    </cfRule>
  </conditionalFormatting>
  <conditionalFormatting sqref="D48">
    <cfRule type="expression" dxfId="7104" priority="298">
      <formula>B48=""</formula>
    </cfRule>
  </conditionalFormatting>
  <conditionalFormatting sqref="D49">
    <cfRule type="expression" dxfId="7103" priority="297">
      <formula>B49=""</formula>
    </cfRule>
  </conditionalFormatting>
  <conditionalFormatting sqref="E30 E32 E34 E36 E38 E40 E42 E44 E46 E48">
    <cfRule type="expression" dxfId="7102" priority="296">
      <formula>B30=""</formula>
    </cfRule>
  </conditionalFormatting>
  <conditionalFormatting sqref="E31 E33 E35 E37 E39 E41 E43 E45 E47 E49">
    <cfRule type="expression" dxfId="7101" priority="295">
      <formula>B31=""</formula>
    </cfRule>
  </conditionalFormatting>
  <conditionalFormatting sqref="E32:E42">
    <cfRule type="expression" dxfId="7100" priority="294">
      <formula>B32=""</formula>
    </cfRule>
  </conditionalFormatting>
  <conditionalFormatting sqref="E43">
    <cfRule type="expression" dxfId="7099" priority="293">
      <formula>B43=""</formula>
    </cfRule>
  </conditionalFormatting>
  <conditionalFormatting sqref="E44">
    <cfRule type="expression" dxfId="7098" priority="292">
      <formula>B44=""</formula>
    </cfRule>
  </conditionalFormatting>
  <conditionalFormatting sqref="E45">
    <cfRule type="expression" dxfId="7097" priority="291">
      <formula>B45=""</formula>
    </cfRule>
  </conditionalFormatting>
  <conditionalFormatting sqref="E46">
    <cfRule type="expression" dxfId="7096" priority="290">
      <formula>B46=""</formula>
    </cfRule>
  </conditionalFormatting>
  <conditionalFormatting sqref="E47">
    <cfRule type="expression" dxfId="7095" priority="289">
      <formula>B47=""</formula>
    </cfRule>
  </conditionalFormatting>
  <conditionalFormatting sqref="E48">
    <cfRule type="expression" dxfId="7094" priority="288">
      <formula>B48=""</formula>
    </cfRule>
  </conditionalFormatting>
  <conditionalFormatting sqref="E49">
    <cfRule type="expression" dxfId="7093" priority="287">
      <formula>B49=""</formula>
    </cfRule>
  </conditionalFormatting>
  <conditionalFormatting sqref="F30 F32 F34 F36 F38 F40 F42 F44 F46 F48">
    <cfRule type="expression" dxfId="7092" priority="286">
      <formula>B30=""</formula>
    </cfRule>
  </conditionalFormatting>
  <conditionalFormatting sqref="F31 F33 F35 F37 F39 F41 F43 F45 F47 F49">
    <cfRule type="expression" dxfId="7091" priority="285">
      <formula>B31=""</formula>
    </cfRule>
  </conditionalFormatting>
  <conditionalFormatting sqref="F32:F42">
    <cfRule type="expression" dxfId="7090" priority="284">
      <formula>B32=""</formula>
    </cfRule>
  </conditionalFormatting>
  <conditionalFormatting sqref="F43">
    <cfRule type="expression" dxfId="7089" priority="283">
      <formula>B43=""</formula>
    </cfRule>
  </conditionalFormatting>
  <conditionalFormatting sqref="F44">
    <cfRule type="expression" dxfId="7088" priority="282">
      <formula>B44=""</formula>
    </cfRule>
  </conditionalFormatting>
  <conditionalFormatting sqref="F45">
    <cfRule type="expression" dxfId="7087" priority="281">
      <formula>B45=""</formula>
    </cfRule>
  </conditionalFormatting>
  <conditionalFormatting sqref="F46">
    <cfRule type="expression" dxfId="7086" priority="280">
      <formula>B46=""</formula>
    </cfRule>
  </conditionalFormatting>
  <conditionalFormatting sqref="F47">
    <cfRule type="expression" dxfId="7085" priority="279">
      <formula>B47=""</formula>
    </cfRule>
  </conditionalFormatting>
  <conditionalFormatting sqref="F48">
    <cfRule type="expression" dxfId="7084" priority="278">
      <formula>B48=""</formula>
    </cfRule>
  </conditionalFormatting>
  <conditionalFormatting sqref="F49">
    <cfRule type="expression" dxfId="7083" priority="277">
      <formula>B49=""</formula>
    </cfRule>
  </conditionalFormatting>
  <conditionalFormatting sqref="E31 E33 E35 E37 E39 E41 E43 E45 E47 E49">
    <cfRule type="expression" dxfId="7082" priority="276">
      <formula>B31=""</formula>
    </cfRule>
  </conditionalFormatting>
  <conditionalFormatting sqref="E32:E42">
    <cfRule type="expression" dxfId="7081" priority="275">
      <formula>B32=""</formula>
    </cfRule>
  </conditionalFormatting>
  <conditionalFormatting sqref="E43">
    <cfRule type="expression" dxfId="7080" priority="274">
      <formula>B43=""</formula>
    </cfRule>
  </conditionalFormatting>
  <conditionalFormatting sqref="E44">
    <cfRule type="expression" dxfId="7079" priority="273">
      <formula>B44=""</formula>
    </cfRule>
  </conditionalFormatting>
  <conditionalFormatting sqref="E45">
    <cfRule type="expression" dxfId="7078" priority="272">
      <formula>B45=""</formula>
    </cfRule>
  </conditionalFormatting>
  <conditionalFormatting sqref="E46">
    <cfRule type="expression" dxfId="7077" priority="271">
      <formula>B46=""</formula>
    </cfRule>
  </conditionalFormatting>
  <conditionalFormatting sqref="E47">
    <cfRule type="expression" dxfId="7076" priority="270">
      <formula>B47=""</formula>
    </cfRule>
  </conditionalFormatting>
  <conditionalFormatting sqref="E48">
    <cfRule type="expression" dxfId="7075" priority="269">
      <formula>B48=""</formula>
    </cfRule>
  </conditionalFormatting>
  <conditionalFormatting sqref="E49">
    <cfRule type="expression" dxfId="7074" priority="268">
      <formula>B49=""</formula>
    </cfRule>
  </conditionalFormatting>
  <conditionalFormatting sqref="G30 G32 G34 G36 G38 G40 G42 G44 G46 G48">
    <cfRule type="expression" dxfId="7073" priority="267">
      <formula>B30=""</formula>
    </cfRule>
  </conditionalFormatting>
  <conditionalFormatting sqref="G31 G33 G35 G37 G39 G41 G43 G45 G47 G49">
    <cfRule type="expression" dxfId="7072" priority="266">
      <formula>B31=""</formula>
    </cfRule>
  </conditionalFormatting>
  <conditionalFormatting sqref="G32:G42">
    <cfRule type="expression" dxfId="7071" priority="265">
      <formula>B32=""</formula>
    </cfRule>
  </conditionalFormatting>
  <conditionalFormatting sqref="G43">
    <cfRule type="expression" dxfId="7070" priority="264">
      <formula>B43=""</formula>
    </cfRule>
  </conditionalFormatting>
  <conditionalFormatting sqref="G44">
    <cfRule type="expression" dxfId="7069" priority="263">
      <formula>B44=""</formula>
    </cfRule>
  </conditionalFormatting>
  <conditionalFormatting sqref="G45">
    <cfRule type="expression" dxfId="7068" priority="262">
      <formula>B45=""</formula>
    </cfRule>
  </conditionalFormatting>
  <conditionalFormatting sqref="G46">
    <cfRule type="expression" dxfId="7067" priority="261">
      <formula>B46=""</formula>
    </cfRule>
  </conditionalFormatting>
  <conditionalFormatting sqref="G47">
    <cfRule type="expression" dxfId="7066" priority="260">
      <formula>B47=""</formula>
    </cfRule>
  </conditionalFormatting>
  <conditionalFormatting sqref="G48">
    <cfRule type="expression" dxfId="7065" priority="259">
      <formula>B48=""</formula>
    </cfRule>
  </conditionalFormatting>
  <conditionalFormatting sqref="G49">
    <cfRule type="expression" dxfId="7064" priority="258">
      <formula>B49=""</formula>
    </cfRule>
  </conditionalFormatting>
  <conditionalFormatting sqref="H30 H32 H34 H36 H38 H40 H42 H44 H46 H48">
    <cfRule type="expression" dxfId="7063" priority="257">
      <formula>B30=""</formula>
    </cfRule>
  </conditionalFormatting>
  <conditionalFormatting sqref="H31 H33 H35 H37 H39 H41 H43 H45 H47 H49">
    <cfRule type="expression" dxfId="7062" priority="256">
      <formula>B31=""</formula>
    </cfRule>
  </conditionalFormatting>
  <conditionalFormatting sqref="H32:H42">
    <cfRule type="expression" dxfId="7061" priority="255">
      <formula>B32=""</formula>
    </cfRule>
  </conditionalFormatting>
  <conditionalFormatting sqref="H43">
    <cfRule type="expression" dxfId="7060" priority="254">
      <formula>B43=""</formula>
    </cfRule>
  </conditionalFormatting>
  <conditionalFormatting sqref="H44">
    <cfRule type="expression" dxfId="7059" priority="253">
      <formula>B44=""</formula>
    </cfRule>
  </conditionalFormatting>
  <conditionalFormatting sqref="H45">
    <cfRule type="expression" dxfId="7058" priority="252">
      <formula>B45=""</formula>
    </cfRule>
  </conditionalFormatting>
  <conditionalFormatting sqref="H46">
    <cfRule type="expression" dxfId="7057" priority="251">
      <formula>B46=""</formula>
    </cfRule>
  </conditionalFormatting>
  <conditionalFormatting sqref="H47">
    <cfRule type="expression" dxfId="7056" priority="250">
      <formula>B47=""</formula>
    </cfRule>
  </conditionalFormatting>
  <conditionalFormatting sqref="H48">
    <cfRule type="expression" dxfId="7055" priority="249">
      <formula>B48=""</formula>
    </cfRule>
  </conditionalFormatting>
  <conditionalFormatting sqref="H49">
    <cfRule type="expression" dxfId="7054" priority="248">
      <formula>B49=""</formula>
    </cfRule>
  </conditionalFormatting>
  <conditionalFormatting sqref="C30:C49">
    <cfRule type="expression" dxfId="7053" priority="247">
      <formula>B30=""</formula>
    </cfRule>
  </conditionalFormatting>
  <conditionalFormatting sqref="C31 C33 C35 C37 C39 C41 C43 C45 C47 C49">
    <cfRule type="expression" dxfId="7052" priority="246">
      <formula>B31=""</formula>
    </cfRule>
  </conditionalFormatting>
  <conditionalFormatting sqref="C32:C42">
    <cfRule type="expression" dxfId="7051" priority="245">
      <formula>B32=""</formula>
    </cfRule>
  </conditionalFormatting>
  <conditionalFormatting sqref="C43">
    <cfRule type="expression" dxfId="7050" priority="244">
      <formula>B43=""</formula>
    </cfRule>
  </conditionalFormatting>
  <conditionalFormatting sqref="C44">
    <cfRule type="expression" dxfId="7049" priority="243">
      <formula>B44=""</formula>
    </cfRule>
  </conditionalFormatting>
  <conditionalFormatting sqref="C45">
    <cfRule type="expression" dxfId="7048" priority="242">
      <formula>B45=""</formula>
    </cfRule>
  </conditionalFormatting>
  <conditionalFormatting sqref="C46">
    <cfRule type="expression" dxfId="7047" priority="241">
      <formula>B46=""</formula>
    </cfRule>
  </conditionalFormatting>
  <conditionalFormatting sqref="C47">
    <cfRule type="expression" dxfId="7046" priority="240">
      <formula>B47=""</formula>
    </cfRule>
  </conditionalFormatting>
  <conditionalFormatting sqref="C48">
    <cfRule type="expression" dxfId="7045" priority="239">
      <formula>B48=""</formula>
    </cfRule>
  </conditionalFormatting>
  <conditionalFormatting sqref="C49">
    <cfRule type="expression" dxfId="7044" priority="238">
      <formula>B49=""</formula>
    </cfRule>
  </conditionalFormatting>
  <conditionalFormatting sqref="C30 C32 C34 C36 C38 C40 C42 C44 C46 C48">
    <cfRule type="expression" dxfId="7043" priority="237">
      <formula>B30=""</formula>
    </cfRule>
  </conditionalFormatting>
  <conditionalFormatting sqref="C31 C33 C35 C37 C39 C41 C43 C45 C47 C49">
    <cfRule type="expression" dxfId="7042" priority="236">
      <formula>B31=""</formula>
    </cfRule>
  </conditionalFormatting>
  <conditionalFormatting sqref="C32:C42">
    <cfRule type="expression" dxfId="7041" priority="235">
      <formula>B32=""</formula>
    </cfRule>
  </conditionalFormatting>
  <conditionalFormatting sqref="C43">
    <cfRule type="expression" dxfId="7040" priority="234">
      <formula>B43=""</formula>
    </cfRule>
  </conditionalFormatting>
  <conditionalFormatting sqref="C44">
    <cfRule type="expression" dxfId="7039" priority="233">
      <formula>B44=""</formula>
    </cfRule>
  </conditionalFormatting>
  <conditionalFormatting sqref="C45">
    <cfRule type="expression" dxfId="7038" priority="232">
      <formula>B45=""</formula>
    </cfRule>
  </conditionalFormatting>
  <conditionalFormatting sqref="C46">
    <cfRule type="expression" dxfId="7037" priority="231">
      <formula>B46=""</formula>
    </cfRule>
  </conditionalFormatting>
  <conditionalFormatting sqref="C47">
    <cfRule type="expression" dxfId="7036" priority="230">
      <formula>B47=""</formula>
    </cfRule>
  </conditionalFormatting>
  <conditionalFormatting sqref="C48">
    <cfRule type="expression" dxfId="7035" priority="229">
      <formula>B48=""</formula>
    </cfRule>
  </conditionalFormatting>
  <conditionalFormatting sqref="C49">
    <cfRule type="expression" dxfId="7034" priority="228">
      <formula>B49=""</formula>
    </cfRule>
  </conditionalFormatting>
  <conditionalFormatting sqref="D30 D32 D34 D36 D38 D40 D42 D44 D46 D48">
    <cfRule type="expression" dxfId="7033" priority="227">
      <formula>B30=""</formula>
    </cfRule>
  </conditionalFormatting>
  <conditionalFormatting sqref="D31 D33 D35 D37 D39 D41 D43 D45 D47 D49">
    <cfRule type="expression" dxfId="7032" priority="226">
      <formula>B31=""</formula>
    </cfRule>
  </conditionalFormatting>
  <conditionalFormatting sqref="D32:D42">
    <cfRule type="expression" dxfId="7031" priority="225">
      <formula>B32=""</formula>
    </cfRule>
  </conditionalFormatting>
  <conditionalFormatting sqref="D43">
    <cfRule type="expression" dxfId="7030" priority="224">
      <formula>B43=""</formula>
    </cfRule>
  </conditionalFormatting>
  <conditionalFormatting sqref="D44">
    <cfRule type="expression" dxfId="7029" priority="223">
      <formula>B44=""</formula>
    </cfRule>
  </conditionalFormatting>
  <conditionalFormatting sqref="D45">
    <cfRule type="expression" dxfId="7028" priority="222">
      <formula>B45=""</formula>
    </cfRule>
  </conditionalFormatting>
  <conditionalFormatting sqref="D46">
    <cfRule type="expression" dxfId="7027" priority="221">
      <formula>B46=""</formula>
    </cfRule>
  </conditionalFormatting>
  <conditionalFormatting sqref="D47">
    <cfRule type="expression" dxfId="7026" priority="220">
      <formula>B47=""</formula>
    </cfRule>
  </conditionalFormatting>
  <conditionalFormatting sqref="D48">
    <cfRule type="expression" dxfId="7025" priority="219">
      <formula>B48=""</formula>
    </cfRule>
  </conditionalFormatting>
  <conditionalFormatting sqref="D49">
    <cfRule type="expression" dxfId="7024" priority="218">
      <formula>B49=""</formula>
    </cfRule>
  </conditionalFormatting>
  <conditionalFormatting sqref="E30:E49">
    <cfRule type="expression" dxfId="7023" priority="217">
      <formula>B30=""</formula>
    </cfRule>
  </conditionalFormatting>
  <conditionalFormatting sqref="E31 E33 E35 E37 E39 E41 E43 E45 E47 E49">
    <cfRule type="expression" dxfId="7022" priority="216">
      <formula>B31=""</formula>
    </cfRule>
  </conditionalFormatting>
  <conditionalFormatting sqref="E32:E42">
    <cfRule type="expression" dxfId="7021" priority="215">
      <formula>B32=""</formula>
    </cfRule>
  </conditionalFormatting>
  <conditionalFormatting sqref="E43">
    <cfRule type="expression" dxfId="7020" priority="214">
      <formula>B43=""</formula>
    </cfRule>
  </conditionalFormatting>
  <conditionalFormatting sqref="E44">
    <cfRule type="expression" dxfId="7019" priority="213">
      <formula>B44=""</formula>
    </cfRule>
  </conditionalFormatting>
  <conditionalFormatting sqref="E45">
    <cfRule type="expression" dxfId="7018" priority="212">
      <formula>B45=""</formula>
    </cfRule>
  </conditionalFormatting>
  <conditionalFormatting sqref="E46">
    <cfRule type="expression" dxfId="7017" priority="211">
      <formula>B46=""</formula>
    </cfRule>
  </conditionalFormatting>
  <conditionalFormatting sqref="E47">
    <cfRule type="expression" dxfId="7016" priority="210">
      <formula>B47=""</formula>
    </cfRule>
  </conditionalFormatting>
  <conditionalFormatting sqref="E48">
    <cfRule type="expression" dxfId="7015" priority="209">
      <formula>B48=""</formula>
    </cfRule>
  </conditionalFormatting>
  <conditionalFormatting sqref="E49">
    <cfRule type="expression" dxfId="7014" priority="208">
      <formula>B49=""</formula>
    </cfRule>
  </conditionalFormatting>
  <conditionalFormatting sqref="F30:F49">
    <cfRule type="expression" dxfId="7013" priority="207">
      <formula>B30=""</formula>
    </cfRule>
  </conditionalFormatting>
  <conditionalFormatting sqref="F31 F33 F35 F37 F39 F41 F43 F45 F47 F49">
    <cfRule type="expression" dxfId="7012" priority="206">
      <formula>B31=""</formula>
    </cfRule>
  </conditionalFormatting>
  <conditionalFormatting sqref="F32:F42">
    <cfRule type="expression" dxfId="7011" priority="205">
      <formula>B32=""</formula>
    </cfRule>
  </conditionalFormatting>
  <conditionalFormatting sqref="F43">
    <cfRule type="expression" dxfId="7010" priority="204">
      <formula>B43=""</formula>
    </cfRule>
  </conditionalFormatting>
  <conditionalFormatting sqref="F44">
    <cfRule type="expression" dxfId="7009" priority="203">
      <formula>B44=""</formula>
    </cfRule>
  </conditionalFormatting>
  <conditionalFormatting sqref="F45">
    <cfRule type="expression" dxfId="7008" priority="202">
      <formula>B45=""</formula>
    </cfRule>
  </conditionalFormatting>
  <conditionalFormatting sqref="F46">
    <cfRule type="expression" dxfId="7007" priority="201">
      <formula>B46=""</formula>
    </cfRule>
  </conditionalFormatting>
  <conditionalFormatting sqref="F47">
    <cfRule type="expression" dxfId="7006" priority="200">
      <formula>B47=""</formula>
    </cfRule>
  </conditionalFormatting>
  <conditionalFormatting sqref="F48">
    <cfRule type="expression" dxfId="7005" priority="199">
      <formula>B48=""</formula>
    </cfRule>
  </conditionalFormatting>
  <conditionalFormatting sqref="F49">
    <cfRule type="expression" dxfId="7004" priority="198">
      <formula>B49=""</formula>
    </cfRule>
  </conditionalFormatting>
  <conditionalFormatting sqref="E31 E33 E35 E37 E39 E41 E43 E45 E47 E49">
    <cfRule type="expression" dxfId="7003" priority="197">
      <formula>B31=""</formula>
    </cfRule>
  </conditionalFormatting>
  <conditionalFormatting sqref="E32:E42">
    <cfRule type="expression" dxfId="7002" priority="196">
      <formula>B32=""</formula>
    </cfRule>
  </conditionalFormatting>
  <conditionalFormatting sqref="E43">
    <cfRule type="expression" dxfId="7001" priority="195">
      <formula>B43=""</formula>
    </cfRule>
  </conditionalFormatting>
  <conditionalFormatting sqref="E44">
    <cfRule type="expression" dxfId="7000" priority="194">
      <formula>B44=""</formula>
    </cfRule>
  </conditionalFormatting>
  <conditionalFormatting sqref="E45">
    <cfRule type="expression" dxfId="6999" priority="193">
      <formula>B45=""</formula>
    </cfRule>
  </conditionalFormatting>
  <conditionalFormatting sqref="E46">
    <cfRule type="expression" dxfId="6998" priority="192">
      <formula>B46=""</formula>
    </cfRule>
  </conditionalFormatting>
  <conditionalFormatting sqref="E47">
    <cfRule type="expression" dxfId="6997" priority="191">
      <formula>B47=""</formula>
    </cfRule>
  </conditionalFormatting>
  <conditionalFormatting sqref="E48">
    <cfRule type="expression" dxfId="6996" priority="190">
      <formula>B48=""</formula>
    </cfRule>
  </conditionalFormatting>
  <conditionalFormatting sqref="E49">
    <cfRule type="expression" dxfId="6995" priority="189">
      <formula>B49=""</formula>
    </cfRule>
  </conditionalFormatting>
  <conditionalFormatting sqref="G30:G49">
    <cfRule type="expression" dxfId="6994" priority="188">
      <formula>B30=""</formula>
    </cfRule>
  </conditionalFormatting>
  <conditionalFormatting sqref="G31 G33 G35 G37 G39 G41 G43 G45 G47 G49">
    <cfRule type="expression" dxfId="6993" priority="187">
      <formula>B31=""</formula>
    </cfRule>
  </conditionalFormatting>
  <conditionalFormatting sqref="G32:G42">
    <cfRule type="expression" dxfId="6992" priority="186">
      <formula>B32=""</formula>
    </cfRule>
  </conditionalFormatting>
  <conditionalFormatting sqref="G43">
    <cfRule type="expression" dxfId="6991" priority="185">
      <formula>B43=""</formula>
    </cfRule>
  </conditionalFormatting>
  <conditionalFormatting sqref="G44">
    <cfRule type="expression" dxfId="6990" priority="184">
      <formula>B44=""</formula>
    </cfRule>
  </conditionalFormatting>
  <conditionalFormatting sqref="G45">
    <cfRule type="expression" dxfId="6989" priority="183">
      <formula>B45=""</formula>
    </cfRule>
  </conditionalFormatting>
  <conditionalFormatting sqref="G46">
    <cfRule type="expression" dxfId="6988" priority="182">
      <formula>B46=""</formula>
    </cfRule>
  </conditionalFormatting>
  <conditionalFormatting sqref="G47">
    <cfRule type="expression" dxfId="6987" priority="181">
      <formula>B47=""</formula>
    </cfRule>
  </conditionalFormatting>
  <conditionalFormatting sqref="G48">
    <cfRule type="expression" dxfId="6986" priority="180">
      <formula>B48=""</formula>
    </cfRule>
  </conditionalFormatting>
  <conditionalFormatting sqref="G49">
    <cfRule type="expression" dxfId="6985" priority="179">
      <formula>B49=""</formula>
    </cfRule>
  </conditionalFormatting>
  <conditionalFormatting sqref="H30 H32 H34 H36 H38 H40 H42 H44 H46 H48">
    <cfRule type="expression" dxfId="6984" priority="178">
      <formula>B30=""</formula>
    </cfRule>
  </conditionalFormatting>
  <conditionalFormatting sqref="H31 H33 H35 H37 H39 H41 H43 H45 H47 H49">
    <cfRule type="expression" dxfId="6983" priority="177">
      <formula>B31=""</formula>
    </cfRule>
  </conditionalFormatting>
  <conditionalFormatting sqref="H32:H42">
    <cfRule type="expression" dxfId="6982" priority="176">
      <formula>B32=""</formula>
    </cfRule>
  </conditionalFormatting>
  <conditionalFormatting sqref="H43">
    <cfRule type="expression" dxfId="6981" priority="175">
      <formula>B43=""</formula>
    </cfRule>
  </conditionalFormatting>
  <conditionalFormatting sqref="H44">
    <cfRule type="expression" dxfId="6980" priority="174">
      <formula>B44=""</formula>
    </cfRule>
  </conditionalFormatting>
  <conditionalFormatting sqref="H45">
    <cfRule type="expression" dxfId="6979" priority="173">
      <formula>B45=""</formula>
    </cfRule>
  </conditionalFormatting>
  <conditionalFormatting sqref="H46">
    <cfRule type="expression" dxfId="6978" priority="172">
      <formula>B46=""</formula>
    </cfRule>
  </conditionalFormatting>
  <conditionalFormatting sqref="H47">
    <cfRule type="expression" dxfId="6977" priority="171">
      <formula>B47=""</formula>
    </cfRule>
  </conditionalFormatting>
  <conditionalFormatting sqref="H48">
    <cfRule type="expression" dxfId="6976" priority="170">
      <formula>B48=""</formula>
    </cfRule>
  </conditionalFormatting>
  <conditionalFormatting sqref="H49">
    <cfRule type="expression" dxfId="6975" priority="169">
      <formula>B49=""</formula>
    </cfRule>
  </conditionalFormatting>
  <conditionalFormatting sqref="F30 F32 F34 F36 F38 F40 F42 F44 F46 F48">
    <cfRule type="expression" dxfId="6974" priority="168">
      <formula>B30=""</formula>
    </cfRule>
  </conditionalFormatting>
  <conditionalFormatting sqref="F31 F33 F35 F37 F39 F41 F43 F45 F47 F49">
    <cfRule type="expression" dxfId="6973" priority="167">
      <formula>B31=""</formula>
    </cfRule>
  </conditionalFormatting>
  <conditionalFormatting sqref="F32:F42">
    <cfRule type="expression" dxfId="6972" priority="166">
      <formula>B32=""</formula>
    </cfRule>
  </conditionalFormatting>
  <conditionalFormatting sqref="F43">
    <cfRule type="expression" dxfId="6971" priority="165">
      <formula>B43=""</formula>
    </cfRule>
  </conditionalFormatting>
  <conditionalFormatting sqref="F44">
    <cfRule type="expression" dxfId="6970" priority="164">
      <formula>B44=""</formula>
    </cfRule>
  </conditionalFormatting>
  <conditionalFormatting sqref="F45">
    <cfRule type="expression" dxfId="6969" priority="163">
      <formula>B45=""</formula>
    </cfRule>
  </conditionalFormatting>
  <conditionalFormatting sqref="F46">
    <cfRule type="expression" dxfId="6968" priority="162">
      <formula>B46=""</formula>
    </cfRule>
  </conditionalFormatting>
  <conditionalFormatting sqref="F47">
    <cfRule type="expression" dxfId="6967" priority="161">
      <formula>B47=""</formula>
    </cfRule>
  </conditionalFormatting>
  <conditionalFormatting sqref="F48">
    <cfRule type="expression" dxfId="6966" priority="160">
      <formula>B48=""</formula>
    </cfRule>
  </conditionalFormatting>
  <conditionalFormatting sqref="F49">
    <cfRule type="expression" dxfId="6965" priority="159">
      <formula>B49=""</formula>
    </cfRule>
  </conditionalFormatting>
  <conditionalFormatting sqref="C52:C71">
    <cfRule type="expression" dxfId="6964" priority="158">
      <formula>B52=""</formula>
    </cfRule>
  </conditionalFormatting>
  <conditionalFormatting sqref="C53 C55 C57 C59 C61 C63 C65 C67 C69 C71">
    <cfRule type="expression" dxfId="6963" priority="157">
      <formula>B53=""</formula>
    </cfRule>
  </conditionalFormatting>
  <conditionalFormatting sqref="C54:C64">
    <cfRule type="expression" dxfId="6962" priority="156">
      <formula>B54=""</formula>
    </cfRule>
  </conditionalFormatting>
  <conditionalFormatting sqref="C65">
    <cfRule type="expression" dxfId="6961" priority="155">
      <formula>B65=""</formula>
    </cfRule>
  </conditionalFormatting>
  <conditionalFormatting sqref="C66">
    <cfRule type="expression" dxfId="6960" priority="154">
      <formula>B66=""</formula>
    </cfRule>
  </conditionalFormatting>
  <conditionalFormatting sqref="C67">
    <cfRule type="expression" dxfId="6959" priority="153">
      <formula>B67=""</formula>
    </cfRule>
  </conditionalFormatting>
  <conditionalFormatting sqref="C68">
    <cfRule type="expression" dxfId="6958" priority="152">
      <formula>B68=""</formula>
    </cfRule>
  </conditionalFormatting>
  <conditionalFormatting sqref="C69">
    <cfRule type="expression" dxfId="6957" priority="151">
      <formula>B69=""</formula>
    </cfRule>
  </conditionalFormatting>
  <conditionalFormatting sqref="C70">
    <cfRule type="expression" dxfId="6956" priority="150">
      <formula>B70=""</formula>
    </cfRule>
  </conditionalFormatting>
  <conditionalFormatting sqref="C71">
    <cfRule type="expression" dxfId="6955" priority="149">
      <formula>B71=""</formula>
    </cfRule>
  </conditionalFormatting>
  <conditionalFormatting sqref="C71">
    <cfRule type="expression" dxfId="6954" priority="148">
      <formula>B71=""</formula>
    </cfRule>
  </conditionalFormatting>
  <conditionalFormatting sqref="C52:C71">
    <cfRule type="expression" dxfId="6953" priority="147">
      <formula>B52=""</formula>
    </cfRule>
  </conditionalFormatting>
  <conditionalFormatting sqref="C53 C55 C57 C59 C61 C63 C65 C67 C69 C71">
    <cfRule type="expression" dxfId="6952" priority="146">
      <formula>B53=""</formula>
    </cfRule>
  </conditionalFormatting>
  <conditionalFormatting sqref="C54:C64">
    <cfRule type="expression" dxfId="6951" priority="145">
      <formula>B54=""</formula>
    </cfRule>
  </conditionalFormatting>
  <conditionalFormatting sqref="C65">
    <cfRule type="expression" dxfId="6950" priority="144">
      <formula>B65=""</formula>
    </cfRule>
  </conditionalFormatting>
  <conditionalFormatting sqref="C66">
    <cfRule type="expression" dxfId="6949" priority="143">
      <formula>B66=""</formula>
    </cfRule>
  </conditionalFormatting>
  <conditionalFormatting sqref="C67">
    <cfRule type="expression" dxfId="6948" priority="142">
      <formula>B67=""</formula>
    </cfRule>
  </conditionalFormatting>
  <conditionalFormatting sqref="C68">
    <cfRule type="expression" dxfId="6947" priority="141">
      <formula>B68=""</formula>
    </cfRule>
  </conditionalFormatting>
  <conditionalFormatting sqref="C69">
    <cfRule type="expression" dxfId="6946" priority="140">
      <formula>B69=""</formula>
    </cfRule>
  </conditionalFormatting>
  <conditionalFormatting sqref="C70">
    <cfRule type="expression" dxfId="6945" priority="139">
      <formula>B70=""</formula>
    </cfRule>
  </conditionalFormatting>
  <conditionalFormatting sqref="C71">
    <cfRule type="expression" dxfId="6944" priority="138">
      <formula>B71=""</formula>
    </cfRule>
  </conditionalFormatting>
  <conditionalFormatting sqref="C52:C71">
    <cfRule type="expression" dxfId="6943" priority="137">
      <formula>B52=""</formula>
    </cfRule>
  </conditionalFormatting>
  <conditionalFormatting sqref="C53 C55 C57 C59 C61 C63 C65 C67 C69 C71">
    <cfRule type="expression" dxfId="6942" priority="136">
      <formula>B53=""</formula>
    </cfRule>
  </conditionalFormatting>
  <conditionalFormatting sqref="C54:C64">
    <cfRule type="expression" dxfId="6941" priority="135">
      <formula>B54=""</formula>
    </cfRule>
  </conditionalFormatting>
  <conditionalFormatting sqref="C65">
    <cfRule type="expression" dxfId="6940" priority="134">
      <formula>B65=""</formula>
    </cfRule>
  </conditionalFormatting>
  <conditionalFormatting sqref="C66">
    <cfRule type="expression" dxfId="6939" priority="133">
      <formula>B66=""</formula>
    </cfRule>
  </conditionalFormatting>
  <conditionalFormatting sqref="C67">
    <cfRule type="expression" dxfId="6938" priority="132">
      <formula>B67=""</formula>
    </cfRule>
  </conditionalFormatting>
  <conditionalFormatting sqref="C68">
    <cfRule type="expression" dxfId="6937" priority="131">
      <formula>B68=""</formula>
    </cfRule>
  </conditionalFormatting>
  <conditionalFormatting sqref="C69">
    <cfRule type="expression" dxfId="6936" priority="130">
      <formula>B69=""</formula>
    </cfRule>
  </conditionalFormatting>
  <conditionalFormatting sqref="C70">
    <cfRule type="expression" dxfId="6935" priority="129">
      <formula>B70=""</formula>
    </cfRule>
  </conditionalFormatting>
  <conditionalFormatting sqref="C71">
    <cfRule type="expression" dxfId="6934" priority="128">
      <formula>B71=""</formula>
    </cfRule>
  </conditionalFormatting>
  <conditionalFormatting sqref="C52:C71">
    <cfRule type="expression" dxfId="6933" priority="127">
      <formula>B52=""</formula>
    </cfRule>
  </conditionalFormatting>
  <conditionalFormatting sqref="C53 C55 C57 C59 C61 C63 C65 C67 C69 C71">
    <cfRule type="expression" dxfId="6932" priority="126">
      <formula>B53=""</formula>
    </cfRule>
  </conditionalFormatting>
  <conditionalFormatting sqref="C54:C64">
    <cfRule type="expression" dxfId="6931" priority="125">
      <formula>B54=""</formula>
    </cfRule>
  </conditionalFormatting>
  <conditionalFormatting sqref="C65">
    <cfRule type="expression" dxfId="6930" priority="124">
      <formula>B65=""</formula>
    </cfRule>
  </conditionalFormatting>
  <conditionalFormatting sqref="C66">
    <cfRule type="expression" dxfId="6929" priority="123">
      <formula>B66=""</formula>
    </cfRule>
  </conditionalFormatting>
  <conditionalFormatting sqref="C67">
    <cfRule type="expression" dxfId="6928" priority="122">
      <formula>B67=""</formula>
    </cfRule>
  </conditionalFormatting>
  <conditionalFormatting sqref="C68">
    <cfRule type="expression" dxfId="6927" priority="121">
      <formula>B68=""</formula>
    </cfRule>
  </conditionalFormatting>
  <conditionalFormatting sqref="C69">
    <cfRule type="expression" dxfId="6926" priority="120">
      <formula>B69=""</formula>
    </cfRule>
  </conditionalFormatting>
  <conditionalFormatting sqref="C70">
    <cfRule type="expression" dxfId="6925" priority="119">
      <formula>B70=""</formula>
    </cfRule>
  </conditionalFormatting>
  <conditionalFormatting sqref="C71">
    <cfRule type="expression" dxfId="6924" priority="118">
      <formula>B71=""</formula>
    </cfRule>
  </conditionalFormatting>
  <conditionalFormatting sqref="C52 C54 C56 C58 C60 C62 C64 C66 C68 C70">
    <cfRule type="expression" dxfId="6923" priority="117">
      <formula>B52=""</formula>
    </cfRule>
  </conditionalFormatting>
  <conditionalFormatting sqref="C53 C55 C57 C59 C61 C63 C65 C67 C69 C71">
    <cfRule type="expression" dxfId="6922" priority="116">
      <formula>B53=""</formula>
    </cfRule>
  </conditionalFormatting>
  <conditionalFormatting sqref="C54:C64">
    <cfRule type="expression" dxfId="6921" priority="115">
      <formula>B54=""</formula>
    </cfRule>
  </conditionalFormatting>
  <conditionalFormatting sqref="C65">
    <cfRule type="expression" dxfId="6920" priority="114">
      <formula>B65=""</formula>
    </cfRule>
  </conditionalFormatting>
  <conditionalFormatting sqref="C66">
    <cfRule type="expression" dxfId="6919" priority="113">
      <formula>B66=""</formula>
    </cfRule>
  </conditionalFormatting>
  <conditionalFormatting sqref="C67">
    <cfRule type="expression" dxfId="6918" priority="112">
      <formula>B67=""</formula>
    </cfRule>
  </conditionalFormatting>
  <conditionalFormatting sqref="C68">
    <cfRule type="expression" dxfId="6917" priority="111">
      <formula>B68=""</formula>
    </cfRule>
  </conditionalFormatting>
  <conditionalFormatting sqref="C69">
    <cfRule type="expression" dxfId="6916" priority="110">
      <formula>B69=""</formula>
    </cfRule>
  </conditionalFormatting>
  <conditionalFormatting sqref="C70">
    <cfRule type="expression" dxfId="6915" priority="109">
      <formula>B70=""</formula>
    </cfRule>
  </conditionalFormatting>
  <conditionalFormatting sqref="C71">
    <cfRule type="expression" dxfId="6914" priority="108">
      <formula>B71=""</formula>
    </cfRule>
  </conditionalFormatting>
  <conditionalFormatting sqref="C74:C93">
    <cfRule type="expression" dxfId="6913" priority="107">
      <formula>B74=""</formula>
    </cfRule>
  </conditionalFormatting>
  <conditionalFormatting sqref="C75 C77 C79 C81 C83 C85 C87 C89 C91 C93">
    <cfRule type="expression" dxfId="6912" priority="106">
      <formula>B75=""</formula>
    </cfRule>
  </conditionalFormatting>
  <conditionalFormatting sqref="C76:C86">
    <cfRule type="expression" dxfId="6911" priority="105">
      <formula>B76=""</formula>
    </cfRule>
  </conditionalFormatting>
  <conditionalFormatting sqref="C87">
    <cfRule type="expression" dxfId="6910" priority="104">
      <formula>B87=""</formula>
    </cfRule>
  </conditionalFormatting>
  <conditionalFormatting sqref="C88">
    <cfRule type="expression" dxfId="6909" priority="103">
      <formula>B88=""</formula>
    </cfRule>
  </conditionalFormatting>
  <conditionalFormatting sqref="C89">
    <cfRule type="expression" dxfId="6908" priority="102">
      <formula>B89=""</formula>
    </cfRule>
  </conditionalFormatting>
  <conditionalFormatting sqref="C90">
    <cfRule type="expression" dxfId="6907" priority="101">
      <formula>B90=""</formula>
    </cfRule>
  </conditionalFormatting>
  <conditionalFormatting sqref="C91">
    <cfRule type="expression" dxfId="6906" priority="100">
      <formula>B91=""</formula>
    </cfRule>
  </conditionalFormatting>
  <conditionalFormatting sqref="C92">
    <cfRule type="expression" dxfId="6905" priority="99">
      <formula>B92=""</formula>
    </cfRule>
  </conditionalFormatting>
  <conditionalFormatting sqref="C93">
    <cfRule type="expression" dxfId="6904" priority="98">
      <formula>B93=""</formula>
    </cfRule>
  </conditionalFormatting>
  <conditionalFormatting sqref="C93">
    <cfRule type="expression" dxfId="6903" priority="97">
      <formula>B93=""</formula>
    </cfRule>
  </conditionalFormatting>
  <conditionalFormatting sqref="C74:C93">
    <cfRule type="expression" dxfId="6902" priority="96">
      <formula>B74=""</formula>
    </cfRule>
  </conditionalFormatting>
  <conditionalFormatting sqref="C75 C77 C79 C81 C83 C85 C87 C89 C91 C93">
    <cfRule type="expression" dxfId="6901" priority="95">
      <formula>B75=""</formula>
    </cfRule>
  </conditionalFormatting>
  <conditionalFormatting sqref="C76:C86">
    <cfRule type="expression" dxfId="6900" priority="94">
      <formula>B76=""</formula>
    </cfRule>
  </conditionalFormatting>
  <conditionalFormatting sqref="C87">
    <cfRule type="expression" dxfId="6899" priority="93">
      <formula>B87=""</formula>
    </cfRule>
  </conditionalFormatting>
  <conditionalFormatting sqref="C88">
    <cfRule type="expression" dxfId="6898" priority="92">
      <formula>B88=""</formula>
    </cfRule>
  </conditionalFormatting>
  <conditionalFormatting sqref="C89">
    <cfRule type="expression" dxfId="6897" priority="91">
      <formula>B89=""</formula>
    </cfRule>
  </conditionalFormatting>
  <conditionalFormatting sqref="C90">
    <cfRule type="expression" dxfId="6896" priority="90">
      <formula>B90=""</formula>
    </cfRule>
  </conditionalFormatting>
  <conditionalFormatting sqref="C91">
    <cfRule type="expression" dxfId="6895" priority="89">
      <formula>B91=""</formula>
    </cfRule>
  </conditionalFormatting>
  <conditionalFormatting sqref="C92">
    <cfRule type="expression" dxfId="6894" priority="88">
      <formula>B92=""</formula>
    </cfRule>
  </conditionalFormatting>
  <conditionalFormatting sqref="C93">
    <cfRule type="expression" dxfId="6893" priority="87">
      <formula>B93=""</formula>
    </cfRule>
  </conditionalFormatting>
  <conditionalFormatting sqref="C74:C93">
    <cfRule type="expression" dxfId="6892" priority="86">
      <formula>B74=""</formula>
    </cfRule>
  </conditionalFormatting>
  <conditionalFormatting sqref="C75 C77 C79 C81 C83 C85 C87 C89 C91 C93">
    <cfRule type="expression" dxfId="6891" priority="85">
      <formula>B75=""</formula>
    </cfRule>
  </conditionalFormatting>
  <conditionalFormatting sqref="C76:C86">
    <cfRule type="expression" dxfId="6890" priority="84">
      <formula>B76=""</formula>
    </cfRule>
  </conditionalFormatting>
  <conditionalFormatting sqref="C87">
    <cfRule type="expression" dxfId="6889" priority="83">
      <formula>B87=""</formula>
    </cfRule>
  </conditionalFormatting>
  <conditionalFormatting sqref="C88">
    <cfRule type="expression" dxfId="6888" priority="82">
      <formula>B88=""</formula>
    </cfRule>
  </conditionalFormatting>
  <conditionalFormatting sqref="C89">
    <cfRule type="expression" dxfId="6887" priority="81">
      <formula>B89=""</formula>
    </cfRule>
  </conditionalFormatting>
  <conditionalFormatting sqref="C90">
    <cfRule type="expression" dxfId="6886" priority="80">
      <formula>B90=""</formula>
    </cfRule>
  </conditionalFormatting>
  <conditionalFormatting sqref="C91">
    <cfRule type="expression" dxfId="6885" priority="79">
      <formula>B91=""</formula>
    </cfRule>
  </conditionalFormatting>
  <conditionalFormatting sqref="C92">
    <cfRule type="expression" dxfId="6884" priority="78">
      <formula>B92=""</formula>
    </cfRule>
  </conditionalFormatting>
  <conditionalFormatting sqref="C93">
    <cfRule type="expression" dxfId="6883" priority="77">
      <formula>B93=""</formula>
    </cfRule>
  </conditionalFormatting>
  <conditionalFormatting sqref="C93">
    <cfRule type="expression" dxfId="6882" priority="76">
      <formula>B93=""</formula>
    </cfRule>
  </conditionalFormatting>
  <conditionalFormatting sqref="C74:C93">
    <cfRule type="expression" dxfId="6881" priority="75">
      <formula>B74=""</formula>
    </cfRule>
  </conditionalFormatting>
  <conditionalFormatting sqref="C75 C77 C79 C81 C83 C85 C87 C89 C91 C93">
    <cfRule type="expression" dxfId="6880" priority="74">
      <formula>B75=""</formula>
    </cfRule>
  </conditionalFormatting>
  <conditionalFormatting sqref="C76:C86">
    <cfRule type="expression" dxfId="6879" priority="73">
      <formula>B76=""</formula>
    </cfRule>
  </conditionalFormatting>
  <conditionalFormatting sqref="C87">
    <cfRule type="expression" dxfId="6878" priority="72">
      <formula>B87=""</formula>
    </cfRule>
  </conditionalFormatting>
  <conditionalFormatting sqref="C88">
    <cfRule type="expression" dxfId="6877" priority="71">
      <formula>B88=""</formula>
    </cfRule>
  </conditionalFormatting>
  <conditionalFormatting sqref="C89">
    <cfRule type="expression" dxfId="6876" priority="70">
      <formula>B89=""</formula>
    </cfRule>
  </conditionalFormatting>
  <conditionalFormatting sqref="C90">
    <cfRule type="expression" dxfId="6875" priority="69">
      <formula>B90=""</formula>
    </cfRule>
  </conditionalFormatting>
  <conditionalFormatting sqref="C91">
    <cfRule type="expression" dxfId="6874" priority="68">
      <formula>B91=""</formula>
    </cfRule>
  </conditionalFormatting>
  <conditionalFormatting sqref="C92">
    <cfRule type="expression" dxfId="6873" priority="67">
      <formula>B92=""</formula>
    </cfRule>
  </conditionalFormatting>
  <conditionalFormatting sqref="C93">
    <cfRule type="expression" dxfId="6872" priority="66">
      <formula>B93=""</formula>
    </cfRule>
  </conditionalFormatting>
  <conditionalFormatting sqref="C74:C93">
    <cfRule type="expression" dxfId="6871" priority="65">
      <formula>B74=""</formula>
    </cfRule>
  </conditionalFormatting>
  <conditionalFormatting sqref="C75 C77 C79 C81 C83 C85 C87 C89 C91 C93">
    <cfRule type="expression" dxfId="6870" priority="64">
      <formula>B75=""</formula>
    </cfRule>
  </conditionalFormatting>
  <conditionalFormatting sqref="C76:C86">
    <cfRule type="expression" dxfId="6869" priority="63">
      <formula>B76=""</formula>
    </cfRule>
  </conditionalFormatting>
  <conditionalFormatting sqref="C87">
    <cfRule type="expression" dxfId="6868" priority="62">
      <formula>B87=""</formula>
    </cfRule>
  </conditionalFormatting>
  <conditionalFormatting sqref="C88">
    <cfRule type="expression" dxfId="6867" priority="61">
      <formula>B88=""</formula>
    </cfRule>
  </conditionalFormatting>
  <conditionalFormatting sqref="C89">
    <cfRule type="expression" dxfId="6866" priority="60">
      <formula>B89=""</formula>
    </cfRule>
  </conditionalFormatting>
  <conditionalFormatting sqref="C90">
    <cfRule type="expression" dxfId="6865" priority="59">
      <formula>B90=""</formula>
    </cfRule>
  </conditionalFormatting>
  <conditionalFormatting sqref="C91">
    <cfRule type="expression" dxfId="6864" priority="58">
      <formula>B91=""</formula>
    </cfRule>
  </conditionalFormatting>
  <conditionalFormatting sqref="C92">
    <cfRule type="expression" dxfId="6863" priority="57">
      <formula>B92=""</formula>
    </cfRule>
  </conditionalFormatting>
  <conditionalFormatting sqref="C93">
    <cfRule type="expression" dxfId="6862" priority="56">
      <formula>B93=""</formula>
    </cfRule>
  </conditionalFormatting>
  <conditionalFormatting sqref="C74:C93">
    <cfRule type="expression" dxfId="6861" priority="55">
      <formula>B74=""</formula>
    </cfRule>
  </conditionalFormatting>
  <conditionalFormatting sqref="C75 C77 C79 C81 C83 C85 C87 C89 C91 C93">
    <cfRule type="expression" dxfId="6860" priority="54">
      <formula>B75=""</formula>
    </cfRule>
  </conditionalFormatting>
  <conditionalFormatting sqref="C76:C86">
    <cfRule type="expression" dxfId="6859" priority="53">
      <formula>B76=""</formula>
    </cfRule>
  </conditionalFormatting>
  <conditionalFormatting sqref="C87">
    <cfRule type="expression" dxfId="6858" priority="52">
      <formula>B87=""</formula>
    </cfRule>
  </conditionalFormatting>
  <conditionalFormatting sqref="C88">
    <cfRule type="expression" dxfId="6857" priority="51">
      <formula>B88=""</formula>
    </cfRule>
  </conditionalFormatting>
  <conditionalFormatting sqref="C89">
    <cfRule type="expression" dxfId="6856" priority="50">
      <formula>B89=""</formula>
    </cfRule>
  </conditionalFormatting>
  <conditionalFormatting sqref="C90">
    <cfRule type="expression" dxfId="6855" priority="49">
      <formula>B90=""</formula>
    </cfRule>
  </conditionalFormatting>
  <conditionalFormatting sqref="C91">
    <cfRule type="expression" dxfId="6854" priority="48">
      <formula>B91=""</formula>
    </cfRule>
  </conditionalFormatting>
  <conditionalFormatting sqref="C92">
    <cfRule type="expression" dxfId="6853" priority="47">
      <formula>B92=""</formula>
    </cfRule>
  </conditionalFormatting>
  <conditionalFormatting sqref="C93">
    <cfRule type="expression" dxfId="6852" priority="46">
      <formula>B93=""</formula>
    </cfRule>
  </conditionalFormatting>
  <conditionalFormatting sqref="C74 C76 C78 C80 C82 C84 C86 C88 C90 C92">
    <cfRule type="expression" dxfId="6851" priority="45">
      <formula>B74=""</formula>
    </cfRule>
  </conditionalFormatting>
  <conditionalFormatting sqref="C75 C77 C79 C81 C83 C85 C87 C89 C91 C93">
    <cfRule type="expression" dxfId="6850" priority="44">
      <formula>B75=""</formula>
    </cfRule>
  </conditionalFormatting>
  <conditionalFormatting sqref="C76:C86">
    <cfRule type="expression" dxfId="6849" priority="43">
      <formula>B76=""</formula>
    </cfRule>
  </conditionalFormatting>
  <conditionalFormatting sqref="C87">
    <cfRule type="expression" dxfId="6848" priority="42">
      <formula>B87=""</formula>
    </cfRule>
  </conditionalFormatting>
  <conditionalFormatting sqref="C88">
    <cfRule type="expression" dxfId="6847" priority="41">
      <formula>B88=""</formula>
    </cfRule>
  </conditionalFormatting>
  <conditionalFormatting sqref="C89">
    <cfRule type="expression" dxfId="6846" priority="40">
      <formula>B89=""</formula>
    </cfRule>
  </conditionalFormatting>
  <conditionalFormatting sqref="C90">
    <cfRule type="expression" dxfId="6845" priority="39">
      <formula>B90=""</formula>
    </cfRule>
  </conditionalFormatting>
  <conditionalFormatting sqref="C91">
    <cfRule type="expression" dxfId="6844" priority="38">
      <formula>B91=""</formula>
    </cfRule>
  </conditionalFormatting>
  <conditionalFormatting sqref="C92">
    <cfRule type="expression" dxfId="6843" priority="37">
      <formula>B92=""</formula>
    </cfRule>
  </conditionalFormatting>
  <conditionalFormatting sqref="C93">
    <cfRule type="expression" dxfId="6842" priority="36">
      <formula>B93=""</formula>
    </cfRule>
  </conditionalFormatting>
  <conditionalFormatting sqref="B8:B27">
    <cfRule type="containsBlanks" dxfId="6841" priority="35">
      <formula>LEN(TRIM(B8))=0</formula>
    </cfRule>
  </conditionalFormatting>
  <conditionalFormatting sqref="C8:C27">
    <cfRule type="expression" dxfId="6840" priority="34">
      <formula>B8=""</formula>
    </cfRule>
  </conditionalFormatting>
  <conditionalFormatting sqref="C9 C11 C13 C15 C17 C19 C21 C23 C25 C27">
    <cfRule type="expression" dxfId="6839" priority="33">
      <formula>B9=""</formula>
    </cfRule>
  </conditionalFormatting>
  <conditionalFormatting sqref="C9 C11 C13 C15 C17 C19 C21 C23 C25 C27">
    <cfRule type="expression" dxfId="6838" priority="32">
      <formula>B9=""</formula>
    </cfRule>
  </conditionalFormatting>
  <conditionalFormatting sqref="C8 C10 C12 C14 C16 C18 C20 C22 C24 C26">
    <cfRule type="expression" dxfId="6837" priority="31">
      <formula>B8=""</formula>
    </cfRule>
  </conditionalFormatting>
  <conditionalFormatting sqref="C9 C11 C13 C15 C17 C19 C21 C23 C25 C27">
    <cfRule type="expression" dxfId="6836" priority="30">
      <formula>B9=""</formula>
    </cfRule>
  </conditionalFormatting>
  <conditionalFormatting sqref="C8:C27">
    <cfRule type="expression" dxfId="6835" priority="29">
      <formula>B8=""</formula>
    </cfRule>
  </conditionalFormatting>
  <conditionalFormatting sqref="C9 C11 C13 C15 C17 C19 C21 C23 C25 C27">
    <cfRule type="expression" dxfId="6834" priority="28">
      <formula>B9=""</formula>
    </cfRule>
  </conditionalFormatting>
  <conditionalFormatting sqref="C8:C27">
    <cfRule type="expression" dxfId="6833" priority="27">
      <formula>B8=""</formula>
    </cfRule>
  </conditionalFormatting>
  <conditionalFormatting sqref="C9 C11 C13 C15 C17 C19 C21 C23 C25 C27">
    <cfRule type="expression" dxfId="6832" priority="26">
      <formula>B9=""</formula>
    </cfRule>
  </conditionalFormatting>
  <conditionalFormatting sqref="C8:C27">
    <cfRule type="expression" dxfId="6831" priority="25">
      <formula>B8=""</formula>
    </cfRule>
  </conditionalFormatting>
  <conditionalFormatting sqref="C9 C11 C13 C15 C17 C19 C21 C23 C25 C27">
    <cfRule type="expression" dxfId="6830" priority="24">
      <formula>B9=""</formula>
    </cfRule>
  </conditionalFormatting>
  <conditionalFormatting sqref="B8:B27">
    <cfRule type="containsBlanks" dxfId="6829" priority="23">
      <formula>LEN(TRIM(B8))=0</formula>
    </cfRule>
  </conditionalFormatting>
  <conditionalFormatting sqref="E28">
    <cfRule type="expression" dxfId="6828" priority="22">
      <formula>B28=""</formula>
    </cfRule>
  </conditionalFormatting>
  <conditionalFormatting sqref="E28">
    <cfRule type="expression" dxfId="6827" priority="21">
      <formula>B28=""</formula>
    </cfRule>
  </conditionalFormatting>
  <conditionalFormatting sqref="E28">
    <cfRule type="expression" dxfId="6826" priority="20">
      <formula>B28=""</formula>
    </cfRule>
  </conditionalFormatting>
  <conditionalFormatting sqref="E28">
    <cfRule type="expression" dxfId="6825" priority="19">
      <formula>B28=""</formula>
    </cfRule>
  </conditionalFormatting>
  <conditionalFormatting sqref="E28">
    <cfRule type="expression" dxfId="6824" priority="18">
      <formula>B28=""</formula>
    </cfRule>
  </conditionalFormatting>
  <conditionalFormatting sqref="E28">
    <cfRule type="expression" dxfId="6823" priority="17">
      <formula>B28=""</formula>
    </cfRule>
  </conditionalFormatting>
  <conditionalFormatting sqref="E28">
    <cfRule type="expression" dxfId="6822" priority="16">
      <formula>B28=""</formula>
    </cfRule>
  </conditionalFormatting>
  <conditionalFormatting sqref="E28">
    <cfRule type="expression" dxfId="6821" priority="15">
      <formula>B28=""</formula>
    </cfRule>
  </conditionalFormatting>
  <conditionalFormatting sqref="E28">
    <cfRule type="expression" dxfId="6820" priority="14">
      <formula>B28=""</formula>
    </cfRule>
  </conditionalFormatting>
  <conditionalFormatting sqref="E50">
    <cfRule type="expression" dxfId="6819" priority="13">
      <formula>B50=""</formula>
    </cfRule>
  </conditionalFormatting>
  <conditionalFormatting sqref="E50">
    <cfRule type="expression" dxfId="6818" priority="12">
      <formula>B50=""</formula>
    </cfRule>
  </conditionalFormatting>
  <conditionalFormatting sqref="E50">
    <cfRule type="expression" dxfId="6817" priority="11">
      <formula>B50=""</formula>
    </cfRule>
  </conditionalFormatting>
  <conditionalFormatting sqref="E50">
    <cfRule type="expression" dxfId="6816" priority="10">
      <formula>B50=""</formula>
    </cfRule>
  </conditionalFormatting>
  <conditionalFormatting sqref="E50">
    <cfRule type="expression" dxfId="6815" priority="9">
      <formula>B50=""</formula>
    </cfRule>
  </conditionalFormatting>
  <conditionalFormatting sqref="E50">
    <cfRule type="expression" dxfId="6814" priority="8">
      <formula>B50=""</formula>
    </cfRule>
  </conditionalFormatting>
  <conditionalFormatting sqref="E50">
    <cfRule type="expression" dxfId="6813" priority="7">
      <formula>B50=""</formula>
    </cfRule>
  </conditionalFormatting>
  <conditionalFormatting sqref="E50">
    <cfRule type="expression" dxfId="6812" priority="6">
      <formula>B50=""</formula>
    </cfRule>
  </conditionalFormatting>
  <conditionalFormatting sqref="E50">
    <cfRule type="expression" dxfId="6811" priority="5">
      <formula>B50=""</formula>
    </cfRule>
  </conditionalFormatting>
  <conditionalFormatting sqref="E50">
    <cfRule type="expression" dxfId="6810" priority="4">
      <formula>B50=""</formula>
    </cfRule>
  </conditionalFormatting>
  <conditionalFormatting sqref="E50">
    <cfRule type="expression" dxfId="6809" priority="3">
      <formula>B50=""</formula>
    </cfRule>
  </conditionalFormatting>
  <conditionalFormatting sqref="E50">
    <cfRule type="expression" dxfId="6808" priority="2">
      <formula>B50=""</formula>
    </cfRule>
  </conditionalFormatting>
  <conditionalFormatting sqref="E50">
    <cfRule type="expression" dxfId="6807" priority="1">
      <formula>B50=""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5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7">
    <tabColor rgb="FFFF0000"/>
  </sheetPr>
  <dimension ref="B1:H96"/>
  <sheetViews>
    <sheetView workbookViewId="0"/>
  </sheetViews>
  <sheetFormatPr defaultRowHeight="1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140625" customWidth="1"/>
    <col min="8" max="8" width="17.140625" customWidth="1"/>
    <col min="10" max="10" width="14.7109375" customWidth="1"/>
  </cols>
  <sheetData>
    <row r="1" spans="2:8" ht="23.25">
      <c r="B1" s="214" t="str">
        <f>DATA!C1004</f>
        <v>NRA.N.011-050-2012/1F</v>
      </c>
      <c r="F1" s="214" t="str">
        <f>DATA!B1012</f>
        <v>Electrical</v>
      </c>
    </row>
    <row r="2" spans="2:8" ht="26.25">
      <c r="C2" s="232" t="str">
        <f>'All Hours'!D1</f>
        <v>PLEASE INSERT TENDERER NAME ON INPUT DATA SHEET</v>
      </c>
      <c r="E2" s="920" t="str">
        <f>IF(DATA!$D$1012="None","NOT USED IN THIS TENDER","")</f>
        <v/>
      </c>
    </row>
    <row r="3" spans="2:8">
      <c r="B3" t="str">
        <f>IF(DATA!D1012="None",DATA!B1012 &amp; " NOT SPECIFIED FOR THIS PROJECT", "")</f>
        <v/>
      </c>
      <c r="E3" s="232" t="str">
        <f>'Non Fee Hours'!E2</f>
        <v>ONLY INSERT KEY PERSONS HOURS, NOT ALTERNATES.</v>
      </c>
    </row>
    <row r="4" spans="2:8" ht="15.7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.75" thickBot="1">
      <c r="B5" s="2" t="s">
        <v>5</v>
      </c>
      <c r="C5" s="3"/>
      <c r="D5" s="12"/>
      <c r="E5" s="12"/>
      <c r="F5" s="15"/>
      <c r="G5" s="3"/>
      <c r="H5" s="4"/>
    </row>
    <row r="6" spans="2:8" ht="15.75" thickBot="1">
      <c r="B6" s="25" t="str">
        <f>DATA!B1012</f>
        <v>Electrical</v>
      </c>
      <c r="C6" s="26"/>
      <c r="D6" s="211" t="s">
        <v>6</v>
      </c>
      <c r="E6" s="27">
        <f>IF('SUMMARY TENDERED FEE'!C9="none",0,ROUND((E7*(F7/F73)+E29*(F29/F73)+E51*(F51/F73)+E73),2))</f>
        <v>0</v>
      </c>
      <c r="F6" s="28" t="str">
        <f>"Norm. Hours"</f>
        <v>Norm. Hours</v>
      </c>
      <c r="G6" s="913">
        <f>IF('SUMMARY TENDERED FEE'!C9="none",0,1)</f>
        <v>1</v>
      </c>
      <c r="H6" s="29">
        <f>IF('SUMMARY TENDERED FEE'!C9="none",0,SUM(H7:H94))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>DS3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.75" thickBot="1">
      <c r="B28" s="119" t="str">
        <f>'All Hours'!B30</f>
        <v>OTHER</v>
      </c>
      <c r="C28" s="63" t="str">
        <f>'All Hours'!C30</f>
        <v>Various non-key personnel</v>
      </c>
      <c r="D28" s="5"/>
      <c r="E28" s="901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>DS3</v>
      </c>
      <c r="C32" s="59" t="str">
        <f t="shared" si="4"/>
        <v/>
      </c>
      <c r="D32" s="59"/>
      <c r="E32" s="895">
        <v>0</v>
      </c>
      <c r="F32" s="16">
        <f t="shared" ref="F32:F39" si="5">IF(B32="","",$F$29)</f>
        <v>2796</v>
      </c>
      <c r="G32" s="61">
        <f t="shared" si="3"/>
        <v>0</v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.75" thickBot="1">
      <c r="B50" s="118" t="str">
        <f>B28</f>
        <v>OTHER</v>
      </c>
      <c r="C50" s="59" t="str">
        <f>C28</f>
        <v>Various non-key personnel</v>
      </c>
      <c r="D50" s="5"/>
      <c r="E50" s="895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4">IF(B53="","",(F53*E53))</f>
        <v>0</v>
      </c>
      <c r="H53" s="7"/>
    </row>
    <row r="54" spans="2:8">
      <c r="B54" s="118" t="str">
        <f t="shared" ref="B54:C54" si="15">B10</f>
        <v>DS3</v>
      </c>
      <c r="C54" s="59" t="str">
        <f t="shared" si="15"/>
        <v/>
      </c>
      <c r="D54" s="5"/>
      <c r="E54" s="899">
        <v>0</v>
      </c>
      <c r="F54" s="16">
        <f t="shared" ref="F54:F61" si="16">IF(B54="","",$F$51)</f>
        <v>2403</v>
      </c>
      <c r="G54" s="6">
        <f t="shared" si="14"/>
        <v>0</v>
      </c>
      <c r="H54" s="7"/>
    </row>
    <row r="55" spans="2:8">
      <c r="B55" s="118" t="str">
        <f t="shared" ref="B55:C55" si="17">B11</f>
        <v/>
      </c>
      <c r="C55" s="59" t="str">
        <f t="shared" si="17"/>
        <v/>
      </c>
      <c r="D55" s="5"/>
      <c r="E55" s="899">
        <v>0</v>
      </c>
      <c r="F55" s="16" t="str">
        <f t="shared" si="16"/>
        <v/>
      </c>
      <c r="G55" s="6" t="str">
        <f t="shared" ref="G55:G61" si="18">IF(B55="","",(F55*E55))</f>
        <v/>
      </c>
      <c r="H55" s="7"/>
    </row>
    <row r="56" spans="2:8">
      <c r="B56" s="118" t="str">
        <f t="shared" ref="B56:C56" si="19">B12</f>
        <v/>
      </c>
      <c r="C56" s="59" t="str">
        <f t="shared" si="19"/>
        <v/>
      </c>
      <c r="D56" s="5"/>
      <c r="E56" s="899">
        <v>0</v>
      </c>
      <c r="F56" s="16" t="str">
        <f t="shared" si="16"/>
        <v/>
      </c>
      <c r="G56" s="6" t="str">
        <f t="shared" si="18"/>
        <v/>
      </c>
      <c r="H56" s="7"/>
    </row>
    <row r="57" spans="2:8">
      <c r="B57" s="118" t="str">
        <f t="shared" ref="B57:C57" si="20">B13</f>
        <v/>
      </c>
      <c r="C57" s="59" t="str">
        <f t="shared" si="20"/>
        <v/>
      </c>
      <c r="D57" s="5"/>
      <c r="E57" s="899">
        <v>0</v>
      </c>
      <c r="F57" s="16" t="str">
        <f t="shared" si="16"/>
        <v/>
      </c>
      <c r="G57" s="6" t="str">
        <f t="shared" si="18"/>
        <v/>
      </c>
      <c r="H57" s="7"/>
    </row>
    <row r="58" spans="2:8">
      <c r="B58" s="118" t="str">
        <f t="shared" ref="B58:C58" si="21">B14</f>
        <v/>
      </c>
      <c r="C58" s="59" t="str">
        <f t="shared" si="21"/>
        <v/>
      </c>
      <c r="D58" s="5"/>
      <c r="E58" s="899">
        <v>0</v>
      </c>
      <c r="F58" s="16" t="str">
        <f t="shared" si="16"/>
        <v/>
      </c>
      <c r="G58" s="6" t="str">
        <f t="shared" si="18"/>
        <v/>
      </c>
      <c r="H58" s="7"/>
    </row>
    <row r="59" spans="2:8">
      <c r="B59" s="118" t="str">
        <f t="shared" ref="B59:C59" si="22">B15</f>
        <v/>
      </c>
      <c r="C59" s="59" t="str">
        <f t="shared" si="22"/>
        <v/>
      </c>
      <c r="D59" s="5"/>
      <c r="E59" s="899">
        <v>0</v>
      </c>
      <c r="F59" s="16" t="str">
        <f t="shared" si="16"/>
        <v/>
      </c>
      <c r="G59" s="6" t="str">
        <f t="shared" si="18"/>
        <v/>
      </c>
      <c r="H59" s="7"/>
    </row>
    <row r="60" spans="2:8">
      <c r="B60" s="118" t="str">
        <f t="shared" ref="B60:C60" si="23">B16</f>
        <v/>
      </c>
      <c r="C60" s="59" t="str">
        <f t="shared" si="23"/>
        <v/>
      </c>
      <c r="D60" s="5"/>
      <c r="E60" s="899">
        <v>0</v>
      </c>
      <c r="F60" s="16" t="str">
        <f t="shared" si="16"/>
        <v/>
      </c>
      <c r="G60" s="6" t="str">
        <f t="shared" si="18"/>
        <v/>
      </c>
      <c r="H60" s="7"/>
    </row>
    <row r="61" spans="2:8">
      <c r="B61" s="118" t="str">
        <f t="shared" ref="B61:C61" si="24">B17</f>
        <v/>
      </c>
      <c r="C61" s="59" t="str">
        <f t="shared" si="24"/>
        <v/>
      </c>
      <c r="D61" s="5"/>
      <c r="E61" s="899">
        <v>0</v>
      </c>
      <c r="F61" s="16" t="str">
        <f t="shared" si="16"/>
        <v/>
      </c>
      <c r="G61" s="6" t="str">
        <f t="shared" si="18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.7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4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5">IF(B75="","",(F75*E75))</f>
        <v>0</v>
      </c>
      <c r="H75" s="7"/>
    </row>
    <row r="76" spans="2:8">
      <c r="B76" s="118" t="str">
        <f t="shared" ref="B76:C76" si="26">B10</f>
        <v>DS3</v>
      </c>
      <c r="C76" s="59" t="str">
        <f t="shared" si="26"/>
        <v/>
      </c>
      <c r="D76" s="5"/>
      <c r="E76" s="899">
        <v>0</v>
      </c>
      <c r="F76" s="16">
        <f t="shared" ref="F76:F83" si="27">IF(B76="","",$F$73)</f>
        <v>1167</v>
      </c>
      <c r="G76" s="6">
        <f t="shared" si="25"/>
        <v>0</v>
      </c>
      <c r="H76" s="7"/>
    </row>
    <row r="77" spans="2:8">
      <c r="B77" s="118" t="str">
        <f t="shared" ref="B77:C77" si="28">B11</f>
        <v/>
      </c>
      <c r="C77" s="59" t="str">
        <f t="shared" si="28"/>
        <v/>
      </c>
      <c r="D77" s="5"/>
      <c r="E77" s="899">
        <v>0</v>
      </c>
      <c r="F77" s="16" t="str">
        <f t="shared" si="27"/>
        <v/>
      </c>
      <c r="G77" s="6" t="str">
        <f t="shared" ref="G77:G83" si="29">IF(B77="","",(F77*E77))</f>
        <v/>
      </c>
      <c r="H77" s="7"/>
    </row>
    <row r="78" spans="2:8">
      <c r="B78" s="118" t="str">
        <f t="shared" ref="B78:C78" si="30">B12</f>
        <v/>
      </c>
      <c r="C78" s="59" t="str">
        <f t="shared" si="30"/>
        <v/>
      </c>
      <c r="D78" s="5"/>
      <c r="E78" s="899">
        <v>0</v>
      </c>
      <c r="F78" s="16" t="str">
        <f t="shared" si="27"/>
        <v/>
      </c>
      <c r="G78" s="6" t="str">
        <f t="shared" si="29"/>
        <v/>
      </c>
      <c r="H78" s="7"/>
    </row>
    <row r="79" spans="2:8">
      <c r="B79" s="118" t="str">
        <f t="shared" ref="B79:C79" si="31">B13</f>
        <v/>
      </c>
      <c r="C79" s="59" t="str">
        <f t="shared" si="31"/>
        <v/>
      </c>
      <c r="D79" s="5"/>
      <c r="E79" s="899">
        <v>0</v>
      </c>
      <c r="F79" s="16" t="str">
        <f t="shared" si="27"/>
        <v/>
      </c>
      <c r="G79" s="6" t="str">
        <f t="shared" si="29"/>
        <v/>
      </c>
      <c r="H79" s="7"/>
    </row>
    <row r="80" spans="2:8">
      <c r="B80" s="118" t="str">
        <f t="shared" ref="B80:C80" si="32">B14</f>
        <v/>
      </c>
      <c r="C80" s="59" t="str">
        <f t="shared" si="32"/>
        <v/>
      </c>
      <c r="D80" s="5"/>
      <c r="E80" s="899">
        <v>0</v>
      </c>
      <c r="F80" s="16" t="str">
        <f t="shared" si="27"/>
        <v/>
      </c>
      <c r="G80" s="6" t="str">
        <f t="shared" si="29"/>
        <v/>
      </c>
      <c r="H80" s="7"/>
    </row>
    <row r="81" spans="2:8">
      <c r="B81" s="118" t="str">
        <f t="shared" ref="B81:C81" si="33">B15</f>
        <v/>
      </c>
      <c r="C81" s="59" t="str">
        <f t="shared" si="33"/>
        <v/>
      </c>
      <c r="D81" s="5"/>
      <c r="E81" s="899">
        <v>0</v>
      </c>
      <c r="F81" s="16" t="str">
        <f t="shared" si="27"/>
        <v/>
      </c>
      <c r="G81" s="6" t="str">
        <f t="shared" si="29"/>
        <v/>
      </c>
      <c r="H81" s="7"/>
    </row>
    <row r="82" spans="2:8">
      <c r="B82" s="118" t="str">
        <f t="shared" ref="B82:C82" si="34">B16</f>
        <v/>
      </c>
      <c r="C82" s="59" t="str">
        <f t="shared" si="34"/>
        <v/>
      </c>
      <c r="D82" s="5"/>
      <c r="E82" s="899">
        <v>0</v>
      </c>
      <c r="F82" s="16" t="str">
        <f t="shared" si="27"/>
        <v/>
      </c>
      <c r="G82" s="6" t="str">
        <f t="shared" si="29"/>
        <v/>
      </c>
      <c r="H82" s="7"/>
    </row>
    <row r="83" spans="2:8">
      <c r="B83" s="118" t="str">
        <f t="shared" ref="B83:C83" si="35">B17</f>
        <v/>
      </c>
      <c r="C83" s="59" t="str">
        <f t="shared" si="35"/>
        <v/>
      </c>
      <c r="D83" s="5"/>
      <c r="E83" s="899">
        <v>0</v>
      </c>
      <c r="F83" s="16" t="str">
        <f t="shared" si="27"/>
        <v/>
      </c>
      <c r="G83" s="6" t="str">
        <f t="shared" si="29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.75" thickBot="1">
      <c r="B94" s="119" t="str">
        <f t="shared" ref="B94:C94" si="36">B28</f>
        <v>OTHER</v>
      </c>
      <c r="C94" s="63" t="str">
        <f t="shared" si="36"/>
        <v>Various non-key personnel</v>
      </c>
      <c r="D94" s="8"/>
      <c r="E94" s="900">
        <v>0</v>
      </c>
      <c r="F94" s="17">
        <f>IF(B94="","",$F$73)</f>
        <v>1167</v>
      </c>
      <c r="G94" s="9">
        <f t="shared" si="25"/>
        <v>0</v>
      </c>
      <c r="H94" s="10"/>
    </row>
    <row r="96" spans="2:8">
      <c r="B96" s="1066" t="s">
        <v>989</v>
      </c>
      <c r="C96" s="1" t="s">
        <v>990</v>
      </c>
    </row>
  </sheetData>
  <sheetProtection algorithmName="SHA-512" hashValue="tMmTsAqma2jGlRATtzX31XFd2Oe5lMngyW/JhHopU3rp2v9Fy7BMCeccTtlNQ/giX7IH9KbOVudoq7okUsqRcQ==" saltValue="UI2LD262uZbrf1Z6HTmwNg==" spinCount="100000" sheet="1" objects="1" scenarios="1"/>
  <conditionalFormatting sqref="B8:B28 B30:B50 B52:B72 B74:B94">
    <cfRule type="containsBlanks" dxfId="6806" priority="748">
      <formula>LEN(TRIM(B8))=0</formula>
    </cfRule>
  </conditionalFormatting>
  <conditionalFormatting sqref="C8:C27 C30:C50">
    <cfRule type="expression" dxfId="6805" priority="747">
      <formula>B8=""</formula>
    </cfRule>
  </conditionalFormatting>
  <conditionalFormatting sqref="C9 C11 C13 C15 C17 C19 C21 C23 C25 C27">
    <cfRule type="expression" dxfId="6804" priority="746">
      <formula>B9=""</formula>
    </cfRule>
  </conditionalFormatting>
  <conditionalFormatting sqref="C10:C20">
    <cfRule type="expression" dxfId="6803" priority="745">
      <formula>B10=""</formula>
    </cfRule>
  </conditionalFormatting>
  <conditionalFormatting sqref="C21">
    <cfRule type="expression" dxfId="6802" priority="744">
      <formula>B21=""</formula>
    </cfRule>
  </conditionalFormatting>
  <conditionalFormatting sqref="C22">
    <cfRule type="expression" dxfId="6801" priority="743">
      <formula>B22=""</formula>
    </cfRule>
  </conditionalFormatting>
  <conditionalFormatting sqref="C23">
    <cfRule type="expression" dxfId="6800" priority="742">
      <formula>B23=""</formula>
    </cfRule>
  </conditionalFormatting>
  <conditionalFormatting sqref="C24">
    <cfRule type="expression" dxfId="6799" priority="741">
      <formula>B24=""</formula>
    </cfRule>
  </conditionalFormatting>
  <conditionalFormatting sqref="C25">
    <cfRule type="expression" dxfId="6798" priority="740">
      <formula>B25=""</formula>
    </cfRule>
  </conditionalFormatting>
  <conditionalFormatting sqref="C26">
    <cfRule type="expression" dxfId="6797" priority="739">
      <formula>B26=""</formula>
    </cfRule>
  </conditionalFormatting>
  <conditionalFormatting sqref="C27">
    <cfRule type="expression" dxfId="6796" priority="738">
      <formula>B27=""</formula>
    </cfRule>
  </conditionalFormatting>
  <conditionalFormatting sqref="C28">
    <cfRule type="expression" dxfId="6795" priority="737">
      <formula>B28=""</formula>
    </cfRule>
  </conditionalFormatting>
  <conditionalFormatting sqref="D8 D10 D12 D14 D16 D18 D20 D22 D24 D26 D32:D49">
    <cfRule type="expression" dxfId="6794" priority="736">
      <formula>B8=""</formula>
    </cfRule>
  </conditionalFormatting>
  <conditionalFormatting sqref="D9 D11 D13 D15 D17 D19 D21 D23 D25 D27">
    <cfRule type="expression" dxfId="6793" priority="735">
      <formula>B9=""</formula>
    </cfRule>
  </conditionalFormatting>
  <conditionalFormatting sqref="D10:D20">
    <cfRule type="expression" dxfId="6792" priority="734">
      <formula>B10=""</formula>
    </cfRule>
  </conditionalFormatting>
  <conditionalFormatting sqref="D21">
    <cfRule type="expression" dxfId="6791" priority="733">
      <formula>B21=""</formula>
    </cfRule>
  </conditionalFormatting>
  <conditionalFormatting sqref="D22">
    <cfRule type="expression" dxfId="6790" priority="732">
      <formula>B22=""</formula>
    </cfRule>
  </conditionalFormatting>
  <conditionalFormatting sqref="D23">
    <cfRule type="expression" dxfId="6789" priority="731">
      <formula>B23=""</formula>
    </cfRule>
  </conditionalFormatting>
  <conditionalFormatting sqref="D24">
    <cfRule type="expression" dxfId="6788" priority="730">
      <formula>B24=""</formula>
    </cfRule>
  </conditionalFormatting>
  <conditionalFormatting sqref="D25">
    <cfRule type="expression" dxfId="6787" priority="729">
      <formula>B25=""</formula>
    </cfRule>
  </conditionalFormatting>
  <conditionalFormatting sqref="D26">
    <cfRule type="expression" dxfId="6786" priority="728">
      <formula>B26=""</formula>
    </cfRule>
  </conditionalFormatting>
  <conditionalFormatting sqref="D27">
    <cfRule type="expression" dxfId="6785" priority="727">
      <formula>B27=""</formula>
    </cfRule>
  </conditionalFormatting>
  <conditionalFormatting sqref="D28">
    <cfRule type="expression" dxfId="6784" priority="726">
      <formula>B28=""</formula>
    </cfRule>
  </conditionalFormatting>
  <conditionalFormatting sqref="E8 E10 E12 E14 E16 E18 E20 E22 E24 E26 E30:E49">
    <cfRule type="expression" dxfId="6783" priority="725">
      <formula>B8=""</formula>
    </cfRule>
  </conditionalFormatting>
  <conditionalFormatting sqref="E9 E11 E13 E15 E17 E19 E21 E23 E25 E27 E32:E49">
    <cfRule type="expression" dxfId="6782" priority="724">
      <formula>B9=""</formula>
    </cfRule>
  </conditionalFormatting>
  <conditionalFormatting sqref="E10:E20">
    <cfRule type="expression" dxfId="6781" priority="723">
      <formula>B10=""</formula>
    </cfRule>
  </conditionalFormatting>
  <conditionalFormatting sqref="E21">
    <cfRule type="expression" dxfId="6780" priority="722">
      <formula>B21=""</formula>
    </cfRule>
  </conditionalFormatting>
  <conditionalFormatting sqref="E22">
    <cfRule type="expression" dxfId="6779" priority="721">
      <formula>B22=""</formula>
    </cfRule>
  </conditionalFormatting>
  <conditionalFormatting sqref="E23">
    <cfRule type="expression" dxfId="6778" priority="720">
      <formula>B23=""</formula>
    </cfRule>
  </conditionalFormatting>
  <conditionalFormatting sqref="E24">
    <cfRule type="expression" dxfId="6777" priority="719">
      <formula>B24=""</formula>
    </cfRule>
  </conditionalFormatting>
  <conditionalFormatting sqref="E25">
    <cfRule type="expression" dxfId="6776" priority="718">
      <formula>B25=""</formula>
    </cfRule>
  </conditionalFormatting>
  <conditionalFormatting sqref="E26">
    <cfRule type="expression" dxfId="6775" priority="717">
      <formula>B26=""</formula>
    </cfRule>
  </conditionalFormatting>
  <conditionalFormatting sqref="E27">
    <cfRule type="expression" dxfId="6774" priority="716">
      <formula>B27=""</formula>
    </cfRule>
  </conditionalFormatting>
  <conditionalFormatting sqref="E28">
    <cfRule type="expression" dxfId="6773" priority="715">
      <formula>B28=""</formula>
    </cfRule>
  </conditionalFormatting>
  <conditionalFormatting sqref="F8 F10 F12 F14 F16 F18 F20 F22 F24 F26 F32:F49">
    <cfRule type="expression" dxfId="6772" priority="714">
      <formula>B8=""</formula>
    </cfRule>
  </conditionalFormatting>
  <conditionalFormatting sqref="F9 F11 F13 F15 F17 F19 F21 F23 F25 F27">
    <cfRule type="expression" dxfId="6771" priority="713">
      <formula>B9=""</formula>
    </cfRule>
  </conditionalFormatting>
  <conditionalFormatting sqref="F10:F20">
    <cfRule type="expression" dxfId="6770" priority="712">
      <formula>B10=""</formula>
    </cfRule>
  </conditionalFormatting>
  <conditionalFormatting sqref="F21">
    <cfRule type="expression" dxfId="6769" priority="711">
      <formula>B21=""</formula>
    </cfRule>
  </conditionalFormatting>
  <conditionalFormatting sqref="F22">
    <cfRule type="expression" dxfId="6768" priority="710">
      <formula>B22=""</formula>
    </cfRule>
  </conditionalFormatting>
  <conditionalFormatting sqref="F23">
    <cfRule type="expression" dxfId="6767" priority="709">
      <formula>B23=""</formula>
    </cfRule>
  </conditionalFormatting>
  <conditionalFormatting sqref="F24">
    <cfRule type="expression" dxfId="6766" priority="708">
      <formula>B24=""</formula>
    </cfRule>
  </conditionalFormatting>
  <conditionalFormatting sqref="F25">
    <cfRule type="expression" dxfId="6765" priority="707">
      <formula>B25=""</formula>
    </cfRule>
  </conditionalFormatting>
  <conditionalFormatting sqref="F26">
    <cfRule type="expression" dxfId="6764" priority="706">
      <formula>B26=""</formula>
    </cfRule>
  </conditionalFormatting>
  <conditionalFormatting sqref="F27">
    <cfRule type="expression" dxfId="6763" priority="705">
      <formula>B27=""</formula>
    </cfRule>
  </conditionalFormatting>
  <conditionalFormatting sqref="F28">
    <cfRule type="expression" dxfId="6762" priority="704">
      <formula>B28=""</formula>
    </cfRule>
  </conditionalFormatting>
  <conditionalFormatting sqref="E9 E11 E13 E15 E17 E19 E21 E23 E25 E27">
    <cfRule type="expression" dxfId="6761" priority="703">
      <formula>B9=""</formula>
    </cfRule>
  </conditionalFormatting>
  <conditionalFormatting sqref="E10:E20">
    <cfRule type="expression" dxfId="6760" priority="702">
      <formula>B10=""</formula>
    </cfRule>
  </conditionalFormatting>
  <conditionalFormatting sqref="E21">
    <cfRule type="expression" dxfId="6759" priority="701">
      <formula>B21=""</formula>
    </cfRule>
  </conditionalFormatting>
  <conditionalFormatting sqref="E22">
    <cfRule type="expression" dxfId="6758" priority="700">
      <formula>B22=""</formula>
    </cfRule>
  </conditionalFormatting>
  <conditionalFormatting sqref="E23">
    <cfRule type="expression" dxfId="6757" priority="699">
      <formula>B23=""</formula>
    </cfRule>
  </conditionalFormatting>
  <conditionalFormatting sqref="E24">
    <cfRule type="expression" dxfId="6756" priority="698">
      <formula>B24=""</formula>
    </cfRule>
  </conditionalFormatting>
  <conditionalFormatting sqref="E25">
    <cfRule type="expression" dxfId="6755" priority="697">
      <formula>B25=""</formula>
    </cfRule>
  </conditionalFormatting>
  <conditionalFormatting sqref="E26">
    <cfRule type="expression" dxfId="6754" priority="696">
      <formula>B26=""</formula>
    </cfRule>
  </conditionalFormatting>
  <conditionalFormatting sqref="E27">
    <cfRule type="expression" dxfId="6753" priority="695">
      <formula>B27=""</formula>
    </cfRule>
  </conditionalFormatting>
  <conditionalFormatting sqref="E28">
    <cfRule type="expression" dxfId="6752" priority="694">
      <formula>B28=""</formula>
    </cfRule>
  </conditionalFormatting>
  <conditionalFormatting sqref="G8 G10 G12 G14 G16 G18 G20 G22 G24 G26 G30:G49">
    <cfRule type="expression" dxfId="6751" priority="693">
      <formula>B8=""</formula>
    </cfRule>
  </conditionalFormatting>
  <conditionalFormatting sqref="G9 G11 G13 G15 G17 G19 G21 G23 G25 G27">
    <cfRule type="expression" dxfId="6750" priority="692">
      <formula>B9=""</formula>
    </cfRule>
  </conditionalFormatting>
  <conditionalFormatting sqref="G10:G20">
    <cfRule type="expression" dxfId="6749" priority="691">
      <formula>B10=""</formula>
    </cfRule>
  </conditionalFormatting>
  <conditionalFormatting sqref="G21">
    <cfRule type="expression" dxfId="6748" priority="690">
      <formula>B21=""</formula>
    </cfRule>
  </conditionalFormatting>
  <conditionalFormatting sqref="G22">
    <cfRule type="expression" dxfId="6747" priority="689">
      <formula>B22=""</formula>
    </cfRule>
  </conditionalFormatting>
  <conditionalFormatting sqref="G23">
    <cfRule type="expression" dxfId="6746" priority="688">
      <formula>B23=""</formula>
    </cfRule>
  </conditionalFormatting>
  <conditionalFormatting sqref="G24">
    <cfRule type="expression" dxfId="6745" priority="687">
      <formula>B24=""</formula>
    </cfRule>
  </conditionalFormatting>
  <conditionalFormatting sqref="G25">
    <cfRule type="expression" dxfId="6744" priority="686">
      <formula>B25=""</formula>
    </cfRule>
  </conditionalFormatting>
  <conditionalFormatting sqref="G26">
    <cfRule type="expression" dxfId="6743" priority="685">
      <formula>B26=""</formula>
    </cfRule>
  </conditionalFormatting>
  <conditionalFormatting sqref="G27">
    <cfRule type="expression" dxfId="6742" priority="684">
      <formula>B27=""</formula>
    </cfRule>
  </conditionalFormatting>
  <conditionalFormatting sqref="G28">
    <cfRule type="expression" dxfId="6741" priority="683">
      <formula>B28=""</formula>
    </cfRule>
  </conditionalFormatting>
  <conditionalFormatting sqref="H8 H10 H12 H14 H16 H18 H20 H22 H24 H26 H32:H49">
    <cfRule type="expression" dxfId="6740" priority="682">
      <formula>B8=""</formula>
    </cfRule>
  </conditionalFormatting>
  <conditionalFormatting sqref="H9 H11 H13 H15 H17 H19 H21 H23 H25 H27">
    <cfRule type="expression" dxfId="6739" priority="681">
      <formula>B9=""</formula>
    </cfRule>
  </conditionalFormatting>
  <conditionalFormatting sqref="H10:H20">
    <cfRule type="expression" dxfId="6738" priority="680">
      <formula>B10=""</formula>
    </cfRule>
  </conditionalFormatting>
  <conditionalFormatting sqref="H21">
    <cfRule type="expression" dxfId="6737" priority="679">
      <formula>B21=""</formula>
    </cfRule>
  </conditionalFormatting>
  <conditionalFormatting sqref="H22">
    <cfRule type="expression" dxfId="6736" priority="678">
      <formula>B22=""</formula>
    </cfRule>
  </conditionalFormatting>
  <conditionalFormatting sqref="H23">
    <cfRule type="expression" dxfId="6735" priority="677">
      <formula>B23=""</formula>
    </cfRule>
  </conditionalFormatting>
  <conditionalFormatting sqref="H24">
    <cfRule type="expression" dxfId="6734" priority="676">
      <formula>B24=""</formula>
    </cfRule>
  </conditionalFormatting>
  <conditionalFormatting sqref="H25">
    <cfRule type="expression" dxfId="6733" priority="675">
      <formula>B25=""</formula>
    </cfRule>
  </conditionalFormatting>
  <conditionalFormatting sqref="H26">
    <cfRule type="expression" dxfId="6732" priority="674">
      <formula>B26=""</formula>
    </cfRule>
  </conditionalFormatting>
  <conditionalFormatting sqref="H27">
    <cfRule type="expression" dxfId="6731" priority="673">
      <formula>B27=""</formula>
    </cfRule>
  </conditionalFormatting>
  <conditionalFormatting sqref="H28">
    <cfRule type="expression" dxfId="6730" priority="672">
      <formula>B28=""</formula>
    </cfRule>
  </conditionalFormatting>
  <conditionalFormatting sqref="C31 C33 C35 C37 C39 C41 C43 C45 C47 C49">
    <cfRule type="expression" dxfId="6729" priority="670">
      <formula>B31=""</formula>
    </cfRule>
  </conditionalFormatting>
  <conditionalFormatting sqref="C43">
    <cfRule type="expression" dxfId="6728" priority="668">
      <formula>B43=""</formula>
    </cfRule>
  </conditionalFormatting>
  <conditionalFormatting sqref="C44">
    <cfRule type="expression" dxfId="6727" priority="667">
      <formula>B44=""</formula>
    </cfRule>
  </conditionalFormatting>
  <conditionalFormatting sqref="C45">
    <cfRule type="expression" dxfId="6726" priority="666">
      <formula>B45=""</formula>
    </cfRule>
  </conditionalFormatting>
  <conditionalFormatting sqref="C46">
    <cfRule type="expression" dxfId="6725" priority="665">
      <formula>B46=""</formula>
    </cfRule>
  </conditionalFormatting>
  <conditionalFormatting sqref="C47">
    <cfRule type="expression" dxfId="6724" priority="664">
      <formula>B47=""</formula>
    </cfRule>
  </conditionalFormatting>
  <conditionalFormatting sqref="C48">
    <cfRule type="expression" dxfId="6723" priority="663">
      <formula>B48=""</formula>
    </cfRule>
  </conditionalFormatting>
  <conditionalFormatting sqref="C49">
    <cfRule type="expression" dxfId="6722" priority="662">
      <formula>B49=""</formula>
    </cfRule>
  </conditionalFormatting>
  <conditionalFormatting sqref="C50">
    <cfRule type="expression" dxfId="6721" priority="661">
      <formula>B50=""</formula>
    </cfRule>
  </conditionalFormatting>
  <conditionalFormatting sqref="D30 D32 D34 D36 D38 D40 D42:D49">
    <cfRule type="expression" dxfId="6720" priority="660">
      <formula>B30=""</formula>
    </cfRule>
  </conditionalFormatting>
  <conditionalFormatting sqref="D31 D33 D35 D37 D39 D41 D43 D45 D47 D49">
    <cfRule type="expression" dxfId="6719" priority="659">
      <formula>B31=""</formula>
    </cfRule>
  </conditionalFormatting>
  <conditionalFormatting sqref="D43">
    <cfRule type="expression" dxfId="6718" priority="657">
      <formula>B43=""</formula>
    </cfRule>
  </conditionalFormatting>
  <conditionalFormatting sqref="D44">
    <cfRule type="expression" dxfId="6717" priority="656">
      <formula>B44=""</formula>
    </cfRule>
  </conditionalFormatting>
  <conditionalFormatting sqref="D45">
    <cfRule type="expression" dxfId="6716" priority="655">
      <formula>B45=""</formula>
    </cfRule>
  </conditionalFormatting>
  <conditionalFormatting sqref="D46">
    <cfRule type="expression" dxfId="6715" priority="654">
      <formula>B46=""</formula>
    </cfRule>
  </conditionalFormatting>
  <conditionalFormatting sqref="D47">
    <cfRule type="expression" dxfId="6714" priority="653">
      <formula>B47=""</formula>
    </cfRule>
  </conditionalFormatting>
  <conditionalFormatting sqref="D48">
    <cfRule type="expression" dxfId="6713" priority="652">
      <formula>B48=""</formula>
    </cfRule>
  </conditionalFormatting>
  <conditionalFormatting sqref="D49">
    <cfRule type="expression" dxfId="6712" priority="651">
      <formula>B49=""</formula>
    </cfRule>
  </conditionalFormatting>
  <conditionalFormatting sqref="D50">
    <cfRule type="expression" dxfId="6711" priority="650">
      <formula>B50=""</formula>
    </cfRule>
  </conditionalFormatting>
  <conditionalFormatting sqref="E30 E32 E34 E36 E38 E40 E42:E49">
    <cfRule type="expression" dxfId="6710" priority="649">
      <formula>B30=""</formula>
    </cfRule>
  </conditionalFormatting>
  <conditionalFormatting sqref="E31 E33 E35 E37 E39 E41 E43 E45 E47 E49">
    <cfRule type="expression" dxfId="6709" priority="648">
      <formula>B31=""</formula>
    </cfRule>
  </conditionalFormatting>
  <conditionalFormatting sqref="E43">
    <cfRule type="expression" dxfId="6708" priority="646">
      <formula>B43=""</formula>
    </cfRule>
  </conditionalFormatting>
  <conditionalFormatting sqref="E44">
    <cfRule type="expression" dxfId="6707" priority="645">
      <formula>B44=""</formula>
    </cfRule>
  </conditionalFormatting>
  <conditionalFormatting sqref="E45">
    <cfRule type="expression" dxfId="6706" priority="644">
      <formula>B45=""</formula>
    </cfRule>
  </conditionalFormatting>
  <conditionalFormatting sqref="E46">
    <cfRule type="expression" dxfId="6705" priority="643">
      <formula>B46=""</formula>
    </cfRule>
  </conditionalFormatting>
  <conditionalFormatting sqref="E47">
    <cfRule type="expression" dxfId="6704" priority="642">
      <formula>B47=""</formula>
    </cfRule>
  </conditionalFormatting>
  <conditionalFormatting sqref="E48">
    <cfRule type="expression" dxfId="6703" priority="641">
      <formula>B48=""</formula>
    </cfRule>
  </conditionalFormatting>
  <conditionalFormatting sqref="E49">
    <cfRule type="expression" dxfId="6702" priority="640">
      <formula>B49=""</formula>
    </cfRule>
  </conditionalFormatting>
  <conditionalFormatting sqref="E50">
    <cfRule type="expression" dxfId="6701" priority="639">
      <formula>B50=""</formula>
    </cfRule>
  </conditionalFormatting>
  <conditionalFormatting sqref="F30 F32 F34 F36 F38 F40 F42:F49">
    <cfRule type="expression" dxfId="6700" priority="638">
      <formula>B30=""</formula>
    </cfRule>
  </conditionalFormatting>
  <conditionalFormatting sqref="F31 F33 F35 F37 F39 F41 F43 F45 F47 F49">
    <cfRule type="expression" dxfId="6699" priority="637">
      <formula>B31=""</formula>
    </cfRule>
  </conditionalFormatting>
  <conditionalFormatting sqref="F43">
    <cfRule type="expression" dxfId="6698" priority="635">
      <formula>B43=""</formula>
    </cfRule>
  </conditionalFormatting>
  <conditionalFormatting sqref="F44">
    <cfRule type="expression" dxfId="6697" priority="634">
      <formula>B44=""</formula>
    </cfRule>
  </conditionalFormatting>
  <conditionalFormatting sqref="F45">
    <cfRule type="expression" dxfId="6696" priority="633">
      <formula>B45=""</formula>
    </cfRule>
  </conditionalFormatting>
  <conditionalFormatting sqref="F46">
    <cfRule type="expression" dxfId="6695" priority="632">
      <formula>B46=""</formula>
    </cfRule>
  </conditionalFormatting>
  <conditionalFormatting sqref="F47">
    <cfRule type="expression" dxfId="6694" priority="631">
      <formula>B47=""</formula>
    </cfRule>
  </conditionalFormatting>
  <conditionalFormatting sqref="F48">
    <cfRule type="expression" dxfId="6693" priority="630">
      <formula>B48=""</formula>
    </cfRule>
  </conditionalFormatting>
  <conditionalFormatting sqref="F49">
    <cfRule type="expression" dxfId="6692" priority="629">
      <formula>B49=""</formula>
    </cfRule>
  </conditionalFormatting>
  <conditionalFormatting sqref="F50">
    <cfRule type="expression" dxfId="6691" priority="628">
      <formula>B50=""</formula>
    </cfRule>
  </conditionalFormatting>
  <conditionalFormatting sqref="E31 E33 E35 E37 E39 E41 E43:E49">
    <cfRule type="expression" dxfId="6690" priority="627">
      <formula>B31=""</formula>
    </cfRule>
  </conditionalFormatting>
  <conditionalFormatting sqref="E43">
    <cfRule type="expression" dxfId="6689" priority="625">
      <formula>B43=""</formula>
    </cfRule>
  </conditionalFormatting>
  <conditionalFormatting sqref="E44">
    <cfRule type="expression" dxfId="6688" priority="624">
      <formula>B44=""</formula>
    </cfRule>
  </conditionalFormatting>
  <conditionalFormatting sqref="E45">
    <cfRule type="expression" dxfId="6687" priority="623">
      <formula>B45=""</formula>
    </cfRule>
  </conditionalFormatting>
  <conditionalFormatting sqref="E46">
    <cfRule type="expression" dxfId="6686" priority="622">
      <formula>B46=""</formula>
    </cfRule>
  </conditionalFormatting>
  <conditionalFormatting sqref="E47">
    <cfRule type="expression" dxfId="6685" priority="621">
      <formula>B47=""</formula>
    </cfRule>
  </conditionalFormatting>
  <conditionalFormatting sqref="E48">
    <cfRule type="expression" dxfId="6684" priority="620">
      <formula>B48=""</formula>
    </cfRule>
  </conditionalFormatting>
  <conditionalFormatting sqref="E49">
    <cfRule type="expression" dxfId="6683" priority="619">
      <formula>B49=""</formula>
    </cfRule>
  </conditionalFormatting>
  <conditionalFormatting sqref="E50">
    <cfRule type="expression" dxfId="6682" priority="618">
      <formula>B50=""</formula>
    </cfRule>
  </conditionalFormatting>
  <conditionalFormatting sqref="G30 G32 G34 G36 G38 G40 G42:G49">
    <cfRule type="expression" dxfId="6681" priority="617">
      <formula>B30=""</formula>
    </cfRule>
  </conditionalFormatting>
  <conditionalFormatting sqref="G31 G33 G35 G37 G39 G41 G43 G45 G47 G49">
    <cfRule type="expression" dxfId="6680" priority="616">
      <formula>B31=""</formula>
    </cfRule>
  </conditionalFormatting>
  <conditionalFormatting sqref="G43">
    <cfRule type="expression" dxfId="6679" priority="614">
      <formula>B43=""</formula>
    </cfRule>
  </conditionalFormatting>
  <conditionalFormatting sqref="G44">
    <cfRule type="expression" dxfId="6678" priority="613">
      <formula>B44=""</formula>
    </cfRule>
  </conditionalFormatting>
  <conditionalFormatting sqref="G45">
    <cfRule type="expression" dxfId="6677" priority="612">
      <formula>B45=""</formula>
    </cfRule>
  </conditionalFormatting>
  <conditionalFormatting sqref="G46">
    <cfRule type="expression" dxfId="6676" priority="611">
      <formula>B46=""</formula>
    </cfRule>
  </conditionalFormatting>
  <conditionalFormatting sqref="G47">
    <cfRule type="expression" dxfId="6675" priority="610">
      <formula>B47=""</formula>
    </cfRule>
  </conditionalFormatting>
  <conditionalFormatting sqref="G48">
    <cfRule type="expression" dxfId="6674" priority="609">
      <formula>B48=""</formula>
    </cfRule>
  </conditionalFormatting>
  <conditionalFormatting sqref="G49">
    <cfRule type="expression" dxfId="6673" priority="608">
      <formula>B49=""</formula>
    </cfRule>
  </conditionalFormatting>
  <conditionalFormatting sqref="G50">
    <cfRule type="expression" dxfId="6672" priority="607">
      <formula>B50=""</formula>
    </cfRule>
  </conditionalFormatting>
  <conditionalFormatting sqref="H30 H32 H34 H36 H38 H40 H42:H49">
    <cfRule type="expression" dxfId="6671" priority="606">
      <formula>B30=""</formula>
    </cfRule>
  </conditionalFormatting>
  <conditionalFormatting sqref="H31 H33 H35 H37 H39 H41 H43 H45 H47 H49">
    <cfRule type="expression" dxfId="6670" priority="605">
      <formula>B31=""</formula>
    </cfRule>
  </conditionalFormatting>
  <conditionalFormatting sqref="H43">
    <cfRule type="expression" dxfId="6669" priority="603">
      <formula>B43=""</formula>
    </cfRule>
  </conditionalFormatting>
  <conditionalFormatting sqref="H44">
    <cfRule type="expression" dxfId="6668" priority="602">
      <formula>B44=""</formula>
    </cfRule>
  </conditionalFormatting>
  <conditionalFormatting sqref="H45">
    <cfRule type="expression" dxfId="6667" priority="601">
      <formula>B45=""</formula>
    </cfRule>
  </conditionalFormatting>
  <conditionalFormatting sqref="H46">
    <cfRule type="expression" dxfId="6666" priority="600">
      <formula>B46=""</formula>
    </cfRule>
  </conditionalFormatting>
  <conditionalFormatting sqref="H47">
    <cfRule type="expression" dxfId="6665" priority="599">
      <formula>B47=""</formula>
    </cfRule>
  </conditionalFormatting>
  <conditionalFormatting sqref="H48">
    <cfRule type="expression" dxfId="6664" priority="598">
      <formula>B48=""</formula>
    </cfRule>
  </conditionalFormatting>
  <conditionalFormatting sqref="H49">
    <cfRule type="expression" dxfId="6663" priority="597">
      <formula>B49=""</formula>
    </cfRule>
  </conditionalFormatting>
  <conditionalFormatting sqref="H50">
    <cfRule type="expression" dxfId="6662" priority="596">
      <formula>B50=""</formula>
    </cfRule>
  </conditionalFormatting>
  <conditionalFormatting sqref="C52:C71">
    <cfRule type="expression" dxfId="6661" priority="595">
      <formula>B52=""</formula>
    </cfRule>
  </conditionalFormatting>
  <conditionalFormatting sqref="C53 C55 C57 C59 C61 C63 C65 C67 C69 C71">
    <cfRule type="expression" dxfId="6660" priority="594">
      <formula>B53=""</formula>
    </cfRule>
  </conditionalFormatting>
  <conditionalFormatting sqref="C54:C64">
    <cfRule type="expression" dxfId="6659" priority="593">
      <formula>B54=""</formula>
    </cfRule>
  </conditionalFormatting>
  <conditionalFormatting sqref="C65">
    <cfRule type="expression" dxfId="6658" priority="592">
      <formula>B65=""</formula>
    </cfRule>
  </conditionalFormatting>
  <conditionalFormatting sqref="C66">
    <cfRule type="expression" dxfId="6657" priority="591">
      <formula>B66=""</formula>
    </cfRule>
  </conditionalFormatting>
  <conditionalFormatting sqref="C67">
    <cfRule type="expression" dxfId="6656" priority="590">
      <formula>B67=""</formula>
    </cfRule>
  </conditionalFormatting>
  <conditionalFormatting sqref="C68">
    <cfRule type="expression" dxfId="6655" priority="589">
      <formula>B68=""</formula>
    </cfRule>
  </conditionalFormatting>
  <conditionalFormatting sqref="C69">
    <cfRule type="expression" dxfId="6654" priority="588">
      <formula>B69=""</formula>
    </cfRule>
  </conditionalFormatting>
  <conditionalFormatting sqref="C70">
    <cfRule type="expression" dxfId="6653" priority="587">
      <formula>B70=""</formula>
    </cfRule>
  </conditionalFormatting>
  <conditionalFormatting sqref="C71">
    <cfRule type="expression" dxfId="6652" priority="586">
      <formula>B71=""</formula>
    </cfRule>
  </conditionalFormatting>
  <conditionalFormatting sqref="C72">
    <cfRule type="expression" dxfId="6651" priority="585">
      <formula>B72=""</formula>
    </cfRule>
  </conditionalFormatting>
  <conditionalFormatting sqref="D52 D54 D56 D58 D60 D62 D64 D66 D68 D70">
    <cfRule type="expression" dxfId="6650" priority="584">
      <formula>B52=""</formula>
    </cfRule>
  </conditionalFormatting>
  <conditionalFormatting sqref="D53 D55 D57 D59 D61 D63 D65 D67 D69 D71">
    <cfRule type="expression" dxfId="6649" priority="583">
      <formula>B53=""</formula>
    </cfRule>
  </conditionalFormatting>
  <conditionalFormatting sqref="D54:D64">
    <cfRule type="expression" dxfId="6648" priority="582">
      <formula>B54=""</formula>
    </cfRule>
  </conditionalFormatting>
  <conditionalFormatting sqref="D65">
    <cfRule type="expression" dxfId="6647" priority="581">
      <formula>B65=""</formula>
    </cfRule>
  </conditionalFormatting>
  <conditionalFormatting sqref="D66">
    <cfRule type="expression" dxfId="6646" priority="580">
      <formula>B66=""</formula>
    </cfRule>
  </conditionalFormatting>
  <conditionalFormatting sqref="D67">
    <cfRule type="expression" dxfId="6645" priority="579">
      <formula>B67=""</formula>
    </cfRule>
  </conditionalFormatting>
  <conditionalFormatting sqref="D68">
    <cfRule type="expression" dxfId="6644" priority="578">
      <formula>B68=""</formula>
    </cfRule>
  </conditionalFormatting>
  <conditionalFormatting sqref="D69">
    <cfRule type="expression" dxfId="6643" priority="577">
      <formula>B69=""</formula>
    </cfRule>
  </conditionalFormatting>
  <conditionalFormatting sqref="D70">
    <cfRule type="expression" dxfId="6642" priority="576">
      <formula>B70=""</formula>
    </cfRule>
  </conditionalFormatting>
  <conditionalFormatting sqref="D71">
    <cfRule type="expression" dxfId="6641" priority="575">
      <formula>B71=""</formula>
    </cfRule>
  </conditionalFormatting>
  <conditionalFormatting sqref="D72">
    <cfRule type="expression" dxfId="6640" priority="574">
      <formula>B72=""</formula>
    </cfRule>
  </conditionalFormatting>
  <conditionalFormatting sqref="E52 E54 E56 E58 E60 E62 E64 E66 E68 E70">
    <cfRule type="expression" dxfId="6639" priority="573">
      <formula>B52=""</formula>
    </cfRule>
  </conditionalFormatting>
  <conditionalFormatting sqref="E53 E55 E57 E59 E61 E63 E65 E67 E69 E71">
    <cfRule type="expression" dxfId="6638" priority="572">
      <formula>B53=""</formula>
    </cfRule>
  </conditionalFormatting>
  <conditionalFormatting sqref="E54:E64">
    <cfRule type="expression" dxfId="6637" priority="571">
      <formula>B54=""</formula>
    </cfRule>
  </conditionalFormatting>
  <conditionalFormatting sqref="E65">
    <cfRule type="expression" dxfId="6636" priority="570">
      <formula>B65=""</formula>
    </cfRule>
  </conditionalFormatting>
  <conditionalFormatting sqref="E66">
    <cfRule type="expression" dxfId="6635" priority="569">
      <formula>B66=""</formula>
    </cfRule>
  </conditionalFormatting>
  <conditionalFormatting sqref="E67">
    <cfRule type="expression" dxfId="6634" priority="568">
      <formula>B67=""</formula>
    </cfRule>
  </conditionalFormatting>
  <conditionalFormatting sqref="E68">
    <cfRule type="expression" dxfId="6633" priority="567">
      <formula>B68=""</formula>
    </cfRule>
  </conditionalFormatting>
  <conditionalFormatting sqref="E69">
    <cfRule type="expression" dxfId="6632" priority="566">
      <formula>B69=""</formula>
    </cfRule>
  </conditionalFormatting>
  <conditionalFormatting sqref="E70">
    <cfRule type="expression" dxfId="6631" priority="565">
      <formula>B70=""</formula>
    </cfRule>
  </conditionalFormatting>
  <conditionalFormatting sqref="E71">
    <cfRule type="expression" dxfId="6630" priority="564">
      <formula>B71=""</formula>
    </cfRule>
  </conditionalFormatting>
  <conditionalFormatting sqref="E72">
    <cfRule type="expression" dxfId="6629" priority="563">
      <formula>B72=""</formula>
    </cfRule>
  </conditionalFormatting>
  <conditionalFormatting sqref="F52 F54 F56 F58 F60 F62 F64 F66 F68 F70">
    <cfRule type="expression" dxfId="6628" priority="562">
      <formula>B52=""</formula>
    </cfRule>
  </conditionalFormatting>
  <conditionalFormatting sqref="F53 F55 F57 F59 F61 F63 F65 F67 F69 F71">
    <cfRule type="expression" dxfId="6627" priority="561">
      <formula>B53=""</formula>
    </cfRule>
  </conditionalFormatting>
  <conditionalFormatting sqref="F54:F64">
    <cfRule type="expression" dxfId="6626" priority="560">
      <formula>B54=""</formula>
    </cfRule>
  </conditionalFormatting>
  <conditionalFormatting sqref="F65">
    <cfRule type="expression" dxfId="6625" priority="559">
      <formula>B65=""</formula>
    </cfRule>
  </conditionalFormatting>
  <conditionalFormatting sqref="F66">
    <cfRule type="expression" dxfId="6624" priority="558">
      <formula>B66=""</formula>
    </cfRule>
  </conditionalFormatting>
  <conditionalFormatting sqref="F67">
    <cfRule type="expression" dxfId="6623" priority="557">
      <formula>B67=""</formula>
    </cfRule>
  </conditionalFormatting>
  <conditionalFormatting sqref="F68">
    <cfRule type="expression" dxfId="6622" priority="556">
      <formula>B68=""</formula>
    </cfRule>
  </conditionalFormatting>
  <conditionalFormatting sqref="F69">
    <cfRule type="expression" dxfId="6621" priority="555">
      <formula>B69=""</formula>
    </cfRule>
  </conditionalFormatting>
  <conditionalFormatting sqref="F70">
    <cfRule type="expression" dxfId="6620" priority="554">
      <formula>B70=""</formula>
    </cfRule>
  </conditionalFormatting>
  <conditionalFormatting sqref="F71">
    <cfRule type="expression" dxfId="6619" priority="553">
      <formula>B71=""</formula>
    </cfRule>
  </conditionalFormatting>
  <conditionalFormatting sqref="F72">
    <cfRule type="expression" dxfId="6618" priority="552">
      <formula>B72=""</formula>
    </cfRule>
  </conditionalFormatting>
  <conditionalFormatting sqref="E53 E55 E57 E59 E61 E63 E65 E67 E69 E71">
    <cfRule type="expression" dxfId="6617" priority="551">
      <formula>B53=""</formula>
    </cfRule>
  </conditionalFormatting>
  <conditionalFormatting sqref="E54:E64">
    <cfRule type="expression" dxfId="6616" priority="550">
      <formula>B54=""</formula>
    </cfRule>
  </conditionalFormatting>
  <conditionalFormatting sqref="E65">
    <cfRule type="expression" dxfId="6615" priority="549">
      <formula>B65=""</formula>
    </cfRule>
  </conditionalFormatting>
  <conditionalFormatting sqref="E66">
    <cfRule type="expression" dxfId="6614" priority="548">
      <formula>B66=""</formula>
    </cfRule>
  </conditionalFormatting>
  <conditionalFormatting sqref="E67">
    <cfRule type="expression" dxfId="6613" priority="547">
      <formula>B67=""</formula>
    </cfRule>
  </conditionalFormatting>
  <conditionalFormatting sqref="E68">
    <cfRule type="expression" dxfId="6612" priority="546">
      <formula>B68=""</formula>
    </cfRule>
  </conditionalFormatting>
  <conditionalFormatting sqref="E69">
    <cfRule type="expression" dxfId="6611" priority="545">
      <formula>B69=""</formula>
    </cfRule>
  </conditionalFormatting>
  <conditionalFormatting sqref="E70">
    <cfRule type="expression" dxfId="6610" priority="544">
      <formula>B70=""</formula>
    </cfRule>
  </conditionalFormatting>
  <conditionalFormatting sqref="E71">
    <cfRule type="expression" dxfId="6609" priority="543">
      <formula>B71=""</formula>
    </cfRule>
  </conditionalFormatting>
  <conditionalFormatting sqref="E72">
    <cfRule type="expression" dxfId="6608" priority="542">
      <formula>B72=""</formula>
    </cfRule>
  </conditionalFormatting>
  <conditionalFormatting sqref="G52 G54 G56 G58 G60 G62 G64 G66 G68 G70">
    <cfRule type="expression" dxfId="6607" priority="541">
      <formula>B52=""</formula>
    </cfRule>
  </conditionalFormatting>
  <conditionalFormatting sqref="G53 G55 G57 G59 G61 G63 G65 G67 G69 G71">
    <cfRule type="expression" dxfId="6606" priority="540">
      <formula>B53=""</formula>
    </cfRule>
  </conditionalFormatting>
  <conditionalFormatting sqref="G54:G64">
    <cfRule type="expression" dxfId="6605" priority="539">
      <formula>B54=""</formula>
    </cfRule>
  </conditionalFormatting>
  <conditionalFormatting sqref="G65">
    <cfRule type="expression" dxfId="6604" priority="538">
      <formula>B65=""</formula>
    </cfRule>
  </conditionalFormatting>
  <conditionalFormatting sqref="G66">
    <cfRule type="expression" dxfId="6603" priority="537">
      <formula>B66=""</formula>
    </cfRule>
  </conditionalFormatting>
  <conditionalFormatting sqref="G67">
    <cfRule type="expression" dxfId="6602" priority="536">
      <formula>B67=""</formula>
    </cfRule>
  </conditionalFormatting>
  <conditionalFormatting sqref="G68">
    <cfRule type="expression" dxfId="6601" priority="535">
      <formula>B68=""</formula>
    </cfRule>
  </conditionalFormatting>
  <conditionalFormatting sqref="G69">
    <cfRule type="expression" dxfId="6600" priority="534">
      <formula>B69=""</formula>
    </cfRule>
  </conditionalFormatting>
  <conditionalFormatting sqref="G70">
    <cfRule type="expression" dxfId="6599" priority="533">
      <formula>B70=""</formula>
    </cfRule>
  </conditionalFormatting>
  <conditionalFormatting sqref="G71">
    <cfRule type="expression" dxfId="6598" priority="532">
      <formula>B71=""</formula>
    </cfRule>
  </conditionalFormatting>
  <conditionalFormatting sqref="G72">
    <cfRule type="expression" dxfId="6597" priority="531">
      <formula>B72=""</formula>
    </cfRule>
  </conditionalFormatting>
  <conditionalFormatting sqref="H52 H54 H56 H58 H60 H62 H64 H66 H68 H70">
    <cfRule type="expression" dxfId="6596" priority="530">
      <formula>B52=""</formula>
    </cfRule>
  </conditionalFormatting>
  <conditionalFormatting sqref="H53 H55 H57 H59 H61 H63 H65 H67 H69 H71">
    <cfRule type="expression" dxfId="6595" priority="529">
      <formula>B53=""</formula>
    </cfRule>
  </conditionalFormatting>
  <conditionalFormatting sqref="H54:H64">
    <cfRule type="expression" dxfId="6594" priority="528">
      <formula>B54=""</formula>
    </cfRule>
  </conditionalFormatting>
  <conditionalFormatting sqref="H65">
    <cfRule type="expression" dxfId="6593" priority="527">
      <formula>B65=""</formula>
    </cfRule>
  </conditionalFormatting>
  <conditionalFormatting sqref="H66">
    <cfRule type="expression" dxfId="6592" priority="526">
      <formula>B66=""</formula>
    </cfRule>
  </conditionalFormatting>
  <conditionalFormatting sqref="H67">
    <cfRule type="expression" dxfId="6591" priority="525">
      <formula>B67=""</formula>
    </cfRule>
  </conditionalFormatting>
  <conditionalFormatting sqref="H68">
    <cfRule type="expression" dxfId="6590" priority="524">
      <formula>B68=""</formula>
    </cfRule>
  </conditionalFormatting>
  <conditionalFormatting sqref="H69">
    <cfRule type="expression" dxfId="6589" priority="523">
      <formula>B69=""</formula>
    </cfRule>
  </conditionalFormatting>
  <conditionalFormatting sqref="H70">
    <cfRule type="expression" dxfId="6588" priority="522">
      <formula>B70=""</formula>
    </cfRule>
  </conditionalFormatting>
  <conditionalFormatting sqref="H71">
    <cfRule type="expression" dxfId="6587" priority="521">
      <formula>B71=""</formula>
    </cfRule>
  </conditionalFormatting>
  <conditionalFormatting sqref="H72">
    <cfRule type="expression" dxfId="6586" priority="520">
      <formula>B72=""</formula>
    </cfRule>
  </conditionalFormatting>
  <conditionalFormatting sqref="C74:C94">
    <cfRule type="expression" dxfId="6585" priority="519">
      <formula>B74=""</formula>
    </cfRule>
  </conditionalFormatting>
  <conditionalFormatting sqref="C75 C77 C79 C81 C83 C85 C87 C89 C91 C93">
    <cfRule type="expression" dxfId="6584" priority="518">
      <formula>B75=""</formula>
    </cfRule>
  </conditionalFormatting>
  <conditionalFormatting sqref="C76:C86">
    <cfRule type="expression" dxfId="6583" priority="517">
      <formula>B76=""</formula>
    </cfRule>
  </conditionalFormatting>
  <conditionalFormatting sqref="C87">
    <cfRule type="expression" dxfId="6582" priority="516">
      <formula>B87=""</formula>
    </cfRule>
  </conditionalFormatting>
  <conditionalFormatting sqref="C88">
    <cfRule type="expression" dxfId="6581" priority="515">
      <formula>B88=""</formula>
    </cfRule>
  </conditionalFormatting>
  <conditionalFormatting sqref="C89">
    <cfRule type="expression" dxfId="6580" priority="514">
      <formula>B89=""</formula>
    </cfRule>
  </conditionalFormatting>
  <conditionalFormatting sqref="C90">
    <cfRule type="expression" dxfId="6579" priority="513">
      <formula>B90=""</formula>
    </cfRule>
  </conditionalFormatting>
  <conditionalFormatting sqref="C91">
    <cfRule type="expression" dxfId="6578" priority="512">
      <formula>B91=""</formula>
    </cfRule>
  </conditionalFormatting>
  <conditionalFormatting sqref="C92">
    <cfRule type="expression" dxfId="6577" priority="511">
      <formula>B92=""</formula>
    </cfRule>
  </conditionalFormatting>
  <conditionalFormatting sqref="C93">
    <cfRule type="expression" dxfId="6576" priority="510">
      <formula>B93=""</formula>
    </cfRule>
  </conditionalFormatting>
  <conditionalFormatting sqref="C94">
    <cfRule type="expression" dxfId="6575" priority="509">
      <formula>B94=""</formula>
    </cfRule>
  </conditionalFormatting>
  <conditionalFormatting sqref="D74 D76 D78 D80 D82 D84 D86 D88 D90 D92">
    <cfRule type="expression" dxfId="6574" priority="508">
      <formula>B74=""</formula>
    </cfRule>
  </conditionalFormatting>
  <conditionalFormatting sqref="D75 D77 D79 D81 D83 D85 D87 D89 D91 D93">
    <cfRule type="expression" dxfId="6573" priority="507">
      <formula>B75=""</formula>
    </cfRule>
  </conditionalFormatting>
  <conditionalFormatting sqref="D76:D86">
    <cfRule type="expression" dxfId="6572" priority="506">
      <formula>B76=""</formula>
    </cfRule>
  </conditionalFormatting>
  <conditionalFormatting sqref="D87">
    <cfRule type="expression" dxfId="6571" priority="505">
      <formula>B87=""</formula>
    </cfRule>
  </conditionalFormatting>
  <conditionalFormatting sqref="D88">
    <cfRule type="expression" dxfId="6570" priority="504">
      <formula>B88=""</formula>
    </cfRule>
  </conditionalFormatting>
  <conditionalFormatting sqref="D89">
    <cfRule type="expression" dxfId="6569" priority="503">
      <formula>B89=""</formula>
    </cfRule>
  </conditionalFormatting>
  <conditionalFormatting sqref="D90">
    <cfRule type="expression" dxfId="6568" priority="502">
      <formula>B90=""</formula>
    </cfRule>
  </conditionalFormatting>
  <conditionalFormatting sqref="D91">
    <cfRule type="expression" dxfId="6567" priority="501">
      <formula>B91=""</formula>
    </cfRule>
  </conditionalFormatting>
  <conditionalFormatting sqref="D92">
    <cfRule type="expression" dxfId="6566" priority="500">
      <formula>B92=""</formula>
    </cfRule>
  </conditionalFormatting>
  <conditionalFormatting sqref="D93">
    <cfRule type="expression" dxfId="6565" priority="499">
      <formula>B93=""</formula>
    </cfRule>
  </conditionalFormatting>
  <conditionalFormatting sqref="D94">
    <cfRule type="expression" dxfId="6564" priority="498">
      <formula>B94=""</formula>
    </cfRule>
  </conditionalFormatting>
  <conditionalFormatting sqref="E74 E76 E78 E80 E82 E84 E86 E88 E90 E92">
    <cfRule type="expression" dxfId="6563" priority="497">
      <formula>B74=""</formula>
    </cfRule>
  </conditionalFormatting>
  <conditionalFormatting sqref="E75 E77 E79 E81 E83 E85 E87 E89 E91 E93">
    <cfRule type="expression" dxfId="6562" priority="496">
      <formula>B75=""</formula>
    </cfRule>
  </conditionalFormatting>
  <conditionalFormatting sqref="E76:E86">
    <cfRule type="expression" dxfId="6561" priority="495">
      <formula>B76=""</formula>
    </cfRule>
  </conditionalFormatting>
  <conditionalFormatting sqref="E87">
    <cfRule type="expression" dxfId="6560" priority="494">
      <formula>B87=""</formula>
    </cfRule>
  </conditionalFormatting>
  <conditionalFormatting sqref="E88">
    <cfRule type="expression" dxfId="6559" priority="493">
      <formula>B88=""</formula>
    </cfRule>
  </conditionalFormatting>
  <conditionalFormatting sqref="E89">
    <cfRule type="expression" dxfId="6558" priority="492">
      <formula>B89=""</formula>
    </cfRule>
  </conditionalFormatting>
  <conditionalFormatting sqref="E90">
    <cfRule type="expression" dxfId="6557" priority="491">
      <formula>B90=""</formula>
    </cfRule>
  </conditionalFormatting>
  <conditionalFormatting sqref="E91">
    <cfRule type="expression" dxfId="6556" priority="490">
      <formula>B91=""</formula>
    </cfRule>
  </conditionalFormatting>
  <conditionalFormatting sqref="E92">
    <cfRule type="expression" dxfId="6555" priority="489">
      <formula>B92=""</formula>
    </cfRule>
  </conditionalFormatting>
  <conditionalFormatting sqref="E93">
    <cfRule type="expression" dxfId="6554" priority="488">
      <formula>B93=""</formula>
    </cfRule>
  </conditionalFormatting>
  <conditionalFormatting sqref="E94">
    <cfRule type="expression" dxfId="6553" priority="487">
      <formula>B94=""</formula>
    </cfRule>
  </conditionalFormatting>
  <conditionalFormatting sqref="F74 F76 F78 F80 F82 F84 F86 F88 F90 F92">
    <cfRule type="expression" dxfId="6552" priority="486">
      <formula>B74=""</formula>
    </cfRule>
  </conditionalFormatting>
  <conditionalFormatting sqref="F75 F77 F79 F81 F83 F85 F87 F89 F91 F93">
    <cfRule type="expression" dxfId="6551" priority="485">
      <formula>B75=""</formula>
    </cfRule>
  </conditionalFormatting>
  <conditionalFormatting sqref="F76:F86">
    <cfRule type="expression" dxfId="6550" priority="484">
      <formula>B76=""</formula>
    </cfRule>
  </conditionalFormatting>
  <conditionalFormatting sqref="F87">
    <cfRule type="expression" dxfId="6549" priority="483">
      <formula>B87=""</formula>
    </cfRule>
  </conditionalFormatting>
  <conditionalFormatting sqref="F88">
    <cfRule type="expression" dxfId="6548" priority="482">
      <formula>B88=""</formula>
    </cfRule>
  </conditionalFormatting>
  <conditionalFormatting sqref="F89">
    <cfRule type="expression" dxfId="6547" priority="481">
      <formula>B89=""</formula>
    </cfRule>
  </conditionalFormatting>
  <conditionalFormatting sqref="F90">
    <cfRule type="expression" dxfId="6546" priority="480">
      <formula>B90=""</formula>
    </cfRule>
  </conditionalFormatting>
  <conditionalFormatting sqref="F91">
    <cfRule type="expression" dxfId="6545" priority="479">
      <formula>B91=""</formula>
    </cfRule>
  </conditionalFormatting>
  <conditionalFormatting sqref="F92">
    <cfRule type="expression" dxfId="6544" priority="478">
      <formula>B92=""</formula>
    </cfRule>
  </conditionalFormatting>
  <conditionalFormatting sqref="F93">
    <cfRule type="expression" dxfId="6543" priority="477">
      <formula>B93=""</formula>
    </cfRule>
  </conditionalFormatting>
  <conditionalFormatting sqref="F94">
    <cfRule type="expression" dxfId="6542" priority="476">
      <formula>B94=""</formula>
    </cfRule>
  </conditionalFormatting>
  <conditionalFormatting sqref="E75 E77 E79 E81 E83 E85 E87 E89 E91 E93">
    <cfRule type="expression" dxfId="6541" priority="475">
      <formula>B75=""</formula>
    </cfRule>
  </conditionalFormatting>
  <conditionalFormatting sqref="E76:E86">
    <cfRule type="expression" dxfId="6540" priority="474">
      <formula>B76=""</formula>
    </cfRule>
  </conditionalFormatting>
  <conditionalFormatting sqref="E87">
    <cfRule type="expression" dxfId="6539" priority="473">
      <formula>B87=""</formula>
    </cfRule>
  </conditionalFormatting>
  <conditionalFormatting sqref="E88">
    <cfRule type="expression" dxfId="6538" priority="472">
      <formula>B88=""</formula>
    </cfRule>
  </conditionalFormatting>
  <conditionalFormatting sqref="E89">
    <cfRule type="expression" dxfId="6537" priority="471">
      <formula>B89=""</formula>
    </cfRule>
  </conditionalFormatting>
  <conditionalFormatting sqref="E90">
    <cfRule type="expression" dxfId="6536" priority="470">
      <formula>B90=""</formula>
    </cfRule>
  </conditionalFormatting>
  <conditionalFormatting sqref="E91">
    <cfRule type="expression" dxfId="6535" priority="469">
      <formula>B91=""</formula>
    </cfRule>
  </conditionalFormatting>
  <conditionalFormatting sqref="E92">
    <cfRule type="expression" dxfId="6534" priority="468">
      <formula>B92=""</formula>
    </cfRule>
  </conditionalFormatting>
  <conditionalFormatting sqref="E93">
    <cfRule type="expression" dxfId="6533" priority="467">
      <formula>B93=""</formula>
    </cfRule>
  </conditionalFormatting>
  <conditionalFormatting sqref="E94">
    <cfRule type="expression" dxfId="6532" priority="466">
      <formula>B94=""</formula>
    </cfRule>
  </conditionalFormatting>
  <conditionalFormatting sqref="G74 G76 G78 G80 G82 G84 G86 G88 G90 G92">
    <cfRule type="expression" dxfId="6531" priority="465">
      <formula>B74=""</formula>
    </cfRule>
  </conditionalFormatting>
  <conditionalFormatting sqref="G75 G77 G79 G81 G83 G85 G87 G89 G91 G93">
    <cfRule type="expression" dxfId="6530" priority="464">
      <formula>B75=""</formula>
    </cfRule>
  </conditionalFormatting>
  <conditionalFormatting sqref="G76:G86">
    <cfRule type="expression" dxfId="6529" priority="463">
      <formula>B76=""</formula>
    </cfRule>
  </conditionalFormatting>
  <conditionalFormatting sqref="G87">
    <cfRule type="expression" dxfId="6528" priority="462">
      <formula>B87=""</formula>
    </cfRule>
  </conditionalFormatting>
  <conditionalFormatting sqref="G88">
    <cfRule type="expression" dxfId="6527" priority="461">
      <formula>B88=""</formula>
    </cfRule>
  </conditionalFormatting>
  <conditionalFormatting sqref="G89">
    <cfRule type="expression" dxfId="6526" priority="460">
      <formula>B89=""</formula>
    </cfRule>
  </conditionalFormatting>
  <conditionalFormatting sqref="G90">
    <cfRule type="expression" dxfId="6525" priority="459">
      <formula>B90=""</formula>
    </cfRule>
  </conditionalFormatting>
  <conditionalFormatting sqref="G91">
    <cfRule type="expression" dxfId="6524" priority="458">
      <formula>B91=""</formula>
    </cfRule>
  </conditionalFormatting>
  <conditionalFormatting sqref="G92">
    <cfRule type="expression" dxfId="6523" priority="457">
      <formula>B92=""</formula>
    </cfRule>
  </conditionalFormatting>
  <conditionalFormatting sqref="G93">
    <cfRule type="expression" dxfId="6522" priority="456">
      <formula>B93=""</formula>
    </cfRule>
  </conditionalFormatting>
  <conditionalFormatting sqref="G94">
    <cfRule type="expression" dxfId="6521" priority="455">
      <formula>B94=""</formula>
    </cfRule>
  </conditionalFormatting>
  <conditionalFormatting sqref="H74 H76 H78 H80 H82 H84 H86 H88 H90 H92">
    <cfRule type="expression" dxfId="6520" priority="454">
      <formula>B74=""</formula>
    </cfRule>
  </conditionalFormatting>
  <conditionalFormatting sqref="H75 H77 H79 H81 H83 H85 H87 H89 H91 H93">
    <cfRule type="expression" dxfId="6519" priority="453">
      <formula>B75=""</formula>
    </cfRule>
  </conditionalFormatting>
  <conditionalFormatting sqref="H76:H86">
    <cfRule type="expression" dxfId="6518" priority="452">
      <formula>B76=""</formula>
    </cfRule>
  </conditionalFormatting>
  <conditionalFormatting sqref="H87">
    <cfRule type="expression" dxfId="6517" priority="451">
      <formula>B87=""</formula>
    </cfRule>
  </conditionalFormatting>
  <conditionalFormatting sqref="H88">
    <cfRule type="expression" dxfId="6516" priority="450">
      <formula>B88=""</formula>
    </cfRule>
  </conditionalFormatting>
  <conditionalFormatting sqref="H89">
    <cfRule type="expression" dxfId="6515" priority="449">
      <formula>B89=""</formula>
    </cfRule>
  </conditionalFormatting>
  <conditionalFormatting sqref="H90">
    <cfRule type="expression" dxfId="6514" priority="448">
      <formula>B90=""</formula>
    </cfRule>
  </conditionalFormatting>
  <conditionalFormatting sqref="H91">
    <cfRule type="expression" dxfId="6513" priority="447">
      <formula>B91=""</formula>
    </cfRule>
  </conditionalFormatting>
  <conditionalFormatting sqref="H92">
    <cfRule type="expression" dxfId="6512" priority="446">
      <formula>B92=""</formula>
    </cfRule>
  </conditionalFormatting>
  <conditionalFormatting sqref="H93">
    <cfRule type="expression" dxfId="6511" priority="445">
      <formula>B93=""</formula>
    </cfRule>
  </conditionalFormatting>
  <conditionalFormatting sqref="H94">
    <cfRule type="expression" dxfId="6510" priority="444">
      <formula>B94=""</formula>
    </cfRule>
  </conditionalFormatting>
  <conditionalFormatting sqref="C49">
    <cfRule type="expression" dxfId="6509" priority="443">
      <formula>B49=""</formula>
    </cfRule>
  </conditionalFormatting>
  <conditionalFormatting sqref="C71">
    <cfRule type="expression" dxfId="6508" priority="442">
      <formula>B71=""</formula>
    </cfRule>
  </conditionalFormatting>
  <conditionalFormatting sqref="C93">
    <cfRule type="expression" dxfId="6507" priority="441">
      <formula>B93=""</formula>
    </cfRule>
  </conditionalFormatting>
  <conditionalFormatting sqref="C8:C27">
    <cfRule type="expression" dxfId="6506" priority="440">
      <formula>B8=""</formula>
    </cfRule>
  </conditionalFormatting>
  <conditionalFormatting sqref="C9 C11 C13 C15 C17 C19 C21 C23 C25 C27">
    <cfRule type="expression" dxfId="6505" priority="439">
      <formula>B9=""</formula>
    </cfRule>
  </conditionalFormatting>
  <conditionalFormatting sqref="C10:C20">
    <cfRule type="expression" dxfId="6504" priority="438">
      <formula>B10=""</formula>
    </cfRule>
  </conditionalFormatting>
  <conditionalFormatting sqref="C21">
    <cfRule type="expression" dxfId="6503" priority="437">
      <formula>B21=""</formula>
    </cfRule>
  </conditionalFormatting>
  <conditionalFormatting sqref="C22">
    <cfRule type="expression" dxfId="6502" priority="436">
      <formula>B22=""</formula>
    </cfRule>
  </conditionalFormatting>
  <conditionalFormatting sqref="C23">
    <cfRule type="expression" dxfId="6501" priority="435">
      <formula>B23=""</formula>
    </cfRule>
  </conditionalFormatting>
  <conditionalFormatting sqref="C24">
    <cfRule type="expression" dxfId="6500" priority="434">
      <formula>B24=""</formula>
    </cfRule>
  </conditionalFormatting>
  <conditionalFormatting sqref="C25">
    <cfRule type="expression" dxfId="6499" priority="433">
      <formula>B25=""</formula>
    </cfRule>
  </conditionalFormatting>
  <conditionalFormatting sqref="C26">
    <cfRule type="expression" dxfId="6498" priority="432">
      <formula>B26=""</formula>
    </cfRule>
  </conditionalFormatting>
  <conditionalFormatting sqref="C27">
    <cfRule type="expression" dxfId="6497" priority="431">
      <formula>B27=""</formula>
    </cfRule>
  </conditionalFormatting>
  <conditionalFormatting sqref="C28">
    <cfRule type="expression" dxfId="6496" priority="430">
      <formula>B28=""</formula>
    </cfRule>
  </conditionalFormatting>
  <conditionalFormatting sqref="C31 C33 C35 C37 C39 C41 C43 C45 C47 C49">
    <cfRule type="expression" dxfId="6495" priority="428">
      <formula>B31=""</formula>
    </cfRule>
  </conditionalFormatting>
  <conditionalFormatting sqref="C43">
    <cfRule type="expression" dxfId="6494" priority="426">
      <formula>B43=""</formula>
    </cfRule>
  </conditionalFormatting>
  <conditionalFormatting sqref="C44">
    <cfRule type="expression" dxfId="6493" priority="425">
      <formula>B44=""</formula>
    </cfRule>
  </conditionalFormatting>
  <conditionalFormatting sqref="C45">
    <cfRule type="expression" dxfId="6492" priority="424">
      <formula>B45=""</formula>
    </cfRule>
  </conditionalFormatting>
  <conditionalFormatting sqref="C46">
    <cfRule type="expression" dxfId="6491" priority="423">
      <formula>B46=""</formula>
    </cfRule>
  </conditionalFormatting>
  <conditionalFormatting sqref="C47">
    <cfRule type="expression" dxfId="6490" priority="422">
      <formula>B47=""</formula>
    </cfRule>
  </conditionalFormatting>
  <conditionalFormatting sqref="C48">
    <cfRule type="expression" dxfId="6489" priority="421">
      <formula>B48=""</formula>
    </cfRule>
  </conditionalFormatting>
  <conditionalFormatting sqref="C49">
    <cfRule type="expression" dxfId="6488" priority="420">
      <formula>B49=""</formula>
    </cfRule>
  </conditionalFormatting>
  <conditionalFormatting sqref="C50">
    <cfRule type="expression" dxfId="6487" priority="419">
      <formula>B50=""</formula>
    </cfRule>
  </conditionalFormatting>
  <conditionalFormatting sqref="C52:C71">
    <cfRule type="expression" dxfId="6486" priority="418">
      <formula>B52=""</formula>
    </cfRule>
  </conditionalFormatting>
  <conditionalFormatting sqref="C53 C55 C57 C59 C61 C63 C65 C67 C69 C71">
    <cfRule type="expression" dxfId="6485" priority="417">
      <formula>B53=""</formula>
    </cfRule>
  </conditionalFormatting>
  <conditionalFormatting sqref="C54:C64">
    <cfRule type="expression" dxfId="6484" priority="416">
      <formula>B54=""</formula>
    </cfRule>
  </conditionalFormatting>
  <conditionalFormatting sqref="C65">
    <cfRule type="expression" dxfId="6483" priority="415">
      <formula>B65=""</formula>
    </cfRule>
  </conditionalFormatting>
  <conditionalFormatting sqref="C66">
    <cfRule type="expression" dxfId="6482" priority="414">
      <formula>B66=""</formula>
    </cfRule>
  </conditionalFormatting>
  <conditionalFormatting sqref="C67">
    <cfRule type="expression" dxfId="6481" priority="413">
      <formula>B67=""</formula>
    </cfRule>
  </conditionalFormatting>
  <conditionalFormatting sqref="C68">
    <cfRule type="expression" dxfId="6480" priority="412">
      <formula>B68=""</formula>
    </cfRule>
  </conditionalFormatting>
  <conditionalFormatting sqref="C69">
    <cfRule type="expression" dxfId="6479" priority="411">
      <formula>B69=""</formula>
    </cfRule>
  </conditionalFormatting>
  <conditionalFormatting sqref="C70">
    <cfRule type="expression" dxfId="6478" priority="410">
      <formula>B70=""</formula>
    </cfRule>
  </conditionalFormatting>
  <conditionalFormatting sqref="C71">
    <cfRule type="expression" dxfId="6477" priority="409">
      <formula>B71=""</formula>
    </cfRule>
  </conditionalFormatting>
  <conditionalFormatting sqref="C72">
    <cfRule type="expression" dxfId="6476" priority="408">
      <formula>B72=""</formula>
    </cfRule>
  </conditionalFormatting>
  <conditionalFormatting sqref="C74:C94">
    <cfRule type="expression" dxfId="6475" priority="407">
      <formula>B74=""</formula>
    </cfRule>
  </conditionalFormatting>
  <conditionalFormatting sqref="C75 C77 C79 C81 C83 C85 C87 C89 C91 C93">
    <cfRule type="expression" dxfId="6474" priority="406">
      <formula>B75=""</formula>
    </cfRule>
  </conditionalFormatting>
  <conditionalFormatting sqref="C76:C86">
    <cfRule type="expression" dxfId="6473" priority="405">
      <formula>B76=""</formula>
    </cfRule>
  </conditionalFormatting>
  <conditionalFormatting sqref="C87">
    <cfRule type="expression" dxfId="6472" priority="404">
      <formula>B87=""</formula>
    </cfRule>
  </conditionalFormatting>
  <conditionalFormatting sqref="C88">
    <cfRule type="expression" dxfId="6471" priority="403">
      <formula>B88=""</formula>
    </cfRule>
  </conditionalFormatting>
  <conditionalFormatting sqref="C89">
    <cfRule type="expression" dxfId="6470" priority="402">
      <formula>B89=""</formula>
    </cfRule>
  </conditionalFormatting>
  <conditionalFormatting sqref="C90">
    <cfRule type="expression" dxfId="6469" priority="401">
      <formula>B90=""</formula>
    </cfRule>
  </conditionalFormatting>
  <conditionalFormatting sqref="C91">
    <cfRule type="expression" dxfId="6468" priority="400">
      <formula>B91=""</formula>
    </cfRule>
  </conditionalFormatting>
  <conditionalFormatting sqref="C92">
    <cfRule type="expression" dxfId="6467" priority="399">
      <formula>B92=""</formula>
    </cfRule>
  </conditionalFormatting>
  <conditionalFormatting sqref="C93">
    <cfRule type="expression" dxfId="6466" priority="398">
      <formula>B93=""</formula>
    </cfRule>
  </conditionalFormatting>
  <conditionalFormatting sqref="C94">
    <cfRule type="expression" dxfId="6465" priority="397">
      <formula>B94=""</formula>
    </cfRule>
  </conditionalFormatting>
  <conditionalFormatting sqref="C8 C10 C12 C14 C16 C18 C20 C22 C24 C26 C32:C49">
    <cfRule type="expression" dxfId="6464" priority="396">
      <formula>B8=""</formula>
    </cfRule>
  </conditionalFormatting>
  <conditionalFormatting sqref="C9 C11 C13 C15 C17 C19 C21 C23 C25 C27">
    <cfRule type="expression" dxfId="6463" priority="395">
      <formula>B9=""</formula>
    </cfRule>
  </conditionalFormatting>
  <conditionalFormatting sqref="C10:C20">
    <cfRule type="expression" dxfId="6462" priority="394">
      <formula>B10=""</formula>
    </cfRule>
  </conditionalFormatting>
  <conditionalFormatting sqref="C21">
    <cfRule type="expression" dxfId="6461" priority="393">
      <formula>B21=""</formula>
    </cfRule>
  </conditionalFormatting>
  <conditionalFormatting sqref="C22">
    <cfRule type="expression" dxfId="6460" priority="392">
      <formula>B22=""</formula>
    </cfRule>
  </conditionalFormatting>
  <conditionalFormatting sqref="C23">
    <cfRule type="expression" dxfId="6459" priority="391">
      <formula>B23=""</formula>
    </cfRule>
  </conditionalFormatting>
  <conditionalFormatting sqref="C24">
    <cfRule type="expression" dxfId="6458" priority="390">
      <formula>B24=""</formula>
    </cfRule>
  </conditionalFormatting>
  <conditionalFormatting sqref="C25">
    <cfRule type="expression" dxfId="6457" priority="389">
      <formula>B25=""</formula>
    </cfRule>
  </conditionalFormatting>
  <conditionalFormatting sqref="C26">
    <cfRule type="expression" dxfId="6456" priority="388">
      <formula>B26=""</formula>
    </cfRule>
  </conditionalFormatting>
  <conditionalFormatting sqref="C27">
    <cfRule type="expression" dxfId="6455" priority="387">
      <formula>B27=""</formula>
    </cfRule>
  </conditionalFormatting>
  <conditionalFormatting sqref="D8 D10 D12 D14 D16 D18 D20 D22 D24 D26">
    <cfRule type="expression" dxfId="6454" priority="386">
      <formula>B8=""</formula>
    </cfRule>
  </conditionalFormatting>
  <conditionalFormatting sqref="D9 D11 D13 D15 D17 D19 D21 D23 D25 D27">
    <cfRule type="expression" dxfId="6453" priority="385">
      <formula>B9=""</formula>
    </cfRule>
  </conditionalFormatting>
  <conditionalFormatting sqref="D10:D20">
    <cfRule type="expression" dxfId="6452" priority="384">
      <formula>B10=""</formula>
    </cfRule>
  </conditionalFormatting>
  <conditionalFormatting sqref="D21">
    <cfRule type="expression" dxfId="6451" priority="383">
      <formula>B21=""</formula>
    </cfRule>
  </conditionalFormatting>
  <conditionalFormatting sqref="D22">
    <cfRule type="expression" dxfId="6450" priority="382">
      <formula>B22=""</formula>
    </cfRule>
  </conditionalFormatting>
  <conditionalFormatting sqref="D23">
    <cfRule type="expression" dxfId="6449" priority="381">
      <formula>B23=""</formula>
    </cfRule>
  </conditionalFormatting>
  <conditionalFormatting sqref="D24">
    <cfRule type="expression" dxfId="6448" priority="380">
      <formula>B24=""</formula>
    </cfRule>
  </conditionalFormatting>
  <conditionalFormatting sqref="D25">
    <cfRule type="expression" dxfId="6447" priority="379">
      <formula>B25=""</formula>
    </cfRule>
  </conditionalFormatting>
  <conditionalFormatting sqref="D26">
    <cfRule type="expression" dxfId="6446" priority="378">
      <formula>B26=""</formula>
    </cfRule>
  </conditionalFormatting>
  <conditionalFormatting sqref="D27">
    <cfRule type="expression" dxfId="6445" priority="377">
      <formula>B27=""</formula>
    </cfRule>
  </conditionalFormatting>
  <conditionalFormatting sqref="E8:E27">
    <cfRule type="expression" dxfId="6444" priority="376">
      <formula>B8=""</formula>
    </cfRule>
  </conditionalFormatting>
  <conditionalFormatting sqref="E9 E11 E13 E15 E17 E19 E21 E23 E25 E27">
    <cfRule type="expression" dxfId="6443" priority="375">
      <formula>B9=""</formula>
    </cfRule>
  </conditionalFormatting>
  <conditionalFormatting sqref="E10:E20">
    <cfRule type="expression" dxfId="6442" priority="374">
      <formula>B10=""</formula>
    </cfRule>
  </conditionalFormatting>
  <conditionalFormatting sqref="E21">
    <cfRule type="expression" dxfId="6441" priority="373">
      <formula>B21=""</formula>
    </cfRule>
  </conditionalFormatting>
  <conditionalFormatting sqref="E22">
    <cfRule type="expression" dxfId="6440" priority="372">
      <formula>B22=""</formula>
    </cfRule>
  </conditionalFormatting>
  <conditionalFormatting sqref="E23">
    <cfRule type="expression" dxfId="6439" priority="371">
      <formula>B23=""</formula>
    </cfRule>
  </conditionalFormatting>
  <conditionalFormatting sqref="E24">
    <cfRule type="expression" dxfId="6438" priority="370">
      <formula>B24=""</formula>
    </cfRule>
  </conditionalFormatting>
  <conditionalFormatting sqref="E25">
    <cfRule type="expression" dxfId="6437" priority="369">
      <formula>B25=""</formula>
    </cfRule>
  </conditionalFormatting>
  <conditionalFormatting sqref="E26">
    <cfRule type="expression" dxfId="6436" priority="368">
      <formula>B26=""</formula>
    </cfRule>
  </conditionalFormatting>
  <conditionalFormatting sqref="E27">
    <cfRule type="expression" dxfId="6435" priority="367">
      <formula>B27=""</formula>
    </cfRule>
  </conditionalFormatting>
  <conditionalFormatting sqref="F8:F27 F30:F49">
    <cfRule type="expression" dxfId="6434" priority="366">
      <formula>B8=""</formula>
    </cfRule>
  </conditionalFormatting>
  <conditionalFormatting sqref="F9 F11 F13 F15 F17 F19 F21 F23 F25 F27">
    <cfRule type="expression" dxfId="6433" priority="365">
      <formula>B9=""</formula>
    </cfRule>
  </conditionalFormatting>
  <conditionalFormatting sqref="F10:F20">
    <cfRule type="expression" dxfId="6432" priority="364">
      <formula>B10=""</formula>
    </cfRule>
  </conditionalFormatting>
  <conditionalFormatting sqref="F21">
    <cfRule type="expression" dxfId="6431" priority="363">
      <formula>B21=""</formula>
    </cfRule>
  </conditionalFormatting>
  <conditionalFormatting sqref="F22">
    <cfRule type="expression" dxfId="6430" priority="362">
      <formula>B22=""</formula>
    </cfRule>
  </conditionalFormatting>
  <conditionalFormatting sqref="F23">
    <cfRule type="expression" dxfId="6429" priority="361">
      <formula>B23=""</formula>
    </cfRule>
  </conditionalFormatting>
  <conditionalFormatting sqref="F24">
    <cfRule type="expression" dxfId="6428" priority="360">
      <formula>B24=""</formula>
    </cfRule>
  </conditionalFormatting>
  <conditionalFormatting sqref="F25">
    <cfRule type="expression" dxfId="6427" priority="359">
      <formula>B25=""</formula>
    </cfRule>
  </conditionalFormatting>
  <conditionalFormatting sqref="F26">
    <cfRule type="expression" dxfId="6426" priority="358">
      <formula>B26=""</formula>
    </cfRule>
  </conditionalFormatting>
  <conditionalFormatting sqref="F27">
    <cfRule type="expression" dxfId="6425" priority="357">
      <formula>B27=""</formula>
    </cfRule>
  </conditionalFormatting>
  <conditionalFormatting sqref="E9 E11 E13 E15 E17 E19 E21 E23 E25 E27">
    <cfRule type="expression" dxfId="6424" priority="356">
      <formula>B9=""</formula>
    </cfRule>
  </conditionalFormatting>
  <conditionalFormatting sqref="E10:E20">
    <cfRule type="expression" dxfId="6423" priority="355">
      <formula>B10=""</formula>
    </cfRule>
  </conditionalFormatting>
  <conditionalFormatting sqref="E21">
    <cfRule type="expression" dxfId="6422" priority="354">
      <formula>B21=""</formula>
    </cfRule>
  </conditionalFormatting>
  <conditionalFormatting sqref="E22">
    <cfRule type="expression" dxfId="6421" priority="353">
      <formula>B22=""</formula>
    </cfRule>
  </conditionalFormatting>
  <conditionalFormatting sqref="E23">
    <cfRule type="expression" dxfId="6420" priority="352">
      <formula>B23=""</formula>
    </cfRule>
  </conditionalFormatting>
  <conditionalFormatting sqref="E24">
    <cfRule type="expression" dxfId="6419" priority="351">
      <formula>B24=""</formula>
    </cfRule>
  </conditionalFormatting>
  <conditionalFormatting sqref="E25">
    <cfRule type="expression" dxfId="6418" priority="350">
      <formula>B25=""</formula>
    </cfRule>
  </conditionalFormatting>
  <conditionalFormatting sqref="E26">
    <cfRule type="expression" dxfId="6417" priority="349">
      <formula>B26=""</formula>
    </cfRule>
  </conditionalFormatting>
  <conditionalFormatting sqref="E27">
    <cfRule type="expression" dxfId="6416" priority="348">
      <formula>B27=""</formula>
    </cfRule>
  </conditionalFormatting>
  <conditionalFormatting sqref="G8:G27">
    <cfRule type="expression" dxfId="6415" priority="347">
      <formula>B8=""</formula>
    </cfRule>
  </conditionalFormatting>
  <conditionalFormatting sqref="G9 G11 G13 G15 G17 G19 G21 G23 G25 G27">
    <cfRule type="expression" dxfId="6414" priority="346">
      <formula>B9=""</formula>
    </cfRule>
  </conditionalFormatting>
  <conditionalFormatting sqref="G10:G20">
    <cfRule type="expression" dxfId="6413" priority="345">
      <formula>B10=""</formula>
    </cfRule>
  </conditionalFormatting>
  <conditionalFormatting sqref="G21">
    <cfRule type="expression" dxfId="6412" priority="344">
      <formula>B21=""</formula>
    </cfRule>
  </conditionalFormatting>
  <conditionalFormatting sqref="G22">
    <cfRule type="expression" dxfId="6411" priority="343">
      <formula>B22=""</formula>
    </cfRule>
  </conditionalFormatting>
  <conditionalFormatting sqref="G23">
    <cfRule type="expression" dxfId="6410" priority="342">
      <formula>B23=""</formula>
    </cfRule>
  </conditionalFormatting>
  <conditionalFormatting sqref="G24">
    <cfRule type="expression" dxfId="6409" priority="341">
      <formula>B24=""</formula>
    </cfRule>
  </conditionalFormatting>
  <conditionalFormatting sqref="G25">
    <cfRule type="expression" dxfId="6408" priority="340">
      <formula>B25=""</formula>
    </cfRule>
  </conditionalFormatting>
  <conditionalFormatting sqref="G26">
    <cfRule type="expression" dxfId="6407" priority="339">
      <formula>B26=""</formula>
    </cfRule>
  </conditionalFormatting>
  <conditionalFormatting sqref="G27">
    <cfRule type="expression" dxfId="6406" priority="338">
      <formula>B27=""</formula>
    </cfRule>
  </conditionalFormatting>
  <conditionalFormatting sqref="H8 H10 H12 H14 H16 H18 H20 H22 H24 H26">
    <cfRule type="expression" dxfId="6405" priority="337">
      <formula>B8=""</formula>
    </cfRule>
  </conditionalFormatting>
  <conditionalFormatting sqref="H9 H11 H13 H15 H17 H19 H21 H23 H25 H27">
    <cfRule type="expression" dxfId="6404" priority="336">
      <formula>B9=""</formula>
    </cfRule>
  </conditionalFormatting>
  <conditionalFormatting sqref="H10:H20">
    <cfRule type="expression" dxfId="6403" priority="335">
      <formula>B10=""</formula>
    </cfRule>
  </conditionalFormatting>
  <conditionalFormatting sqref="H21">
    <cfRule type="expression" dxfId="6402" priority="334">
      <formula>B21=""</formula>
    </cfRule>
  </conditionalFormatting>
  <conditionalFormatting sqref="H22">
    <cfRule type="expression" dxfId="6401" priority="333">
      <formula>B22=""</formula>
    </cfRule>
  </conditionalFormatting>
  <conditionalFormatting sqref="H23">
    <cfRule type="expression" dxfId="6400" priority="332">
      <formula>B23=""</formula>
    </cfRule>
  </conditionalFormatting>
  <conditionalFormatting sqref="H24">
    <cfRule type="expression" dxfId="6399" priority="331">
      <formula>B24=""</formula>
    </cfRule>
  </conditionalFormatting>
  <conditionalFormatting sqref="H25">
    <cfRule type="expression" dxfId="6398" priority="330">
      <formula>B25=""</formula>
    </cfRule>
  </conditionalFormatting>
  <conditionalFormatting sqref="H26">
    <cfRule type="expression" dxfId="6397" priority="329">
      <formula>B26=""</formula>
    </cfRule>
  </conditionalFormatting>
  <conditionalFormatting sqref="H27">
    <cfRule type="expression" dxfId="6396" priority="328">
      <formula>B27=""</formula>
    </cfRule>
  </conditionalFormatting>
  <conditionalFormatting sqref="F8 F10 F12 F14 F16 F18 F20 F22 F24 F26">
    <cfRule type="expression" dxfId="6395" priority="327">
      <formula>B8=""</formula>
    </cfRule>
  </conditionalFormatting>
  <conditionalFormatting sqref="F9 F11 F13 F15 F17 F19 F21 F23 F25 F27">
    <cfRule type="expression" dxfId="6394" priority="326">
      <formula>B9=""</formula>
    </cfRule>
  </conditionalFormatting>
  <conditionalFormatting sqref="F10:F20">
    <cfRule type="expression" dxfId="6393" priority="325">
      <formula>B10=""</formula>
    </cfRule>
  </conditionalFormatting>
  <conditionalFormatting sqref="F21">
    <cfRule type="expression" dxfId="6392" priority="324">
      <formula>B21=""</formula>
    </cfRule>
  </conditionalFormatting>
  <conditionalFormatting sqref="F22">
    <cfRule type="expression" dxfId="6391" priority="323">
      <formula>B22=""</formula>
    </cfRule>
  </conditionalFormatting>
  <conditionalFormatting sqref="F23">
    <cfRule type="expression" dxfId="6390" priority="322">
      <formula>B23=""</formula>
    </cfRule>
  </conditionalFormatting>
  <conditionalFormatting sqref="F24">
    <cfRule type="expression" dxfId="6389" priority="321">
      <formula>B24=""</formula>
    </cfRule>
  </conditionalFormatting>
  <conditionalFormatting sqref="F25">
    <cfRule type="expression" dxfId="6388" priority="320">
      <formula>B25=""</formula>
    </cfRule>
  </conditionalFormatting>
  <conditionalFormatting sqref="F26">
    <cfRule type="expression" dxfId="6387" priority="319">
      <formula>B26=""</formula>
    </cfRule>
  </conditionalFormatting>
  <conditionalFormatting sqref="F27">
    <cfRule type="expression" dxfId="6386" priority="318">
      <formula>B27=""</formula>
    </cfRule>
  </conditionalFormatting>
  <conditionalFormatting sqref="C31 C33 C35 C37 C39 C41 C43 C45 C47 C49">
    <cfRule type="expression" dxfId="6385" priority="316">
      <formula>B31=""</formula>
    </cfRule>
  </conditionalFormatting>
  <conditionalFormatting sqref="C43">
    <cfRule type="expression" dxfId="6384" priority="314">
      <formula>B43=""</formula>
    </cfRule>
  </conditionalFormatting>
  <conditionalFormatting sqref="C44">
    <cfRule type="expression" dxfId="6383" priority="313">
      <formula>B44=""</formula>
    </cfRule>
  </conditionalFormatting>
  <conditionalFormatting sqref="C45">
    <cfRule type="expression" dxfId="6382" priority="312">
      <formula>B45=""</formula>
    </cfRule>
  </conditionalFormatting>
  <conditionalFormatting sqref="C46">
    <cfRule type="expression" dxfId="6381" priority="311">
      <formula>B46=""</formula>
    </cfRule>
  </conditionalFormatting>
  <conditionalFormatting sqref="C47">
    <cfRule type="expression" dxfId="6380" priority="310">
      <formula>B47=""</formula>
    </cfRule>
  </conditionalFormatting>
  <conditionalFormatting sqref="C48">
    <cfRule type="expression" dxfId="6379" priority="309">
      <formula>B48=""</formula>
    </cfRule>
  </conditionalFormatting>
  <conditionalFormatting sqref="C49">
    <cfRule type="expression" dxfId="6378" priority="308">
      <formula>B49=""</formula>
    </cfRule>
  </conditionalFormatting>
  <conditionalFormatting sqref="D30 D32 D34 D36 D38 D40 D42:D49">
    <cfRule type="expression" dxfId="6377" priority="307">
      <formula>B30=""</formula>
    </cfRule>
  </conditionalFormatting>
  <conditionalFormatting sqref="D31 D33 D35 D37 D39 D41 D43 D45 D47 D49">
    <cfRule type="expression" dxfId="6376" priority="306">
      <formula>B31=""</formula>
    </cfRule>
  </conditionalFormatting>
  <conditionalFormatting sqref="D43">
    <cfRule type="expression" dxfId="6375" priority="304">
      <formula>B43=""</formula>
    </cfRule>
  </conditionalFormatting>
  <conditionalFormatting sqref="D44">
    <cfRule type="expression" dxfId="6374" priority="303">
      <formula>B44=""</formula>
    </cfRule>
  </conditionalFormatting>
  <conditionalFormatting sqref="D45">
    <cfRule type="expression" dxfId="6373" priority="302">
      <formula>B45=""</formula>
    </cfRule>
  </conditionalFormatting>
  <conditionalFormatting sqref="D46">
    <cfRule type="expression" dxfId="6372" priority="301">
      <formula>B46=""</formula>
    </cfRule>
  </conditionalFormatting>
  <conditionalFormatting sqref="D47">
    <cfRule type="expression" dxfId="6371" priority="300">
      <formula>B47=""</formula>
    </cfRule>
  </conditionalFormatting>
  <conditionalFormatting sqref="D48">
    <cfRule type="expression" dxfId="6370" priority="299">
      <formula>B48=""</formula>
    </cfRule>
  </conditionalFormatting>
  <conditionalFormatting sqref="D49">
    <cfRule type="expression" dxfId="6369" priority="298">
      <formula>B49=""</formula>
    </cfRule>
  </conditionalFormatting>
  <conditionalFormatting sqref="E30 E32 E34 E36 E38 E40 E42:E49">
    <cfRule type="expression" dxfId="6368" priority="297">
      <formula>B30=""</formula>
    </cfRule>
  </conditionalFormatting>
  <conditionalFormatting sqref="E31 E33 E35 E37 E39 E41 E43 E45 E47 E49">
    <cfRule type="expression" dxfId="6367" priority="296">
      <formula>B31=""</formula>
    </cfRule>
  </conditionalFormatting>
  <conditionalFormatting sqref="E43">
    <cfRule type="expression" dxfId="6366" priority="294">
      <formula>B43=""</formula>
    </cfRule>
  </conditionalFormatting>
  <conditionalFormatting sqref="E44">
    <cfRule type="expression" dxfId="6365" priority="293">
      <formula>B44=""</formula>
    </cfRule>
  </conditionalFormatting>
  <conditionalFormatting sqref="E45">
    <cfRule type="expression" dxfId="6364" priority="292">
      <formula>B45=""</formula>
    </cfRule>
  </conditionalFormatting>
  <conditionalFormatting sqref="E46">
    <cfRule type="expression" dxfId="6363" priority="291">
      <formula>B46=""</formula>
    </cfRule>
  </conditionalFormatting>
  <conditionalFormatting sqref="E47">
    <cfRule type="expression" dxfId="6362" priority="290">
      <formula>B47=""</formula>
    </cfRule>
  </conditionalFormatting>
  <conditionalFormatting sqref="E48">
    <cfRule type="expression" dxfId="6361" priority="289">
      <formula>B48=""</formula>
    </cfRule>
  </conditionalFormatting>
  <conditionalFormatting sqref="E49">
    <cfRule type="expression" dxfId="6360" priority="288">
      <formula>B49=""</formula>
    </cfRule>
  </conditionalFormatting>
  <conditionalFormatting sqref="F30 F32 F34 F36 F38 F40 F42:F49">
    <cfRule type="expression" dxfId="6359" priority="287">
      <formula>B30=""</formula>
    </cfRule>
  </conditionalFormatting>
  <conditionalFormatting sqref="F31 F33 F35 F37 F39 F41 F43 F45 F47 F49">
    <cfRule type="expression" dxfId="6358" priority="286">
      <formula>B31=""</formula>
    </cfRule>
  </conditionalFormatting>
  <conditionalFormatting sqref="F43">
    <cfRule type="expression" dxfId="6357" priority="284">
      <formula>B43=""</formula>
    </cfRule>
  </conditionalFormatting>
  <conditionalFormatting sqref="F44">
    <cfRule type="expression" dxfId="6356" priority="283">
      <formula>B44=""</formula>
    </cfRule>
  </conditionalFormatting>
  <conditionalFormatting sqref="F45">
    <cfRule type="expression" dxfId="6355" priority="282">
      <formula>B45=""</formula>
    </cfRule>
  </conditionalFormatting>
  <conditionalFormatting sqref="F46">
    <cfRule type="expression" dxfId="6354" priority="281">
      <formula>B46=""</formula>
    </cfRule>
  </conditionalFormatting>
  <conditionalFormatting sqref="F47">
    <cfRule type="expression" dxfId="6353" priority="280">
      <formula>B47=""</formula>
    </cfRule>
  </conditionalFormatting>
  <conditionalFormatting sqref="F48">
    <cfRule type="expression" dxfId="6352" priority="279">
      <formula>B48=""</formula>
    </cfRule>
  </conditionalFormatting>
  <conditionalFormatting sqref="F49">
    <cfRule type="expression" dxfId="6351" priority="278">
      <formula>B49=""</formula>
    </cfRule>
  </conditionalFormatting>
  <conditionalFormatting sqref="E31 E33 E35 E37 E39 E41 E43:E49">
    <cfRule type="expression" dxfId="6350" priority="277">
      <formula>B31=""</formula>
    </cfRule>
  </conditionalFormatting>
  <conditionalFormatting sqref="E43">
    <cfRule type="expression" dxfId="6349" priority="275">
      <formula>B43=""</formula>
    </cfRule>
  </conditionalFormatting>
  <conditionalFormatting sqref="E44">
    <cfRule type="expression" dxfId="6348" priority="274">
      <formula>B44=""</formula>
    </cfRule>
  </conditionalFormatting>
  <conditionalFormatting sqref="E45">
    <cfRule type="expression" dxfId="6347" priority="273">
      <formula>B45=""</formula>
    </cfRule>
  </conditionalFormatting>
  <conditionalFormatting sqref="E46">
    <cfRule type="expression" dxfId="6346" priority="272">
      <formula>B46=""</formula>
    </cfRule>
  </conditionalFormatting>
  <conditionalFormatting sqref="E47">
    <cfRule type="expression" dxfId="6345" priority="271">
      <formula>B47=""</formula>
    </cfRule>
  </conditionalFormatting>
  <conditionalFormatting sqref="E48">
    <cfRule type="expression" dxfId="6344" priority="270">
      <formula>B48=""</formula>
    </cfRule>
  </conditionalFormatting>
  <conditionalFormatting sqref="E49">
    <cfRule type="expression" dxfId="6343" priority="269">
      <formula>B49=""</formula>
    </cfRule>
  </conditionalFormatting>
  <conditionalFormatting sqref="G30 G32 G34 G36 G38 G40 G42:G49">
    <cfRule type="expression" dxfId="6342" priority="268">
      <formula>B30=""</formula>
    </cfRule>
  </conditionalFormatting>
  <conditionalFormatting sqref="G31 G33 G35 G37 G39 G41 G43 G45 G47 G49">
    <cfRule type="expression" dxfId="6341" priority="267">
      <formula>B31=""</formula>
    </cfRule>
  </conditionalFormatting>
  <conditionalFormatting sqref="G43">
    <cfRule type="expression" dxfId="6340" priority="265">
      <formula>B43=""</formula>
    </cfRule>
  </conditionalFormatting>
  <conditionalFormatting sqref="G44">
    <cfRule type="expression" dxfId="6339" priority="264">
      <formula>B44=""</formula>
    </cfRule>
  </conditionalFormatting>
  <conditionalFormatting sqref="G45">
    <cfRule type="expression" dxfId="6338" priority="263">
      <formula>B45=""</formula>
    </cfRule>
  </conditionalFormatting>
  <conditionalFormatting sqref="G46">
    <cfRule type="expression" dxfId="6337" priority="262">
      <formula>B46=""</formula>
    </cfRule>
  </conditionalFormatting>
  <conditionalFormatting sqref="G47">
    <cfRule type="expression" dxfId="6336" priority="261">
      <formula>B47=""</formula>
    </cfRule>
  </conditionalFormatting>
  <conditionalFormatting sqref="G48">
    <cfRule type="expression" dxfId="6335" priority="260">
      <formula>B48=""</formula>
    </cfRule>
  </conditionalFormatting>
  <conditionalFormatting sqref="G49">
    <cfRule type="expression" dxfId="6334" priority="259">
      <formula>B49=""</formula>
    </cfRule>
  </conditionalFormatting>
  <conditionalFormatting sqref="H30 H32 H34 H36 H38 H40 H42:H49">
    <cfRule type="expression" dxfId="6333" priority="258">
      <formula>B30=""</formula>
    </cfRule>
  </conditionalFormatting>
  <conditionalFormatting sqref="H31 H33 H35 H37 H39 H41 H43 H45 H47 H49">
    <cfRule type="expression" dxfId="6332" priority="257">
      <formula>B31=""</formula>
    </cfRule>
  </conditionalFormatting>
  <conditionalFormatting sqref="H43">
    <cfRule type="expression" dxfId="6331" priority="255">
      <formula>B43=""</formula>
    </cfRule>
  </conditionalFormatting>
  <conditionalFormatting sqref="H44">
    <cfRule type="expression" dxfId="6330" priority="254">
      <formula>B44=""</formula>
    </cfRule>
  </conditionalFormatting>
  <conditionalFormatting sqref="H45">
    <cfRule type="expression" dxfId="6329" priority="253">
      <formula>B45=""</formula>
    </cfRule>
  </conditionalFormatting>
  <conditionalFormatting sqref="H46">
    <cfRule type="expression" dxfId="6328" priority="252">
      <formula>B46=""</formula>
    </cfRule>
  </conditionalFormatting>
  <conditionalFormatting sqref="H47">
    <cfRule type="expression" dxfId="6327" priority="251">
      <formula>B47=""</formula>
    </cfRule>
  </conditionalFormatting>
  <conditionalFormatting sqref="H48">
    <cfRule type="expression" dxfId="6326" priority="250">
      <formula>B48=""</formula>
    </cfRule>
  </conditionalFormatting>
  <conditionalFormatting sqref="H49">
    <cfRule type="expression" dxfId="6325" priority="249">
      <formula>B49=""</formula>
    </cfRule>
  </conditionalFormatting>
  <conditionalFormatting sqref="C31 C33 C35 C37 C39 C41 C43 C45 C47 C49">
    <cfRule type="expression" dxfId="6324" priority="247">
      <formula>B31=""</formula>
    </cfRule>
  </conditionalFormatting>
  <conditionalFormatting sqref="C43">
    <cfRule type="expression" dxfId="6323" priority="245">
      <formula>B43=""</formula>
    </cfRule>
  </conditionalFormatting>
  <conditionalFormatting sqref="C44">
    <cfRule type="expression" dxfId="6322" priority="244">
      <formula>B44=""</formula>
    </cfRule>
  </conditionalFormatting>
  <conditionalFormatting sqref="C45">
    <cfRule type="expression" dxfId="6321" priority="243">
      <formula>B45=""</formula>
    </cfRule>
  </conditionalFormatting>
  <conditionalFormatting sqref="C46">
    <cfRule type="expression" dxfId="6320" priority="242">
      <formula>B46=""</formula>
    </cfRule>
  </conditionalFormatting>
  <conditionalFormatting sqref="C47">
    <cfRule type="expression" dxfId="6319" priority="241">
      <formula>B47=""</formula>
    </cfRule>
  </conditionalFormatting>
  <conditionalFormatting sqref="C48">
    <cfRule type="expression" dxfId="6318" priority="240">
      <formula>B48=""</formula>
    </cfRule>
  </conditionalFormatting>
  <conditionalFormatting sqref="C49">
    <cfRule type="expression" dxfId="6317" priority="239">
      <formula>B49=""</formula>
    </cfRule>
  </conditionalFormatting>
  <conditionalFormatting sqref="C30 C32 C34 C36 C38 C40 C42 C44 C46 C48">
    <cfRule type="expression" dxfId="6316" priority="238">
      <formula>B30=""</formula>
    </cfRule>
  </conditionalFormatting>
  <conditionalFormatting sqref="C31 C33 C35 C37 C39 C41 C43 C45 C47 C49">
    <cfRule type="expression" dxfId="6315" priority="237">
      <formula>B31=""</formula>
    </cfRule>
  </conditionalFormatting>
  <conditionalFormatting sqref="C43">
    <cfRule type="expression" dxfId="6314" priority="235">
      <formula>B43=""</formula>
    </cfRule>
  </conditionalFormatting>
  <conditionalFormatting sqref="C44">
    <cfRule type="expression" dxfId="6313" priority="234">
      <formula>B44=""</formula>
    </cfRule>
  </conditionalFormatting>
  <conditionalFormatting sqref="C45">
    <cfRule type="expression" dxfId="6312" priority="233">
      <formula>B45=""</formula>
    </cfRule>
  </conditionalFormatting>
  <conditionalFormatting sqref="C46">
    <cfRule type="expression" dxfId="6311" priority="232">
      <formula>B46=""</formula>
    </cfRule>
  </conditionalFormatting>
  <conditionalFormatting sqref="C47">
    <cfRule type="expression" dxfId="6310" priority="231">
      <formula>B47=""</formula>
    </cfRule>
  </conditionalFormatting>
  <conditionalFormatting sqref="C48">
    <cfRule type="expression" dxfId="6309" priority="230">
      <formula>B48=""</formula>
    </cfRule>
  </conditionalFormatting>
  <conditionalFormatting sqref="C49">
    <cfRule type="expression" dxfId="6308" priority="229">
      <formula>B49=""</formula>
    </cfRule>
  </conditionalFormatting>
  <conditionalFormatting sqref="D30 D32 D34 D36 D38 D40 D42:D49">
    <cfRule type="expression" dxfId="6307" priority="228">
      <formula>B30=""</formula>
    </cfRule>
  </conditionalFormatting>
  <conditionalFormatting sqref="D31 D33 D35 D37 D39 D41 D43 D45 D47 D49">
    <cfRule type="expression" dxfId="6306" priority="227">
      <formula>B31=""</formula>
    </cfRule>
  </conditionalFormatting>
  <conditionalFormatting sqref="D43">
    <cfRule type="expression" dxfId="6305" priority="225">
      <formula>B43=""</formula>
    </cfRule>
  </conditionalFormatting>
  <conditionalFormatting sqref="D44">
    <cfRule type="expression" dxfId="6304" priority="224">
      <formula>B44=""</formula>
    </cfRule>
  </conditionalFormatting>
  <conditionalFormatting sqref="D45">
    <cfRule type="expression" dxfId="6303" priority="223">
      <formula>B45=""</formula>
    </cfRule>
  </conditionalFormatting>
  <conditionalFormatting sqref="D46">
    <cfRule type="expression" dxfId="6302" priority="222">
      <formula>B46=""</formula>
    </cfRule>
  </conditionalFormatting>
  <conditionalFormatting sqref="D47">
    <cfRule type="expression" dxfId="6301" priority="221">
      <formula>B47=""</formula>
    </cfRule>
  </conditionalFormatting>
  <conditionalFormatting sqref="D48">
    <cfRule type="expression" dxfId="6300" priority="220">
      <formula>B48=""</formula>
    </cfRule>
  </conditionalFormatting>
  <conditionalFormatting sqref="D49">
    <cfRule type="expression" dxfId="6299" priority="219">
      <formula>B49=""</formula>
    </cfRule>
  </conditionalFormatting>
  <conditionalFormatting sqref="E31 E33 E35 E37 E39 E41 E43 E45 E47 E49">
    <cfRule type="expression" dxfId="6298" priority="217">
      <formula>B31=""</formula>
    </cfRule>
  </conditionalFormatting>
  <conditionalFormatting sqref="E43">
    <cfRule type="expression" dxfId="6297" priority="215">
      <formula>B43=""</formula>
    </cfRule>
  </conditionalFormatting>
  <conditionalFormatting sqref="E44">
    <cfRule type="expression" dxfId="6296" priority="214">
      <formula>B44=""</formula>
    </cfRule>
  </conditionalFormatting>
  <conditionalFormatting sqref="E45">
    <cfRule type="expression" dxfId="6295" priority="213">
      <formula>B45=""</formula>
    </cfRule>
  </conditionalFormatting>
  <conditionalFormatting sqref="E46">
    <cfRule type="expression" dxfId="6294" priority="212">
      <formula>B46=""</formula>
    </cfRule>
  </conditionalFormatting>
  <conditionalFormatting sqref="E47">
    <cfRule type="expression" dxfId="6293" priority="211">
      <formula>B47=""</formula>
    </cfRule>
  </conditionalFormatting>
  <conditionalFormatting sqref="E48">
    <cfRule type="expression" dxfId="6292" priority="210">
      <formula>B48=""</formula>
    </cfRule>
  </conditionalFormatting>
  <conditionalFormatting sqref="E49">
    <cfRule type="expression" dxfId="6291" priority="209">
      <formula>B49=""</formula>
    </cfRule>
  </conditionalFormatting>
  <conditionalFormatting sqref="F31 F33 F35 F37 F39 F41 F43 F45 F47 F49">
    <cfRule type="expression" dxfId="6290" priority="207">
      <formula>B31=""</formula>
    </cfRule>
  </conditionalFormatting>
  <conditionalFormatting sqref="F43">
    <cfRule type="expression" dxfId="6289" priority="205">
      <formula>B43=""</formula>
    </cfRule>
  </conditionalFormatting>
  <conditionalFormatting sqref="F44">
    <cfRule type="expression" dxfId="6288" priority="204">
      <formula>B44=""</formula>
    </cfRule>
  </conditionalFormatting>
  <conditionalFormatting sqref="F45">
    <cfRule type="expression" dxfId="6287" priority="203">
      <formula>B45=""</formula>
    </cfRule>
  </conditionalFormatting>
  <conditionalFormatting sqref="F46">
    <cfRule type="expression" dxfId="6286" priority="202">
      <formula>B46=""</formula>
    </cfRule>
  </conditionalFormatting>
  <conditionalFormatting sqref="F47">
    <cfRule type="expression" dxfId="6285" priority="201">
      <formula>B47=""</formula>
    </cfRule>
  </conditionalFormatting>
  <conditionalFormatting sqref="F48">
    <cfRule type="expression" dxfId="6284" priority="200">
      <formula>B48=""</formula>
    </cfRule>
  </conditionalFormatting>
  <conditionalFormatting sqref="F49">
    <cfRule type="expression" dxfId="6283" priority="199">
      <formula>B49=""</formula>
    </cfRule>
  </conditionalFormatting>
  <conditionalFormatting sqref="E31 E33 E35 E37 E39 E41 E43:E49">
    <cfRule type="expression" dxfId="6282" priority="198">
      <formula>B31=""</formula>
    </cfRule>
  </conditionalFormatting>
  <conditionalFormatting sqref="E43">
    <cfRule type="expression" dxfId="6281" priority="196">
      <formula>B43=""</formula>
    </cfRule>
  </conditionalFormatting>
  <conditionalFormatting sqref="E44">
    <cfRule type="expression" dxfId="6280" priority="195">
      <formula>B44=""</formula>
    </cfRule>
  </conditionalFormatting>
  <conditionalFormatting sqref="E45">
    <cfRule type="expression" dxfId="6279" priority="194">
      <formula>B45=""</formula>
    </cfRule>
  </conditionalFormatting>
  <conditionalFormatting sqref="E46">
    <cfRule type="expression" dxfId="6278" priority="193">
      <formula>B46=""</formula>
    </cfRule>
  </conditionalFormatting>
  <conditionalFormatting sqref="E47">
    <cfRule type="expression" dxfId="6277" priority="192">
      <formula>B47=""</formula>
    </cfRule>
  </conditionalFormatting>
  <conditionalFormatting sqref="E48">
    <cfRule type="expression" dxfId="6276" priority="191">
      <formula>B48=""</formula>
    </cfRule>
  </conditionalFormatting>
  <conditionalFormatting sqref="E49">
    <cfRule type="expression" dxfId="6275" priority="190">
      <formula>B49=""</formula>
    </cfRule>
  </conditionalFormatting>
  <conditionalFormatting sqref="G31 G33 G35 G37 G39 G41 G43 G45 G47 G49">
    <cfRule type="expression" dxfId="6274" priority="188">
      <formula>B31=""</formula>
    </cfRule>
  </conditionalFormatting>
  <conditionalFormatting sqref="G43">
    <cfRule type="expression" dxfId="6273" priority="186">
      <formula>B43=""</formula>
    </cfRule>
  </conditionalFormatting>
  <conditionalFormatting sqref="G44">
    <cfRule type="expression" dxfId="6272" priority="185">
      <formula>B44=""</formula>
    </cfRule>
  </conditionalFormatting>
  <conditionalFormatting sqref="G45">
    <cfRule type="expression" dxfId="6271" priority="184">
      <formula>B45=""</formula>
    </cfRule>
  </conditionalFormatting>
  <conditionalFormatting sqref="G46">
    <cfRule type="expression" dxfId="6270" priority="183">
      <formula>B46=""</formula>
    </cfRule>
  </conditionalFormatting>
  <conditionalFormatting sqref="G47">
    <cfRule type="expression" dxfId="6269" priority="182">
      <formula>B47=""</formula>
    </cfRule>
  </conditionalFormatting>
  <conditionalFormatting sqref="G48">
    <cfRule type="expression" dxfId="6268" priority="181">
      <formula>B48=""</formula>
    </cfRule>
  </conditionalFormatting>
  <conditionalFormatting sqref="G49">
    <cfRule type="expression" dxfId="6267" priority="180">
      <formula>B49=""</formula>
    </cfRule>
  </conditionalFormatting>
  <conditionalFormatting sqref="H30 H32 H34 H36 H38 H40 H42:H49">
    <cfRule type="expression" dxfId="6266" priority="179">
      <formula>B30=""</formula>
    </cfRule>
  </conditionalFormatting>
  <conditionalFormatting sqref="H31 H33 H35 H37 H39 H41 H43 H45 H47 H49">
    <cfRule type="expression" dxfId="6265" priority="178">
      <formula>B31=""</formula>
    </cfRule>
  </conditionalFormatting>
  <conditionalFormatting sqref="H43">
    <cfRule type="expression" dxfId="6264" priority="176">
      <formula>B43=""</formula>
    </cfRule>
  </conditionalFormatting>
  <conditionalFormatting sqref="H44">
    <cfRule type="expression" dxfId="6263" priority="175">
      <formula>B44=""</formula>
    </cfRule>
  </conditionalFormatting>
  <conditionalFormatting sqref="H45">
    <cfRule type="expression" dxfId="6262" priority="174">
      <formula>B45=""</formula>
    </cfRule>
  </conditionalFormatting>
  <conditionalFormatting sqref="H46">
    <cfRule type="expression" dxfId="6261" priority="173">
      <formula>B46=""</formula>
    </cfRule>
  </conditionalFormatting>
  <conditionalFormatting sqref="H47">
    <cfRule type="expression" dxfId="6260" priority="172">
      <formula>B47=""</formula>
    </cfRule>
  </conditionalFormatting>
  <conditionalFormatting sqref="H48">
    <cfRule type="expression" dxfId="6259" priority="171">
      <formula>B48=""</formula>
    </cfRule>
  </conditionalFormatting>
  <conditionalFormatting sqref="H49">
    <cfRule type="expression" dxfId="6258" priority="170">
      <formula>B49=""</formula>
    </cfRule>
  </conditionalFormatting>
  <conditionalFormatting sqref="F30 F32 F34 F36 F38 F40 F42:F49">
    <cfRule type="expression" dxfId="6257" priority="169">
      <formula>B30=""</formula>
    </cfRule>
  </conditionalFormatting>
  <conditionalFormatting sqref="F31 F33 F35 F37 F39 F41 F43 F45 F47 F49">
    <cfRule type="expression" dxfId="6256" priority="168">
      <formula>B31=""</formula>
    </cfRule>
  </conditionalFormatting>
  <conditionalFormatting sqref="F43">
    <cfRule type="expression" dxfId="6255" priority="166">
      <formula>B43=""</formula>
    </cfRule>
  </conditionalFormatting>
  <conditionalFormatting sqref="F44">
    <cfRule type="expression" dxfId="6254" priority="165">
      <formula>B44=""</formula>
    </cfRule>
  </conditionalFormatting>
  <conditionalFormatting sqref="F45">
    <cfRule type="expression" dxfId="6253" priority="164">
      <formula>B45=""</formula>
    </cfRule>
  </conditionalFormatting>
  <conditionalFormatting sqref="F46">
    <cfRule type="expression" dxfId="6252" priority="163">
      <formula>B46=""</formula>
    </cfRule>
  </conditionalFormatting>
  <conditionalFormatting sqref="F47">
    <cfRule type="expression" dxfId="6251" priority="162">
      <formula>B47=""</formula>
    </cfRule>
  </conditionalFormatting>
  <conditionalFormatting sqref="F48">
    <cfRule type="expression" dxfId="6250" priority="161">
      <formula>B48=""</formula>
    </cfRule>
  </conditionalFormatting>
  <conditionalFormatting sqref="F49">
    <cfRule type="expression" dxfId="6249" priority="160">
      <formula>B49=""</formula>
    </cfRule>
  </conditionalFormatting>
  <conditionalFormatting sqref="C52:C71">
    <cfRule type="expression" dxfId="6248" priority="159">
      <formula>B52=""</formula>
    </cfRule>
  </conditionalFormatting>
  <conditionalFormatting sqref="C53 C55 C57 C59 C61 C63 C65 C67 C69 C71">
    <cfRule type="expression" dxfId="6247" priority="158">
      <formula>B53=""</formula>
    </cfRule>
  </conditionalFormatting>
  <conditionalFormatting sqref="C54:C64">
    <cfRule type="expression" dxfId="6246" priority="157">
      <formula>B54=""</formula>
    </cfRule>
  </conditionalFormatting>
  <conditionalFormatting sqref="C65">
    <cfRule type="expression" dxfId="6245" priority="156">
      <formula>B65=""</formula>
    </cfRule>
  </conditionalFormatting>
  <conditionalFormatting sqref="C66">
    <cfRule type="expression" dxfId="6244" priority="155">
      <formula>B66=""</formula>
    </cfRule>
  </conditionalFormatting>
  <conditionalFormatting sqref="C67">
    <cfRule type="expression" dxfId="6243" priority="154">
      <formula>B67=""</formula>
    </cfRule>
  </conditionalFormatting>
  <conditionalFormatting sqref="C68">
    <cfRule type="expression" dxfId="6242" priority="153">
      <formula>B68=""</formula>
    </cfRule>
  </conditionalFormatting>
  <conditionalFormatting sqref="C69">
    <cfRule type="expression" dxfId="6241" priority="152">
      <formula>B69=""</formula>
    </cfRule>
  </conditionalFormatting>
  <conditionalFormatting sqref="C70">
    <cfRule type="expression" dxfId="6240" priority="151">
      <formula>B70=""</formula>
    </cfRule>
  </conditionalFormatting>
  <conditionalFormatting sqref="C71">
    <cfRule type="expression" dxfId="6239" priority="150">
      <formula>B71=""</formula>
    </cfRule>
  </conditionalFormatting>
  <conditionalFormatting sqref="C71">
    <cfRule type="expression" dxfId="6238" priority="149">
      <formula>B71=""</formula>
    </cfRule>
  </conditionalFormatting>
  <conditionalFormatting sqref="C52:C71">
    <cfRule type="expression" dxfId="6237" priority="148">
      <formula>B52=""</formula>
    </cfRule>
  </conditionalFormatting>
  <conditionalFormatting sqref="C53 C55 C57 C59 C61 C63 C65 C67 C69 C71">
    <cfRule type="expression" dxfId="6236" priority="147">
      <formula>B53=""</formula>
    </cfRule>
  </conditionalFormatting>
  <conditionalFormatting sqref="C54:C64">
    <cfRule type="expression" dxfId="6235" priority="146">
      <formula>B54=""</formula>
    </cfRule>
  </conditionalFormatting>
  <conditionalFormatting sqref="C65">
    <cfRule type="expression" dxfId="6234" priority="145">
      <formula>B65=""</formula>
    </cfRule>
  </conditionalFormatting>
  <conditionalFormatting sqref="C66">
    <cfRule type="expression" dxfId="6233" priority="144">
      <formula>B66=""</formula>
    </cfRule>
  </conditionalFormatting>
  <conditionalFormatting sqref="C67">
    <cfRule type="expression" dxfId="6232" priority="143">
      <formula>B67=""</formula>
    </cfRule>
  </conditionalFormatting>
  <conditionalFormatting sqref="C68">
    <cfRule type="expression" dxfId="6231" priority="142">
      <formula>B68=""</formula>
    </cfRule>
  </conditionalFormatting>
  <conditionalFormatting sqref="C69">
    <cfRule type="expression" dxfId="6230" priority="141">
      <formula>B69=""</formula>
    </cfRule>
  </conditionalFormatting>
  <conditionalFormatting sqref="C70">
    <cfRule type="expression" dxfId="6229" priority="140">
      <formula>B70=""</formula>
    </cfRule>
  </conditionalFormatting>
  <conditionalFormatting sqref="C71">
    <cfRule type="expression" dxfId="6228" priority="139">
      <formula>B71=""</formula>
    </cfRule>
  </conditionalFormatting>
  <conditionalFormatting sqref="C52:C71">
    <cfRule type="expression" dxfId="6227" priority="138">
      <formula>B52=""</formula>
    </cfRule>
  </conditionalFormatting>
  <conditionalFormatting sqref="C53 C55 C57 C59 C61 C63 C65 C67 C69 C71">
    <cfRule type="expression" dxfId="6226" priority="137">
      <formula>B53=""</formula>
    </cfRule>
  </conditionalFormatting>
  <conditionalFormatting sqref="C54:C64">
    <cfRule type="expression" dxfId="6225" priority="136">
      <formula>B54=""</formula>
    </cfRule>
  </conditionalFormatting>
  <conditionalFormatting sqref="C65">
    <cfRule type="expression" dxfId="6224" priority="135">
      <formula>B65=""</formula>
    </cfRule>
  </conditionalFormatting>
  <conditionalFormatting sqref="C66">
    <cfRule type="expression" dxfId="6223" priority="134">
      <formula>B66=""</formula>
    </cfRule>
  </conditionalFormatting>
  <conditionalFormatting sqref="C67">
    <cfRule type="expression" dxfId="6222" priority="133">
      <formula>B67=""</formula>
    </cfRule>
  </conditionalFormatting>
  <conditionalFormatting sqref="C68">
    <cfRule type="expression" dxfId="6221" priority="132">
      <formula>B68=""</formula>
    </cfRule>
  </conditionalFormatting>
  <conditionalFormatting sqref="C69">
    <cfRule type="expression" dxfId="6220" priority="131">
      <formula>B69=""</formula>
    </cfRule>
  </conditionalFormatting>
  <conditionalFormatting sqref="C70">
    <cfRule type="expression" dxfId="6219" priority="130">
      <formula>B70=""</formula>
    </cfRule>
  </conditionalFormatting>
  <conditionalFormatting sqref="C71">
    <cfRule type="expression" dxfId="6218" priority="129">
      <formula>B71=""</formula>
    </cfRule>
  </conditionalFormatting>
  <conditionalFormatting sqref="C52:C71">
    <cfRule type="expression" dxfId="6217" priority="128">
      <formula>B52=""</formula>
    </cfRule>
  </conditionalFormatting>
  <conditionalFormatting sqref="C53 C55 C57 C59 C61 C63 C65 C67 C69 C71">
    <cfRule type="expression" dxfId="6216" priority="127">
      <formula>B53=""</formula>
    </cfRule>
  </conditionalFormatting>
  <conditionalFormatting sqref="C54:C64">
    <cfRule type="expression" dxfId="6215" priority="126">
      <formula>B54=""</formula>
    </cfRule>
  </conditionalFormatting>
  <conditionalFormatting sqref="C65">
    <cfRule type="expression" dxfId="6214" priority="125">
      <formula>B65=""</formula>
    </cfRule>
  </conditionalFormatting>
  <conditionalFormatting sqref="C66">
    <cfRule type="expression" dxfId="6213" priority="124">
      <formula>B66=""</formula>
    </cfRule>
  </conditionalFormatting>
  <conditionalFormatting sqref="C67">
    <cfRule type="expression" dxfId="6212" priority="123">
      <formula>B67=""</formula>
    </cfRule>
  </conditionalFormatting>
  <conditionalFormatting sqref="C68">
    <cfRule type="expression" dxfId="6211" priority="122">
      <formula>B68=""</formula>
    </cfRule>
  </conditionalFormatting>
  <conditionalFormatting sqref="C69">
    <cfRule type="expression" dxfId="6210" priority="121">
      <formula>B69=""</formula>
    </cfRule>
  </conditionalFormatting>
  <conditionalFormatting sqref="C70">
    <cfRule type="expression" dxfId="6209" priority="120">
      <formula>B70=""</formula>
    </cfRule>
  </conditionalFormatting>
  <conditionalFormatting sqref="C71">
    <cfRule type="expression" dxfId="6208" priority="119">
      <formula>B71=""</formula>
    </cfRule>
  </conditionalFormatting>
  <conditionalFormatting sqref="C52 C54 C56 C58 C60 C62 C64 C66 C68 C70">
    <cfRule type="expression" dxfId="6207" priority="118">
      <formula>B52=""</formula>
    </cfRule>
  </conditionalFormatting>
  <conditionalFormatting sqref="C53 C55 C57 C59 C61 C63 C65 C67 C69 C71">
    <cfRule type="expression" dxfId="6206" priority="117">
      <formula>B53=""</formula>
    </cfRule>
  </conditionalFormatting>
  <conditionalFormatting sqref="C54:C64">
    <cfRule type="expression" dxfId="6205" priority="116">
      <formula>B54=""</formula>
    </cfRule>
  </conditionalFormatting>
  <conditionalFormatting sqref="C65">
    <cfRule type="expression" dxfId="6204" priority="115">
      <formula>B65=""</formula>
    </cfRule>
  </conditionalFormatting>
  <conditionalFormatting sqref="C66">
    <cfRule type="expression" dxfId="6203" priority="114">
      <formula>B66=""</formula>
    </cfRule>
  </conditionalFormatting>
  <conditionalFormatting sqref="C67">
    <cfRule type="expression" dxfId="6202" priority="113">
      <formula>B67=""</formula>
    </cfRule>
  </conditionalFormatting>
  <conditionalFormatting sqref="C68">
    <cfRule type="expression" dxfId="6201" priority="112">
      <formula>B68=""</formula>
    </cfRule>
  </conditionalFormatting>
  <conditionalFormatting sqref="C69">
    <cfRule type="expression" dxfId="6200" priority="111">
      <formula>B69=""</formula>
    </cfRule>
  </conditionalFormatting>
  <conditionalFormatting sqref="C70">
    <cfRule type="expression" dxfId="6199" priority="110">
      <formula>B70=""</formula>
    </cfRule>
  </conditionalFormatting>
  <conditionalFormatting sqref="C71">
    <cfRule type="expression" dxfId="6198" priority="109">
      <formula>B71=""</formula>
    </cfRule>
  </conditionalFormatting>
  <conditionalFormatting sqref="C74:C93">
    <cfRule type="expression" dxfId="6197" priority="108">
      <formula>B74=""</formula>
    </cfRule>
  </conditionalFormatting>
  <conditionalFormatting sqref="C75 C77 C79 C81 C83 C85 C87 C89 C91 C93">
    <cfRule type="expression" dxfId="6196" priority="107">
      <formula>B75=""</formula>
    </cfRule>
  </conditionalFormatting>
  <conditionalFormatting sqref="C76:C86">
    <cfRule type="expression" dxfId="6195" priority="106">
      <formula>B76=""</formula>
    </cfRule>
  </conditionalFormatting>
  <conditionalFormatting sqref="C87">
    <cfRule type="expression" dxfId="6194" priority="105">
      <formula>B87=""</formula>
    </cfRule>
  </conditionalFormatting>
  <conditionalFormatting sqref="C88">
    <cfRule type="expression" dxfId="6193" priority="104">
      <formula>B88=""</formula>
    </cfRule>
  </conditionalFormatting>
  <conditionalFormatting sqref="C89">
    <cfRule type="expression" dxfId="6192" priority="103">
      <formula>B89=""</formula>
    </cfRule>
  </conditionalFormatting>
  <conditionalFormatting sqref="C90">
    <cfRule type="expression" dxfId="6191" priority="102">
      <formula>B90=""</formula>
    </cfRule>
  </conditionalFormatting>
  <conditionalFormatting sqref="C91">
    <cfRule type="expression" dxfId="6190" priority="101">
      <formula>B91=""</formula>
    </cfRule>
  </conditionalFormatting>
  <conditionalFormatting sqref="C92">
    <cfRule type="expression" dxfId="6189" priority="100">
      <formula>B92=""</formula>
    </cfRule>
  </conditionalFormatting>
  <conditionalFormatting sqref="C93">
    <cfRule type="expression" dxfId="6188" priority="99">
      <formula>B93=""</formula>
    </cfRule>
  </conditionalFormatting>
  <conditionalFormatting sqref="C93">
    <cfRule type="expression" dxfId="6187" priority="98">
      <formula>B93=""</formula>
    </cfRule>
  </conditionalFormatting>
  <conditionalFormatting sqref="C74:C93">
    <cfRule type="expression" dxfId="6186" priority="97">
      <formula>B74=""</formula>
    </cfRule>
  </conditionalFormatting>
  <conditionalFormatting sqref="C75 C77 C79 C81 C83 C85 C87 C89 C91 C93">
    <cfRule type="expression" dxfId="6185" priority="96">
      <formula>B75=""</formula>
    </cfRule>
  </conditionalFormatting>
  <conditionalFormatting sqref="C76:C86">
    <cfRule type="expression" dxfId="6184" priority="95">
      <formula>B76=""</formula>
    </cfRule>
  </conditionalFormatting>
  <conditionalFormatting sqref="C87">
    <cfRule type="expression" dxfId="6183" priority="94">
      <formula>B87=""</formula>
    </cfRule>
  </conditionalFormatting>
  <conditionalFormatting sqref="C88">
    <cfRule type="expression" dxfId="6182" priority="93">
      <formula>B88=""</formula>
    </cfRule>
  </conditionalFormatting>
  <conditionalFormatting sqref="C89">
    <cfRule type="expression" dxfId="6181" priority="92">
      <formula>B89=""</formula>
    </cfRule>
  </conditionalFormatting>
  <conditionalFormatting sqref="C90">
    <cfRule type="expression" dxfId="6180" priority="91">
      <formula>B90=""</formula>
    </cfRule>
  </conditionalFormatting>
  <conditionalFormatting sqref="C91">
    <cfRule type="expression" dxfId="6179" priority="90">
      <formula>B91=""</formula>
    </cfRule>
  </conditionalFormatting>
  <conditionalFormatting sqref="C92">
    <cfRule type="expression" dxfId="6178" priority="89">
      <formula>B92=""</formula>
    </cfRule>
  </conditionalFormatting>
  <conditionalFormatting sqref="C93">
    <cfRule type="expression" dxfId="6177" priority="88">
      <formula>B93=""</formula>
    </cfRule>
  </conditionalFormatting>
  <conditionalFormatting sqref="C74:C93">
    <cfRule type="expression" dxfId="6176" priority="87">
      <formula>B74=""</formula>
    </cfRule>
  </conditionalFormatting>
  <conditionalFormatting sqref="C75 C77 C79 C81 C83 C85 C87 C89 C91 C93">
    <cfRule type="expression" dxfId="6175" priority="86">
      <formula>B75=""</formula>
    </cfRule>
  </conditionalFormatting>
  <conditionalFormatting sqref="C76:C86">
    <cfRule type="expression" dxfId="6174" priority="85">
      <formula>B76=""</formula>
    </cfRule>
  </conditionalFormatting>
  <conditionalFormatting sqref="C87">
    <cfRule type="expression" dxfId="6173" priority="84">
      <formula>B87=""</formula>
    </cfRule>
  </conditionalFormatting>
  <conditionalFormatting sqref="C88">
    <cfRule type="expression" dxfId="6172" priority="83">
      <formula>B88=""</formula>
    </cfRule>
  </conditionalFormatting>
  <conditionalFormatting sqref="C89">
    <cfRule type="expression" dxfId="6171" priority="82">
      <formula>B89=""</formula>
    </cfRule>
  </conditionalFormatting>
  <conditionalFormatting sqref="C90">
    <cfRule type="expression" dxfId="6170" priority="81">
      <formula>B90=""</formula>
    </cfRule>
  </conditionalFormatting>
  <conditionalFormatting sqref="C91">
    <cfRule type="expression" dxfId="6169" priority="80">
      <formula>B91=""</formula>
    </cfRule>
  </conditionalFormatting>
  <conditionalFormatting sqref="C92">
    <cfRule type="expression" dxfId="6168" priority="79">
      <formula>B92=""</formula>
    </cfRule>
  </conditionalFormatting>
  <conditionalFormatting sqref="C93">
    <cfRule type="expression" dxfId="6167" priority="78">
      <formula>B93=""</formula>
    </cfRule>
  </conditionalFormatting>
  <conditionalFormatting sqref="C93">
    <cfRule type="expression" dxfId="6166" priority="77">
      <formula>B93=""</formula>
    </cfRule>
  </conditionalFormatting>
  <conditionalFormatting sqref="C74:C93">
    <cfRule type="expression" dxfId="6165" priority="76">
      <formula>B74=""</formula>
    </cfRule>
  </conditionalFormatting>
  <conditionalFormatting sqref="C75 C77 C79 C81 C83 C85 C87 C89 C91 C93">
    <cfRule type="expression" dxfId="6164" priority="75">
      <formula>B75=""</formula>
    </cfRule>
  </conditionalFormatting>
  <conditionalFormatting sqref="C76:C86">
    <cfRule type="expression" dxfId="6163" priority="74">
      <formula>B76=""</formula>
    </cfRule>
  </conditionalFormatting>
  <conditionalFormatting sqref="C87">
    <cfRule type="expression" dxfId="6162" priority="73">
      <formula>B87=""</formula>
    </cfRule>
  </conditionalFormatting>
  <conditionalFormatting sqref="C88">
    <cfRule type="expression" dxfId="6161" priority="72">
      <formula>B88=""</formula>
    </cfRule>
  </conditionalFormatting>
  <conditionalFormatting sqref="C89">
    <cfRule type="expression" dxfId="6160" priority="71">
      <formula>B89=""</formula>
    </cfRule>
  </conditionalFormatting>
  <conditionalFormatting sqref="C90">
    <cfRule type="expression" dxfId="6159" priority="70">
      <formula>B90=""</formula>
    </cfRule>
  </conditionalFormatting>
  <conditionalFormatting sqref="C91">
    <cfRule type="expression" dxfId="6158" priority="69">
      <formula>B91=""</formula>
    </cfRule>
  </conditionalFormatting>
  <conditionalFormatting sqref="C92">
    <cfRule type="expression" dxfId="6157" priority="68">
      <formula>B92=""</formula>
    </cfRule>
  </conditionalFormatting>
  <conditionalFormatting sqref="C93">
    <cfRule type="expression" dxfId="6156" priority="67">
      <formula>B93=""</formula>
    </cfRule>
  </conditionalFormatting>
  <conditionalFormatting sqref="C74:C93">
    <cfRule type="expression" dxfId="6155" priority="66">
      <formula>B74=""</formula>
    </cfRule>
  </conditionalFormatting>
  <conditionalFormatting sqref="C75 C77 C79 C81 C83 C85 C87 C89 C91 C93">
    <cfRule type="expression" dxfId="6154" priority="65">
      <formula>B75=""</formula>
    </cfRule>
  </conditionalFormatting>
  <conditionalFormatting sqref="C76:C86">
    <cfRule type="expression" dxfId="6153" priority="64">
      <formula>B76=""</formula>
    </cfRule>
  </conditionalFormatting>
  <conditionalFormatting sqref="C87">
    <cfRule type="expression" dxfId="6152" priority="63">
      <formula>B87=""</formula>
    </cfRule>
  </conditionalFormatting>
  <conditionalFormatting sqref="C88">
    <cfRule type="expression" dxfId="6151" priority="62">
      <formula>B88=""</formula>
    </cfRule>
  </conditionalFormatting>
  <conditionalFormatting sqref="C89">
    <cfRule type="expression" dxfId="6150" priority="61">
      <formula>B89=""</formula>
    </cfRule>
  </conditionalFormatting>
  <conditionalFormatting sqref="C90">
    <cfRule type="expression" dxfId="6149" priority="60">
      <formula>B90=""</formula>
    </cfRule>
  </conditionalFormatting>
  <conditionalFormatting sqref="C91">
    <cfRule type="expression" dxfId="6148" priority="59">
      <formula>B91=""</formula>
    </cfRule>
  </conditionalFormatting>
  <conditionalFormatting sqref="C92">
    <cfRule type="expression" dxfId="6147" priority="58">
      <formula>B92=""</formula>
    </cfRule>
  </conditionalFormatting>
  <conditionalFormatting sqref="C93">
    <cfRule type="expression" dxfId="6146" priority="57">
      <formula>B93=""</formula>
    </cfRule>
  </conditionalFormatting>
  <conditionalFormatting sqref="C74:C93">
    <cfRule type="expression" dxfId="6145" priority="56">
      <formula>B74=""</formula>
    </cfRule>
  </conditionalFormatting>
  <conditionalFormatting sqref="C75 C77 C79 C81 C83 C85 C87 C89 C91 C93">
    <cfRule type="expression" dxfId="6144" priority="55">
      <formula>B75=""</formula>
    </cfRule>
  </conditionalFormatting>
  <conditionalFormatting sqref="C76:C86">
    <cfRule type="expression" dxfId="6143" priority="54">
      <formula>B76=""</formula>
    </cfRule>
  </conditionalFormatting>
  <conditionalFormatting sqref="C87">
    <cfRule type="expression" dxfId="6142" priority="53">
      <formula>B87=""</formula>
    </cfRule>
  </conditionalFormatting>
  <conditionalFormatting sqref="C88">
    <cfRule type="expression" dxfId="6141" priority="52">
      <formula>B88=""</formula>
    </cfRule>
  </conditionalFormatting>
  <conditionalFormatting sqref="C89">
    <cfRule type="expression" dxfId="6140" priority="51">
      <formula>B89=""</formula>
    </cfRule>
  </conditionalFormatting>
  <conditionalFormatting sqref="C90">
    <cfRule type="expression" dxfId="6139" priority="50">
      <formula>B90=""</formula>
    </cfRule>
  </conditionalFormatting>
  <conditionalFormatting sqref="C91">
    <cfRule type="expression" dxfId="6138" priority="49">
      <formula>B91=""</formula>
    </cfRule>
  </conditionalFormatting>
  <conditionalFormatting sqref="C92">
    <cfRule type="expression" dxfId="6137" priority="48">
      <formula>B92=""</formula>
    </cfRule>
  </conditionalFormatting>
  <conditionalFormatting sqref="C93">
    <cfRule type="expression" dxfId="6136" priority="47">
      <formula>B93=""</formula>
    </cfRule>
  </conditionalFormatting>
  <conditionalFormatting sqref="C74 C76 C78 C80 C82 C84 C86 C88 C90 C92">
    <cfRule type="expression" dxfId="6135" priority="46">
      <formula>B74=""</formula>
    </cfRule>
  </conditionalFormatting>
  <conditionalFormatting sqref="C75 C77 C79 C81 C83 C85 C87 C89 C91 C93">
    <cfRule type="expression" dxfId="6134" priority="45">
      <formula>B75=""</formula>
    </cfRule>
  </conditionalFormatting>
  <conditionalFormatting sqref="C76:C86">
    <cfRule type="expression" dxfId="6133" priority="44">
      <formula>B76=""</formula>
    </cfRule>
  </conditionalFormatting>
  <conditionalFormatting sqref="C87">
    <cfRule type="expression" dxfId="6132" priority="43">
      <formula>B87=""</formula>
    </cfRule>
  </conditionalFormatting>
  <conditionalFormatting sqref="C88">
    <cfRule type="expression" dxfId="6131" priority="42">
      <formula>B88=""</formula>
    </cfRule>
  </conditionalFormatting>
  <conditionalFormatting sqref="C89">
    <cfRule type="expression" dxfId="6130" priority="41">
      <formula>B89=""</formula>
    </cfRule>
  </conditionalFormatting>
  <conditionalFormatting sqref="C90">
    <cfRule type="expression" dxfId="6129" priority="40">
      <formula>B90=""</formula>
    </cfRule>
  </conditionalFormatting>
  <conditionalFormatting sqref="C91">
    <cfRule type="expression" dxfId="6128" priority="39">
      <formula>B91=""</formula>
    </cfRule>
  </conditionalFormatting>
  <conditionalFormatting sqref="C92">
    <cfRule type="expression" dxfId="6127" priority="38">
      <formula>B92=""</formula>
    </cfRule>
  </conditionalFormatting>
  <conditionalFormatting sqref="C93">
    <cfRule type="expression" dxfId="6126" priority="37">
      <formula>B93=""</formula>
    </cfRule>
  </conditionalFormatting>
  <conditionalFormatting sqref="C8:C27">
    <cfRule type="expression" dxfId="6125" priority="35">
      <formula>B8=""</formula>
    </cfRule>
  </conditionalFormatting>
  <conditionalFormatting sqref="C9 C11 C13 C15 C17 C19 C21 C23 C25 C27">
    <cfRule type="expression" dxfId="6124" priority="34">
      <formula>B9=""</formula>
    </cfRule>
  </conditionalFormatting>
  <conditionalFormatting sqref="C8:C27">
    <cfRule type="expression" dxfId="6123" priority="33">
      <formula>B8=""</formula>
    </cfRule>
  </conditionalFormatting>
  <conditionalFormatting sqref="C9 C11 C13 C15 C17 C19 C21 C23 C25 C27">
    <cfRule type="expression" dxfId="6122" priority="32">
      <formula>B9=""</formula>
    </cfRule>
  </conditionalFormatting>
  <conditionalFormatting sqref="C8 C10 C12 C14 C16 C18 C20 C22 C24 C26">
    <cfRule type="expression" dxfId="6121" priority="31">
      <formula>B8=""</formula>
    </cfRule>
  </conditionalFormatting>
  <conditionalFormatting sqref="C9 C11 C13 C15 C17 C19 C21 C23 C25 C27">
    <cfRule type="expression" dxfId="6120" priority="30">
      <formula>B9=""</formula>
    </cfRule>
  </conditionalFormatting>
  <conditionalFormatting sqref="C8:C27">
    <cfRule type="expression" dxfId="6119" priority="28">
      <formula>B8=""</formula>
    </cfRule>
  </conditionalFormatting>
  <conditionalFormatting sqref="C9 C11 C13 C15 C17 C19 C21 C23 C25 C27">
    <cfRule type="expression" dxfId="6118" priority="27">
      <formula>B9=""</formula>
    </cfRule>
  </conditionalFormatting>
  <conditionalFormatting sqref="C9 C11 C13 C15 C17 C19 C21 C23 C25 C27">
    <cfRule type="expression" dxfId="6117" priority="26">
      <formula>B9=""</formula>
    </cfRule>
  </conditionalFormatting>
  <conditionalFormatting sqref="C8 C10 C12 C14 C16 C18 C20 C22 C24 C26">
    <cfRule type="expression" dxfId="6116" priority="25">
      <formula>B8=""</formula>
    </cfRule>
  </conditionalFormatting>
  <conditionalFormatting sqref="C9 C11 C13 C15 C17 C19 C21 C23 C25 C27">
    <cfRule type="expression" dxfId="6115" priority="24">
      <formula>B9=""</formula>
    </cfRule>
  </conditionalFormatting>
  <conditionalFormatting sqref="C8:C27">
    <cfRule type="expression" dxfId="6114" priority="23">
      <formula>B8=""</formula>
    </cfRule>
  </conditionalFormatting>
  <conditionalFormatting sqref="C9 C11 C13 C15 C17 C19 C21 C23 C25 C27">
    <cfRule type="expression" dxfId="6113" priority="22">
      <formula>B9=""</formula>
    </cfRule>
  </conditionalFormatting>
  <conditionalFormatting sqref="C8:C27">
    <cfRule type="expression" dxfId="6112" priority="21">
      <formula>B8=""</formula>
    </cfRule>
  </conditionalFormatting>
  <conditionalFormatting sqref="C9 C11 C13 C15 C17 C19 C21 C23 C25 C27">
    <cfRule type="expression" dxfId="6111" priority="20">
      <formula>B9=""</formula>
    </cfRule>
  </conditionalFormatting>
  <conditionalFormatting sqref="C8:C27">
    <cfRule type="expression" dxfId="6110" priority="19">
      <formula>B8=""</formula>
    </cfRule>
  </conditionalFormatting>
  <conditionalFormatting sqref="C9 C11 C13 C15 C17 C19 C21 C23 C25 C27">
    <cfRule type="expression" dxfId="6109" priority="18">
      <formula>B9=""</formula>
    </cfRule>
  </conditionalFormatting>
  <conditionalFormatting sqref="E50">
    <cfRule type="expression" dxfId="6108" priority="16">
      <formula>B50=""</formula>
    </cfRule>
  </conditionalFormatting>
  <conditionalFormatting sqref="E50">
    <cfRule type="expression" dxfId="6107" priority="15">
      <formula>B50=""</formula>
    </cfRule>
  </conditionalFormatting>
  <conditionalFormatting sqref="E50">
    <cfRule type="expression" dxfId="6106" priority="14">
      <formula>B50=""</formula>
    </cfRule>
  </conditionalFormatting>
  <conditionalFormatting sqref="E50">
    <cfRule type="expression" dxfId="6105" priority="13">
      <formula>B50=""</formula>
    </cfRule>
  </conditionalFormatting>
  <conditionalFormatting sqref="E50">
    <cfRule type="expression" dxfId="6104" priority="12">
      <formula>B50=""</formula>
    </cfRule>
  </conditionalFormatting>
  <conditionalFormatting sqref="E50">
    <cfRule type="expression" dxfId="6103" priority="11">
      <formula>B50=""</formula>
    </cfRule>
  </conditionalFormatting>
  <conditionalFormatting sqref="E50">
    <cfRule type="expression" dxfId="6102" priority="10">
      <formula>B50=""</formula>
    </cfRule>
  </conditionalFormatting>
  <conditionalFormatting sqref="E50">
    <cfRule type="expression" dxfId="6101" priority="9">
      <formula>B50=""</formula>
    </cfRule>
  </conditionalFormatting>
  <conditionalFormatting sqref="E50">
    <cfRule type="expression" dxfId="6100" priority="8">
      <formula>B50=""</formula>
    </cfRule>
  </conditionalFormatting>
  <conditionalFormatting sqref="E50">
    <cfRule type="expression" dxfId="6099" priority="7">
      <formula>B50=""</formula>
    </cfRule>
  </conditionalFormatting>
  <conditionalFormatting sqref="E50">
    <cfRule type="expression" dxfId="6098" priority="6">
      <formula>B50=""</formula>
    </cfRule>
  </conditionalFormatting>
  <conditionalFormatting sqref="E50">
    <cfRule type="expression" dxfId="6097" priority="5">
      <formula>B50=""</formula>
    </cfRule>
  </conditionalFormatting>
  <conditionalFormatting sqref="E50">
    <cfRule type="expression" dxfId="6096" priority="4">
      <formula>B50=""</formula>
    </cfRule>
  </conditionalFormatting>
  <conditionalFormatting sqref="E50">
    <cfRule type="expression" dxfId="6095" priority="3">
      <formula>B50=""</formula>
    </cfRule>
  </conditionalFormatting>
  <conditionalFormatting sqref="E50">
    <cfRule type="expression" dxfId="6094" priority="2">
      <formula>B50=""</formula>
    </cfRule>
  </conditionalFormatting>
  <conditionalFormatting sqref="E50">
    <cfRule type="expression" dxfId="6093" priority="1">
      <formula>B50=""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30:E50 E8:E28 E74:E94" xr:uid="{00000000-0002-0000-06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8">
    <tabColor rgb="FFFF0000"/>
  </sheetPr>
  <dimension ref="B1:H96"/>
  <sheetViews>
    <sheetView workbookViewId="0"/>
  </sheetViews>
  <sheetFormatPr defaultRowHeight="1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140625" customWidth="1"/>
    <col min="8" max="8" width="17.140625" customWidth="1"/>
    <col min="10" max="10" width="14.7109375" customWidth="1"/>
  </cols>
  <sheetData>
    <row r="1" spans="2:8" ht="23.25">
      <c r="B1" s="214" t="str">
        <f>DATA!C1004</f>
        <v>NRA.N.011-050-2012/1F</v>
      </c>
      <c r="F1" s="214" t="str">
        <f>DATA!B1013</f>
        <v xml:space="preserve">Building </v>
      </c>
    </row>
    <row r="2" spans="2:8" ht="26.25">
      <c r="C2" s="232" t="str">
        <f>'All Hours'!D1</f>
        <v>PLEASE INSERT TENDERER NAME ON INPUT DATA SHEET</v>
      </c>
      <c r="E2" s="920" t="str">
        <f>IF(DATA!$D$1013="None","NOT USED IN THIS TENDER","")</f>
        <v>NOT USED IN THIS TENDER</v>
      </c>
    </row>
    <row r="3" spans="2:8">
      <c r="B3" t="str">
        <f>IF(DATA!D1013="None",DATA!B1013 &amp; " NOT SPECIFIED FOR THIS PROJECT", "")</f>
        <v>Building  NOT SPECIFIED FOR THIS PROJECT</v>
      </c>
      <c r="E3" s="232" t="str">
        <f>'Non Fee Hours'!E2</f>
        <v>ONLY INSERT KEY PERSONS HOURS, NOT ALTERNATES.</v>
      </c>
    </row>
    <row r="4" spans="2:8" ht="15.7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.75" thickBot="1">
      <c r="B5" s="2" t="s">
        <v>5</v>
      </c>
      <c r="C5" s="3"/>
      <c r="D5" s="12"/>
      <c r="E5" s="12"/>
      <c r="F5" s="15"/>
      <c r="G5" s="3"/>
      <c r="H5" s="4"/>
    </row>
    <row r="6" spans="2:8" ht="15.75" thickBot="1">
      <c r="B6" s="25" t="str">
        <f>DATA!B1013</f>
        <v xml:space="preserve">Building </v>
      </c>
      <c r="C6" s="26"/>
      <c r="D6" s="211" t="s">
        <v>6</v>
      </c>
      <c r="E6" s="27">
        <f>IF('SUMMARY TENDERED FEE'!C10="none",0,ROUND((E7*(F7/F73)+E29*(F29/F73)+E51*(F51/F73)+E73),2))</f>
        <v>0</v>
      </c>
      <c r="F6" s="28" t="str">
        <f>"Norm. Hours"</f>
        <v>Norm. Hours</v>
      </c>
      <c r="G6" s="913">
        <f>IF('SUMMARY TENDERED FEE'!C10="none",0,1)</f>
        <v>0</v>
      </c>
      <c r="H6" s="29">
        <f>IF('SUMMARY TENDERED FEE'!C10="none",0,SUM(H7:H94))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>DS3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.7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>DS3</v>
      </c>
      <c r="C32" s="59" t="str">
        <f t="shared" si="4"/>
        <v/>
      </c>
      <c r="D32" s="59"/>
      <c r="E32" s="895">
        <v>0</v>
      </c>
      <c r="F32" s="16">
        <f t="shared" ref="F32:F39" si="5">IF(B32="","",$F$29)</f>
        <v>2796</v>
      </c>
      <c r="G32" s="61">
        <f t="shared" si="3"/>
        <v>0</v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.7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>DS3</v>
      </c>
      <c r="C54" s="59" t="str">
        <f t="shared" si="16"/>
        <v/>
      </c>
      <c r="D54" s="5"/>
      <c r="E54" s="899">
        <v>0</v>
      </c>
      <c r="F54" s="16">
        <f t="shared" ref="F54:F61" si="17">IF(B54="","",$F$51)</f>
        <v>2403</v>
      </c>
      <c r="G54" s="6">
        <f t="shared" si="15"/>
        <v>0</v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.7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>DS3</v>
      </c>
      <c r="C76" s="59" t="str">
        <f t="shared" si="27"/>
        <v/>
      </c>
      <c r="D76" s="5"/>
      <c r="E76" s="899">
        <v>0</v>
      </c>
      <c r="F76" s="16">
        <f t="shared" ref="F76:F83" si="28">IF(B76="","",$F$73)</f>
        <v>1167</v>
      </c>
      <c r="G76" s="6">
        <f t="shared" si="26"/>
        <v>0</v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.7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989</v>
      </c>
      <c r="C96" s="1" t="s">
        <v>990</v>
      </c>
    </row>
  </sheetData>
  <sheetProtection algorithmName="SHA-512" hashValue="Nwof7wevikwUb7AGEzhR412l2D8MhYfIJUZxbHzbF30PvfGRY2aVdF9mn3mPhwMBncS045hjFos+kvXVYmMeag==" saltValue="3zFudn68eg1AaDcIAxsvMw==" spinCount="100000" sheet="1" objects="1" scenarios="1"/>
  <conditionalFormatting sqref="B8:B28 B30:B50 B52:B72 B74:B94">
    <cfRule type="containsBlanks" dxfId="6092" priority="736">
      <formula>LEN(TRIM(B8))=0</formula>
    </cfRule>
  </conditionalFormatting>
  <conditionalFormatting sqref="C8:C27">
    <cfRule type="expression" dxfId="6091" priority="735">
      <formula>B8=""</formula>
    </cfRule>
  </conditionalFormatting>
  <conditionalFormatting sqref="C9 C11 C13 C15 C17 C19 C21 C23 C25 C27">
    <cfRule type="expression" dxfId="6090" priority="734">
      <formula>B9=""</formula>
    </cfRule>
  </conditionalFormatting>
  <conditionalFormatting sqref="C10:C20">
    <cfRule type="expression" dxfId="6089" priority="733">
      <formula>B10=""</formula>
    </cfRule>
  </conditionalFormatting>
  <conditionalFormatting sqref="C21">
    <cfRule type="expression" dxfId="6088" priority="732">
      <formula>B21=""</formula>
    </cfRule>
  </conditionalFormatting>
  <conditionalFormatting sqref="C22">
    <cfRule type="expression" dxfId="6087" priority="731">
      <formula>B22=""</formula>
    </cfRule>
  </conditionalFormatting>
  <conditionalFormatting sqref="C23">
    <cfRule type="expression" dxfId="6086" priority="730">
      <formula>B23=""</formula>
    </cfRule>
  </conditionalFormatting>
  <conditionalFormatting sqref="C24">
    <cfRule type="expression" dxfId="6085" priority="729">
      <formula>B24=""</formula>
    </cfRule>
  </conditionalFormatting>
  <conditionalFormatting sqref="C25">
    <cfRule type="expression" dxfId="6084" priority="728">
      <formula>B25=""</formula>
    </cfRule>
  </conditionalFormatting>
  <conditionalFormatting sqref="C26">
    <cfRule type="expression" dxfId="6083" priority="727">
      <formula>B26=""</formula>
    </cfRule>
  </conditionalFormatting>
  <conditionalFormatting sqref="C27">
    <cfRule type="expression" dxfId="6082" priority="726">
      <formula>B27=""</formula>
    </cfRule>
  </conditionalFormatting>
  <conditionalFormatting sqref="C28">
    <cfRule type="expression" dxfId="6081" priority="725">
      <formula>B28=""</formula>
    </cfRule>
  </conditionalFormatting>
  <conditionalFormatting sqref="D8 D10 D12 D14 D16 D18 D20 D22 D24 D26">
    <cfRule type="expression" dxfId="6080" priority="724">
      <formula>B8=""</formula>
    </cfRule>
  </conditionalFormatting>
  <conditionalFormatting sqref="D9 D11 D13 D15 D17 D19 D21 D23 D25 D27">
    <cfRule type="expression" dxfId="6079" priority="723">
      <formula>B9=""</formula>
    </cfRule>
  </conditionalFormatting>
  <conditionalFormatting sqref="D10:D20">
    <cfRule type="expression" dxfId="6078" priority="722">
      <formula>B10=""</formula>
    </cfRule>
  </conditionalFormatting>
  <conditionalFormatting sqref="D21">
    <cfRule type="expression" dxfId="6077" priority="721">
      <formula>B21=""</formula>
    </cfRule>
  </conditionalFormatting>
  <conditionalFormatting sqref="D22">
    <cfRule type="expression" dxfId="6076" priority="720">
      <formula>B22=""</formula>
    </cfRule>
  </conditionalFormatting>
  <conditionalFormatting sqref="D23">
    <cfRule type="expression" dxfId="6075" priority="719">
      <formula>B23=""</formula>
    </cfRule>
  </conditionalFormatting>
  <conditionalFormatting sqref="D24">
    <cfRule type="expression" dxfId="6074" priority="718">
      <formula>B24=""</formula>
    </cfRule>
  </conditionalFormatting>
  <conditionalFormatting sqref="D25">
    <cfRule type="expression" dxfId="6073" priority="717">
      <formula>B25=""</formula>
    </cfRule>
  </conditionalFormatting>
  <conditionalFormatting sqref="D26">
    <cfRule type="expression" dxfId="6072" priority="716">
      <formula>B26=""</formula>
    </cfRule>
  </conditionalFormatting>
  <conditionalFormatting sqref="D27">
    <cfRule type="expression" dxfId="6071" priority="715">
      <formula>B27=""</formula>
    </cfRule>
  </conditionalFormatting>
  <conditionalFormatting sqref="D28">
    <cfRule type="expression" dxfId="6070" priority="714">
      <formula>B28=""</formula>
    </cfRule>
  </conditionalFormatting>
  <conditionalFormatting sqref="E8 E10 E12 E14 E16 E18 E20 E22 E24 E26">
    <cfRule type="expression" dxfId="6069" priority="713">
      <formula>B8=""</formula>
    </cfRule>
  </conditionalFormatting>
  <conditionalFormatting sqref="E9 E11 E13 E15 E17 E19 E21 E23 E25 E27">
    <cfRule type="expression" dxfId="6068" priority="712">
      <formula>B9=""</formula>
    </cfRule>
  </conditionalFormatting>
  <conditionalFormatting sqref="E10:E20">
    <cfRule type="expression" dxfId="6067" priority="711">
      <formula>B10=""</formula>
    </cfRule>
  </conditionalFormatting>
  <conditionalFormatting sqref="E21">
    <cfRule type="expression" dxfId="6066" priority="710">
      <formula>B21=""</formula>
    </cfRule>
  </conditionalFormatting>
  <conditionalFormatting sqref="E22">
    <cfRule type="expression" dxfId="6065" priority="709">
      <formula>B22=""</formula>
    </cfRule>
  </conditionalFormatting>
  <conditionalFormatting sqref="E23">
    <cfRule type="expression" dxfId="6064" priority="708">
      <formula>B23=""</formula>
    </cfRule>
  </conditionalFormatting>
  <conditionalFormatting sqref="E24">
    <cfRule type="expression" dxfId="6063" priority="707">
      <formula>B24=""</formula>
    </cfRule>
  </conditionalFormatting>
  <conditionalFormatting sqref="E25">
    <cfRule type="expression" dxfId="6062" priority="706">
      <formula>B25=""</formula>
    </cfRule>
  </conditionalFormatting>
  <conditionalFormatting sqref="E26">
    <cfRule type="expression" dxfId="6061" priority="705">
      <formula>B26=""</formula>
    </cfRule>
  </conditionalFormatting>
  <conditionalFormatting sqref="E27">
    <cfRule type="expression" dxfId="6060" priority="704">
      <formula>B27=""</formula>
    </cfRule>
  </conditionalFormatting>
  <conditionalFormatting sqref="E28">
    <cfRule type="expression" dxfId="6059" priority="703">
      <formula>B28=""</formula>
    </cfRule>
  </conditionalFormatting>
  <conditionalFormatting sqref="F8 F10 F12 F14 F16 F18 F20 F22 F24 F26">
    <cfRule type="expression" dxfId="6058" priority="702">
      <formula>B8=""</formula>
    </cfRule>
  </conditionalFormatting>
  <conditionalFormatting sqref="F9 F11 F13 F15 F17 F19 F21 F23 F25 F27">
    <cfRule type="expression" dxfId="6057" priority="701">
      <formula>B9=""</formula>
    </cfRule>
  </conditionalFormatting>
  <conditionalFormatting sqref="F10:F20">
    <cfRule type="expression" dxfId="6056" priority="700">
      <formula>B10=""</formula>
    </cfRule>
  </conditionalFormatting>
  <conditionalFormatting sqref="F21">
    <cfRule type="expression" dxfId="6055" priority="699">
      <formula>B21=""</formula>
    </cfRule>
  </conditionalFormatting>
  <conditionalFormatting sqref="F22">
    <cfRule type="expression" dxfId="6054" priority="698">
      <formula>B22=""</formula>
    </cfRule>
  </conditionalFormatting>
  <conditionalFormatting sqref="F23">
    <cfRule type="expression" dxfId="6053" priority="697">
      <formula>B23=""</formula>
    </cfRule>
  </conditionalFormatting>
  <conditionalFormatting sqref="F24">
    <cfRule type="expression" dxfId="6052" priority="696">
      <formula>B24=""</formula>
    </cfRule>
  </conditionalFormatting>
  <conditionalFormatting sqref="F25">
    <cfRule type="expression" dxfId="6051" priority="695">
      <formula>B25=""</formula>
    </cfRule>
  </conditionalFormatting>
  <conditionalFormatting sqref="F26">
    <cfRule type="expression" dxfId="6050" priority="694">
      <formula>B26=""</formula>
    </cfRule>
  </conditionalFormatting>
  <conditionalFormatting sqref="F27">
    <cfRule type="expression" dxfId="6049" priority="693">
      <formula>B27=""</formula>
    </cfRule>
  </conditionalFormatting>
  <conditionalFormatting sqref="F28">
    <cfRule type="expression" dxfId="6048" priority="692">
      <formula>B28=""</formula>
    </cfRule>
  </conditionalFormatting>
  <conditionalFormatting sqref="E9 E11 E13 E15 E17 E19 E21 E23 E25 E27">
    <cfRule type="expression" dxfId="6047" priority="691">
      <formula>B9=""</formula>
    </cfRule>
  </conditionalFormatting>
  <conditionalFormatting sqref="E10:E20">
    <cfRule type="expression" dxfId="6046" priority="690">
      <formula>B10=""</formula>
    </cfRule>
  </conditionalFormatting>
  <conditionalFormatting sqref="E21">
    <cfRule type="expression" dxfId="6045" priority="689">
      <formula>B21=""</formula>
    </cfRule>
  </conditionalFormatting>
  <conditionalFormatting sqref="E22">
    <cfRule type="expression" dxfId="6044" priority="688">
      <formula>B22=""</formula>
    </cfRule>
  </conditionalFormatting>
  <conditionalFormatting sqref="E23">
    <cfRule type="expression" dxfId="6043" priority="687">
      <formula>B23=""</formula>
    </cfRule>
  </conditionalFormatting>
  <conditionalFormatting sqref="E24">
    <cfRule type="expression" dxfId="6042" priority="686">
      <formula>B24=""</formula>
    </cfRule>
  </conditionalFormatting>
  <conditionalFormatting sqref="E25">
    <cfRule type="expression" dxfId="6041" priority="685">
      <formula>B25=""</formula>
    </cfRule>
  </conditionalFormatting>
  <conditionalFormatting sqref="E26">
    <cfRule type="expression" dxfId="6040" priority="684">
      <formula>B26=""</formula>
    </cfRule>
  </conditionalFormatting>
  <conditionalFormatting sqref="E27">
    <cfRule type="expression" dxfId="6039" priority="683">
      <formula>B27=""</formula>
    </cfRule>
  </conditionalFormatting>
  <conditionalFormatting sqref="E28">
    <cfRule type="expression" dxfId="6038" priority="682">
      <formula>B28=""</formula>
    </cfRule>
  </conditionalFormatting>
  <conditionalFormatting sqref="G8 G10 G12 G14 G16 G18 G20 G22 G24 G26">
    <cfRule type="expression" dxfId="6037" priority="681">
      <formula>B8=""</formula>
    </cfRule>
  </conditionalFormatting>
  <conditionalFormatting sqref="G9 G11 G13 G15 G17 G19 G21 G23 G25 G27">
    <cfRule type="expression" dxfId="6036" priority="680">
      <formula>B9=""</formula>
    </cfRule>
  </conditionalFormatting>
  <conditionalFormatting sqref="G10:G20">
    <cfRule type="expression" dxfId="6035" priority="679">
      <formula>B10=""</formula>
    </cfRule>
  </conditionalFormatting>
  <conditionalFormatting sqref="G21">
    <cfRule type="expression" dxfId="6034" priority="678">
      <formula>B21=""</formula>
    </cfRule>
  </conditionalFormatting>
  <conditionalFormatting sqref="G22">
    <cfRule type="expression" dxfId="6033" priority="677">
      <formula>B22=""</formula>
    </cfRule>
  </conditionalFormatting>
  <conditionalFormatting sqref="G23">
    <cfRule type="expression" dxfId="6032" priority="676">
      <formula>B23=""</formula>
    </cfRule>
  </conditionalFormatting>
  <conditionalFormatting sqref="G24">
    <cfRule type="expression" dxfId="6031" priority="675">
      <formula>B24=""</formula>
    </cfRule>
  </conditionalFormatting>
  <conditionalFormatting sqref="G25">
    <cfRule type="expression" dxfId="6030" priority="674">
      <formula>B25=""</formula>
    </cfRule>
  </conditionalFormatting>
  <conditionalFormatting sqref="G26">
    <cfRule type="expression" dxfId="6029" priority="673">
      <formula>B26=""</formula>
    </cfRule>
  </conditionalFormatting>
  <conditionalFormatting sqref="G27">
    <cfRule type="expression" dxfId="6028" priority="672">
      <formula>B27=""</formula>
    </cfRule>
  </conditionalFormatting>
  <conditionalFormatting sqref="G28">
    <cfRule type="expression" dxfId="6027" priority="671">
      <formula>B28=""</formula>
    </cfRule>
  </conditionalFormatting>
  <conditionalFormatting sqref="H8 H10 H12 H14 H16 H18 H20 H22 H24 H26">
    <cfRule type="expression" dxfId="6026" priority="670">
      <formula>B8=""</formula>
    </cfRule>
  </conditionalFormatting>
  <conditionalFormatting sqref="H9 H11 H13 H15 H17 H19 H21 H23 H25 H27">
    <cfRule type="expression" dxfId="6025" priority="669">
      <formula>B9=""</formula>
    </cfRule>
  </conditionalFormatting>
  <conditionalFormatting sqref="H10:H20">
    <cfRule type="expression" dxfId="6024" priority="668">
      <formula>B10=""</formula>
    </cfRule>
  </conditionalFormatting>
  <conditionalFormatting sqref="H21">
    <cfRule type="expression" dxfId="6023" priority="667">
      <formula>B21=""</formula>
    </cfRule>
  </conditionalFormatting>
  <conditionalFormatting sqref="H22">
    <cfRule type="expression" dxfId="6022" priority="666">
      <formula>B22=""</formula>
    </cfRule>
  </conditionalFormatting>
  <conditionalFormatting sqref="H23">
    <cfRule type="expression" dxfId="6021" priority="665">
      <formula>B23=""</formula>
    </cfRule>
  </conditionalFormatting>
  <conditionalFormatting sqref="H24">
    <cfRule type="expression" dxfId="6020" priority="664">
      <formula>B24=""</formula>
    </cfRule>
  </conditionalFormatting>
  <conditionalFormatting sqref="H25">
    <cfRule type="expression" dxfId="6019" priority="663">
      <formula>B25=""</formula>
    </cfRule>
  </conditionalFormatting>
  <conditionalFormatting sqref="H26">
    <cfRule type="expression" dxfId="6018" priority="662">
      <formula>B26=""</formula>
    </cfRule>
  </conditionalFormatting>
  <conditionalFormatting sqref="H27">
    <cfRule type="expression" dxfId="6017" priority="661">
      <formula>B27=""</formula>
    </cfRule>
  </conditionalFormatting>
  <conditionalFormatting sqref="H28">
    <cfRule type="expression" dxfId="6016" priority="660">
      <formula>B28=""</formula>
    </cfRule>
  </conditionalFormatting>
  <conditionalFormatting sqref="C30:C50">
    <cfRule type="expression" dxfId="6015" priority="659">
      <formula>B30=""</formula>
    </cfRule>
  </conditionalFormatting>
  <conditionalFormatting sqref="C31 C33 C35 C37 C39 C41 C43 C45 C47 C49">
    <cfRule type="expression" dxfId="6014" priority="658">
      <formula>B31=""</formula>
    </cfRule>
  </conditionalFormatting>
  <conditionalFormatting sqref="C32:C42">
    <cfRule type="expression" dxfId="6013" priority="657">
      <formula>B32=""</formula>
    </cfRule>
  </conditionalFormatting>
  <conditionalFormatting sqref="C43">
    <cfRule type="expression" dxfId="6012" priority="656">
      <formula>B43=""</formula>
    </cfRule>
  </conditionalFormatting>
  <conditionalFormatting sqref="C44">
    <cfRule type="expression" dxfId="6011" priority="655">
      <formula>B44=""</formula>
    </cfRule>
  </conditionalFormatting>
  <conditionalFormatting sqref="C45">
    <cfRule type="expression" dxfId="6010" priority="654">
      <formula>B45=""</formula>
    </cfRule>
  </conditionalFormatting>
  <conditionalFormatting sqref="C46">
    <cfRule type="expression" dxfId="6009" priority="653">
      <formula>B46=""</formula>
    </cfRule>
  </conditionalFormatting>
  <conditionalFormatting sqref="C47">
    <cfRule type="expression" dxfId="6008" priority="652">
      <formula>B47=""</formula>
    </cfRule>
  </conditionalFormatting>
  <conditionalFormatting sqref="C48">
    <cfRule type="expression" dxfId="6007" priority="651">
      <formula>B48=""</formula>
    </cfRule>
  </conditionalFormatting>
  <conditionalFormatting sqref="C49">
    <cfRule type="expression" dxfId="6006" priority="650">
      <formula>B49=""</formula>
    </cfRule>
  </conditionalFormatting>
  <conditionalFormatting sqref="C50">
    <cfRule type="expression" dxfId="6005" priority="649">
      <formula>B50=""</formula>
    </cfRule>
  </conditionalFormatting>
  <conditionalFormatting sqref="D30 D32 D34 D36 D38 D40 D42 D44 D46 D48">
    <cfRule type="expression" dxfId="6004" priority="648">
      <formula>B30=""</formula>
    </cfRule>
  </conditionalFormatting>
  <conditionalFormatting sqref="D31 D33 D35 D37 D39 D41 D43 D45 D47 D49">
    <cfRule type="expression" dxfId="6003" priority="647">
      <formula>B31=""</formula>
    </cfRule>
  </conditionalFormatting>
  <conditionalFormatting sqref="D32:D42">
    <cfRule type="expression" dxfId="6002" priority="646">
      <formula>B32=""</formula>
    </cfRule>
  </conditionalFormatting>
  <conditionalFormatting sqref="D43">
    <cfRule type="expression" dxfId="6001" priority="645">
      <formula>B43=""</formula>
    </cfRule>
  </conditionalFormatting>
  <conditionalFormatting sqref="D44">
    <cfRule type="expression" dxfId="6000" priority="644">
      <formula>B44=""</formula>
    </cfRule>
  </conditionalFormatting>
  <conditionalFormatting sqref="D45">
    <cfRule type="expression" dxfId="5999" priority="643">
      <formula>B45=""</formula>
    </cfRule>
  </conditionalFormatting>
  <conditionalFormatting sqref="D46">
    <cfRule type="expression" dxfId="5998" priority="642">
      <formula>B46=""</formula>
    </cfRule>
  </conditionalFormatting>
  <conditionalFormatting sqref="D47">
    <cfRule type="expression" dxfId="5997" priority="641">
      <formula>B47=""</formula>
    </cfRule>
  </conditionalFormatting>
  <conditionalFormatting sqref="D48">
    <cfRule type="expression" dxfId="5996" priority="640">
      <formula>B48=""</formula>
    </cfRule>
  </conditionalFormatting>
  <conditionalFormatting sqref="D49">
    <cfRule type="expression" dxfId="5995" priority="639">
      <formula>B49=""</formula>
    </cfRule>
  </conditionalFormatting>
  <conditionalFormatting sqref="D50">
    <cfRule type="expression" dxfId="5994" priority="638">
      <formula>B50=""</formula>
    </cfRule>
  </conditionalFormatting>
  <conditionalFormatting sqref="E30 E32 E34 E36 E38 E40 E42 E44 E46 E48">
    <cfRule type="expression" dxfId="5993" priority="637">
      <formula>B30=""</formula>
    </cfRule>
  </conditionalFormatting>
  <conditionalFormatting sqref="E31 E33 E35 E37 E39 E41 E43 E45 E47 E49">
    <cfRule type="expression" dxfId="5992" priority="636">
      <formula>B31=""</formula>
    </cfRule>
  </conditionalFormatting>
  <conditionalFormatting sqref="E32:E42">
    <cfRule type="expression" dxfId="5991" priority="635">
      <formula>B32=""</formula>
    </cfRule>
  </conditionalFormatting>
  <conditionalFormatting sqref="E43">
    <cfRule type="expression" dxfId="5990" priority="634">
      <formula>B43=""</formula>
    </cfRule>
  </conditionalFormatting>
  <conditionalFormatting sqref="E44">
    <cfRule type="expression" dxfId="5989" priority="633">
      <formula>B44=""</formula>
    </cfRule>
  </conditionalFormatting>
  <conditionalFormatting sqref="E45">
    <cfRule type="expression" dxfId="5988" priority="632">
      <formula>B45=""</formula>
    </cfRule>
  </conditionalFormatting>
  <conditionalFormatting sqref="E46">
    <cfRule type="expression" dxfId="5987" priority="631">
      <formula>B46=""</formula>
    </cfRule>
  </conditionalFormatting>
  <conditionalFormatting sqref="E47">
    <cfRule type="expression" dxfId="5986" priority="630">
      <formula>B47=""</formula>
    </cfRule>
  </conditionalFormatting>
  <conditionalFormatting sqref="E48">
    <cfRule type="expression" dxfId="5985" priority="629">
      <formula>B48=""</formula>
    </cfRule>
  </conditionalFormatting>
  <conditionalFormatting sqref="E49">
    <cfRule type="expression" dxfId="5984" priority="628">
      <formula>B49=""</formula>
    </cfRule>
  </conditionalFormatting>
  <conditionalFormatting sqref="E50">
    <cfRule type="expression" dxfId="5983" priority="627">
      <formula>B50=""</formula>
    </cfRule>
  </conditionalFormatting>
  <conditionalFormatting sqref="F30 F32 F34 F36 F38 F40 F42 F44 F46 F48">
    <cfRule type="expression" dxfId="5982" priority="626">
      <formula>B30=""</formula>
    </cfRule>
  </conditionalFormatting>
  <conditionalFormatting sqref="F31 F33 F35 F37 F39 F41 F43 F45 F47 F49">
    <cfRule type="expression" dxfId="5981" priority="625">
      <formula>B31=""</formula>
    </cfRule>
  </conditionalFormatting>
  <conditionalFormatting sqref="F32:F42">
    <cfRule type="expression" dxfId="5980" priority="624">
      <formula>B32=""</formula>
    </cfRule>
  </conditionalFormatting>
  <conditionalFormatting sqref="F43">
    <cfRule type="expression" dxfId="5979" priority="623">
      <formula>B43=""</formula>
    </cfRule>
  </conditionalFormatting>
  <conditionalFormatting sqref="F44">
    <cfRule type="expression" dxfId="5978" priority="622">
      <formula>B44=""</formula>
    </cfRule>
  </conditionalFormatting>
  <conditionalFormatting sqref="F45">
    <cfRule type="expression" dxfId="5977" priority="621">
      <formula>B45=""</formula>
    </cfRule>
  </conditionalFormatting>
  <conditionalFormatting sqref="F46">
    <cfRule type="expression" dxfId="5976" priority="620">
      <formula>B46=""</formula>
    </cfRule>
  </conditionalFormatting>
  <conditionalFormatting sqref="F47">
    <cfRule type="expression" dxfId="5975" priority="619">
      <formula>B47=""</formula>
    </cfRule>
  </conditionalFormatting>
  <conditionalFormatting sqref="F48">
    <cfRule type="expression" dxfId="5974" priority="618">
      <formula>B48=""</formula>
    </cfRule>
  </conditionalFormatting>
  <conditionalFormatting sqref="F49">
    <cfRule type="expression" dxfId="5973" priority="617">
      <formula>B49=""</formula>
    </cfRule>
  </conditionalFormatting>
  <conditionalFormatting sqref="F50">
    <cfRule type="expression" dxfId="5972" priority="616">
      <formula>B50=""</formula>
    </cfRule>
  </conditionalFormatting>
  <conditionalFormatting sqref="E31 E33 E35 E37 E39 E41 E43 E45 E47 E49">
    <cfRule type="expression" dxfId="5971" priority="615">
      <formula>B31=""</formula>
    </cfRule>
  </conditionalFormatting>
  <conditionalFormatting sqref="E32:E42">
    <cfRule type="expression" dxfId="5970" priority="614">
      <formula>B32=""</formula>
    </cfRule>
  </conditionalFormatting>
  <conditionalFormatting sqref="E43">
    <cfRule type="expression" dxfId="5969" priority="613">
      <formula>B43=""</formula>
    </cfRule>
  </conditionalFormatting>
  <conditionalFormatting sqref="E44">
    <cfRule type="expression" dxfId="5968" priority="612">
      <formula>B44=""</formula>
    </cfRule>
  </conditionalFormatting>
  <conditionalFormatting sqref="E45">
    <cfRule type="expression" dxfId="5967" priority="611">
      <formula>B45=""</formula>
    </cfRule>
  </conditionalFormatting>
  <conditionalFormatting sqref="E46">
    <cfRule type="expression" dxfId="5966" priority="610">
      <formula>B46=""</formula>
    </cfRule>
  </conditionalFormatting>
  <conditionalFormatting sqref="E47">
    <cfRule type="expression" dxfId="5965" priority="609">
      <formula>B47=""</formula>
    </cfRule>
  </conditionalFormatting>
  <conditionalFormatting sqref="E48">
    <cfRule type="expression" dxfId="5964" priority="608">
      <formula>B48=""</formula>
    </cfRule>
  </conditionalFormatting>
  <conditionalFormatting sqref="E49">
    <cfRule type="expression" dxfId="5963" priority="607">
      <formula>B49=""</formula>
    </cfRule>
  </conditionalFormatting>
  <conditionalFormatting sqref="E50">
    <cfRule type="expression" dxfId="5962" priority="606">
      <formula>B50=""</formula>
    </cfRule>
  </conditionalFormatting>
  <conditionalFormatting sqref="G30 G32 G34 G36 G38 G40 G42 G44 G46 G48">
    <cfRule type="expression" dxfId="5961" priority="605">
      <formula>B30=""</formula>
    </cfRule>
  </conditionalFormatting>
  <conditionalFormatting sqref="G31 G33 G35 G37 G39 G41 G43 G45 G47 G49">
    <cfRule type="expression" dxfId="5960" priority="604">
      <formula>B31=""</formula>
    </cfRule>
  </conditionalFormatting>
  <conditionalFormatting sqref="G32:G42">
    <cfRule type="expression" dxfId="5959" priority="603">
      <formula>B32=""</formula>
    </cfRule>
  </conditionalFormatting>
  <conditionalFormatting sqref="G43">
    <cfRule type="expression" dxfId="5958" priority="602">
      <formula>B43=""</formula>
    </cfRule>
  </conditionalFormatting>
  <conditionalFormatting sqref="G44">
    <cfRule type="expression" dxfId="5957" priority="601">
      <formula>B44=""</formula>
    </cfRule>
  </conditionalFormatting>
  <conditionalFormatting sqref="G45">
    <cfRule type="expression" dxfId="5956" priority="600">
      <formula>B45=""</formula>
    </cfRule>
  </conditionalFormatting>
  <conditionalFormatting sqref="G46">
    <cfRule type="expression" dxfId="5955" priority="599">
      <formula>B46=""</formula>
    </cfRule>
  </conditionalFormatting>
  <conditionalFormatting sqref="G47">
    <cfRule type="expression" dxfId="5954" priority="598">
      <formula>B47=""</formula>
    </cfRule>
  </conditionalFormatting>
  <conditionalFormatting sqref="G48">
    <cfRule type="expression" dxfId="5953" priority="597">
      <formula>B48=""</formula>
    </cfRule>
  </conditionalFormatting>
  <conditionalFormatting sqref="G49">
    <cfRule type="expression" dxfId="5952" priority="596">
      <formula>B49=""</formula>
    </cfRule>
  </conditionalFormatting>
  <conditionalFormatting sqref="G50">
    <cfRule type="expression" dxfId="5951" priority="595">
      <formula>B50=""</formula>
    </cfRule>
  </conditionalFormatting>
  <conditionalFormatting sqref="H30 H32 H34 H36 H38 H40 H42 H44 H46 H48">
    <cfRule type="expression" dxfId="5950" priority="594">
      <formula>B30=""</formula>
    </cfRule>
  </conditionalFormatting>
  <conditionalFormatting sqref="H31 H33 H35 H37 H39 H41 H43 H45 H47 H49">
    <cfRule type="expression" dxfId="5949" priority="593">
      <formula>B31=""</formula>
    </cfRule>
  </conditionalFormatting>
  <conditionalFormatting sqref="H32:H42">
    <cfRule type="expression" dxfId="5948" priority="592">
      <formula>B32=""</formula>
    </cfRule>
  </conditionalFormatting>
  <conditionalFormatting sqref="H43">
    <cfRule type="expression" dxfId="5947" priority="591">
      <formula>B43=""</formula>
    </cfRule>
  </conditionalFormatting>
  <conditionalFormatting sqref="H44">
    <cfRule type="expression" dxfId="5946" priority="590">
      <formula>B44=""</formula>
    </cfRule>
  </conditionalFormatting>
  <conditionalFormatting sqref="H45">
    <cfRule type="expression" dxfId="5945" priority="589">
      <formula>B45=""</formula>
    </cfRule>
  </conditionalFormatting>
  <conditionalFormatting sqref="H46">
    <cfRule type="expression" dxfId="5944" priority="588">
      <formula>B46=""</formula>
    </cfRule>
  </conditionalFormatting>
  <conditionalFormatting sqref="H47">
    <cfRule type="expression" dxfId="5943" priority="587">
      <formula>B47=""</formula>
    </cfRule>
  </conditionalFormatting>
  <conditionalFormatting sqref="H48">
    <cfRule type="expression" dxfId="5942" priority="586">
      <formula>B48=""</formula>
    </cfRule>
  </conditionalFormatting>
  <conditionalFormatting sqref="H49">
    <cfRule type="expression" dxfId="5941" priority="585">
      <formula>B49=""</formula>
    </cfRule>
  </conditionalFormatting>
  <conditionalFormatting sqref="H50">
    <cfRule type="expression" dxfId="5940" priority="584">
      <formula>B50=""</formula>
    </cfRule>
  </conditionalFormatting>
  <conditionalFormatting sqref="C52:C71">
    <cfRule type="expression" dxfId="5939" priority="583">
      <formula>B52=""</formula>
    </cfRule>
  </conditionalFormatting>
  <conditionalFormatting sqref="C53 C55 C57 C59 C61 C63 C65 C67 C69 C71">
    <cfRule type="expression" dxfId="5938" priority="582">
      <formula>B53=""</formula>
    </cfRule>
  </conditionalFormatting>
  <conditionalFormatting sqref="C54:C64">
    <cfRule type="expression" dxfId="5937" priority="581">
      <formula>B54=""</formula>
    </cfRule>
  </conditionalFormatting>
  <conditionalFormatting sqref="C65">
    <cfRule type="expression" dxfId="5936" priority="580">
      <formula>B65=""</formula>
    </cfRule>
  </conditionalFormatting>
  <conditionalFormatting sqref="C66">
    <cfRule type="expression" dxfId="5935" priority="579">
      <formula>B66=""</formula>
    </cfRule>
  </conditionalFormatting>
  <conditionalFormatting sqref="C67">
    <cfRule type="expression" dxfId="5934" priority="578">
      <formula>B67=""</formula>
    </cfRule>
  </conditionalFormatting>
  <conditionalFormatting sqref="C68">
    <cfRule type="expression" dxfId="5933" priority="577">
      <formula>B68=""</formula>
    </cfRule>
  </conditionalFormatting>
  <conditionalFormatting sqref="C69">
    <cfRule type="expression" dxfId="5932" priority="576">
      <formula>B69=""</formula>
    </cfRule>
  </conditionalFormatting>
  <conditionalFormatting sqref="C70">
    <cfRule type="expression" dxfId="5931" priority="575">
      <formula>B70=""</formula>
    </cfRule>
  </conditionalFormatting>
  <conditionalFormatting sqref="C71">
    <cfRule type="expression" dxfId="5930" priority="574">
      <formula>B71=""</formula>
    </cfRule>
  </conditionalFormatting>
  <conditionalFormatting sqref="C72">
    <cfRule type="expression" dxfId="5929" priority="573">
      <formula>B72=""</formula>
    </cfRule>
  </conditionalFormatting>
  <conditionalFormatting sqref="D52 D54 D56 D58 D60 D62 D64 D66 D68 D70">
    <cfRule type="expression" dxfId="5928" priority="572">
      <formula>B52=""</formula>
    </cfRule>
  </conditionalFormatting>
  <conditionalFormatting sqref="D53 D55 D57 D59 D61 D63 D65 D67 D69 D71">
    <cfRule type="expression" dxfId="5927" priority="571">
      <formula>B53=""</formula>
    </cfRule>
  </conditionalFormatting>
  <conditionalFormatting sqref="D54:D64">
    <cfRule type="expression" dxfId="5926" priority="570">
      <formula>B54=""</formula>
    </cfRule>
  </conditionalFormatting>
  <conditionalFormatting sqref="D65">
    <cfRule type="expression" dxfId="5925" priority="569">
      <formula>B65=""</formula>
    </cfRule>
  </conditionalFormatting>
  <conditionalFormatting sqref="D66">
    <cfRule type="expression" dxfId="5924" priority="568">
      <formula>B66=""</formula>
    </cfRule>
  </conditionalFormatting>
  <conditionalFormatting sqref="D67">
    <cfRule type="expression" dxfId="5923" priority="567">
      <formula>B67=""</formula>
    </cfRule>
  </conditionalFormatting>
  <conditionalFormatting sqref="D68">
    <cfRule type="expression" dxfId="5922" priority="566">
      <formula>B68=""</formula>
    </cfRule>
  </conditionalFormatting>
  <conditionalFormatting sqref="D69">
    <cfRule type="expression" dxfId="5921" priority="565">
      <formula>B69=""</formula>
    </cfRule>
  </conditionalFormatting>
  <conditionalFormatting sqref="D70">
    <cfRule type="expression" dxfId="5920" priority="564">
      <formula>B70=""</formula>
    </cfRule>
  </conditionalFormatting>
  <conditionalFormatting sqref="D71">
    <cfRule type="expression" dxfId="5919" priority="563">
      <formula>B71=""</formula>
    </cfRule>
  </conditionalFormatting>
  <conditionalFormatting sqref="D72">
    <cfRule type="expression" dxfId="5918" priority="562">
      <formula>B72=""</formula>
    </cfRule>
  </conditionalFormatting>
  <conditionalFormatting sqref="E52 E54 E56 E58 E60 E62 E64 E66 E68 E70">
    <cfRule type="expression" dxfId="5917" priority="561">
      <formula>B52=""</formula>
    </cfRule>
  </conditionalFormatting>
  <conditionalFormatting sqref="E53 E55 E57 E59 E61 E63 E65 E67 E69 E71">
    <cfRule type="expression" dxfId="5916" priority="560">
      <formula>B53=""</formula>
    </cfRule>
  </conditionalFormatting>
  <conditionalFormatting sqref="E54:E64">
    <cfRule type="expression" dxfId="5915" priority="559">
      <formula>B54=""</formula>
    </cfRule>
  </conditionalFormatting>
  <conditionalFormatting sqref="E65">
    <cfRule type="expression" dxfId="5914" priority="558">
      <formula>B65=""</formula>
    </cfRule>
  </conditionalFormatting>
  <conditionalFormatting sqref="E66">
    <cfRule type="expression" dxfId="5913" priority="557">
      <formula>B66=""</formula>
    </cfRule>
  </conditionalFormatting>
  <conditionalFormatting sqref="E67">
    <cfRule type="expression" dxfId="5912" priority="556">
      <formula>B67=""</formula>
    </cfRule>
  </conditionalFormatting>
  <conditionalFormatting sqref="E68">
    <cfRule type="expression" dxfId="5911" priority="555">
      <formula>B68=""</formula>
    </cfRule>
  </conditionalFormatting>
  <conditionalFormatting sqref="E69">
    <cfRule type="expression" dxfId="5910" priority="554">
      <formula>B69=""</formula>
    </cfRule>
  </conditionalFormatting>
  <conditionalFormatting sqref="E70">
    <cfRule type="expression" dxfId="5909" priority="553">
      <formula>B70=""</formula>
    </cfRule>
  </conditionalFormatting>
  <conditionalFormatting sqref="E71">
    <cfRule type="expression" dxfId="5908" priority="552">
      <formula>B71=""</formula>
    </cfRule>
  </conditionalFormatting>
  <conditionalFormatting sqref="E72">
    <cfRule type="expression" dxfId="5907" priority="551">
      <formula>B72=""</formula>
    </cfRule>
  </conditionalFormatting>
  <conditionalFormatting sqref="F52 F54 F56 F58 F60 F62 F64 F66 F68 F70">
    <cfRule type="expression" dxfId="5906" priority="550">
      <formula>B52=""</formula>
    </cfRule>
  </conditionalFormatting>
  <conditionalFormatting sqref="F53 F55 F57 F59 F61 F63 F65 F67 F69 F71">
    <cfRule type="expression" dxfId="5905" priority="549">
      <formula>B53=""</formula>
    </cfRule>
  </conditionalFormatting>
  <conditionalFormatting sqref="F54:F64">
    <cfRule type="expression" dxfId="5904" priority="548">
      <formula>B54=""</formula>
    </cfRule>
  </conditionalFormatting>
  <conditionalFormatting sqref="F65">
    <cfRule type="expression" dxfId="5903" priority="547">
      <formula>B65=""</formula>
    </cfRule>
  </conditionalFormatting>
  <conditionalFormatting sqref="F66">
    <cfRule type="expression" dxfId="5902" priority="546">
      <formula>B66=""</formula>
    </cfRule>
  </conditionalFormatting>
  <conditionalFormatting sqref="F67">
    <cfRule type="expression" dxfId="5901" priority="545">
      <formula>B67=""</formula>
    </cfRule>
  </conditionalFormatting>
  <conditionalFormatting sqref="F68">
    <cfRule type="expression" dxfId="5900" priority="544">
      <formula>B68=""</formula>
    </cfRule>
  </conditionalFormatting>
  <conditionalFormatting sqref="F69">
    <cfRule type="expression" dxfId="5899" priority="543">
      <formula>B69=""</formula>
    </cfRule>
  </conditionalFormatting>
  <conditionalFormatting sqref="F70">
    <cfRule type="expression" dxfId="5898" priority="542">
      <formula>B70=""</formula>
    </cfRule>
  </conditionalFormatting>
  <conditionalFormatting sqref="F71">
    <cfRule type="expression" dxfId="5897" priority="541">
      <formula>B71=""</formula>
    </cfRule>
  </conditionalFormatting>
  <conditionalFormatting sqref="F72">
    <cfRule type="expression" dxfId="5896" priority="540">
      <formula>B72=""</formula>
    </cfRule>
  </conditionalFormatting>
  <conditionalFormatting sqref="E53 E55 E57 E59 E61 E63 E65 E67 E69 E71">
    <cfRule type="expression" dxfId="5895" priority="539">
      <formula>B53=""</formula>
    </cfRule>
  </conditionalFormatting>
  <conditionalFormatting sqref="E54:E64">
    <cfRule type="expression" dxfId="5894" priority="538">
      <formula>B54=""</formula>
    </cfRule>
  </conditionalFormatting>
  <conditionalFormatting sqref="E65">
    <cfRule type="expression" dxfId="5893" priority="537">
      <formula>B65=""</formula>
    </cfRule>
  </conditionalFormatting>
  <conditionalFormatting sqref="E66">
    <cfRule type="expression" dxfId="5892" priority="536">
      <formula>B66=""</formula>
    </cfRule>
  </conditionalFormatting>
  <conditionalFormatting sqref="E67">
    <cfRule type="expression" dxfId="5891" priority="535">
      <formula>B67=""</formula>
    </cfRule>
  </conditionalFormatting>
  <conditionalFormatting sqref="E68">
    <cfRule type="expression" dxfId="5890" priority="534">
      <formula>B68=""</formula>
    </cfRule>
  </conditionalFormatting>
  <conditionalFormatting sqref="E69">
    <cfRule type="expression" dxfId="5889" priority="533">
      <formula>B69=""</formula>
    </cfRule>
  </conditionalFormatting>
  <conditionalFormatting sqref="E70">
    <cfRule type="expression" dxfId="5888" priority="532">
      <formula>B70=""</formula>
    </cfRule>
  </conditionalFormatting>
  <conditionalFormatting sqref="E71">
    <cfRule type="expression" dxfId="5887" priority="531">
      <formula>B71=""</formula>
    </cfRule>
  </conditionalFormatting>
  <conditionalFormatting sqref="E72">
    <cfRule type="expression" dxfId="5886" priority="530">
      <formula>B72=""</formula>
    </cfRule>
  </conditionalFormatting>
  <conditionalFormatting sqref="G52 G54 G56 G58 G60 G62 G64 G66 G68 G70">
    <cfRule type="expression" dxfId="5885" priority="529">
      <formula>B52=""</formula>
    </cfRule>
  </conditionalFormatting>
  <conditionalFormatting sqref="G53 G55 G57 G59 G61 G63 G65 G67 G69 G71">
    <cfRule type="expression" dxfId="5884" priority="528">
      <formula>B53=""</formula>
    </cfRule>
  </conditionalFormatting>
  <conditionalFormatting sqref="G54:G64">
    <cfRule type="expression" dxfId="5883" priority="527">
      <formula>B54=""</formula>
    </cfRule>
  </conditionalFormatting>
  <conditionalFormatting sqref="G65">
    <cfRule type="expression" dxfId="5882" priority="526">
      <formula>B65=""</formula>
    </cfRule>
  </conditionalFormatting>
  <conditionalFormatting sqref="G66">
    <cfRule type="expression" dxfId="5881" priority="525">
      <formula>B66=""</formula>
    </cfRule>
  </conditionalFormatting>
  <conditionalFormatting sqref="G67">
    <cfRule type="expression" dxfId="5880" priority="524">
      <formula>B67=""</formula>
    </cfRule>
  </conditionalFormatting>
  <conditionalFormatting sqref="G68">
    <cfRule type="expression" dxfId="5879" priority="523">
      <formula>B68=""</formula>
    </cfRule>
  </conditionalFormatting>
  <conditionalFormatting sqref="G69">
    <cfRule type="expression" dxfId="5878" priority="522">
      <formula>B69=""</formula>
    </cfRule>
  </conditionalFormatting>
  <conditionalFormatting sqref="G70">
    <cfRule type="expression" dxfId="5877" priority="521">
      <formula>B70=""</formula>
    </cfRule>
  </conditionalFormatting>
  <conditionalFormatting sqref="G71">
    <cfRule type="expression" dxfId="5876" priority="520">
      <formula>B71=""</formula>
    </cfRule>
  </conditionalFormatting>
  <conditionalFormatting sqref="G72">
    <cfRule type="expression" dxfId="5875" priority="519">
      <formula>B72=""</formula>
    </cfRule>
  </conditionalFormatting>
  <conditionalFormatting sqref="H52 H54 H56 H58 H60 H62 H64 H66 H68 H70">
    <cfRule type="expression" dxfId="5874" priority="518">
      <formula>B52=""</formula>
    </cfRule>
  </conditionalFormatting>
  <conditionalFormatting sqref="H53 H55 H57 H59 H61 H63 H65 H67 H69 H71">
    <cfRule type="expression" dxfId="5873" priority="517">
      <formula>B53=""</formula>
    </cfRule>
  </conditionalFormatting>
  <conditionalFormatting sqref="H54:H64">
    <cfRule type="expression" dxfId="5872" priority="516">
      <formula>B54=""</formula>
    </cfRule>
  </conditionalFormatting>
  <conditionalFormatting sqref="H65">
    <cfRule type="expression" dxfId="5871" priority="515">
      <formula>B65=""</formula>
    </cfRule>
  </conditionalFormatting>
  <conditionalFormatting sqref="H66">
    <cfRule type="expression" dxfId="5870" priority="514">
      <formula>B66=""</formula>
    </cfRule>
  </conditionalFormatting>
  <conditionalFormatting sqref="H67">
    <cfRule type="expression" dxfId="5869" priority="513">
      <formula>B67=""</formula>
    </cfRule>
  </conditionalFormatting>
  <conditionalFormatting sqref="H68">
    <cfRule type="expression" dxfId="5868" priority="512">
      <formula>B68=""</formula>
    </cfRule>
  </conditionalFormatting>
  <conditionalFormatting sqref="H69">
    <cfRule type="expression" dxfId="5867" priority="511">
      <formula>B69=""</formula>
    </cfRule>
  </conditionalFormatting>
  <conditionalFormatting sqref="H70">
    <cfRule type="expression" dxfId="5866" priority="510">
      <formula>B70=""</formula>
    </cfRule>
  </conditionalFormatting>
  <conditionalFormatting sqref="H71">
    <cfRule type="expression" dxfId="5865" priority="509">
      <formula>B71=""</formula>
    </cfRule>
  </conditionalFormatting>
  <conditionalFormatting sqref="H72">
    <cfRule type="expression" dxfId="5864" priority="508">
      <formula>B72=""</formula>
    </cfRule>
  </conditionalFormatting>
  <conditionalFormatting sqref="C74:C94">
    <cfRule type="expression" dxfId="5863" priority="507">
      <formula>B74=""</formula>
    </cfRule>
  </conditionalFormatting>
  <conditionalFormatting sqref="C75 C77 C79 C81 C83 C85 C87 C89 C91 C93">
    <cfRule type="expression" dxfId="5862" priority="506">
      <formula>B75=""</formula>
    </cfRule>
  </conditionalFormatting>
  <conditionalFormatting sqref="C76:C86">
    <cfRule type="expression" dxfId="5861" priority="505">
      <formula>B76=""</formula>
    </cfRule>
  </conditionalFormatting>
  <conditionalFormatting sqref="C87">
    <cfRule type="expression" dxfId="5860" priority="504">
      <formula>B87=""</formula>
    </cfRule>
  </conditionalFormatting>
  <conditionalFormatting sqref="C88">
    <cfRule type="expression" dxfId="5859" priority="503">
      <formula>B88=""</formula>
    </cfRule>
  </conditionalFormatting>
  <conditionalFormatting sqref="C89">
    <cfRule type="expression" dxfId="5858" priority="502">
      <formula>B89=""</formula>
    </cfRule>
  </conditionalFormatting>
  <conditionalFormatting sqref="C90">
    <cfRule type="expression" dxfId="5857" priority="501">
      <formula>B90=""</formula>
    </cfRule>
  </conditionalFormatting>
  <conditionalFormatting sqref="C91">
    <cfRule type="expression" dxfId="5856" priority="500">
      <formula>B91=""</formula>
    </cfRule>
  </conditionalFormatting>
  <conditionalFormatting sqref="C92">
    <cfRule type="expression" dxfId="5855" priority="499">
      <formula>B92=""</formula>
    </cfRule>
  </conditionalFormatting>
  <conditionalFormatting sqref="C93">
    <cfRule type="expression" dxfId="5854" priority="498">
      <formula>B93=""</formula>
    </cfRule>
  </conditionalFormatting>
  <conditionalFormatting sqref="C94">
    <cfRule type="expression" dxfId="5853" priority="497">
      <formula>B94=""</formula>
    </cfRule>
  </conditionalFormatting>
  <conditionalFormatting sqref="D74 D76 D78 D80 D82 D84 D86 D88 D90 D92">
    <cfRule type="expression" dxfId="5852" priority="496">
      <formula>B74=""</formula>
    </cfRule>
  </conditionalFormatting>
  <conditionalFormatting sqref="D75 D77 D79 D81 D83 D85 D87 D89 D91 D93">
    <cfRule type="expression" dxfId="5851" priority="495">
      <formula>B75=""</formula>
    </cfRule>
  </conditionalFormatting>
  <conditionalFormatting sqref="D76:D86">
    <cfRule type="expression" dxfId="5850" priority="494">
      <formula>B76=""</formula>
    </cfRule>
  </conditionalFormatting>
  <conditionalFormatting sqref="D87">
    <cfRule type="expression" dxfId="5849" priority="493">
      <formula>B87=""</formula>
    </cfRule>
  </conditionalFormatting>
  <conditionalFormatting sqref="D88">
    <cfRule type="expression" dxfId="5848" priority="492">
      <formula>B88=""</formula>
    </cfRule>
  </conditionalFormatting>
  <conditionalFormatting sqref="D89">
    <cfRule type="expression" dxfId="5847" priority="491">
      <formula>B89=""</formula>
    </cfRule>
  </conditionalFormatting>
  <conditionalFormatting sqref="D90">
    <cfRule type="expression" dxfId="5846" priority="490">
      <formula>B90=""</formula>
    </cfRule>
  </conditionalFormatting>
  <conditionalFormatting sqref="D91">
    <cfRule type="expression" dxfId="5845" priority="489">
      <formula>B91=""</formula>
    </cfRule>
  </conditionalFormatting>
  <conditionalFormatting sqref="D92">
    <cfRule type="expression" dxfId="5844" priority="488">
      <formula>B92=""</formula>
    </cfRule>
  </conditionalFormatting>
  <conditionalFormatting sqref="D93">
    <cfRule type="expression" dxfId="5843" priority="487">
      <formula>B93=""</formula>
    </cfRule>
  </conditionalFormatting>
  <conditionalFormatting sqref="D94">
    <cfRule type="expression" dxfId="5842" priority="486">
      <formula>B94=""</formula>
    </cfRule>
  </conditionalFormatting>
  <conditionalFormatting sqref="E74 E76 E78 E80 E82 E84 E86 E88 E90 E92">
    <cfRule type="expression" dxfId="5841" priority="485">
      <formula>B74=""</formula>
    </cfRule>
  </conditionalFormatting>
  <conditionalFormatting sqref="E75 E77 E79 E81 E83 E85 E87 E89 E91 E93">
    <cfRule type="expression" dxfId="5840" priority="484">
      <formula>B75=""</formula>
    </cfRule>
  </conditionalFormatting>
  <conditionalFormatting sqref="E76:E86">
    <cfRule type="expression" dxfId="5839" priority="483">
      <formula>B76=""</formula>
    </cfRule>
  </conditionalFormatting>
  <conditionalFormatting sqref="E87">
    <cfRule type="expression" dxfId="5838" priority="482">
      <formula>B87=""</formula>
    </cfRule>
  </conditionalFormatting>
  <conditionalFormatting sqref="E88">
    <cfRule type="expression" dxfId="5837" priority="481">
      <formula>B88=""</formula>
    </cfRule>
  </conditionalFormatting>
  <conditionalFormatting sqref="E89">
    <cfRule type="expression" dxfId="5836" priority="480">
      <formula>B89=""</formula>
    </cfRule>
  </conditionalFormatting>
  <conditionalFormatting sqref="E90">
    <cfRule type="expression" dxfId="5835" priority="479">
      <formula>B90=""</formula>
    </cfRule>
  </conditionalFormatting>
  <conditionalFormatting sqref="E91">
    <cfRule type="expression" dxfId="5834" priority="478">
      <formula>B91=""</formula>
    </cfRule>
  </conditionalFormatting>
  <conditionalFormatting sqref="E92">
    <cfRule type="expression" dxfId="5833" priority="477">
      <formula>B92=""</formula>
    </cfRule>
  </conditionalFormatting>
  <conditionalFormatting sqref="E93">
    <cfRule type="expression" dxfId="5832" priority="476">
      <formula>B93=""</formula>
    </cfRule>
  </conditionalFormatting>
  <conditionalFormatting sqref="E94">
    <cfRule type="expression" dxfId="5831" priority="475">
      <formula>B94=""</formula>
    </cfRule>
  </conditionalFormatting>
  <conditionalFormatting sqref="F74 F76 F78 F80 F82 F84 F86 F88 F90 F92">
    <cfRule type="expression" dxfId="5830" priority="474">
      <formula>B74=""</formula>
    </cfRule>
  </conditionalFormatting>
  <conditionalFormatting sqref="F75 F77 F79 F81 F83 F85 F87 F89 F91 F93">
    <cfRule type="expression" dxfId="5829" priority="473">
      <formula>B75=""</formula>
    </cfRule>
  </conditionalFormatting>
  <conditionalFormatting sqref="F76:F86">
    <cfRule type="expression" dxfId="5828" priority="472">
      <formula>B76=""</formula>
    </cfRule>
  </conditionalFormatting>
  <conditionalFormatting sqref="F87">
    <cfRule type="expression" dxfId="5827" priority="471">
      <formula>B87=""</formula>
    </cfRule>
  </conditionalFormatting>
  <conditionalFormatting sqref="F88">
    <cfRule type="expression" dxfId="5826" priority="470">
      <formula>B88=""</formula>
    </cfRule>
  </conditionalFormatting>
  <conditionalFormatting sqref="F89">
    <cfRule type="expression" dxfId="5825" priority="469">
      <formula>B89=""</formula>
    </cfRule>
  </conditionalFormatting>
  <conditionalFormatting sqref="F90">
    <cfRule type="expression" dxfId="5824" priority="468">
      <formula>B90=""</formula>
    </cfRule>
  </conditionalFormatting>
  <conditionalFormatting sqref="F91">
    <cfRule type="expression" dxfId="5823" priority="467">
      <formula>B91=""</formula>
    </cfRule>
  </conditionalFormatting>
  <conditionalFormatting sqref="F92">
    <cfRule type="expression" dxfId="5822" priority="466">
      <formula>B92=""</formula>
    </cfRule>
  </conditionalFormatting>
  <conditionalFormatting sqref="F93">
    <cfRule type="expression" dxfId="5821" priority="465">
      <formula>B93=""</formula>
    </cfRule>
  </conditionalFormatting>
  <conditionalFormatting sqref="F94">
    <cfRule type="expression" dxfId="5820" priority="464">
      <formula>B94=""</formula>
    </cfRule>
  </conditionalFormatting>
  <conditionalFormatting sqref="E75 E77 E79 E81 E83 E85 E87 E89 E91 E93">
    <cfRule type="expression" dxfId="5819" priority="463">
      <formula>B75=""</formula>
    </cfRule>
  </conditionalFormatting>
  <conditionalFormatting sqref="E76:E86">
    <cfRule type="expression" dxfId="5818" priority="462">
      <formula>B76=""</formula>
    </cfRule>
  </conditionalFormatting>
  <conditionalFormatting sqref="E87">
    <cfRule type="expression" dxfId="5817" priority="461">
      <formula>B87=""</formula>
    </cfRule>
  </conditionalFormatting>
  <conditionalFormatting sqref="E88">
    <cfRule type="expression" dxfId="5816" priority="460">
      <formula>B88=""</formula>
    </cfRule>
  </conditionalFormatting>
  <conditionalFormatting sqref="E89">
    <cfRule type="expression" dxfId="5815" priority="459">
      <formula>B89=""</formula>
    </cfRule>
  </conditionalFormatting>
  <conditionalFormatting sqref="E90">
    <cfRule type="expression" dxfId="5814" priority="458">
      <formula>B90=""</formula>
    </cfRule>
  </conditionalFormatting>
  <conditionalFormatting sqref="E91">
    <cfRule type="expression" dxfId="5813" priority="457">
      <formula>B91=""</formula>
    </cfRule>
  </conditionalFormatting>
  <conditionalFormatting sqref="E92">
    <cfRule type="expression" dxfId="5812" priority="456">
      <formula>B92=""</formula>
    </cfRule>
  </conditionalFormatting>
  <conditionalFormatting sqref="E93">
    <cfRule type="expression" dxfId="5811" priority="455">
      <formula>B93=""</formula>
    </cfRule>
  </conditionalFormatting>
  <conditionalFormatting sqref="E94">
    <cfRule type="expression" dxfId="5810" priority="454">
      <formula>B94=""</formula>
    </cfRule>
  </conditionalFormatting>
  <conditionalFormatting sqref="G74 G76 G78 G80 G82 G84 G86 G88 G90 G92">
    <cfRule type="expression" dxfId="5809" priority="453">
      <formula>B74=""</formula>
    </cfRule>
  </conditionalFormatting>
  <conditionalFormatting sqref="G75 G77 G79 G81 G83 G85 G87 G89 G91 G93">
    <cfRule type="expression" dxfId="5808" priority="452">
      <formula>B75=""</formula>
    </cfRule>
  </conditionalFormatting>
  <conditionalFormatting sqref="G76:G86">
    <cfRule type="expression" dxfId="5807" priority="451">
      <formula>B76=""</formula>
    </cfRule>
  </conditionalFormatting>
  <conditionalFormatting sqref="G87">
    <cfRule type="expression" dxfId="5806" priority="450">
      <formula>B87=""</formula>
    </cfRule>
  </conditionalFormatting>
  <conditionalFormatting sqref="G88">
    <cfRule type="expression" dxfId="5805" priority="449">
      <formula>B88=""</formula>
    </cfRule>
  </conditionalFormatting>
  <conditionalFormatting sqref="G89">
    <cfRule type="expression" dxfId="5804" priority="448">
      <formula>B89=""</formula>
    </cfRule>
  </conditionalFormatting>
  <conditionalFormatting sqref="G90">
    <cfRule type="expression" dxfId="5803" priority="447">
      <formula>B90=""</formula>
    </cfRule>
  </conditionalFormatting>
  <conditionalFormatting sqref="G91">
    <cfRule type="expression" dxfId="5802" priority="446">
      <formula>B91=""</formula>
    </cfRule>
  </conditionalFormatting>
  <conditionalFormatting sqref="G92">
    <cfRule type="expression" dxfId="5801" priority="445">
      <formula>B92=""</formula>
    </cfRule>
  </conditionalFormatting>
  <conditionalFormatting sqref="G93">
    <cfRule type="expression" dxfId="5800" priority="444">
      <formula>B93=""</formula>
    </cfRule>
  </conditionalFormatting>
  <conditionalFormatting sqref="G94">
    <cfRule type="expression" dxfId="5799" priority="443">
      <formula>B94=""</formula>
    </cfRule>
  </conditionalFormatting>
  <conditionalFormatting sqref="H74 H76 H78 H80 H82 H84 H86 H88 H90 H92">
    <cfRule type="expression" dxfId="5798" priority="442">
      <formula>B74=""</formula>
    </cfRule>
  </conditionalFormatting>
  <conditionalFormatting sqref="H75 H77 H79 H81 H83 H85 H87 H89 H91 H93">
    <cfRule type="expression" dxfId="5797" priority="441">
      <formula>B75=""</formula>
    </cfRule>
  </conditionalFormatting>
  <conditionalFormatting sqref="H76:H86">
    <cfRule type="expression" dxfId="5796" priority="440">
      <formula>B76=""</formula>
    </cfRule>
  </conditionalFormatting>
  <conditionalFormatting sqref="H87">
    <cfRule type="expression" dxfId="5795" priority="439">
      <formula>B87=""</formula>
    </cfRule>
  </conditionalFormatting>
  <conditionalFormatting sqref="H88">
    <cfRule type="expression" dxfId="5794" priority="438">
      <formula>B88=""</formula>
    </cfRule>
  </conditionalFormatting>
  <conditionalFormatting sqref="H89">
    <cfRule type="expression" dxfId="5793" priority="437">
      <formula>B89=""</formula>
    </cfRule>
  </conditionalFormatting>
  <conditionalFormatting sqref="H90">
    <cfRule type="expression" dxfId="5792" priority="436">
      <formula>B90=""</formula>
    </cfRule>
  </conditionalFormatting>
  <conditionalFormatting sqref="H91">
    <cfRule type="expression" dxfId="5791" priority="435">
      <formula>B91=""</formula>
    </cfRule>
  </conditionalFormatting>
  <conditionalFormatting sqref="H92">
    <cfRule type="expression" dxfId="5790" priority="434">
      <formula>B92=""</formula>
    </cfRule>
  </conditionalFormatting>
  <conditionalFormatting sqref="H93">
    <cfRule type="expression" dxfId="5789" priority="433">
      <formula>B93=""</formula>
    </cfRule>
  </conditionalFormatting>
  <conditionalFormatting sqref="H94">
    <cfRule type="expression" dxfId="5788" priority="432">
      <formula>B94=""</formula>
    </cfRule>
  </conditionalFormatting>
  <conditionalFormatting sqref="C49">
    <cfRule type="expression" dxfId="5787" priority="431">
      <formula>B49=""</formula>
    </cfRule>
  </conditionalFormatting>
  <conditionalFormatting sqref="C71">
    <cfRule type="expression" dxfId="5786" priority="430">
      <formula>B71=""</formula>
    </cfRule>
  </conditionalFormatting>
  <conditionalFormatting sqref="C93">
    <cfRule type="expression" dxfId="5785" priority="429">
      <formula>B93=""</formula>
    </cfRule>
  </conditionalFormatting>
  <conditionalFormatting sqref="C8:C27">
    <cfRule type="expression" dxfId="5784" priority="428">
      <formula>B8=""</formula>
    </cfRule>
  </conditionalFormatting>
  <conditionalFormatting sqref="C9 C11 C13 C15 C17 C19 C21 C23 C25 C27">
    <cfRule type="expression" dxfId="5783" priority="427">
      <formula>B9=""</formula>
    </cfRule>
  </conditionalFormatting>
  <conditionalFormatting sqref="C10:C20">
    <cfRule type="expression" dxfId="5782" priority="426">
      <formula>B10=""</formula>
    </cfRule>
  </conditionalFormatting>
  <conditionalFormatting sqref="C21">
    <cfRule type="expression" dxfId="5781" priority="425">
      <formula>B21=""</formula>
    </cfRule>
  </conditionalFormatting>
  <conditionalFormatting sqref="C22">
    <cfRule type="expression" dxfId="5780" priority="424">
      <formula>B22=""</formula>
    </cfRule>
  </conditionalFormatting>
  <conditionalFormatting sqref="C23">
    <cfRule type="expression" dxfId="5779" priority="423">
      <formula>B23=""</formula>
    </cfRule>
  </conditionalFormatting>
  <conditionalFormatting sqref="C24">
    <cfRule type="expression" dxfId="5778" priority="422">
      <formula>B24=""</formula>
    </cfRule>
  </conditionalFormatting>
  <conditionalFormatting sqref="C25">
    <cfRule type="expression" dxfId="5777" priority="421">
      <formula>B25=""</formula>
    </cfRule>
  </conditionalFormatting>
  <conditionalFormatting sqref="C26">
    <cfRule type="expression" dxfId="5776" priority="420">
      <formula>B26=""</formula>
    </cfRule>
  </conditionalFormatting>
  <conditionalFormatting sqref="C27">
    <cfRule type="expression" dxfId="5775" priority="419">
      <formula>B27=""</formula>
    </cfRule>
  </conditionalFormatting>
  <conditionalFormatting sqref="C28">
    <cfRule type="expression" dxfId="5774" priority="418">
      <formula>B28=""</formula>
    </cfRule>
  </conditionalFormatting>
  <conditionalFormatting sqref="C30:C50">
    <cfRule type="expression" dxfId="5773" priority="417">
      <formula>B30=""</formula>
    </cfRule>
  </conditionalFormatting>
  <conditionalFormatting sqref="C31 C33 C35 C37 C39 C41 C43 C45 C47 C49">
    <cfRule type="expression" dxfId="5772" priority="416">
      <formula>B31=""</formula>
    </cfRule>
  </conditionalFormatting>
  <conditionalFormatting sqref="C32:C42">
    <cfRule type="expression" dxfId="5771" priority="415">
      <formula>B32=""</formula>
    </cfRule>
  </conditionalFormatting>
  <conditionalFormatting sqref="C43">
    <cfRule type="expression" dxfId="5770" priority="414">
      <formula>B43=""</formula>
    </cfRule>
  </conditionalFormatting>
  <conditionalFormatting sqref="C44">
    <cfRule type="expression" dxfId="5769" priority="413">
      <formula>B44=""</formula>
    </cfRule>
  </conditionalFormatting>
  <conditionalFormatting sqref="C45">
    <cfRule type="expression" dxfId="5768" priority="412">
      <formula>B45=""</formula>
    </cfRule>
  </conditionalFormatting>
  <conditionalFormatting sqref="C46">
    <cfRule type="expression" dxfId="5767" priority="411">
      <formula>B46=""</formula>
    </cfRule>
  </conditionalFormatting>
  <conditionalFormatting sqref="C47">
    <cfRule type="expression" dxfId="5766" priority="410">
      <formula>B47=""</formula>
    </cfRule>
  </conditionalFormatting>
  <conditionalFormatting sqref="C48">
    <cfRule type="expression" dxfId="5765" priority="409">
      <formula>B48=""</formula>
    </cfRule>
  </conditionalFormatting>
  <conditionalFormatting sqref="C49">
    <cfRule type="expression" dxfId="5764" priority="408">
      <formula>B49=""</formula>
    </cfRule>
  </conditionalFormatting>
  <conditionalFormatting sqref="C50">
    <cfRule type="expression" dxfId="5763" priority="407">
      <formula>B50=""</formula>
    </cfRule>
  </conditionalFormatting>
  <conditionalFormatting sqref="C52:C71">
    <cfRule type="expression" dxfId="5762" priority="406">
      <formula>B52=""</formula>
    </cfRule>
  </conditionalFormatting>
  <conditionalFormatting sqref="C53 C55 C57 C59 C61 C63 C65 C67 C69 C71">
    <cfRule type="expression" dxfId="5761" priority="405">
      <formula>B53=""</formula>
    </cfRule>
  </conditionalFormatting>
  <conditionalFormatting sqref="C54:C64">
    <cfRule type="expression" dxfId="5760" priority="404">
      <formula>B54=""</formula>
    </cfRule>
  </conditionalFormatting>
  <conditionalFormatting sqref="C65">
    <cfRule type="expression" dxfId="5759" priority="403">
      <formula>B65=""</formula>
    </cfRule>
  </conditionalFormatting>
  <conditionalFormatting sqref="C66">
    <cfRule type="expression" dxfId="5758" priority="402">
      <formula>B66=""</formula>
    </cfRule>
  </conditionalFormatting>
  <conditionalFormatting sqref="C67">
    <cfRule type="expression" dxfId="5757" priority="401">
      <formula>B67=""</formula>
    </cfRule>
  </conditionalFormatting>
  <conditionalFormatting sqref="C68">
    <cfRule type="expression" dxfId="5756" priority="400">
      <formula>B68=""</formula>
    </cfRule>
  </conditionalFormatting>
  <conditionalFormatting sqref="C69">
    <cfRule type="expression" dxfId="5755" priority="399">
      <formula>B69=""</formula>
    </cfRule>
  </conditionalFormatting>
  <conditionalFormatting sqref="C70">
    <cfRule type="expression" dxfId="5754" priority="398">
      <formula>B70=""</formula>
    </cfRule>
  </conditionalFormatting>
  <conditionalFormatting sqref="C71">
    <cfRule type="expression" dxfId="5753" priority="397">
      <formula>B71=""</formula>
    </cfRule>
  </conditionalFormatting>
  <conditionalFormatting sqref="C72">
    <cfRule type="expression" dxfId="5752" priority="396">
      <formula>B72=""</formula>
    </cfRule>
  </conditionalFormatting>
  <conditionalFormatting sqref="C74:C94">
    <cfRule type="expression" dxfId="5751" priority="395">
      <formula>B74=""</formula>
    </cfRule>
  </conditionalFormatting>
  <conditionalFormatting sqref="C75 C77 C79 C81 C83 C85 C87 C89 C91 C93">
    <cfRule type="expression" dxfId="5750" priority="394">
      <formula>B75=""</formula>
    </cfRule>
  </conditionalFormatting>
  <conditionalFormatting sqref="C76:C86">
    <cfRule type="expression" dxfId="5749" priority="393">
      <formula>B76=""</formula>
    </cfRule>
  </conditionalFormatting>
  <conditionalFormatting sqref="C87">
    <cfRule type="expression" dxfId="5748" priority="392">
      <formula>B87=""</formula>
    </cfRule>
  </conditionalFormatting>
  <conditionalFormatting sqref="C88">
    <cfRule type="expression" dxfId="5747" priority="391">
      <formula>B88=""</formula>
    </cfRule>
  </conditionalFormatting>
  <conditionalFormatting sqref="C89">
    <cfRule type="expression" dxfId="5746" priority="390">
      <formula>B89=""</formula>
    </cfRule>
  </conditionalFormatting>
  <conditionalFormatting sqref="C90">
    <cfRule type="expression" dxfId="5745" priority="389">
      <formula>B90=""</formula>
    </cfRule>
  </conditionalFormatting>
  <conditionalFormatting sqref="C91">
    <cfRule type="expression" dxfId="5744" priority="388">
      <formula>B91=""</formula>
    </cfRule>
  </conditionalFormatting>
  <conditionalFormatting sqref="C92">
    <cfRule type="expression" dxfId="5743" priority="387">
      <formula>B92=""</formula>
    </cfRule>
  </conditionalFormatting>
  <conditionalFormatting sqref="C93">
    <cfRule type="expression" dxfId="5742" priority="386">
      <formula>B93=""</formula>
    </cfRule>
  </conditionalFormatting>
  <conditionalFormatting sqref="C94">
    <cfRule type="expression" dxfId="5741" priority="385">
      <formula>B94=""</formula>
    </cfRule>
  </conditionalFormatting>
  <conditionalFormatting sqref="C8 C10 C12 C14 C16 C18 C20 C22 C24 C26">
    <cfRule type="expression" dxfId="5740" priority="384">
      <formula>B8=""</formula>
    </cfRule>
  </conditionalFormatting>
  <conditionalFormatting sqref="C9 C11 C13 C15 C17 C19 C21 C23 C25 C27">
    <cfRule type="expression" dxfId="5739" priority="383">
      <formula>B9=""</formula>
    </cfRule>
  </conditionalFormatting>
  <conditionalFormatting sqref="C10:C20">
    <cfRule type="expression" dxfId="5738" priority="382">
      <formula>B10=""</formula>
    </cfRule>
  </conditionalFormatting>
  <conditionalFormatting sqref="C21">
    <cfRule type="expression" dxfId="5737" priority="381">
      <formula>B21=""</formula>
    </cfRule>
  </conditionalFormatting>
  <conditionalFormatting sqref="C22">
    <cfRule type="expression" dxfId="5736" priority="380">
      <formula>B22=""</formula>
    </cfRule>
  </conditionalFormatting>
  <conditionalFormatting sqref="C23">
    <cfRule type="expression" dxfId="5735" priority="379">
      <formula>B23=""</formula>
    </cfRule>
  </conditionalFormatting>
  <conditionalFormatting sqref="C24">
    <cfRule type="expression" dxfId="5734" priority="378">
      <formula>B24=""</formula>
    </cfRule>
  </conditionalFormatting>
  <conditionalFormatting sqref="C25">
    <cfRule type="expression" dxfId="5733" priority="377">
      <formula>B25=""</formula>
    </cfRule>
  </conditionalFormatting>
  <conditionalFormatting sqref="C26">
    <cfRule type="expression" dxfId="5732" priority="376">
      <formula>B26=""</formula>
    </cfRule>
  </conditionalFormatting>
  <conditionalFormatting sqref="C27">
    <cfRule type="expression" dxfId="5731" priority="375">
      <formula>B27=""</formula>
    </cfRule>
  </conditionalFormatting>
  <conditionalFormatting sqref="D8 D10 D12 D14 D16 D18 D20 D22 D24 D26">
    <cfRule type="expression" dxfId="5730" priority="374">
      <formula>B8=""</formula>
    </cfRule>
  </conditionalFormatting>
  <conditionalFormatting sqref="D9 D11 D13 D15 D17 D19 D21 D23 D25 D27">
    <cfRule type="expression" dxfId="5729" priority="373">
      <formula>B9=""</formula>
    </cfRule>
  </conditionalFormatting>
  <conditionalFormatting sqref="D10:D20">
    <cfRule type="expression" dxfId="5728" priority="372">
      <formula>B10=""</formula>
    </cfRule>
  </conditionalFormatting>
  <conditionalFormatting sqref="D21">
    <cfRule type="expression" dxfId="5727" priority="371">
      <formula>B21=""</formula>
    </cfRule>
  </conditionalFormatting>
  <conditionalFormatting sqref="D22">
    <cfRule type="expression" dxfId="5726" priority="370">
      <formula>B22=""</formula>
    </cfRule>
  </conditionalFormatting>
  <conditionalFormatting sqref="D23">
    <cfRule type="expression" dxfId="5725" priority="369">
      <formula>B23=""</formula>
    </cfRule>
  </conditionalFormatting>
  <conditionalFormatting sqref="D24">
    <cfRule type="expression" dxfId="5724" priority="368">
      <formula>B24=""</formula>
    </cfRule>
  </conditionalFormatting>
  <conditionalFormatting sqref="D25">
    <cfRule type="expression" dxfId="5723" priority="367">
      <formula>B25=""</formula>
    </cfRule>
  </conditionalFormatting>
  <conditionalFormatting sqref="D26">
    <cfRule type="expression" dxfId="5722" priority="366">
      <formula>B26=""</formula>
    </cfRule>
  </conditionalFormatting>
  <conditionalFormatting sqref="D27">
    <cfRule type="expression" dxfId="5721" priority="365">
      <formula>B27=""</formula>
    </cfRule>
  </conditionalFormatting>
  <conditionalFormatting sqref="E8:E27">
    <cfRule type="expression" dxfId="5720" priority="364">
      <formula>B8=""</formula>
    </cfRule>
  </conditionalFormatting>
  <conditionalFormatting sqref="E9 E11 E13 E15 E17 E19 E21 E23 E25 E27">
    <cfRule type="expression" dxfId="5719" priority="363">
      <formula>B9=""</formula>
    </cfRule>
  </conditionalFormatting>
  <conditionalFormatting sqref="E10:E20">
    <cfRule type="expression" dxfId="5718" priority="362">
      <formula>B10=""</formula>
    </cfRule>
  </conditionalFormatting>
  <conditionalFormatting sqref="E21">
    <cfRule type="expression" dxfId="5717" priority="361">
      <formula>B21=""</formula>
    </cfRule>
  </conditionalFormatting>
  <conditionalFormatting sqref="E22">
    <cfRule type="expression" dxfId="5716" priority="360">
      <formula>B22=""</formula>
    </cfRule>
  </conditionalFormatting>
  <conditionalFormatting sqref="E23">
    <cfRule type="expression" dxfId="5715" priority="359">
      <formula>B23=""</formula>
    </cfRule>
  </conditionalFormatting>
  <conditionalFormatting sqref="E24">
    <cfRule type="expression" dxfId="5714" priority="358">
      <formula>B24=""</formula>
    </cfRule>
  </conditionalFormatting>
  <conditionalFormatting sqref="E25">
    <cfRule type="expression" dxfId="5713" priority="357">
      <formula>B25=""</formula>
    </cfRule>
  </conditionalFormatting>
  <conditionalFormatting sqref="E26">
    <cfRule type="expression" dxfId="5712" priority="356">
      <formula>B26=""</formula>
    </cfRule>
  </conditionalFormatting>
  <conditionalFormatting sqref="E27">
    <cfRule type="expression" dxfId="5711" priority="355">
      <formula>B27=""</formula>
    </cfRule>
  </conditionalFormatting>
  <conditionalFormatting sqref="F8:F27">
    <cfRule type="expression" dxfId="5710" priority="354">
      <formula>B8=""</formula>
    </cfRule>
  </conditionalFormatting>
  <conditionalFormatting sqref="F9 F11 F13 F15 F17 F19 F21 F23 F25 F27">
    <cfRule type="expression" dxfId="5709" priority="353">
      <formula>B9=""</formula>
    </cfRule>
  </conditionalFormatting>
  <conditionalFormatting sqref="F10:F20">
    <cfRule type="expression" dxfId="5708" priority="352">
      <formula>B10=""</formula>
    </cfRule>
  </conditionalFormatting>
  <conditionalFormatting sqref="F21">
    <cfRule type="expression" dxfId="5707" priority="351">
      <formula>B21=""</formula>
    </cfRule>
  </conditionalFormatting>
  <conditionalFormatting sqref="F22">
    <cfRule type="expression" dxfId="5706" priority="350">
      <formula>B22=""</formula>
    </cfRule>
  </conditionalFormatting>
  <conditionalFormatting sqref="F23">
    <cfRule type="expression" dxfId="5705" priority="349">
      <formula>B23=""</formula>
    </cfRule>
  </conditionalFormatting>
  <conditionalFormatting sqref="F24">
    <cfRule type="expression" dxfId="5704" priority="348">
      <formula>B24=""</formula>
    </cfRule>
  </conditionalFormatting>
  <conditionalFormatting sqref="F25">
    <cfRule type="expression" dxfId="5703" priority="347">
      <formula>B25=""</formula>
    </cfRule>
  </conditionalFormatting>
  <conditionalFormatting sqref="F26">
    <cfRule type="expression" dxfId="5702" priority="346">
      <formula>B26=""</formula>
    </cfRule>
  </conditionalFormatting>
  <conditionalFormatting sqref="F27">
    <cfRule type="expression" dxfId="5701" priority="345">
      <formula>B27=""</formula>
    </cfRule>
  </conditionalFormatting>
  <conditionalFormatting sqref="E9 E11 E13 E15 E17 E19 E21 E23 E25 E27">
    <cfRule type="expression" dxfId="5700" priority="344">
      <formula>B9=""</formula>
    </cfRule>
  </conditionalFormatting>
  <conditionalFormatting sqref="E10:E20">
    <cfRule type="expression" dxfId="5699" priority="343">
      <formula>B10=""</formula>
    </cfRule>
  </conditionalFormatting>
  <conditionalFormatting sqref="E21">
    <cfRule type="expression" dxfId="5698" priority="342">
      <formula>B21=""</formula>
    </cfRule>
  </conditionalFormatting>
  <conditionalFormatting sqref="E22">
    <cfRule type="expression" dxfId="5697" priority="341">
      <formula>B22=""</formula>
    </cfRule>
  </conditionalFormatting>
  <conditionalFormatting sqref="E23">
    <cfRule type="expression" dxfId="5696" priority="340">
      <formula>B23=""</formula>
    </cfRule>
  </conditionalFormatting>
  <conditionalFormatting sqref="E24">
    <cfRule type="expression" dxfId="5695" priority="339">
      <formula>B24=""</formula>
    </cfRule>
  </conditionalFormatting>
  <conditionalFormatting sqref="E25">
    <cfRule type="expression" dxfId="5694" priority="338">
      <formula>B25=""</formula>
    </cfRule>
  </conditionalFormatting>
  <conditionalFormatting sqref="E26">
    <cfRule type="expression" dxfId="5693" priority="337">
      <formula>B26=""</formula>
    </cfRule>
  </conditionalFormatting>
  <conditionalFormatting sqref="E27">
    <cfRule type="expression" dxfId="5692" priority="336">
      <formula>B27=""</formula>
    </cfRule>
  </conditionalFormatting>
  <conditionalFormatting sqref="G8:G27">
    <cfRule type="expression" dxfId="5691" priority="335">
      <formula>B8=""</formula>
    </cfRule>
  </conditionalFormatting>
  <conditionalFormatting sqref="G9 G11 G13 G15 G17 G19 G21 G23 G25 G27">
    <cfRule type="expression" dxfId="5690" priority="334">
      <formula>B9=""</formula>
    </cfRule>
  </conditionalFormatting>
  <conditionalFormatting sqref="G10:G20">
    <cfRule type="expression" dxfId="5689" priority="333">
      <formula>B10=""</formula>
    </cfRule>
  </conditionalFormatting>
  <conditionalFormatting sqref="G21">
    <cfRule type="expression" dxfId="5688" priority="332">
      <formula>B21=""</formula>
    </cfRule>
  </conditionalFormatting>
  <conditionalFormatting sqref="G22">
    <cfRule type="expression" dxfId="5687" priority="331">
      <formula>B22=""</formula>
    </cfRule>
  </conditionalFormatting>
  <conditionalFormatting sqref="G23">
    <cfRule type="expression" dxfId="5686" priority="330">
      <formula>B23=""</formula>
    </cfRule>
  </conditionalFormatting>
  <conditionalFormatting sqref="G24">
    <cfRule type="expression" dxfId="5685" priority="329">
      <formula>B24=""</formula>
    </cfRule>
  </conditionalFormatting>
  <conditionalFormatting sqref="G25">
    <cfRule type="expression" dxfId="5684" priority="328">
      <formula>B25=""</formula>
    </cfRule>
  </conditionalFormatting>
  <conditionalFormatting sqref="G26">
    <cfRule type="expression" dxfId="5683" priority="327">
      <formula>B26=""</formula>
    </cfRule>
  </conditionalFormatting>
  <conditionalFormatting sqref="G27">
    <cfRule type="expression" dxfId="5682" priority="326">
      <formula>B27=""</formula>
    </cfRule>
  </conditionalFormatting>
  <conditionalFormatting sqref="H8 H10 H12 H14 H16 H18 H20 H22 H24 H26">
    <cfRule type="expression" dxfId="5681" priority="325">
      <formula>B8=""</formula>
    </cfRule>
  </conditionalFormatting>
  <conditionalFormatting sqref="H9 H11 H13 H15 H17 H19 H21 H23 H25 H27">
    <cfRule type="expression" dxfId="5680" priority="324">
      <formula>B9=""</formula>
    </cfRule>
  </conditionalFormatting>
  <conditionalFormatting sqref="H10:H20">
    <cfRule type="expression" dxfId="5679" priority="323">
      <formula>B10=""</formula>
    </cfRule>
  </conditionalFormatting>
  <conditionalFormatting sqref="H21">
    <cfRule type="expression" dxfId="5678" priority="322">
      <formula>B21=""</formula>
    </cfRule>
  </conditionalFormatting>
  <conditionalFormatting sqref="H22">
    <cfRule type="expression" dxfId="5677" priority="321">
      <formula>B22=""</formula>
    </cfRule>
  </conditionalFormatting>
  <conditionalFormatting sqref="H23">
    <cfRule type="expression" dxfId="5676" priority="320">
      <formula>B23=""</formula>
    </cfRule>
  </conditionalFormatting>
  <conditionalFormatting sqref="H24">
    <cfRule type="expression" dxfId="5675" priority="319">
      <formula>B24=""</formula>
    </cfRule>
  </conditionalFormatting>
  <conditionalFormatting sqref="H25">
    <cfRule type="expression" dxfId="5674" priority="318">
      <formula>B25=""</formula>
    </cfRule>
  </conditionalFormatting>
  <conditionalFormatting sqref="H26">
    <cfRule type="expression" dxfId="5673" priority="317">
      <formula>B26=""</formula>
    </cfRule>
  </conditionalFormatting>
  <conditionalFormatting sqref="H27">
    <cfRule type="expression" dxfId="5672" priority="316">
      <formula>B27=""</formula>
    </cfRule>
  </conditionalFormatting>
  <conditionalFormatting sqref="F8 F10 F12 F14 F16 F18 F20 F22 F24 F26">
    <cfRule type="expression" dxfId="5671" priority="315">
      <formula>B8=""</formula>
    </cfRule>
  </conditionalFormatting>
  <conditionalFormatting sqref="F9 F11 F13 F15 F17 F19 F21 F23 F25 F27">
    <cfRule type="expression" dxfId="5670" priority="314">
      <formula>B9=""</formula>
    </cfRule>
  </conditionalFormatting>
  <conditionalFormatting sqref="F10:F20">
    <cfRule type="expression" dxfId="5669" priority="313">
      <formula>B10=""</formula>
    </cfRule>
  </conditionalFormatting>
  <conditionalFormatting sqref="F21">
    <cfRule type="expression" dxfId="5668" priority="312">
      <formula>B21=""</formula>
    </cfRule>
  </conditionalFormatting>
  <conditionalFormatting sqref="F22">
    <cfRule type="expression" dxfId="5667" priority="311">
      <formula>B22=""</formula>
    </cfRule>
  </conditionalFormatting>
  <conditionalFormatting sqref="F23">
    <cfRule type="expression" dxfId="5666" priority="310">
      <formula>B23=""</formula>
    </cfRule>
  </conditionalFormatting>
  <conditionalFormatting sqref="F24">
    <cfRule type="expression" dxfId="5665" priority="309">
      <formula>B24=""</formula>
    </cfRule>
  </conditionalFormatting>
  <conditionalFormatting sqref="F25">
    <cfRule type="expression" dxfId="5664" priority="308">
      <formula>B25=""</formula>
    </cfRule>
  </conditionalFormatting>
  <conditionalFormatting sqref="F26">
    <cfRule type="expression" dxfId="5663" priority="307">
      <formula>B26=""</formula>
    </cfRule>
  </conditionalFormatting>
  <conditionalFormatting sqref="F27">
    <cfRule type="expression" dxfId="5662" priority="306">
      <formula>B27=""</formula>
    </cfRule>
  </conditionalFormatting>
  <conditionalFormatting sqref="C30:C49">
    <cfRule type="expression" dxfId="5661" priority="305">
      <formula>B30=""</formula>
    </cfRule>
  </conditionalFormatting>
  <conditionalFormatting sqref="C31 C33 C35 C37 C39 C41 C43 C45 C47 C49">
    <cfRule type="expression" dxfId="5660" priority="304">
      <formula>B31=""</formula>
    </cfRule>
  </conditionalFormatting>
  <conditionalFormatting sqref="C32:C42">
    <cfRule type="expression" dxfId="5659" priority="303">
      <formula>B32=""</formula>
    </cfRule>
  </conditionalFormatting>
  <conditionalFormatting sqref="C43">
    <cfRule type="expression" dxfId="5658" priority="302">
      <formula>B43=""</formula>
    </cfRule>
  </conditionalFormatting>
  <conditionalFormatting sqref="C44">
    <cfRule type="expression" dxfId="5657" priority="301">
      <formula>B44=""</formula>
    </cfRule>
  </conditionalFormatting>
  <conditionalFormatting sqref="C45">
    <cfRule type="expression" dxfId="5656" priority="300">
      <formula>B45=""</formula>
    </cfRule>
  </conditionalFormatting>
  <conditionalFormatting sqref="C46">
    <cfRule type="expression" dxfId="5655" priority="299">
      <formula>B46=""</formula>
    </cfRule>
  </conditionalFormatting>
  <conditionalFormatting sqref="C47">
    <cfRule type="expression" dxfId="5654" priority="298">
      <formula>B47=""</formula>
    </cfRule>
  </conditionalFormatting>
  <conditionalFormatting sqref="C48">
    <cfRule type="expression" dxfId="5653" priority="297">
      <formula>B48=""</formula>
    </cfRule>
  </conditionalFormatting>
  <conditionalFormatting sqref="C49">
    <cfRule type="expression" dxfId="5652" priority="296">
      <formula>B49=""</formula>
    </cfRule>
  </conditionalFormatting>
  <conditionalFormatting sqref="D30 D32 D34 D36 D38 D40 D42 D44 D46 D48">
    <cfRule type="expression" dxfId="5651" priority="295">
      <formula>B30=""</formula>
    </cfRule>
  </conditionalFormatting>
  <conditionalFormatting sqref="D31 D33 D35 D37 D39 D41 D43 D45 D47 D49">
    <cfRule type="expression" dxfId="5650" priority="294">
      <formula>B31=""</formula>
    </cfRule>
  </conditionalFormatting>
  <conditionalFormatting sqref="D32:D42">
    <cfRule type="expression" dxfId="5649" priority="293">
      <formula>B32=""</formula>
    </cfRule>
  </conditionalFormatting>
  <conditionalFormatting sqref="D43">
    <cfRule type="expression" dxfId="5648" priority="292">
      <formula>B43=""</formula>
    </cfRule>
  </conditionalFormatting>
  <conditionalFormatting sqref="D44">
    <cfRule type="expression" dxfId="5647" priority="291">
      <formula>B44=""</formula>
    </cfRule>
  </conditionalFormatting>
  <conditionalFormatting sqref="D45">
    <cfRule type="expression" dxfId="5646" priority="290">
      <formula>B45=""</formula>
    </cfRule>
  </conditionalFormatting>
  <conditionalFormatting sqref="D46">
    <cfRule type="expression" dxfId="5645" priority="289">
      <formula>B46=""</formula>
    </cfRule>
  </conditionalFormatting>
  <conditionalFormatting sqref="D47">
    <cfRule type="expression" dxfId="5644" priority="288">
      <formula>B47=""</formula>
    </cfRule>
  </conditionalFormatting>
  <conditionalFormatting sqref="D48">
    <cfRule type="expression" dxfId="5643" priority="287">
      <formula>B48=""</formula>
    </cfRule>
  </conditionalFormatting>
  <conditionalFormatting sqref="D49">
    <cfRule type="expression" dxfId="5642" priority="286">
      <formula>B49=""</formula>
    </cfRule>
  </conditionalFormatting>
  <conditionalFormatting sqref="E30 E32 E34 E36 E38 E40 E42 E44 E46 E48">
    <cfRule type="expression" dxfId="5641" priority="285">
      <formula>B30=""</formula>
    </cfRule>
  </conditionalFormatting>
  <conditionalFormatting sqref="E31 E33 E35 E37 E39 E41 E43 E45 E47 E49">
    <cfRule type="expression" dxfId="5640" priority="284">
      <formula>B31=""</formula>
    </cfRule>
  </conditionalFormatting>
  <conditionalFormatting sqref="E32:E42">
    <cfRule type="expression" dxfId="5639" priority="283">
      <formula>B32=""</formula>
    </cfRule>
  </conditionalFormatting>
  <conditionalFormatting sqref="E43">
    <cfRule type="expression" dxfId="5638" priority="282">
      <formula>B43=""</formula>
    </cfRule>
  </conditionalFormatting>
  <conditionalFormatting sqref="E44">
    <cfRule type="expression" dxfId="5637" priority="281">
      <formula>B44=""</formula>
    </cfRule>
  </conditionalFormatting>
  <conditionalFormatting sqref="E45">
    <cfRule type="expression" dxfId="5636" priority="280">
      <formula>B45=""</formula>
    </cfRule>
  </conditionalFormatting>
  <conditionalFormatting sqref="E46">
    <cfRule type="expression" dxfId="5635" priority="279">
      <formula>B46=""</formula>
    </cfRule>
  </conditionalFormatting>
  <conditionalFormatting sqref="E47">
    <cfRule type="expression" dxfId="5634" priority="278">
      <formula>B47=""</formula>
    </cfRule>
  </conditionalFormatting>
  <conditionalFormatting sqref="E48">
    <cfRule type="expression" dxfId="5633" priority="277">
      <formula>B48=""</formula>
    </cfRule>
  </conditionalFormatting>
  <conditionalFormatting sqref="E49">
    <cfRule type="expression" dxfId="5632" priority="276">
      <formula>B49=""</formula>
    </cfRule>
  </conditionalFormatting>
  <conditionalFormatting sqref="F30 F32 F34 F36 F38 F40 F42 F44 F46 F48">
    <cfRule type="expression" dxfId="5631" priority="275">
      <formula>B30=""</formula>
    </cfRule>
  </conditionalFormatting>
  <conditionalFormatting sqref="F31 F33 F35 F37 F39 F41 F43 F45 F47 F49">
    <cfRule type="expression" dxfId="5630" priority="274">
      <formula>B31=""</formula>
    </cfRule>
  </conditionalFormatting>
  <conditionalFormatting sqref="F32:F42">
    <cfRule type="expression" dxfId="5629" priority="273">
      <formula>B32=""</formula>
    </cfRule>
  </conditionalFormatting>
  <conditionalFormatting sqref="F43">
    <cfRule type="expression" dxfId="5628" priority="272">
      <formula>B43=""</formula>
    </cfRule>
  </conditionalFormatting>
  <conditionalFormatting sqref="F44">
    <cfRule type="expression" dxfId="5627" priority="271">
      <formula>B44=""</formula>
    </cfRule>
  </conditionalFormatting>
  <conditionalFormatting sqref="F45">
    <cfRule type="expression" dxfId="5626" priority="270">
      <formula>B45=""</formula>
    </cfRule>
  </conditionalFormatting>
  <conditionalFormatting sqref="F46">
    <cfRule type="expression" dxfId="5625" priority="269">
      <formula>B46=""</formula>
    </cfRule>
  </conditionalFormatting>
  <conditionalFormatting sqref="F47">
    <cfRule type="expression" dxfId="5624" priority="268">
      <formula>B47=""</formula>
    </cfRule>
  </conditionalFormatting>
  <conditionalFormatting sqref="F48">
    <cfRule type="expression" dxfId="5623" priority="267">
      <formula>B48=""</formula>
    </cfRule>
  </conditionalFormatting>
  <conditionalFormatting sqref="F49">
    <cfRule type="expression" dxfId="5622" priority="266">
      <formula>B49=""</formula>
    </cfRule>
  </conditionalFormatting>
  <conditionalFormatting sqref="E31 E33 E35 E37 E39 E41 E43 E45 E47 E49">
    <cfRule type="expression" dxfId="5621" priority="265">
      <formula>B31=""</formula>
    </cfRule>
  </conditionalFormatting>
  <conditionalFormatting sqref="E32:E42">
    <cfRule type="expression" dxfId="5620" priority="264">
      <formula>B32=""</formula>
    </cfRule>
  </conditionalFormatting>
  <conditionalFormatting sqref="E43">
    <cfRule type="expression" dxfId="5619" priority="263">
      <formula>B43=""</formula>
    </cfRule>
  </conditionalFormatting>
  <conditionalFormatting sqref="E44">
    <cfRule type="expression" dxfId="5618" priority="262">
      <formula>B44=""</formula>
    </cfRule>
  </conditionalFormatting>
  <conditionalFormatting sqref="E45">
    <cfRule type="expression" dxfId="5617" priority="261">
      <formula>B45=""</formula>
    </cfRule>
  </conditionalFormatting>
  <conditionalFormatting sqref="E46">
    <cfRule type="expression" dxfId="5616" priority="260">
      <formula>B46=""</formula>
    </cfRule>
  </conditionalFormatting>
  <conditionalFormatting sqref="E47">
    <cfRule type="expression" dxfId="5615" priority="259">
      <formula>B47=""</formula>
    </cfRule>
  </conditionalFormatting>
  <conditionalFormatting sqref="E48">
    <cfRule type="expression" dxfId="5614" priority="258">
      <formula>B48=""</formula>
    </cfRule>
  </conditionalFormatting>
  <conditionalFormatting sqref="E49">
    <cfRule type="expression" dxfId="5613" priority="257">
      <formula>B49=""</formula>
    </cfRule>
  </conditionalFormatting>
  <conditionalFormatting sqref="G30 G32 G34 G36 G38 G40 G42 G44 G46 G48">
    <cfRule type="expression" dxfId="5612" priority="256">
      <formula>B30=""</formula>
    </cfRule>
  </conditionalFormatting>
  <conditionalFormatting sqref="G31 G33 G35 G37 G39 G41 G43 G45 G47 G49">
    <cfRule type="expression" dxfId="5611" priority="255">
      <formula>B31=""</formula>
    </cfRule>
  </conditionalFormatting>
  <conditionalFormatting sqref="G32:G42">
    <cfRule type="expression" dxfId="5610" priority="254">
      <formula>B32=""</formula>
    </cfRule>
  </conditionalFormatting>
  <conditionalFormatting sqref="G43">
    <cfRule type="expression" dxfId="5609" priority="253">
      <formula>B43=""</formula>
    </cfRule>
  </conditionalFormatting>
  <conditionalFormatting sqref="G44">
    <cfRule type="expression" dxfId="5608" priority="252">
      <formula>B44=""</formula>
    </cfRule>
  </conditionalFormatting>
  <conditionalFormatting sqref="G45">
    <cfRule type="expression" dxfId="5607" priority="251">
      <formula>B45=""</formula>
    </cfRule>
  </conditionalFormatting>
  <conditionalFormatting sqref="G46">
    <cfRule type="expression" dxfId="5606" priority="250">
      <formula>B46=""</formula>
    </cfRule>
  </conditionalFormatting>
  <conditionalFormatting sqref="G47">
    <cfRule type="expression" dxfId="5605" priority="249">
      <formula>B47=""</formula>
    </cfRule>
  </conditionalFormatting>
  <conditionalFormatting sqref="G48">
    <cfRule type="expression" dxfId="5604" priority="248">
      <formula>B48=""</formula>
    </cfRule>
  </conditionalFormatting>
  <conditionalFormatting sqref="G49">
    <cfRule type="expression" dxfId="5603" priority="247">
      <formula>B49=""</formula>
    </cfRule>
  </conditionalFormatting>
  <conditionalFormatting sqref="H30 H32 H34 H36 H38 H40 H42 H44 H46 H48">
    <cfRule type="expression" dxfId="5602" priority="246">
      <formula>B30=""</formula>
    </cfRule>
  </conditionalFormatting>
  <conditionalFormatting sqref="H31 H33 H35 H37 H39 H41 H43 H45 H47 H49">
    <cfRule type="expression" dxfId="5601" priority="245">
      <formula>B31=""</formula>
    </cfRule>
  </conditionalFormatting>
  <conditionalFormatting sqref="H32:H42">
    <cfRule type="expression" dxfId="5600" priority="244">
      <formula>B32=""</formula>
    </cfRule>
  </conditionalFormatting>
  <conditionalFormatting sqref="H43">
    <cfRule type="expression" dxfId="5599" priority="243">
      <formula>B43=""</formula>
    </cfRule>
  </conditionalFormatting>
  <conditionalFormatting sqref="H44">
    <cfRule type="expression" dxfId="5598" priority="242">
      <formula>B44=""</formula>
    </cfRule>
  </conditionalFormatting>
  <conditionalFormatting sqref="H45">
    <cfRule type="expression" dxfId="5597" priority="241">
      <formula>B45=""</formula>
    </cfRule>
  </conditionalFormatting>
  <conditionalFormatting sqref="H46">
    <cfRule type="expression" dxfId="5596" priority="240">
      <formula>B46=""</formula>
    </cfRule>
  </conditionalFormatting>
  <conditionalFormatting sqref="H47">
    <cfRule type="expression" dxfId="5595" priority="239">
      <formula>B47=""</formula>
    </cfRule>
  </conditionalFormatting>
  <conditionalFormatting sqref="H48">
    <cfRule type="expression" dxfId="5594" priority="238">
      <formula>B48=""</formula>
    </cfRule>
  </conditionalFormatting>
  <conditionalFormatting sqref="H49">
    <cfRule type="expression" dxfId="5593" priority="237">
      <formula>B49=""</formula>
    </cfRule>
  </conditionalFormatting>
  <conditionalFormatting sqref="C30:C49">
    <cfRule type="expression" dxfId="5592" priority="236">
      <formula>B30=""</formula>
    </cfRule>
  </conditionalFormatting>
  <conditionalFormatting sqref="C31 C33 C35 C37 C39 C41 C43 C45 C47 C49">
    <cfRule type="expression" dxfId="5591" priority="235">
      <formula>B31=""</formula>
    </cfRule>
  </conditionalFormatting>
  <conditionalFormatting sqref="C32:C42">
    <cfRule type="expression" dxfId="5590" priority="234">
      <formula>B32=""</formula>
    </cfRule>
  </conditionalFormatting>
  <conditionalFormatting sqref="C43">
    <cfRule type="expression" dxfId="5589" priority="233">
      <formula>B43=""</formula>
    </cfRule>
  </conditionalFormatting>
  <conditionalFormatting sqref="C44">
    <cfRule type="expression" dxfId="5588" priority="232">
      <formula>B44=""</formula>
    </cfRule>
  </conditionalFormatting>
  <conditionalFormatting sqref="C45">
    <cfRule type="expression" dxfId="5587" priority="231">
      <formula>B45=""</formula>
    </cfRule>
  </conditionalFormatting>
  <conditionalFormatting sqref="C46">
    <cfRule type="expression" dxfId="5586" priority="230">
      <formula>B46=""</formula>
    </cfRule>
  </conditionalFormatting>
  <conditionalFormatting sqref="C47">
    <cfRule type="expression" dxfId="5585" priority="229">
      <formula>B47=""</formula>
    </cfRule>
  </conditionalFormatting>
  <conditionalFormatting sqref="C48">
    <cfRule type="expression" dxfId="5584" priority="228">
      <formula>B48=""</formula>
    </cfRule>
  </conditionalFormatting>
  <conditionalFormatting sqref="C49">
    <cfRule type="expression" dxfId="5583" priority="227">
      <formula>B49=""</formula>
    </cfRule>
  </conditionalFormatting>
  <conditionalFormatting sqref="C30 C32 C34 C36 C38 C40 C42 C44 C46 C48">
    <cfRule type="expression" dxfId="5582" priority="226">
      <formula>B30=""</formula>
    </cfRule>
  </conditionalFormatting>
  <conditionalFormatting sqref="C31 C33 C35 C37 C39 C41 C43 C45 C47 C49">
    <cfRule type="expression" dxfId="5581" priority="225">
      <formula>B31=""</formula>
    </cfRule>
  </conditionalFormatting>
  <conditionalFormatting sqref="C32:C42">
    <cfRule type="expression" dxfId="5580" priority="224">
      <formula>B32=""</formula>
    </cfRule>
  </conditionalFormatting>
  <conditionalFormatting sqref="C43">
    <cfRule type="expression" dxfId="5579" priority="223">
      <formula>B43=""</formula>
    </cfRule>
  </conditionalFormatting>
  <conditionalFormatting sqref="C44">
    <cfRule type="expression" dxfId="5578" priority="222">
      <formula>B44=""</formula>
    </cfRule>
  </conditionalFormatting>
  <conditionalFormatting sqref="C45">
    <cfRule type="expression" dxfId="5577" priority="221">
      <formula>B45=""</formula>
    </cfRule>
  </conditionalFormatting>
  <conditionalFormatting sqref="C46">
    <cfRule type="expression" dxfId="5576" priority="220">
      <formula>B46=""</formula>
    </cfRule>
  </conditionalFormatting>
  <conditionalFormatting sqref="C47">
    <cfRule type="expression" dxfId="5575" priority="219">
      <formula>B47=""</formula>
    </cfRule>
  </conditionalFormatting>
  <conditionalFormatting sqref="C48">
    <cfRule type="expression" dxfId="5574" priority="218">
      <formula>B48=""</formula>
    </cfRule>
  </conditionalFormatting>
  <conditionalFormatting sqref="C49">
    <cfRule type="expression" dxfId="5573" priority="217">
      <formula>B49=""</formula>
    </cfRule>
  </conditionalFormatting>
  <conditionalFormatting sqref="D30 D32 D34 D36 D38 D40 D42 D44 D46 D48">
    <cfRule type="expression" dxfId="5572" priority="216">
      <formula>B30=""</formula>
    </cfRule>
  </conditionalFormatting>
  <conditionalFormatting sqref="D31 D33 D35 D37 D39 D41 D43 D45 D47 D49">
    <cfRule type="expression" dxfId="5571" priority="215">
      <formula>B31=""</formula>
    </cfRule>
  </conditionalFormatting>
  <conditionalFormatting sqref="D32:D42">
    <cfRule type="expression" dxfId="5570" priority="214">
      <formula>B32=""</formula>
    </cfRule>
  </conditionalFormatting>
  <conditionalFormatting sqref="D43">
    <cfRule type="expression" dxfId="5569" priority="213">
      <formula>B43=""</formula>
    </cfRule>
  </conditionalFormatting>
  <conditionalFormatting sqref="D44">
    <cfRule type="expression" dxfId="5568" priority="212">
      <formula>B44=""</formula>
    </cfRule>
  </conditionalFormatting>
  <conditionalFormatting sqref="D45">
    <cfRule type="expression" dxfId="5567" priority="211">
      <formula>B45=""</formula>
    </cfRule>
  </conditionalFormatting>
  <conditionalFormatting sqref="D46">
    <cfRule type="expression" dxfId="5566" priority="210">
      <formula>B46=""</formula>
    </cfRule>
  </conditionalFormatting>
  <conditionalFormatting sqref="D47">
    <cfRule type="expression" dxfId="5565" priority="209">
      <formula>B47=""</formula>
    </cfRule>
  </conditionalFormatting>
  <conditionalFormatting sqref="D48">
    <cfRule type="expression" dxfId="5564" priority="208">
      <formula>B48=""</formula>
    </cfRule>
  </conditionalFormatting>
  <conditionalFormatting sqref="D49">
    <cfRule type="expression" dxfId="5563" priority="207">
      <formula>B49=""</formula>
    </cfRule>
  </conditionalFormatting>
  <conditionalFormatting sqref="E30:E49">
    <cfRule type="expression" dxfId="5562" priority="206">
      <formula>B30=""</formula>
    </cfRule>
  </conditionalFormatting>
  <conditionalFormatting sqref="E31 E33 E35 E37 E39 E41 E43 E45 E47 E49">
    <cfRule type="expression" dxfId="5561" priority="205">
      <formula>B31=""</formula>
    </cfRule>
  </conditionalFormatting>
  <conditionalFormatting sqref="E32:E42">
    <cfRule type="expression" dxfId="5560" priority="204">
      <formula>B32=""</formula>
    </cfRule>
  </conditionalFormatting>
  <conditionalFormatting sqref="E43">
    <cfRule type="expression" dxfId="5559" priority="203">
      <formula>B43=""</formula>
    </cfRule>
  </conditionalFormatting>
  <conditionalFormatting sqref="E44">
    <cfRule type="expression" dxfId="5558" priority="202">
      <formula>B44=""</formula>
    </cfRule>
  </conditionalFormatting>
  <conditionalFormatting sqref="E45">
    <cfRule type="expression" dxfId="5557" priority="201">
      <formula>B45=""</formula>
    </cfRule>
  </conditionalFormatting>
  <conditionalFormatting sqref="E46">
    <cfRule type="expression" dxfId="5556" priority="200">
      <formula>B46=""</formula>
    </cfRule>
  </conditionalFormatting>
  <conditionalFormatting sqref="E47">
    <cfRule type="expression" dxfId="5555" priority="199">
      <formula>B47=""</formula>
    </cfRule>
  </conditionalFormatting>
  <conditionalFormatting sqref="E48">
    <cfRule type="expression" dxfId="5554" priority="198">
      <formula>B48=""</formula>
    </cfRule>
  </conditionalFormatting>
  <conditionalFormatting sqref="E49">
    <cfRule type="expression" dxfId="5553" priority="197">
      <formula>B49=""</formula>
    </cfRule>
  </conditionalFormatting>
  <conditionalFormatting sqref="F30:F49">
    <cfRule type="expression" dxfId="5552" priority="196">
      <formula>B30=""</formula>
    </cfRule>
  </conditionalFormatting>
  <conditionalFormatting sqref="F31 F33 F35 F37 F39 F41 F43 F45 F47 F49">
    <cfRule type="expression" dxfId="5551" priority="195">
      <formula>B31=""</formula>
    </cfRule>
  </conditionalFormatting>
  <conditionalFormatting sqref="F32:F42">
    <cfRule type="expression" dxfId="5550" priority="194">
      <formula>B32=""</formula>
    </cfRule>
  </conditionalFormatting>
  <conditionalFormatting sqref="F43">
    <cfRule type="expression" dxfId="5549" priority="193">
      <formula>B43=""</formula>
    </cfRule>
  </conditionalFormatting>
  <conditionalFormatting sqref="F44">
    <cfRule type="expression" dxfId="5548" priority="192">
      <formula>B44=""</formula>
    </cfRule>
  </conditionalFormatting>
  <conditionalFormatting sqref="F45">
    <cfRule type="expression" dxfId="5547" priority="191">
      <formula>B45=""</formula>
    </cfRule>
  </conditionalFormatting>
  <conditionalFormatting sqref="F46">
    <cfRule type="expression" dxfId="5546" priority="190">
      <formula>B46=""</formula>
    </cfRule>
  </conditionalFormatting>
  <conditionalFormatting sqref="F47">
    <cfRule type="expression" dxfId="5545" priority="189">
      <formula>B47=""</formula>
    </cfRule>
  </conditionalFormatting>
  <conditionalFormatting sqref="F48">
    <cfRule type="expression" dxfId="5544" priority="188">
      <formula>B48=""</formula>
    </cfRule>
  </conditionalFormatting>
  <conditionalFormatting sqref="F49">
    <cfRule type="expression" dxfId="5543" priority="187">
      <formula>B49=""</formula>
    </cfRule>
  </conditionalFormatting>
  <conditionalFormatting sqref="E31 E33 E35 E37 E39 E41 E43 E45 E47 E49">
    <cfRule type="expression" dxfId="5542" priority="186">
      <formula>B31=""</formula>
    </cfRule>
  </conditionalFormatting>
  <conditionalFormatting sqref="E32:E42">
    <cfRule type="expression" dxfId="5541" priority="185">
      <formula>B32=""</formula>
    </cfRule>
  </conditionalFormatting>
  <conditionalFormatting sqref="E43">
    <cfRule type="expression" dxfId="5540" priority="184">
      <formula>B43=""</formula>
    </cfRule>
  </conditionalFormatting>
  <conditionalFormatting sqref="E44">
    <cfRule type="expression" dxfId="5539" priority="183">
      <formula>B44=""</formula>
    </cfRule>
  </conditionalFormatting>
  <conditionalFormatting sqref="E45">
    <cfRule type="expression" dxfId="5538" priority="182">
      <formula>B45=""</formula>
    </cfRule>
  </conditionalFormatting>
  <conditionalFormatting sqref="E46">
    <cfRule type="expression" dxfId="5537" priority="181">
      <formula>B46=""</formula>
    </cfRule>
  </conditionalFormatting>
  <conditionalFormatting sqref="E47">
    <cfRule type="expression" dxfId="5536" priority="180">
      <formula>B47=""</formula>
    </cfRule>
  </conditionalFormatting>
  <conditionalFormatting sqref="E48">
    <cfRule type="expression" dxfId="5535" priority="179">
      <formula>B48=""</formula>
    </cfRule>
  </conditionalFormatting>
  <conditionalFormatting sqref="E49">
    <cfRule type="expression" dxfId="5534" priority="178">
      <formula>B49=""</formula>
    </cfRule>
  </conditionalFormatting>
  <conditionalFormatting sqref="G30:G49">
    <cfRule type="expression" dxfId="5533" priority="177">
      <formula>B30=""</formula>
    </cfRule>
  </conditionalFormatting>
  <conditionalFormatting sqref="G31 G33 G35 G37 G39 G41 G43 G45 G47 G49">
    <cfRule type="expression" dxfId="5532" priority="176">
      <formula>B31=""</formula>
    </cfRule>
  </conditionalFormatting>
  <conditionalFormatting sqref="G32:G42">
    <cfRule type="expression" dxfId="5531" priority="175">
      <formula>B32=""</formula>
    </cfRule>
  </conditionalFormatting>
  <conditionalFormatting sqref="G43">
    <cfRule type="expression" dxfId="5530" priority="174">
      <formula>B43=""</formula>
    </cfRule>
  </conditionalFormatting>
  <conditionalFormatting sqref="G44">
    <cfRule type="expression" dxfId="5529" priority="173">
      <formula>B44=""</formula>
    </cfRule>
  </conditionalFormatting>
  <conditionalFormatting sqref="G45">
    <cfRule type="expression" dxfId="5528" priority="172">
      <formula>B45=""</formula>
    </cfRule>
  </conditionalFormatting>
  <conditionalFormatting sqref="G46">
    <cfRule type="expression" dxfId="5527" priority="171">
      <formula>B46=""</formula>
    </cfRule>
  </conditionalFormatting>
  <conditionalFormatting sqref="G47">
    <cfRule type="expression" dxfId="5526" priority="170">
      <formula>B47=""</formula>
    </cfRule>
  </conditionalFormatting>
  <conditionalFormatting sqref="G48">
    <cfRule type="expression" dxfId="5525" priority="169">
      <formula>B48=""</formula>
    </cfRule>
  </conditionalFormatting>
  <conditionalFormatting sqref="G49">
    <cfRule type="expression" dxfId="5524" priority="168">
      <formula>B49=""</formula>
    </cfRule>
  </conditionalFormatting>
  <conditionalFormatting sqref="H30 H32 H34 H36 H38 H40 H42 H44 H46 H48">
    <cfRule type="expression" dxfId="5523" priority="167">
      <formula>B30=""</formula>
    </cfRule>
  </conditionalFormatting>
  <conditionalFormatting sqref="H31 H33 H35 H37 H39 H41 H43 H45 H47 H49">
    <cfRule type="expression" dxfId="5522" priority="166">
      <formula>B31=""</formula>
    </cfRule>
  </conditionalFormatting>
  <conditionalFormatting sqref="H32:H42">
    <cfRule type="expression" dxfId="5521" priority="165">
      <formula>B32=""</formula>
    </cfRule>
  </conditionalFormatting>
  <conditionalFormatting sqref="H43">
    <cfRule type="expression" dxfId="5520" priority="164">
      <formula>B43=""</formula>
    </cfRule>
  </conditionalFormatting>
  <conditionalFormatting sqref="H44">
    <cfRule type="expression" dxfId="5519" priority="163">
      <formula>B44=""</formula>
    </cfRule>
  </conditionalFormatting>
  <conditionalFormatting sqref="H45">
    <cfRule type="expression" dxfId="5518" priority="162">
      <formula>B45=""</formula>
    </cfRule>
  </conditionalFormatting>
  <conditionalFormatting sqref="H46">
    <cfRule type="expression" dxfId="5517" priority="161">
      <formula>B46=""</formula>
    </cfRule>
  </conditionalFormatting>
  <conditionalFormatting sqref="H47">
    <cfRule type="expression" dxfId="5516" priority="160">
      <formula>B47=""</formula>
    </cfRule>
  </conditionalFormatting>
  <conditionalFormatting sqref="H48">
    <cfRule type="expression" dxfId="5515" priority="159">
      <formula>B48=""</formula>
    </cfRule>
  </conditionalFormatting>
  <conditionalFormatting sqref="H49">
    <cfRule type="expression" dxfId="5514" priority="158">
      <formula>B49=""</formula>
    </cfRule>
  </conditionalFormatting>
  <conditionalFormatting sqref="F30 F32 F34 F36 F38 F40 F42 F44 F46 F48">
    <cfRule type="expression" dxfId="5513" priority="157">
      <formula>B30=""</formula>
    </cfRule>
  </conditionalFormatting>
  <conditionalFormatting sqref="F31 F33 F35 F37 F39 F41 F43 F45 F47 F49">
    <cfRule type="expression" dxfId="5512" priority="156">
      <formula>B31=""</formula>
    </cfRule>
  </conditionalFormatting>
  <conditionalFormatting sqref="F32:F42">
    <cfRule type="expression" dxfId="5511" priority="155">
      <formula>B32=""</formula>
    </cfRule>
  </conditionalFormatting>
  <conditionalFormatting sqref="F43">
    <cfRule type="expression" dxfId="5510" priority="154">
      <formula>B43=""</formula>
    </cfRule>
  </conditionalFormatting>
  <conditionalFormatting sqref="F44">
    <cfRule type="expression" dxfId="5509" priority="153">
      <formula>B44=""</formula>
    </cfRule>
  </conditionalFormatting>
  <conditionalFormatting sqref="F45">
    <cfRule type="expression" dxfId="5508" priority="152">
      <formula>B45=""</formula>
    </cfRule>
  </conditionalFormatting>
  <conditionalFormatting sqref="F46">
    <cfRule type="expression" dxfId="5507" priority="151">
      <formula>B46=""</formula>
    </cfRule>
  </conditionalFormatting>
  <conditionalFormatting sqref="F47">
    <cfRule type="expression" dxfId="5506" priority="150">
      <formula>B47=""</formula>
    </cfRule>
  </conditionalFormatting>
  <conditionalFormatting sqref="F48">
    <cfRule type="expression" dxfId="5505" priority="149">
      <formula>B48=""</formula>
    </cfRule>
  </conditionalFormatting>
  <conditionalFormatting sqref="F49">
    <cfRule type="expression" dxfId="5504" priority="148">
      <formula>B49=""</formula>
    </cfRule>
  </conditionalFormatting>
  <conditionalFormatting sqref="C52:C71">
    <cfRule type="expression" dxfId="5503" priority="147">
      <formula>B52=""</formula>
    </cfRule>
  </conditionalFormatting>
  <conditionalFormatting sqref="C53 C55 C57 C59 C61 C63 C65 C67 C69 C71">
    <cfRule type="expression" dxfId="5502" priority="146">
      <formula>B53=""</formula>
    </cfRule>
  </conditionalFormatting>
  <conditionalFormatting sqref="C54:C64">
    <cfRule type="expression" dxfId="5501" priority="145">
      <formula>B54=""</formula>
    </cfRule>
  </conditionalFormatting>
  <conditionalFormatting sqref="C65">
    <cfRule type="expression" dxfId="5500" priority="144">
      <formula>B65=""</formula>
    </cfRule>
  </conditionalFormatting>
  <conditionalFormatting sqref="C66">
    <cfRule type="expression" dxfId="5499" priority="143">
      <formula>B66=""</formula>
    </cfRule>
  </conditionalFormatting>
  <conditionalFormatting sqref="C67">
    <cfRule type="expression" dxfId="5498" priority="142">
      <formula>B67=""</formula>
    </cfRule>
  </conditionalFormatting>
  <conditionalFormatting sqref="C68">
    <cfRule type="expression" dxfId="5497" priority="141">
      <formula>B68=""</formula>
    </cfRule>
  </conditionalFormatting>
  <conditionalFormatting sqref="C69">
    <cfRule type="expression" dxfId="5496" priority="140">
      <formula>B69=""</formula>
    </cfRule>
  </conditionalFormatting>
  <conditionalFormatting sqref="C70">
    <cfRule type="expression" dxfId="5495" priority="139">
      <formula>B70=""</formula>
    </cfRule>
  </conditionalFormatting>
  <conditionalFormatting sqref="C71">
    <cfRule type="expression" dxfId="5494" priority="138">
      <formula>B71=""</formula>
    </cfRule>
  </conditionalFormatting>
  <conditionalFormatting sqref="C71">
    <cfRule type="expression" dxfId="5493" priority="137">
      <formula>B71=""</formula>
    </cfRule>
  </conditionalFormatting>
  <conditionalFormatting sqref="C52:C71">
    <cfRule type="expression" dxfId="5492" priority="136">
      <formula>B52=""</formula>
    </cfRule>
  </conditionalFormatting>
  <conditionalFormatting sqref="C53 C55 C57 C59 C61 C63 C65 C67 C69 C71">
    <cfRule type="expression" dxfId="5491" priority="135">
      <formula>B53=""</formula>
    </cfRule>
  </conditionalFormatting>
  <conditionalFormatting sqref="C54:C64">
    <cfRule type="expression" dxfId="5490" priority="134">
      <formula>B54=""</formula>
    </cfRule>
  </conditionalFormatting>
  <conditionalFormatting sqref="C65">
    <cfRule type="expression" dxfId="5489" priority="133">
      <formula>B65=""</formula>
    </cfRule>
  </conditionalFormatting>
  <conditionalFormatting sqref="C66">
    <cfRule type="expression" dxfId="5488" priority="132">
      <formula>B66=""</formula>
    </cfRule>
  </conditionalFormatting>
  <conditionalFormatting sqref="C67">
    <cfRule type="expression" dxfId="5487" priority="131">
      <formula>B67=""</formula>
    </cfRule>
  </conditionalFormatting>
  <conditionalFormatting sqref="C68">
    <cfRule type="expression" dxfId="5486" priority="130">
      <formula>B68=""</formula>
    </cfRule>
  </conditionalFormatting>
  <conditionalFormatting sqref="C69">
    <cfRule type="expression" dxfId="5485" priority="129">
      <formula>B69=""</formula>
    </cfRule>
  </conditionalFormatting>
  <conditionalFormatting sqref="C70">
    <cfRule type="expression" dxfId="5484" priority="128">
      <formula>B70=""</formula>
    </cfRule>
  </conditionalFormatting>
  <conditionalFormatting sqref="C71">
    <cfRule type="expression" dxfId="5483" priority="127">
      <formula>B71=""</formula>
    </cfRule>
  </conditionalFormatting>
  <conditionalFormatting sqref="C52:C71">
    <cfRule type="expression" dxfId="5482" priority="126">
      <formula>B52=""</formula>
    </cfRule>
  </conditionalFormatting>
  <conditionalFormatting sqref="C53 C55 C57 C59 C61 C63 C65 C67 C69 C71">
    <cfRule type="expression" dxfId="5481" priority="125">
      <formula>B53=""</formula>
    </cfRule>
  </conditionalFormatting>
  <conditionalFormatting sqref="C54:C64">
    <cfRule type="expression" dxfId="5480" priority="124">
      <formula>B54=""</formula>
    </cfRule>
  </conditionalFormatting>
  <conditionalFormatting sqref="C65">
    <cfRule type="expression" dxfId="5479" priority="123">
      <formula>B65=""</formula>
    </cfRule>
  </conditionalFormatting>
  <conditionalFormatting sqref="C66">
    <cfRule type="expression" dxfId="5478" priority="122">
      <formula>B66=""</formula>
    </cfRule>
  </conditionalFormatting>
  <conditionalFormatting sqref="C67">
    <cfRule type="expression" dxfId="5477" priority="121">
      <formula>B67=""</formula>
    </cfRule>
  </conditionalFormatting>
  <conditionalFormatting sqref="C68">
    <cfRule type="expression" dxfId="5476" priority="120">
      <formula>B68=""</formula>
    </cfRule>
  </conditionalFormatting>
  <conditionalFormatting sqref="C69">
    <cfRule type="expression" dxfId="5475" priority="119">
      <formula>B69=""</formula>
    </cfRule>
  </conditionalFormatting>
  <conditionalFormatting sqref="C70">
    <cfRule type="expression" dxfId="5474" priority="118">
      <formula>B70=""</formula>
    </cfRule>
  </conditionalFormatting>
  <conditionalFormatting sqref="C71">
    <cfRule type="expression" dxfId="5473" priority="117">
      <formula>B71=""</formula>
    </cfRule>
  </conditionalFormatting>
  <conditionalFormatting sqref="C52:C71">
    <cfRule type="expression" dxfId="5472" priority="116">
      <formula>B52=""</formula>
    </cfRule>
  </conditionalFormatting>
  <conditionalFormatting sqref="C53 C55 C57 C59 C61 C63 C65 C67 C69 C71">
    <cfRule type="expression" dxfId="5471" priority="115">
      <formula>B53=""</formula>
    </cfRule>
  </conditionalFormatting>
  <conditionalFormatting sqref="C54:C64">
    <cfRule type="expression" dxfId="5470" priority="114">
      <formula>B54=""</formula>
    </cfRule>
  </conditionalFormatting>
  <conditionalFormatting sqref="C65">
    <cfRule type="expression" dxfId="5469" priority="113">
      <formula>B65=""</formula>
    </cfRule>
  </conditionalFormatting>
  <conditionalFormatting sqref="C66">
    <cfRule type="expression" dxfId="5468" priority="112">
      <formula>B66=""</formula>
    </cfRule>
  </conditionalFormatting>
  <conditionalFormatting sqref="C67">
    <cfRule type="expression" dxfId="5467" priority="111">
      <formula>B67=""</formula>
    </cfRule>
  </conditionalFormatting>
  <conditionalFormatting sqref="C68">
    <cfRule type="expression" dxfId="5466" priority="110">
      <formula>B68=""</formula>
    </cfRule>
  </conditionalFormatting>
  <conditionalFormatting sqref="C69">
    <cfRule type="expression" dxfId="5465" priority="109">
      <formula>B69=""</formula>
    </cfRule>
  </conditionalFormatting>
  <conditionalFormatting sqref="C70">
    <cfRule type="expression" dxfId="5464" priority="108">
      <formula>B70=""</formula>
    </cfRule>
  </conditionalFormatting>
  <conditionalFormatting sqref="C71">
    <cfRule type="expression" dxfId="5463" priority="107">
      <formula>B71=""</formula>
    </cfRule>
  </conditionalFormatting>
  <conditionalFormatting sqref="C52 C54 C56 C58 C60 C62 C64 C66 C68 C70">
    <cfRule type="expression" dxfId="5462" priority="106">
      <formula>B52=""</formula>
    </cfRule>
  </conditionalFormatting>
  <conditionalFormatting sqref="C53 C55 C57 C59 C61 C63 C65 C67 C69 C71">
    <cfRule type="expression" dxfId="5461" priority="105">
      <formula>B53=""</formula>
    </cfRule>
  </conditionalFormatting>
  <conditionalFormatting sqref="C54:C64">
    <cfRule type="expression" dxfId="5460" priority="104">
      <formula>B54=""</formula>
    </cfRule>
  </conditionalFormatting>
  <conditionalFormatting sqref="C65">
    <cfRule type="expression" dxfId="5459" priority="103">
      <formula>B65=""</formula>
    </cfRule>
  </conditionalFormatting>
  <conditionalFormatting sqref="C66">
    <cfRule type="expression" dxfId="5458" priority="102">
      <formula>B66=""</formula>
    </cfRule>
  </conditionalFormatting>
  <conditionalFormatting sqref="C67">
    <cfRule type="expression" dxfId="5457" priority="101">
      <formula>B67=""</formula>
    </cfRule>
  </conditionalFormatting>
  <conditionalFormatting sqref="C68">
    <cfRule type="expression" dxfId="5456" priority="100">
      <formula>B68=""</formula>
    </cfRule>
  </conditionalFormatting>
  <conditionalFormatting sqref="C69">
    <cfRule type="expression" dxfId="5455" priority="99">
      <formula>B69=""</formula>
    </cfRule>
  </conditionalFormatting>
  <conditionalFormatting sqref="C70">
    <cfRule type="expression" dxfId="5454" priority="98">
      <formula>B70=""</formula>
    </cfRule>
  </conditionalFormatting>
  <conditionalFormatting sqref="C71">
    <cfRule type="expression" dxfId="5453" priority="97">
      <formula>B71=""</formula>
    </cfRule>
  </conditionalFormatting>
  <conditionalFormatting sqref="C74:C93">
    <cfRule type="expression" dxfId="5452" priority="96">
      <formula>B74=""</formula>
    </cfRule>
  </conditionalFormatting>
  <conditionalFormatting sqref="C75 C77 C79 C81 C83 C85 C87 C89 C91 C93">
    <cfRule type="expression" dxfId="5451" priority="95">
      <formula>B75=""</formula>
    </cfRule>
  </conditionalFormatting>
  <conditionalFormatting sqref="C76:C86">
    <cfRule type="expression" dxfId="5450" priority="94">
      <formula>B76=""</formula>
    </cfRule>
  </conditionalFormatting>
  <conditionalFormatting sqref="C87">
    <cfRule type="expression" dxfId="5449" priority="93">
      <formula>B87=""</formula>
    </cfRule>
  </conditionalFormatting>
  <conditionalFormatting sqref="C88">
    <cfRule type="expression" dxfId="5448" priority="92">
      <formula>B88=""</formula>
    </cfRule>
  </conditionalFormatting>
  <conditionalFormatting sqref="C89">
    <cfRule type="expression" dxfId="5447" priority="91">
      <formula>B89=""</formula>
    </cfRule>
  </conditionalFormatting>
  <conditionalFormatting sqref="C90">
    <cfRule type="expression" dxfId="5446" priority="90">
      <formula>B90=""</formula>
    </cfRule>
  </conditionalFormatting>
  <conditionalFormatting sqref="C91">
    <cfRule type="expression" dxfId="5445" priority="89">
      <formula>B91=""</formula>
    </cfRule>
  </conditionalFormatting>
  <conditionalFormatting sqref="C92">
    <cfRule type="expression" dxfId="5444" priority="88">
      <formula>B92=""</formula>
    </cfRule>
  </conditionalFormatting>
  <conditionalFormatting sqref="C93">
    <cfRule type="expression" dxfId="5443" priority="87">
      <formula>B93=""</formula>
    </cfRule>
  </conditionalFormatting>
  <conditionalFormatting sqref="C93">
    <cfRule type="expression" dxfId="5442" priority="86">
      <formula>B93=""</formula>
    </cfRule>
  </conditionalFormatting>
  <conditionalFormatting sqref="C74:C93">
    <cfRule type="expression" dxfId="5441" priority="85">
      <formula>B74=""</formula>
    </cfRule>
  </conditionalFormatting>
  <conditionalFormatting sqref="C75 C77 C79 C81 C83 C85 C87 C89 C91 C93">
    <cfRule type="expression" dxfId="5440" priority="84">
      <formula>B75=""</formula>
    </cfRule>
  </conditionalFormatting>
  <conditionalFormatting sqref="C76:C86">
    <cfRule type="expression" dxfId="5439" priority="83">
      <formula>B76=""</formula>
    </cfRule>
  </conditionalFormatting>
  <conditionalFormatting sqref="C87">
    <cfRule type="expression" dxfId="5438" priority="82">
      <formula>B87=""</formula>
    </cfRule>
  </conditionalFormatting>
  <conditionalFormatting sqref="C88">
    <cfRule type="expression" dxfId="5437" priority="81">
      <formula>B88=""</formula>
    </cfRule>
  </conditionalFormatting>
  <conditionalFormatting sqref="C89">
    <cfRule type="expression" dxfId="5436" priority="80">
      <formula>B89=""</formula>
    </cfRule>
  </conditionalFormatting>
  <conditionalFormatting sqref="C90">
    <cfRule type="expression" dxfId="5435" priority="79">
      <formula>B90=""</formula>
    </cfRule>
  </conditionalFormatting>
  <conditionalFormatting sqref="C91">
    <cfRule type="expression" dxfId="5434" priority="78">
      <formula>B91=""</formula>
    </cfRule>
  </conditionalFormatting>
  <conditionalFormatting sqref="C92">
    <cfRule type="expression" dxfId="5433" priority="77">
      <formula>B92=""</formula>
    </cfRule>
  </conditionalFormatting>
  <conditionalFormatting sqref="C93">
    <cfRule type="expression" dxfId="5432" priority="76">
      <formula>B93=""</formula>
    </cfRule>
  </conditionalFormatting>
  <conditionalFormatting sqref="C74:C93">
    <cfRule type="expression" dxfId="5431" priority="75">
      <formula>B74=""</formula>
    </cfRule>
  </conditionalFormatting>
  <conditionalFormatting sqref="C75 C77 C79 C81 C83 C85 C87 C89 C91 C93">
    <cfRule type="expression" dxfId="5430" priority="74">
      <formula>B75=""</formula>
    </cfRule>
  </conditionalFormatting>
  <conditionalFormatting sqref="C76:C86">
    <cfRule type="expression" dxfId="5429" priority="73">
      <formula>B76=""</formula>
    </cfRule>
  </conditionalFormatting>
  <conditionalFormatting sqref="C87">
    <cfRule type="expression" dxfId="5428" priority="72">
      <formula>B87=""</formula>
    </cfRule>
  </conditionalFormatting>
  <conditionalFormatting sqref="C88">
    <cfRule type="expression" dxfId="5427" priority="71">
      <formula>B88=""</formula>
    </cfRule>
  </conditionalFormatting>
  <conditionalFormatting sqref="C89">
    <cfRule type="expression" dxfId="5426" priority="70">
      <formula>B89=""</formula>
    </cfRule>
  </conditionalFormatting>
  <conditionalFormatting sqref="C90">
    <cfRule type="expression" dxfId="5425" priority="69">
      <formula>B90=""</formula>
    </cfRule>
  </conditionalFormatting>
  <conditionalFormatting sqref="C91">
    <cfRule type="expression" dxfId="5424" priority="68">
      <formula>B91=""</formula>
    </cfRule>
  </conditionalFormatting>
  <conditionalFormatting sqref="C92">
    <cfRule type="expression" dxfId="5423" priority="67">
      <formula>B92=""</formula>
    </cfRule>
  </conditionalFormatting>
  <conditionalFormatting sqref="C93">
    <cfRule type="expression" dxfId="5422" priority="66">
      <formula>B93=""</formula>
    </cfRule>
  </conditionalFormatting>
  <conditionalFormatting sqref="C93">
    <cfRule type="expression" dxfId="5421" priority="65">
      <formula>B93=""</formula>
    </cfRule>
  </conditionalFormatting>
  <conditionalFormatting sqref="C74:C93">
    <cfRule type="expression" dxfId="5420" priority="64">
      <formula>B74=""</formula>
    </cfRule>
  </conditionalFormatting>
  <conditionalFormatting sqref="C75 C77 C79 C81 C83 C85 C87 C89 C91 C93">
    <cfRule type="expression" dxfId="5419" priority="63">
      <formula>B75=""</formula>
    </cfRule>
  </conditionalFormatting>
  <conditionalFormatting sqref="C76:C86">
    <cfRule type="expression" dxfId="5418" priority="62">
      <formula>B76=""</formula>
    </cfRule>
  </conditionalFormatting>
  <conditionalFormatting sqref="C87">
    <cfRule type="expression" dxfId="5417" priority="61">
      <formula>B87=""</formula>
    </cfRule>
  </conditionalFormatting>
  <conditionalFormatting sqref="C88">
    <cfRule type="expression" dxfId="5416" priority="60">
      <formula>B88=""</formula>
    </cfRule>
  </conditionalFormatting>
  <conditionalFormatting sqref="C89">
    <cfRule type="expression" dxfId="5415" priority="59">
      <formula>B89=""</formula>
    </cfRule>
  </conditionalFormatting>
  <conditionalFormatting sqref="C90">
    <cfRule type="expression" dxfId="5414" priority="58">
      <formula>B90=""</formula>
    </cfRule>
  </conditionalFormatting>
  <conditionalFormatting sqref="C91">
    <cfRule type="expression" dxfId="5413" priority="57">
      <formula>B91=""</formula>
    </cfRule>
  </conditionalFormatting>
  <conditionalFormatting sqref="C92">
    <cfRule type="expression" dxfId="5412" priority="56">
      <formula>B92=""</formula>
    </cfRule>
  </conditionalFormatting>
  <conditionalFormatting sqref="C93">
    <cfRule type="expression" dxfId="5411" priority="55">
      <formula>B93=""</formula>
    </cfRule>
  </conditionalFormatting>
  <conditionalFormatting sqref="C74:C93">
    <cfRule type="expression" dxfId="5410" priority="54">
      <formula>B74=""</formula>
    </cfRule>
  </conditionalFormatting>
  <conditionalFormatting sqref="C75 C77 C79 C81 C83 C85 C87 C89 C91 C93">
    <cfRule type="expression" dxfId="5409" priority="53">
      <formula>B75=""</formula>
    </cfRule>
  </conditionalFormatting>
  <conditionalFormatting sqref="C76:C86">
    <cfRule type="expression" dxfId="5408" priority="52">
      <formula>B76=""</formula>
    </cfRule>
  </conditionalFormatting>
  <conditionalFormatting sqref="C87">
    <cfRule type="expression" dxfId="5407" priority="51">
      <formula>B87=""</formula>
    </cfRule>
  </conditionalFormatting>
  <conditionalFormatting sqref="C88">
    <cfRule type="expression" dxfId="5406" priority="50">
      <formula>B88=""</formula>
    </cfRule>
  </conditionalFormatting>
  <conditionalFormatting sqref="C89">
    <cfRule type="expression" dxfId="5405" priority="49">
      <formula>B89=""</formula>
    </cfRule>
  </conditionalFormatting>
  <conditionalFormatting sqref="C90">
    <cfRule type="expression" dxfId="5404" priority="48">
      <formula>B90=""</formula>
    </cfRule>
  </conditionalFormatting>
  <conditionalFormatting sqref="C91">
    <cfRule type="expression" dxfId="5403" priority="47">
      <formula>B91=""</formula>
    </cfRule>
  </conditionalFormatting>
  <conditionalFormatting sqref="C92">
    <cfRule type="expression" dxfId="5402" priority="46">
      <formula>B92=""</formula>
    </cfRule>
  </conditionalFormatting>
  <conditionalFormatting sqref="C93">
    <cfRule type="expression" dxfId="5401" priority="45">
      <formula>B93=""</formula>
    </cfRule>
  </conditionalFormatting>
  <conditionalFormatting sqref="C74:C93">
    <cfRule type="expression" dxfId="5400" priority="44">
      <formula>B74=""</formula>
    </cfRule>
  </conditionalFormatting>
  <conditionalFormatting sqref="C75 C77 C79 C81 C83 C85 C87 C89 C91 C93">
    <cfRule type="expression" dxfId="5399" priority="43">
      <formula>B75=""</formula>
    </cfRule>
  </conditionalFormatting>
  <conditionalFormatting sqref="C76:C86">
    <cfRule type="expression" dxfId="5398" priority="42">
      <formula>B76=""</formula>
    </cfRule>
  </conditionalFormatting>
  <conditionalFormatting sqref="C87">
    <cfRule type="expression" dxfId="5397" priority="41">
      <formula>B87=""</formula>
    </cfRule>
  </conditionalFormatting>
  <conditionalFormatting sqref="C88">
    <cfRule type="expression" dxfId="5396" priority="40">
      <formula>B88=""</formula>
    </cfRule>
  </conditionalFormatting>
  <conditionalFormatting sqref="C89">
    <cfRule type="expression" dxfId="5395" priority="39">
      <formula>B89=""</formula>
    </cfRule>
  </conditionalFormatting>
  <conditionalFormatting sqref="C90">
    <cfRule type="expression" dxfId="5394" priority="38">
      <formula>B90=""</formula>
    </cfRule>
  </conditionalFormatting>
  <conditionalFormatting sqref="C91">
    <cfRule type="expression" dxfId="5393" priority="37">
      <formula>B91=""</formula>
    </cfRule>
  </conditionalFormatting>
  <conditionalFormatting sqref="C92">
    <cfRule type="expression" dxfId="5392" priority="36">
      <formula>B92=""</formula>
    </cfRule>
  </conditionalFormatting>
  <conditionalFormatting sqref="C93">
    <cfRule type="expression" dxfId="5391" priority="35">
      <formula>B93=""</formula>
    </cfRule>
  </conditionalFormatting>
  <conditionalFormatting sqref="C74 C76 C78 C80 C82 C84 C86 C88 C90 C92">
    <cfRule type="expression" dxfId="5390" priority="34">
      <formula>B74=""</formula>
    </cfRule>
  </conditionalFormatting>
  <conditionalFormatting sqref="C75 C77 C79 C81 C83 C85 C87 C89 C91 C93">
    <cfRule type="expression" dxfId="5389" priority="33">
      <formula>B75=""</formula>
    </cfRule>
  </conditionalFormatting>
  <conditionalFormatting sqref="C76:C86">
    <cfRule type="expression" dxfId="5388" priority="32">
      <formula>B76=""</formula>
    </cfRule>
  </conditionalFormatting>
  <conditionalFormatting sqref="C87">
    <cfRule type="expression" dxfId="5387" priority="31">
      <formula>B87=""</formula>
    </cfRule>
  </conditionalFormatting>
  <conditionalFormatting sqref="C88">
    <cfRule type="expression" dxfId="5386" priority="30">
      <formula>B88=""</formula>
    </cfRule>
  </conditionalFormatting>
  <conditionalFormatting sqref="C89">
    <cfRule type="expression" dxfId="5385" priority="29">
      <formula>B89=""</formula>
    </cfRule>
  </conditionalFormatting>
  <conditionalFormatting sqref="C90">
    <cfRule type="expression" dxfId="5384" priority="28">
      <formula>B90=""</formula>
    </cfRule>
  </conditionalFormatting>
  <conditionalFormatting sqref="C91">
    <cfRule type="expression" dxfId="5383" priority="27">
      <formula>B91=""</formula>
    </cfRule>
  </conditionalFormatting>
  <conditionalFormatting sqref="C92">
    <cfRule type="expression" dxfId="5382" priority="26">
      <formula>B92=""</formula>
    </cfRule>
  </conditionalFormatting>
  <conditionalFormatting sqref="C93">
    <cfRule type="expression" dxfId="5381" priority="25">
      <formula>B93=""</formula>
    </cfRule>
  </conditionalFormatting>
  <conditionalFormatting sqref="B8:B27">
    <cfRule type="containsBlanks" dxfId="5380" priority="24">
      <formula>LEN(TRIM(B8))=0</formula>
    </cfRule>
  </conditionalFormatting>
  <conditionalFormatting sqref="C8:C27">
    <cfRule type="expression" dxfId="5379" priority="23">
      <formula>B8=""</formula>
    </cfRule>
  </conditionalFormatting>
  <conditionalFormatting sqref="C9 C11 C13 C15 C17 C19 C21 C23 C25 C27">
    <cfRule type="expression" dxfId="5378" priority="22">
      <formula>B9=""</formula>
    </cfRule>
  </conditionalFormatting>
  <conditionalFormatting sqref="C8:C27">
    <cfRule type="expression" dxfId="5377" priority="21">
      <formula>B8=""</formula>
    </cfRule>
  </conditionalFormatting>
  <conditionalFormatting sqref="C9 C11 C13 C15 C17 C19 C21 C23 C25 C27">
    <cfRule type="expression" dxfId="5376" priority="20">
      <formula>B9=""</formula>
    </cfRule>
  </conditionalFormatting>
  <conditionalFormatting sqref="C8 C10 C12 C14 C16 C18 C20 C22 C24 C26">
    <cfRule type="expression" dxfId="5375" priority="19">
      <formula>B8=""</formula>
    </cfRule>
  </conditionalFormatting>
  <conditionalFormatting sqref="C9 C11 C13 C15 C17 C19 C21 C23 C25 C27">
    <cfRule type="expression" dxfId="5374" priority="18">
      <formula>B9=""</formula>
    </cfRule>
  </conditionalFormatting>
  <conditionalFormatting sqref="C8:C27">
    <cfRule type="expression" dxfId="5373" priority="17">
      <formula>B8=""</formula>
    </cfRule>
  </conditionalFormatting>
  <conditionalFormatting sqref="C9 C11 C13 C15 C17 C19 C21 C23 C25 C27">
    <cfRule type="expression" dxfId="5372" priority="16">
      <formula>B9=""</formula>
    </cfRule>
  </conditionalFormatting>
  <conditionalFormatting sqref="C8:C27">
    <cfRule type="expression" dxfId="5371" priority="15">
      <formula>B8=""</formula>
    </cfRule>
  </conditionalFormatting>
  <conditionalFormatting sqref="C9 C11 C13 C15 C17 C19 C21 C23 C25 C27">
    <cfRule type="expression" dxfId="5370" priority="14">
      <formula>B9=""</formula>
    </cfRule>
  </conditionalFormatting>
  <conditionalFormatting sqref="C8 C10 C12 C14 C16 C18 C20 C22 C24 C26">
    <cfRule type="expression" dxfId="5369" priority="13">
      <formula>B8=""</formula>
    </cfRule>
  </conditionalFormatting>
  <conditionalFormatting sqref="C9 C11 C13 C15 C17 C19 C21 C23 C25 C27">
    <cfRule type="expression" dxfId="5368" priority="12">
      <formula>B9=""</formula>
    </cfRule>
  </conditionalFormatting>
  <conditionalFormatting sqref="C8:C27">
    <cfRule type="expression" dxfId="5367" priority="11">
      <formula>B8=""</formula>
    </cfRule>
  </conditionalFormatting>
  <conditionalFormatting sqref="C9 C11 C13 C15 C17 C19 C21 C23 C25 C27">
    <cfRule type="expression" dxfId="5366" priority="10">
      <formula>B9=""</formula>
    </cfRule>
  </conditionalFormatting>
  <conditionalFormatting sqref="C9 C11 C13 C15 C17 C19 C21 C23 C25 C27">
    <cfRule type="expression" dxfId="5365" priority="9">
      <formula>B9=""</formula>
    </cfRule>
  </conditionalFormatting>
  <conditionalFormatting sqref="C8 C10 C12 C14 C16 C18 C20 C22 C24 C26">
    <cfRule type="expression" dxfId="5364" priority="8">
      <formula>B8=""</formula>
    </cfRule>
  </conditionalFormatting>
  <conditionalFormatting sqref="C9 C11 C13 C15 C17 C19 C21 C23 C25 C27">
    <cfRule type="expression" dxfId="5363" priority="7">
      <formula>B9=""</formula>
    </cfRule>
  </conditionalFormatting>
  <conditionalFormatting sqref="C8:C27">
    <cfRule type="expression" dxfId="5362" priority="6">
      <formula>B8=""</formula>
    </cfRule>
  </conditionalFormatting>
  <conditionalFormatting sqref="C9 C11 C13 C15 C17 C19 C21 C23 C25 C27">
    <cfRule type="expression" dxfId="5361" priority="5">
      <formula>B9=""</formula>
    </cfRule>
  </conditionalFormatting>
  <conditionalFormatting sqref="C8:C27">
    <cfRule type="expression" dxfId="5360" priority="4">
      <formula>B8=""</formula>
    </cfRule>
  </conditionalFormatting>
  <conditionalFormatting sqref="C9 C11 C13 C15 C17 C19 C21 C23 C25 C27">
    <cfRule type="expression" dxfId="5359" priority="3">
      <formula>B9=""</formula>
    </cfRule>
  </conditionalFormatting>
  <conditionalFormatting sqref="C8:C27">
    <cfRule type="expression" dxfId="5358" priority="2">
      <formula>B8=""</formula>
    </cfRule>
  </conditionalFormatting>
  <conditionalFormatting sqref="C9 C11 C13 C15 C17 C19 C21 C23 C25 C27">
    <cfRule type="expression" dxfId="5357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7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9">
    <tabColor rgb="FFFF0000"/>
  </sheetPr>
  <dimension ref="B1:H96"/>
  <sheetViews>
    <sheetView workbookViewId="0"/>
  </sheetViews>
  <sheetFormatPr defaultRowHeight="1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7109375" customWidth="1"/>
    <col min="8" max="8" width="17.140625" customWidth="1"/>
    <col min="10" max="10" width="14.7109375" customWidth="1"/>
  </cols>
  <sheetData>
    <row r="1" spans="2:8" ht="23.25">
      <c r="B1" s="214" t="str">
        <f>DATA!C1004</f>
        <v>NRA.N.011-050-2012/1F</v>
      </c>
      <c r="F1" s="214" t="str">
        <f>DATA!B1014</f>
        <v>Mechanical</v>
      </c>
    </row>
    <row r="2" spans="2:8" ht="26.25">
      <c r="C2" s="232" t="str">
        <f>'All Hours'!D1</f>
        <v>PLEASE INSERT TENDERER NAME ON INPUT DATA SHEET</v>
      </c>
      <c r="E2" s="920" t="str">
        <f>IF(DATA!$D$1014="None","NOT USED IN THIS TENDER","")</f>
        <v>NOT USED IN THIS TENDER</v>
      </c>
    </row>
    <row r="3" spans="2:8">
      <c r="B3" t="str">
        <f>IF(DATA!D1014="None",DATA!B1014 &amp; " NOT SPECIFIED FOR THIS PROJECT", "")</f>
        <v>Mechanical NOT SPECIFIED FOR THIS PROJECT</v>
      </c>
      <c r="E3" s="232" t="str">
        <f>'Non Fee Hours'!E2</f>
        <v>ONLY INSERT KEY PERSONS HOURS, NOT ALTERNATES.</v>
      </c>
    </row>
    <row r="4" spans="2:8" ht="15.7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.75" thickBot="1">
      <c r="B5" s="2" t="s">
        <v>5</v>
      </c>
      <c r="C5" s="3"/>
      <c r="D5" s="12"/>
      <c r="E5" s="12"/>
      <c r="F5" s="15"/>
      <c r="G5" s="3"/>
      <c r="H5" s="4"/>
    </row>
    <row r="6" spans="2:8" ht="15.75" thickBot="1">
      <c r="B6" s="25" t="str">
        <f>DATA!B1014</f>
        <v>Mechanical</v>
      </c>
      <c r="C6" s="26"/>
      <c r="D6" s="211" t="s">
        <v>6</v>
      </c>
      <c r="E6" s="27">
        <f>IF('SUMMARY TENDERED FEE'!C11="none",0,ROUND((E7*(F7/F73)+E29*(F29/F73)+E51*(F51/F73)+E73),2))</f>
        <v>0</v>
      </c>
      <c r="F6" s="28" t="str">
        <f>"Norm. Hours"</f>
        <v>Norm. Hours</v>
      </c>
      <c r="G6" s="913">
        <f>IF('SUMMARY TENDERED FEE'!C11="none",0,1)</f>
        <v>0</v>
      </c>
      <c r="H6" s="29">
        <f>IF('SUMMARY TENDERED FEE'!C11="none",0,SUM(H7:H94))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>DS3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.7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>DS3</v>
      </c>
      <c r="C32" s="59" t="str">
        <f t="shared" si="4"/>
        <v/>
      </c>
      <c r="D32" s="59"/>
      <c r="E32" s="895">
        <v>0</v>
      </c>
      <c r="F32" s="16">
        <f t="shared" ref="F32:F39" si="5">IF(B32="","",$F$29)</f>
        <v>2796</v>
      </c>
      <c r="G32" s="61">
        <f t="shared" si="3"/>
        <v>0</v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.7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54" si="15">IF(B53="","",(F53*E53))</f>
        <v>0</v>
      </c>
      <c r="H53" s="7"/>
    </row>
    <row r="54" spans="2:8">
      <c r="B54" s="118" t="str">
        <f t="shared" ref="B54:C54" si="16">B10</f>
        <v>DS3</v>
      </c>
      <c r="C54" s="59" t="str">
        <f t="shared" si="16"/>
        <v/>
      </c>
      <c r="D54" s="5"/>
      <c r="E54" s="899">
        <v>0</v>
      </c>
      <c r="F54" s="16">
        <f t="shared" ref="F54:F72" si="17">IF(B54="","",$F$51)</f>
        <v>2403</v>
      </c>
      <c r="G54" s="6">
        <f t="shared" si="15"/>
        <v>0</v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72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.75" thickBot="1">
      <c r="B72" s="118" t="str">
        <f t="shared" ref="B72:C72" si="26">B28</f>
        <v>OTHER</v>
      </c>
      <c r="C72" s="59" t="str">
        <f t="shared" si="26"/>
        <v>Various non-key personnel</v>
      </c>
      <c r="D72" s="5"/>
      <c r="E72" s="899">
        <v>0</v>
      </c>
      <c r="F72" s="16">
        <f t="shared" si="17"/>
        <v>2403</v>
      </c>
      <c r="G72" s="6">
        <f t="shared" si="19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7">IF(B75="","",(F75*E75))</f>
        <v>0</v>
      </c>
      <c r="H75" s="7"/>
    </row>
    <row r="76" spans="2:8">
      <c r="B76" s="118" t="str">
        <f t="shared" ref="B76:C76" si="28">B10</f>
        <v>DS3</v>
      </c>
      <c r="C76" s="59" t="str">
        <f t="shared" si="28"/>
        <v/>
      </c>
      <c r="D76" s="5"/>
      <c r="E76" s="899">
        <v>0</v>
      </c>
      <c r="F76" s="16">
        <f t="shared" ref="F76:F83" si="29">IF(B76="","",$F$73)</f>
        <v>1167</v>
      </c>
      <c r="G76" s="6">
        <f t="shared" si="27"/>
        <v>0</v>
      </c>
      <c r="H76" s="7"/>
    </row>
    <row r="77" spans="2:8">
      <c r="B77" s="118" t="str">
        <f t="shared" ref="B77:C77" si="30">B11</f>
        <v/>
      </c>
      <c r="C77" s="59" t="str">
        <f t="shared" si="30"/>
        <v/>
      </c>
      <c r="D77" s="5"/>
      <c r="E77" s="899">
        <v>0</v>
      </c>
      <c r="F77" s="16" t="str">
        <f t="shared" si="29"/>
        <v/>
      </c>
      <c r="G77" s="6" t="str">
        <f t="shared" ref="G77:G83" si="31">IF(B77="","",(F77*E77))</f>
        <v/>
      </c>
      <c r="H77" s="7"/>
    </row>
    <row r="78" spans="2:8">
      <c r="B78" s="118" t="str">
        <f t="shared" ref="B78:C78" si="32">B12</f>
        <v/>
      </c>
      <c r="C78" s="59" t="str">
        <f t="shared" si="32"/>
        <v/>
      </c>
      <c r="D78" s="5"/>
      <c r="E78" s="899">
        <v>0</v>
      </c>
      <c r="F78" s="16" t="str">
        <f t="shared" si="29"/>
        <v/>
      </c>
      <c r="G78" s="6" t="str">
        <f t="shared" si="31"/>
        <v/>
      </c>
      <c r="H78" s="7"/>
    </row>
    <row r="79" spans="2:8">
      <c r="B79" s="118" t="str">
        <f t="shared" ref="B79:C79" si="33">B13</f>
        <v/>
      </c>
      <c r="C79" s="59" t="str">
        <f t="shared" si="33"/>
        <v/>
      </c>
      <c r="D79" s="5"/>
      <c r="E79" s="899">
        <v>0</v>
      </c>
      <c r="F79" s="16" t="str">
        <f t="shared" si="29"/>
        <v/>
      </c>
      <c r="G79" s="6" t="str">
        <f t="shared" si="31"/>
        <v/>
      </c>
      <c r="H79" s="7"/>
    </row>
    <row r="80" spans="2:8">
      <c r="B80" s="118" t="str">
        <f t="shared" ref="B80:C80" si="34">B14</f>
        <v/>
      </c>
      <c r="C80" s="59" t="str">
        <f t="shared" si="34"/>
        <v/>
      </c>
      <c r="D80" s="5"/>
      <c r="E80" s="899">
        <v>0</v>
      </c>
      <c r="F80" s="16" t="str">
        <f t="shared" si="29"/>
        <v/>
      </c>
      <c r="G80" s="6" t="str">
        <f t="shared" si="31"/>
        <v/>
      </c>
      <c r="H80" s="7"/>
    </row>
    <row r="81" spans="2:8">
      <c r="B81" s="118" t="str">
        <f t="shared" ref="B81:C81" si="35">B15</f>
        <v/>
      </c>
      <c r="C81" s="59" t="str">
        <f t="shared" si="35"/>
        <v/>
      </c>
      <c r="D81" s="5"/>
      <c r="E81" s="899">
        <v>0</v>
      </c>
      <c r="F81" s="16" t="str">
        <f t="shared" si="29"/>
        <v/>
      </c>
      <c r="G81" s="6" t="str">
        <f t="shared" si="31"/>
        <v/>
      </c>
      <c r="H81" s="7"/>
    </row>
    <row r="82" spans="2:8">
      <c r="B82" s="118" t="str">
        <f t="shared" ref="B82:C82" si="36">B16</f>
        <v/>
      </c>
      <c r="C82" s="59" t="str">
        <f t="shared" si="36"/>
        <v/>
      </c>
      <c r="D82" s="5"/>
      <c r="E82" s="899">
        <v>0</v>
      </c>
      <c r="F82" s="16" t="str">
        <f t="shared" si="29"/>
        <v/>
      </c>
      <c r="G82" s="6" t="str">
        <f t="shared" si="31"/>
        <v/>
      </c>
      <c r="H82" s="7"/>
    </row>
    <row r="83" spans="2:8">
      <c r="B83" s="118" t="str">
        <f t="shared" ref="B83:C83" si="37">B17</f>
        <v/>
      </c>
      <c r="C83" s="59" t="str">
        <f t="shared" si="37"/>
        <v/>
      </c>
      <c r="D83" s="5"/>
      <c r="E83" s="899">
        <v>0</v>
      </c>
      <c r="F83" s="16" t="str">
        <f t="shared" si="29"/>
        <v/>
      </c>
      <c r="G83" s="6" t="str">
        <f t="shared" si="31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.75" thickBot="1">
      <c r="B94" s="119" t="str">
        <f t="shared" ref="B94:C94" si="38">B28</f>
        <v>OTHER</v>
      </c>
      <c r="C94" s="63" t="str">
        <f t="shared" si="38"/>
        <v>Various non-key personnel</v>
      </c>
      <c r="D94" s="8"/>
      <c r="E94" s="900">
        <v>0</v>
      </c>
      <c r="F94" s="17">
        <f>IF(B94="","",$F$73)</f>
        <v>1167</v>
      </c>
      <c r="G94" s="9">
        <f t="shared" si="27"/>
        <v>0</v>
      </c>
      <c r="H94" s="10"/>
    </row>
    <row r="96" spans="2:8">
      <c r="B96" s="1066" t="s">
        <v>989</v>
      </c>
      <c r="C96" s="1" t="s">
        <v>990</v>
      </c>
    </row>
  </sheetData>
  <sheetProtection algorithmName="SHA-512" hashValue="pGHlR9oIBfG0WXv3KT9lgrIkm5Y5eyAmc2TeIzn374BG7uwwS0aiWnqRzHXuvg8WjxassKsKKt1verhNIjM/Lw==" saltValue="lY0VrjPrmVsBMweo5ZAYxw==" spinCount="100000" sheet="1" objects="1" scenarios="1"/>
  <conditionalFormatting sqref="B8:B28 B30:B50 B52:B72 B74:B94">
    <cfRule type="containsBlanks" dxfId="5356" priority="743">
      <formula>LEN(TRIM(B8))=0</formula>
    </cfRule>
  </conditionalFormatting>
  <conditionalFormatting sqref="C8:C27">
    <cfRule type="expression" dxfId="5355" priority="742">
      <formula>B8=""</formula>
    </cfRule>
  </conditionalFormatting>
  <conditionalFormatting sqref="C9 C11 C13 C15 C17 C19 C21 C23 C25 C27">
    <cfRule type="expression" dxfId="5354" priority="741">
      <formula>B9=""</formula>
    </cfRule>
  </conditionalFormatting>
  <conditionalFormatting sqref="C10:C20">
    <cfRule type="expression" dxfId="5353" priority="740">
      <formula>B10=""</formula>
    </cfRule>
  </conditionalFormatting>
  <conditionalFormatting sqref="C21">
    <cfRule type="expression" dxfId="5352" priority="739">
      <formula>B21=""</formula>
    </cfRule>
  </conditionalFormatting>
  <conditionalFormatting sqref="C22">
    <cfRule type="expression" dxfId="5351" priority="738">
      <formula>B22=""</formula>
    </cfRule>
  </conditionalFormatting>
  <conditionalFormatting sqref="C23">
    <cfRule type="expression" dxfId="5350" priority="737">
      <formula>B23=""</formula>
    </cfRule>
  </conditionalFormatting>
  <conditionalFormatting sqref="C24">
    <cfRule type="expression" dxfId="5349" priority="736">
      <formula>B24=""</formula>
    </cfRule>
  </conditionalFormatting>
  <conditionalFormatting sqref="C25">
    <cfRule type="expression" dxfId="5348" priority="735">
      <formula>B25=""</formula>
    </cfRule>
  </conditionalFormatting>
  <conditionalFormatting sqref="C26">
    <cfRule type="expression" dxfId="5347" priority="734">
      <formula>B26=""</formula>
    </cfRule>
  </conditionalFormatting>
  <conditionalFormatting sqref="C27">
    <cfRule type="expression" dxfId="5346" priority="733">
      <formula>B27=""</formula>
    </cfRule>
  </conditionalFormatting>
  <conditionalFormatting sqref="C28">
    <cfRule type="expression" dxfId="5345" priority="732">
      <formula>B28=""</formula>
    </cfRule>
  </conditionalFormatting>
  <conditionalFormatting sqref="D8 D10 D12 D14 D16 D18 D20 D22 D24 D26">
    <cfRule type="expression" dxfId="5344" priority="731">
      <formula>B8=""</formula>
    </cfRule>
  </conditionalFormatting>
  <conditionalFormatting sqref="D9 D11 D13 D15 D17 D19 D21 D23 D25 D27">
    <cfRule type="expression" dxfId="5343" priority="730">
      <formula>B9=""</formula>
    </cfRule>
  </conditionalFormatting>
  <conditionalFormatting sqref="D10:D20">
    <cfRule type="expression" dxfId="5342" priority="729">
      <formula>B10=""</formula>
    </cfRule>
  </conditionalFormatting>
  <conditionalFormatting sqref="D21">
    <cfRule type="expression" dxfId="5341" priority="728">
      <formula>B21=""</formula>
    </cfRule>
  </conditionalFormatting>
  <conditionalFormatting sqref="D22">
    <cfRule type="expression" dxfId="5340" priority="727">
      <formula>B22=""</formula>
    </cfRule>
  </conditionalFormatting>
  <conditionalFormatting sqref="D23">
    <cfRule type="expression" dxfId="5339" priority="726">
      <formula>B23=""</formula>
    </cfRule>
  </conditionalFormatting>
  <conditionalFormatting sqref="D24">
    <cfRule type="expression" dxfId="5338" priority="725">
      <formula>B24=""</formula>
    </cfRule>
  </conditionalFormatting>
  <conditionalFormatting sqref="D25">
    <cfRule type="expression" dxfId="5337" priority="724">
      <formula>B25=""</formula>
    </cfRule>
  </conditionalFormatting>
  <conditionalFormatting sqref="D26">
    <cfRule type="expression" dxfId="5336" priority="723">
      <formula>B26=""</formula>
    </cfRule>
  </conditionalFormatting>
  <conditionalFormatting sqref="D27">
    <cfRule type="expression" dxfId="5335" priority="722">
      <formula>B27=""</formula>
    </cfRule>
  </conditionalFormatting>
  <conditionalFormatting sqref="D28">
    <cfRule type="expression" dxfId="5334" priority="721">
      <formula>B28=""</formula>
    </cfRule>
  </conditionalFormatting>
  <conditionalFormatting sqref="E8 E10 E12 E14 E16 E18 E20 E22 E24 E26">
    <cfRule type="expression" dxfId="5333" priority="720">
      <formula>B8=""</formula>
    </cfRule>
  </conditionalFormatting>
  <conditionalFormatting sqref="E9 E11 E13 E15 E17 E19 E21 E23 E25 E27">
    <cfRule type="expression" dxfId="5332" priority="719">
      <formula>B9=""</formula>
    </cfRule>
  </conditionalFormatting>
  <conditionalFormatting sqref="E10:E20">
    <cfRule type="expression" dxfId="5331" priority="718">
      <formula>B10=""</formula>
    </cfRule>
  </conditionalFormatting>
  <conditionalFormatting sqref="E21">
    <cfRule type="expression" dxfId="5330" priority="717">
      <formula>B21=""</formula>
    </cfRule>
  </conditionalFormatting>
  <conditionalFormatting sqref="E22">
    <cfRule type="expression" dxfId="5329" priority="716">
      <formula>B22=""</formula>
    </cfRule>
  </conditionalFormatting>
  <conditionalFormatting sqref="E23">
    <cfRule type="expression" dxfId="5328" priority="715">
      <formula>B23=""</formula>
    </cfRule>
  </conditionalFormatting>
  <conditionalFormatting sqref="E24">
    <cfRule type="expression" dxfId="5327" priority="714">
      <formula>B24=""</formula>
    </cfRule>
  </conditionalFormatting>
  <conditionalFormatting sqref="E25">
    <cfRule type="expression" dxfId="5326" priority="713">
      <formula>B25=""</formula>
    </cfRule>
  </conditionalFormatting>
  <conditionalFormatting sqref="E26">
    <cfRule type="expression" dxfId="5325" priority="712">
      <formula>B26=""</formula>
    </cfRule>
  </conditionalFormatting>
  <conditionalFormatting sqref="E27">
    <cfRule type="expression" dxfId="5324" priority="711">
      <formula>B27=""</formula>
    </cfRule>
  </conditionalFormatting>
  <conditionalFormatting sqref="E28">
    <cfRule type="expression" dxfId="5323" priority="710">
      <formula>B28=""</formula>
    </cfRule>
  </conditionalFormatting>
  <conditionalFormatting sqref="F8 F10 F12 F14 F16 F18 F20 F22 F24 F26">
    <cfRule type="expression" dxfId="5322" priority="709">
      <formula>B8=""</formula>
    </cfRule>
  </conditionalFormatting>
  <conditionalFormatting sqref="F9 F11 F13 F15 F17 F19 F21 F23 F25 F27">
    <cfRule type="expression" dxfId="5321" priority="708">
      <formula>B9=""</formula>
    </cfRule>
  </conditionalFormatting>
  <conditionalFormatting sqref="F10:F20">
    <cfRule type="expression" dxfId="5320" priority="707">
      <formula>B10=""</formula>
    </cfRule>
  </conditionalFormatting>
  <conditionalFormatting sqref="F21">
    <cfRule type="expression" dxfId="5319" priority="706">
      <formula>B21=""</formula>
    </cfRule>
  </conditionalFormatting>
  <conditionalFormatting sqref="F22">
    <cfRule type="expression" dxfId="5318" priority="705">
      <formula>B22=""</formula>
    </cfRule>
  </conditionalFormatting>
  <conditionalFormatting sqref="F23">
    <cfRule type="expression" dxfId="5317" priority="704">
      <formula>B23=""</formula>
    </cfRule>
  </conditionalFormatting>
  <conditionalFormatting sqref="F24">
    <cfRule type="expression" dxfId="5316" priority="703">
      <formula>B24=""</formula>
    </cfRule>
  </conditionalFormatting>
  <conditionalFormatting sqref="F25">
    <cfRule type="expression" dxfId="5315" priority="702">
      <formula>B25=""</formula>
    </cfRule>
  </conditionalFormatting>
  <conditionalFormatting sqref="F26">
    <cfRule type="expression" dxfId="5314" priority="701">
      <formula>B26=""</formula>
    </cfRule>
  </conditionalFormatting>
  <conditionalFormatting sqref="F27">
    <cfRule type="expression" dxfId="5313" priority="700">
      <formula>B27=""</formula>
    </cfRule>
  </conditionalFormatting>
  <conditionalFormatting sqref="F28">
    <cfRule type="expression" dxfId="5312" priority="699">
      <formula>B28=""</formula>
    </cfRule>
  </conditionalFormatting>
  <conditionalFormatting sqref="E9 E11 E13 E15 E17 E19 E21 E23 E25 E27">
    <cfRule type="expression" dxfId="5311" priority="698">
      <formula>B9=""</formula>
    </cfRule>
  </conditionalFormatting>
  <conditionalFormatting sqref="E10:E20">
    <cfRule type="expression" dxfId="5310" priority="697">
      <formula>B10=""</formula>
    </cfRule>
  </conditionalFormatting>
  <conditionalFormatting sqref="E21">
    <cfRule type="expression" dxfId="5309" priority="696">
      <formula>B21=""</formula>
    </cfRule>
  </conditionalFormatting>
  <conditionalFormatting sqref="E22">
    <cfRule type="expression" dxfId="5308" priority="695">
      <formula>B22=""</formula>
    </cfRule>
  </conditionalFormatting>
  <conditionalFormatting sqref="E23">
    <cfRule type="expression" dxfId="5307" priority="694">
      <formula>B23=""</formula>
    </cfRule>
  </conditionalFormatting>
  <conditionalFormatting sqref="E24">
    <cfRule type="expression" dxfId="5306" priority="693">
      <formula>B24=""</formula>
    </cfRule>
  </conditionalFormatting>
  <conditionalFormatting sqref="E25">
    <cfRule type="expression" dxfId="5305" priority="692">
      <formula>B25=""</formula>
    </cfRule>
  </conditionalFormatting>
  <conditionalFormatting sqref="E26">
    <cfRule type="expression" dxfId="5304" priority="691">
      <formula>B26=""</formula>
    </cfRule>
  </conditionalFormatting>
  <conditionalFormatting sqref="E27">
    <cfRule type="expression" dxfId="5303" priority="690">
      <formula>B27=""</formula>
    </cfRule>
  </conditionalFormatting>
  <conditionalFormatting sqref="E28">
    <cfRule type="expression" dxfId="5302" priority="689">
      <formula>B28=""</formula>
    </cfRule>
  </conditionalFormatting>
  <conditionalFormatting sqref="G8 G10 G12 G14 G16 G18 G20 G22 G24 G26">
    <cfRule type="expression" dxfId="5301" priority="688">
      <formula>B8=""</formula>
    </cfRule>
  </conditionalFormatting>
  <conditionalFormatting sqref="G9 G11 G13 G15 G17 G19 G21 G23 G25 G27">
    <cfRule type="expression" dxfId="5300" priority="687">
      <formula>B9=""</formula>
    </cfRule>
  </conditionalFormatting>
  <conditionalFormatting sqref="G10:G20">
    <cfRule type="expression" dxfId="5299" priority="686">
      <formula>B10=""</formula>
    </cfRule>
  </conditionalFormatting>
  <conditionalFormatting sqref="G21">
    <cfRule type="expression" dxfId="5298" priority="685">
      <formula>B21=""</formula>
    </cfRule>
  </conditionalFormatting>
  <conditionalFormatting sqref="G22">
    <cfRule type="expression" dxfId="5297" priority="684">
      <formula>B22=""</formula>
    </cfRule>
  </conditionalFormatting>
  <conditionalFormatting sqref="G23">
    <cfRule type="expression" dxfId="5296" priority="683">
      <formula>B23=""</formula>
    </cfRule>
  </conditionalFormatting>
  <conditionalFormatting sqref="G24">
    <cfRule type="expression" dxfId="5295" priority="682">
      <formula>B24=""</formula>
    </cfRule>
  </conditionalFormatting>
  <conditionalFormatting sqref="G25">
    <cfRule type="expression" dxfId="5294" priority="681">
      <formula>B25=""</formula>
    </cfRule>
  </conditionalFormatting>
  <conditionalFormatting sqref="G26">
    <cfRule type="expression" dxfId="5293" priority="680">
      <formula>B26=""</formula>
    </cfRule>
  </conditionalFormatting>
  <conditionalFormatting sqref="G27">
    <cfRule type="expression" dxfId="5292" priority="679">
      <formula>B27=""</formula>
    </cfRule>
  </conditionalFormatting>
  <conditionalFormatting sqref="G28">
    <cfRule type="expression" dxfId="5291" priority="678">
      <formula>B28=""</formula>
    </cfRule>
  </conditionalFormatting>
  <conditionalFormatting sqref="H8 H10 H12 H14 H16 H18 H20 H22 H24 H26">
    <cfRule type="expression" dxfId="5290" priority="677">
      <formula>B8=""</formula>
    </cfRule>
  </conditionalFormatting>
  <conditionalFormatting sqref="H9 H11 H13 H15 H17 H19 H21 H23 H25 H27">
    <cfRule type="expression" dxfId="5289" priority="676">
      <formula>B9=""</formula>
    </cfRule>
  </conditionalFormatting>
  <conditionalFormatting sqref="H10:H20">
    <cfRule type="expression" dxfId="5288" priority="675">
      <formula>B10=""</formula>
    </cfRule>
  </conditionalFormatting>
  <conditionalFormatting sqref="H21">
    <cfRule type="expression" dxfId="5287" priority="674">
      <formula>B21=""</formula>
    </cfRule>
  </conditionalFormatting>
  <conditionalFormatting sqref="H22">
    <cfRule type="expression" dxfId="5286" priority="673">
      <formula>B22=""</formula>
    </cfRule>
  </conditionalFormatting>
  <conditionalFormatting sqref="H23">
    <cfRule type="expression" dxfId="5285" priority="672">
      <formula>B23=""</formula>
    </cfRule>
  </conditionalFormatting>
  <conditionalFormatting sqref="H24">
    <cfRule type="expression" dxfId="5284" priority="671">
      <formula>B24=""</formula>
    </cfRule>
  </conditionalFormatting>
  <conditionalFormatting sqref="H25">
    <cfRule type="expression" dxfId="5283" priority="670">
      <formula>B25=""</formula>
    </cfRule>
  </conditionalFormatting>
  <conditionalFormatting sqref="H26">
    <cfRule type="expression" dxfId="5282" priority="669">
      <formula>B26=""</formula>
    </cfRule>
  </conditionalFormatting>
  <conditionalFormatting sqref="H27">
    <cfRule type="expression" dxfId="5281" priority="668">
      <formula>B27=""</formula>
    </cfRule>
  </conditionalFormatting>
  <conditionalFormatting sqref="H28">
    <cfRule type="expression" dxfId="5280" priority="667">
      <formula>B28=""</formula>
    </cfRule>
  </conditionalFormatting>
  <conditionalFormatting sqref="C30:C50">
    <cfRule type="expression" dxfId="5279" priority="666">
      <formula>B30=""</formula>
    </cfRule>
  </conditionalFormatting>
  <conditionalFormatting sqref="C31 C33 C35 C37 C39 C41 C43 C45 C47 C49">
    <cfRule type="expression" dxfId="5278" priority="665">
      <formula>B31=""</formula>
    </cfRule>
  </conditionalFormatting>
  <conditionalFormatting sqref="C32:C42">
    <cfRule type="expression" dxfId="5277" priority="664">
      <formula>B32=""</formula>
    </cfRule>
  </conditionalFormatting>
  <conditionalFormatting sqref="C43">
    <cfRule type="expression" dxfId="5276" priority="663">
      <formula>B43=""</formula>
    </cfRule>
  </conditionalFormatting>
  <conditionalFormatting sqref="C44">
    <cfRule type="expression" dxfId="5275" priority="662">
      <formula>B44=""</formula>
    </cfRule>
  </conditionalFormatting>
  <conditionalFormatting sqref="C45">
    <cfRule type="expression" dxfId="5274" priority="661">
      <formula>B45=""</formula>
    </cfRule>
  </conditionalFormatting>
  <conditionalFormatting sqref="C46">
    <cfRule type="expression" dxfId="5273" priority="660">
      <formula>B46=""</formula>
    </cfRule>
  </conditionalFormatting>
  <conditionalFormatting sqref="C47">
    <cfRule type="expression" dxfId="5272" priority="659">
      <formula>B47=""</formula>
    </cfRule>
  </conditionalFormatting>
  <conditionalFormatting sqref="C48">
    <cfRule type="expression" dxfId="5271" priority="658">
      <formula>B48=""</formula>
    </cfRule>
  </conditionalFormatting>
  <conditionalFormatting sqref="C49">
    <cfRule type="expression" dxfId="5270" priority="657">
      <formula>B49=""</formula>
    </cfRule>
  </conditionalFormatting>
  <conditionalFormatting sqref="C50">
    <cfRule type="expression" dxfId="5269" priority="656">
      <formula>B50=""</formula>
    </cfRule>
  </conditionalFormatting>
  <conditionalFormatting sqref="D30 D32 D34 D36 D38 D40 D42 D44 D46 D48">
    <cfRule type="expression" dxfId="5268" priority="655">
      <formula>B30=""</formula>
    </cfRule>
  </conditionalFormatting>
  <conditionalFormatting sqref="D31 D33 D35 D37 D39 D41 D43 D45 D47 D49">
    <cfRule type="expression" dxfId="5267" priority="654">
      <formula>B31=""</formula>
    </cfRule>
  </conditionalFormatting>
  <conditionalFormatting sqref="D32:D42">
    <cfRule type="expression" dxfId="5266" priority="653">
      <formula>B32=""</formula>
    </cfRule>
  </conditionalFormatting>
  <conditionalFormatting sqref="D43">
    <cfRule type="expression" dxfId="5265" priority="652">
      <formula>B43=""</formula>
    </cfRule>
  </conditionalFormatting>
  <conditionalFormatting sqref="D44">
    <cfRule type="expression" dxfId="5264" priority="651">
      <formula>B44=""</formula>
    </cfRule>
  </conditionalFormatting>
  <conditionalFormatting sqref="D45">
    <cfRule type="expression" dxfId="5263" priority="650">
      <formula>B45=""</formula>
    </cfRule>
  </conditionalFormatting>
  <conditionalFormatting sqref="D46">
    <cfRule type="expression" dxfId="5262" priority="649">
      <formula>B46=""</formula>
    </cfRule>
  </conditionalFormatting>
  <conditionalFormatting sqref="D47">
    <cfRule type="expression" dxfId="5261" priority="648">
      <formula>B47=""</formula>
    </cfRule>
  </conditionalFormatting>
  <conditionalFormatting sqref="D48">
    <cfRule type="expression" dxfId="5260" priority="647">
      <formula>B48=""</formula>
    </cfRule>
  </conditionalFormatting>
  <conditionalFormatting sqref="D49">
    <cfRule type="expression" dxfId="5259" priority="646">
      <formula>B49=""</formula>
    </cfRule>
  </conditionalFormatting>
  <conditionalFormatting sqref="D50">
    <cfRule type="expression" dxfId="5258" priority="645">
      <formula>B50=""</formula>
    </cfRule>
  </conditionalFormatting>
  <conditionalFormatting sqref="E30 E32 E34 E36 E38 E40 E42 E44 E46 E48">
    <cfRule type="expression" dxfId="5257" priority="644">
      <formula>B30=""</formula>
    </cfRule>
  </conditionalFormatting>
  <conditionalFormatting sqref="E31 E33 E35 E37 E39 E41 E43 E45 E47 E49">
    <cfRule type="expression" dxfId="5256" priority="643">
      <formula>B31=""</formula>
    </cfRule>
  </conditionalFormatting>
  <conditionalFormatting sqref="E32:E42">
    <cfRule type="expression" dxfId="5255" priority="642">
      <formula>B32=""</formula>
    </cfRule>
  </conditionalFormatting>
  <conditionalFormatting sqref="E43">
    <cfRule type="expression" dxfId="5254" priority="641">
      <formula>B43=""</formula>
    </cfRule>
  </conditionalFormatting>
  <conditionalFormatting sqref="E44">
    <cfRule type="expression" dxfId="5253" priority="640">
      <formula>B44=""</formula>
    </cfRule>
  </conditionalFormatting>
  <conditionalFormatting sqref="E45">
    <cfRule type="expression" dxfId="5252" priority="639">
      <formula>B45=""</formula>
    </cfRule>
  </conditionalFormatting>
  <conditionalFormatting sqref="E46">
    <cfRule type="expression" dxfId="5251" priority="638">
      <formula>B46=""</formula>
    </cfRule>
  </conditionalFormatting>
  <conditionalFormatting sqref="E47">
    <cfRule type="expression" dxfId="5250" priority="637">
      <formula>B47=""</formula>
    </cfRule>
  </conditionalFormatting>
  <conditionalFormatting sqref="E48">
    <cfRule type="expression" dxfId="5249" priority="636">
      <formula>B48=""</formula>
    </cfRule>
  </conditionalFormatting>
  <conditionalFormatting sqref="E49">
    <cfRule type="expression" dxfId="5248" priority="635">
      <formula>B49=""</formula>
    </cfRule>
  </conditionalFormatting>
  <conditionalFormatting sqref="E50">
    <cfRule type="expression" dxfId="5247" priority="634">
      <formula>B50=""</formula>
    </cfRule>
  </conditionalFormatting>
  <conditionalFormatting sqref="F30 F32 F34 F36 F38 F40 F42 F44 F46 F48">
    <cfRule type="expression" dxfId="5246" priority="633">
      <formula>B30=""</formula>
    </cfRule>
  </conditionalFormatting>
  <conditionalFormatting sqref="F31 F33 F35 F37 F39 F41 F43 F45 F47 F49">
    <cfRule type="expression" dxfId="5245" priority="632">
      <formula>B31=""</formula>
    </cfRule>
  </conditionalFormatting>
  <conditionalFormatting sqref="F32:F42">
    <cfRule type="expression" dxfId="5244" priority="631">
      <formula>B32=""</formula>
    </cfRule>
  </conditionalFormatting>
  <conditionalFormatting sqref="F43">
    <cfRule type="expression" dxfId="5243" priority="630">
      <formula>B43=""</formula>
    </cfRule>
  </conditionalFormatting>
  <conditionalFormatting sqref="F44">
    <cfRule type="expression" dxfId="5242" priority="629">
      <formula>B44=""</formula>
    </cfRule>
  </conditionalFormatting>
  <conditionalFormatting sqref="F45">
    <cfRule type="expression" dxfId="5241" priority="628">
      <formula>B45=""</formula>
    </cfRule>
  </conditionalFormatting>
  <conditionalFormatting sqref="F46">
    <cfRule type="expression" dxfId="5240" priority="627">
      <formula>B46=""</formula>
    </cfRule>
  </conditionalFormatting>
  <conditionalFormatting sqref="F47">
    <cfRule type="expression" dxfId="5239" priority="626">
      <formula>B47=""</formula>
    </cfRule>
  </conditionalFormatting>
  <conditionalFormatting sqref="F48">
    <cfRule type="expression" dxfId="5238" priority="625">
      <formula>B48=""</formula>
    </cfRule>
  </conditionalFormatting>
  <conditionalFormatting sqref="F49">
    <cfRule type="expression" dxfId="5237" priority="624">
      <formula>B49=""</formula>
    </cfRule>
  </conditionalFormatting>
  <conditionalFormatting sqref="F50">
    <cfRule type="expression" dxfId="5236" priority="623">
      <formula>B50=""</formula>
    </cfRule>
  </conditionalFormatting>
  <conditionalFormatting sqref="E31 E33 E35 E37 E39 E41 E43 E45 E47 E49">
    <cfRule type="expression" dxfId="5235" priority="622">
      <formula>B31=""</formula>
    </cfRule>
  </conditionalFormatting>
  <conditionalFormatting sqref="E32:E42">
    <cfRule type="expression" dxfId="5234" priority="621">
      <formula>B32=""</formula>
    </cfRule>
  </conditionalFormatting>
  <conditionalFormatting sqref="E43">
    <cfRule type="expression" dxfId="5233" priority="620">
      <formula>B43=""</formula>
    </cfRule>
  </conditionalFormatting>
  <conditionalFormatting sqref="E44">
    <cfRule type="expression" dxfId="5232" priority="619">
      <formula>B44=""</formula>
    </cfRule>
  </conditionalFormatting>
  <conditionalFormatting sqref="E45">
    <cfRule type="expression" dxfId="5231" priority="618">
      <formula>B45=""</formula>
    </cfRule>
  </conditionalFormatting>
  <conditionalFormatting sqref="E46">
    <cfRule type="expression" dxfId="5230" priority="617">
      <formula>B46=""</formula>
    </cfRule>
  </conditionalFormatting>
  <conditionalFormatting sqref="E47">
    <cfRule type="expression" dxfId="5229" priority="616">
      <formula>B47=""</formula>
    </cfRule>
  </conditionalFormatting>
  <conditionalFormatting sqref="E48">
    <cfRule type="expression" dxfId="5228" priority="615">
      <formula>B48=""</formula>
    </cfRule>
  </conditionalFormatting>
  <conditionalFormatting sqref="E49">
    <cfRule type="expression" dxfId="5227" priority="614">
      <formula>B49=""</formula>
    </cfRule>
  </conditionalFormatting>
  <conditionalFormatting sqref="E50">
    <cfRule type="expression" dxfId="5226" priority="613">
      <formula>B50=""</formula>
    </cfRule>
  </conditionalFormatting>
  <conditionalFormatting sqref="G30 G32 G34 G36 G38 G40 G42 G44 G46 G48">
    <cfRule type="expression" dxfId="5225" priority="612">
      <formula>B30=""</formula>
    </cfRule>
  </conditionalFormatting>
  <conditionalFormatting sqref="G31 G33 G35 G37 G39 G41 G43 G45 G47 G49">
    <cfRule type="expression" dxfId="5224" priority="611">
      <formula>B31=""</formula>
    </cfRule>
  </conditionalFormatting>
  <conditionalFormatting sqref="G32:G42">
    <cfRule type="expression" dxfId="5223" priority="610">
      <formula>B32=""</formula>
    </cfRule>
  </conditionalFormatting>
  <conditionalFormatting sqref="G43">
    <cfRule type="expression" dxfId="5222" priority="609">
      <formula>B43=""</formula>
    </cfRule>
  </conditionalFormatting>
  <conditionalFormatting sqref="G44">
    <cfRule type="expression" dxfId="5221" priority="608">
      <formula>B44=""</formula>
    </cfRule>
  </conditionalFormatting>
  <conditionalFormatting sqref="G45">
    <cfRule type="expression" dxfId="5220" priority="607">
      <formula>B45=""</formula>
    </cfRule>
  </conditionalFormatting>
  <conditionalFormatting sqref="G46">
    <cfRule type="expression" dxfId="5219" priority="606">
      <formula>B46=""</formula>
    </cfRule>
  </conditionalFormatting>
  <conditionalFormatting sqref="G47">
    <cfRule type="expression" dxfId="5218" priority="605">
      <formula>B47=""</formula>
    </cfRule>
  </conditionalFormatting>
  <conditionalFormatting sqref="G48">
    <cfRule type="expression" dxfId="5217" priority="604">
      <formula>B48=""</formula>
    </cfRule>
  </conditionalFormatting>
  <conditionalFormatting sqref="G49">
    <cfRule type="expression" dxfId="5216" priority="603">
      <formula>B49=""</formula>
    </cfRule>
  </conditionalFormatting>
  <conditionalFormatting sqref="G50">
    <cfRule type="expression" dxfId="5215" priority="602">
      <formula>B50=""</formula>
    </cfRule>
  </conditionalFormatting>
  <conditionalFormatting sqref="H30 H32 H34 H36 H38 H40 H42 H44 H46 H48">
    <cfRule type="expression" dxfId="5214" priority="601">
      <formula>B30=""</formula>
    </cfRule>
  </conditionalFormatting>
  <conditionalFormatting sqref="H31 H33 H35 H37 H39 H41 H43 H45 H47 H49">
    <cfRule type="expression" dxfId="5213" priority="600">
      <formula>B31=""</formula>
    </cfRule>
  </conditionalFormatting>
  <conditionalFormatting sqref="H32:H42">
    <cfRule type="expression" dxfId="5212" priority="599">
      <formula>B32=""</formula>
    </cfRule>
  </conditionalFormatting>
  <conditionalFormatting sqref="H43">
    <cfRule type="expression" dxfId="5211" priority="598">
      <formula>B43=""</formula>
    </cfRule>
  </conditionalFormatting>
  <conditionalFormatting sqref="H44">
    <cfRule type="expression" dxfId="5210" priority="597">
      <formula>B44=""</formula>
    </cfRule>
  </conditionalFormatting>
  <conditionalFormatting sqref="H45">
    <cfRule type="expression" dxfId="5209" priority="596">
      <formula>B45=""</formula>
    </cfRule>
  </conditionalFormatting>
  <conditionalFormatting sqref="H46">
    <cfRule type="expression" dxfId="5208" priority="595">
      <formula>B46=""</formula>
    </cfRule>
  </conditionalFormatting>
  <conditionalFormatting sqref="H47">
    <cfRule type="expression" dxfId="5207" priority="594">
      <formula>B47=""</formula>
    </cfRule>
  </conditionalFormatting>
  <conditionalFormatting sqref="H48">
    <cfRule type="expression" dxfId="5206" priority="593">
      <formula>B48=""</formula>
    </cfRule>
  </conditionalFormatting>
  <conditionalFormatting sqref="H49">
    <cfRule type="expression" dxfId="5205" priority="592">
      <formula>B49=""</formula>
    </cfRule>
  </conditionalFormatting>
  <conditionalFormatting sqref="H50">
    <cfRule type="expression" dxfId="5204" priority="591">
      <formula>B50=""</formula>
    </cfRule>
  </conditionalFormatting>
  <conditionalFormatting sqref="C52:C72">
    <cfRule type="expression" dxfId="5203" priority="590">
      <formula>B52=""</formula>
    </cfRule>
  </conditionalFormatting>
  <conditionalFormatting sqref="C53 C55 C57 C59 C61 C63 C65 C67 C69 C71">
    <cfRule type="expression" dxfId="5202" priority="589">
      <formula>B53=""</formula>
    </cfRule>
  </conditionalFormatting>
  <conditionalFormatting sqref="C54:C64">
    <cfRule type="expression" dxfId="5201" priority="588">
      <formula>B54=""</formula>
    </cfRule>
  </conditionalFormatting>
  <conditionalFormatting sqref="C65">
    <cfRule type="expression" dxfId="5200" priority="587">
      <formula>B65=""</formula>
    </cfRule>
  </conditionalFormatting>
  <conditionalFormatting sqref="C66">
    <cfRule type="expression" dxfId="5199" priority="586">
      <formula>B66=""</formula>
    </cfRule>
  </conditionalFormatting>
  <conditionalFormatting sqref="C67">
    <cfRule type="expression" dxfId="5198" priority="585">
      <formula>B67=""</formula>
    </cfRule>
  </conditionalFormatting>
  <conditionalFormatting sqref="C68">
    <cfRule type="expression" dxfId="5197" priority="584">
      <formula>B68=""</formula>
    </cfRule>
  </conditionalFormatting>
  <conditionalFormatting sqref="C69">
    <cfRule type="expression" dxfId="5196" priority="583">
      <formula>B69=""</formula>
    </cfRule>
  </conditionalFormatting>
  <conditionalFormatting sqref="C70">
    <cfRule type="expression" dxfId="5195" priority="582">
      <formula>B70=""</formula>
    </cfRule>
  </conditionalFormatting>
  <conditionalFormatting sqref="C71">
    <cfRule type="expression" dxfId="5194" priority="581">
      <formula>B71=""</formula>
    </cfRule>
  </conditionalFormatting>
  <conditionalFormatting sqref="C72">
    <cfRule type="expression" dxfId="5193" priority="580">
      <formula>B72=""</formula>
    </cfRule>
  </conditionalFormatting>
  <conditionalFormatting sqref="D52 D54 D56 D58 D60 D62 D64 D66 D68 D70 D72">
    <cfRule type="expression" dxfId="5192" priority="579">
      <formula>B52=""</formula>
    </cfRule>
  </conditionalFormatting>
  <conditionalFormatting sqref="D53 D55 D57 D59 D61 D63 D65 D67 D69 D71">
    <cfRule type="expression" dxfId="5191" priority="578">
      <formula>B53=""</formula>
    </cfRule>
  </conditionalFormatting>
  <conditionalFormatting sqref="D54:D64">
    <cfRule type="expression" dxfId="5190" priority="577">
      <formula>B54=""</formula>
    </cfRule>
  </conditionalFormatting>
  <conditionalFormatting sqref="D65">
    <cfRule type="expression" dxfId="5189" priority="576">
      <formula>B65=""</formula>
    </cfRule>
  </conditionalFormatting>
  <conditionalFormatting sqref="D66">
    <cfRule type="expression" dxfId="5188" priority="575">
      <formula>B66=""</formula>
    </cfRule>
  </conditionalFormatting>
  <conditionalFormatting sqref="D67">
    <cfRule type="expression" dxfId="5187" priority="574">
      <formula>B67=""</formula>
    </cfRule>
  </conditionalFormatting>
  <conditionalFormatting sqref="D68">
    <cfRule type="expression" dxfId="5186" priority="573">
      <formula>B68=""</formula>
    </cfRule>
  </conditionalFormatting>
  <conditionalFormatting sqref="D69">
    <cfRule type="expression" dxfId="5185" priority="572">
      <formula>B69=""</formula>
    </cfRule>
  </conditionalFormatting>
  <conditionalFormatting sqref="D70">
    <cfRule type="expression" dxfId="5184" priority="571">
      <formula>B70=""</formula>
    </cfRule>
  </conditionalFormatting>
  <conditionalFormatting sqref="D71">
    <cfRule type="expression" dxfId="5183" priority="570">
      <formula>B71=""</formula>
    </cfRule>
  </conditionalFormatting>
  <conditionalFormatting sqref="D72">
    <cfRule type="expression" dxfId="5182" priority="569">
      <formula>B72=""</formula>
    </cfRule>
  </conditionalFormatting>
  <conditionalFormatting sqref="E52 E54 E56 E58 E60 E62 E64 E66 E68 E70 E72">
    <cfRule type="expression" dxfId="5181" priority="568">
      <formula>B52=""</formula>
    </cfRule>
  </conditionalFormatting>
  <conditionalFormatting sqref="E53 E55 E57 E59 E61 E63 E65 E67 E69 E71">
    <cfRule type="expression" dxfId="5180" priority="567">
      <formula>B53=""</formula>
    </cfRule>
  </conditionalFormatting>
  <conditionalFormatting sqref="E54:E64">
    <cfRule type="expression" dxfId="5179" priority="566">
      <formula>B54=""</formula>
    </cfRule>
  </conditionalFormatting>
  <conditionalFormatting sqref="E65">
    <cfRule type="expression" dxfId="5178" priority="565">
      <formula>B65=""</formula>
    </cfRule>
  </conditionalFormatting>
  <conditionalFormatting sqref="E66">
    <cfRule type="expression" dxfId="5177" priority="564">
      <formula>B66=""</formula>
    </cfRule>
  </conditionalFormatting>
  <conditionalFormatting sqref="E67">
    <cfRule type="expression" dxfId="5176" priority="563">
      <formula>B67=""</formula>
    </cfRule>
  </conditionalFormatting>
  <conditionalFormatting sqref="E68">
    <cfRule type="expression" dxfId="5175" priority="562">
      <formula>B68=""</formula>
    </cfRule>
  </conditionalFormatting>
  <conditionalFormatting sqref="E69">
    <cfRule type="expression" dxfId="5174" priority="561">
      <formula>B69=""</formula>
    </cfRule>
  </conditionalFormatting>
  <conditionalFormatting sqref="E70">
    <cfRule type="expression" dxfId="5173" priority="560">
      <formula>B70=""</formula>
    </cfRule>
  </conditionalFormatting>
  <conditionalFormatting sqref="E71">
    <cfRule type="expression" dxfId="5172" priority="559">
      <formula>B71=""</formula>
    </cfRule>
  </conditionalFormatting>
  <conditionalFormatting sqref="E72">
    <cfRule type="expression" dxfId="5171" priority="558">
      <formula>B72=""</formula>
    </cfRule>
  </conditionalFormatting>
  <conditionalFormatting sqref="F52 F54 F56 F58 F60 F62 F64 F66 F68 F70 F72">
    <cfRule type="expression" dxfId="5170" priority="557">
      <formula>B52=""</formula>
    </cfRule>
  </conditionalFormatting>
  <conditionalFormatting sqref="F53 F55 F57 F59 F61 F63 F65 F67 F69 F71">
    <cfRule type="expression" dxfId="5169" priority="556">
      <formula>B53=""</formula>
    </cfRule>
  </conditionalFormatting>
  <conditionalFormatting sqref="F54:F64">
    <cfRule type="expression" dxfId="5168" priority="555">
      <formula>B54=""</formula>
    </cfRule>
  </conditionalFormatting>
  <conditionalFormatting sqref="F65">
    <cfRule type="expression" dxfId="5167" priority="554">
      <formula>B65=""</formula>
    </cfRule>
  </conditionalFormatting>
  <conditionalFormatting sqref="F66">
    <cfRule type="expression" dxfId="5166" priority="553">
      <formula>B66=""</formula>
    </cfRule>
  </conditionalFormatting>
  <conditionalFormatting sqref="F67">
    <cfRule type="expression" dxfId="5165" priority="552">
      <formula>B67=""</formula>
    </cfRule>
  </conditionalFormatting>
  <conditionalFormatting sqref="F68">
    <cfRule type="expression" dxfId="5164" priority="551">
      <formula>B68=""</formula>
    </cfRule>
  </conditionalFormatting>
  <conditionalFormatting sqref="F69">
    <cfRule type="expression" dxfId="5163" priority="550">
      <formula>B69=""</formula>
    </cfRule>
  </conditionalFormatting>
  <conditionalFormatting sqref="F70">
    <cfRule type="expression" dxfId="5162" priority="549">
      <formula>B70=""</formula>
    </cfRule>
  </conditionalFormatting>
  <conditionalFormatting sqref="F71">
    <cfRule type="expression" dxfId="5161" priority="548">
      <formula>B71=""</formula>
    </cfRule>
  </conditionalFormatting>
  <conditionalFormatting sqref="F72">
    <cfRule type="expression" dxfId="5160" priority="547">
      <formula>B72=""</formula>
    </cfRule>
  </conditionalFormatting>
  <conditionalFormatting sqref="E53 E55 E57 E59 E61 E63 E65 E67 E69 E71">
    <cfRule type="expression" dxfId="5159" priority="546">
      <formula>B53=""</formula>
    </cfRule>
  </conditionalFormatting>
  <conditionalFormatting sqref="E54:E64">
    <cfRule type="expression" dxfId="5158" priority="545">
      <formula>B54=""</formula>
    </cfRule>
  </conditionalFormatting>
  <conditionalFormatting sqref="E65">
    <cfRule type="expression" dxfId="5157" priority="544">
      <formula>B65=""</formula>
    </cfRule>
  </conditionalFormatting>
  <conditionalFormatting sqref="E66">
    <cfRule type="expression" dxfId="5156" priority="543">
      <formula>B66=""</formula>
    </cfRule>
  </conditionalFormatting>
  <conditionalFormatting sqref="E67">
    <cfRule type="expression" dxfId="5155" priority="542">
      <formula>B67=""</formula>
    </cfRule>
  </conditionalFormatting>
  <conditionalFormatting sqref="E68">
    <cfRule type="expression" dxfId="5154" priority="541">
      <formula>B68=""</formula>
    </cfRule>
  </conditionalFormatting>
  <conditionalFormatting sqref="E69">
    <cfRule type="expression" dxfId="5153" priority="540">
      <formula>B69=""</formula>
    </cfRule>
  </conditionalFormatting>
  <conditionalFormatting sqref="E70">
    <cfRule type="expression" dxfId="5152" priority="539">
      <formula>B70=""</formula>
    </cfRule>
  </conditionalFormatting>
  <conditionalFormatting sqref="E71">
    <cfRule type="expression" dxfId="5151" priority="538">
      <formula>B71=""</formula>
    </cfRule>
  </conditionalFormatting>
  <conditionalFormatting sqref="E72">
    <cfRule type="expression" dxfId="5150" priority="537">
      <formula>B72=""</formula>
    </cfRule>
  </conditionalFormatting>
  <conditionalFormatting sqref="G52 G54 G56 G58 G60 G62 G64 G66 G68 G70 G72">
    <cfRule type="expression" dxfId="5149" priority="536">
      <formula>B52=""</formula>
    </cfRule>
  </conditionalFormatting>
  <conditionalFormatting sqref="G53 G55 G57 G59 G61 G63 G65 G67 G69 G71">
    <cfRule type="expression" dxfId="5148" priority="535">
      <formula>B53=""</formula>
    </cfRule>
  </conditionalFormatting>
  <conditionalFormatting sqref="G54:G64">
    <cfRule type="expression" dxfId="5147" priority="534">
      <formula>B54=""</formula>
    </cfRule>
  </conditionalFormatting>
  <conditionalFormatting sqref="G65">
    <cfRule type="expression" dxfId="5146" priority="533">
      <formula>B65=""</formula>
    </cfRule>
  </conditionalFormatting>
  <conditionalFormatting sqref="G66">
    <cfRule type="expression" dxfId="5145" priority="532">
      <formula>B66=""</formula>
    </cfRule>
  </conditionalFormatting>
  <conditionalFormatting sqref="G67">
    <cfRule type="expression" dxfId="5144" priority="531">
      <formula>B67=""</formula>
    </cfRule>
  </conditionalFormatting>
  <conditionalFormatting sqref="G68">
    <cfRule type="expression" dxfId="5143" priority="530">
      <formula>B68=""</formula>
    </cfRule>
  </conditionalFormatting>
  <conditionalFormatting sqref="G69">
    <cfRule type="expression" dxfId="5142" priority="529">
      <formula>B69=""</formula>
    </cfRule>
  </conditionalFormatting>
  <conditionalFormatting sqref="G70">
    <cfRule type="expression" dxfId="5141" priority="528">
      <formula>B70=""</formula>
    </cfRule>
  </conditionalFormatting>
  <conditionalFormatting sqref="G71">
    <cfRule type="expression" dxfId="5140" priority="527">
      <formula>B71=""</formula>
    </cfRule>
  </conditionalFormatting>
  <conditionalFormatting sqref="G72">
    <cfRule type="expression" dxfId="5139" priority="526">
      <formula>B72=""</formula>
    </cfRule>
  </conditionalFormatting>
  <conditionalFormatting sqref="H52 H54 H56 H58 H60 H62 H64 H66 H68 H70 H72">
    <cfRule type="expression" dxfId="5138" priority="525">
      <formula>B52=""</formula>
    </cfRule>
  </conditionalFormatting>
  <conditionalFormatting sqref="H53 H55 H57 H59 H61 H63 H65 H67 H69 H71">
    <cfRule type="expression" dxfId="5137" priority="524">
      <formula>B53=""</formula>
    </cfRule>
  </conditionalFormatting>
  <conditionalFormatting sqref="H54:H64">
    <cfRule type="expression" dxfId="5136" priority="523">
      <formula>B54=""</formula>
    </cfRule>
  </conditionalFormatting>
  <conditionalFormatting sqref="H65">
    <cfRule type="expression" dxfId="5135" priority="522">
      <formula>B65=""</formula>
    </cfRule>
  </conditionalFormatting>
  <conditionalFormatting sqref="H66">
    <cfRule type="expression" dxfId="5134" priority="521">
      <formula>B66=""</formula>
    </cfRule>
  </conditionalFormatting>
  <conditionalFormatting sqref="H67">
    <cfRule type="expression" dxfId="5133" priority="520">
      <formula>B67=""</formula>
    </cfRule>
  </conditionalFormatting>
  <conditionalFormatting sqref="H68">
    <cfRule type="expression" dxfId="5132" priority="519">
      <formula>B68=""</formula>
    </cfRule>
  </conditionalFormatting>
  <conditionalFormatting sqref="H69">
    <cfRule type="expression" dxfId="5131" priority="518">
      <formula>B69=""</formula>
    </cfRule>
  </conditionalFormatting>
  <conditionalFormatting sqref="H70">
    <cfRule type="expression" dxfId="5130" priority="517">
      <formula>B70=""</formula>
    </cfRule>
  </conditionalFormatting>
  <conditionalFormatting sqref="H71">
    <cfRule type="expression" dxfId="5129" priority="516">
      <formula>B71=""</formula>
    </cfRule>
  </conditionalFormatting>
  <conditionalFormatting sqref="H72">
    <cfRule type="expression" dxfId="5128" priority="515">
      <formula>B72=""</formula>
    </cfRule>
  </conditionalFormatting>
  <conditionalFormatting sqref="C74:C94">
    <cfRule type="expression" dxfId="5127" priority="514">
      <formula>B74=""</formula>
    </cfRule>
  </conditionalFormatting>
  <conditionalFormatting sqref="C75 C77 C79 C81 C83 C85 C87 C89 C91 C93">
    <cfRule type="expression" dxfId="5126" priority="513">
      <formula>B75=""</formula>
    </cfRule>
  </conditionalFormatting>
  <conditionalFormatting sqref="C76:C86">
    <cfRule type="expression" dxfId="5125" priority="512">
      <formula>B76=""</formula>
    </cfRule>
  </conditionalFormatting>
  <conditionalFormatting sqref="C87">
    <cfRule type="expression" dxfId="5124" priority="511">
      <formula>B87=""</formula>
    </cfRule>
  </conditionalFormatting>
  <conditionalFormatting sqref="C88">
    <cfRule type="expression" dxfId="5123" priority="510">
      <formula>B88=""</formula>
    </cfRule>
  </conditionalFormatting>
  <conditionalFormatting sqref="C89">
    <cfRule type="expression" dxfId="5122" priority="509">
      <formula>B89=""</formula>
    </cfRule>
  </conditionalFormatting>
  <conditionalFormatting sqref="C90">
    <cfRule type="expression" dxfId="5121" priority="508">
      <formula>B90=""</formula>
    </cfRule>
  </conditionalFormatting>
  <conditionalFormatting sqref="C91">
    <cfRule type="expression" dxfId="5120" priority="507">
      <formula>B91=""</formula>
    </cfRule>
  </conditionalFormatting>
  <conditionalFormatting sqref="C92">
    <cfRule type="expression" dxfId="5119" priority="506">
      <formula>B92=""</formula>
    </cfRule>
  </conditionalFormatting>
  <conditionalFormatting sqref="C93">
    <cfRule type="expression" dxfId="5118" priority="505">
      <formula>B93=""</formula>
    </cfRule>
  </conditionalFormatting>
  <conditionalFormatting sqref="C94">
    <cfRule type="expression" dxfId="5117" priority="504">
      <formula>B94=""</formula>
    </cfRule>
  </conditionalFormatting>
  <conditionalFormatting sqref="D74 D76 D78 D80 D82 D84 D86 D88 D90 D92">
    <cfRule type="expression" dxfId="5116" priority="503">
      <formula>B74=""</formula>
    </cfRule>
  </conditionalFormatting>
  <conditionalFormatting sqref="D75 D77 D79 D81 D83 D85 D87 D89 D91 D93">
    <cfRule type="expression" dxfId="5115" priority="502">
      <formula>B75=""</formula>
    </cfRule>
  </conditionalFormatting>
  <conditionalFormatting sqref="D76:D86">
    <cfRule type="expression" dxfId="5114" priority="501">
      <formula>B76=""</formula>
    </cfRule>
  </conditionalFormatting>
  <conditionalFormatting sqref="D87">
    <cfRule type="expression" dxfId="5113" priority="500">
      <formula>B87=""</formula>
    </cfRule>
  </conditionalFormatting>
  <conditionalFormatting sqref="D88">
    <cfRule type="expression" dxfId="5112" priority="499">
      <formula>B88=""</formula>
    </cfRule>
  </conditionalFormatting>
  <conditionalFormatting sqref="D89">
    <cfRule type="expression" dxfId="5111" priority="498">
      <formula>B89=""</formula>
    </cfRule>
  </conditionalFormatting>
  <conditionalFormatting sqref="D90">
    <cfRule type="expression" dxfId="5110" priority="497">
      <formula>B90=""</formula>
    </cfRule>
  </conditionalFormatting>
  <conditionalFormatting sqref="D91">
    <cfRule type="expression" dxfId="5109" priority="496">
      <formula>B91=""</formula>
    </cfRule>
  </conditionalFormatting>
  <conditionalFormatting sqref="D92">
    <cfRule type="expression" dxfId="5108" priority="495">
      <formula>B92=""</formula>
    </cfRule>
  </conditionalFormatting>
  <conditionalFormatting sqref="D93">
    <cfRule type="expression" dxfId="5107" priority="494">
      <formula>B93=""</formula>
    </cfRule>
  </conditionalFormatting>
  <conditionalFormatting sqref="D94">
    <cfRule type="expression" dxfId="5106" priority="493">
      <formula>B94=""</formula>
    </cfRule>
  </conditionalFormatting>
  <conditionalFormatting sqref="E74 E76 E78 E80 E82 E84 E86 E88 E90 E92">
    <cfRule type="expression" dxfId="5105" priority="492">
      <formula>B74=""</formula>
    </cfRule>
  </conditionalFormatting>
  <conditionalFormatting sqref="E75 E77 E79 E81 E83 E85 E87 E89 E91 E93">
    <cfRule type="expression" dxfId="5104" priority="491">
      <formula>B75=""</formula>
    </cfRule>
  </conditionalFormatting>
  <conditionalFormatting sqref="E76:E86">
    <cfRule type="expression" dxfId="5103" priority="490">
      <formula>B76=""</formula>
    </cfRule>
  </conditionalFormatting>
  <conditionalFormatting sqref="E87">
    <cfRule type="expression" dxfId="5102" priority="489">
      <formula>B87=""</formula>
    </cfRule>
  </conditionalFormatting>
  <conditionalFormatting sqref="E88">
    <cfRule type="expression" dxfId="5101" priority="488">
      <formula>B88=""</formula>
    </cfRule>
  </conditionalFormatting>
  <conditionalFormatting sqref="E89">
    <cfRule type="expression" dxfId="5100" priority="487">
      <formula>B89=""</formula>
    </cfRule>
  </conditionalFormatting>
  <conditionalFormatting sqref="E90">
    <cfRule type="expression" dxfId="5099" priority="486">
      <formula>B90=""</formula>
    </cfRule>
  </conditionalFormatting>
  <conditionalFormatting sqref="E91">
    <cfRule type="expression" dxfId="5098" priority="485">
      <formula>B91=""</formula>
    </cfRule>
  </conditionalFormatting>
  <conditionalFormatting sqref="E92">
    <cfRule type="expression" dxfId="5097" priority="484">
      <formula>B92=""</formula>
    </cfRule>
  </conditionalFormatting>
  <conditionalFormatting sqref="E93">
    <cfRule type="expression" dxfId="5096" priority="483">
      <formula>B93=""</formula>
    </cfRule>
  </conditionalFormatting>
  <conditionalFormatting sqref="E94">
    <cfRule type="expression" dxfId="5095" priority="482">
      <formula>B94=""</formula>
    </cfRule>
  </conditionalFormatting>
  <conditionalFormatting sqref="F74 F76 F78 F80 F82 F84 F86 F88 F90 F92">
    <cfRule type="expression" dxfId="5094" priority="481">
      <formula>B74=""</formula>
    </cfRule>
  </conditionalFormatting>
  <conditionalFormatting sqref="F75 F77 F79 F81 F83 F85 F87 F89 F91 F93">
    <cfRule type="expression" dxfId="5093" priority="480">
      <formula>B75=""</formula>
    </cfRule>
  </conditionalFormatting>
  <conditionalFormatting sqref="F76:F86">
    <cfRule type="expression" dxfId="5092" priority="479">
      <formula>B76=""</formula>
    </cfRule>
  </conditionalFormatting>
  <conditionalFormatting sqref="F87">
    <cfRule type="expression" dxfId="5091" priority="478">
      <formula>B87=""</formula>
    </cfRule>
  </conditionalFormatting>
  <conditionalFormatting sqref="F88">
    <cfRule type="expression" dxfId="5090" priority="477">
      <formula>B88=""</formula>
    </cfRule>
  </conditionalFormatting>
  <conditionalFormatting sqref="F89">
    <cfRule type="expression" dxfId="5089" priority="476">
      <formula>B89=""</formula>
    </cfRule>
  </conditionalFormatting>
  <conditionalFormatting sqref="F90">
    <cfRule type="expression" dxfId="5088" priority="475">
      <formula>B90=""</formula>
    </cfRule>
  </conditionalFormatting>
  <conditionalFormatting sqref="F91">
    <cfRule type="expression" dxfId="5087" priority="474">
      <formula>B91=""</formula>
    </cfRule>
  </conditionalFormatting>
  <conditionalFormatting sqref="F92">
    <cfRule type="expression" dxfId="5086" priority="473">
      <formula>B92=""</formula>
    </cfRule>
  </conditionalFormatting>
  <conditionalFormatting sqref="F93">
    <cfRule type="expression" dxfId="5085" priority="472">
      <formula>B93=""</formula>
    </cfRule>
  </conditionalFormatting>
  <conditionalFormatting sqref="F94">
    <cfRule type="expression" dxfId="5084" priority="471">
      <formula>B94=""</formula>
    </cfRule>
  </conditionalFormatting>
  <conditionalFormatting sqref="E75 E77 E79 E81 E83 E85 E87 E89 E91 E93">
    <cfRule type="expression" dxfId="5083" priority="470">
      <formula>B75=""</formula>
    </cfRule>
  </conditionalFormatting>
  <conditionalFormatting sqref="E76:E86">
    <cfRule type="expression" dxfId="5082" priority="469">
      <formula>B76=""</formula>
    </cfRule>
  </conditionalFormatting>
  <conditionalFormatting sqref="E87">
    <cfRule type="expression" dxfId="5081" priority="468">
      <formula>B87=""</formula>
    </cfRule>
  </conditionalFormatting>
  <conditionalFormatting sqref="E88">
    <cfRule type="expression" dxfId="5080" priority="467">
      <formula>B88=""</formula>
    </cfRule>
  </conditionalFormatting>
  <conditionalFormatting sqref="E89">
    <cfRule type="expression" dxfId="5079" priority="466">
      <formula>B89=""</formula>
    </cfRule>
  </conditionalFormatting>
  <conditionalFormatting sqref="E90">
    <cfRule type="expression" dxfId="5078" priority="465">
      <formula>B90=""</formula>
    </cfRule>
  </conditionalFormatting>
  <conditionalFormatting sqref="E91">
    <cfRule type="expression" dxfId="5077" priority="464">
      <formula>B91=""</formula>
    </cfRule>
  </conditionalFormatting>
  <conditionalFormatting sqref="E92">
    <cfRule type="expression" dxfId="5076" priority="463">
      <formula>B92=""</formula>
    </cfRule>
  </conditionalFormatting>
  <conditionalFormatting sqref="E93">
    <cfRule type="expression" dxfId="5075" priority="462">
      <formula>B93=""</formula>
    </cfRule>
  </conditionalFormatting>
  <conditionalFormatting sqref="E94">
    <cfRule type="expression" dxfId="5074" priority="461">
      <formula>B94=""</formula>
    </cfRule>
  </conditionalFormatting>
  <conditionalFormatting sqref="G74 G76 G78 G80 G82 G84 G86 G88 G90 G92">
    <cfRule type="expression" dxfId="5073" priority="460">
      <formula>B74=""</formula>
    </cfRule>
  </conditionalFormatting>
  <conditionalFormatting sqref="G75 G77 G79 G81 G83 G85 G87 G89 G91 G93">
    <cfRule type="expression" dxfId="5072" priority="459">
      <formula>B75=""</formula>
    </cfRule>
  </conditionalFormatting>
  <conditionalFormatting sqref="G76:G86">
    <cfRule type="expression" dxfId="5071" priority="458">
      <formula>B76=""</formula>
    </cfRule>
  </conditionalFormatting>
  <conditionalFormatting sqref="G87">
    <cfRule type="expression" dxfId="5070" priority="457">
      <formula>B87=""</formula>
    </cfRule>
  </conditionalFormatting>
  <conditionalFormatting sqref="G88">
    <cfRule type="expression" dxfId="5069" priority="456">
      <formula>B88=""</formula>
    </cfRule>
  </conditionalFormatting>
  <conditionalFormatting sqref="G89">
    <cfRule type="expression" dxfId="5068" priority="455">
      <formula>B89=""</formula>
    </cfRule>
  </conditionalFormatting>
  <conditionalFormatting sqref="G90">
    <cfRule type="expression" dxfId="5067" priority="454">
      <formula>B90=""</formula>
    </cfRule>
  </conditionalFormatting>
  <conditionalFormatting sqref="G91">
    <cfRule type="expression" dxfId="5066" priority="453">
      <formula>B91=""</formula>
    </cfRule>
  </conditionalFormatting>
  <conditionalFormatting sqref="G92">
    <cfRule type="expression" dxfId="5065" priority="452">
      <formula>B92=""</formula>
    </cfRule>
  </conditionalFormatting>
  <conditionalFormatting sqref="G93">
    <cfRule type="expression" dxfId="5064" priority="451">
      <formula>B93=""</formula>
    </cfRule>
  </conditionalFormatting>
  <conditionalFormatting sqref="G94">
    <cfRule type="expression" dxfId="5063" priority="450">
      <formula>B94=""</formula>
    </cfRule>
  </conditionalFormatting>
  <conditionalFormatting sqref="H74 H76 H78 H80 H82 H84 H86 H88 H90 H92">
    <cfRule type="expression" dxfId="5062" priority="449">
      <formula>B74=""</formula>
    </cfRule>
  </conditionalFormatting>
  <conditionalFormatting sqref="H75 H77 H79 H81 H83 H85 H87 H89 H91 H93">
    <cfRule type="expression" dxfId="5061" priority="448">
      <formula>B75=""</formula>
    </cfRule>
  </conditionalFormatting>
  <conditionalFormatting sqref="H76:H86">
    <cfRule type="expression" dxfId="5060" priority="447">
      <formula>B76=""</formula>
    </cfRule>
  </conditionalFormatting>
  <conditionalFormatting sqref="H87">
    <cfRule type="expression" dxfId="5059" priority="446">
      <formula>B87=""</formula>
    </cfRule>
  </conditionalFormatting>
  <conditionalFormatting sqref="H88">
    <cfRule type="expression" dxfId="5058" priority="445">
      <formula>B88=""</formula>
    </cfRule>
  </conditionalFormatting>
  <conditionalFormatting sqref="H89">
    <cfRule type="expression" dxfId="5057" priority="444">
      <formula>B89=""</formula>
    </cfRule>
  </conditionalFormatting>
  <conditionalFormatting sqref="H90">
    <cfRule type="expression" dxfId="5056" priority="443">
      <formula>B90=""</formula>
    </cfRule>
  </conditionalFormatting>
  <conditionalFormatting sqref="H91">
    <cfRule type="expression" dxfId="5055" priority="442">
      <formula>B91=""</formula>
    </cfRule>
  </conditionalFormatting>
  <conditionalFormatting sqref="H92">
    <cfRule type="expression" dxfId="5054" priority="441">
      <formula>B92=""</formula>
    </cfRule>
  </conditionalFormatting>
  <conditionalFormatting sqref="H93">
    <cfRule type="expression" dxfId="5053" priority="440">
      <formula>B93=""</formula>
    </cfRule>
  </conditionalFormatting>
  <conditionalFormatting sqref="H94">
    <cfRule type="expression" dxfId="5052" priority="439">
      <formula>B94=""</formula>
    </cfRule>
  </conditionalFormatting>
  <conditionalFormatting sqref="C49">
    <cfRule type="expression" dxfId="5051" priority="438">
      <formula>B49=""</formula>
    </cfRule>
  </conditionalFormatting>
  <conditionalFormatting sqref="C71">
    <cfRule type="expression" dxfId="5050" priority="437">
      <formula>B71=""</formula>
    </cfRule>
  </conditionalFormatting>
  <conditionalFormatting sqref="C93">
    <cfRule type="expression" dxfId="5049" priority="436">
      <formula>B93=""</formula>
    </cfRule>
  </conditionalFormatting>
  <conditionalFormatting sqref="C8:C27">
    <cfRule type="expression" dxfId="5048" priority="435">
      <formula>B8=""</formula>
    </cfRule>
  </conditionalFormatting>
  <conditionalFormatting sqref="C9 C11 C13 C15 C17 C19 C21 C23 C25 C27">
    <cfRule type="expression" dxfId="5047" priority="434">
      <formula>B9=""</formula>
    </cfRule>
  </conditionalFormatting>
  <conditionalFormatting sqref="C10:C20">
    <cfRule type="expression" dxfId="5046" priority="433">
      <formula>B10=""</formula>
    </cfRule>
  </conditionalFormatting>
  <conditionalFormatting sqref="C21">
    <cfRule type="expression" dxfId="5045" priority="432">
      <formula>B21=""</formula>
    </cfRule>
  </conditionalFormatting>
  <conditionalFormatting sqref="C22">
    <cfRule type="expression" dxfId="5044" priority="431">
      <formula>B22=""</formula>
    </cfRule>
  </conditionalFormatting>
  <conditionalFormatting sqref="C23">
    <cfRule type="expression" dxfId="5043" priority="430">
      <formula>B23=""</formula>
    </cfRule>
  </conditionalFormatting>
  <conditionalFormatting sqref="C24">
    <cfRule type="expression" dxfId="5042" priority="429">
      <formula>B24=""</formula>
    </cfRule>
  </conditionalFormatting>
  <conditionalFormatting sqref="C25">
    <cfRule type="expression" dxfId="5041" priority="428">
      <formula>B25=""</formula>
    </cfRule>
  </conditionalFormatting>
  <conditionalFormatting sqref="C26">
    <cfRule type="expression" dxfId="5040" priority="427">
      <formula>B26=""</formula>
    </cfRule>
  </conditionalFormatting>
  <conditionalFormatting sqref="C27">
    <cfRule type="expression" dxfId="5039" priority="426">
      <formula>B27=""</formula>
    </cfRule>
  </conditionalFormatting>
  <conditionalFormatting sqref="C28">
    <cfRule type="expression" dxfId="5038" priority="425">
      <formula>B28=""</formula>
    </cfRule>
  </conditionalFormatting>
  <conditionalFormatting sqref="C30:C50">
    <cfRule type="expression" dxfId="5037" priority="424">
      <formula>B30=""</formula>
    </cfRule>
  </conditionalFormatting>
  <conditionalFormatting sqref="C31 C33 C35 C37 C39 C41 C43 C45 C47 C49">
    <cfRule type="expression" dxfId="5036" priority="423">
      <formula>B31=""</formula>
    </cfRule>
  </conditionalFormatting>
  <conditionalFormatting sqref="C32:C42">
    <cfRule type="expression" dxfId="5035" priority="422">
      <formula>B32=""</formula>
    </cfRule>
  </conditionalFormatting>
  <conditionalFormatting sqref="C43">
    <cfRule type="expression" dxfId="5034" priority="421">
      <formula>B43=""</formula>
    </cfRule>
  </conditionalFormatting>
  <conditionalFormatting sqref="C44">
    <cfRule type="expression" dxfId="5033" priority="420">
      <formula>B44=""</formula>
    </cfRule>
  </conditionalFormatting>
  <conditionalFormatting sqref="C45">
    <cfRule type="expression" dxfId="5032" priority="419">
      <formula>B45=""</formula>
    </cfRule>
  </conditionalFormatting>
  <conditionalFormatting sqref="C46">
    <cfRule type="expression" dxfId="5031" priority="418">
      <formula>B46=""</formula>
    </cfRule>
  </conditionalFormatting>
  <conditionalFormatting sqref="C47">
    <cfRule type="expression" dxfId="5030" priority="417">
      <formula>B47=""</formula>
    </cfRule>
  </conditionalFormatting>
  <conditionalFormatting sqref="C48">
    <cfRule type="expression" dxfId="5029" priority="416">
      <formula>B48=""</formula>
    </cfRule>
  </conditionalFormatting>
  <conditionalFormatting sqref="C49">
    <cfRule type="expression" dxfId="5028" priority="415">
      <formula>B49=""</formula>
    </cfRule>
  </conditionalFormatting>
  <conditionalFormatting sqref="C50">
    <cfRule type="expression" dxfId="5027" priority="414">
      <formula>B50=""</formula>
    </cfRule>
  </conditionalFormatting>
  <conditionalFormatting sqref="C52:C72">
    <cfRule type="expression" dxfId="5026" priority="413">
      <formula>B52=""</formula>
    </cfRule>
  </conditionalFormatting>
  <conditionalFormatting sqref="C53 C55 C57 C59 C61 C63 C65 C67 C69 C71">
    <cfRule type="expression" dxfId="5025" priority="412">
      <formula>B53=""</formula>
    </cfRule>
  </conditionalFormatting>
  <conditionalFormatting sqref="C54:C64">
    <cfRule type="expression" dxfId="5024" priority="411">
      <formula>B54=""</formula>
    </cfRule>
  </conditionalFormatting>
  <conditionalFormatting sqref="C65">
    <cfRule type="expression" dxfId="5023" priority="410">
      <formula>B65=""</formula>
    </cfRule>
  </conditionalFormatting>
  <conditionalFormatting sqref="C66">
    <cfRule type="expression" dxfId="5022" priority="409">
      <formula>B66=""</formula>
    </cfRule>
  </conditionalFormatting>
  <conditionalFormatting sqref="C67">
    <cfRule type="expression" dxfId="5021" priority="408">
      <formula>B67=""</formula>
    </cfRule>
  </conditionalFormatting>
  <conditionalFormatting sqref="C68">
    <cfRule type="expression" dxfId="5020" priority="407">
      <formula>B68=""</formula>
    </cfRule>
  </conditionalFormatting>
  <conditionalFormatting sqref="C69">
    <cfRule type="expression" dxfId="5019" priority="406">
      <formula>B69=""</formula>
    </cfRule>
  </conditionalFormatting>
  <conditionalFormatting sqref="C70">
    <cfRule type="expression" dxfId="5018" priority="405">
      <formula>B70=""</formula>
    </cfRule>
  </conditionalFormatting>
  <conditionalFormatting sqref="C71">
    <cfRule type="expression" dxfId="5017" priority="404">
      <formula>B71=""</formula>
    </cfRule>
  </conditionalFormatting>
  <conditionalFormatting sqref="C72">
    <cfRule type="expression" dxfId="5016" priority="403">
      <formula>B72=""</formula>
    </cfRule>
  </conditionalFormatting>
  <conditionalFormatting sqref="C74:C94">
    <cfRule type="expression" dxfId="5015" priority="402">
      <formula>B74=""</formula>
    </cfRule>
  </conditionalFormatting>
  <conditionalFormatting sqref="C75 C77 C79 C81 C83 C85 C87 C89 C91 C93">
    <cfRule type="expression" dxfId="5014" priority="401">
      <formula>B75=""</formula>
    </cfRule>
  </conditionalFormatting>
  <conditionalFormatting sqref="C76:C86">
    <cfRule type="expression" dxfId="5013" priority="400">
      <formula>B76=""</formula>
    </cfRule>
  </conditionalFormatting>
  <conditionalFormatting sqref="C87">
    <cfRule type="expression" dxfId="5012" priority="399">
      <formula>B87=""</formula>
    </cfRule>
  </conditionalFormatting>
  <conditionalFormatting sqref="C88">
    <cfRule type="expression" dxfId="5011" priority="398">
      <formula>B88=""</formula>
    </cfRule>
  </conditionalFormatting>
  <conditionalFormatting sqref="C89">
    <cfRule type="expression" dxfId="5010" priority="397">
      <formula>B89=""</formula>
    </cfRule>
  </conditionalFormatting>
  <conditionalFormatting sqref="C90">
    <cfRule type="expression" dxfId="5009" priority="396">
      <formula>B90=""</formula>
    </cfRule>
  </conditionalFormatting>
  <conditionalFormatting sqref="C91">
    <cfRule type="expression" dxfId="5008" priority="395">
      <formula>B91=""</formula>
    </cfRule>
  </conditionalFormatting>
  <conditionalFormatting sqref="C92">
    <cfRule type="expression" dxfId="5007" priority="394">
      <formula>B92=""</formula>
    </cfRule>
  </conditionalFormatting>
  <conditionalFormatting sqref="C93">
    <cfRule type="expression" dxfId="5006" priority="393">
      <formula>B93=""</formula>
    </cfRule>
  </conditionalFormatting>
  <conditionalFormatting sqref="C94">
    <cfRule type="expression" dxfId="5005" priority="392">
      <formula>B94=""</formula>
    </cfRule>
  </conditionalFormatting>
  <conditionalFormatting sqref="C8 C10 C12 C14 C16 C18 C20 C22 C24 C26">
    <cfRule type="expression" dxfId="5004" priority="391">
      <formula>B8=""</formula>
    </cfRule>
  </conditionalFormatting>
  <conditionalFormatting sqref="C9 C11 C13 C15 C17 C19 C21 C23 C25 C27">
    <cfRule type="expression" dxfId="5003" priority="390">
      <formula>B9=""</formula>
    </cfRule>
  </conditionalFormatting>
  <conditionalFormatting sqref="C10:C20">
    <cfRule type="expression" dxfId="5002" priority="389">
      <formula>B10=""</formula>
    </cfRule>
  </conditionalFormatting>
  <conditionalFormatting sqref="C21">
    <cfRule type="expression" dxfId="5001" priority="388">
      <formula>B21=""</formula>
    </cfRule>
  </conditionalFormatting>
  <conditionalFormatting sqref="C22">
    <cfRule type="expression" dxfId="5000" priority="387">
      <formula>B22=""</formula>
    </cfRule>
  </conditionalFormatting>
  <conditionalFormatting sqref="C23">
    <cfRule type="expression" dxfId="4999" priority="386">
      <formula>B23=""</formula>
    </cfRule>
  </conditionalFormatting>
  <conditionalFormatting sqref="C24">
    <cfRule type="expression" dxfId="4998" priority="385">
      <formula>B24=""</formula>
    </cfRule>
  </conditionalFormatting>
  <conditionalFormatting sqref="C25">
    <cfRule type="expression" dxfId="4997" priority="384">
      <formula>B25=""</formula>
    </cfRule>
  </conditionalFormatting>
  <conditionalFormatting sqref="C26">
    <cfRule type="expression" dxfId="4996" priority="383">
      <formula>B26=""</formula>
    </cfRule>
  </conditionalFormatting>
  <conditionalFormatting sqref="C27">
    <cfRule type="expression" dxfId="4995" priority="382">
      <formula>B27=""</formula>
    </cfRule>
  </conditionalFormatting>
  <conditionalFormatting sqref="D8 D10 D12 D14 D16 D18 D20 D22 D24 D26">
    <cfRule type="expression" dxfId="4994" priority="381">
      <formula>B8=""</formula>
    </cfRule>
  </conditionalFormatting>
  <conditionalFormatting sqref="D9 D11 D13 D15 D17 D19 D21 D23 D25 D27">
    <cfRule type="expression" dxfId="4993" priority="380">
      <formula>B9=""</formula>
    </cfRule>
  </conditionalFormatting>
  <conditionalFormatting sqref="D10:D20">
    <cfRule type="expression" dxfId="4992" priority="379">
      <formula>B10=""</formula>
    </cfRule>
  </conditionalFormatting>
  <conditionalFormatting sqref="D21">
    <cfRule type="expression" dxfId="4991" priority="378">
      <formula>B21=""</formula>
    </cfRule>
  </conditionalFormatting>
  <conditionalFormatting sqref="D22">
    <cfRule type="expression" dxfId="4990" priority="377">
      <formula>B22=""</formula>
    </cfRule>
  </conditionalFormatting>
  <conditionalFormatting sqref="D23">
    <cfRule type="expression" dxfId="4989" priority="376">
      <formula>B23=""</formula>
    </cfRule>
  </conditionalFormatting>
  <conditionalFormatting sqref="D24">
    <cfRule type="expression" dxfId="4988" priority="375">
      <formula>B24=""</formula>
    </cfRule>
  </conditionalFormatting>
  <conditionalFormatting sqref="D25">
    <cfRule type="expression" dxfId="4987" priority="374">
      <formula>B25=""</formula>
    </cfRule>
  </conditionalFormatting>
  <conditionalFormatting sqref="D26">
    <cfRule type="expression" dxfId="4986" priority="373">
      <formula>B26=""</formula>
    </cfRule>
  </conditionalFormatting>
  <conditionalFormatting sqref="D27">
    <cfRule type="expression" dxfId="4985" priority="372">
      <formula>B27=""</formula>
    </cfRule>
  </conditionalFormatting>
  <conditionalFormatting sqref="E8:E27">
    <cfRule type="expression" dxfId="4984" priority="371">
      <formula>B8=""</formula>
    </cfRule>
  </conditionalFormatting>
  <conditionalFormatting sqref="E9 E11 E13 E15 E17 E19 E21 E23 E25 E27">
    <cfRule type="expression" dxfId="4983" priority="370">
      <formula>B9=""</formula>
    </cfRule>
  </conditionalFormatting>
  <conditionalFormatting sqref="E10:E20">
    <cfRule type="expression" dxfId="4982" priority="369">
      <formula>B10=""</formula>
    </cfRule>
  </conditionalFormatting>
  <conditionalFormatting sqref="E21">
    <cfRule type="expression" dxfId="4981" priority="368">
      <formula>B21=""</formula>
    </cfRule>
  </conditionalFormatting>
  <conditionalFormatting sqref="E22">
    <cfRule type="expression" dxfId="4980" priority="367">
      <formula>B22=""</formula>
    </cfRule>
  </conditionalFormatting>
  <conditionalFormatting sqref="E23">
    <cfRule type="expression" dxfId="4979" priority="366">
      <formula>B23=""</formula>
    </cfRule>
  </conditionalFormatting>
  <conditionalFormatting sqref="E24">
    <cfRule type="expression" dxfId="4978" priority="365">
      <formula>B24=""</formula>
    </cfRule>
  </conditionalFormatting>
  <conditionalFormatting sqref="E25">
    <cfRule type="expression" dxfId="4977" priority="364">
      <formula>B25=""</formula>
    </cfRule>
  </conditionalFormatting>
  <conditionalFormatting sqref="E26">
    <cfRule type="expression" dxfId="4976" priority="363">
      <formula>B26=""</formula>
    </cfRule>
  </conditionalFormatting>
  <conditionalFormatting sqref="E27">
    <cfRule type="expression" dxfId="4975" priority="362">
      <formula>B27=""</formula>
    </cfRule>
  </conditionalFormatting>
  <conditionalFormatting sqref="F8:F27">
    <cfRule type="expression" dxfId="4974" priority="361">
      <formula>B8=""</formula>
    </cfRule>
  </conditionalFormatting>
  <conditionalFormatting sqref="F9 F11 F13 F15 F17 F19 F21 F23 F25 F27">
    <cfRule type="expression" dxfId="4973" priority="360">
      <formula>B9=""</formula>
    </cfRule>
  </conditionalFormatting>
  <conditionalFormatting sqref="F10:F20">
    <cfRule type="expression" dxfId="4972" priority="359">
      <formula>B10=""</formula>
    </cfRule>
  </conditionalFormatting>
  <conditionalFormatting sqref="F21">
    <cfRule type="expression" dxfId="4971" priority="358">
      <formula>B21=""</formula>
    </cfRule>
  </conditionalFormatting>
  <conditionalFormatting sqref="F22">
    <cfRule type="expression" dxfId="4970" priority="357">
      <formula>B22=""</formula>
    </cfRule>
  </conditionalFormatting>
  <conditionalFormatting sqref="F23">
    <cfRule type="expression" dxfId="4969" priority="356">
      <formula>B23=""</formula>
    </cfRule>
  </conditionalFormatting>
  <conditionalFormatting sqref="F24">
    <cfRule type="expression" dxfId="4968" priority="355">
      <formula>B24=""</formula>
    </cfRule>
  </conditionalFormatting>
  <conditionalFormatting sqref="F25">
    <cfRule type="expression" dxfId="4967" priority="354">
      <formula>B25=""</formula>
    </cfRule>
  </conditionalFormatting>
  <conditionalFormatting sqref="F26">
    <cfRule type="expression" dxfId="4966" priority="353">
      <formula>B26=""</formula>
    </cfRule>
  </conditionalFormatting>
  <conditionalFormatting sqref="F27">
    <cfRule type="expression" dxfId="4965" priority="352">
      <formula>B27=""</formula>
    </cfRule>
  </conditionalFormatting>
  <conditionalFormatting sqref="E9 E11 E13 E15 E17 E19 E21 E23 E25 E27">
    <cfRule type="expression" dxfId="4964" priority="351">
      <formula>B9=""</formula>
    </cfRule>
  </conditionalFormatting>
  <conditionalFormatting sqref="E10:E20">
    <cfRule type="expression" dxfId="4963" priority="350">
      <formula>B10=""</formula>
    </cfRule>
  </conditionalFormatting>
  <conditionalFormatting sqref="E21">
    <cfRule type="expression" dxfId="4962" priority="349">
      <formula>B21=""</formula>
    </cfRule>
  </conditionalFormatting>
  <conditionalFormatting sqref="E22">
    <cfRule type="expression" dxfId="4961" priority="348">
      <formula>B22=""</formula>
    </cfRule>
  </conditionalFormatting>
  <conditionalFormatting sqref="E23">
    <cfRule type="expression" dxfId="4960" priority="347">
      <formula>B23=""</formula>
    </cfRule>
  </conditionalFormatting>
  <conditionalFormatting sqref="E24">
    <cfRule type="expression" dxfId="4959" priority="346">
      <formula>B24=""</formula>
    </cfRule>
  </conditionalFormatting>
  <conditionalFormatting sqref="E25">
    <cfRule type="expression" dxfId="4958" priority="345">
      <formula>B25=""</formula>
    </cfRule>
  </conditionalFormatting>
  <conditionalFormatting sqref="E26">
    <cfRule type="expression" dxfId="4957" priority="344">
      <formula>B26=""</formula>
    </cfRule>
  </conditionalFormatting>
  <conditionalFormatting sqref="E27">
    <cfRule type="expression" dxfId="4956" priority="343">
      <formula>B27=""</formula>
    </cfRule>
  </conditionalFormatting>
  <conditionalFormatting sqref="G8:G27">
    <cfRule type="expression" dxfId="4955" priority="342">
      <formula>B8=""</formula>
    </cfRule>
  </conditionalFormatting>
  <conditionalFormatting sqref="G9 G11 G13 G15 G17 G19 G21 G23 G25 G27">
    <cfRule type="expression" dxfId="4954" priority="341">
      <formula>B9=""</formula>
    </cfRule>
  </conditionalFormatting>
  <conditionalFormatting sqref="G10:G20">
    <cfRule type="expression" dxfId="4953" priority="340">
      <formula>B10=""</formula>
    </cfRule>
  </conditionalFormatting>
  <conditionalFormatting sqref="G21">
    <cfRule type="expression" dxfId="4952" priority="339">
      <formula>B21=""</formula>
    </cfRule>
  </conditionalFormatting>
  <conditionalFormatting sqref="G22">
    <cfRule type="expression" dxfId="4951" priority="338">
      <formula>B22=""</formula>
    </cfRule>
  </conditionalFormatting>
  <conditionalFormatting sqref="G23">
    <cfRule type="expression" dxfId="4950" priority="337">
      <formula>B23=""</formula>
    </cfRule>
  </conditionalFormatting>
  <conditionalFormatting sqref="G24">
    <cfRule type="expression" dxfId="4949" priority="336">
      <formula>B24=""</formula>
    </cfRule>
  </conditionalFormatting>
  <conditionalFormatting sqref="G25">
    <cfRule type="expression" dxfId="4948" priority="335">
      <formula>B25=""</formula>
    </cfRule>
  </conditionalFormatting>
  <conditionalFormatting sqref="G26">
    <cfRule type="expression" dxfId="4947" priority="334">
      <formula>B26=""</formula>
    </cfRule>
  </conditionalFormatting>
  <conditionalFormatting sqref="G27">
    <cfRule type="expression" dxfId="4946" priority="333">
      <formula>B27=""</formula>
    </cfRule>
  </conditionalFormatting>
  <conditionalFormatting sqref="H8 H10 H12 H14 H16 H18 H20 H22 H24 H26">
    <cfRule type="expression" dxfId="4945" priority="332">
      <formula>B8=""</formula>
    </cfRule>
  </conditionalFormatting>
  <conditionalFormatting sqref="H9 H11 H13 H15 H17 H19 H21 H23 H25 H27">
    <cfRule type="expression" dxfId="4944" priority="331">
      <formula>B9=""</formula>
    </cfRule>
  </conditionalFormatting>
  <conditionalFormatting sqref="H10:H20">
    <cfRule type="expression" dxfId="4943" priority="330">
      <formula>B10=""</formula>
    </cfRule>
  </conditionalFormatting>
  <conditionalFormatting sqref="H21">
    <cfRule type="expression" dxfId="4942" priority="329">
      <formula>B21=""</formula>
    </cfRule>
  </conditionalFormatting>
  <conditionalFormatting sqref="H22">
    <cfRule type="expression" dxfId="4941" priority="328">
      <formula>B22=""</formula>
    </cfRule>
  </conditionalFormatting>
  <conditionalFormatting sqref="H23">
    <cfRule type="expression" dxfId="4940" priority="327">
      <formula>B23=""</formula>
    </cfRule>
  </conditionalFormatting>
  <conditionalFormatting sqref="H24">
    <cfRule type="expression" dxfId="4939" priority="326">
      <formula>B24=""</formula>
    </cfRule>
  </conditionalFormatting>
  <conditionalFormatting sqref="H25">
    <cfRule type="expression" dxfId="4938" priority="325">
      <formula>B25=""</formula>
    </cfRule>
  </conditionalFormatting>
  <conditionalFormatting sqref="H26">
    <cfRule type="expression" dxfId="4937" priority="324">
      <formula>B26=""</formula>
    </cfRule>
  </conditionalFormatting>
  <conditionalFormatting sqref="H27">
    <cfRule type="expression" dxfId="4936" priority="323">
      <formula>B27=""</formula>
    </cfRule>
  </conditionalFormatting>
  <conditionalFormatting sqref="F8 F10 F12 F14 F16 F18 F20 F22 F24 F26">
    <cfRule type="expression" dxfId="4935" priority="322">
      <formula>B8=""</formula>
    </cfRule>
  </conditionalFormatting>
  <conditionalFormatting sqref="F9 F11 F13 F15 F17 F19 F21 F23 F25 F27">
    <cfRule type="expression" dxfId="4934" priority="321">
      <formula>B9=""</formula>
    </cfRule>
  </conditionalFormatting>
  <conditionalFormatting sqref="F10:F20">
    <cfRule type="expression" dxfId="4933" priority="320">
      <formula>B10=""</formula>
    </cfRule>
  </conditionalFormatting>
  <conditionalFormatting sqref="F21">
    <cfRule type="expression" dxfId="4932" priority="319">
      <formula>B21=""</formula>
    </cfRule>
  </conditionalFormatting>
  <conditionalFormatting sqref="F22">
    <cfRule type="expression" dxfId="4931" priority="318">
      <formula>B22=""</formula>
    </cfRule>
  </conditionalFormatting>
  <conditionalFormatting sqref="F23">
    <cfRule type="expression" dxfId="4930" priority="317">
      <formula>B23=""</formula>
    </cfRule>
  </conditionalFormatting>
  <conditionalFormatting sqref="F24">
    <cfRule type="expression" dxfId="4929" priority="316">
      <formula>B24=""</formula>
    </cfRule>
  </conditionalFormatting>
  <conditionalFormatting sqref="F25">
    <cfRule type="expression" dxfId="4928" priority="315">
      <formula>B25=""</formula>
    </cfRule>
  </conditionalFormatting>
  <conditionalFormatting sqref="F26">
    <cfRule type="expression" dxfId="4927" priority="314">
      <formula>B26=""</formula>
    </cfRule>
  </conditionalFormatting>
  <conditionalFormatting sqref="F27">
    <cfRule type="expression" dxfId="4926" priority="313">
      <formula>B27=""</formula>
    </cfRule>
  </conditionalFormatting>
  <conditionalFormatting sqref="C30:C49">
    <cfRule type="expression" dxfId="4925" priority="312">
      <formula>B30=""</formula>
    </cfRule>
  </conditionalFormatting>
  <conditionalFormatting sqref="C31 C33 C35 C37 C39 C41 C43 C45 C47 C49">
    <cfRule type="expression" dxfId="4924" priority="311">
      <formula>B31=""</formula>
    </cfRule>
  </conditionalFormatting>
  <conditionalFormatting sqref="C32:C42">
    <cfRule type="expression" dxfId="4923" priority="310">
      <formula>B32=""</formula>
    </cfRule>
  </conditionalFormatting>
  <conditionalFormatting sqref="C43">
    <cfRule type="expression" dxfId="4922" priority="309">
      <formula>B43=""</formula>
    </cfRule>
  </conditionalFormatting>
  <conditionalFormatting sqref="C44">
    <cfRule type="expression" dxfId="4921" priority="308">
      <formula>B44=""</formula>
    </cfRule>
  </conditionalFormatting>
  <conditionalFormatting sqref="C45">
    <cfRule type="expression" dxfId="4920" priority="307">
      <formula>B45=""</formula>
    </cfRule>
  </conditionalFormatting>
  <conditionalFormatting sqref="C46">
    <cfRule type="expression" dxfId="4919" priority="306">
      <formula>B46=""</formula>
    </cfRule>
  </conditionalFormatting>
  <conditionalFormatting sqref="C47">
    <cfRule type="expression" dxfId="4918" priority="305">
      <formula>B47=""</formula>
    </cfRule>
  </conditionalFormatting>
  <conditionalFormatting sqref="C48">
    <cfRule type="expression" dxfId="4917" priority="304">
      <formula>B48=""</formula>
    </cfRule>
  </conditionalFormatting>
  <conditionalFormatting sqref="C49">
    <cfRule type="expression" dxfId="4916" priority="303">
      <formula>B49=""</formula>
    </cfRule>
  </conditionalFormatting>
  <conditionalFormatting sqref="D30 D32 D34 D36 D38 D40 D42 D44 D46 D48">
    <cfRule type="expression" dxfId="4915" priority="302">
      <formula>B30=""</formula>
    </cfRule>
  </conditionalFormatting>
  <conditionalFormatting sqref="D31 D33 D35 D37 D39 D41 D43 D45 D47 D49">
    <cfRule type="expression" dxfId="4914" priority="301">
      <formula>B31=""</formula>
    </cfRule>
  </conditionalFormatting>
  <conditionalFormatting sqref="D32:D42">
    <cfRule type="expression" dxfId="4913" priority="300">
      <formula>B32=""</formula>
    </cfRule>
  </conditionalFormatting>
  <conditionalFormatting sqref="D43">
    <cfRule type="expression" dxfId="4912" priority="299">
      <formula>B43=""</formula>
    </cfRule>
  </conditionalFormatting>
  <conditionalFormatting sqref="D44">
    <cfRule type="expression" dxfId="4911" priority="298">
      <formula>B44=""</formula>
    </cfRule>
  </conditionalFormatting>
  <conditionalFormatting sqref="D45">
    <cfRule type="expression" dxfId="4910" priority="297">
      <formula>B45=""</formula>
    </cfRule>
  </conditionalFormatting>
  <conditionalFormatting sqref="D46">
    <cfRule type="expression" dxfId="4909" priority="296">
      <formula>B46=""</formula>
    </cfRule>
  </conditionalFormatting>
  <conditionalFormatting sqref="D47">
    <cfRule type="expression" dxfId="4908" priority="295">
      <formula>B47=""</formula>
    </cfRule>
  </conditionalFormatting>
  <conditionalFormatting sqref="D48">
    <cfRule type="expression" dxfId="4907" priority="294">
      <formula>B48=""</formula>
    </cfRule>
  </conditionalFormatting>
  <conditionalFormatting sqref="D49">
    <cfRule type="expression" dxfId="4906" priority="293">
      <formula>B49=""</formula>
    </cfRule>
  </conditionalFormatting>
  <conditionalFormatting sqref="E30 E32 E34 E36 E38 E40 E42 E44 E46 E48">
    <cfRule type="expression" dxfId="4905" priority="292">
      <formula>B30=""</formula>
    </cfRule>
  </conditionalFormatting>
  <conditionalFormatting sqref="E31 E33 E35 E37 E39 E41 E43 E45 E47 E49">
    <cfRule type="expression" dxfId="4904" priority="291">
      <formula>B31=""</formula>
    </cfRule>
  </conditionalFormatting>
  <conditionalFormatting sqref="E32:E42">
    <cfRule type="expression" dxfId="4903" priority="290">
      <formula>B32=""</formula>
    </cfRule>
  </conditionalFormatting>
  <conditionalFormatting sqref="E43">
    <cfRule type="expression" dxfId="4902" priority="289">
      <formula>B43=""</formula>
    </cfRule>
  </conditionalFormatting>
  <conditionalFormatting sqref="E44">
    <cfRule type="expression" dxfId="4901" priority="288">
      <formula>B44=""</formula>
    </cfRule>
  </conditionalFormatting>
  <conditionalFormatting sqref="E45">
    <cfRule type="expression" dxfId="4900" priority="287">
      <formula>B45=""</formula>
    </cfRule>
  </conditionalFormatting>
  <conditionalFormatting sqref="E46">
    <cfRule type="expression" dxfId="4899" priority="286">
      <formula>B46=""</formula>
    </cfRule>
  </conditionalFormatting>
  <conditionalFormatting sqref="E47">
    <cfRule type="expression" dxfId="4898" priority="285">
      <formula>B47=""</formula>
    </cfRule>
  </conditionalFormatting>
  <conditionalFormatting sqref="E48">
    <cfRule type="expression" dxfId="4897" priority="284">
      <formula>B48=""</formula>
    </cfRule>
  </conditionalFormatting>
  <conditionalFormatting sqref="E49">
    <cfRule type="expression" dxfId="4896" priority="283">
      <formula>B49=""</formula>
    </cfRule>
  </conditionalFormatting>
  <conditionalFormatting sqref="F30 F32 F34 F36 F38 F40 F42 F44 F46 F48">
    <cfRule type="expression" dxfId="4895" priority="282">
      <formula>B30=""</formula>
    </cfRule>
  </conditionalFormatting>
  <conditionalFormatting sqref="F31 F33 F35 F37 F39 F41 F43 F45 F47 F49">
    <cfRule type="expression" dxfId="4894" priority="281">
      <formula>B31=""</formula>
    </cfRule>
  </conditionalFormatting>
  <conditionalFormatting sqref="F32:F42">
    <cfRule type="expression" dxfId="4893" priority="280">
      <formula>B32=""</formula>
    </cfRule>
  </conditionalFormatting>
  <conditionalFormatting sqref="F43">
    <cfRule type="expression" dxfId="4892" priority="279">
      <formula>B43=""</formula>
    </cfRule>
  </conditionalFormatting>
  <conditionalFormatting sqref="F44">
    <cfRule type="expression" dxfId="4891" priority="278">
      <formula>B44=""</formula>
    </cfRule>
  </conditionalFormatting>
  <conditionalFormatting sqref="F45">
    <cfRule type="expression" dxfId="4890" priority="277">
      <formula>B45=""</formula>
    </cfRule>
  </conditionalFormatting>
  <conditionalFormatting sqref="F46">
    <cfRule type="expression" dxfId="4889" priority="276">
      <formula>B46=""</formula>
    </cfRule>
  </conditionalFormatting>
  <conditionalFormatting sqref="F47">
    <cfRule type="expression" dxfId="4888" priority="275">
      <formula>B47=""</formula>
    </cfRule>
  </conditionalFormatting>
  <conditionalFormatting sqref="F48">
    <cfRule type="expression" dxfId="4887" priority="274">
      <formula>B48=""</formula>
    </cfRule>
  </conditionalFormatting>
  <conditionalFormatting sqref="F49">
    <cfRule type="expression" dxfId="4886" priority="273">
      <formula>B49=""</formula>
    </cfRule>
  </conditionalFormatting>
  <conditionalFormatting sqref="E31 E33 E35 E37 E39 E41 E43 E45 E47 E49">
    <cfRule type="expression" dxfId="4885" priority="272">
      <formula>B31=""</formula>
    </cfRule>
  </conditionalFormatting>
  <conditionalFormatting sqref="E32:E42">
    <cfRule type="expression" dxfId="4884" priority="271">
      <formula>B32=""</formula>
    </cfRule>
  </conditionalFormatting>
  <conditionalFormatting sqref="E43">
    <cfRule type="expression" dxfId="4883" priority="270">
      <formula>B43=""</formula>
    </cfRule>
  </conditionalFormatting>
  <conditionalFormatting sqref="E44">
    <cfRule type="expression" dxfId="4882" priority="269">
      <formula>B44=""</formula>
    </cfRule>
  </conditionalFormatting>
  <conditionalFormatting sqref="E45">
    <cfRule type="expression" dxfId="4881" priority="268">
      <formula>B45=""</formula>
    </cfRule>
  </conditionalFormatting>
  <conditionalFormatting sqref="E46">
    <cfRule type="expression" dxfId="4880" priority="267">
      <formula>B46=""</formula>
    </cfRule>
  </conditionalFormatting>
  <conditionalFormatting sqref="E47">
    <cfRule type="expression" dxfId="4879" priority="266">
      <formula>B47=""</formula>
    </cfRule>
  </conditionalFormatting>
  <conditionalFormatting sqref="E48">
    <cfRule type="expression" dxfId="4878" priority="265">
      <formula>B48=""</formula>
    </cfRule>
  </conditionalFormatting>
  <conditionalFormatting sqref="E49">
    <cfRule type="expression" dxfId="4877" priority="264">
      <formula>B49=""</formula>
    </cfRule>
  </conditionalFormatting>
  <conditionalFormatting sqref="G30 G32 G34 G36 G38 G40 G42 G44 G46 G48">
    <cfRule type="expression" dxfId="4876" priority="263">
      <formula>B30=""</formula>
    </cfRule>
  </conditionalFormatting>
  <conditionalFormatting sqref="G31 G33 G35 G37 G39 G41 G43 G45 G47 G49">
    <cfRule type="expression" dxfId="4875" priority="262">
      <formula>B31=""</formula>
    </cfRule>
  </conditionalFormatting>
  <conditionalFormatting sqref="G32:G42">
    <cfRule type="expression" dxfId="4874" priority="261">
      <formula>B32=""</formula>
    </cfRule>
  </conditionalFormatting>
  <conditionalFormatting sqref="G43">
    <cfRule type="expression" dxfId="4873" priority="260">
      <formula>B43=""</formula>
    </cfRule>
  </conditionalFormatting>
  <conditionalFormatting sqref="G44">
    <cfRule type="expression" dxfId="4872" priority="259">
      <formula>B44=""</formula>
    </cfRule>
  </conditionalFormatting>
  <conditionalFormatting sqref="G45">
    <cfRule type="expression" dxfId="4871" priority="258">
      <formula>B45=""</formula>
    </cfRule>
  </conditionalFormatting>
  <conditionalFormatting sqref="G46">
    <cfRule type="expression" dxfId="4870" priority="257">
      <formula>B46=""</formula>
    </cfRule>
  </conditionalFormatting>
  <conditionalFormatting sqref="G47">
    <cfRule type="expression" dxfId="4869" priority="256">
      <formula>B47=""</formula>
    </cfRule>
  </conditionalFormatting>
  <conditionalFormatting sqref="G48">
    <cfRule type="expression" dxfId="4868" priority="255">
      <formula>B48=""</formula>
    </cfRule>
  </conditionalFormatting>
  <conditionalFormatting sqref="G49">
    <cfRule type="expression" dxfId="4867" priority="254">
      <formula>B49=""</formula>
    </cfRule>
  </conditionalFormatting>
  <conditionalFormatting sqref="H30 H32 H34 H36 H38 H40 H42 H44 H46 H48">
    <cfRule type="expression" dxfId="4866" priority="253">
      <formula>B30=""</formula>
    </cfRule>
  </conditionalFormatting>
  <conditionalFormatting sqref="H31 H33 H35 H37 H39 H41 H43 H45 H47 H49">
    <cfRule type="expression" dxfId="4865" priority="252">
      <formula>B31=""</formula>
    </cfRule>
  </conditionalFormatting>
  <conditionalFormatting sqref="H32:H42">
    <cfRule type="expression" dxfId="4864" priority="251">
      <formula>B32=""</formula>
    </cfRule>
  </conditionalFormatting>
  <conditionalFormatting sqref="H43">
    <cfRule type="expression" dxfId="4863" priority="250">
      <formula>B43=""</formula>
    </cfRule>
  </conditionalFormatting>
  <conditionalFormatting sqref="H44">
    <cfRule type="expression" dxfId="4862" priority="249">
      <formula>B44=""</formula>
    </cfRule>
  </conditionalFormatting>
  <conditionalFormatting sqref="H45">
    <cfRule type="expression" dxfId="4861" priority="248">
      <formula>B45=""</formula>
    </cfRule>
  </conditionalFormatting>
  <conditionalFormatting sqref="H46">
    <cfRule type="expression" dxfId="4860" priority="247">
      <formula>B46=""</formula>
    </cfRule>
  </conditionalFormatting>
  <conditionalFormatting sqref="H47">
    <cfRule type="expression" dxfId="4859" priority="246">
      <formula>B47=""</formula>
    </cfRule>
  </conditionalFormatting>
  <conditionalFormatting sqref="H48">
    <cfRule type="expression" dxfId="4858" priority="245">
      <formula>B48=""</formula>
    </cfRule>
  </conditionalFormatting>
  <conditionalFormatting sqref="H49">
    <cfRule type="expression" dxfId="4857" priority="244">
      <formula>B49=""</formula>
    </cfRule>
  </conditionalFormatting>
  <conditionalFormatting sqref="C30:C49">
    <cfRule type="expression" dxfId="4856" priority="243">
      <formula>B30=""</formula>
    </cfRule>
  </conditionalFormatting>
  <conditionalFormatting sqref="C31 C33 C35 C37 C39 C41 C43 C45 C47 C49">
    <cfRule type="expression" dxfId="4855" priority="242">
      <formula>B31=""</formula>
    </cfRule>
  </conditionalFormatting>
  <conditionalFormatting sqref="C32:C42">
    <cfRule type="expression" dxfId="4854" priority="241">
      <formula>B32=""</formula>
    </cfRule>
  </conditionalFormatting>
  <conditionalFormatting sqref="C43">
    <cfRule type="expression" dxfId="4853" priority="240">
      <formula>B43=""</formula>
    </cfRule>
  </conditionalFormatting>
  <conditionalFormatting sqref="C44">
    <cfRule type="expression" dxfId="4852" priority="239">
      <formula>B44=""</formula>
    </cfRule>
  </conditionalFormatting>
  <conditionalFormatting sqref="C45">
    <cfRule type="expression" dxfId="4851" priority="238">
      <formula>B45=""</formula>
    </cfRule>
  </conditionalFormatting>
  <conditionalFormatting sqref="C46">
    <cfRule type="expression" dxfId="4850" priority="237">
      <formula>B46=""</formula>
    </cfRule>
  </conditionalFormatting>
  <conditionalFormatting sqref="C47">
    <cfRule type="expression" dxfId="4849" priority="236">
      <formula>B47=""</formula>
    </cfRule>
  </conditionalFormatting>
  <conditionalFormatting sqref="C48">
    <cfRule type="expression" dxfId="4848" priority="235">
      <formula>B48=""</formula>
    </cfRule>
  </conditionalFormatting>
  <conditionalFormatting sqref="C49">
    <cfRule type="expression" dxfId="4847" priority="234">
      <formula>B49=""</formula>
    </cfRule>
  </conditionalFormatting>
  <conditionalFormatting sqref="C30 C32 C34 C36 C38 C40 C42 C44 C46 C48">
    <cfRule type="expression" dxfId="4846" priority="233">
      <formula>B30=""</formula>
    </cfRule>
  </conditionalFormatting>
  <conditionalFormatting sqref="C31 C33 C35 C37 C39 C41 C43 C45 C47 C49">
    <cfRule type="expression" dxfId="4845" priority="232">
      <formula>B31=""</formula>
    </cfRule>
  </conditionalFormatting>
  <conditionalFormatting sqref="C32:C42">
    <cfRule type="expression" dxfId="4844" priority="231">
      <formula>B32=""</formula>
    </cfRule>
  </conditionalFormatting>
  <conditionalFormatting sqref="C43">
    <cfRule type="expression" dxfId="4843" priority="230">
      <formula>B43=""</formula>
    </cfRule>
  </conditionalFormatting>
  <conditionalFormatting sqref="C44">
    <cfRule type="expression" dxfId="4842" priority="229">
      <formula>B44=""</formula>
    </cfRule>
  </conditionalFormatting>
  <conditionalFormatting sqref="C45">
    <cfRule type="expression" dxfId="4841" priority="228">
      <formula>B45=""</formula>
    </cfRule>
  </conditionalFormatting>
  <conditionalFormatting sqref="C46">
    <cfRule type="expression" dxfId="4840" priority="227">
      <formula>B46=""</formula>
    </cfRule>
  </conditionalFormatting>
  <conditionalFormatting sqref="C47">
    <cfRule type="expression" dxfId="4839" priority="226">
      <formula>B47=""</formula>
    </cfRule>
  </conditionalFormatting>
  <conditionalFormatting sqref="C48">
    <cfRule type="expression" dxfId="4838" priority="225">
      <formula>B48=""</formula>
    </cfRule>
  </conditionalFormatting>
  <conditionalFormatting sqref="C49">
    <cfRule type="expression" dxfId="4837" priority="224">
      <formula>B49=""</formula>
    </cfRule>
  </conditionalFormatting>
  <conditionalFormatting sqref="D30 D32 D34 D36 D38 D40 D42 D44 D46 D48">
    <cfRule type="expression" dxfId="4836" priority="223">
      <formula>B30=""</formula>
    </cfRule>
  </conditionalFormatting>
  <conditionalFormatting sqref="D31 D33 D35 D37 D39 D41 D43 D45 D47 D49">
    <cfRule type="expression" dxfId="4835" priority="222">
      <formula>B31=""</formula>
    </cfRule>
  </conditionalFormatting>
  <conditionalFormatting sqref="D32:D42">
    <cfRule type="expression" dxfId="4834" priority="221">
      <formula>B32=""</formula>
    </cfRule>
  </conditionalFormatting>
  <conditionalFormatting sqref="D43">
    <cfRule type="expression" dxfId="4833" priority="220">
      <formula>B43=""</formula>
    </cfRule>
  </conditionalFormatting>
  <conditionalFormatting sqref="D44">
    <cfRule type="expression" dxfId="4832" priority="219">
      <formula>B44=""</formula>
    </cfRule>
  </conditionalFormatting>
  <conditionalFormatting sqref="D45">
    <cfRule type="expression" dxfId="4831" priority="218">
      <formula>B45=""</formula>
    </cfRule>
  </conditionalFormatting>
  <conditionalFormatting sqref="D46">
    <cfRule type="expression" dxfId="4830" priority="217">
      <formula>B46=""</formula>
    </cfRule>
  </conditionalFormatting>
  <conditionalFormatting sqref="D47">
    <cfRule type="expression" dxfId="4829" priority="216">
      <formula>B47=""</formula>
    </cfRule>
  </conditionalFormatting>
  <conditionalFormatting sqref="D48">
    <cfRule type="expression" dxfId="4828" priority="215">
      <formula>B48=""</formula>
    </cfRule>
  </conditionalFormatting>
  <conditionalFormatting sqref="D49">
    <cfRule type="expression" dxfId="4827" priority="214">
      <formula>B49=""</formula>
    </cfRule>
  </conditionalFormatting>
  <conditionalFormatting sqref="E30:E49">
    <cfRule type="expression" dxfId="4826" priority="213">
      <formula>B30=""</formula>
    </cfRule>
  </conditionalFormatting>
  <conditionalFormatting sqref="E31 E33 E35 E37 E39 E41 E43 E45 E47 E49">
    <cfRule type="expression" dxfId="4825" priority="212">
      <formula>B31=""</formula>
    </cfRule>
  </conditionalFormatting>
  <conditionalFormatting sqref="E32:E42">
    <cfRule type="expression" dxfId="4824" priority="211">
      <formula>B32=""</formula>
    </cfRule>
  </conditionalFormatting>
  <conditionalFormatting sqref="E43">
    <cfRule type="expression" dxfId="4823" priority="210">
      <formula>B43=""</formula>
    </cfRule>
  </conditionalFormatting>
  <conditionalFormatting sqref="E44">
    <cfRule type="expression" dxfId="4822" priority="209">
      <formula>B44=""</formula>
    </cfRule>
  </conditionalFormatting>
  <conditionalFormatting sqref="E45">
    <cfRule type="expression" dxfId="4821" priority="208">
      <formula>B45=""</formula>
    </cfRule>
  </conditionalFormatting>
  <conditionalFormatting sqref="E46">
    <cfRule type="expression" dxfId="4820" priority="207">
      <formula>B46=""</formula>
    </cfRule>
  </conditionalFormatting>
  <conditionalFormatting sqref="E47">
    <cfRule type="expression" dxfId="4819" priority="206">
      <formula>B47=""</formula>
    </cfRule>
  </conditionalFormatting>
  <conditionalFormatting sqref="E48">
    <cfRule type="expression" dxfId="4818" priority="205">
      <formula>B48=""</formula>
    </cfRule>
  </conditionalFormatting>
  <conditionalFormatting sqref="E49">
    <cfRule type="expression" dxfId="4817" priority="204">
      <formula>B49=""</formula>
    </cfRule>
  </conditionalFormatting>
  <conditionalFormatting sqref="F30:F49">
    <cfRule type="expression" dxfId="4816" priority="203">
      <formula>B30=""</formula>
    </cfRule>
  </conditionalFormatting>
  <conditionalFormatting sqref="F31 F33 F35 F37 F39 F41 F43 F45 F47 F49">
    <cfRule type="expression" dxfId="4815" priority="202">
      <formula>B31=""</formula>
    </cfRule>
  </conditionalFormatting>
  <conditionalFormatting sqref="F32:F42">
    <cfRule type="expression" dxfId="4814" priority="201">
      <formula>B32=""</formula>
    </cfRule>
  </conditionalFormatting>
  <conditionalFormatting sqref="F43">
    <cfRule type="expression" dxfId="4813" priority="200">
      <formula>B43=""</formula>
    </cfRule>
  </conditionalFormatting>
  <conditionalFormatting sqref="F44">
    <cfRule type="expression" dxfId="4812" priority="199">
      <formula>B44=""</formula>
    </cfRule>
  </conditionalFormatting>
  <conditionalFormatting sqref="F45">
    <cfRule type="expression" dxfId="4811" priority="198">
      <formula>B45=""</formula>
    </cfRule>
  </conditionalFormatting>
  <conditionalFormatting sqref="F46">
    <cfRule type="expression" dxfId="4810" priority="197">
      <formula>B46=""</formula>
    </cfRule>
  </conditionalFormatting>
  <conditionalFormatting sqref="F47">
    <cfRule type="expression" dxfId="4809" priority="196">
      <formula>B47=""</formula>
    </cfRule>
  </conditionalFormatting>
  <conditionalFormatting sqref="F48">
    <cfRule type="expression" dxfId="4808" priority="195">
      <formula>B48=""</formula>
    </cfRule>
  </conditionalFormatting>
  <conditionalFormatting sqref="F49">
    <cfRule type="expression" dxfId="4807" priority="194">
      <formula>B49=""</formula>
    </cfRule>
  </conditionalFormatting>
  <conditionalFormatting sqref="E31 E33 E35 E37 E39 E41 E43 E45 E47 E49">
    <cfRule type="expression" dxfId="4806" priority="193">
      <formula>B31=""</formula>
    </cfRule>
  </conditionalFormatting>
  <conditionalFormatting sqref="E32:E42">
    <cfRule type="expression" dxfId="4805" priority="192">
      <formula>B32=""</formula>
    </cfRule>
  </conditionalFormatting>
  <conditionalFormatting sqref="E43">
    <cfRule type="expression" dxfId="4804" priority="191">
      <formula>B43=""</formula>
    </cfRule>
  </conditionalFormatting>
  <conditionalFormatting sqref="E44">
    <cfRule type="expression" dxfId="4803" priority="190">
      <formula>B44=""</formula>
    </cfRule>
  </conditionalFormatting>
  <conditionalFormatting sqref="E45">
    <cfRule type="expression" dxfId="4802" priority="189">
      <formula>B45=""</formula>
    </cfRule>
  </conditionalFormatting>
  <conditionalFormatting sqref="E46">
    <cfRule type="expression" dxfId="4801" priority="188">
      <formula>B46=""</formula>
    </cfRule>
  </conditionalFormatting>
  <conditionalFormatting sqref="E47">
    <cfRule type="expression" dxfId="4800" priority="187">
      <formula>B47=""</formula>
    </cfRule>
  </conditionalFormatting>
  <conditionalFormatting sqref="E48">
    <cfRule type="expression" dxfId="4799" priority="186">
      <formula>B48=""</formula>
    </cfRule>
  </conditionalFormatting>
  <conditionalFormatting sqref="E49">
    <cfRule type="expression" dxfId="4798" priority="185">
      <formula>B49=""</formula>
    </cfRule>
  </conditionalFormatting>
  <conditionalFormatting sqref="G30:G49">
    <cfRule type="expression" dxfId="4797" priority="184">
      <formula>B30=""</formula>
    </cfRule>
  </conditionalFormatting>
  <conditionalFormatting sqref="G31 G33 G35 G37 G39 G41 G43 G45 G47 G49">
    <cfRule type="expression" dxfId="4796" priority="183">
      <formula>B31=""</formula>
    </cfRule>
  </conditionalFormatting>
  <conditionalFormatting sqref="G32:G42">
    <cfRule type="expression" dxfId="4795" priority="182">
      <formula>B32=""</formula>
    </cfRule>
  </conditionalFormatting>
  <conditionalFormatting sqref="G43">
    <cfRule type="expression" dxfId="4794" priority="181">
      <formula>B43=""</formula>
    </cfRule>
  </conditionalFormatting>
  <conditionalFormatting sqref="G44">
    <cfRule type="expression" dxfId="4793" priority="180">
      <formula>B44=""</formula>
    </cfRule>
  </conditionalFormatting>
  <conditionalFormatting sqref="G45">
    <cfRule type="expression" dxfId="4792" priority="179">
      <formula>B45=""</formula>
    </cfRule>
  </conditionalFormatting>
  <conditionalFormatting sqref="G46">
    <cfRule type="expression" dxfId="4791" priority="178">
      <formula>B46=""</formula>
    </cfRule>
  </conditionalFormatting>
  <conditionalFormatting sqref="G47">
    <cfRule type="expression" dxfId="4790" priority="177">
      <formula>B47=""</formula>
    </cfRule>
  </conditionalFormatting>
  <conditionalFormatting sqref="G48">
    <cfRule type="expression" dxfId="4789" priority="176">
      <formula>B48=""</formula>
    </cfRule>
  </conditionalFormatting>
  <conditionalFormatting sqref="G49">
    <cfRule type="expression" dxfId="4788" priority="175">
      <formula>B49=""</formula>
    </cfRule>
  </conditionalFormatting>
  <conditionalFormatting sqref="H30 H32 H34 H36 H38 H40 H42 H44 H46 H48">
    <cfRule type="expression" dxfId="4787" priority="174">
      <formula>B30=""</formula>
    </cfRule>
  </conditionalFormatting>
  <conditionalFormatting sqref="H31 H33 H35 H37 H39 H41 H43 H45 H47 H49">
    <cfRule type="expression" dxfId="4786" priority="173">
      <formula>B31=""</formula>
    </cfRule>
  </conditionalFormatting>
  <conditionalFormatting sqref="H32:H42">
    <cfRule type="expression" dxfId="4785" priority="172">
      <formula>B32=""</formula>
    </cfRule>
  </conditionalFormatting>
  <conditionalFormatting sqref="H43">
    <cfRule type="expression" dxfId="4784" priority="171">
      <formula>B43=""</formula>
    </cfRule>
  </conditionalFormatting>
  <conditionalFormatting sqref="H44">
    <cfRule type="expression" dxfId="4783" priority="170">
      <formula>B44=""</formula>
    </cfRule>
  </conditionalFormatting>
  <conditionalFormatting sqref="H45">
    <cfRule type="expression" dxfId="4782" priority="169">
      <formula>B45=""</formula>
    </cfRule>
  </conditionalFormatting>
  <conditionalFormatting sqref="H46">
    <cfRule type="expression" dxfId="4781" priority="168">
      <formula>B46=""</formula>
    </cfRule>
  </conditionalFormatting>
  <conditionalFormatting sqref="H47">
    <cfRule type="expression" dxfId="4780" priority="167">
      <formula>B47=""</formula>
    </cfRule>
  </conditionalFormatting>
  <conditionalFormatting sqref="H48">
    <cfRule type="expression" dxfId="4779" priority="166">
      <formula>B48=""</formula>
    </cfRule>
  </conditionalFormatting>
  <conditionalFormatting sqref="H49">
    <cfRule type="expression" dxfId="4778" priority="165">
      <formula>B49=""</formula>
    </cfRule>
  </conditionalFormatting>
  <conditionalFormatting sqref="F30 F32 F34 F36 F38 F40 F42 F44 F46 F48">
    <cfRule type="expression" dxfId="4777" priority="164">
      <formula>B30=""</formula>
    </cfRule>
  </conditionalFormatting>
  <conditionalFormatting sqref="F31 F33 F35 F37 F39 F41 F43 F45 F47 F49">
    <cfRule type="expression" dxfId="4776" priority="163">
      <formula>B31=""</formula>
    </cfRule>
  </conditionalFormatting>
  <conditionalFormatting sqref="F32:F42">
    <cfRule type="expression" dxfId="4775" priority="162">
      <formula>B32=""</formula>
    </cfRule>
  </conditionalFormatting>
  <conditionalFormatting sqref="F43">
    <cfRule type="expression" dxfId="4774" priority="161">
      <formula>B43=""</formula>
    </cfRule>
  </conditionalFormatting>
  <conditionalFormatting sqref="F44">
    <cfRule type="expression" dxfId="4773" priority="160">
      <formula>B44=""</formula>
    </cfRule>
  </conditionalFormatting>
  <conditionalFormatting sqref="F45">
    <cfRule type="expression" dxfId="4772" priority="159">
      <formula>B45=""</formula>
    </cfRule>
  </conditionalFormatting>
  <conditionalFormatting sqref="F46">
    <cfRule type="expression" dxfId="4771" priority="158">
      <formula>B46=""</formula>
    </cfRule>
  </conditionalFormatting>
  <conditionalFormatting sqref="F47">
    <cfRule type="expression" dxfId="4770" priority="157">
      <formula>B47=""</formula>
    </cfRule>
  </conditionalFormatting>
  <conditionalFormatting sqref="F48">
    <cfRule type="expression" dxfId="4769" priority="156">
      <formula>B48=""</formula>
    </cfRule>
  </conditionalFormatting>
  <conditionalFormatting sqref="F49">
    <cfRule type="expression" dxfId="4768" priority="155">
      <formula>B49=""</formula>
    </cfRule>
  </conditionalFormatting>
  <conditionalFormatting sqref="C52:C72">
    <cfRule type="expression" dxfId="4767" priority="154">
      <formula>B52=""</formula>
    </cfRule>
  </conditionalFormatting>
  <conditionalFormatting sqref="C53 C55 C57 C59 C61 C63 C65 C67 C69 C71">
    <cfRule type="expression" dxfId="4766" priority="153">
      <formula>B53=""</formula>
    </cfRule>
  </conditionalFormatting>
  <conditionalFormatting sqref="C54:C64">
    <cfRule type="expression" dxfId="4765" priority="152">
      <formula>B54=""</formula>
    </cfRule>
  </conditionalFormatting>
  <conditionalFormatting sqref="C65">
    <cfRule type="expression" dxfId="4764" priority="151">
      <formula>B65=""</formula>
    </cfRule>
  </conditionalFormatting>
  <conditionalFormatting sqref="C66">
    <cfRule type="expression" dxfId="4763" priority="150">
      <formula>B66=""</formula>
    </cfRule>
  </conditionalFormatting>
  <conditionalFormatting sqref="C67">
    <cfRule type="expression" dxfId="4762" priority="149">
      <formula>B67=""</formula>
    </cfRule>
  </conditionalFormatting>
  <conditionalFormatting sqref="C68">
    <cfRule type="expression" dxfId="4761" priority="148">
      <formula>B68=""</formula>
    </cfRule>
  </conditionalFormatting>
  <conditionalFormatting sqref="C69">
    <cfRule type="expression" dxfId="4760" priority="147">
      <formula>B69=""</formula>
    </cfRule>
  </conditionalFormatting>
  <conditionalFormatting sqref="C70">
    <cfRule type="expression" dxfId="4759" priority="146">
      <formula>B70=""</formula>
    </cfRule>
  </conditionalFormatting>
  <conditionalFormatting sqref="C71">
    <cfRule type="expression" dxfId="4758" priority="145">
      <formula>B71=""</formula>
    </cfRule>
  </conditionalFormatting>
  <conditionalFormatting sqref="C71">
    <cfRule type="expression" dxfId="4757" priority="144">
      <formula>B71=""</formula>
    </cfRule>
  </conditionalFormatting>
  <conditionalFormatting sqref="C52:C72">
    <cfRule type="expression" dxfId="4756" priority="143">
      <formula>B52=""</formula>
    </cfRule>
  </conditionalFormatting>
  <conditionalFormatting sqref="C53 C55 C57 C59 C61 C63 C65 C67 C69 C71">
    <cfRule type="expression" dxfId="4755" priority="142">
      <formula>B53=""</formula>
    </cfRule>
  </conditionalFormatting>
  <conditionalFormatting sqref="C54:C64">
    <cfRule type="expression" dxfId="4754" priority="141">
      <formula>B54=""</formula>
    </cfRule>
  </conditionalFormatting>
  <conditionalFormatting sqref="C65">
    <cfRule type="expression" dxfId="4753" priority="140">
      <formula>B65=""</formula>
    </cfRule>
  </conditionalFormatting>
  <conditionalFormatting sqref="C66">
    <cfRule type="expression" dxfId="4752" priority="139">
      <formula>B66=""</formula>
    </cfRule>
  </conditionalFormatting>
  <conditionalFormatting sqref="C67">
    <cfRule type="expression" dxfId="4751" priority="138">
      <formula>B67=""</formula>
    </cfRule>
  </conditionalFormatting>
  <conditionalFormatting sqref="C68">
    <cfRule type="expression" dxfId="4750" priority="137">
      <formula>B68=""</formula>
    </cfRule>
  </conditionalFormatting>
  <conditionalFormatting sqref="C69">
    <cfRule type="expression" dxfId="4749" priority="136">
      <formula>B69=""</formula>
    </cfRule>
  </conditionalFormatting>
  <conditionalFormatting sqref="C70">
    <cfRule type="expression" dxfId="4748" priority="135">
      <formula>B70=""</formula>
    </cfRule>
  </conditionalFormatting>
  <conditionalFormatting sqref="C71">
    <cfRule type="expression" dxfId="4747" priority="134">
      <formula>B71=""</formula>
    </cfRule>
  </conditionalFormatting>
  <conditionalFormatting sqref="C52:C72">
    <cfRule type="expression" dxfId="4746" priority="133">
      <formula>B52=""</formula>
    </cfRule>
  </conditionalFormatting>
  <conditionalFormatting sqref="C53 C55 C57 C59 C61 C63 C65 C67 C69 C71">
    <cfRule type="expression" dxfId="4745" priority="132">
      <formula>B53=""</formula>
    </cfRule>
  </conditionalFormatting>
  <conditionalFormatting sqref="C54:C64">
    <cfRule type="expression" dxfId="4744" priority="131">
      <formula>B54=""</formula>
    </cfRule>
  </conditionalFormatting>
  <conditionalFormatting sqref="C65">
    <cfRule type="expression" dxfId="4743" priority="130">
      <formula>B65=""</formula>
    </cfRule>
  </conditionalFormatting>
  <conditionalFormatting sqref="C66">
    <cfRule type="expression" dxfId="4742" priority="129">
      <formula>B66=""</formula>
    </cfRule>
  </conditionalFormatting>
  <conditionalFormatting sqref="C67">
    <cfRule type="expression" dxfId="4741" priority="128">
      <formula>B67=""</formula>
    </cfRule>
  </conditionalFormatting>
  <conditionalFormatting sqref="C68">
    <cfRule type="expression" dxfId="4740" priority="127">
      <formula>B68=""</formula>
    </cfRule>
  </conditionalFormatting>
  <conditionalFormatting sqref="C69">
    <cfRule type="expression" dxfId="4739" priority="126">
      <formula>B69=""</formula>
    </cfRule>
  </conditionalFormatting>
  <conditionalFormatting sqref="C70">
    <cfRule type="expression" dxfId="4738" priority="125">
      <formula>B70=""</formula>
    </cfRule>
  </conditionalFormatting>
  <conditionalFormatting sqref="C71">
    <cfRule type="expression" dxfId="4737" priority="124">
      <formula>B71=""</formula>
    </cfRule>
  </conditionalFormatting>
  <conditionalFormatting sqref="C52:C72">
    <cfRule type="expression" dxfId="4736" priority="123">
      <formula>B52=""</formula>
    </cfRule>
  </conditionalFormatting>
  <conditionalFormatting sqref="C53 C55 C57 C59 C61 C63 C65 C67 C69 C71">
    <cfRule type="expression" dxfId="4735" priority="122">
      <formula>B53=""</formula>
    </cfRule>
  </conditionalFormatting>
  <conditionalFormatting sqref="C54:C64">
    <cfRule type="expression" dxfId="4734" priority="121">
      <formula>B54=""</formula>
    </cfRule>
  </conditionalFormatting>
  <conditionalFormatting sqref="C65">
    <cfRule type="expression" dxfId="4733" priority="120">
      <formula>B65=""</formula>
    </cfRule>
  </conditionalFormatting>
  <conditionalFormatting sqref="C66">
    <cfRule type="expression" dxfId="4732" priority="119">
      <formula>B66=""</formula>
    </cfRule>
  </conditionalFormatting>
  <conditionalFormatting sqref="C67">
    <cfRule type="expression" dxfId="4731" priority="118">
      <formula>B67=""</formula>
    </cfRule>
  </conditionalFormatting>
  <conditionalFormatting sqref="C68">
    <cfRule type="expression" dxfId="4730" priority="117">
      <formula>B68=""</formula>
    </cfRule>
  </conditionalFormatting>
  <conditionalFormatting sqref="C69">
    <cfRule type="expression" dxfId="4729" priority="116">
      <formula>B69=""</formula>
    </cfRule>
  </conditionalFormatting>
  <conditionalFormatting sqref="C70">
    <cfRule type="expression" dxfId="4728" priority="115">
      <formula>B70=""</formula>
    </cfRule>
  </conditionalFormatting>
  <conditionalFormatting sqref="C71">
    <cfRule type="expression" dxfId="4727" priority="114">
      <formula>B71=""</formula>
    </cfRule>
  </conditionalFormatting>
  <conditionalFormatting sqref="C52 C54 C56 C58 C60 C62 C64 C66 C68 C70 C72">
    <cfRule type="expression" dxfId="4726" priority="113">
      <formula>B52=""</formula>
    </cfRule>
  </conditionalFormatting>
  <conditionalFormatting sqref="C53 C55 C57 C59 C61 C63 C65 C67 C69 C71">
    <cfRule type="expression" dxfId="4725" priority="112">
      <formula>B53=""</formula>
    </cfRule>
  </conditionalFormatting>
  <conditionalFormatting sqref="C54:C64">
    <cfRule type="expression" dxfId="4724" priority="111">
      <formula>B54=""</formula>
    </cfRule>
  </conditionalFormatting>
  <conditionalFormatting sqref="C65">
    <cfRule type="expression" dxfId="4723" priority="110">
      <formula>B65=""</formula>
    </cfRule>
  </conditionalFormatting>
  <conditionalFormatting sqref="C66">
    <cfRule type="expression" dxfId="4722" priority="109">
      <formula>B66=""</formula>
    </cfRule>
  </conditionalFormatting>
  <conditionalFormatting sqref="C67">
    <cfRule type="expression" dxfId="4721" priority="108">
      <formula>B67=""</formula>
    </cfRule>
  </conditionalFormatting>
  <conditionalFormatting sqref="C68">
    <cfRule type="expression" dxfId="4720" priority="107">
      <formula>B68=""</formula>
    </cfRule>
  </conditionalFormatting>
  <conditionalFormatting sqref="C69">
    <cfRule type="expression" dxfId="4719" priority="106">
      <formula>B69=""</formula>
    </cfRule>
  </conditionalFormatting>
  <conditionalFormatting sqref="C70">
    <cfRule type="expression" dxfId="4718" priority="105">
      <formula>B70=""</formula>
    </cfRule>
  </conditionalFormatting>
  <conditionalFormatting sqref="C71">
    <cfRule type="expression" dxfId="4717" priority="104">
      <formula>B71=""</formula>
    </cfRule>
  </conditionalFormatting>
  <conditionalFormatting sqref="C74:C93">
    <cfRule type="expression" dxfId="4716" priority="103">
      <formula>B74=""</formula>
    </cfRule>
  </conditionalFormatting>
  <conditionalFormatting sqref="C75 C77 C79 C81 C83 C85 C87 C89 C91 C93">
    <cfRule type="expression" dxfId="4715" priority="102">
      <formula>B75=""</formula>
    </cfRule>
  </conditionalFormatting>
  <conditionalFormatting sqref="C76:C86">
    <cfRule type="expression" dxfId="4714" priority="101">
      <formula>B76=""</formula>
    </cfRule>
  </conditionalFormatting>
  <conditionalFormatting sqref="C87">
    <cfRule type="expression" dxfId="4713" priority="100">
      <formula>B87=""</formula>
    </cfRule>
  </conditionalFormatting>
  <conditionalFormatting sqref="C88">
    <cfRule type="expression" dxfId="4712" priority="99">
      <formula>B88=""</formula>
    </cfRule>
  </conditionalFormatting>
  <conditionalFormatting sqref="C89">
    <cfRule type="expression" dxfId="4711" priority="98">
      <formula>B89=""</formula>
    </cfRule>
  </conditionalFormatting>
  <conditionalFormatting sqref="C90">
    <cfRule type="expression" dxfId="4710" priority="97">
      <formula>B90=""</formula>
    </cfRule>
  </conditionalFormatting>
  <conditionalFormatting sqref="C91">
    <cfRule type="expression" dxfId="4709" priority="96">
      <formula>B91=""</formula>
    </cfRule>
  </conditionalFormatting>
  <conditionalFormatting sqref="C92">
    <cfRule type="expression" dxfId="4708" priority="95">
      <formula>B92=""</formula>
    </cfRule>
  </conditionalFormatting>
  <conditionalFormatting sqref="C93">
    <cfRule type="expression" dxfId="4707" priority="94">
      <formula>B93=""</formula>
    </cfRule>
  </conditionalFormatting>
  <conditionalFormatting sqref="C93">
    <cfRule type="expression" dxfId="4706" priority="93">
      <formula>B93=""</formula>
    </cfRule>
  </conditionalFormatting>
  <conditionalFormatting sqref="C74:C93">
    <cfRule type="expression" dxfId="4705" priority="92">
      <formula>B74=""</formula>
    </cfRule>
  </conditionalFormatting>
  <conditionalFormatting sqref="C75 C77 C79 C81 C83 C85 C87 C89 C91 C93">
    <cfRule type="expression" dxfId="4704" priority="91">
      <formula>B75=""</formula>
    </cfRule>
  </conditionalFormatting>
  <conditionalFormatting sqref="C76:C86">
    <cfRule type="expression" dxfId="4703" priority="90">
      <formula>B76=""</formula>
    </cfRule>
  </conditionalFormatting>
  <conditionalFormatting sqref="C87">
    <cfRule type="expression" dxfId="4702" priority="89">
      <formula>B87=""</formula>
    </cfRule>
  </conditionalFormatting>
  <conditionalFormatting sqref="C88">
    <cfRule type="expression" dxfId="4701" priority="88">
      <formula>B88=""</formula>
    </cfRule>
  </conditionalFormatting>
  <conditionalFormatting sqref="C89">
    <cfRule type="expression" dxfId="4700" priority="87">
      <formula>B89=""</formula>
    </cfRule>
  </conditionalFormatting>
  <conditionalFormatting sqref="C90">
    <cfRule type="expression" dxfId="4699" priority="86">
      <formula>B90=""</formula>
    </cfRule>
  </conditionalFormatting>
  <conditionalFormatting sqref="C91">
    <cfRule type="expression" dxfId="4698" priority="85">
      <formula>B91=""</formula>
    </cfRule>
  </conditionalFormatting>
  <conditionalFormatting sqref="C92">
    <cfRule type="expression" dxfId="4697" priority="84">
      <formula>B92=""</formula>
    </cfRule>
  </conditionalFormatting>
  <conditionalFormatting sqref="C93">
    <cfRule type="expression" dxfId="4696" priority="83">
      <formula>B93=""</formula>
    </cfRule>
  </conditionalFormatting>
  <conditionalFormatting sqref="C74:C93">
    <cfRule type="expression" dxfId="4695" priority="82">
      <formula>B74=""</formula>
    </cfRule>
  </conditionalFormatting>
  <conditionalFormatting sqref="C75 C77 C79 C81 C83 C85 C87 C89 C91 C93">
    <cfRule type="expression" dxfId="4694" priority="81">
      <formula>B75=""</formula>
    </cfRule>
  </conditionalFormatting>
  <conditionalFormatting sqref="C76:C86">
    <cfRule type="expression" dxfId="4693" priority="80">
      <formula>B76=""</formula>
    </cfRule>
  </conditionalFormatting>
  <conditionalFormatting sqref="C87">
    <cfRule type="expression" dxfId="4692" priority="79">
      <formula>B87=""</formula>
    </cfRule>
  </conditionalFormatting>
  <conditionalFormatting sqref="C88">
    <cfRule type="expression" dxfId="4691" priority="78">
      <formula>B88=""</formula>
    </cfRule>
  </conditionalFormatting>
  <conditionalFormatting sqref="C89">
    <cfRule type="expression" dxfId="4690" priority="77">
      <formula>B89=""</formula>
    </cfRule>
  </conditionalFormatting>
  <conditionalFormatting sqref="C90">
    <cfRule type="expression" dxfId="4689" priority="76">
      <formula>B90=""</formula>
    </cfRule>
  </conditionalFormatting>
  <conditionalFormatting sqref="C91">
    <cfRule type="expression" dxfId="4688" priority="75">
      <formula>B91=""</formula>
    </cfRule>
  </conditionalFormatting>
  <conditionalFormatting sqref="C92">
    <cfRule type="expression" dxfId="4687" priority="74">
      <formula>B92=""</formula>
    </cfRule>
  </conditionalFormatting>
  <conditionalFormatting sqref="C93">
    <cfRule type="expression" dxfId="4686" priority="73">
      <formula>B93=""</formula>
    </cfRule>
  </conditionalFormatting>
  <conditionalFormatting sqref="C93">
    <cfRule type="expression" dxfId="4685" priority="72">
      <formula>B93=""</formula>
    </cfRule>
  </conditionalFormatting>
  <conditionalFormatting sqref="C74:C93">
    <cfRule type="expression" dxfId="4684" priority="71">
      <formula>B74=""</formula>
    </cfRule>
  </conditionalFormatting>
  <conditionalFormatting sqref="C75 C77 C79 C81 C83 C85 C87 C89 C91 C93">
    <cfRule type="expression" dxfId="4683" priority="70">
      <formula>B75=""</formula>
    </cfRule>
  </conditionalFormatting>
  <conditionalFormatting sqref="C76:C86">
    <cfRule type="expression" dxfId="4682" priority="69">
      <formula>B76=""</formula>
    </cfRule>
  </conditionalFormatting>
  <conditionalFormatting sqref="C87">
    <cfRule type="expression" dxfId="4681" priority="68">
      <formula>B87=""</formula>
    </cfRule>
  </conditionalFormatting>
  <conditionalFormatting sqref="C88">
    <cfRule type="expression" dxfId="4680" priority="67">
      <formula>B88=""</formula>
    </cfRule>
  </conditionalFormatting>
  <conditionalFormatting sqref="C89">
    <cfRule type="expression" dxfId="4679" priority="66">
      <formula>B89=""</formula>
    </cfRule>
  </conditionalFormatting>
  <conditionalFormatting sqref="C90">
    <cfRule type="expression" dxfId="4678" priority="65">
      <formula>B90=""</formula>
    </cfRule>
  </conditionalFormatting>
  <conditionalFormatting sqref="C91">
    <cfRule type="expression" dxfId="4677" priority="64">
      <formula>B91=""</formula>
    </cfRule>
  </conditionalFormatting>
  <conditionalFormatting sqref="C92">
    <cfRule type="expression" dxfId="4676" priority="63">
      <formula>B92=""</formula>
    </cfRule>
  </conditionalFormatting>
  <conditionalFormatting sqref="C93">
    <cfRule type="expression" dxfId="4675" priority="62">
      <formula>B93=""</formula>
    </cfRule>
  </conditionalFormatting>
  <conditionalFormatting sqref="C74:C93">
    <cfRule type="expression" dxfId="4674" priority="61">
      <formula>B74=""</formula>
    </cfRule>
  </conditionalFormatting>
  <conditionalFormatting sqref="C75 C77 C79 C81 C83 C85 C87 C89 C91 C93">
    <cfRule type="expression" dxfId="4673" priority="60">
      <formula>B75=""</formula>
    </cfRule>
  </conditionalFormatting>
  <conditionalFormatting sqref="C76:C86">
    <cfRule type="expression" dxfId="4672" priority="59">
      <formula>B76=""</formula>
    </cfRule>
  </conditionalFormatting>
  <conditionalFormatting sqref="C87">
    <cfRule type="expression" dxfId="4671" priority="58">
      <formula>B87=""</formula>
    </cfRule>
  </conditionalFormatting>
  <conditionalFormatting sqref="C88">
    <cfRule type="expression" dxfId="4670" priority="57">
      <formula>B88=""</formula>
    </cfRule>
  </conditionalFormatting>
  <conditionalFormatting sqref="C89">
    <cfRule type="expression" dxfId="4669" priority="56">
      <formula>B89=""</formula>
    </cfRule>
  </conditionalFormatting>
  <conditionalFormatting sqref="C90">
    <cfRule type="expression" dxfId="4668" priority="55">
      <formula>B90=""</formula>
    </cfRule>
  </conditionalFormatting>
  <conditionalFormatting sqref="C91">
    <cfRule type="expression" dxfId="4667" priority="54">
      <formula>B91=""</formula>
    </cfRule>
  </conditionalFormatting>
  <conditionalFormatting sqref="C92">
    <cfRule type="expression" dxfId="4666" priority="53">
      <formula>B92=""</formula>
    </cfRule>
  </conditionalFormatting>
  <conditionalFormatting sqref="C93">
    <cfRule type="expression" dxfId="4665" priority="52">
      <formula>B93=""</formula>
    </cfRule>
  </conditionalFormatting>
  <conditionalFormatting sqref="C74:C93">
    <cfRule type="expression" dxfId="4664" priority="51">
      <formula>B74=""</formula>
    </cfRule>
  </conditionalFormatting>
  <conditionalFormatting sqref="C75 C77 C79 C81 C83 C85 C87 C89 C91 C93">
    <cfRule type="expression" dxfId="4663" priority="50">
      <formula>B75=""</formula>
    </cfRule>
  </conditionalFormatting>
  <conditionalFormatting sqref="C76:C86">
    <cfRule type="expression" dxfId="4662" priority="49">
      <formula>B76=""</formula>
    </cfRule>
  </conditionalFormatting>
  <conditionalFormatting sqref="C87">
    <cfRule type="expression" dxfId="4661" priority="48">
      <formula>B87=""</formula>
    </cfRule>
  </conditionalFormatting>
  <conditionalFormatting sqref="C88">
    <cfRule type="expression" dxfId="4660" priority="47">
      <formula>B88=""</formula>
    </cfRule>
  </conditionalFormatting>
  <conditionalFormatting sqref="C89">
    <cfRule type="expression" dxfId="4659" priority="46">
      <formula>B89=""</formula>
    </cfRule>
  </conditionalFormatting>
  <conditionalFormatting sqref="C90">
    <cfRule type="expression" dxfId="4658" priority="45">
      <formula>B90=""</formula>
    </cfRule>
  </conditionalFormatting>
  <conditionalFormatting sqref="C91">
    <cfRule type="expression" dxfId="4657" priority="44">
      <formula>B91=""</formula>
    </cfRule>
  </conditionalFormatting>
  <conditionalFormatting sqref="C92">
    <cfRule type="expression" dxfId="4656" priority="43">
      <formula>B92=""</formula>
    </cfRule>
  </conditionalFormatting>
  <conditionalFormatting sqref="C93">
    <cfRule type="expression" dxfId="4655" priority="42">
      <formula>B93=""</formula>
    </cfRule>
  </conditionalFormatting>
  <conditionalFormatting sqref="C74 C76 C78 C80 C82 C84 C86 C88 C90 C92">
    <cfRule type="expression" dxfId="4654" priority="41">
      <formula>B74=""</formula>
    </cfRule>
  </conditionalFormatting>
  <conditionalFormatting sqref="C75 C77 C79 C81 C83 C85 C87 C89 C91 C93">
    <cfRule type="expression" dxfId="4653" priority="40">
      <formula>B75=""</formula>
    </cfRule>
  </conditionalFormatting>
  <conditionalFormatting sqref="C76:C86">
    <cfRule type="expression" dxfId="4652" priority="39">
      <formula>B76=""</formula>
    </cfRule>
  </conditionalFormatting>
  <conditionalFormatting sqref="C87">
    <cfRule type="expression" dxfId="4651" priority="38">
      <formula>B87=""</formula>
    </cfRule>
  </conditionalFormatting>
  <conditionalFormatting sqref="C88">
    <cfRule type="expression" dxfId="4650" priority="37">
      <formula>B88=""</formula>
    </cfRule>
  </conditionalFormatting>
  <conditionalFormatting sqref="C89">
    <cfRule type="expression" dxfId="4649" priority="36">
      <formula>B89=""</formula>
    </cfRule>
  </conditionalFormatting>
  <conditionalFormatting sqref="C90">
    <cfRule type="expression" dxfId="4648" priority="35">
      <formula>B90=""</formula>
    </cfRule>
  </conditionalFormatting>
  <conditionalFormatting sqref="C91">
    <cfRule type="expression" dxfId="4647" priority="34">
      <formula>B91=""</formula>
    </cfRule>
  </conditionalFormatting>
  <conditionalFormatting sqref="C92">
    <cfRule type="expression" dxfId="4646" priority="33">
      <formula>B92=""</formula>
    </cfRule>
  </conditionalFormatting>
  <conditionalFormatting sqref="C93">
    <cfRule type="expression" dxfId="4645" priority="32">
      <formula>B93=""</formula>
    </cfRule>
  </conditionalFormatting>
  <conditionalFormatting sqref="B8:B27">
    <cfRule type="containsBlanks" dxfId="4644" priority="31">
      <formula>LEN(TRIM(B8))=0</formula>
    </cfRule>
  </conditionalFormatting>
  <conditionalFormatting sqref="C8:C27">
    <cfRule type="expression" dxfId="4643" priority="30">
      <formula>B8=""</formula>
    </cfRule>
  </conditionalFormatting>
  <conditionalFormatting sqref="C9 C11 C13 C15 C17 C19 C21 C23 C25 C27">
    <cfRule type="expression" dxfId="4642" priority="29">
      <formula>B9=""</formula>
    </cfRule>
  </conditionalFormatting>
  <conditionalFormatting sqref="C8:C27">
    <cfRule type="expression" dxfId="4641" priority="28">
      <formula>B8=""</formula>
    </cfRule>
  </conditionalFormatting>
  <conditionalFormatting sqref="C9 C11 C13 C15 C17 C19 C21 C23 C25 C27">
    <cfRule type="expression" dxfId="4640" priority="27">
      <formula>B9=""</formula>
    </cfRule>
  </conditionalFormatting>
  <conditionalFormatting sqref="C8 C10 C12 C14 C16 C18 C20 C22 C24 C26">
    <cfRule type="expression" dxfId="4639" priority="26">
      <formula>B8=""</formula>
    </cfRule>
  </conditionalFormatting>
  <conditionalFormatting sqref="C9 C11 C13 C15 C17 C19 C21 C23 C25 C27">
    <cfRule type="expression" dxfId="4638" priority="25">
      <formula>B9=""</formula>
    </cfRule>
  </conditionalFormatting>
  <conditionalFormatting sqref="B8:B27">
    <cfRule type="containsBlanks" dxfId="4637" priority="24">
      <formula>LEN(TRIM(B8))=0</formula>
    </cfRule>
  </conditionalFormatting>
  <conditionalFormatting sqref="C8:C27">
    <cfRule type="expression" dxfId="4636" priority="23">
      <formula>B8=""</formula>
    </cfRule>
  </conditionalFormatting>
  <conditionalFormatting sqref="C9 C11 C13 C15 C17 C19 C21 C23 C25 C27">
    <cfRule type="expression" dxfId="4635" priority="22">
      <formula>B9=""</formula>
    </cfRule>
  </conditionalFormatting>
  <conditionalFormatting sqref="C8:C27">
    <cfRule type="expression" dxfId="4634" priority="21">
      <formula>B8=""</formula>
    </cfRule>
  </conditionalFormatting>
  <conditionalFormatting sqref="C9 C11 C13 C15 C17 C19 C21 C23 C25 C27">
    <cfRule type="expression" dxfId="4633" priority="20">
      <formula>B9=""</formula>
    </cfRule>
  </conditionalFormatting>
  <conditionalFormatting sqref="C8 C10 C12 C14 C16 C18 C20 C22 C24 C26">
    <cfRule type="expression" dxfId="4632" priority="19">
      <formula>B8=""</formula>
    </cfRule>
  </conditionalFormatting>
  <conditionalFormatting sqref="C9 C11 C13 C15 C17 C19 C21 C23 C25 C27">
    <cfRule type="expression" dxfId="4631" priority="18">
      <formula>B9=""</formula>
    </cfRule>
  </conditionalFormatting>
  <conditionalFormatting sqref="C8:C27">
    <cfRule type="expression" dxfId="4630" priority="17">
      <formula>B8=""</formula>
    </cfRule>
  </conditionalFormatting>
  <conditionalFormatting sqref="C9 C11 C13 C15 C17 C19 C21 C23 C25 C27">
    <cfRule type="expression" dxfId="4629" priority="16">
      <formula>B9=""</formula>
    </cfRule>
  </conditionalFormatting>
  <conditionalFormatting sqref="C8:C27">
    <cfRule type="expression" dxfId="4628" priority="15">
      <formula>B8=""</formula>
    </cfRule>
  </conditionalFormatting>
  <conditionalFormatting sqref="C9 C11 C13 C15 C17 C19 C21 C23 C25 C27">
    <cfRule type="expression" dxfId="4627" priority="14">
      <formula>B9=""</formula>
    </cfRule>
  </conditionalFormatting>
  <conditionalFormatting sqref="C8 C10 C12 C14 C16 C18 C20 C22 C24 C26">
    <cfRule type="expression" dxfId="4626" priority="13">
      <formula>B8=""</formula>
    </cfRule>
  </conditionalFormatting>
  <conditionalFormatting sqref="C9 C11 C13 C15 C17 C19 C21 C23 C25 C27">
    <cfRule type="expression" dxfId="4625" priority="12">
      <formula>B9=""</formula>
    </cfRule>
  </conditionalFormatting>
  <conditionalFormatting sqref="C8:C27">
    <cfRule type="expression" dxfId="4624" priority="11">
      <formula>B8=""</formula>
    </cfRule>
  </conditionalFormatting>
  <conditionalFormatting sqref="C9 C11 C13 C15 C17 C19 C21 C23 C25 C27">
    <cfRule type="expression" dxfId="4623" priority="10">
      <formula>B9=""</formula>
    </cfRule>
  </conditionalFormatting>
  <conditionalFormatting sqref="C9 C11 C13 C15 C17 C19 C21 C23 C25 C27">
    <cfRule type="expression" dxfId="4622" priority="9">
      <formula>B9=""</formula>
    </cfRule>
  </conditionalFormatting>
  <conditionalFormatting sqref="C8 C10 C12 C14 C16 C18 C20 C22 C24 C26">
    <cfRule type="expression" dxfId="4621" priority="8">
      <formula>B8=""</formula>
    </cfRule>
  </conditionalFormatting>
  <conditionalFormatting sqref="C9 C11 C13 C15 C17 C19 C21 C23 C25 C27">
    <cfRule type="expression" dxfId="4620" priority="7">
      <formula>B9=""</formula>
    </cfRule>
  </conditionalFormatting>
  <conditionalFormatting sqref="C8:C27">
    <cfRule type="expression" dxfId="4619" priority="6">
      <formula>B8=""</formula>
    </cfRule>
  </conditionalFormatting>
  <conditionalFormatting sqref="C9 C11 C13 C15 C17 C19 C21 C23 C25 C27">
    <cfRule type="expression" dxfId="4618" priority="5">
      <formula>B9=""</formula>
    </cfRule>
  </conditionalFormatting>
  <conditionalFormatting sqref="C8:C27">
    <cfRule type="expression" dxfId="4617" priority="4">
      <formula>B8=""</formula>
    </cfRule>
  </conditionalFormatting>
  <conditionalFormatting sqref="C9 C11 C13 C15 C17 C19 C21 C23 C25 C27">
    <cfRule type="expression" dxfId="4616" priority="3">
      <formula>B9=""</formula>
    </cfRule>
  </conditionalFormatting>
  <conditionalFormatting sqref="C8:C27">
    <cfRule type="expression" dxfId="4615" priority="2">
      <formula>B8=""</formula>
    </cfRule>
  </conditionalFormatting>
  <conditionalFormatting sqref="C9 C11 C13 C15 C17 C19 C21 C23 C25 C27">
    <cfRule type="expression" dxfId="4614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8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4" fitToHeight="2" orientation="portrait" r:id="rId1"/>
  <headerFooter>
    <oddHeader>&amp;L&amp;"Calibri"&amp;10&amp;K000000Sensitivity - General&amp;1#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>
    <tabColor rgb="FFFF0000"/>
  </sheetPr>
  <dimension ref="B1:H96"/>
  <sheetViews>
    <sheetView workbookViewId="0"/>
  </sheetViews>
  <sheetFormatPr defaultRowHeight="1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7109375" customWidth="1"/>
    <col min="8" max="8" width="17.140625" customWidth="1"/>
    <col min="10" max="10" width="14.7109375" customWidth="1"/>
  </cols>
  <sheetData>
    <row r="1" spans="2:8" ht="23.25">
      <c r="B1" s="214" t="str">
        <f>DATA!C1004</f>
        <v>NRA.N.011-050-2012/1F</v>
      </c>
      <c r="F1" s="214" t="str">
        <f>DATA!B1015</f>
        <v>Electronic</v>
      </c>
    </row>
    <row r="2" spans="2:8" ht="26.25">
      <c r="C2" s="232" t="str">
        <f>'All Hours'!D1</f>
        <v>PLEASE INSERT TENDERER NAME ON INPUT DATA SHEET</v>
      </c>
      <c r="E2" s="920" t="str">
        <f>IF(DATA!$D$1015="None","NOT USED IN THIS TENDER","")</f>
        <v>NOT USED IN THIS TENDER</v>
      </c>
    </row>
    <row r="3" spans="2:8">
      <c r="B3" t="str">
        <f>IF(DATA!D1015="None",DATA!B1015 &amp; " NOT SPECIFIED FOR THIS PROJECT", "")</f>
        <v>Electronic NOT SPECIFIED FOR THIS PROJECT</v>
      </c>
      <c r="E3" s="232" t="str">
        <f>'Non Fee Hours'!E2</f>
        <v>ONLY INSERT KEY PERSONS HOURS, NOT ALTERNATES.</v>
      </c>
    </row>
    <row r="4" spans="2:8" ht="15.7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.75" thickBot="1">
      <c r="B5" s="2" t="s">
        <v>5</v>
      </c>
      <c r="C5" s="3"/>
      <c r="D5" s="12"/>
      <c r="E5" s="12"/>
      <c r="F5" s="15"/>
      <c r="G5" s="3"/>
      <c r="H5" s="4"/>
    </row>
    <row r="6" spans="2:8" ht="15.75" thickBot="1">
      <c r="B6" s="25" t="str">
        <f>DATA!B1015</f>
        <v>Electronic</v>
      </c>
      <c r="C6" s="26"/>
      <c r="D6" s="211" t="s">
        <v>6</v>
      </c>
      <c r="E6" s="27">
        <f>IF('SUMMARY TENDERED FEE'!C12="none",0,ROUND((E7*(F7/F73)+E29*(F29/F73)+E51*(F51/F73)+E73),2))</f>
        <v>0</v>
      </c>
      <c r="F6" s="28" t="str">
        <f>"Norm. Hours"</f>
        <v>Norm. Hours</v>
      </c>
      <c r="G6" s="913">
        <f>IF('SUMMARY TENDERED FEE'!C12="none",0,1)</f>
        <v>0</v>
      </c>
      <c r="H6" s="29">
        <f>IF('SUMMARY TENDERED FEE'!C12="none",0,SUM(H7:H94))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5</v>
      </c>
      <c r="F7" s="22">
        <f>DATA!$B$7</f>
        <v>3534</v>
      </c>
      <c r="G7" s="23"/>
      <c r="H7" s="24">
        <f>E7*F7</f>
        <v>17670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5</v>
      </c>
      <c r="F9" s="16">
        <f>IF(B9="","",$F$7)</f>
        <v>3534</v>
      </c>
      <c r="G9" s="61">
        <f t="shared" ref="G9:G28" si="0">IF(B9="","",(F9*E9))</f>
        <v>17670</v>
      </c>
      <c r="H9" s="62"/>
    </row>
    <row r="10" spans="2:8">
      <c r="B10" s="118" t="str">
        <f>IF(DATA!A1053="","",DATA!A1053)</f>
        <v>DS3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.7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>DS3</v>
      </c>
      <c r="C32" s="59" t="str">
        <f t="shared" si="4"/>
        <v/>
      </c>
      <c r="D32" s="59"/>
      <c r="E32" s="895">
        <v>0</v>
      </c>
      <c r="F32" s="16">
        <f t="shared" ref="F32:F39" si="5">IF(B32="","",$F$29)</f>
        <v>2796</v>
      </c>
      <c r="G32" s="61">
        <f t="shared" si="3"/>
        <v>0</v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.7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>DS3</v>
      </c>
      <c r="C54" s="59" t="str">
        <f t="shared" si="16"/>
        <v/>
      </c>
      <c r="D54" s="5"/>
      <c r="E54" s="899">
        <v>0</v>
      </c>
      <c r="F54" s="16">
        <f t="shared" ref="F54:F61" si="17">IF(B54="","",$F$51)</f>
        <v>2403</v>
      </c>
      <c r="G54" s="6">
        <f t="shared" si="15"/>
        <v>0</v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.7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>DS3</v>
      </c>
      <c r="C76" s="59" t="str">
        <f t="shared" si="27"/>
        <v/>
      </c>
      <c r="D76" s="5"/>
      <c r="E76" s="899">
        <v>0</v>
      </c>
      <c r="F76" s="16">
        <f t="shared" ref="F76:F83" si="28">IF(B76="","",$F$73)</f>
        <v>1167</v>
      </c>
      <c r="G76" s="6">
        <f t="shared" si="26"/>
        <v>0</v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.7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989</v>
      </c>
      <c r="C96" s="1" t="s">
        <v>990</v>
      </c>
    </row>
  </sheetData>
  <sheetProtection algorithmName="SHA-512" hashValue="DaKpkb44wvdxQvb+S9oJ6lGCTWXniXGGaXf2kynliaPYJ9Y+6GvW0E5w9SwOewFR7ir0mzp3I2/nI+KAAtgCFQ==" saltValue="OortgUUm4fzQgjF/F69GsA==" spinCount="100000" sheet="1" objects="1" scenarios="1"/>
  <conditionalFormatting sqref="B8:B28 B30:B50 B52:B72 B74:B94">
    <cfRule type="containsBlanks" dxfId="4613" priority="750">
      <formula>LEN(TRIM(B8))=0</formula>
    </cfRule>
  </conditionalFormatting>
  <conditionalFormatting sqref="C8:C27">
    <cfRule type="expression" dxfId="4612" priority="749">
      <formula>B8=""</formula>
    </cfRule>
  </conditionalFormatting>
  <conditionalFormatting sqref="C9 C11 C13 C15 C17 C19 C21 C23 C25 C27">
    <cfRule type="expression" dxfId="4611" priority="748">
      <formula>B9=""</formula>
    </cfRule>
  </conditionalFormatting>
  <conditionalFormatting sqref="C10:C20">
    <cfRule type="expression" dxfId="4610" priority="747">
      <formula>B10=""</formula>
    </cfRule>
  </conditionalFormatting>
  <conditionalFormatting sqref="C21">
    <cfRule type="expression" dxfId="4609" priority="746">
      <formula>B21=""</formula>
    </cfRule>
  </conditionalFormatting>
  <conditionalFormatting sqref="C22">
    <cfRule type="expression" dxfId="4608" priority="745">
      <formula>B22=""</formula>
    </cfRule>
  </conditionalFormatting>
  <conditionalFormatting sqref="C23">
    <cfRule type="expression" dxfId="4607" priority="744">
      <formula>B23=""</formula>
    </cfRule>
  </conditionalFormatting>
  <conditionalFormatting sqref="C24">
    <cfRule type="expression" dxfId="4606" priority="743">
      <formula>B24=""</formula>
    </cfRule>
  </conditionalFormatting>
  <conditionalFormatting sqref="C25">
    <cfRule type="expression" dxfId="4605" priority="742">
      <formula>B25=""</formula>
    </cfRule>
  </conditionalFormatting>
  <conditionalFormatting sqref="C26">
    <cfRule type="expression" dxfId="4604" priority="741">
      <formula>B26=""</formula>
    </cfRule>
  </conditionalFormatting>
  <conditionalFormatting sqref="C27">
    <cfRule type="expression" dxfId="4603" priority="740">
      <formula>B27=""</formula>
    </cfRule>
  </conditionalFormatting>
  <conditionalFormatting sqref="C28">
    <cfRule type="expression" dxfId="4602" priority="739">
      <formula>B28=""</formula>
    </cfRule>
  </conditionalFormatting>
  <conditionalFormatting sqref="D8 D10 D12 D14 D16 D18 D20 D22 D24 D26">
    <cfRule type="expression" dxfId="4601" priority="738">
      <formula>B8=""</formula>
    </cfRule>
  </conditionalFormatting>
  <conditionalFormatting sqref="D9 D11 D13 D15 D17 D19 D21 D23 D25 D27">
    <cfRule type="expression" dxfId="4600" priority="737">
      <formula>B9=""</formula>
    </cfRule>
  </conditionalFormatting>
  <conditionalFormatting sqref="D10:D20">
    <cfRule type="expression" dxfId="4599" priority="736">
      <formula>B10=""</formula>
    </cfRule>
  </conditionalFormatting>
  <conditionalFormatting sqref="D21">
    <cfRule type="expression" dxfId="4598" priority="735">
      <formula>B21=""</formula>
    </cfRule>
  </conditionalFormatting>
  <conditionalFormatting sqref="D22">
    <cfRule type="expression" dxfId="4597" priority="734">
      <formula>B22=""</formula>
    </cfRule>
  </conditionalFormatting>
  <conditionalFormatting sqref="D23">
    <cfRule type="expression" dxfId="4596" priority="733">
      <formula>B23=""</formula>
    </cfRule>
  </conditionalFormatting>
  <conditionalFormatting sqref="D24">
    <cfRule type="expression" dxfId="4595" priority="732">
      <formula>B24=""</formula>
    </cfRule>
  </conditionalFormatting>
  <conditionalFormatting sqref="D25">
    <cfRule type="expression" dxfId="4594" priority="731">
      <formula>B25=""</formula>
    </cfRule>
  </conditionalFormatting>
  <conditionalFormatting sqref="D26">
    <cfRule type="expression" dxfId="4593" priority="730">
      <formula>B26=""</formula>
    </cfRule>
  </conditionalFormatting>
  <conditionalFormatting sqref="D27">
    <cfRule type="expression" dxfId="4592" priority="729">
      <formula>B27=""</formula>
    </cfRule>
  </conditionalFormatting>
  <conditionalFormatting sqref="D28">
    <cfRule type="expression" dxfId="4591" priority="728">
      <formula>B28=""</formula>
    </cfRule>
  </conditionalFormatting>
  <conditionalFormatting sqref="E8 E10 E12 E14 E16 E18 E20 E22 E24 E26">
    <cfRule type="expression" dxfId="4590" priority="727">
      <formula>B8=""</formula>
    </cfRule>
  </conditionalFormatting>
  <conditionalFormatting sqref="E9 E11 E13 E15 E17 E19 E21 E23 E25 E27">
    <cfRule type="expression" dxfId="4589" priority="726">
      <formula>B9=""</formula>
    </cfRule>
  </conditionalFormatting>
  <conditionalFormatting sqref="E10:E20">
    <cfRule type="expression" dxfId="4588" priority="725">
      <formula>B10=""</formula>
    </cfRule>
  </conditionalFormatting>
  <conditionalFormatting sqref="E21">
    <cfRule type="expression" dxfId="4587" priority="724">
      <formula>B21=""</formula>
    </cfRule>
  </conditionalFormatting>
  <conditionalFormatting sqref="E22">
    <cfRule type="expression" dxfId="4586" priority="723">
      <formula>B22=""</formula>
    </cfRule>
  </conditionalFormatting>
  <conditionalFormatting sqref="E23">
    <cfRule type="expression" dxfId="4585" priority="722">
      <formula>B23=""</formula>
    </cfRule>
  </conditionalFormatting>
  <conditionalFormatting sqref="E24">
    <cfRule type="expression" dxfId="4584" priority="721">
      <formula>B24=""</formula>
    </cfRule>
  </conditionalFormatting>
  <conditionalFormatting sqref="E25">
    <cfRule type="expression" dxfId="4583" priority="720">
      <formula>B25=""</formula>
    </cfRule>
  </conditionalFormatting>
  <conditionalFormatting sqref="E26">
    <cfRule type="expression" dxfId="4582" priority="719">
      <formula>B26=""</formula>
    </cfRule>
  </conditionalFormatting>
  <conditionalFormatting sqref="E27">
    <cfRule type="expression" dxfId="4581" priority="718">
      <formula>B27=""</formula>
    </cfRule>
  </conditionalFormatting>
  <conditionalFormatting sqref="E28">
    <cfRule type="expression" dxfId="4580" priority="717">
      <formula>B28=""</formula>
    </cfRule>
  </conditionalFormatting>
  <conditionalFormatting sqref="F8 F10 F12 F14 F16 F18 F20 F22 F24 F26">
    <cfRule type="expression" dxfId="4579" priority="716">
      <formula>B8=""</formula>
    </cfRule>
  </conditionalFormatting>
  <conditionalFormatting sqref="F9 F11 F13 F15 F17 F19 F21 F23 F25 F27">
    <cfRule type="expression" dxfId="4578" priority="715">
      <formula>B9=""</formula>
    </cfRule>
  </conditionalFormatting>
  <conditionalFormatting sqref="F10:F20">
    <cfRule type="expression" dxfId="4577" priority="714">
      <formula>B10=""</formula>
    </cfRule>
  </conditionalFormatting>
  <conditionalFormatting sqref="F21">
    <cfRule type="expression" dxfId="4576" priority="713">
      <formula>B21=""</formula>
    </cfRule>
  </conditionalFormatting>
  <conditionalFormatting sqref="F22">
    <cfRule type="expression" dxfId="4575" priority="712">
      <formula>B22=""</formula>
    </cfRule>
  </conditionalFormatting>
  <conditionalFormatting sqref="F23">
    <cfRule type="expression" dxfId="4574" priority="711">
      <formula>B23=""</formula>
    </cfRule>
  </conditionalFormatting>
  <conditionalFormatting sqref="F24">
    <cfRule type="expression" dxfId="4573" priority="710">
      <formula>B24=""</formula>
    </cfRule>
  </conditionalFormatting>
  <conditionalFormatting sqref="F25">
    <cfRule type="expression" dxfId="4572" priority="709">
      <formula>B25=""</formula>
    </cfRule>
  </conditionalFormatting>
  <conditionalFormatting sqref="F26">
    <cfRule type="expression" dxfId="4571" priority="708">
      <formula>B26=""</formula>
    </cfRule>
  </conditionalFormatting>
  <conditionalFormatting sqref="F27">
    <cfRule type="expression" dxfId="4570" priority="707">
      <formula>B27=""</formula>
    </cfRule>
  </conditionalFormatting>
  <conditionalFormatting sqref="F28">
    <cfRule type="expression" dxfId="4569" priority="706">
      <formula>B28=""</formula>
    </cfRule>
  </conditionalFormatting>
  <conditionalFormatting sqref="E9 E11 E13 E15 E17 E19 E21 E23 E25 E27">
    <cfRule type="expression" dxfId="4568" priority="705">
      <formula>B9=""</formula>
    </cfRule>
  </conditionalFormatting>
  <conditionalFormatting sqref="E10:E20">
    <cfRule type="expression" dxfId="4567" priority="704">
      <formula>B10=""</formula>
    </cfRule>
  </conditionalFormatting>
  <conditionalFormatting sqref="E21">
    <cfRule type="expression" dxfId="4566" priority="703">
      <formula>B21=""</formula>
    </cfRule>
  </conditionalFormatting>
  <conditionalFormatting sqref="E22">
    <cfRule type="expression" dxfId="4565" priority="702">
      <formula>B22=""</formula>
    </cfRule>
  </conditionalFormatting>
  <conditionalFormatting sqref="E23">
    <cfRule type="expression" dxfId="4564" priority="701">
      <formula>B23=""</formula>
    </cfRule>
  </conditionalFormatting>
  <conditionalFormatting sqref="E24">
    <cfRule type="expression" dxfId="4563" priority="700">
      <formula>B24=""</formula>
    </cfRule>
  </conditionalFormatting>
  <conditionalFormatting sqref="E25">
    <cfRule type="expression" dxfId="4562" priority="699">
      <formula>B25=""</formula>
    </cfRule>
  </conditionalFormatting>
  <conditionalFormatting sqref="E26">
    <cfRule type="expression" dxfId="4561" priority="698">
      <formula>B26=""</formula>
    </cfRule>
  </conditionalFormatting>
  <conditionalFormatting sqref="E27">
    <cfRule type="expression" dxfId="4560" priority="697">
      <formula>B27=""</formula>
    </cfRule>
  </conditionalFormatting>
  <conditionalFormatting sqref="E28">
    <cfRule type="expression" dxfId="4559" priority="696">
      <formula>B28=""</formula>
    </cfRule>
  </conditionalFormatting>
  <conditionalFormatting sqref="G8 G10 G12 G14 G16 G18 G20 G22 G24 G26">
    <cfRule type="expression" dxfId="4558" priority="695">
      <formula>B8=""</formula>
    </cfRule>
  </conditionalFormatting>
  <conditionalFormatting sqref="G9 G11 G13 G15 G17 G19 G21 G23 G25 G27">
    <cfRule type="expression" dxfId="4557" priority="694">
      <formula>B9=""</formula>
    </cfRule>
  </conditionalFormatting>
  <conditionalFormatting sqref="G10:G20">
    <cfRule type="expression" dxfId="4556" priority="693">
      <formula>B10=""</formula>
    </cfRule>
  </conditionalFormatting>
  <conditionalFormatting sqref="G21">
    <cfRule type="expression" dxfId="4555" priority="692">
      <formula>B21=""</formula>
    </cfRule>
  </conditionalFormatting>
  <conditionalFormatting sqref="G22">
    <cfRule type="expression" dxfId="4554" priority="691">
      <formula>B22=""</formula>
    </cfRule>
  </conditionalFormatting>
  <conditionalFormatting sqref="G23">
    <cfRule type="expression" dxfId="4553" priority="690">
      <formula>B23=""</formula>
    </cfRule>
  </conditionalFormatting>
  <conditionalFormatting sqref="G24">
    <cfRule type="expression" dxfId="4552" priority="689">
      <formula>B24=""</formula>
    </cfRule>
  </conditionalFormatting>
  <conditionalFormatting sqref="G25">
    <cfRule type="expression" dxfId="4551" priority="688">
      <formula>B25=""</formula>
    </cfRule>
  </conditionalFormatting>
  <conditionalFormatting sqref="G26">
    <cfRule type="expression" dxfId="4550" priority="687">
      <formula>B26=""</formula>
    </cfRule>
  </conditionalFormatting>
  <conditionalFormatting sqref="G27">
    <cfRule type="expression" dxfId="4549" priority="686">
      <formula>B27=""</formula>
    </cfRule>
  </conditionalFormatting>
  <conditionalFormatting sqref="G28">
    <cfRule type="expression" dxfId="4548" priority="685">
      <formula>B28=""</formula>
    </cfRule>
  </conditionalFormatting>
  <conditionalFormatting sqref="H8 H10 H12 H14 H16 H18 H20 H22 H24 H26">
    <cfRule type="expression" dxfId="4547" priority="684">
      <formula>B8=""</formula>
    </cfRule>
  </conditionalFormatting>
  <conditionalFormatting sqref="H9 H11 H13 H15 H17 H19 H21 H23 H25 H27">
    <cfRule type="expression" dxfId="4546" priority="683">
      <formula>B9=""</formula>
    </cfRule>
  </conditionalFormatting>
  <conditionalFormatting sqref="H10:H20">
    <cfRule type="expression" dxfId="4545" priority="682">
      <formula>B10=""</formula>
    </cfRule>
  </conditionalFormatting>
  <conditionalFormatting sqref="H21">
    <cfRule type="expression" dxfId="4544" priority="681">
      <formula>B21=""</formula>
    </cfRule>
  </conditionalFormatting>
  <conditionalFormatting sqref="H22">
    <cfRule type="expression" dxfId="4543" priority="680">
      <formula>B22=""</formula>
    </cfRule>
  </conditionalFormatting>
  <conditionalFormatting sqref="H23">
    <cfRule type="expression" dxfId="4542" priority="679">
      <formula>B23=""</formula>
    </cfRule>
  </conditionalFormatting>
  <conditionalFormatting sqref="H24">
    <cfRule type="expression" dxfId="4541" priority="678">
      <formula>B24=""</formula>
    </cfRule>
  </conditionalFormatting>
  <conditionalFormatting sqref="H25">
    <cfRule type="expression" dxfId="4540" priority="677">
      <formula>B25=""</formula>
    </cfRule>
  </conditionalFormatting>
  <conditionalFormatting sqref="H26">
    <cfRule type="expression" dxfId="4539" priority="676">
      <formula>B26=""</formula>
    </cfRule>
  </conditionalFormatting>
  <conditionalFormatting sqref="H27">
    <cfRule type="expression" dxfId="4538" priority="675">
      <formula>B27=""</formula>
    </cfRule>
  </conditionalFormatting>
  <conditionalFormatting sqref="H28">
    <cfRule type="expression" dxfId="4537" priority="674">
      <formula>B28=""</formula>
    </cfRule>
  </conditionalFormatting>
  <conditionalFormatting sqref="C30:C50">
    <cfRule type="expression" dxfId="4536" priority="673">
      <formula>B30=""</formula>
    </cfRule>
  </conditionalFormatting>
  <conditionalFormatting sqref="C31 C33 C35 C37 C39 C41 C43 C45 C47 C49">
    <cfRule type="expression" dxfId="4535" priority="672">
      <formula>B31=""</formula>
    </cfRule>
  </conditionalFormatting>
  <conditionalFormatting sqref="C32:C42">
    <cfRule type="expression" dxfId="4534" priority="671">
      <formula>B32=""</formula>
    </cfRule>
  </conditionalFormatting>
  <conditionalFormatting sqref="C43">
    <cfRule type="expression" dxfId="4533" priority="670">
      <formula>B43=""</formula>
    </cfRule>
  </conditionalFormatting>
  <conditionalFormatting sqref="C44">
    <cfRule type="expression" dxfId="4532" priority="669">
      <formula>B44=""</formula>
    </cfRule>
  </conditionalFormatting>
  <conditionalFormatting sqref="C45">
    <cfRule type="expression" dxfId="4531" priority="668">
      <formula>B45=""</formula>
    </cfRule>
  </conditionalFormatting>
  <conditionalFormatting sqref="C46">
    <cfRule type="expression" dxfId="4530" priority="667">
      <formula>B46=""</formula>
    </cfRule>
  </conditionalFormatting>
  <conditionalFormatting sqref="C47">
    <cfRule type="expression" dxfId="4529" priority="666">
      <formula>B47=""</formula>
    </cfRule>
  </conditionalFormatting>
  <conditionalFormatting sqref="C48">
    <cfRule type="expression" dxfId="4528" priority="665">
      <formula>B48=""</formula>
    </cfRule>
  </conditionalFormatting>
  <conditionalFormatting sqref="C49">
    <cfRule type="expression" dxfId="4527" priority="664">
      <formula>B49=""</formula>
    </cfRule>
  </conditionalFormatting>
  <conditionalFormatting sqref="C50">
    <cfRule type="expression" dxfId="4526" priority="663">
      <formula>B50=""</formula>
    </cfRule>
  </conditionalFormatting>
  <conditionalFormatting sqref="D30 D32 D34 D36 D38 D40 D42 D44 D46 D48">
    <cfRule type="expression" dxfId="4525" priority="662">
      <formula>B30=""</formula>
    </cfRule>
  </conditionalFormatting>
  <conditionalFormatting sqref="D31 D33 D35 D37 D39 D41 D43 D45 D47 D49">
    <cfRule type="expression" dxfId="4524" priority="661">
      <formula>B31=""</formula>
    </cfRule>
  </conditionalFormatting>
  <conditionalFormatting sqref="D32:D42">
    <cfRule type="expression" dxfId="4523" priority="660">
      <formula>B32=""</formula>
    </cfRule>
  </conditionalFormatting>
  <conditionalFormatting sqref="D43">
    <cfRule type="expression" dxfId="4522" priority="659">
      <formula>B43=""</formula>
    </cfRule>
  </conditionalFormatting>
  <conditionalFormatting sqref="D44">
    <cfRule type="expression" dxfId="4521" priority="658">
      <formula>B44=""</formula>
    </cfRule>
  </conditionalFormatting>
  <conditionalFormatting sqref="D45">
    <cfRule type="expression" dxfId="4520" priority="657">
      <formula>B45=""</formula>
    </cfRule>
  </conditionalFormatting>
  <conditionalFormatting sqref="D46">
    <cfRule type="expression" dxfId="4519" priority="656">
      <formula>B46=""</formula>
    </cfRule>
  </conditionalFormatting>
  <conditionalFormatting sqref="D47">
    <cfRule type="expression" dxfId="4518" priority="655">
      <formula>B47=""</formula>
    </cfRule>
  </conditionalFormatting>
  <conditionalFormatting sqref="D48">
    <cfRule type="expression" dxfId="4517" priority="654">
      <formula>B48=""</formula>
    </cfRule>
  </conditionalFormatting>
  <conditionalFormatting sqref="D49">
    <cfRule type="expression" dxfId="4516" priority="653">
      <formula>B49=""</formula>
    </cfRule>
  </conditionalFormatting>
  <conditionalFormatting sqref="D50">
    <cfRule type="expression" dxfId="4515" priority="652">
      <formula>B50=""</formula>
    </cfRule>
  </conditionalFormatting>
  <conditionalFormatting sqref="E30 E32 E34 E36 E38 E40 E42 E44 E46 E48">
    <cfRule type="expression" dxfId="4514" priority="651">
      <formula>B30=""</formula>
    </cfRule>
  </conditionalFormatting>
  <conditionalFormatting sqref="E31 E33 E35 E37 E39 E41 E43 E45 E47 E49">
    <cfRule type="expression" dxfId="4513" priority="650">
      <formula>B31=""</formula>
    </cfRule>
  </conditionalFormatting>
  <conditionalFormatting sqref="E32:E42">
    <cfRule type="expression" dxfId="4512" priority="649">
      <formula>B32=""</formula>
    </cfRule>
  </conditionalFormatting>
  <conditionalFormatting sqref="E43">
    <cfRule type="expression" dxfId="4511" priority="648">
      <formula>B43=""</formula>
    </cfRule>
  </conditionalFormatting>
  <conditionalFormatting sqref="E44">
    <cfRule type="expression" dxfId="4510" priority="647">
      <formula>B44=""</formula>
    </cfRule>
  </conditionalFormatting>
  <conditionalFormatting sqref="E45">
    <cfRule type="expression" dxfId="4509" priority="646">
      <formula>B45=""</formula>
    </cfRule>
  </conditionalFormatting>
  <conditionalFormatting sqref="E46">
    <cfRule type="expression" dxfId="4508" priority="645">
      <formula>B46=""</formula>
    </cfRule>
  </conditionalFormatting>
  <conditionalFormatting sqref="E47">
    <cfRule type="expression" dxfId="4507" priority="644">
      <formula>B47=""</formula>
    </cfRule>
  </conditionalFormatting>
  <conditionalFormatting sqref="E48">
    <cfRule type="expression" dxfId="4506" priority="643">
      <formula>B48=""</formula>
    </cfRule>
  </conditionalFormatting>
  <conditionalFormatting sqref="E49">
    <cfRule type="expression" dxfId="4505" priority="642">
      <formula>B49=""</formula>
    </cfRule>
  </conditionalFormatting>
  <conditionalFormatting sqref="E50">
    <cfRule type="expression" dxfId="4504" priority="641">
      <formula>B50=""</formula>
    </cfRule>
  </conditionalFormatting>
  <conditionalFormatting sqref="F30 F32 F34 F36 F38 F40 F42 F44 F46 F48">
    <cfRule type="expression" dxfId="4503" priority="640">
      <formula>B30=""</formula>
    </cfRule>
  </conditionalFormatting>
  <conditionalFormatting sqref="F31 F33 F35 F37 F39 F41 F43 F45 F47 F49">
    <cfRule type="expression" dxfId="4502" priority="639">
      <formula>B31=""</formula>
    </cfRule>
  </conditionalFormatting>
  <conditionalFormatting sqref="F32:F42">
    <cfRule type="expression" dxfId="4501" priority="638">
      <formula>B32=""</formula>
    </cfRule>
  </conditionalFormatting>
  <conditionalFormatting sqref="F43">
    <cfRule type="expression" dxfId="4500" priority="637">
      <formula>B43=""</formula>
    </cfRule>
  </conditionalFormatting>
  <conditionalFormatting sqref="F44">
    <cfRule type="expression" dxfId="4499" priority="636">
      <formula>B44=""</formula>
    </cfRule>
  </conditionalFormatting>
  <conditionalFormatting sqref="F45">
    <cfRule type="expression" dxfId="4498" priority="635">
      <formula>B45=""</formula>
    </cfRule>
  </conditionalFormatting>
  <conditionalFormatting sqref="F46">
    <cfRule type="expression" dxfId="4497" priority="634">
      <formula>B46=""</formula>
    </cfRule>
  </conditionalFormatting>
  <conditionalFormatting sqref="F47">
    <cfRule type="expression" dxfId="4496" priority="633">
      <formula>B47=""</formula>
    </cfRule>
  </conditionalFormatting>
  <conditionalFormatting sqref="F48">
    <cfRule type="expression" dxfId="4495" priority="632">
      <formula>B48=""</formula>
    </cfRule>
  </conditionalFormatting>
  <conditionalFormatting sqref="F49">
    <cfRule type="expression" dxfId="4494" priority="631">
      <formula>B49=""</formula>
    </cfRule>
  </conditionalFormatting>
  <conditionalFormatting sqref="F50">
    <cfRule type="expression" dxfId="4493" priority="630">
      <formula>B50=""</formula>
    </cfRule>
  </conditionalFormatting>
  <conditionalFormatting sqref="E31 E33 E35 E37 E39 E41 E43 E45 E47 E49">
    <cfRule type="expression" dxfId="4492" priority="629">
      <formula>B31=""</formula>
    </cfRule>
  </conditionalFormatting>
  <conditionalFormatting sqref="E32:E42">
    <cfRule type="expression" dxfId="4491" priority="628">
      <formula>B32=""</formula>
    </cfRule>
  </conditionalFormatting>
  <conditionalFormatting sqref="E43">
    <cfRule type="expression" dxfId="4490" priority="627">
      <formula>B43=""</formula>
    </cfRule>
  </conditionalFormatting>
  <conditionalFormatting sqref="E44">
    <cfRule type="expression" dxfId="4489" priority="626">
      <formula>B44=""</formula>
    </cfRule>
  </conditionalFormatting>
  <conditionalFormatting sqref="E45">
    <cfRule type="expression" dxfId="4488" priority="625">
      <formula>B45=""</formula>
    </cfRule>
  </conditionalFormatting>
  <conditionalFormatting sqref="E46">
    <cfRule type="expression" dxfId="4487" priority="624">
      <formula>B46=""</formula>
    </cfRule>
  </conditionalFormatting>
  <conditionalFormatting sqref="E47">
    <cfRule type="expression" dxfId="4486" priority="623">
      <formula>B47=""</formula>
    </cfRule>
  </conditionalFormatting>
  <conditionalFormatting sqref="E48">
    <cfRule type="expression" dxfId="4485" priority="622">
      <formula>B48=""</formula>
    </cfRule>
  </conditionalFormatting>
  <conditionalFormatting sqref="E49">
    <cfRule type="expression" dxfId="4484" priority="621">
      <formula>B49=""</formula>
    </cfRule>
  </conditionalFormatting>
  <conditionalFormatting sqref="E50">
    <cfRule type="expression" dxfId="4483" priority="620">
      <formula>B50=""</formula>
    </cfRule>
  </conditionalFormatting>
  <conditionalFormatting sqref="G30 G32 G34 G36 G38 G40 G42 G44 G46 G48">
    <cfRule type="expression" dxfId="4482" priority="619">
      <formula>B30=""</formula>
    </cfRule>
  </conditionalFormatting>
  <conditionalFormatting sqref="G31 G33 G35 G37 G39 G41 G43 G45 G47 G49">
    <cfRule type="expression" dxfId="4481" priority="618">
      <formula>B31=""</formula>
    </cfRule>
  </conditionalFormatting>
  <conditionalFormatting sqref="G32:G42">
    <cfRule type="expression" dxfId="4480" priority="617">
      <formula>B32=""</formula>
    </cfRule>
  </conditionalFormatting>
  <conditionalFormatting sqref="G43">
    <cfRule type="expression" dxfId="4479" priority="616">
      <formula>B43=""</formula>
    </cfRule>
  </conditionalFormatting>
  <conditionalFormatting sqref="G44">
    <cfRule type="expression" dxfId="4478" priority="615">
      <formula>B44=""</formula>
    </cfRule>
  </conditionalFormatting>
  <conditionalFormatting sqref="G45">
    <cfRule type="expression" dxfId="4477" priority="614">
      <formula>B45=""</formula>
    </cfRule>
  </conditionalFormatting>
  <conditionalFormatting sqref="G46">
    <cfRule type="expression" dxfId="4476" priority="613">
      <formula>B46=""</formula>
    </cfRule>
  </conditionalFormatting>
  <conditionalFormatting sqref="G47">
    <cfRule type="expression" dxfId="4475" priority="612">
      <formula>B47=""</formula>
    </cfRule>
  </conditionalFormatting>
  <conditionalFormatting sqref="G48">
    <cfRule type="expression" dxfId="4474" priority="611">
      <formula>B48=""</formula>
    </cfRule>
  </conditionalFormatting>
  <conditionalFormatting sqref="G49">
    <cfRule type="expression" dxfId="4473" priority="610">
      <formula>B49=""</formula>
    </cfRule>
  </conditionalFormatting>
  <conditionalFormatting sqref="G50">
    <cfRule type="expression" dxfId="4472" priority="609">
      <formula>B50=""</formula>
    </cfRule>
  </conditionalFormatting>
  <conditionalFormatting sqref="H30 H32 H34 H36 H38 H40 H42 H44 H46 H48">
    <cfRule type="expression" dxfId="4471" priority="608">
      <formula>B30=""</formula>
    </cfRule>
  </conditionalFormatting>
  <conditionalFormatting sqref="H31 H33 H35 H37 H39 H41 H43 H45 H47 H49">
    <cfRule type="expression" dxfId="4470" priority="607">
      <formula>B31=""</formula>
    </cfRule>
  </conditionalFormatting>
  <conditionalFormatting sqref="H32:H42">
    <cfRule type="expression" dxfId="4469" priority="606">
      <formula>B32=""</formula>
    </cfRule>
  </conditionalFormatting>
  <conditionalFormatting sqref="H43">
    <cfRule type="expression" dxfId="4468" priority="605">
      <formula>B43=""</formula>
    </cfRule>
  </conditionalFormatting>
  <conditionalFormatting sqref="H44">
    <cfRule type="expression" dxfId="4467" priority="604">
      <formula>B44=""</formula>
    </cfRule>
  </conditionalFormatting>
  <conditionalFormatting sqref="H45">
    <cfRule type="expression" dxfId="4466" priority="603">
      <formula>B45=""</formula>
    </cfRule>
  </conditionalFormatting>
  <conditionalFormatting sqref="H46">
    <cfRule type="expression" dxfId="4465" priority="602">
      <formula>B46=""</formula>
    </cfRule>
  </conditionalFormatting>
  <conditionalFormatting sqref="H47">
    <cfRule type="expression" dxfId="4464" priority="601">
      <formula>B47=""</formula>
    </cfRule>
  </conditionalFormatting>
  <conditionalFormatting sqref="H48">
    <cfRule type="expression" dxfId="4463" priority="600">
      <formula>B48=""</formula>
    </cfRule>
  </conditionalFormatting>
  <conditionalFormatting sqref="H49">
    <cfRule type="expression" dxfId="4462" priority="599">
      <formula>B49=""</formula>
    </cfRule>
  </conditionalFormatting>
  <conditionalFormatting sqref="H50">
    <cfRule type="expression" dxfId="4461" priority="598">
      <formula>B50=""</formula>
    </cfRule>
  </conditionalFormatting>
  <conditionalFormatting sqref="C52:C71">
    <cfRule type="expression" dxfId="4460" priority="597">
      <formula>B52=""</formula>
    </cfRule>
  </conditionalFormatting>
  <conditionalFormatting sqref="C53 C55 C57 C59 C61 C63 C65 C67 C69 C71">
    <cfRule type="expression" dxfId="4459" priority="596">
      <formula>B53=""</formula>
    </cfRule>
  </conditionalFormatting>
  <conditionalFormatting sqref="C54:C64">
    <cfRule type="expression" dxfId="4458" priority="595">
      <formula>B54=""</formula>
    </cfRule>
  </conditionalFormatting>
  <conditionalFormatting sqref="C65">
    <cfRule type="expression" dxfId="4457" priority="594">
      <formula>B65=""</formula>
    </cfRule>
  </conditionalFormatting>
  <conditionalFormatting sqref="C66">
    <cfRule type="expression" dxfId="4456" priority="593">
      <formula>B66=""</formula>
    </cfRule>
  </conditionalFormatting>
  <conditionalFormatting sqref="C67">
    <cfRule type="expression" dxfId="4455" priority="592">
      <formula>B67=""</formula>
    </cfRule>
  </conditionalFormatting>
  <conditionalFormatting sqref="C68">
    <cfRule type="expression" dxfId="4454" priority="591">
      <formula>B68=""</formula>
    </cfRule>
  </conditionalFormatting>
  <conditionalFormatting sqref="C69">
    <cfRule type="expression" dxfId="4453" priority="590">
      <formula>B69=""</formula>
    </cfRule>
  </conditionalFormatting>
  <conditionalFormatting sqref="C70">
    <cfRule type="expression" dxfId="4452" priority="589">
      <formula>B70=""</formula>
    </cfRule>
  </conditionalFormatting>
  <conditionalFormatting sqref="C71">
    <cfRule type="expression" dxfId="4451" priority="588">
      <formula>B71=""</formula>
    </cfRule>
  </conditionalFormatting>
  <conditionalFormatting sqref="C72">
    <cfRule type="expression" dxfId="4450" priority="587">
      <formula>B72=""</formula>
    </cfRule>
  </conditionalFormatting>
  <conditionalFormatting sqref="D52 D54 D56 D58 D60 D62 D64 D66 D68 D70">
    <cfRule type="expression" dxfId="4449" priority="586">
      <formula>B52=""</formula>
    </cfRule>
  </conditionalFormatting>
  <conditionalFormatting sqref="D53 D55 D57 D59 D61 D63 D65 D67 D69 D71">
    <cfRule type="expression" dxfId="4448" priority="585">
      <formula>B53=""</formula>
    </cfRule>
  </conditionalFormatting>
  <conditionalFormatting sqref="D54:D64">
    <cfRule type="expression" dxfId="4447" priority="584">
      <formula>B54=""</formula>
    </cfRule>
  </conditionalFormatting>
  <conditionalFormatting sqref="D65">
    <cfRule type="expression" dxfId="4446" priority="583">
      <formula>B65=""</formula>
    </cfRule>
  </conditionalFormatting>
  <conditionalFormatting sqref="D66">
    <cfRule type="expression" dxfId="4445" priority="582">
      <formula>B66=""</formula>
    </cfRule>
  </conditionalFormatting>
  <conditionalFormatting sqref="D67">
    <cfRule type="expression" dxfId="4444" priority="581">
      <formula>B67=""</formula>
    </cfRule>
  </conditionalFormatting>
  <conditionalFormatting sqref="D68">
    <cfRule type="expression" dxfId="4443" priority="580">
      <formula>B68=""</formula>
    </cfRule>
  </conditionalFormatting>
  <conditionalFormatting sqref="D69">
    <cfRule type="expression" dxfId="4442" priority="579">
      <formula>B69=""</formula>
    </cfRule>
  </conditionalFormatting>
  <conditionalFormatting sqref="D70">
    <cfRule type="expression" dxfId="4441" priority="578">
      <formula>B70=""</formula>
    </cfRule>
  </conditionalFormatting>
  <conditionalFormatting sqref="D71">
    <cfRule type="expression" dxfId="4440" priority="577">
      <formula>B71=""</formula>
    </cfRule>
  </conditionalFormatting>
  <conditionalFormatting sqref="D72">
    <cfRule type="expression" dxfId="4439" priority="576">
      <formula>B72=""</formula>
    </cfRule>
  </conditionalFormatting>
  <conditionalFormatting sqref="E52 E54 E56 E58 E60 E62 E64 E66 E68 E70">
    <cfRule type="expression" dxfId="4438" priority="575">
      <formula>B52=""</formula>
    </cfRule>
  </conditionalFormatting>
  <conditionalFormatting sqref="E53 E55 E57 E59 E61 E63 E65 E67 E69 E71">
    <cfRule type="expression" dxfId="4437" priority="574">
      <formula>B53=""</formula>
    </cfRule>
  </conditionalFormatting>
  <conditionalFormatting sqref="E54:E64">
    <cfRule type="expression" dxfId="4436" priority="573">
      <formula>B54=""</formula>
    </cfRule>
  </conditionalFormatting>
  <conditionalFormatting sqref="E65">
    <cfRule type="expression" dxfId="4435" priority="572">
      <formula>B65=""</formula>
    </cfRule>
  </conditionalFormatting>
  <conditionalFormatting sqref="E66">
    <cfRule type="expression" dxfId="4434" priority="571">
      <formula>B66=""</formula>
    </cfRule>
  </conditionalFormatting>
  <conditionalFormatting sqref="E67">
    <cfRule type="expression" dxfId="4433" priority="570">
      <formula>B67=""</formula>
    </cfRule>
  </conditionalFormatting>
  <conditionalFormatting sqref="E68">
    <cfRule type="expression" dxfId="4432" priority="569">
      <formula>B68=""</formula>
    </cfRule>
  </conditionalFormatting>
  <conditionalFormatting sqref="E69">
    <cfRule type="expression" dxfId="4431" priority="568">
      <formula>B69=""</formula>
    </cfRule>
  </conditionalFormatting>
  <conditionalFormatting sqref="E70">
    <cfRule type="expression" dxfId="4430" priority="567">
      <formula>B70=""</formula>
    </cfRule>
  </conditionalFormatting>
  <conditionalFormatting sqref="E71">
    <cfRule type="expression" dxfId="4429" priority="566">
      <formula>B71=""</formula>
    </cfRule>
  </conditionalFormatting>
  <conditionalFormatting sqref="E72">
    <cfRule type="expression" dxfId="4428" priority="565">
      <formula>B72=""</formula>
    </cfRule>
  </conditionalFormatting>
  <conditionalFormatting sqref="F52 F54 F56 F58 F60 F62 F64 F66 F68 F70">
    <cfRule type="expression" dxfId="4427" priority="564">
      <formula>B52=""</formula>
    </cfRule>
  </conditionalFormatting>
  <conditionalFormatting sqref="F53 F55 F57 F59 F61 F63 F65 F67 F69 F71">
    <cfRule type="expression" dxfId="4426" priority="563">
      <formula>B53=""</formula>
    </cfRule>
  </conditionalFormatting>
  <conditionalFormatting sqref="F54:F64">
    <cfRule type="expression" dxfId="4425" priority="562">
      <formula>B54=""</formula>
    </cfRule>
  </conditionalFormatting>
  <conditionalFormatting sqref="F65">
    <cfRule type="expression" dxfId="4424" priority="561">
      <formula>B65=""</formula>
    </cfRule>
  </conditionalFormatting>
  <conditionalFormatting sqref="F66">
    <cfRule type="expression" dxfId="4423" priority="560">
      <formula>B66=""</formula>
    </cfRule>
  </conditionalFormatting>
  <conditionalFormatting sqref="F67">
    <cfRule type="expression" dxfId="4422" priority="559">
      <formula>B67=""</formula>
    </cfRule>
  </conditionalFormatting>
  <conditionalFormatting sqref="F68">
    <cfRule type="expression" dxfId="4421" priority="558">
      <formula>B68=""</formula>
    </cfRule>
  </conditionalFormatting>
  <conditionalFormatting sqref="F69">
    <cfRule type="expression" dxfId="4420" priority="557">
      <formula>B69=""</formula>
    </cfRule>
  </conditionalFormatting>
  <conditionalFormatting sqref="F70">
    <cfRule type="expression" dxfId="4419" priority="556">
      <formula>B70=""</formula>
    </cfRule>
  </conditionalFormatting>
  <conditionalFormatting sqref="F71">
    <cfRule type="expression" dxfId="4418" priority="555">
      <formula>B71=""</formula>
    </cfRule>
  </conditionalFormatting>
  <conditionalFormatting sqref="F72">
    <cfRule type="expression" dxfId="4417" priority="554">
      <formula>B72=""</formula>
    </cfRule>
  </conditionalFormatting>
  <conditionalFormatting sqref="E53 E55 E57 E59 E61 E63 E65 E67 E69 E71">
    <cfRule type="expression" dxfId="4416" priority="553">
      <formula>B53=""</formula>
    </cfRule>
  </conditionalFormatting>
  <conditionalFormatting sqref="E54:E64">
    <cfRule type="expression" dxfId="4415" priority="552">
      <formula>B54=""</formula>
    </cfRule>
  </conditionalFormatting>
  <conditionalFormatting sqref="E65">
    <cfRule type="expression" dxfId="4414" priority="551">
      <formula>B65=""</formula>
    </cfRule>
  </conditionalFormatting>
  <conditionalFormatting sqref="E66">
    <cfRule type="expression" dxfId="4413" priority="550">
      <formula>B66=""</formula>
    </cfRule>
  </conditionalFormatting>
  <conditionalFormatting sqref="E67">
    <cfRule type="expression" dxfId="4412" priority="549">
      <formula>B67=""</formula>
    </cfRule>
  </conditionalFormatting>
  <conditionalFormatting sqref="E68">
    <cfRule type="expression" dxfId="4411" priority="548">
      <formula>B68=""</formula>
    </cfRule>
  </conditionalFormatting>
  <conditionalFormatting sqref="E69">
    <cfRule type="expression" dxfId="4410" priority="547">
      <formula>B69=""</formula>
    </cfRule>
  </conditionalFormatting>
  <conditionalFormatting sqref="E70">
    <cfRule type="expression" dxfId="4409" priority="546">
      <formula>B70=""</formula>
    </cfRule>
  </conditionalFormatting>
  <conditionalFormatting sqref="E71">
    <cfRule type="expression" dxfId="4408" priority="545">
      <formula>B71=""</formula>
    </cfRule>
  </conditionalFormatting>
  <conditionalFormatting sqref="E72">
    <cfRule type="expression" dxfId="4407" priority="544">
      <formula>B72=""</formula>
    </cfRule>
  </conditionalFormatting>
  <conditionalFormatting sqref="G52 G54 G56 G58 G60 G62 G64 G66 G68 G70">
    <cfRule type="expression" dxfId="4406" priority="543">
      <formula>B52=""</formula>
    </cfRule>
  </conditionalFormatting>
  <conditionalFormatting sqref="G53 G55 G57 G59 G61 G63 G65 G67 G69 G71">
    <cfRule type="expression" dxfId="4405" priority="542">
      <formula>B53=""</formula>
    </cfRule>
  </conditionalFormatting>
  <conditionalFormatting sqref="G54:G64">
    <cfRule type="expression" dxfId="4404" priority="541">
      <formula>B54=""</formula>
    </cfRule>
  </conditionalFormatting>
  <conditionalFormatting sqref="G65">
    <cfRule type="expression" dxfId="4403" priority="540">
      <formula>B65=""</formula>
    </cfRule>
  </conditionalFormatting>
  <conditionalFormatting sqref="G66">
    <cfRule type="expression" dxfId="4402" priority="539">
      <formula>B66=""</formula>
    </cfRule>
  </conditionalFormatting>
  <conditionalFormatting sqref="G67">
    <cfRule type="expression" dxfId="4401" priority="538">
      <formula>B67=""</formula>
    </cfRule>
  </conditionalFormatting>
  <conditionalFormatting sqref="G68">
    <cfRule type="expression" dxfId="4400" priority="537">
      <formula>B68=""</formula>
    </cfRule>
  </conditionalFormatting>
  <conditionalFormatting sqref="G69">
    <cfRule type="expression" dxfId="4399" priority="536">
      <formula>B69=""</formula>
    </cfRule>
  </conditionalFormatting>
  <conditionalFormatting sqref="G70">
    <cfRule type="expression" dxfId="4398" priority="535">
      <formula>B70=""</formula>
    </cfRule>
  </conditionalFormatting>
  <conditionalFormatting sqref="G71">
    <cfRule type="expression" dxfId="4397" priority="534">
      <formula>B71=""</formula>
    </cfRule>
  </conditionalFormatting>
  <conditionalFormatting sqref="G72">
    <cfRule type="expression" dxfId="4396" priority="533">
      <formula>B72=""</formula>
    </cfRule>
  </conditionalFormatting>
  <conditionalFormatting sqref="H52 H54 H56 H58 H60 H62 H64 H66 H68 H70">
    <cfRule type="expression" dxfId="4395" priority="532">
      <formula>B52=""</formula>
    </cfRule>
  </conditionalFormatting>
  <conditionalFormatting sqref="H53 H55 H57 H59 H61 H63 H65 H67 H69 H71">
    <cfRule type="expression" dxfId="4394" priority="531">
      <formula>B53=""</formula>
    </cfRule>
  </conditionalFormatting>
  <conditionalFormatting sqref="H54:H64">
    <cfRule type="expression" dxfId="4393" priority="530">
      <formula>B54=""</formula>
    </cfRule>
  </conditionalFormatting>
  <conditionalFormatting sqref="H65">
    <cfRule type="expression" dxfId="4392" priority="529">
      <formula>B65=""</formula>
    </cfRule>
  </conditionalFormatting>
  <conditionalFormatting sqref="H66">
    <cfRule type="expression" dxfId="4391" priority="528">
      <formula>B66=""</formula>
    </cfRule>
  </conditionalFormatting>
  <conditionalFormatting sqref="H67">
    <cfRule type="expression" dxfId="4390" priority="527">
      <formula>B67=""</formula>
    </cfRule>
  </conditionalFormatting>
  <conditionalFormatting sqref="H68">
    <cfRule type="expression" dxfId="4389" priority="526">
      <formula>B68=""</formula>
    </cfRule>
  </conditionalFormatting>
  <conditionalFormatting sqref="H69">
    <cfRule type="expression" dxfId="4388" priority="525">
      <formula>B69=""</formula>
    </cfRule>
  </conditionalFormatting>
  <conditionalFormatting sqref="H70">
    <cfRule type="expression" dxfId="4387" priority="524">
      <formula>B70=""</formula>
    </cfRule>
  </conditionalFormatting>
  <conditionalFormatting sqref="H71">
    <cfRule type="expression" dxfId="4386" priority="523">
      <formula>B71=""</formula>
    </cfRule>
  </conditionalFormatting>
  <conditionalFormatting sqref="H72">
    <cfRule type="expression" dxfId="4385" priority="522">
      <formula>B72=""</formula>
    </cfRule>
  </conditionalFormatting>
  <conditionalFormatting sqref="C74:C94">
    <cfRule type="expression" dxfId="4384" priority="521">
      <formula>B74=""</formula>
    </cfRule>
  </conditionalFormatting>
  <conditionalFormatting sqref="C75 C77 C79 C81 C83 C85 C87 C89 C91 C93">
    <cfRule type="expression" dxfId="4383" priority="520">
      <formula>B75=""</formula>
    </cfRule>
  </conditionalFormatting>
  <conditionalFormatting sqref="C76:C86">
    <cfRule type="expression" dxfId="4382" priority="519">
      <formula>B76=""</formula>
    </cfRule>
  </conditionalFormatting>
  <conditionalFormatting sqref="C87">
    <cfRule type="expression" dxfId="4381" priority="518">
      <formula>B87=""</formula>
    </cfRule>
  </conditionalFormatting>
  <conditionalFormatting sqref="C88">
    <cfRule type="expression" dxfId="4380" priority="517">
      <formula>B88=""</formula>
    </cfRule>
  </conditionalFormatting>
  <conditionalFormatting sqref="C89">
    <cfRule type="expression" dxfId="4379" priority="516">
      <formula>B89=""</formula>
    </cfRule>
  </conditionalFormatting>
  <conditionalFormatting sqref="C90">
    <cfRule type="expression" dxfId="4378" priority="515">
      <formula>B90=""</formula>
    </cfRule>
  </conditionalFormatting>
  <conditionalFormatting sqref="C91">
    <cfRule type="expression" dxfId="4377" priority="514">
      <formula>B91=""</formula>
    </cfRule>
  </conditionalFormatting>
  <conditionalFormatting sqref="C92">
    <cfRule type="expression" dxfId="4376" priority="513">
      <formula>B92=""</formula>
    </cfRule>
  </conditionalFormatting>
  <conditionalFormatting sqref="C93">
    <cfRule type="expression" dxfId="4375" priority="512">
      <formula>B93=""</formula>
    </cfRule>
  </conditionalFormatting>
  <conditionalFormatting sqref="C94">
    <cfRule type="expression" dxfId="4374" priority="511">
      <formula>B94=""</formula>
    </cfRule>
  </conditionalFormatting>
  <conditionalFormatting sqref="D74 D76 D78 D80 D82 D84 D86 D88 D90 D92">
    <cfRule type="expression" dxfId="4373" priority="510">
      <formula>B74=""</formula>
    </cfRule>
  </conditionalFormatting>
  <conditionalFormatting sqref="D75 D77 D79 D81 D83 D85 D87 D89 D91 D93">
    <cfRule type="expression" dxfId="4372" priority="509">
      <formula>B75=""</formula>
    </cfRule>
  </conditionalFormatting>
  <conditionalFormatting sqref="D76:D86">
    <cfRule type="expression" dxfId="4371" priority="508">
      <formula>B76=""</formula>
    </cfRule>
  </conditionalFormatting>
  <conditionalFormatting sqref="D87">
    <cfRule type="expression" dxfId="4370" priority="507">
      <formula>B87=""</formula>
    </cfRule>
  </conditionalFormatting>
  <conditionalFormatting sqref="D88">
    <cfRule type="expression" dxfId="4369" priority="506">
      <formula>B88=""</formula>
    </cfRule>
  </conditionalFormatting>
  <conditionalFormatting sqref="D89">
    <cfRule type="expression" dxfId="4368" priority="505">
      <formula>B89=""</formula>
    </cfRule>
  </conditionalFormatting>
  <conditionalFormatting sqref="D90">
    <cfRule type="expression" dxfId="4367" priority="504">
      <formula>B90=""</formula>
    </cfRule>
  </conditionalFormatting>
  <conditionalFormatting sqref="D91">
    <cfRule type="expression" dxfId="4366" priority="503">
      <formula>B91=""</formula>
    </cfRule>
  </conditionalFormatting>
  <conditionalFormatting sqref="D92">
    <cfRule type="expression" dxfId="4365" priority="502">
      <formula>B92=""</formula>
    </cfRule>
  </conditionalFormatting>
  <conditionalFormatting sqref="D93">
    <cfRule type="expression" dxfId="4364" priority="501">
      <formula>B93=""</formula>
    </cfRule>
  </conditionalFormatting>
  <conditionalFormatting sqref="D94">
    <cfRule type="expression" dxfId="4363" priority="500">
      <formula>B94=""</formula>
    </cfRule>
  </conditionalFormatting>
  <conditionalFormatting sqref="E74 E76 E78 E80 E82 E84 E86 E88 E90 E92">
    <cfRule type="expression" dxfId="4362" priority="499">
      <formula>B74=""</formula>
    </cfRule>
  </conditionalFormatting>
  <conditionalFormatting sqref="E75 E77 E79 E81 E83 E85 E87 E89 E91 E93">
    <cfRule type="expression" dxfId="4361" priority="498">
      <formula>B75=""</formula>
    </cfRule>
  </conditionalFormatting>
  <conditionalFormatting sqref="E76:E86">
    <cfRule type="expression" dxfId="4360" priority="497">
      <formula>B76=""</formula>
    </cfRule>
  </conditionalFormatting>
  <conditionalFormatting sqref="E87">
    <cfRule type="expression" dxfId="4359" priority="496">
      <formula>B87=""</formula>
    </cfRule>
  </conditionalFormatting>
  <conditionalFormatting sqref="E88">
    <cfRule type="expression" dxfId="4358" priority="495">
      <formula>B88=""</formula>
    </cfRule>
  </conditionalFormatting>
  <conditionalFormatting sqref="E89">
    <cfRule type="expression" dxfId="4357" priority="494">
      <formula>B89=""</formula>
    </cfRule>
  </conditionalFormatting>
  <conditionalFormatting sqref="E90">
    <cfRule type="expression" dxfId="4356" priority="493">
      <formula>B90=""</formula>
    </cfRule>
  </conditionalFormatting>
  <conditionalFormatting sqref="E91">
    <cfRule type="expression" dxfId="4355" priority="492">
      <formula>B91=""</formula>
    </cfRule>
  </conditionalFormatting>
  <conditionalFormatting sqref="E92">
    <cfRule type="expression" dxfId="4354" priority="491">
      <formula>B92=""</formula>
    </cfRule>
  </conditionalFormatting>
  <conditionalFormatting sqref="E93">
    <cfRule type="expression" dxfId="4353" priority="490">
      <formula>B93=""</formula>
    </cfRule>
  </conditionalFormatting>
  <conditionalFormatting sqref="E94">
    <cfRule type="expression" dxfId="4352" priority="489">
      <formula>B94=""</formula>
    </cfRule>
  </conditionalFormatting>
  <conditionalFormatting sqref="F74 F76 F78 F80 F82 F84 F86 F88 F90 F92">
    <cfRule type="expression" dxfId="4351" priority="488">
      <formula>B74=""</formula>
    </cfRule>
  </conditionalFormatting>
  <conditionalFormatting sqref="F75 F77 F79 F81 F83 F85 F87 F89 F91 F93">
    <cfRule type="expression" dxfId="4350" priority="487">
      <formula>B75=""</formula>
    </cfRule>
  </conditionalFormatting>
  <conditionalFormatting sqref="F76:F86">
    <cfRule type="expression" dxfId="4349" priority="486">
      <formula>B76=""</formula>
    </cfRule>
  </conditionalFormatting>
  <conditionalFormatting sqref="F87">
    <cfRule type="expression" dxfId="4348" priority="485">
      <formula>B87=""</formula>
    </cfRule>
  </conditionalFormatting>
  <conditionalFormatting sqref="F88">
    <cfRule type="expression" dxfId="4347" priority="484">
      <formula>B88=""</formula>
    </cfRule>
  </conditionalFormatting>
  <conditionalFormatting sqref="F89">
    <cfRule type="expression" dxfId="4346" priority="483">
      <formula>B89=""</formula>
    </cfRule>
  </conditionalFormatting>
  <conditionalFormatting sqref="F90">
    <cfRule type="expression" dxfId="4345" priority="482">
      <formula>B90=""</formula>
    </cfRule>
  </conditionalFormatting>
  <conditionalFormatting sqref="F91">
    <cfRule type="expression" dxfId="4344" priority="481">
      <formula>B91=""</formula>
    </cfRule>
  </conditionalFormatting>
  <conditionalFormatting sqref="F92">
    <cfRule type="expression" dxfId="4343" priority="480">
      <formula>B92=""</formula>
    </cfRule>
  </conditionalFormatting>
  <conditionalFormatting sqref="F93">
    <cfRule type="expression" dxfId="4342" priority="479">
      <formula>B93=""</formula>
    </cfRule>
  </conditionalFormatting>
  <conditionalFormatting sqref="F94">
    <cfRule type="expression" dxfId="4341" priority="478">
      <formula>B94=""</formula>
    </cfRule>
  </conditionalFormatting>
  <conditionalFormatting sqref="E75 E77 E79 E81 E83 E85 E87 E89 E91 E93">
    <cfRule type="expression" dxfId="4340" priority="477">
      <formula>B75=""</formula>
    </cfRule>
  </conditionalFormatting>
  <conditionalFormatting sqref="E76:E86">
    <cfRule type="expression" dxfId="4339" priority="476">
      <formula>B76=""</formula>
    </cfRule>
  </conditionalFormatting>
  <conditionalFormatting sqref="E87">
    <cfRule type="expression" dxfId="4338" priority="475">
      <formula>B87=""</formula>
    </cfRule>
  </conditionalFormatting>
  <conditionalFormatting sqref="E88">
    <cfRule type="expression" dxfId="4337" priority="474">
      <formula>B88=""</formula>
    </cfRule>
  </conditionalFormatting>
  <conditionalFormatting sqref="E89">
    <cfRule type="expression" dxfId="4336" priority="473">
      <formula>B89=""</formula>
    </cfRule>
  </conditionalFormatting>
  <conditionalFormatting sqref="E90">
    <cfRule type="expression" dxfId="4335" priority="472">
      <formula>B90=""</formula>
    </cfRule>
  </conditionalFormatting>
  <conditionalFormatting sqref="E91">
    <cfRule type="expression" dxfId="4334" priority="471">
      <formula>B91=""</formula>
    </cfRule>
  </conditionalFormatting>
  <conditionalFormatting sqref="E92">
    <cfRule type="expression" dxfId="4333" priority="470">
      <formula>B92=""</formula>
    </cfRule>
  </conditionalFormatting>
  <conditionalFormatting sqref="E93">
    <cfRule type="expression" dxfId="4332" priority="469">
      <formula>B93=""</formula>
    </cfRule>
  </conditionalFormatting>
  <conditionalFormatting sqref="E94">
    <cfRule type="expression" dxfId="4331" priority="468">
      <formula>B94=""</formula>
    </cfRule>
  </conditionalFormatting>
  <conditionalFormatting sqref="G74 G76 G78 G80 G82 G84 G86 G88 G90 G92">
    <cfRule type="expression" dxfId="4330" priority="467">
      <formula>B74=""</formula>
    </cfRule>
  </conditionalFormatting>
  <conditionalFormatting sqref="G75 G77 G79 G81 G83 G85 G87 G89 G91 G93">
    <cfRule type="expression" dxfId="4329" priority="466">
      <formula>B75=""</formula>
    </cfRule>
  </conditionalFormatting>
  <conditionalFormatting sqref="G76:G86">
    <cfRule type="expression" dxfId="4328" priority="465">
      <formula>B76=""</formula>
    </cfRule>
  </conditionalFormatting>
  <conditionalFormatting sqref="G87">
    <cfRule type="expression" dxfId="4327" priority="464">
      <formula>B87=""</formula>
    </cfRule>
  </conditionalFormatting>
  <conditionalFormatting sqref="G88">
    <cfRule type="expression" dxfId="4326" priority="463">
      <formula>B88=""</formula>
    </cfRule>
  </conditionalFormatting>
  <conditionalFormatting sqref="G89">
    <cfRule type="expression" dxfId="4325" priority="462">
      <formula>B89=""</formula>
    </cfRule>
  </conditionalFormatting>
  <conditionalFormatting sqref="G90">
    <cfRule type="expression" dxfId="4324" priority="461">
      <formula>B90=""</formula>
    </cfRule>
  </conditionalFormatting>
  <conditionalFormatting sqref="G91">
    <cfRule type="expression" dxfId="4323" priority="460">
      <formula>B91=""</formula>
    </cfRule>
  </conditionalFormatting>
  <conditionalFormatting sqref="G92">
    <cfRule type="expression" dxfId="4322" priority="459">
      <formula>B92=""</formula>
    </cfRule>
  </conditionalFormatting>
  <conditionalFormatting sqref="G93">
    <cfRule type="expression" dxfId="4321" priority="458">
      <formula>B93=""</formula>
    </cfRule>
  </conditionalFormatting>
  <conditionalFormatting sqref="G94">
    <cfRule type="expression" dxfId="4320" priority="457">
      <formula>B94=""</formula>
    </cfRule>
  </conditionalFormatting>
  <conditionalFormatting sqref="H74 H76 H78 H80 H82 H84 H86 H88 H90 H92">
    <cfRule type="expression" dxfId="4319" priority="456">
      <formula>B74=""</formula>
    </cfRule>
  </conditionalFormatting>
  <conditionalFormatting sqref="H75 H77 H79 H81 H83 H85 H87 H89 H91 H93">
    <cfRule type="expression" dxfId="4318" priority="455">
      <formula>B75=""</formula>
    </cfRule>
  </conditionalFormatting>
  <conditionalFormatting sqref="H76:H86">
    <cfRule type="expression" dxfId="4317" priority="454">
      <formula>B76=""</formula>
    </cfRule>
  </conditionalFormatting>
  <conditionalFormatting sqref="H87">
    <cfRule type="expression" dxfId="4316" priority="453">
      <formula>B87=""</formula>
    </cfRule>
  </conditionalFormatting>
  <conditionalFormatting sqref="H88">
    <cfRule type="expression" dxfId="4315" priority="452">
      <formula>B88=""</formula>
    </cfRule>
  </conditionalFormatting>
  <conditionalFormatting sqref="H89">
    <cfRule type="expression" dxfId="4314" priority="451">
      <formula>B89=""</formula>
    </cfRule>
  </conditionalFormatting>
  <conditionalFormatting sqref="H90">
    <cfRule type="expression" dxfId="4313" priority="450">
      <formula>B90=""</formula>
    </cfRule>
  </conditionalFormatting>
  <conditionalFormatting sqref="H91">
    <cfRule type="expression" dxfId="4312" priority="449">
      <formula>B91=""</formula>
    </cfRule>
  </conditionalFormatting>
  <conditionalFormatting sqref="H92">
    <cfRule type="expression" dxfId="4311" priority="448">
      <formula>B92=""</formula>
    </cfRule>
  </conditionalFormatting>
  <conditionalFormatting sqref="H93">
    <cfRule type="expression" dxfId="4310" priority="447">
      <formula>B93=""</formula>
    </cfRule>
  </conditionalFormatting>
  <conditionalFormatting sqref="H94">
    <cfRule type="expression" dxfId="4309" priority="446">
      <formula>B94=""</formula>
    </cfRule>
  </conditionalFormatting>
  <conditionalFormatting sqref="C49">
    <cfRule type="expression" dxfId="4308" priority="445">
      <formula>B49=""</formula>
    </cfRule>
  </conditionalFormatting>
  <conditionalFormatting sqref="C71">
    <cfRule type="expression" dxfId="4307" priority="444">
      <formula>B71=""</formula>
    </cfRule>
  </conditionalFormatting>
  <conditionalFormatting sqref="C93">
    <cfRule type="expression" dxfId="4306" priority="443">
      <formula>B93=""</formula>
    </cfRule>
  </conditionalFormatting>
  <conditionalFormatting sqref="C8:C27">
    <cfRule type="expression" dxfId="4305" priority="442">
      <formula>B8=""</formula>
    </cfRule>
  </conditionalFormatting>
  <conditionalFormatting sqref="C9 C11 C13 C15 C17 C19 C21 C23 C25 C27">
    <cfRule type="expression" dxfId="4304" priority="441">
      <formula>B9=""</formula>
    </cfRule>
  </conditionalFormatting>
  <conditionalFormatting sqref="C10:C20">
    <cfRule type="expression" dxfId="4303" priority="440">
      <formula>B10=""</formula>
    </cfRule>
  </conditionalFormatting>
  <conditionalFormatting sqref="C21">
    <cfRule type="expression" dxfId="4302" priority="439">
      <formula>B21=""</formula>
    </cfRule>
  </conditionalFormatting>
  <conditionalFormatting sqref="C22">
    <cfRule type="expression" dxfId="4301" priority="438">
      <formula>B22=""</formula>
    </cfRule>
  </conditionalFormatting>
  <conditionalFormatting sqref="C23">
    <cfRule type="expression" dxfId="4300" priority="437">
      <formula>B23=""</formula>
    </cfRule>
  </conditionalFormatting>
  <conditionalFormatting sqref="C24">
    <cfRule type="expression" dxfId="4299" priority="436">
      <formula>B24=""</formula>
    </cfRule>
  </conditionalFormatting>
  <conditionalFormatting sqref="C25">
    <cfRule type="expression" dxfId="4298" priority="435">
      <formula>B25=""</formula>
    </cfRule>
  </conditionalFormatting>
  <conditionalFormatting sqref="C26">
    <cfRule type="expression" dxfId="4297" priority="434">
      <formula>B26=""</formula>
    </cfRule>
  </conditionalFormatting>
  <conditionalFormatting sqref="C27">
    <cfRule type="expression" dxfId="4296" priority="433">
      <formula>B27=""</formula>
    </cfRule>
  </conditionalFormatting>
  <conditionalFormatting sqref="C28">
    <cfRule type="expression" dxfId="4295" priority="432">
      <formula>B28=""</formula>
    </cfRule>
  </conditionalFormatting>
  <conditionalFormatting sqref="C30:C50">
    <cfRule type="expression" dxfId="4294" priority="431">
      <formula>B30=""</formula>
    </cfRule>
  </conditionalFormatting>
  <conditionalFormatting sqref="C31 C33 C35 C37 C39 C41 C43 C45 C47 C49">
    <cfRule type="expression" dxfId="4293" priority="430">
      <formula>B31=""</formula>
    </cfRule>
  </conditionalFormatting>
  <conditionalFormatting sqref="C32:C42">
    <cfRule type="expression" dxfId="4292" priority="429">
      <formula>B32=""</formula>
    </cfRule>
  </conditionalFormatting>
  <conditionalFormatting sqref="C43">
    <cfRule type="expression" dxfId="4291" priority="428">
      <formula>B43=""</formula>
    </cfRule>
  </conditionalFormatting>
  <conditionalFormatting sqref="C44">
    <cfRule type="expression" dxfId="4290" priority="427">
      <formula>B44=""</formula>
    </cfRule>
  </conditionalFormatting>
  <conditionalFormatting sqref="C45">
    <cfRule type="expression" dxfId="4289" priority="426">
      <formula>B45=""</formula>
    </cfRule>
  </conditionalFormatting>
  <conditionalFormatting sqref="C46">
    <cfRule type="expression" dxfId="4288" priority="425">
      <formula>B46=""</formula>
    </cfRule>
  </conditionalFormatting>
  <conditionalFormatting sqref="C47">
    <cfRule type="expression" dxfId="4287" priority="424">
      <formula>B47=""</formula>
    </cfRule>
  </conditionalFormatting>
  <conditionalFormatting sqref="C48">
    <cfRule type="expression" dxfId="4286" priority="423">
      <formula>B48=""</formula>
    </cfRule>
  </conditionalFormatting>
  <conditionalFormatting sqref="C49">
    <cfRule type="expression" dxfId="4285" priority="422">
      <formula>B49=""</formula>
    </cfRule>
  </conditionalFormatting>
  <conditionalFormatting sqref="C50">
    <cfRule type="expression" dxfId="4284" priority="421">
      <formula>B50=""</formula>
    </cfRule>
  </conditionalFormatting>
  <conditionalFormatting sqref="C52:C71">
    <cfRule type="expression" dxfId="4283" priority="420">
      <formula>B52=""</formula>
    </cfRule>
  </conditionalFormatting>
  <conditionalFormatting sqref="C53 C55 C57 C59 C61 C63 C65 C67 C69 C71">
    <cfRule type="expression" dxfId="4282" priority="419">
      <formula>B53=""</formula>
    </cfRule>
  </conditionalFormatting>
  <conditionalFormatting sqref="C54:C64">
    <cfRule type="expression" dxfId="4281" priority="418">
      <formula>B54=""</formula>
    </cfRule>
  </conditionalFormatting>
  <conditionalFormatting sqref="C65">
    <cfRule type="expression" dxfId="4280" priority="417">
      <formula>B65=""</formula>
    </cfRule>
  </conditionalFormatting>
  <conditionalFormatting sqref="C66">
    <cfRule type="expression" dxfId="4279" priority="416">
      <formula>B66=""</formula>
    </cfRule>
  </conditionalFormatting>
  <conditionalFormatting sqref="C67">
    <cfRule type="expression" dxfId="4278" priority="415">
      <formula>B67=""</formula>
    </cfRule>
  </conditionalFormatting>
  <conditionalFormatting sqref="C68">
    <cfRule type="expression" dxfId="4277" priority="414">
      <formula>B68=""</formula>
    </cfRule>
  </conditionalFormatting>
  <conditionalFormatting sqref="C69">
    <cfRule type="expression" dxfId="4276" priority="413">
      <formula>B69=""</formula>
    </cfRule>
  </conditionalFormatting>
  <conditionalFormatting sqref="C70">
    <cfRule type="expression" dxfId="4275" priority="412">
      <formula>B70=""</formula>
    </cfRule>
  </conditionalFormatting>
  <conditionalFormatting sqref="C71">
    <cfRule type="expression" dxfId="4274" priority="411">
      <formula>B71=""</formula>
    </cfRule>
  </conditionalFormatting>
  <conditionalFormatting sqref="C72">
    <cfRule type="expression" dxfId="4273" priority="410">
      <formula>B72=""</formula>
    </cfRule>
  </conditionalFormatting>
  <conditionalFormatting sqref="C74:C94">
    <cfRule type="expression" dxfId="4272" priority="409">
      <formula>B74=""</formula>
    </cfRule>
  </conditionalFormatting>
  <conditionalFormatting sqref="C75 C77 C79 C81 C83 C85 C87 C89 C91 C93">
    <cfRule type="expression" dxfId="4271" priority="408">
      <formula>B75=""</formula>
    </cfRule>
  </conditionalFormatting>
  <conditionalFormatting sqref="C76:C86">
    <cfRule type="expression" dxfId="4270" priority="407">
      <formula>B76=""</formula>
    </cfRule>
  </conditionalFormatting>
  <conditionalFormatting sqref="C87">
    <cfRule type="expression" dxfId="4269" priority="406">
      <formula>B87=""</formula>
    </cfRule>
  </conditionalFormatting>
  <conditionalFormatting sqref="C88">
    <cfRule type="expression" dxfId="4268" priority="405">
      <formula>B88=""</formula>
    </cfRule>
  </conditionalFormatting>
  <conditionalFormatting sqref="C89">
    <cfRule type="expression" dxfId="4267" priority="404">
      <formula>B89=""</formula>
    </cfRule>
  </conditionalFormatting>
  <conditionalFormatting sqref="C90">
    <cfRule type="expression" dxfId="4266" priority="403">
      <formula>B90=""</formula>
    </cfRule>
  </conditionalFormatting>
  <conditionalFormatting sqref="C91">
    <cfRule type="expression" dxfId="4265" priority="402">
      <formula>B91=""</formula>
    </cfRule>
  </conditionalFormatting>
  <conditionalFormatting sqref="C92">
    <cfRule type="expression" dxfId="4264" priority="401">
      <formula>B92=""</formula>
    </cfRule>
  </conditionalFormatting>
  <conditionalFormatting sqref="C93">
    <cfRule type="expression" dxfId="4263" priority="400">
      <formula>B93=""</formula>
    </cfRule>
  </conditionalFormatting>
  <conditionalFormatting sqref="C94">
    <cfRule type="expression" dxfId="4262" priority="399">
      <formula>B94=""</formula>
    </cfRule>
  </conditionalFormatting>
  <conditionalFormatting sqref="C8 C10 C12 C14 C16 C18 C20 C22 C24 C26">
    <cfRule type="expression" dxfId="4261" priority="398">
      <formula>B8=""</formula>
    </cfRule>
  </conditionalFormatting>
  <conditionalFormatting sqref="C9 C11 C13 C15 C17 C19 C21 C23 C25 C27">
    <cfRule type="expression" dxfId="4260" priority="397">
      <formula>B9=""</formula>
    </cfRule>
  </conditionalFormatting>
  <conditionalFormatting sqref="C10:C20">
    <cfRule type="expression" dxfId="4259" priority="396">
      <formula>B10=""</formula>
    </cfRule>
  </conditionalFormatting>
  <conditionalFormatting sqref="C21">
    <cfRule type="expression" dxfId="4258" priority="395">
      <formula>B21=""</formula>
    </cfRule>
  </conditionalFormatting>
  <conditionalFormatting sqref="C22">
    <cfRule type="expression" dxfId="4257" priority="394">
      <formula>B22=""</formula>
    </cfRule>
  </conditionalFormatting>
  <conditionalFormatting sqref="C23">
    <cfRule type="expression" dxfId="4256" priority="393">
      <formula>B23=""</formula>
    </cfRule>
  </conditionalFormatting>
  <conditionalFormatting sqref="C24">
    <cfRule type="expression" dxfId="4255" priority="392">
      <formula>B24=""</formula>
    </cfRule>
  </conditionalFormatting>
  <conditionalFormatting sqref="C25">
    <cfRule type="expression" dxfId="4254" priority="391">
      <formula>B25=""</formula>
    </cfRule>
  </conditionalFormatting>
  <conditionalFormatting sqref="C26">
    <cfRule type="expression" dxfId="4253" priority="390">
      <formula>B26=""</formula>
    </cfRule>
  </conditionalFormatting>
  <conditionalFormatting sqref="C27">
    <cfRule type="expression" dxfId="4252" priority="389">
      <formula>B27=""</formula>
    </cfRule>
  </conditionalFormatting>
  <conditionalFormatting sqref="D8 D10 D12 D14 D16 D18 D20 D22 D24 D26">
    <cfRule type="expression" dxfId="4251" priority="388">
      <formula>B8=""</formula>
    </cfRule>
  </conditionalFormatting>
  <conditionalFormatting sqref="D9 D11 D13 D15 D17 D19 D21 D23 D25 D27">
    <cfRule type="expression" dxfId="4250" priority="387">
      <formula>B9=""</formula>
    </cfRule>
  </conditionalFormatting>
  <conditionalFormatting sqref="D10:D20">
    <cfRule type="expression" dxfId="4249" priority="386">
      <formula>B10=""</formula>
    </cfRule>
  </conditionalFormatting>
  <conditionalFormatting sqref="D21">
    <cfRule type="expression" dxfId="4248" priority="385">
      <formula>B21=""</formula>
    </cfRule>
  </conditionalFormatting>
  <conditionalFormatting sqref="D22">
    <cfRule type="expression" dxfId="4247" priority="384">
      <formula>B22=""</formula>
    </cfRule>
  </conditionalFormatting>
  <conditionalFormatting sqref="D23">
    <cfRule type="expression" dxfId="4246" priority="383">
      <formula>B23=""</formula>
    </cfRule>
  </conditionalFormatting>
  <conditionalFormatting sqref="D24">
    <cfRule type="expression" dxfId="4245" priority="382">
      <formula>B24=""</formula>
    </cfRule>
  </conditionalFormatting>
  <conditionalFormatting sqref="D25">
    <cfRule type="expression" dxfId="4244" priority="381">
      <formula>B25=""</formula>
    </cfRule>
  </conditionalFormatting>
  <conditionalFormatting sqref="D26">
    <cfRule type="expression" dxfId="4243" priority="380">
      <formula>B26=""</formula>
    </cfRule>
  </conditionalFormatting>
  <conditionalFormatting sqref="D27">
    <cfRule type="expression" dxfId="4242" priority="379">
      <formula>B27=""</formula>
    </cfRule>
  </conditionalFormatting>
  <conditionalFormatting sqref="E8:E27">
    <cfRule type="expression" dxfId="4241" priority="378">
      <formula>B8=""</formula>
    </cfRule>
  </conditionalFormatting>
  <conditionalFormatting sqref="E9 E11 E13 E15 E17 E19 E21 E23 E25 E27">
    <cfRule type="expression" dxfId="4240" priority="377">
      <formula>B9=""</formula>
    </cfRule>
  </conditionalFormatting>
  <conditionalFormatting sqref="E10:E20">
    <cfRule type="expression" dxfId="4239" priority="376">
      <formula>B10=""</formula>
    </cfRule>
  </conditionalFormatting>
  <conditionalFormatting sqref="E21">
    <cfRule type="expression" dxfId="4238" priority="375">
      <formula>B21=""</formula>
    </cfRule>
  </conditionalFormatting>
  <conditionalFormatting sqref="E22">
    <cfRule type="expression" dxfId="4237" priority="374">
      <formula>B22=""</formula>
    </cfRule>
  </conditionalFormatting>
  <conditionalFormatting sqref="E23">
    <cfRule type="expression" dxfId="4236" priority="373">
      <formula>B23=""</formula>
    </cfRule>
  </conditionalFormatting>
  <conditionalFormatting sqref="E24">
    <cfRule type="expression" dxfId="4235" priority="372">
      <formula>B24=""</formula>
    </cfRule>
  </conditionalFormatting>
  <conditionalFormatting sqref="E25">
    <cfRule type="expression" dxfId="4234" priority="371">
      <formula>B25=""</formula>
    </cfRule>
  </conditionalFormatting>
  <conditionalFormatting sqref="E26">
    <cfRule type="expression" dxfId="4233" priority="370">
      <formula>B26=""</formula>
    </cfRule>
  </conditionalFormatting>
  <conditionalFormatting sqref="E27">
    <cfRule type="expression" dxfId="4232" priority="369">
      <formula>B27=""</formula>
    </cfRule>
  </conditionalFormatting>
  <conditionalFormatting sqref="F8:F27">
    <cfRule type="expression" dxfId="4231" priority="368">
      <formula>B8=""</formula>
    </cfRule>
  </conditionalFormatting>
  <conditionalFormatting sqref="F9 F11 F13 F15 F17 F19 F21 F23 F25 F27">
    <cfRule type="expression" dxfId="4230" priority="367">
      <formula>B9=""</formula>
    </cfRule>
  </conditionalFormatting>
  <conditionalFormatting sqref="F10:F20">
    <cfRule type="expression" dxfId="4229" priority="366">
      <formula>B10=""</formula>
    </cfRule>
  </conditionalFormatting>
  <conditionalFormatting sqref="F21">
    <cfRule type="expression" dxfId="4228" priority="365">
      <formula>B21=""</formula>
    </cfRule>
  </conditionalFormatting>
  <conditionalFormatting sqref="F22">
    <cfRule type="expression" dxfId="4227" priority="364">
      <formula>B22=""</formula>
    </cfRule>
  </conditionalFormatting>
  <conditionalFormatting sqref="F23">
    <cfRule type="expression" dxfId="4226" priority="363">
      <formula>B23=""</formula>
    </cfRule>
  </conditionalFormatting>
  <conditionalFormatting sqref="F24">
    <cfRule type="expression" dxfId="4225" priority="362">
      <formula>B24=""</formula>
    </cfRule>
  </conditionalFormatting>
  <conditionalFormatting sqref="F25">
    <cfRule type="expression" dxfId="4224" priority="361">
      <formula>B25=""</formula>
    </cfRule>
  </conditionalFormatting>
  <conditionalFormatting sqref="F26">
    <cfRule type="expression" dxfId="4223" priority="360">
      <formula>B26=""</formula>
    </cfRule>
  </conditionalFormatting>
  <conditionalFormatting sqref="F27">
    <cfRule type="expression" dxfId="4222" priority="359">
      <formula>B27=""</formula>
    </cfRule>
  </conditionalFormatting>
  <conditionalFormatting sqref="E9 E11 E13 E15 E17 E19 E21 E23 E25 E27">
    <cfRule type="expression" dxfId="4221" priority="358">
      <formula>B9=""</formula>
    </cfRule>
  </conditionalFormatting>
  <conditionalFormatting sqref="E10:E20">
    <cfRule type="expression" dxfId="4220" priority="357">
      <formula>B10=""</formula>
    </cfRule>
  </conditionalFormatting>
  <conditionalFormatting sqref="E21">
    <cfRule type="expression" dxfId="4219" priority="356">
      <formula>B21=""</formula>
    </cfRule>
  </conditionalFormatting>
  <conditionalFormatting sqref="E22">
    <cfRule type="expression" dxfId="4218" priority="355">
      <formula>B22=""</formula>
    </cfRule>
  </conditionalFormatting>
  <conditionalFormatting sqref="E23">
    <cfRule type="expression" dxfId="4217" priority="354">
      <formula>B23=""</formula>
    </cfRule>
  </conditionalFormatting>
  <conditionalFormatting sqref="E24">
    <cfRule type="expression" dxfId="4216" priority="353">
      <formula>B24=""</formula>
    </cfRule>
  </conditionalFormatting>
  <conditionalFormatting sqref="E25">
    <cfRule type="expression" dxfId="4215" priority="352">
      <formula>B25=""</formula>
    </cfRule>
  </conditionalFormatting>
  <conditionalFormatting sqref="E26">
    <cfRule type="expression" dxfId="4214" priority="351">
      <formula>B26=""</formula>
    </cfRule>
  </conditionalFormatting>
  <conditionalFormatting sqref="E27">
    <cfRule type="expression" dxfId="4213" priority="350">
      <formula>B27=""</formula>
    </cfRule>
  </conditionalFormatting>
  <conditionalFormatting sqref="G8:G27">
    <cfRule type="expression" dxfId="4212" priority="349">
      <formula>B8=""</formula>
    </cfRule>
  </conditionalFormatting>
  <conditionalFormatting sqref="G9 G11 G13 G15 G17 G19 G21 G23 G25 G27">
    <cfRule type="expression" dxfId="4211" priority="348">
      <formula>B9=""</formula>
    </cfRule>
  </conditionalFormatting>
  <conditionalFormatting sqref="G10:G20">
    <cfRule type="expression" dxfId="4210" priority="347">
      <formula>B10=""</formula>
    </cfRule>
  </conditionalFormatting>
  <conditionalFormatting sqref="G21">
    <cfRule type="expression" dxfId="4209" priority="346">
      <formula>B21=""</formula>
    </cfRule>
  </conditionalFormatting>
  <conditionalFormatting sqref="G22">
    <cfRule type="expression" dxfId="4208" priority="345">
      <formula>B22=""</formula>
    </cfRule>
  </conditionalFormatting>
  <conditionalFormatting sqref="G23">
    <cfRule type="expression" dxfId="4207" priority="344">
      <formula>B23=""</formula>
    </cfRule>
  </conditionalFormatting>
  <conditionalFormatting sqref="G24">
    <cfRule type="expression" dxfId="4206" priority="343">
      <formula>B24=""</formula>
    </cfRule>
  </conditionalFormatting>
  <conditionalFormatting sqref="G25">
    <cfRule type="expression" dxfId="4205" priority="342">
      <formula>B25=""</formula>
    </cfRule>
  </conditionalFormatting>
  <conditionalFormatting sqref="G26">
    <cfRule type="expression" dxfId="4204" priority="341">
      <formula>B26=""</formula>
    </cfRule>
  </conditionalFormatting>
  <conditionalFormatting sqref="G27">
    <cfRule type="expression" dxfId="4203" priority="340">
      <formula>B27=""</formula>
    </cfRule>
  </conditionalFormatting>
  <conditionalFormatting sqref="H8 H10 H12 H14 H16 H18 H20 H22 H24 H26">
    <cfRule type="expression" dxfId="4202" priority="339">
      <formula>B8=""</formula>
    </cfRule>
  </conditionalFormatting>
  <conditionalFormatting sqref="H9 H11 H13 H15 H17 H19 H21 H23 H25 H27">
    <cfRule type="expression" dxfId="4201" priority="338">
      <formula>B9=""</formula>
    </cfRule>
  </conditionalFormatting>
  <conditionalFormatting sqref="H10:H20">
    <cfRule type="expression" dxfId="4200" priority="337">
      <formula>B10=""</formula>
    </cfRule>
  </conditionalFormatting>
  <conditionalFormatting sqref="H21">
    <cfRule type="expression" dxfId="4199" priority="336">
      <formula>B21=""</formula>
    </cfRule>
  </conditionalFormatting>
  <conditionalFormatting sqref="H22">
    <cfRule type="expression" dxfId="4198" priority="335">
      <formula>B22=""</formula>
    </cfRule>
  </conditionalFormatting>
  <conditionalFormatting sqref="H23">
    <cfRule type="expression" dxfId="4197" priority="334">
      <formula>B23=""</formula>
    </cfRule>
  </conditionalFormatting>
  <conditionalFormatting sqref="H24">
    <cfRule type="expression" dxfId="4196" priority="333">
      <formula>B24=""</formula>
    </cfRule>
  </conditionalFormatting>
  <conditionalFormatting sqref="H25">
    <cfRule type="expression" dxfId="4195" priority="332">
      <formula>B25=""</formula>
    </cfRule>
  </conditionalFormatting>
  <conditionalFormatting sqref="H26">
    <cfRule type="expression" dxfId="4194" priority="331">
      <formula>B26=""</formula>
    </cfRule>
  </conditionalFormatting>
  <conditionalFormatting sqref="H27">
    <cfRule type="expression" dxfId="4193" priority="330">
      <formula>B27=""</formula>
    </cfRule>
  </conditionalFormatting>
  <conditionalFormatting sqref="F8 F10 F12 F14 F16 F18 F20 F22 F24 F26">
    <cfRule type="expression" dxfId="4192" priority="329">
      <formula>B8=""</formula>
    </cfRule>
  </conditionalFormatting>
  <conditionalFormatting sqref="F9 F11 F13 F15 F17 F19 F21 F23 F25 F27">
    <cfRule type="expression" dxfId="4191" priority="328">
      <formula>B9=""</formula>
    </cfRule>
  </conditionalFormatting>
  <conditionalFormatting sqref="F10:F20">
    <cfRule type="expression" dxfId="4190" priority="327">
      <formula>B10=""</formula>
    </cfRule>
  </conditionalFormatting>
  <conditionalFormatting sqref="F21">
    <cfRule type="expression" dxfId="4189" priority="326">
      <formula>B21=""</formula>
    </cfRule>
  </conditionalFormatting>
  <conditionalFormatting sqref="F22">
    <cfRule type="expression" dxfId="4188" priority="325">
      <formula>B22=""</formula>
    </cfRule>
  </conditionalFormatting>
  <conditionalFormatting sqref="F23">
    <cfRule type="expression" dxfId="4187" priority="324">
      <formula>B23=""</formula>
    </cfRule>
  </conditionalFormatting>
  <conditionalFormatting sqref="F24">
    <cfRule type="expression" dxfId="4186" priority="323">
      <formula>B24=""</formula>
    </cfRule>
  </conditionalFormatting>
  <conditionalFormatting sqref="F25">
    <cfRule type="expression" dxfId="4185" priority="322">
      <formula>B25=""</formula>
    </cfRule>
  </conditionalFormatting>
  <conditionalFormatting sqref="F26">
    <cfRule type="expression" dxfId="4184" priority="321">
      <formula>B26=""</formula>
    </cfRule>
  </conditionalFormatting>
  <conditionalFormatting sqref="F27">
    <cfRule type="expression" dxfId="4183" priority="320">
      <formula>B27=""</formula>
    </cfRule>
  </conditionalFormatting>
  <conditionalFormatting sqref="C30:C49">
    <cfRule type="expression" dxfId="4182" priority="319">
      <formula>B30=""</formula>
    </cfRule>
  </conditionalFormatting>
  <conditionalFormatting sqref="C31 C33 C35 C37 C39 C41 C43 C45 C47 C49">
    <cfRule type="expression" dxfId="4181" priority="318">
      <formula>B31=""</formula>
    </cfRule>
  </conditionalFormatting>
  <conditionalFormatting sqref="C32:C42">
    <cfRule type="expression" dxfId="4180" priority="317">
      <formula>B32=""</formula>
    </cfRule>
  </conditionalFormatting>
  <conditionalFormatting sqref="C43">
    <cfRule type="expression" dxfId="4179" priority="316">
      <formula>B43=""</formula>
    </cfRule>
  </conditionalFormatting>
  <conditionalFormatting sqref="C44">
    <cfRule type="expression" dxfId="4178" priority="315">
      <formula>B44=""</formula>
    </cfRule>
  </conditionalFormatting>
  <conditionalFormatting sqref="C45">
    <cfRule type="expression" dxfId="4177" priority="314">
      <formula>B45=""</formula>
    </cfRule>
  </conditionalFormatting>
  <conditionalFormatting sqref="C46">
    <cfRule type="expression" dxfId="4176" priority="313">
      <formula>B46=""</formula>
    </cfRule>
  </conditionalFormatting>
  <conditionalFormatting sqref="C47">
    <cfRule type="expression" dxfId="4175" priority="312">
      <formula>B47=""</formula>
    </cfRule>
  </conditionalFormatting>
  <conditionalFormatting sqref="C48">
    <cfRule type="expression" dxfId="4174" priority="311">
      <formula>B48=""</formula>
    </cfRule>
  </conditionalFormatting>
  <conditionalFormatting sqref="C49">
    <cfRule type="expression" dxfId="4173" priority="310">
      <formula>B49=""</formula>
    </cfRule>
  </conditionalFormatting>
  <conditionalFormatting sqref="D30 D32 D34 D36 D38 D40 D42 D44 D46 D48">
    <cfRule type="expression" dxfId="4172" priority="309">
      <formula>B30=""</formula>
    </cfRule>
  </conditionalFormatting>
  <conditionalFormatting sqref="D31 D33 D35 D37 D39 D41 D43 D45 D47 D49">
    <cfRule type="expression" dxfId="4171" priority="308">
      <formula>B31=""</formula>
    </cfRule>
  </conditionalFormatting>
  <conditionalFormatting sqref="D32:D42">
    <cfRule type="expression" dxfId="4170" priority="307">
      <formula>B32=""</formula>
    </cfRule>
  </conditionalFormatting>
  <conditionalFormatting sqref="D43">
    <cfRule type="expression" dxfId="4169" priority="306">
      <formula>B43=""</formula>
    </cfRule>
  </conditionalFormatting>
  <conditionalFormatting sqref="D44">
    <cfRule type="expression" dxfId="4168" priority="305">
      <formula>B44=""</formula>
    </cfRule>
  </conditionalFormatting>
  <conditionalFormatting sqref="D45">
    <cfRule type="expression" dxfId="4167" priority="304">
      <formula>B45=""</formula>
    </cfRule>
  </conditionalFormatting>
  <conditionalFormatting sqref="D46">
    <cfRule type="expression" dxfId="4166" priority="303">
      <formula>B46=""</formula>
    </cfRule>
  </conditionalFormatting>
  <conditionalFormatting sqref="D47">
    <cfRule type="expression" dxfId="4165" priority="302">
      <formula>B47=""</formula>
    </cfRule>
  </conditionalFormatting>
  <conditionalFormatting sqref="D48">
    <cfRule type="expression" dxfId="4164" priority="301">
      <formula>B48=""</formula>
    </cfRule>
  </conditionalFormatting>
  <conditionalFormatting sqref="D49">
    <cfRule type="expression" dxfId="4163" priority="300">
      <formula>B49=""</formula>
    </cfRule>
  </conditionalFormatting>
  <conditionalFormatting sqref="E30 E32 E34 E36 E38 E40 E42 E44 E46 E48">
    <cfRule type="expression" dxfId="4162" priority="299">
      <formula>B30=""</formula>
    </cfRule>
  </conditionalFormatting>
  <conditionalFormatting sqref="E31 E33 E35 E37 E39 E41 E43 E45 E47 E49">
    <cfRule type="expression" dxfId="4161" priority="298">
      <formula>B31=""</formula>
    </cfRule>
  </conditionalFormatting>
  <conditionalFormatting sqref="E32:E42">
    <cfRule type="expression" dxfId="4160" priority="297">
      <formula>B32=""</formula>
    </cfRule>
  </conditionalFormatting>
  <conditionalFormatting sqref="E43">
    <cfRule type="expression" dxfId="4159" priority="296">
      <formula>B43=""</formula>
    </cfRule>
  </conditionalFormatting>
  <conditionalFormatting sqref="E44">
    <cfRule type="expression" dxfId="4158" priority="295">
      <formula>B44=""</formula>
    </cfRule>
  </conditionalFormatting>
  <conditionalFormatting sqref="E45">
    <cfRule type="expression" dxfId="4157" priority="294">
      <formula>B45=""</formula>
    </cfRule>
  </conditionalFormatting>
  <conditionalFormatting sqref="E46">
    <cfRule type="expression" dxfId="4156" priority="293">
      <formula>B46=""</formula>
    </cfRule>
  </conditionalFormatting>
  <conditionalFormatting sqref="E47">
    <cfRule type="expression" dxfId="4155" priority="292">
      <formula>B47=""</formula>
    </cfRule>
  </conditionalFormatting>
  <conditionalFormatting sqref="E48">
    <cfRule type="expression" dxfId="4154" priority="291">
      <formula>B48=""</formula>
    </cfRule>
  </conditionalFormatting>
  <conditionalFormatting sqref="E49">
    <cfRule type="expression" dxfId="4153" priority="290">
      <formula>B49=""</formula>
    </cfRule>
  </conditionalFormatting>
  <conditionalFormatting sqref="F30 F32 F34 F36 F38 F40 F42 F44 F46 F48">
    <cfRule type="expression" dxfId="4152" priority="289">
      <formula>B30=""</formula>
    </cfRule>
  </conditionalFormatting>
  <conditionalFormatting sqref="F31 F33 F35 F37 F39 F41 F43 F45 F47 F49">
    <cfRule type="expression" dxfId="4151" priority="288">
      <formula>B31=""</formula>
    </cfRule>
  </conditionalFormatting>
  <conditionalFormatting sqref="F32:F42">
    <cfRule type="expression" dxfId="4150" priority="287">
      <formula>B32=""</formula>
    </cfRule>
  </conditionalFormatting>
  <conditionalFormatting sqref="F43">
    <cfRule type="expression" dxfId="4149" priority="286">
      <formula>B43=""</formula>
    </cfRule>
  </conditionalFormatting>
  <conditionalFormatting sqref="F44">
    <cfRule type="expression" dxfId="4148" priority="285">
      <formula>B44=""</formula>
    </cfRule>
  </conditionalFormatting>
  <conditionalFormatting sqref="F45">
    <cfRule type="expression" dxfId="4147" priority="284">
      <formula>B45=""</formula>
    </cfRule>
  </conditionalFormatting>
  <conditionalFormatting sqref="F46">
    <cfRule type="expression" dxfId="4146" priority="283">
      <formula>B46=""</formula>
    </cfRule>
  </conditionalFormatting>
  <conditionalFormatting sqref="F47">
    <cfRule type="expression" dxfId="4145" priority="282">
      <formula>B47=""</formula>
    </cfRule>
  </conditionalFormatting>
  <conditionalFormatting sqref="F48">
    <cfRule type="expression" dxfId="4144" priority="281">
      <formula>B48=""</formula>
    </cfRule>
  </conditionalFormatting>
  <conditionalFormatting sqref="F49">
    <cfRule type="expression" dxfId="4143" priority="280">
      <formula>B49=""</formula>
    </cfRule>
  </conditionalFormatting>
  <conditionalFormatting sqref="E31 E33 E35 E37 E39 E41 E43 E45 E47 E49">
    <cfRule type="expression" dxfId="4142" priority="279">
      <formula>B31=""</formula>
    </cfRule>
  </conditionalFormatting>
  <conditionalFormatting sqref="E32:E42">
    <cfRule type="expression" dxfId="4141" priority="278">
      <formula>B32=""</formula>
    </cfRule>
  </conditionalFormatting>
  <conditionalFormatting sqref="E43">
    <cfRule type="expression" dxfId="4140" priority="277">
      <formula>B43=""</formula>
    </cfRule>
  </conditionalFormatting>
  <conditionalFormatting sqref="E44">
    <cfRule type="expression" dxfId="4139" priority="276">
      <formula>B44=""</formula>
    </cfRule>
  </conditionalFormatting>
  <conditionalFormatting sqref="E45">
    <cfRule type="expression" dxfId="4138" priority="275">
      <formula>B45=""</formula>
    </cfRule>
  </conditionalFormatting>
  <conditionalFormatting sqref="E46">
    <cfRule type="expression" dxfId="4137" priority="274">
      <formula>B46=""</formula>
    </cfRule>
  </conditionalFormatting>
  <conditionalFormatting sqref="E47">
    <cfRule type="expression" dxfId="4136" priority="273">
      <formula>B47=""</formula>
    </cfRule>
  </conditionalFormatting>
  <conditionalFormatting sqref="E48">
    <cfRule type="expression" dxfId="4135" priority="272">
      <formula>B48=""</formula>
    </cfRule>
  </conditionalFormatting>
  <conditionalFormatting sqref="E49">
    <cfRule type="expression" dxfId="4134" priority="271">
      <formula>B49=""</formula>
    </cfRule>
  </conditionalFormatting>
  <conditionalFormatting sqref="G30 G32 G34 G36 G38 G40 G42 G44 G46 G48">
    <cfRule type="expression" dxfId="4133" priority="270">
      <formula>B30=""</formula>
    </cfRule>
  </conditionalFormatting>
  <conditionalFormatting sqref="G31 G33 G35 G37 G39 G41 G43 G45 G47 G49">
    <cfRule type="expression" dxfId="4132" priority="269">
      <formula>B31=""</formula>
    </cfRule>
  </conditionalFormatting>
  <conditionalFormatting sqref="G32:G42">
    <cfRule type="expression" dxfId="4131" priority="268">
      <formula>B32=""</formula>
    </cfRule>
  </conditionalFormatting>
  <conditionalFormatting sqref="G43">
    <cfRule type="expression" dxfId="4130" priority="267">
      <formula>B43=""</formula>
    </cfRule>
  </conditionalFormatting>
  <conditionalFormatting sqref="G44">
    <cfRule type="expression" dxfId="4129" priority="266">
      <formula>B44=""</formula>
    </cfRule>
  </conditionalFormatting>
  <conditionalFormatting sqref="G45">
    <cfRule type="expression" dxfId="4128" priority="265">
      <formula>B45=""</formula>
    </cfRule>
  </conditionalFormatting>
  <conditionalFormatting sqref="G46">
    <cfRule type="expression" dxfId="4127" priority="264">
      <formula>B46=""</formula>
    </cfRule>
  </conditionalFormatting>
  <conditionalFormatting sqref="G47">
    <cfRule type="expression" dxfId="4126" priority="263">
      <formula>B47=""</formula>
    </cfRule>
  </conditionalFormatting>
  <conditionalFormatting sqref="G48">
    <cfRule type="expression" dxfId="4125" priority="262">
      <formula>B48=""</formula>
    </cfRule>
  </conditionalFormatting>
  <conditionalFormatting sqref="G49">
    <cfRule type="expression" dxfId="4124" priority="261">
      <formula>B49=""</formula>
    </cfRule>
  </conditionalFormatting>
  <conditionalFormatting sqref="H30 H32 H34 H36 H38 H40 H42 H44 H46 H48">
    <cfRule type="expression" dxfId="4123" priority="260">
      <formula>B30=""</formula>
    </cfRule>
  </conditionalFormatting>
  <conditionalFormatting sqref="H31 H33 H35 H37 H39 H41 H43 H45 H47 H49">
    <cfRule type="expression" dxfId="4122" priority="259">
      <formula>B31=""</formula>
    </cfRule>
  </conditionalFormatting>
  <conditionalFormatting sqref="H32:H42">
    <cfRule type="expression" dxfId="4121" priority="258">
      <formula>B32=""</formula>
    </cfRule>
  </conditionalFormatting>
  <conditionalFormatting sqref="H43">
    <cfRule type="expression" dxfId="4120" priority="257">
      <formula>B43=""</formula>
    </cfRule>
  </conditionalFormatting>
  <conditionalFormatting sqref="H44">
    <cfRule type="expression" dxfId="4119" priority="256">
      <formula>B44=""</formula>
    </cfRule>
  </conditionalFormatting>
  <conditionalFormatting sqref="H45">
    <cfRule type="expression" dxfId="4118" priority="255">
      <formula>B45=""</formula>
    </cfRule>
  </conditionalFormatting>
  <conditionalFormatting sqref="H46">
    <cfRule type="expression" dxfId="4117" priority="254">
      <formula>B46=""</formula>
    </cfRule>
  </conditionalFormatting>
  <conditionalFormatting sqref="H47">
    <cfRule type="expression" dxfId="4116" priority="253">
      <formula>B47=""</formula>
    </cfRule>
  </conditionalFormatting>
  <conditionalFormatting sqref="H48">
    <cfRule type="expression" dxfId="4115" priority="252">
      <formula>B48=""</formula>
    </cfRule>
  </conditionalFormatting>
  <conditionalFormatting sqref="H49">
    <cfRule type="expression" dxfId="4114" priority="251">
      <formula>B49=""</formula>
    </cfRule>
  </conditionalFormatting>
  <conditionalFormatting sqref="C30:C49">
    <cfRule type="expression" dxfId="4113" priority="250">
      <formula>B30=""</formula>
    </cfRule>
  </conditionalFormatting>
  <conditionalFormatting sqref="C31 C33 C35 C37 C39 C41 C43 C45 C47 C49">
    <cfRule type="expression" dxfId="4112" priority="249">
      <formula>B31=""</formula>
    </cfRule>
  </conditionalFormatting>
  <conditionalFormatting sqref="C32:C42">
    <cfRule type="expression" dxfId="4111" priority="248">
      <formula>B32=""</formula>
    </cfRule>
  </conditionalFormatting>
  <conditionalFormatting sqref="C43">
    <cfRule type="expression" dxfId="4110" priority="247">
      <formula>B43=""</formula>
    </cfRule>
  </conditionalFormatting>
  <conditionalFormatting sqref="C44">
    <cfRule type="expression" dxfId="4109" priority="246">
      <formula>B44=""</formula>
    </cfRule>
  </conditionalFormatting>
  <conditionalFormatting sqref="C45">
    <cfRule type="expression" dxfId="4108" priority="245">
      <formula>B45=""</formula>
    </cfRule>
  </conditionalFormatting>
  <conditionalFormatting sqref="C46">
    <cfRule type="expression" dxfId="4107" priority="244">
      <formula>B46=""</formula>
    </cfRule>
  </conditionalFormatting>
  <conditionalFormatting sqref="C47">
    <cfRule type="expression" dxfId="4106" priority="243">
      <formula>B47=""</formula>
    </cfRule>
  </conditionalFormatting>
  <conditionalFormatting sqref="C48">
    <cfRule type="expression" dxfId="4105" priority="242">
      <formula>B48=""</formula>
    </cfRule>
  </conditionalFormatting>
  <conditionalFormatting sqref="C49">
    <cfRule type="expression" dxfId="4104" priority="241">
      <formula>B49=""</formula>
    </cfRule>
  </conditionalFormatting>
  <conditionalFormatting sqref="C30 C32 C34 C36 C38 C40 C42 C44 C46 C48">
    <cfRule type="expression" dxfId="4103" priority="240">
      <formula>B30=""</formula>
    </cfRule>
  </conditionalFormatting>
  <conditionalFormatting sqref="C31 C33 C35 C37 C39 C41 C43 C45 C47 C49">
    <cfRule type="expression" dxfId="4102" priority="239">
      <formula>B31=""</formula>
    </cfRule>
  </conditionalFormatting>
  <conditionalFormatting sqref="C32:C42">
    <cfRule type="expression" dxfId="4101" priority="238">
      <formula>B32=""</formula>
    </cfRule>
  </conditionalFormatting>
  <conditionalFormatting sqref="C43">
    <cfRule type="expression" dxfId="4100" priority="237">
      <formula>B43=""</formula>
    </cfRule>
  </conditionalFormatting>
  <conditionalFormatting sqref="C44">
    <cfRule type="expression" dxfId="4099" priority="236">
      <formula>B44=""</formula>
    </cfRule>
  </conditionalFormatting>
  <conditionalFormatting sqref="C45">
    <cfRule type="expression" dxfId="4098" priority="235">
      <formula>B45=""</formula>
    </cfRule>
  </conditionalFormatting>
  <conditionalFormatting sqref="C46">
    <cfRule type="expression" dxfId="4097" priority="234">
      <formula>B46=""</formula>
    </cfRule>
  </conditionalFormatting>
  <conditionalFormatting sqref="C47">
    <cfRule type="expression" dxfId="4096" priority="233">
      <formula>B47=""</formula>
    </cfRule>
  </conditionalFormatting>
  <conditionalFormatting sqref="C48">
    <cfRule type="expression" dxfId="4095" priority="232">
      <formula>B48=""</formula>
    </cfRule>
  </conditionalFormatting>
  <conditionalFormatting sqref="C49">
    <cfRule type="expression" dxfId="4094" priority="231">
      <formula>B49=""</formula>
    </cfRule>
  </conditionalFormatting>
  <conditionalFormatting sqref="D30 D32 D34 D36 D38 D40 D42 D44 D46 D48">
    <cfRule type="expression" dxfId="4093" priority="230">
      <formula>B30=""</formula>
    </cfRule>
  </conditionalFormatting>
  <conditionalFormatting sqref="D31 D33 D35 D37 D39 D41 D43 D45 D47 D49">
    <cfRule type="expression" dxfId="4092" priority="229">
      <formula>B31=""</formula>
    </cfRule>
  </conditionalFormatting>
  <conditionalFormatting sqref="D32:D42">
    <cfRule type="expression" dxfId="4091" priority="228">
      <formula>B32=""</formula>
    </cfRule>
  </conditionalFormatting>
  <conditionalFormatting sqref="D43">
    <cfRule type="expression" dxfId="4090" priority="227">
      <formula>B43=""</formula>
    </cfRule>
  </conditionalFormatting>
  <conditionalFormatting sqref="D44">
    <cfRule type="expression" dxfId="4089" priority="226">
      <formula>B44=""</formula>
    </cfRule>
  </conditionalFormatting>
  <conditionalFormatting sqref="D45">
    <cfRule type="expression" dxfId="4088" priority="225">
      <formula>B45=""</formula>
    </cfRule>
  </conditionalFormatting>
  <conditionalFormatting sqref="D46">
    <cfRule type="expression" dxfId="4087" priority="224">
      <formula>B46=""</formula>
    </cfRule>
  </conditionalFormatting>
  <conditionalFormatting sqref="D47">
    <cfRule type="expression" dxfId="4086" priority="223">
      <formula>B47=""</formula>
    </cfRule>
  </conditionalFormatting>
  <conditionalFormatting sqref="D48">
    <cfRule type="expression" dxfId="4085" priority="222">
      <formula>B48=""</formula>
    </cfRule>
  </conditionalFormatting>
  <conditionalFormatting sqref="D49">
    <cfRule type="expression" dxfId="4084" priority="221">
      <formula>B49=""</formula>
    </cfRule>
  </conditionalFormatting>
  <conditionalFormatting sqref="E30:E49">
    <cfRule type="expression" dxfId="4083" priority="220">
      <formula>B30=""</formula>
    </cfRule>
  </conditionalFormatting>
  <conditionalFormatting sqref="E31 E33 E35 E37 E39 E41 E43 E45 E47 E49">
    <cfRule type="expression" dxfId="4082" priority="219">
      <formula>B31=""</formula>
    </cfRule>
  </conditionalFormatting>
  <conditionalFormatting sqref="E32:E42">
    <cfRule type="expression" dxfId="4081" priority="218">
      <formula>B32=""</formula>
    </cfRule>
  </conditionalFormatting>
  <conditionalFormatting sqref="E43">
    <cfRule type="expression" dxfId="4080" priority="217">
      <formula>B43=""</formula>
    </cfRule>
  </conditionalFormatting>
  <conditionalFormatting sqref="E44">
    <cfRule type="expression" dxfId="4079" priority="216">
      <formula>B44=""</formula>
    </cfRule>
  </conditionalFormatting>
  <conditionalFormatting sqref="E45">
    <cfRule type="expression" dxfId="4078" priority="215">
      <formula>B45=""</formula>
    </cfRule>
  </conditionalFormatting>
  <conditionalFormatting sqref="E46">
    <cfRule type="expression" dxfId="4077" priority="214">
      <formula>B46=""</formula>
    </cfRule>
  </conditionalFormatting>
  <conditionalFormatting sqref="E47">
    <cfRule type="expression" dxfId="4076" priority="213">
      <formula>B47=""</formula>
    </cfRule>
  </conditionalFormatting>
  <conditionalFormatting sqref="E48">
    <cfRule type="expression" dxfId="4075" priority="212">
      <formula>B48=""</formula>
    </cfRule>
  </conditionalFormatting>
  <conditionalFormatting sqref="E49">
    <cfRule type="expression" dxfId="4074" priority="211">
      <formula>B49=""</formula>
    </cfRule>
  </conditionalFormatting>
  <conditionalFormatting sqref="F30:F49">
    <cfRule type="expression" dxfId="4073" priority="210">
      <formula>B30=""</formula>
    </cfRule>
  </conditionalFormatting>
  <conditionalFormatting sqref="F31 F33 F35 F37 F39 F41 F43 F45 F47 F49">
    <cfRule type="expression" dxfId="4072" priority="209">
      <formula>B31=""</formula>
    </cfRule>
  </conditionalFormatting>
  <conditionalFormatting sqref="F32:F42">
    <cfRule type="expression" dxfId="4071" priority="208">
      <formula>B32=""</formula>
    </cfRule>
  </conditionalFormatting>
  <conditionalFormatting sqref="F43">
    <cfRule type="expression" dxfId="4070" priority="207">
      <formula>B43=""</formula>
    </cfRule>
  </conditionalFormatting>
  <conditionalFormatting sqref="F44">
    <cfRule type="expression" dxfId="4069" priority="206">
      <formula>B44=""</formula>
    </cfRule>
  </conditionalFormatting>
  <conditionalFormatting sqref="F45">
    <cfRule type="expression" dxfId="4068" priority="205">
      <formula>B45=""</formula>
    </cfRule>
  </conditionalFormatting>
  <conditionalFormatting sqref="F46">
    <cfRule type="expression" dxfId="4067" priority="204">
      <formula>B46=""</formula>
    </cfRule>
  </conditionalFormatting>
  <conditionalFormatting sqref="F47">
    <cfRule type="expression" dxfId="4066" priority="203">
      <formula>B47=""</formula>
    </cfRule>
  </conditionalFormatting>
  <conditionalFormatting sqref="F48">
    <cfRule type="expression" dxfId="4065" priority="202">
      <formula>B48=""</formula>
    </cfRule>
  </conditionalFormatting>
  <conditionalFormatting sqref="F49">
    <cfRule type="expression" dxfId="4064" priority="201">
      <formula>B49=""</formula>
    </cfRule>
  </conditionalFormatting>
  <conditionalFormatting sqref="E31 E33 E35 E37 E39 E41 E43 E45 E47 E49">
    <cfRule type="expression" dxfId="4063" priority="200">
      <formula>B31=""</formula>
    </cfRule>
  </conditionalFormatting>
  <conditionalFormatting sqref="E32:E42">
    <cfRule type="expression" dxfId="4062" priority="199">
      <formula>B32=""</formula>
    </cfRule>
  </conditionalFormatting>
  <conditionalFormatting sqref="E43">
    <cfRule type="expression" dxfId="4061" priority="198">
      <formula>B43=""</formula>
    </cfRule>
  </conditionalFormatting>
  <conditionalFormatting sqref="E44">
    <cfRule type="expression" dxfId="4060" priority="197">
      <formula>B44=""</formula>
    </cfRule>
  </conditionalFormatting>
  <conditionalFormatting sqref="E45">
    <cfRule type="expression" dxfId="4059" priority="196">
      <formula>B45=""</formula>
    </cfRule>
  </conditionalFormatting>
  <conditionalFormatting sqref="E46">
    <cfRule type="expression" dxfId="4058" priority="195">
      <formula>B46=""</formula>
    </cfRule>
  </conditionalFormatting>
  <conditionalFormatting sqref="E47">
    <cfRule type="expression" dxfId="4057" priority="194">
      <formula>B47=""</formula>
    </cfRule>
  </conditionalFormatting>
  <conditionalFormatting sqref="E48">
    <cfRule type="expression" dxfId="4056" priority="193">
      <formula>B48=""</formula>
    </cfRule>
  </conditionalFormatting>
  <conditionalFormatting sqref="E49">
    <cfRule type="expression" dxfId="4055" priority="192">
      <formula>B49=""</formula>
    </cfRule>
  </conditionalFormatting>
  <conditionalFormatting sqref="G30:G49">
    <cfRule type="expression" dxfId="4054" priority="191">
      <formula>B30=""</formula>
    </cfRule>
  </conditionalFormatting>
  <conditionalFormatting sqref="G31 G33 G35 G37 G39 G41 G43 G45 G47 G49">
    <cfRule type="expression" dxfId="4053" priority="190">
      <formula>B31=""</formula>
    </cfRule>
  </conditionalFormatting>
  <conditionalFormatting sqref="G32:G42">
    <cfRule type="expression" dxfId="4052" priority="189">
      <formula>B32=""</formula>
    </cfRule>
  </conditionalFormatting>
  <conditionalFormatting sqref="G43">
    <cfRule type="expression" dxfId="4051" priority="188">
      <formula>B43=""</formula>
    </cfRule>
  </conditionalFormatting>
  <conditionalFormatting sqref="G44">
    <cfRule type="expression" dxfId="4050" priority="187">
      <formula>B44=""</formula>
    </cfRule>
  </conditionalFormatting>
  <conditionalFormatting sqref="G45">
    <cfRule type="expression" dxfId="4049" priority="186">
      <formula>B45=""</formula>
    </cfRule>
  </conditionalFormatting>
  <conditionalFormatting sqref="G46">
    <cfRule type="expression" dxfId="4048" priority="185">
      <formula>B46=""</formula>
    </cfRule>
  </conditionalFormatting>
  <conditionalFormatting sqref="G47">
    <cfRule type="expression" dxfId="4047" priority="184">
      <formula>B47=""</formula>
    </cfRule>
  </conditionalFormatting>
  <conditionalFormatting sqref="G48">
    <cfRule type="expression" dxfId="4046" priority="183">
      <formula>B48=""</formula>
    </cfRule>
  </conditionalFormatting>
  <conditionalFormatting sqref="G49">
    <cfRule type="expression" dxfId="4045" priority="182">
      <formula>B49=""</formula>
    </cfRule>
  </conditionalFormatting>
  <conditionalFormatting sqref="H30 H32 H34 H36 H38 H40 H42 H44 H46 H48">
    <cfRule type="expression" dxfId="4044" priority="181">
      <formula>B30=""</formula>
    </cfRule>
  </conditionalFormatting>
  <conditionalFormatting sqref="H31 H33 H35 H37 H39 H41 H43 H45 H47 H49">
    <cfRule type="expression" dxfId="4043" priority="180">
      <formula>B31=""</formula>
    </cfRule>
  </conditionalFormatting>
  <conditionalFormatting sqref="H32:H42">
    <cfRule type="expression" dxfId="4042" priority="179">
      <formula>B32=""</formula>
    </cfRule>
  </conditionalFormatting>
  <conditionalFormatting sqref="H43">
    <cfRule type="expression" dxfId="4041" priority="178">
      <formula>B43=""</formula>
    </cfRule>
  </conditionalFormatting>
  <conditionalFormatting sqref="H44">
    <cfRule type="expression" dxfId="4040" priority="177">
      <formula>B44=""</formula>
    </cfRule>
  </conditionalFormatting>
  <conditionalFormatting sqref="H45">
    <cfRule type="expression" dxfId="4039" priority="176">
      <formula>B45=""</formula>
    </cfRule>
  </conditionalFormatting>
  <conditionalFormatting sqref="H46">
    <cfRule type="expression" dxfId="4038" priority="175">
      <formula>B46=""</formula>
    </cfRule>
  </conditionalFormatting>
  <conditionalFormatting sqref="H47">
    <cfRule type="expression" dxfId="4037" priority="174">
      <formula>B47=""</formula>
    </cfRule>
  </conditionalFormatting>
  <conditionalFormatting sqref="H48">
    <cfRule type="expression" dxfId="4036" priority="173">
      <formula>B48=""</formula>
    </cfRule>
  </conditionalFormatting>
  <conditionalFormatting sqref="H49">
    <cfRule type="expression" dxfId="4035" priority="172">
      <formula>B49=""</formula>
    </cfRule>
  </conditionalFormatting>
  <conditionalFormatting sqref="F30 F32 F34 F36 F38 F40 F42 F44 F46 F48">
    <cfRule type="expression" dxfId="4034" priority="171">
      <formula>B30=""</formula>
    </cfRule>
  </conditionalFormatting>
  <conditionalFormatting sqref="F31 F33 F35 F37 F39 F41 F43 F45 F47 F49">
    <cfRule type="expression" dxfId="4033" priority="170">
      <formula>B31=""</formula>
    </cfRule>
  </conditionalFormatting>
  <conditionalFormatting sqref="F32:F42">
    <cfRule type="expression" dxfId="4032" priority="169">
      <formula>B32=""</formula>
    </cfRule>
  </conditionalFormatting>
  <conditionalFormatting sqref="F43">
    <cfRule type="expression" dxfId="4031" priority="168">
      <formula>B43=""</formula>
    </cfRule>
  </conditionalFormatting>
  <conditionalFormatting sqref="F44">
    <cfRule type="expression" dxfId="4030" priority="167">
      <formula>B44=""</formula>
    </cfRule>
  </conditionalFormatting>
  <conditionalFormatting sqref="F45">
    <cfRule type="expression" dxfId="4029" priority="166">
      <formula>B45=""</formula>
    </cfRule>
  </conditionalFormatting>
  <conditionalFormatting sqref="F46">
    <cfRule type="expression" dxfId="4028" priority="165">
      <formula>B46=""</formula>
    </cfRule>
  </conditionalFormatting>
  <conditionalFormatting sqref="F47">
    <cfRule type="expression" dxfId="4027" priority="164">
      <formula>B47=""</formula>
    </cfRule>
  </conditionalFormatting>
  <conditionalFormatting sqref="F48">
    <cfRule type="expression" dxfId="4026" priority="163">
      <formula>B48=""</formula>
    </cfRule>
  </conditionalFormatting>
  <conditionalFormatting sqref="F49">
    <cfRule type="expression" dxfId="4025" priority="162">
      <formula>B49=""</formula>
    </cfRule>
  </conditionalFormatting>
  <conditionalFormatting sqref="C52:C71">
    <cfRule type="expression" dxfId="4024" priority="161">
      <formula>B52=""</formula>
    </cfRule>
  </conditionalFormatting>
  <conditionalFormatting sqref="C53 C55 C57 C59 C61 C63 C65 C67 C69 C71">
    <cfRule type="expression" dxfId="4023" priority="160">
      <formula>B53=""</formula>
    </cfRule>
  </conditionalFormatting>
  <conditionalFormatting sqref="C54:C64">
    <cfRule type="expression" dxfId="4022" priority="159">
      <formula>B54=""</formula>
    </cfRule>
  </conditionalFormatting>
  <conditionalFormatting sqref="C65">
    <cfRule type="expression" dxfId="4021" priority="158">
      <formula>B65=""</formula>
    </cfRule>
  </conditionalFormatting>
  <conditionalFormatting sqref="C66">
    <cfRule type="expression" dxfId="4020" priority="157">
      <formula>B66=""</formula>
    </cfRule>
  </conditionalFormatting>
  <conditionalFormatting sqref="C67">
    <cfRule type="expression" dxfId="4019" priority="156">
      <formula>B67=""</formula>
    </cfRule>
  </conditionalFormatting>
  <conditionalFormatting sqref="C68">
    <cfRule type="expression" dxfId="4018" priority="155">
      <formula>B68=""</formula>
    </cfRule>
  </conditionalFormatting>
  <conditionalFormatting sqref="C69">
    <cfRule type="expression" dxfId="4017" priority="154">
      <formula>B69=""</formula>
    </cfRule>
  </conditionalFormatting>
  <conditionalFormatting sqref="C70">
    <cfRule type="expression" dxfId="4016" priority="153">
      <formula>B70=""</formula>
    </cfRule>
  </conditionalFormatting>
  <conditionalFormatting sqref="C71">
    <cfRule type="expression" dxfId="4015" priority="152">
      <formula>B71=""</formula>
    </cfRule>
  </conditionalFormatting>
  <conditionalFormatting sqref="C71">
    <cfRule type="expression" dxfId="4014" priority="151">
      <formula>B71=""</formula>
    </cfRule>
  </conditionalFormatting>
  <conditionalFormatting sqref="C52:C71">
    <cfRule type="expression" dxfId="4013" priority="150">
      <formula>B52=""</formula>
    </cfRule>
  </conditionalFormatting>
  <conditionalFormatting sqref="C53 C55 C57 C59 C61 C63 C65 C67 C69 C71">
    <cfRule type="expression" dxfId="4012" priority="149">
      <formula>B53=""</formula>
    </cfRule>
  </conditionalFormatting>
  <conditionalFormatting sqref="C54:C64">
    <cfRule type="expression" dxfId="4011" priority="148">
      <formula>B54=""</formula>
    </cfRule>
  </conditionalFormatting>
  <conditionalFormatting sqref="C65">
    <cfRule type="expression" dxfId="4010" priority="147">
      <formula>B65=""</formula>
    </cfRule>
  </conditionalFormatting>
  <conditionalFormatting sqref="C66">
    <cfRule type="expression" dxfId="4009" priority="146">
      <formula>B66=""</formula>
    </cfRule>
  </conditionalFormatting>
  <conditionalFormatting sqref="C67">
    <cfRule type="expression" dxfId="4008" priority="145">
      <formula>B67=""</formula>
    </cfRule>
  </conditionalFormatting>
  <conditionalFormatting sqref="C68">
    <cfRule type="expression" dxfId="4007" priority="144">
      <formula>B68=""</formula>
    </cfRule>
  </conditionalFormatting>
  <conditionalFormatting sqref="C69">
    <cfRule type="expression" dxfId="4006" priority="143">
      <formula>B69=""</formula>
    </cfRule>
  </conditionalFormatting>
  <conditionalFormatting sqref="C70">
    <cfRule type="expression" dxfId="4005" priority="142">
      <formula>B70=""</formula>
    </cfRule>
  </conditionalFormatting>
  <conditionalFormatting sqref="C71">
    <cfRule type="expression" dxfId="4004" priority="141">
      <formula>B71=""</formula>
    </cfRule>
  </conditionalFormatting>
  <conditionalFormatting sqref="C52:C71">
    <cfRule type="expression" dxfId="4003" priority="140">
      <formula>B52=""</formula>
    </cfRule>
  </conditionalFormatting>
  <conditionalFormatting sqref="C53 C55 C57 C59 C61 C63 C65 C67 C69 C71">
    <cfRule type="expression" dxfId="4002" priority="139">
      <formula>B53=""</formula>
    </cfRule>
  </conditionalFormatting>
  <conditionalFormatting sqref="C54:C64">
    <cfRule type="expression" dxfId="4001" priority="138">
      <formula>B54=""</formula>
    </cfRule>
  </conditionalFormatting>
  <conditionalFormatting sqref="C65">
    <cfRule type="expression" dxfId="4000" priority="137">
      <formula>B65=""</formula>
    </cfRule>
  </conditionalFormatting>
  <conditionalFormatting sqref="C66">
    <cfRule type="expression" dxfId="3999" priority="136">
      <formula>B66=""</formula>
    </cfRule>
  </conditionalFormatting>
  <conditionalFormatting sqref="C67">
    <cfRule type="expression" dxfId="3998" priority="135">
      <formula>B67=""</formula>
    </cfRule>
  </conditionalFormatting>
  <conditionalFormatting sqref="C68">
    <cfRule type="expression" dxfId="3997" priority="134">
      <formula>B68=""</formula>
    </cfRule>
  </conditionalFormatting>
  <conditionalFormatting sqref="C69">
    <cfRule type="expression" dxfId="3996" priority="133">
      <formula>B69=""</formula>
    </cfRule>
  </conditionalFormatting>
  <conditionalFormatting sqref="C70">
    <cfRule type="expression" dxfId="3995" priority="132">
      <formula>B70=""</formula>
    </cfRule>
  </conditionalFormatting>
  <conditionalFormatting sqref="C71">
    <cfRule type="expression" dxfId="3994" priority="131">
      <formula>B71=""</formula>
    </cfRule>
  </conditionalFormatting>
  <conditionalFormatting sqref="C52:C71">
    <cfRule type="expression" dxfId="3993" priority="130">
      <formula>B52=""</formula>
    </cfRule>
  </conditionalFormatting>
  <conditionalFormatting sqref="C53 C55 C57 C59 C61 C63 C65 C67 C69 C71">
    <cfRule type="expression" dxfId="3992" priority="129">
      <formula>B53=""</formula>
    </cfRule>
  </conditionalFormatting>
  <conditionalFormatting sqref="C54:C64">
    <cfRule type="expression" dxfId="3991" priority="128">
      <formula>B54=""</formula>
    </cfRule>
  </conditionalFormatting>
  <conditionalFormatting sqref="C65">
    <cfRule type="expression" dxfId="3990" priority="127">
      <formula>B65=""</formula>
    </cfRule>
  </conditionalFormatting>
  <conditionalFormatting sqref="C66">
    <cfRule type="expression" dxfId="3989" priority="126">
      <formula>B66=""</formula>
    </cfRule>
  </conditionalFormatting>
  <conditionalFormatting sqref="C67">
    <cfRule type="expression" dxfId="3988" priority="125">
      <formula>B67=""</formula>
    </cfRule>
  </conditionalFormatting>
  <conditionalFormatting sqref="C68">
    <cfRule type="expression" dxfId="3987" priority="124">
      <formula>B68=""</formula>
    </cfRule>
  </conditionalFormatting>
  <conditionalFormatting sqref="C69">
    <cfRule type="expression" dxfId="3986" priority="123">
      <formula>B69=""</formula>
    </cfRule>
  </conditionalFormatting>
  <conditionalFormatting sqref="C70">
    <cfRule type="expression" dxfId="3985" priority="122">
      <formula>B70=""</formula>
    </cfRule>
  </conditionalFormatting>
  <conditionalFormatting sqref="C71">
    <cfRule type="expression" dxfId="3984" priority="121">
      <formula>B71=""</formula>
    </cfRule>
  </conditionalFormatting>
  <conditionalFormatting sqref="C52 C54 C56 C58 C60 C62 C64 C66 C68 C70">
    <cfRule type="expression" dxfId="3983" priority="120">
      <formula>B52=""</formula>
    </cfRule>
  </conditionalFormatting>
  <conditionalFormatting sqref="C53 C55 C57 C59 C61 C63 C65 C67 C69 C71">
    <cfRule type="expression" dxfId="3982" priority="119">
      <formula>B53=""</formula>
    </cfRule>
  </conditionalFormatting>
  <conditionalFormatting sqref="C54:C64">
    <cfRule type="expression" dxfId="3981" priority="118">
      <formula>B54=""</formula>
    </cfRule>
  </conditionalFormatting>
  <conditionalFormatting sqref="C65">
    <cfRule type="expression" dxfId="3980" priority="117">
      <formula>B65=""</formula>
    </cfRule>
  </conditionalFormatting>
  <conditionalFormatting sqref="C66">
    <cfRule type="expression" dxfId="3979" priority="116">
      <formula>B66=""</formula>
    </cfRule>
  </conditionalFormatting>
  <conditionalFormatting sqref="C67">
    <cfRule type="expression" dxfId="3978" priority="115">
      <formula>B67=""</formula>
    </cfRule>
  </conditionalFormatting>
  <conditionalFormatting sqref="C68">
    <cfRule type="expression" dxfId="3977" priority="114">
      <formula>B68=""</formula>
    </cfRule>
  </conditionalFormatting>
  <conditionalFormatting sqref="C69">
    <cfRule type="expression" dxfId="3976" priority="113">
      <formula>B69=""</formula>
    </cfRule>
  </conditionalFormatting>
  <conditionalFormatting sqref="C70">
    <cfRule type="expression" dxfId="3975" priority="112">
      <formula>B70=""</formula>
    </cfRule>
  </conditionalFormatting>
  <conditionalFormatting sqref="C71">
    <cfRule type="expression" dxfId="3974" priority="111">
      <formula>B71=""</formula>
    </cfRule>
  </conditionalFormatting>
  <conditionalFormatting sqref="C74:C93">
    <cfRule type="expression" dxfId="3973" priority="110">
      <formula>B74=""</formula>
    </cfRule>
  </conditionalFormatting>
  <conditionalFormatting sqref="C75 C77 C79 C81 C83 C85 C87 C89 C91 C93">
    <cfRule type="expression" dxfId="3972" priority="109">
      <formula>B75=""</formula>
    </cfRule>
  </conditionalFormatting>
  <conditionalFormatting sqref="C76:C86">
    <cfRule type="expression" dxfId="3971" priority="108">
      <formula>B76=""</formula>
    </cfRule>
  </conditionalFormatting>
  <conditionalFormatting sqref="C87">
    <cfRule type="expression" dxfId="3970" priority="107">
      <formula>B87=""</formula>
    </cfRule>
  </conditionalFormatting>
  <conditionalFormatting sqref="C88">
    <cfRule type="expression" dxfId="3969" priority="106">
      <formula>B88=""</formula>
    </cfRule>
  </conditionalFormatting>
  <conditionalFormatting sqref="C89">
    <cfRule type="expression" dxfId="3968" priority="105">
      <formula>B89=""</formula>
    </cfRule>
  </conditionalFormatting>
  <conditionalFormatting sqref="C90">
    <cfRule type="expression" dxfId="3967" priority="104">
      <formula>B90=""</formula>
    </cfRule>
  </conditionalFormatting>
  <conditionalFormatting sqref="C91">
    <cfRule type="expression" dxfId="3966" priority="103">
      <formula>B91=""</formula>
    </cfRule>
  </conditionalFormatting>
  <conditionalFormatting sqref="C92">
    <cfRule type="expression" dxfId="3965" priority="102">
      <formula>B92=""</formula>
    </cfRule>
  </conditionalFormatting>
  <conditionalFormatting sqref="C93">
    <cfRule type="expression" dxfId="3964" priority="101">
      <formula>B93=""</formula>
    </cfRule>
  </conditionalFormatting>
  <conditionalFormatting sqref="C93">
    <cfRule type="expression" dxfId="3963" priority="100">
      <formula>B93=""</formula>
    </cfRule>
  </conditionalFormatting>
  <conditionalFormatting sqref="C74:C93">
    <cfRule type="expression" dxfId="3962" priority="99">
      <formula>B74=""</formula>
    </cfRule>
  </conditionalFormatting>
  <conditionalFormatting sqref="C75 C77 C79 C81 C83 C85 C87 C89 C91 C93">
    <cfRule type="expression" dxfId="3961" priority="98">
      <formula>B75=""</formula>
    </cfRule>
  </conditionalFormatting>
  <conditionalFormatting sqref="C76:C86">
    <cfRule type="expression" dxfId="3960" priority="97">
      <formula>B76=""</formula>
    </cfRule>
  </conditionalFormatting>
  <conditionalFormatting sqref="C87">
    <cfRule type="expression" dxfId="3959" priority="96">
      <formula>B87=""</formula>
    </cfRule>
  </conditionalFormatting>
  <conditionalFormatting sqref="C88">
    <cfRule type="expression" dxfId="3958" priority="95">
      <formula>B88=""</formula>
    </cfRule>
  </conditionalFormatting>
  <conditionalFormatting sqref="C89">
    <cfRule type="expression" dxfId="3957" priority="94">
      <formula>B89=""</formula>
    </cfRule>
  </conditionalFormatting>
  <conditionalFormatting sqref="C90">
    <cfRule type="expression" dxfId="3956" priority="93">
      <formula>B90=""</formula>
    </cfRule>
  </conditionalFormatting>
  <conditionalFormatting sqref="C91">
    <cfRule type="expression" dxfId="3955" priority="92">
      <formula>B91=""</formula>
    </cfRule>
  </conditionalFormatting>
  <conditionalFormatting sqref="C92">
    <cfRule type="expression" dxfId="3954" priority="91">
      <formula>B92=""</formula>
    </cfRule>
  </conditionalFormatting>
  <conditionalFormatting sqref="C93">
    <cfRule type="expression" dxfId="3953" priority="90">
      <formula>B93=""</formula>
    </cfRule>
  </conditionalFormatting>
  <conditionalFormatting sqref="C74:C93">
    <cfRule type="expression" dxfId="3952" priority="89">
      <formula>B74=""</formula>
    </cfRule>
  </conditionalFormatting>
  <conditionalFormatting sqref="C75 C77 C79 C81 C83 C85 C87 C89 C91 C93">
    <cfRule type="expression" dxfId="3951" priority="88">
      <formula>B75=""</formula>
    </cfRule>
  </conditionalFormatting>
  <conditionalFormatting sqref="C76:C86">
    <cfRule type="expression" dxfId="3950" priority="87">
      <formula>B76=""</formula>
    </cfRule>
  </conditionalFormatting>
  <conditionalFormatting sqref="C87">
    <cfRule type="expression" dxfId="3949" priority="86">
      <formula>B87=""</formula>
    </cfRule>
  </conditionalFormatting>
  <conditionalFormatting sqref="C88">
    <cfRule type="expression" dxfId="3948" priority="85">
      <formula>B88=""</formula>
    </cfRule>
  </conditionalFormatting>
  <conditionalFormatting sqref="C89">
    <cfRule type="expression" dxfId="3947" priority="84">
      <formula>B89=""</formula>
    </cfRule>
  </conditionalFormatting>
  <conditionalFormatting sqref="C90">
    <cfRule type="expression" dxfId="3946" priority="83">
      <formula>B90=""</formula>
    </cfRule>
  </conditionalFormatting>
  <conditionalFormatting sqref="C91">
    <cfRule type="expression" dxfId="3945" priority="82">
      <formula>B91=""</formula>
    </cfRule>
  </conditionalFormatting>
  <conditionalFormatting sqref="C92">
    <cfRule type="expression" dxfId="3944" priority="81">
      <formula>B92=""</formula>
    </cfRule>
  </conditionalFormatting>
  <conditionalFormatting sqref="C93">
    <cfRule type="expression" dxfId="3943" priority="80">
      <formula>B93=""</formula>
    </cfRule>
  </conditionalFormatting>
  <conditionalFormatting sqref="C93">
    <cfRule type="expression" dxfId="3942" priority="79">
      <formula>B93=""</formula>
    </cfRule>
  </conditionalFormatting>
  <conditionalFormatting sqref="C74:C93">
    <cfRule type="expression" dxfId="3941" priority="78">
      <formula>B74=""</formula>
    </cfRule>
  </conditionalFormatting>
  <conditionalFormatting sqref="C75 C77 C79 C81 C83 C85 C87 C89 C91 C93">
    <cfRule type="expression" dxfId="3940" priority="77">
      <formula>B75=""</formula>
    </cfRule>
  </conditionalFormatting>
  <conditionalFormatting sqref="C76:C86">
    <cfRule type="expression" dxfId="3939" priority="76">
      <formula>B76=""</formula>
    </cfRule>
  </conditionalFormatting>
  <conditionalFormatting sqref="C87">
    <cfRule type="expression" dxfId="3938" priority="75">
      <formula>B87=""</formula>
    </cfRule>
  </conditionalFormatting>
  <conditionalFormatting sqref="C88">
    <cfRule type="expression" dxfId="3937" priority="74">
      <formula>B88=""</formula>
    </cfRule>
  </conditionalFormatting>
  <conditionalFormatting sqref="C89">
    <cfRule type="expression" dxfId="3936" priority="73">
      <formula>B89=""</formula>
    </cfRule>
  </conditionalFormatting>
  <conditionalFormatting sqref="C90">
    <cfRule type="expression" dxfId="3935" priority="72">
      <formula>B90=""</formula>
    </cfRule>
  </conditionalFormatting>
  <conditionalFormatting sqref="C91">
    <cfRule type="expression" dxfId="3934" priority="71">
      <formula>B91=""</formula>
    </cfRule>
  </conditionalFormatting>
  <conditionalFormatting sqref="C92">
    <cfRule type="expression" dxfId="3933" priority="70">
      <formula>B92=""</formula>
    </cfRule>
  </conditionalFormatting>
  <conditionalFormatting sqref="C93">
    <cfRule type="expression" dxfId="3932" priority="69">
      <formula>B93=""</formula>
    </cfRule>
  </conditionalFormatting>
  <conditionalFormatting sqref="C74:C93">
    <cfRule type="expression" dxfId="3931" priority="68">
      <formula>B74=""</formula>
    </cfRule>
  </conditionalFormatting>
  <conditionalFormatting sqref="C75 C77 C79 C81 C83 C85 C87 C89 C91 C93">
    <cfRule type="expression" dxfId="3930" priority="67">
      <formula>B75=""</formula>
    </cfRule>
  </conditionalFormatting>
  <conditionalFormatting sqref="C76:C86">
    <cfRule type="expression" dxfId="3929" priority="66">
      <formula>B76=""</formula>
    </cfRule>
  </conditionalFormatting>
  <conditionalFormatting sqref="C87">
    <cfRule type="expression" dxfId="3928" priority="65">
      <formula>B87=""</formula>
    </cfRule>
  </conditionalFormatting>
  <conditionalFormatting sqref="C88">
    <cfRule type="expression" dxfId="3927" priority="64">
      <formula>B88=""</formula>
    </cfRule>
  </conditionalFormatting>
  <conditionalFormatting sqref="C89">
    <cfRule type="expression" dxfId="3926" priority="63">
      <formula>B89=""</formula>
    </cfRule>
  </conditionalFormatting>
  <conditionalFormatting sqref="C90">
    <cfRule type="expression" dxfId="3925" priority="62">
      <formula>B90=""</formula>
    </cfRule>
  </conditionalFormatting>
  <conditionalFormatting sqref="C91">
    <cfRule type="expression" dxfId="3924" priority="61">
      <formula>B91=""</formula>
    </cfRule>
  </conditionalFormatting>
  <conditionalFormatting sqref="C92">
    <cfRule type="expression" dxfId="3923" priority="60">
      <formula>B92=""</formula>
    </cfRule>
  </conditionalFormatting>
  <conditionalFormatting sqref="C93">
    <cfRule type="expression" dxfId="3922" priority="59">
      <formula>B93=""</formula>
    </cfRule>
  </conditionalFormatting>
  <conditionalFormatting sqref="C74:C93">
    <cfRule type="expression" dxfId="3921" priority="58">
      <formula>B74=""</formula>
    </cfRule>
  </conditionalFormatting>
  <conditionalFormatting sqref="C75 C77 C79 C81 C83 C85 C87 C89 C91 C93">
    <cfRule type="expression" dxfId="3920" priority="57">
      <formula>B75=""</formula>
    </cfRule>
  </conditionalFormatting>
  <conditionalFormatting sqref="C76:C86">
    <cfRule type="expression" dxfId="3919" priority="56">
      <formula>B76=""</formula>
    </cfRule>
  </conditionalFormatting>
  <conditionalFormatting sqref="C87">
    <cfRule type="expression" dxfId="3918" priority="55">
      <formula>B87=""</formula>
    </cfRule>
  </conditionalFormatting>
  <conditionalFormatting sqref="C88">
    <cfRule type="expression" dxfId="3917" priority="54">
      <formula>B88=""</formula>
    </cfRule>
  </conditionalFormatting>
  <conditionalFormatting sqref="C89">
    <cfRule type="expression" dxfId="3916" priority="53">
      <formula>B89=""</formula>
    </cfRule>
  </conditionalFormatting>
  <conditionalFormatting sqref="C90">
    <cfRule type="expression" dxfId="3915" priority="52">
      <formula>B90=""</formula>
    </cfRule>
  </conditionalFormatting>
  <conditionalFormatting sqref="C91">
    <cfRule type="expression" dxfId="3914" priority="51">
      <formula>B91=""</formula>
    </cfRule>
  </conditionalFormatting>
  <conditionalFormatting sqref="C92">
    <cfRule type="expression" dxfId="3913" priority="50">
      <formula>B92=""</formula>
    </cfRule>
  </conditionalFormatting>
  <conditionalFormatting sqref="C93">
    <cfRule type="expression" dxfId="3912" priority="49">
      <formula>B93=""</formula>
    </cfRule>
  </conditionalFormatting>
  <conditionalFormatting sqref="C74 C76 C78 C80 C82 C84 C86 C88 C90 C92">
    <cfRule type="expression" dxfId="3911" priority="48">
      <formula>B74=""</formula>
    </cfRule>
  </conditionalFormatting>
  <conditionalFormatting sqref="C75 C77 C79 C81 C83 C85 C87 C89 C91 C93">
    <cfRule type="expression" dxfId="3910" priority="47">
      <formula>B75=""</formula>
    </cfRule>
  </conditionalFormatting>
  <conditionalFormatting sqref="C76:C86">
    <cfRule type="expression" dxfId="3909" priority="46">
      <formula>B76=""</formula>
    </cfRule>
  </conditionalFormatting>
  <conditionalFormatting sqref="C87">
    <cfRule type="expression" dxfId="3908" priority="45">
      <formula>B87=""</formula>
    </cfRule>
  </conditionalFormatting>
  <conditionalFormatting sqref="C88">
    <cfRule type="expression" dxfId="3907" priority="44">
      <formula>B88=""</formula>
    </cfRule>
  </conditionalFormatting>
  <conditionalFormatting sqref="C89">
    <cfRule type="expression" dxfId="3906" priority="43">
      <formula>B89=""</formula>
    </cfRule>
  </conditionalFormatting>
  <conditionalFormatting sqref="C90">
    <cfRule type="expression" dxfId="3905" priority="42">
      <formula>B90=""</formula>
    </cfRule>
  </conditionalFormatting>
  <conditionalFormatting sqref="C91">
    <cfRule type="expression" dxfId="3904" priority="41">
      <formula>B91=""</formula>
    </cfRule>
  </conditionalFormatting>
  <conditionalFormatting sqref="C92">
    <cfRule type="expression" dxfId="3903" priority="40">
      <formula>B92=""</formula>
    </cfRule>
  </conditionalFormatting>
  <conditionalFormatting sqref="C93">
    <cfRule type="expression" dxfId="3902" priority="39">
      <formula>B93=""</formula>
    </cfRule>
  </conditionalFormatting>
  <conditionalFormatting sqref="B8:B27">
    <cfRule type="containsBlanks" dxfId="3901" priority="38">
      <formula>LEN(TRIM(B8))=0</formula>
    </cfRule>
  </conditionalFormatting>
  <conditionalFormatting sqref="C8:C27">
    <cfRule type="expression" dxfId="3900" priority="37">
      <formula>B8=""</formula>
    </cfRule>
  </conditionalFormatting>
  <conditionalFormatting sqref="C9 C11 C13 C15 C17 C19 C21 C23 C25 C27">
    <cfRule type="expression" dxfId="3899" priority="36">
      <formula>B9=""</formula>
    </cfRule>
  </conditionalFormatting>
  <conditionalFormatting sqref="C8:C27">
    <cfRule type="expression" dxfId="3898" priority="35">
      <formula>B8=""</formula>
    </cfRule>
  </conditionalFormatting>
  <conditionalFormatting sqref="C9 C11 C13 C15 C17 C19 C21 C23 C25 C27">
    <cfRule type="expression" dxfId="3897" priority="34">
      <formula>B9=""</formula>
    </cfRule>
  </conditionalFormatting>
  <conditionalFormatting sqref="C8 C10 C12 C14 C16 C18 C20 C22 C24 C26">
    <cfRule type="expression" dxfId="3896" priority="33">
      <formula>B8=""</formula>
    </cfRule>
  </conditionalFormatting>
  <conditionalFormatting sqref="C9 C11 C13 C15 C17 C19 C21 C23 C25 C27">
    <cfRule type="expression" dxfId="3895" priority="32">
      <formula>B9=""</formula>
    </cfRule>
  </conditionalFormatting>
  <conditionalFormatting sqref="B8:B27">
    <cfRule type="containsBlanks" dxfId="3894" priority="31">
      <formula>LEN(TRIM(B8))=0</formula>
    </cfRule>
  </conditionalFormatting>
  <conditionalFormatting sqref="C8:C27">
    <cfRule type="expression" dxfId="3893" priority="30">
      <formula>B8=""</formula>
    </cfRule>
  </conditionalFormatting>
  <conditionalFormatting sqref="C9 C11 C13 C15 C17 C19 C21 C23 C25 C27">
    <cfRule type="expression" dxfId="3892" priority="29">
      <formula>B9=""</formula>
    </cfRule>
  </conditionalFormatting>
  <conditionalFormatting sqref="C8:C27">
    <cfRule type="expression" dxfId="3891" priority="28">
      <formula>B8=""</formula>
    </cfRule>
  </conditionalFormatting>
  <conditionalFormatting sqref="C9 C11 C13 C15 C17 C19 C21 C23 C25 C27">
    <cfRule type="expression" dxfId="3890" priority="27">
      <formula>B9=""</formula>
    </cfRule>
  </conditionalFormatting>
  <conditionalFormatting sqref="C8 C10 C12 C14 C16 C18 C20 C22 C24 C26">
    <cfRule type="expression" dxfId="3889" priority="26">
      <formula>B8=""</formula>
    </cfRule>
  </conditionalFormatting>
  <conditionalFormatting sqref="C9 C11 C13 C15 C17 C19 C21 C23 C25 C27">
    <cfRule type="expression" dxfId="3888" priority="25">
      <formula>B9=""</formula>
    </cfRule>
  </conditionalFormatting>
  <conditionalFormatting sqref="B8:B27">
    <cfRule type="containsBlanks" dxfId="3887" priority="24">
      <formula>LEN(TRIM(B8))=0</formula>
    </cfRule>
  </conditionalFormatting>
  <conditionalFormatting sqref="C8:C27">
    <cfRule type="expression" dxfId="3886" priority="23">
      <formula>B8=""</formula>
    </cfRule>
  </conditionalFormatting>
  <conditionalFormatting sqref="C9 C11 C13 C15 C17 C19 C21 C23 C25 C27">
    <cfRule type="expression" dxfId="3885" priority="22">
      <formula>B9=""</formula>
    </cfRule>
  </conditionalFormatting>
  <conditionalFormatting sqref="C8:C27">
    <cfRule type="expression" dxfId="3884" priority="21">
      <formula>B8=""</formula>
    </cfRule>
  </conditionalFormatting>
  <conditionalFormatting sqref="C9 C11 C13 C15 C17 C19 C21 C23 C25 C27">
    <cfRule type="expression" dxfId="3883" priority="20">
      <formula>B9=""</formula>
    </cfRule>
  </conditionalFormatting>
  <conditionalFormatting sqref="C8 C10 C12 C14 C16 C18 C20 C22 C24 C26">
    <cfRule type="expression" dxfId="3882" priority="19">
      <formula>B8=""</formula>
    </cfRule>
  </conditionalFormatting>
  <conditionalFormatting sqref="C9 C11 C13 C15 C17 C19 C21 C23 C25 C27">
    <cfRule type="expression" dxfId="3881" priority="18">
      <formula>B9=""</formula>
    </cfRule>
  </conditionalFormatting>
  <conditionalFormatting sqref="C8:C27">
    <cfRule type="expression" dxfId="3880" priority="17">
      <formula>B8=""</formula>
    </cfRule>
  </conditionalFormatting>
  <conditionalFormatting sqref="C9 C11 C13 C15 C17 C19 C21 C23 C25 C27">
    <cfRule type="expression" dxfId="3879" priority="16">
      <formula>B9=""</formula>
    </cfRule>
  </conditionalFormatting>
  <conditionalFormatting sqref="C8:C27">
    <cfRule type="expression" dxfId="3878" priority="15">
      <formula>B8=""</formula>
    </cfRule>
  </conditionalFormatting>
  <conditionalFormatting sqref="C9 C11 C13 C15 C17 C19 C21 C23 C25 C27">
    <cfRule type="expression" dxfId="3877" priority="14">
      <formula>B9=""</formula>
    </cfRule>
  </conditionalFormatting>
  <conditionalFormatting sqref="C8 C10 C12 C14 C16 C18 C20 C22 C24 C26">
    <cfRule type="expression" dxfId="3876" priority="13">
      <formula>B8=""</formula>
    </cfRule>
  </conditionalFormatting>
  <conditionalFormatting sqref="C9 C11 C13 C15 C17 C19 C21 C23 C25 C27">
    <cfRule type="expression" dxfId="3875" priority="12">
      <formula>B9=""</formula>
    </cfRule>
  </conditionalFormatting>
  <conditionalFormatting sqref="C8:C27">
    <cfRule type="expression" dxfId="3874" priority="11">
      <formula>B8=""</formula>
    </cfRule>
  </conditionalFormatting>
  <conditionalFormatting sqref="C9 C11 C13 C15 C17 C19 C21 C23 C25 C27">
    <cfRule type="expression" dxfId="3873" priority="10">
      <formula>B9=""</formula>
    </cfRule>
  </conditionalFormatting>
  <conditionalFormatting sqref="C9 C11 C13 C15 C17 C19 C21 C23 C25 C27">
    <cfRule type="expression" dxfId="3872" priority="9">
      <formula>B9=""</formula>
    </cfRule>
  </conditionalFormatting>
  <conditionalFormatting sqref="C8 C10 C12 C14 C16 C18 C20 C22 C24 C26">
    <cfRule type="expression" dxfId="3871" priority="8">
      <formula>B8=""</formula>
    </cfRule>
  </conditionalFormatting>
  <conditionalFormatting sqref="C9 C11 C13 C15 C17 C19 C21 C23 C25 C27">
    <cfRule type="expression" dxfId="3870" priority="7">
      <formula>B9=""</formula>
    </cfRule>
  </conditionalFormatting>
  <conditionalFormatting sqref="C8:C27">
    <cfRule type="expression" dxfId="3869" priority="6">
      <formula>B8=""</formula>
    </cfRule>
  </conditionalFormatting>
  <conditionalFormatting sqref="C9 C11 C13 C15 C17 C19 C21 C23 C25 C27">
    <cfRule type="expression" dxfId="3868" priority="5">
      <formula>B9=""</formula>
    </cfRule>
  </conditionalFormatting>
  <conditionalFormatting sqref="C8:C27">
    <cfRule type="expression" dxfId="3867" priority="4">
      <formula>B8=""</formula>
    </cfRule>
  </conditionalFormatting>
  <conditionalFormatting sqref="C9 C11 C13 C15 C17 C19 C21 C23 C25 C27">
    <cfRule type="expression" dxfId="3866" priority="3">
      <formula>B9=""</formula>
    </cfRule>
  </conditionalFormatting>
  <conditionalFormatting sqref="C8:C27">
    <cfRule type="expression" dxfId="3865" priority="2">
      <formula>B8=""</formula>
    </cfRule>
  </conditionalFormatting>
  <conditionalFormatting sqref="C9 C11 C13 C15 C17 C19 C21 C23 C25 C27">
    <cfRule type="expression" dxfId="3864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9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8" fitToHeight="2" orientation="portrait" r:id="rId1"/>
  <headerFooter>
    <oddHeader>&amp;L&amp;"Calibri"&amp;10&amp;K000000Sensitivity - General&amp;1#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1">
    <tabColor rgb="FFFF0000"/>
  </sheetPr>
  <dimension ref="B1:H96"/>
  <sheetViews>
    <sheetView workbookViewId="0"/>
  </sheetViews>
  <sheetFormatPr defaultRowHeight="1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140625" customWidth="1"/>
    <col min="8" max="8" width="17.140625" customWidth="1"/>
    <col min="10" max="10" width="14.7109375" customWidth="1"/>
  </cols>
  <sheetData>
    <row r="1" spans="2:8" ht="23.25">
      <c r="B1" s="214" t="str">
        <f>DATA!C1004</f>
        <v>NRA.N.011-050-2012/1F</v>
      </c>
      <c r="F1" s="214" t="str">
        <f>DATA!B1016</f>
        <v>Other:</v>
      </c>
    </row>
    <row r="2" spans="2:8" ht="26.25">
      <c r="C2" s="232" t="str">
        <f>'All Hours'!D1</f>
        <v>PLEASE INSERT TENDERER NAME ON INPUT DATA SHEET</v>
      </c>
      <c r="E2" s="920" t="str">
        <f>IF(DATA!$D$1016="None","NOT USED IN THIS TENDER","")</f>
        <v>NOT USED IN THIS TENDER</v>
      </c>
    </row>
    <row r="3" spans="2:8">
      <c r="B3" t="str">
        <f>IF(DATA!D1016="None",DATA!B1016 &amp; " NOT SPECIFIED FOR THIS PROJECT", "")</f>
        <v>Other: NOT SPECIFIED FOR THIS PROJECT</v>
      </c>
      <c r="E3" s="232" t="str">
        <f>'Non Fee Hours'!E2</f>
        <v>ONLY INSERT KEY PERSONS HOURS, NOT ALTERNATES.</v>
      </c>
    </row>
    <row r="4" spans="2:8" ht="15.7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.75" thickBot="1">
      <c r="B5" s="2" t="s">
        <v>5</v>
      </c>
      <c r="C5" s="3"/>
      <c r="D5" s="12"/>
      <c r="E5" s="12"/>
      <c r="F5" s="15"/>
      <c r="G5" s="3"/>
      <c r="H5" s="4"/>
    </row>
    <row r="6" spans="2:8" ht="15.75" thickBot="1">
      <c r="B6" s="25" t="str">
        <f>DATA!B1016</f>
        <v>Other:</v>
      </c>
      <c r="C6" s="26"/>
      <c r="D6" s="211" t="s">
        <v>6</v>
      </c>
      <c r="E6" s="27">
        <f>IF('SUMMARY TENDERED FEE'!C13="none",0,ROUND((E7*(F7/F73)+E29*(F29/F73)+E51*(F51/F73)+E73),2))</f>
        <v>0</v>
      </c>
      <c r="F6" s="28" t="str">
        <f>"Norm. Hours"</f>
        <v>Norm. Hours</v>
      </c>
      <c r="G6" s="913">
        <f>IF('SUMMARY TENDERED FEE'!C13="none",0,1)</f>
        <v>0</v>
      </c>
      <c r="H6" s="29">
        <f>IF('SUMMARY TENDERED FEE'!C13="none",0,SUM(H7:H94))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>DS3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.7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>DS3</v>
      </c>
      <c r="C32" s="59" t="str">
        <f t="shared" si="4"/>
        <v/>
      </c>
      <c r="D32" s="59"/>
      <c r="E32" s="895">
        <v>0</v>
      </c>
      <c r="F32" s="16">
        <f t="shared" ref="F32:F39" si="5">IF(B32="","",$F$29)</f>
        <v>2796</v>
      </c>
      <c r="G32" s="61">
        <f t="shared" si="3"/>
        <v>0</v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.7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>DS3</v>
      </c>
      <c r="C54" s="59" t="str">
        <f t="shared" si="16"/>
        <v/>
      </c>
      <c r="D54" s="5"/>
      <c r="E54" s="899">
        <v>0</v>
      </c>
      <c r="F54" s="16">
        <f t="shared" ref="F54:F61" si="17">IF(B54="","",$F$51)</f>
        <v>2403</v>
      </c>
      <c r="G54" s="6">
        <f t="shared" si="15"/>
        <v>0</v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.7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>DS3</v>
      </c>
      <c r="C76" s="59" t="str">
        <f t="shared" si="27"/>
        <v/>
      </c>
      <c r="D76" s="5"/>
      <c r="E76" s="899">
        <v>0</v>
      </c>
      <c r="F76" s="16">
        <f t="shared" ref="F76:F83" si="28">IF(B76="","",$F$73)</f>
        <v>1167</v>
      </c>
      <c r="G76" s="6">
        <f t="shared" si="26"/>
        <v>0</v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.7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989</v>
      </c>
      <c r="C96" s="1" t="s">
        <v>990</v>
      </c>
    </row>
  </sheetData>
  <sheetProtection algorithmName="SHA-512" hashValue="E/lEk3orqaErh5BTXb0Qj2W3eWcpSj5Wg8FAK/kd6n8Y9fmzXtC89lzDjBpalLrDEOE29yvs5A1PZTYnSUfY5w==" saltValue="VpJvG19DVQxvRXoX5uG6Dg==" spinCount="100000" sheet="1" objects="1" scenarios="1"/>
  <conditionalFormatting sqref="B8:B28 B30:B50 B52:B72 B74:B94">
    <cfRule type="containsBlanks" dxfId="3863" priority="757">
      <formula>LEN(TRIM(B8))=0</formula>
    </cfRule>
  </conditionalFormatting>
  <conditionalFormatting sqref="C8:C27">
    <cfRule type="expression" dxfId="3862" priority="756">
      <formula>B8=""</formula>
    </cfRule>
  </conditionalFormatting>
  <conditionalFormatting sqref="C9 C11 C13 C15 C17 C19 C21 C23 C25 C27">
    <cfRule type="expression" dxfId="3861" priority="755">
      <formula>B9=""</formula>
    </cfRule>
  </conditionalFormatting>
  <conditionalFormatting sqref="C10:C20">
    <cfRule type="expression" dxfId="3860" priority="754">
      <formula>B10=""</formula>
    </cfRule>
  </conditionalFormatting>
  <conditionalFormatting sqref="C21">
    <cfRule type="expression" dxfId="3859" priority="753">
      <formula>B21=""</formula>
    </cfRule>
  </conditionalFormatting>
  <conditionalFormatting sqref="C22">
    <cfRule type="expression" dxfId="3858" priority="752">
      <formula>B22=""</formula>
    </cfRule>
  </conditionalFormatting>
  <conditionalFormatting sqref="C23">
    <cfRule type="expression" dxfId="3857" priority="751">
      <formula>B23=""</formula>
    </cfRule>
  </conditionalFormatting>
  <conditionalFormatting sqref="C24">
    <cfRule type="expression" dxfId="3856" priority="750">
      <formula>B24=""</formula>
    </cfRule>
  </conditionalFormatting>
  <conditionalFormatting sqref="C25">
    <cfRule type="expression" dxfId="3855" priority="749">
      <formula>B25=""</formula>
    </cfRule>
  </conditionalFormatting>
  <conditionalFormatting sqref="C26">
    <cfRule type="expression" dxfId="3854" priority="748">
      <formula>B26=""</formula>
    </cfRule>
  </conditionalFormatting>
  <conditionalFormatting sqref="C27">
    <cfRule type="expression" dxfId="3853" priority="747">
      <formula>B27=""</formula>
    </cfRule>
  </conditionalFormatting>
  <conditionalFormatting sqref="C28">
    <cfRule type="expression" dxfId="3852" priority="746">
      <formula>B28=""</formula>
    </cfRule>
  </conditionalFormatting>
  <conditionalFormatting sqref="D8 D10 D12 D14 D16 D18 D20 D22 D24 D26">
    <cfRule type="expression" dxfId="3851" priority="745">
      <formula>B8=""</formula>
    </cfRule>
  </conditionalFormatting>
  <conditionalFormatting sqref="D9 D11 D13 D15 D17 D19 D21 D23 D25 D27">
    <cfRule type="expression" dxfId="3850" priority="744">
      <formula>B9=""</formula>
    </cfRule>
  </conditionalFormatting>
  <conditionalFormatting sqref="D10:D20">
    <cfRule type="expression" dxfId="3849" priority="743">
      <formula>B10=""</formula>
    </cfRule>
  </conditionalFormatting>
  <conditionalFormatting sqref="D21">
    <cfRule type="expression" dxfId="3848" priority="742">
      <formula>B21=""</formula>
    </cfRule>
  </conditionalFormatting>
  <conditionalFormatting sqref="D22">
    <cfRule type="expression" dxfId="3847" priority="741">
      <formula>B22=""</formula>
    </cfRule>
  </conditionalFormatting>
  <conditionalFormatting sqref="D23">
    <cfRule type="expression" dxfId="3846" priority="740">
      <formula>B23=""</formula>
    </cfRule>
  </conditionalFormatting>
  <conditionalFormatting sqref="D24">
    <cfRule type="expression" dxfId="3845" priority="739">
      <formula>B24=""</formula>
    </cfRule>
  </conditionalFormatting>
  <conditionalFormatting sqref="D25">
    <cfRule type="expression" dxfId="3844" priority="738">
      <formula>B25=""</formula>
    </cfRule>
  </conditionalFormatting>
  <conditionalFormatting sqref="D26">
    <cfRule type="expression" dxfId="3843" priority="737">
      <formula>B26=""</formula>
    </cfRule>
  </conditionalFormatting>
  <conditionalFormatting sqref="D27">
    <cfRule type="expression" dxfId="3842" priority="736">
      <formula>B27=""</formula>
    </cfRule>
  </conditionalFormatting>
  <conditionalFormatting sqref="D28">
    <cfRule type="expression" dxfId="3841" priority="735">
      <formula>B28=""</formula>
    </cfRule>
  </conditionalFormatting>
  <conditionalFormatting sqref="E8 E10 E12 E14 E16 E18 E20 E22 E24 E26">
    <cfRule type="expression" dxfId="3840" priority="734">
      <formula>B8=""</formula>
    </cfRule>
  </conditionalFormatting>
  <conditionalFormatting sqref="E9 E11 E13 E15 E17 E19 E21 E23 E25 E27">
    <cfRule type="expression" dxfId="3839" priority="733">
      <formula>B9=""</formula>
    </cfRule>
  </conditionalFormatting>
  <conditionalFormatting sqref="E10:E20">
    <cfRule type="expression" dxfId="3838" priority="732">
      <formula>B10=""</formula>
    </cfRule>
  </conditionalFormatting>
  <conditionalFormatting sqref="E21">
    <cfRule type="expression" dxfId="3837" priority="731">
      <formula>B21=""</formula>
    </cfRule>
  </conditionalFormatting>
  <conditionalFormatting sqref="E22:E23">
    <cfRule type="expression" dxfId="3836" priority="730">
      <formula>B22=""</formula>
    </cfRule>
  </conditionalFormatting>
  <conditionalFormatting sqref="E23">
    <cfRule type="expression" dxfId="3835" priority="729">
      <formula>B23=""</formula>
    </cfRule>
  </conditionalFormatting>
  <conditionalFormatting sqref="E24">
    <cfRule type="expression" dxfId="3834" priority="728">
      <formula>B24=""</formula>
    </cfRule>
  </conditionalFormatting>
  <conditionalFormatting sqref="E25">
    <cfRule type="expression" dxfId="3833" priority="727">
      <formula>B25=""</formula>
    </cfRule>
  </conditionalFormatting>
  <conditionalFormatting sqref="E26">
    <cfRule type="expression" dxfId="3832" priority="726">
      <formula>B26=""</formula>
    </cfRule>
  </conditionalFormatting>
  <conditionalFormatting sqref="E27">
    <cfRule type="expression" dxfId="3831" priority="725">
      <formula>B27=""</formula>
    </cfRule>
  </conditionalFormatting>
  <conditionalFormatting sqref="E28">
    <cfRule type="expression" dxfId="3830" priority="724">
      <formula>B28=""</formula>
    </cfRule>
  </conditionalFormatting>
  <conditionalFormatting sqref="F8 F10 F12 F14 F16 F18 F20 F22 F24 F26">
    <cfRule type="expression" dxfId="3829" priority="723">
      <formula>B8=""</formula>
    </cfRule>
  </conditionalFormatting>
  <conditionalFormatting sqref="F9 F11 F13 F15 F17 F19 F21 F23 F25 F27">
    <cfRule type="expression" dxfId="3828" priority="722">
      <formula>B9=""</formula>
    </cfRule>
  </conditionalFormatting>
  <conditionalFormatting sqref="F10:F20">
    <cfRule type="expression" dxfId="3827" priority="721">
      <formula>B10=""</formula>
    </cfRule>
  </conditionalFormatting>
  <conditionalFormatting sqref="F21">
    <cfRule type="expression" dxfId="3826" priority="720">
      <formula>B21=""</formula>
    </cfRule>
  </conditionalFormatting>
  <conditionalFormatting sqref="F22">
    <cfRule type="expression" dxfId="3825" priority="719">
      <formula>B22=""</formula>
    </cfRule>
  </conditionalFormatting>
  <conditionalFormatting sqref="F23">
    <cfRule type="expression" dxfId="3824" priority="718">
      <formula>B23=""</formula>
    </cfRule>
  </conditionalFormatting>
  <conditionalFormatting sqref="F24">
    <cfRule type="expression" dxfId="3823" priority="717">
      <formula>B24=""</formula>
    </cfRule>
  </conditionalFormatting>
  <conditionalFormatting sqref="F25">
    <cfRule type="expression" dxfId="3822" priority="716">
      <formula>B25=""</formula>
    </cfRule>
  </conditionalFormatting>
  <conditionalFormatting sqref="F26">
    <cfRule type="expression" dxfId="3821" priority="715">
      <formula>B26=""</formula>
    </cfRule>
  </conditionalFormatting>
  <conditionalFormatting sqref="F27">
    <cfRule type="expression" dxfId="3820" priority="714">
      <formula>B27=""</formula>
    </cfRule>
  </conditionalFormatting>
  <conditionalFormatting sqref="F28">
    <cfRule type="expression" dxfId="3819" priority="713">
      <formula>B28=""</formula>
    </cfRule>
  </conditionalFormatting>
  <conditionalFormatting sqref="E9 E11 E13 E15 E17 E19 E21 E23 E25 E27">
    <cfRule type="expression" dxfId="3818" priority="712">
      <formula>B9=""</formula>
    </cfRule>
  </conditionalFormatting>
  <conditionalFormatting sqref="E10:E20">
    <cfRule type="expression" dxfId="3817" priority="711">
      <formula>B10=""</formula>
    </cfRule>
  </conditionalFormatting>
  <conditionalFormatting sqref="E21">
    <cfRule type="expression" dxfId="3816" priority="710">
      <formula>B21=""</formula>
    </cfRule>
  </conditionalFormatting>
  <conditionalFormatting sqref="E22:E23">
    <cfRule type="expression" dxfId="3815" priority="709">
      <formula>B22=""</formula>
    </cfRule>
  </conditionalFormatting>
  <conditionalFormatting sqref="E23">
    <cfRule type="expression" dxfId="3814" priority="708">
      <formula>B23=""</formula>
    </cfRule>
  </conditionalFormatting>
  <conditionalFormatting sqref="E24">
    <cfRule type="expression" dxfId="3813" priority="707">
      <formula>B24=""</formula>
    </cfRule>
  </conditionalFormatting>
  <conditionalFormatting sqref="E25">
    <cfRule type="expression" dxfId="3812" priority="706">
      <formula>B25=""</formula>
    </cfRule>
  </conditionalFormatting>
  <conditionalFormatting sqref="E26">
    <cfRule type="expression" dxfId="3811" priority="705">
      <formula>B26=""</formula>
    </cfRule>
  </conditionalFormatting>
  <conditionalFormatting sqref="E27">
    <cfRule type="expression" dxfId="3810" priority="704">
      <formula>B27=""</formula>
    </cfRule>
  </conditionalFormatting>
  <conditionalFormatting sqref="E28">
    <cfRule type="expression" dxfId="3809" priority="703">
      <formula>B28=""</formula>
    </cfRule>
  </conditionalFormatting>
  <conditionalFormatting sqref="G8 G10 G12 G14 G16 G18 G20 G22 G24 G26">
    <cfRule type="expression" dxfId="3808" priority="702">
      <formula>B8=""</formula>
    </cfRule>
  </conditionalFormatting>
  <conditionalFormatting sqref="G9 G11 G13 G15 G17 G19 G21 G23 G25 G27">
    <cfRule type="expression" dxfId="3807" priority="701">
      <formula>B9=""</formula>
    </cfRule>
  </conditionalFormatting>
  <conditionalFormatting sqref="G10:G20">
    <cfRule type="expression" dxfId="3806" priority="700">
      <formula>B10=""</formula>
    </cfRule>
  </conditionalFormatting>
  <conditionalFormatting sqref="G21">
    <cfRule type="expression" dxfId="3805" priority="699">
      <formula>B21=""</formula>
    </cfRule>
  </conditionalFormatting>
  <conditionalFormatting sqref="G22">
    <cfRule type="expression" dxfId="3804" priority="698">
      <formula>B22=""</formula>
    </cfRule>
  </conditionalFormatting>
  <conditionalFormatting sqref="G23">
    <cfRule type="expression" dxfId="3803" priority="697">
      <formula>B23=""</formula>
    </cfRule>
  </conditionalFormatting>
  <conditionalFormatting sqref="G24">
    <cfRule type="expression" dxfId="3802" priority="696">
      <formula>B24=""</formula>
    </cfRule>
  </conditionalFormatting>
  <conditionalFormatting sqref="G25">
    <cfRule type="expression" dxfId="3801" priority="695">
      <formula>B25=""</formula>
    </cfRule>
  </conditionalFormatting>
  <conditionalFormatting sqref="G26">
    <cfRule type="expression" dxfId="3800" priority="694">
      <formula>B26=""</formula>
    </cfRule>
  </conditionalFormatting>
  <conditionalFormatting sqref="G27">
    <cfRule type="expression" dxfId="3799" priority="693">
      <formula>B27=""</formula>
    </cfRule>
  </conditionalFormatting>
  <conditionalFormatting sqref="G28">
    <cfRule type="expression" dxfId="3798" priority="692">
      <formula>B28=""</formula>
    </cfRule>
  </conditionalFormatting>
  <conditionalFormatting sqref="H8 H10 H12 H14 H16 H18 H20 H22 H24 H26">
    <cfRule type="expression" dxfId="3797" priority="691">
      <formula>B8=""</formula>
    </cfRule>
  </conditionalFormatting>
  <conditionalFormatting sqref="H9 H11 H13 H15 H17 H19 H21 H23 H25 H27">
    <cfRule type="expression" dxfId="3796" priority="690">
      <formula>B9=""</formula>
    </cfRule>
  </conditionalFormatting>
  <conditionalFormatting sqref="H10:H20">
    <cfRule type="expression" dxfId="3795" priority="689">
      <formula>B10=""</formula>
    </cfRule>
  </conditionalFormatting>
  <conditionalFormatting sqref="H21">
    <cfRule type="expression" dxfId="3794" priority="688">
      <formula>B21=""</formula>
    </cfRule>
  </conditionalFormatting>
  <conditionalFormatting sqref="H22">
    <cfRule type="expression" dxfId="3793" priority="687">
      <formula>B22=""</formula>
    </cfRule>
  </conditionalFormatting>
  <conditionalFormatting sqref="H23">
    <cfRule type="expression" dxfId="3792" priority="686">
      <formula>B23=""</formula>
    </cfRule>
  </conditionalFormatting>
  <conditionalFormatting sqref="H24">
    <cfRule type="expression" dxfId="3791" priority="685">
      <formula>B24=""</formula>
    </cfRule>
  </conditionalFormatting>
  <conditionalFormatting sqref="H25">
    <cfRule type="expression" dxfId="3790" priority="684">
      <formula>B25=""</formula>
    </cfRule>
  </conditionalFormatting>
  <conditionalFormatting sqref="H26">
    <cfRule type="expression" dxfId="3789" priority="683">
      <formula>B26=""</formula>
    </cfRule>
  </conditionalFormatting>
  <conditionalFormatting sqref="H27">
    <cfRule type="expression" dxfId="3788" priority="682">
      <formula>B27=""</formula>
    </cfRule>
  </conditionalFormatting>
  <conditionalFormatting sqref="H28">
    <cfRule type="expression" dxfId="3787" priority="681">
      <formula>B28=""</formula>
    </cfRule>
  </conditionalFormatting>
  <conditionalFormatting sqref="C30:C50">
    <cfRule type="expression" dxfId="3786" priority="680">
      <formula>B30=""</formula>
    </cfRule>
  </conditionalFormatting>
  <conditionalFormatting sqref="C31 C33 C35 C37 C39 C41 C43 C45 C47 C49">
    <cfRule type="expression" dxfId="3785" priority="679">
      <formula>B31=""</formula>
    </cfRule>
  </conditionalFormatting>
  <conditionalFormatting sqref="C32:C42">
    <cfRule type="expression" dxfId="3784" priority="678">
      <formula>B32=""</formula>
    </cfRule>
  </conditionalFormatting>
  <conditionalFormatting sqref="C43">
    <cfRule type="expression" dxfId="3783" priority="677">
      <formula>B43=""</formula>
    </cfRule>
  </conditionalFormatting>
  <conditionalFormatting sqref="C44">
    <cfRule type="expression" dxfId="3782" priority="676">
      <formula>B44=""</formula>
    </cfRule>
  </conditionalFormatting>
  <conditionalFormatting sqref="C45">
    <cfRule type="expression" dxfId="3781" priority="675">
      <formula>B45=""</formula>
    </cfRule>
  </conditionalFormatting>
  <conditionalFormatting sqref="C46">
    <cfRule type="expression" dxfId="3780" priority="674">
      <formula>B46=""</formula>
    </cfRule>
  </conditionalFormatting>
  <conditionalFormatting sqref="C47">
    <cfRule type="expression" dxfId="3779" priority="673">
      <formula>B47=""</formula>
    </cfRule>
  </conditionalFormatting>
  <conditionalFormatting sqref="C48">
    <cfRule type="expression" dxfId="3778" priority="672">
      <formula>B48=""</formula>
    </cfRule>
  </conditionalFormatting>
  <conditionalFormatting sqref="C49">
    <cfRule type="expression" dxfId="3777" priority="671">
      <formula>B49=""</formula>
    </cfRule>
  </conditionalFormatting>
  <conditionalFormatting sqref="C50">
    <cfRule type="expression" dxfId="3776" priority="670">
      <formula>B50=""</formula>
    </cfRule>
  </conditionalFormatting>
  <conditionalFormatting sqref="D30 D32 D34 D36 D38 D40 D42 D44 D46 D48">
    <cfRule type="expression" dxfId="3775" priority="669">
      <formula>B30=""</formula>
    </cfRule>
  </conditionalFormatting>
  <conditionalFormatting sqref="D31 D33 D35 D37 D39 D41 D43 D45 D47 D49">
    <cfRule type="expression" dxfId="3774" priority="668">
      <formula>B31=""</formula>
    </cfRule>
  </conditionalFormatting>
  <conditionalFormatting sqref="D32:D42">
    <cfRule type="expression" dxfId="3773" priority="667">
      <formula>B32=""</formula>
    </cfRule>
  </conditionalFormatting>
  <conditionalFormatting sqref="D43">
    <cfRule type="expression" dxfId="3772" priority="666">
      <formula>B43=""</formula>
    </cfRule>
  </conditionalFormatting>
  <conditionalFormatting sqref="D44">
    <cfRule type="expression" dxfId="3771" priority="665">
      <formula>B44=""</formula>
    </cfRule>
  </conditionalFormatting>
  <conditionalFormatting sqref="D45">
    <cfRule type="expression" dxfId="3770" priority="664">
      <formula>B45=""</formula>
    </cfRule>
  </conditionalFormatting>
  <conditionalFormatting sqref="D46">
    <cfRule type="expression" dxfId="3769" priority="663">
      <formula>B46=""</formula>
    </cfRule>
  </conditionalFormatting>
  <conditionalFormatting sqref="D47">
    <cfRule type="expression" dxfId="3768" priority="662">
      <formula>B47=""</formula>
    </cfRule>
  </conditionalFormatting>
  <conditionalFormatting sqref="D48">
    <cfRule type="expression" dxfId="3767" priority="661">
      <formula>B48=""</formula>
    </cfRule>
  </conditionalFormatting>
  <conditionalFormatting sqref="D49">
    <cfRule type="expression" dxfId="3766" priority="660">
      <formula>B49=""</formula>
    </cfRule>
  </conditionalFormatting>
  <conditionalFormatting sqref="D50">
    <cfRule type="expression" dxfId="3765" priority="659">
      <formula>B50=""</formula>
    </cfRule>
  </conditionalFormatting>
  <conditionalFormatting sqref="E30 E32 E34 E36 E38 E40 E42 E44 E46 E48">
    <cfRule type="expression" dxfId="3764" priority="658">
      <formula>B30=""</formula>
    </cfRule>
  </conditionalFormatting>
  <conditionalFormatting sqref="E31 E33 E35 E37 E39 E41 E43 E45 E47 E49">
    <cfRule type="expression" dxfId="3763" priority="657">
      <formula>B31=""</formula>
    </cfRule>
  </conditionalFormatting>
  <conditionalFormatting sqref="E32:E42">
    <cfRule type="expression" dxfId="3762" priority="656">
      <formula>B32=""</formula>
    </cfRule>
  </conditionalFormatting>
  <conditionalFormatting sqref="E43">
    <cfRule type="expression" dxfId="3761" priority="655">
      <formula>B43=""</formula>
    </cfRule>
  </conditionalFormatting>
  <conditionalFormatting sqref="E44">
    <cfRule type="expression" dxfId="3760" priority="654">
      <formula>B44=""</formula>
    </cfRule>
  </conditionalFormatting>
  <conditionalFormatting sqref="E45">
    <cfRule type="expression" dxfId="3759" priority="653">
      <formula>B45=""</formula>
    </cfRule>
  </conditionalFormatting>
  <conditionalFormatting sqref="E46">
    <cfRule type="expression" dxfId="3758" priority="652">
      <formula>B46=""</formula>
    </cfRule>
  </conditionalFormatting>
  <conditionalFormatting sqref="E47">
    <cfRule type="expression" dxfId="3757" priority="651">
      <formula>B47=""</formula>
    </cfRule>
  </conditionalFormatting>
  <conditionalFormatting sqref="E48">
    <cfRule type="expression" dxfId="3756" priority="650">
      <formula>B48=""</formula>
    </cfRule>
  </conditionalFormatting>
  <conditionalFormatting sqref="E49">
    <cfRule type="expression" dxfId="3755" priority="649">
      <formula>B49=""</formula>
    </cfRule>
  </conditionalFormatting>
  <conditionalFormatting sqref="E50">
    <cfRule type="expression" dxfId="3754" priority="648">
      <formula>B50=""</formula>
    </cfRule>
  </conditionalFormatting>
  <conditionalFormatting sqref="F30 F32 F34 F36 F38 F40 F42 F44 F46 F48">
    <cfRule type="expression" dxfId="3753" priority="647">
      <formula>B30=""</formula>
    </cfRule>
  </conditionalFormatting>
  <conditionalFormatting sqref="F31 F33 F35 F37 F39 F41 F43 F45 F47 F49">
    <cfRule type="expression" dxfId="3752" priority="646">
      <formula>B31=""</formula>
    </cfRule>
  </conditionalFormatting>
  <conditionalFormatting sqref="F32:F42">
    <cfRule type="expression" dxfId="3751" priority="645">
      <formula>B32=""</formula>
    </cfRule>
  </conditionalFormatting>
  <conditionalFormatting sqref="F43">
    <cfRule type="expression" dxfId="3750" priority="644">
      <formula>B43=""</formula>
    </cfRule>
  </conditionalFormatting>
  <conditionalFormatting sqref="F44">
    <cfRule type="expression" dxfId="3749" priority="643">
      <formula>B44=""</formula>
    </cfRule>
  </conditionalFormatting>
  <conditionalFormatting sqref="F45">
    <cfRule type="expression" dxfId="3748" priority="642">
      <formula>B45=""</formula>
    </cfRule>
  </conditionalFormatting>
  <conditionalFormatting sqref="F46">
    <cfRule type="expression" dxfId="3747" priority="641">
      <formula>B46=""</formula>
    </cfRule>
  </conditionalFormatting>
  <conditionalFormatting sqref="F47">
    <cfRule type="expression" dxfId="3746" priority="640">
      <formula>B47=""</formula>
    </cfRule>
  </conditionalFormatting>
  <conditionalFormatting sqref="F48">
    <cfRule type="expression" dxfId="3745" priority="639">
      <formula>B48=""</formula>
    </cfRule>
  </conditionalFormatting>
  <conditionalFormatting sqref="F49">
    <cfRule type="expression" dxfId="3744" priority="638">
      <formula>B49=""</formula>
    </cfRule>
  </conditionalFormatting>
  <conditionalFormatting sqref="F50">
    <cfRule type="expression" dxfId="3743" priority="637">
      <formula>B50=""</formula>
    </cfRule>
  </conditionalFormatting>
  <conditionalFormatting sqref="E31 E33 E35 E37 E39 E41 E43 E45 E47 E49">
    <cfRule type="expression" dxfId="3742" priority="636">
      <formula>B31=""</formula>
    </cfRule>
  </conditionalFormatting>
  <conditionalFormatting sqref="E32:E42">
    <cfRule type="expression" dxfId="3741" priority="635">
      <formula>B32=""</formula>
    </cfRule>
  </conditionalFormatting>
  <conditionalFormatting sqref="E43">
    <cfRule type="expression" dxfId="3740" priority="634">
      <formula>B43=""</formula>
    </cfRule>
  </conditionalFormatting>
  <conditionalFormatting sqref="E44">
    <cfRule type="expression" dxfId="3739" priority="633">
      <formula>B44=""</formula>
    </cfRule>
  </conditionalFormatting>
  <conditionalFormatting sqref="E45">
    <cfRule type="expression" dxfId="3738" priority="632">
      <formula>B45=""</formula>
    </cfRule>
  </conditionalFormatting>
  <conditionalFormatting sqref="E46">
    <cfRule type="expression" dxfId="3737" priority="631">
      <formula>B46=""</formula>
    </cfRule>
  </conditionalFormatting>
  <conditionalFormatting sqref="E47">
    <cfRule type="expression" dxfId="3736" priority="630">
      <formula>B47=""</formula>
    </cfRule>
  </conditionalFormatting>
  <conditionalFormatting sqref="E48">
    <cfRule type="expression" dxfId="3735" priority="629">
      <formula>B48=""</formula>
    </cfRule>
  </conditionalFormatting>
  <conditionalFormatting sqref="E49">
    <cfRule type="expression" dxfId="3734" priority="628">
      <formula>B49=""</formula>
    </cfRule>
  </conditionalFormatting>
  <conditionalFormatting sqref="E50">
    <cfRule type="expression" dxfId="3733" priority="627">
      <formula>B50=""</formula>
    </cfRule>
  </conditionalFormatting>
  <conditionalFormatting sqref="G30 G32 G34 G36 G38 G40 G42 G44 G46 G48">
    <cfRule type="expression" dxfId="3732" priority="626">
      <formula>B30=""</formula>
    </cfRule>
  </conditionalFormatting>
  <conditionalFormatting sqref="G31 G33 G35 G37 G39 G41 G43 G45 G47 G49">
    <cfRule type="expression" dxfId="3731" priority="625">
      <formula>B31=""</formula>
    </cfRule>
  </conditionalFormatting>
  <conditionalFormatting sqref="G32:G42">
    <cfRule type="expression" dxfId="3730" priority="624">
      <formula>B32=""</formula>
    </cfRule>
  </conditionalFormatting>
  <conditionalFormatting sqref="G43">
    <cfRule type="expression" dxfId="3729" priority="623">
      <formula>B43=""</formula>
    </cfRule>
  </conditionalFormatting>
  <conditionalFormatting sqref="G44">
    <cfRule type="expression" dxfId="3728" priority="622">
      <formula>B44=""</formula>
    </cfRule>
  </conditionalFormatting>
  <conditionalFormatting sqref="G45">
    <cfRule type="expression" dxfId="3727" priority="621">
      <formula>B45=""</formula>
    </cfRule>
  </conditionalFormatting>
  <conditionalFormatting sqref="G46">
    <cfRule type="expression" dxfId="3726" priority="620">
      <formula>B46=""</formula>
    </cfRule>
  </conditionalFormatting>
  <conditionalFormatting sqref="G47">
    <cfRule type="expression" dxfId="3725" priority="619">
      <formula>B47=""</formula>
    </cfRule>
  </conditionalFormatting>
  <conditionalFormatting sqref="G48">
    <cfRule type="expression" dxfId="3724" priority="618">
      <formula>B48=""</formula>
    </cfRule>
  </conditionalFormatting>
  <conditionalFormatting sqref="G49">
    <cfRule type="expression" dxfId="3723" priority="617">
      <formula>B49=""</formula>
    </cfRule>
  </conditionalFormatting>
  <conditionalFormatting sqref="G50">
    <cfRule type="expression" dxfId="3722" priority="616">
      <formula>B50=""</formula>
    </cfRule>
  </conditionalFormatting>
  <conditionalFormatting sqref="H30 H32 H34 H36 H38 H40 H42 H44 H46 H48">
    <cfRule type="expression" dxfId="3721" priority="615">
      <formula>B30=""</formula>
    </cfRule>
  </conditionalFormatting>
  <conditionalFormatting sqref="H31 H33 H35 H37 H39 H41 H43 H45 H47 H49">
    <cfRule type="expression" dxfId="3720" priority="614">
      <formula>B31=""</formula>
    </cfRule>
  </conditionalFormatting>
  <conditionalFormatting sqref="H32:H42">
    <cfRule type="expression" dxfId="3719" priority="613">
      <formula>B32=""</formula>
    </cfRule>
  </conditionalFormatting>
  <conditionalFormatting sqref="H43">
    <cfRule type="expression" dxfId="3718" priority="612">
      <formula>B43=""</formula>
    </cfRule>
  </conditionalFormatting>
  <conditionalFormatting sqref="H44">
    <cfRule type="expression" dxfId="3717" priority="611">
      <formula>B44=""</formula>
    </cfRule>
  </conditionalFormatting>
  <conditionalFormatting sqref="H45">
    <cfRule type="expression" dxfId="3716" priority="610">
      <formula>B45=""</formula>
    </cfRule>
  </conditionalFormatting>
  <conditionalFormatting sqref="H46">
    <cfRule type="expression" dxfId="3715" priority="609">
      <formula>B46=""</formula>
    </cfRule>
  </conditionalFormatting>
  <conditionalFormatting sqref="H47">
    <cfRule type="expression" dxfId="3714" priority="608">
      <formula>B47=""</formula>
    </cfRule>
  </conditionalFormatting>
  <conditionalFormatting sqref="H48">
    <cfRule type="expression" dxfId="3713" priority="607">
      <formula>B48=""</formula>
    </cfRule>
  </conditionalFormatting>
  <conditionalFormatting sqref="H49">
    <cfRule type="expression" dxfId="3712" priority="606">
      <formula>B49=""</formula>
    </cfRule>
  </conditionalFormatting>
  <conditionalFormatting sqref="H50">
    <cfRule type="expression" dxfId="3711" priority="605">
      <formula>B50=""</formula>
    </cfRule>
  </conditionalFormatting>
  <conditionalFormatting sqref="C52:C71">
    <cfRule type="expression" dxfId="3710" priority="604">
      <formula>B52=""</formula>
    </cfRule>
  </conditionalFormatting>
  <conditionalFormatting sqref="C53 C55 C57 C59 C61 C63 C65 C67 C69 C71">
    <cfRule type="expression" dxfId="3709" priority="603">
      <formula>B53=""</formula>
    </cfRule>
  </conditionalFormatting>
  <conditionalFormatting sqref="C54:C64">
    <cfRule type="expression" dxfId="3708" priority="602">
      <formula>B54=""</formula>
    </cfRule>
  </conditionalFormatting>
  <conditionalFormatting sqref="C65">
    <cfRule type="expression" dxfId="3707" priority="601">
      <formula>B65=""</formula>
    </cfRule>
  </conditionalFormatting>
  <conditionalFormatting sqref="C66">
    <cfRule type="expression" dxfId="3706" priority="600">
      <formula>B66=""</formula>
    </cfRule>
  </conditionalFormatting>
  <conditionalFormatting sqref="C67">
    <cfRule type="expression" dxfId="3705" priority="599">
      <formula>B67=""</formula>
    </cfRule>
  </conditionalFormatting>
  <conditionalFormatting sqref="C68">
    <cfRule type="expression" dxfId="3704" priority="598">
      <formula>B68=""</formula>
    </cfRule>
  </conditionalFormatting>
  <conditionalFormatting sqref="C69">
    <cfRule type="expression" dxfId="3703" priority="597">
      <formula>B69=""</formula>
    </cfRule>
  </conditionalFormatting>
  <conditionalFormatting sqref="C70">
    <cfRule type="expression" dxfId="3702" priority="596">
      <formula>B70=""</formula>
    </cfRule>
  </conditionalFormatting>
  <conditionalFormatting sqref="C71">
    <cfRule type="expression" dxfId="3701" priority="595">
      <formula>B71=""</formula>
    </cfRule>
  </conditionalFormatting>
  <conditionalFormatting sqref="C72">
    <cfRule type="expression" dxfId="3700" priority="594">
      <formula>B72=""</formula>
    </cfRule>
  </conditionalFormatting>
  <conditionalFormatting sqref="D52 D54 D56 D58 D60 D62 D64 D66 D68 D70">
    <cfRule type="expression" dxfId="3699" priority="593">
      <formula>B52=""</formula>
    </cfRule>
  </conditionalFormatting>
  <conditionalFormatting sqref="D53 D55 D57 D59 D61 D63 D65 D67 D69 D71">
    <cfRule type="expression" dxfId="3698" priority="592">
      <formula>B53=""</formula>
    </cfRule>
  </conditionalFormatting>
  <conditionalFormatting sqref="D54:D64">
    <cfRule type="expression" dxfId="3697" priority="591">
      <formula>B54=""</formula>
    </cfRule>
  </conditionalFormatting>
  <conditionalFormatting sqref="D65">
    <cfRule type="expression" dxfId="3696" priority="590">
      <formula>B65=""</formula>
    </cfRule>
  </conditionalFormatting>
  <conditionalFormatting sqref="D66">
    <cfRule type="expression" dxfId="3695" priority="589">
      <formula>B66=""</formula>
    </cfRule>
  </conditionalFormatting>
  <conditionalFormatting sqref="D67">
    <cfRule type="expression" dxfId="3694" priority="588">
      <formula>B67=""</formula>
    </cfRule>
  </conditionalFormatting>
  <conditionalFormatting sqref="D68">
    <cfRule type="expression" dxfId="3693" priority="587">
      <formula>B68=""</formula>
    </cfRule>
  </conditionalFormatting>
  <conditionalFormatting sqref="D69">
    <cfRule type="expression" dxfId="3692" priority="586">
      <formula>B69=""</formula>
    </cfRule>
  </conditionalFormatting>
  <conditionalFormatting sqref="D70">
    <cfRule type="expression" dxfId="3691" priority="585">
      <formula>B70=""</formula>
    </cfRule>
  </conditionalFormatting>
  <conditionalFormatting sqref="D71">
    <cfRule type="expression" dxfId="3690" priority="584">
      <formula>B71=""</formula>
    </cfRule>
  </conditionalFormatting>
  <conditionalFormatting sqref="D72">
    <cfRule type="expression" dxfId="3689" priority="583">
      <formula>B72=""</formula>
    </cfRule>
  </conditionalFormatting>
  <conditionalFormatting sqref="E52 E54 E56 E58 E60 E62 E64 E66 E68 E70">
    <cfRule type="expression" dxfId="3688" priority="582">
      <formula>B52=""</formula>
    </cfRule>
  </conditionalFormatting>
  <conditionalFormatting sqref="E53 E55 E57 E59 E61 E63 E65 E67 E69 E71">
    <cfRule type="expression" dxfId="3687" priority="581">
      <formula>B53=""</formula>
    </cfRule>
  </conditionalFormatting>
  <conditionalFormatting sqref="E54:E64">
    <cfRule type="expression" dxfId="3686" priority="580">
      <formula>B54=""</formula>
    </cfRule>
  </conditionalFormatting>
  <conditionalFormatting sqref="E65">
    <cfRule type="expression" dxfId="3685" priority="579">
      <formula>B65=""</formula>
    </cfRule>
  </conditionalFormatting>
  <conditionalFormatting sqref="E66">
    <cfRule type="expression" dxfId="3684" priority="578">
      <formula>B66=""</formula>
    </cfRule>
  </conditionalFormatting>
  <conditionalFormatting sqref="E67">
    <cfRule type="expression" dxfId="3683" priority="577">
      <formula>B67=""</formula>
    </cfRule>
  </conditionalFormatting>
  <conditionalFormatting sqref="E68">
    <cfRule type="expression" dxfId="3682" priority="576">
      <formula>B68=""</formula>
    </cfRule>
  </conditionalFormatting>
  <conditionalFormatting sqref="E69">
    <cfRule type="expression" dxfId="3681" priority="575">
      <formula>B69=""</formula>
    </cfRule>
  </conditionalFormatting>
  <conditionalFormatting sqref="E70">
    <cfRule type="expression" dxfId="3680" priority="574">
      <formula>B70=""</formula>
    </cfRule>
  </conditionalFormatting>
  <conditionalFormatting sqref="E71">
    <cfRule type="expression" dxfId="3679" priority="573">
      <formula>B71=""</formula>
    </cfRule>
  </conditionalFormatting>
  <conditionalFormatting sqref="E72">
    <cfRule type="expression" dxfId="3678" priority="572">
      <formula>B72=""</formula>
    </cfRule>
  </conditionalFormatting>
  <conditionalFormatting sqref="F52 F54 F56 F58 F60 F62 F64 F66 F68 F70">
    <cfRule type="expression" dxfId="3677" priority="571">
      <formula>B52=""</formula>
    </cfRule>
  </conditionalFormatting>
  <conditionalFormatting sqref="F53 F55 F57 F59 F61 F63 F65 F67 F69 F71">
    <cfRule type="expression" dxfId="3676" priority="570">
      <formula>B53=""</formula>
    </cfRule>
  </conditionalFormatting>
  <conditionalFormatting sqref="F54:F64">
    <cfRule type="expression" dxfId="3675" priority="569">
      <formula>B54=""</formula>
    </cfRule>
  </conditionalFormatting>
  <conditionalFormatting sqref="F65">
    <cfRule type="expression" dxfId="3674" priority="568">
      <formula>B65=""</formula>
    </cfRule>
  </conditionalFormatting>
  <conditionalFormatting sqref="F66">
    <cfRule type="expression" dxfId="3673" priority="567">
      <formula>B66=""</formula>
    </cfRule>
  </conditionalFormatting>
  <conditionalFormatting sqref="F67">
    <cfRule type="expression" dxfId="3672" priority="566">
      <formula>B67=""</formula>
    </cfRule>
  </conditionalFormatting>
  <conditionalFormatting sqref="F68">
    <cfRule type="expression" dxfId="3671" priority="565">
      <formula>B68=""</formula>
    </cfRule>
  </conditionalFormatting>
  <conditionalFormatting sqref="F69">
    <cfRule type="expression" dxfId="3670" priority="564">
      <formula>B69=""</formula>
    </cfRule>
  </conditionalFormatting>
  <conditionalFormatting sqref="F70">
    <cfRule type="expression" dxfId="3669" priority="563">
      <formula>B70=""</formula>
    </cfRule>
  </conditionalFormatting>
  <conditionalFormatting sqref="F71">
    <cfRule type="expression" dxfId="3668" priority="562">
      <formula>B71=""</formula>
    </cfRule>
  </conditionalFormatting>
  <conditionalFormatting sqref="F72">
    <cfRule type="expression" dxfId="3667" priority="561">
      <formula>B72=""</formula>
    </cfRule>
  </conditionalFormatting>
  <conditionalFormatting sqref="E53 E55 E57 E59 E61 E63 E65 E67 E69 E71">
    <cfRule type="expression" dxfId="3666" priority="560">
      <formula>B53=""</formula>
    </cfRule>
  </conditionalFormatting>
  <conditionalFormatting sqref="E54:E64">
    <cfRule type="expression" dxfId="3665" priority="559">
      <formula>B54=""</formula>
    </cfRule>
  </conditionalFormatting>
  <conditionalFormatting sqref="E65">
    <cfRule type="expression" dxfId="3664" priority="558">
      <formula>B65=""</formula>
    </cfRule>
  </conditionalFormatting>
  <conditionalFormatting sqref="E66">
    <cfRule type="expression" dxfId="3663" priority="557">
      <formula>B66=""</formula>
    </cfRule>
  </conditionalFormatting>
  <conditionalFormatting sqref="E67">
    <cfRule type="expression" dxfId="3662" priority="556">
      <formula>B67=""</formula>
    </cfRule>
  </conditionalFormatting>
  <conditionalFormatting sqref="E68">
    <cfRule type="expression" dxfId="3661" priority="555">
      <formula>B68=""</formula>
    </cfRule>
  </conditionalFormatting>
  <conditionalFormatting sqref="E69">
    <cfRule type="expression" dxfId="3660" priority="554">
      <formula>B69=""</formula>
    </cfRule>
  </conditionalFormatting>
  <conditionalFormatting sqref="E70">
    <cfRule type="expression" dxfId="3659" priority="553">
      <formula>B70=""</formula>
    </cfRule>
  </conditionalFormatting>
  <conditionalFormatting sqref="E71">
    <cfRule type="expression" dxfId="3658" priority="552">
      <formula>B71=""</formula>
    </cfRule>
  </conditionalFormatting>
  <conditionalFormatting sqref="E72">
    <cfRule type="expression" dxfId="3657" priority="551">
      <formula>B72=""</formula>
    </cfRule>
  </conditionalFormatting>
  <conditionalFormatting sqref="G52 G54 G56 G58 G60 G62 G64 G66 G68 G70">
    <cfRule type="expression" dxfId="3656" priority="550">
      <formula>B52=""</formula>
    </cfRule>
  </conditionalFormatting>
  <conditionalFormatting sqref="G53 G55 G57 G59 G61 G63 G65 G67 G69 G71">
    <cfRule type="expression" dxfId="3655" priority="549">
      <formula>B53=""</formula>
    </cfRule>
  </conditionalFormatting>
  <conditionalFormatting sqref="G54:G64">
    <cfRule type="expression" dxfId="3654" priority="548">
      <formula>B54=""</formula>
    </cfRule>
  </conditionalFormatting>
  <conditionalFormatting sqref="G65">
    <cfRule type="expression" dxfId="3653" priority="547">
      <formula>B65=""</formula>
    </cfRule>
  </conditionalFormatting>
  <conditionalFormatting sqref="G66">
    <cfRule type="expression" dxfId="3652" priority="546">
      <formula>B66=""</formula>
    </cfRule>
  </conditionalFormatting>
  <conditionalFormatting sqref="G67">
    <cfRule type="expression" dxfId="3651" priority="545">
      <formula>B67=""</formula>
    </cfRule>
  </conditionalFormatting>
  <conditionalFormatting sqref="G68">
    <cfRule type="expression" dxfId="3650" priority="544">
      <formula>B68=""</formula>
    </cfRule>
  </conditionalFormatting>
  <conditionalFormatting sqref="G69">
    <cfRule type="expression" dxfId="3649" priority="543">
      <formula>B69=""</formula>
    </cfRule>
  </conditionalFormatting>
  <conditionalFormatting sqref="G70">
    <cfRule type="expression" dxfId="3648" priority="542">
      <formula>B70=""</formula>
    </cfRule>
  </conditionalFormatting>
  <conditionalFormatting sqref="G71">
    <cfRule type="expression" dxfId="3647" priority="541">
      <formula>B71=""</formula>
    </cfRule>
  </conditionalFormatting>
  <conditionalFormatting sqref="G72">
    <cfRule type="expression" dxfId="3646" priority="540">
      <formula>B72=""</formula>
    </cfRule>
  </conditionalFormatting>
  <conditionalFormatting sqref="H52 H54 H56 H58 H60 H62 H64 H66 H68 H70">
    <cfRule type="expression" dxfId="3645" priority="539">
      <formula>B52=""</formula>
    </cfRule>
  </conditionalFormatting>
  <conditionalFormatting sqref="H53 H55 H57 H59 H61 H63 H65 H67 H69 H71">
    <cfRule type="expression" dxfId="3644" priority="538">
      <formula>B53=""</formula>
    </cfRule>
  </conditionalFormatting>
  <conditionalFormatting sqref="H54:H64">
    <cfRule type="expression" dxfId="3643" priority="537">
      <formula>B54=""</formula>
    </cfRule>
  </conditionalFormatting>
  <conditionalFormatting sqref="H65">
    <cfRule type="expression" dxfId="3642" priority="536">
      <formula>B65=""</formula>
    </cfRule>
  </conditionalFormatting>
  <conditionalFormatting sqref="H66">
    <cfRule type="expression" dxfId="3641" priority="535">
      <formula>B66=""</formula>
    </cfRule>
  </conditionalFormatting>
  <conditionalFormatting sqref="H67">
    <cfRule type="expression" dxfId="3640" priority="534">
      <formula>B67=""</formula>
    </cfRule>
  </conditionalFormatting>
  <conditionalFormatting sqref="H68">
    <cfRule type="expression" dxfId="3639" priority="533">
      <formula>B68=""</formula>
    </cfRule>
  </conditionalFormatting>
  <conditionalFormatting sqref="H69">
    <cfRule type="expression" dxfId="3638" priority="532">
      <formula>B69=""</formula>
    </cfRule>
  </conditionalFormatting>
  <conditionalFormatting sqref="H70">
    <cfRule type="expression" dxfId="3637" priority="531">
      <formula>B70=""</formula>
    </cfRule>
  </conditionalFormatting>
  <conditionalFormatting sqref="H71">
    <cfRule type="expression" dxfId="3636" priority="530">
      <formula>B71=""</formula>
    </cfRule>
  </conditionalFormatting>
  <conditionalFormatting sqref="H72">
    <cfRule type="expression" dxfId="3635" priority="529">
      <formula>B72=""</formula>
    </cfRule>
  </conditionalFormatting>
  <conditionalFormatting sqref="C74:C94">
    <cfRule type="expression" dxfId="3634" priority="528">
      <formula>B74=""</formula>
    </cfRule>
  </conditionalFormatting>
  <conditionalFormatting sqref="C75 C77 C79 C81 C83 C85 C87 C89 C91 C93">
    <cfRule type="expression" dxfId="3633" priority="527">
      <formula>B75=""</formula>
    </cfRule>
  </conditionalFormatting>
  <conditionalFormatting sqref="C76:C86">
    <cfRule type="expression" dxfId="3632" priority="526">
      <formula>B76=""</formula>
    </cfRule>
  </conditionalFormatting>
  <conditionalFormatting sqref="C87">
    <cfRule type="expression" dxfId="3631" priority="525">
      <formula>B87=""</formula>
    </cfRule>
  </conditionalFormatting>
  <conditionalFormatting sqref="C88">
    <cfRule type="expression" dxfId="3630" priority="524">
      <formula>B88=""</formula>
    </cfRule>
  </conditionalFormatting>
  <conditionalFormatting sqref="C89">
    <cfRule type="expression" dxfId="3629" priority="523">
      <formula>B89=""</formula>
    </cfRule>
  </conditionalFormatting>
  <conditionalFormatting sqref="C90">
    <cfRule type="expression" dxfId="3628" priority="522">
      <formula>B90=""</formula>
    </cfRule>
  </conditionalFormatting>
  <conditionalFormatting sqref="C91">
    <cfRule type="expression" dxfId="3627" priority="521">
      <formula>B91=""</formula>
    </cfRule>
  </conditionalFormatting>
  <conditionalFormatting sqref="C92">
    <cfRule type="expression" dxfId="3626" priority="520">
      <formula>B92=""</formula>
    </cfRule>
  </conditionalFormatting>
  <conditionalFormatting sqref="C93">
    <cfRule type="expression" dxfId="3625" priority="519">
      <formula>B93=""</formula>
    </cfRule>
  </conditionalFormatting>
  <conditionalFormatting sqref="C94">
    <cfRule type="expression" dxfId="3624" priority="518">
      <formula>B94=""</formula>
    </cfRule>
  </conditionalFormatting>
  <conditionalFormatting sqref="D74 D76 D78 D80 D82 D84 D86 D88 D90 D92">
    <cfRule type="expression" dxfId="3623" priority="517">
      <formula>B74=""</formula>
    </cfRule>
  </conditionalFormatting>
  <conditionalFormatting sqref="D75 D77 D79 D81 D83 D85 D87 D89 D91 D93">
    <cfRule type="expression" dxfId="3622" priority="516">
      <formula>B75=""</formula>
    </cfRule>
  </conditionalFormatting>
  <conditionalFormatting sqref="D76:D86">
    <cfRule type="expression" dxfId="3621" priority="515">
      <formula>B76=""</formula>
    </cfRule>
  </conditionalFormatting>
  <conditionalFormatting sqref="D87">
    <cfRule type="expression" dxfId="3620" priority="514">
      <formula>B87=""</formula>
    </cfRule>
  </conditionalFormatting>
  <conditionalFormatting sqref="D88">
    <cfRule type="expression" dxfId="3619" priority="513">
      <formula>B88=""</formula>
    </cfRule>
  </conditionalFormatting>
  <conditionalFormatting sqref="D89">
    <cfRule type="expression" dxfId="3618" priority="512">
      <formula>B89=""</formula>
    </cfRule>
  </conditionalFormatting>
  <conditionalFormatting sqref="D90">
    <cfRule type="expression" dxfId="3617" priority="511">
      <formula>B90=""</formula>
    </cfRule>
  </conditionalFormatting>
  <conditionalFormatting sqref="D91">
    <cfRule type="expression" dxfId="3616" priority="510">
      <formula>B91=""</formula>
    </cfRule>
  </conditionalFormatting>
  <conditionalFormatting sqref="D92">
    <cfRule type="expression" dxfId="3615" priority="509">
      <formula>B92=""</formula>
    </cfRule>
  </conditionalFormatting>
  <conditionalFormatting sqref="D93">
    <cfRule type="expression" dxfId="3614" priority="508">
      <formula>B93=""</formula>
    </cfRule>
  </conditionalFormatting>
  <conditionalFormatting sqref="D94">
    <cfRule type="expression" dxfId="3613" priority="507">
      <formula>B94=""</formula>
    </cfRule>
  </conditionalFormatting>
  <conditionalFormatting sqref="E74 E76 E78 E80 E82 E84 E86 E88 E90 E92">
    <cfRule type="expression" dxfId="3612" priority="506">
      <formula>B74=""</formula>
    </cfRule>
  </conditionalFormatting>
  <conditionalFormatting sqref="E75 E77 E79 E81 E83 E85 E87 E89 E91 E93">
    <cfRule type="expression" dxfId="3611" priority="505">
      <formula>B75=""</formula>
    </cfRule>
  </conditionalFormatting>
  <conditionalFormatting sqref="E76:E86">
    <cfRule type="expression" dxfId="3610" priority="504">
      <formula>B76=""</formula>
    </cfRule>
  </conditionalFormatting>
  <conditionalFormatting sqref="E87">
    <cfRule type="expression" dxfId="3609" priority="503">
      <formula>B87=""</formula>
    </cfRule>
  </conditionalFormatting>
  <conditionalFormatting sqref="E88">
    <cfRule type="expression" dxfId="3608" priority="502">
      <formula>B88=""</formula>
    </cfRule>
  </conditionalFormatting>
  <conditionalFormatting sqref="E89">
    <cfRule type="expression" dxfId="3607" priority="501">
      <formula>B89=""</formula>
    </cfRule>
  </conditionalFormatting>
  <conditionalFormatting sqref="E90">
    <cfRule type="expression" dxfId="3606" priority="500">
      <formula>B90=""</formula>
    </cfRule>
  </conditionalFormatting>
  <conditionalFormatting sqref="E91">
    <cfRule type="expression" dxfId="3605" priority="499">
      <formula>B91=""</formula>
    </cfRule>
  </conditionalFormatting>
  <conditionalFormatting sqref="E92">
    <cfRule type="expression" dxfId="3604" priority="498">
      <formula>B92=""</formula>
    </cfRule>
  </conditionalFormatting>
  <conditionalFormatting sqref="E93">
    <cfRule type="expression" dxfId="3603" priority="497">
      <formula>B93=""</formula>
    </cfRule>
  </conditionalFormatting>
  <conditionalFormatting sqref="E94">
    <cfRule type="expression" dxfId="3602" priority="496">
      <formula>B94=""</formula>
    </cfRule>
  </conditionalFormatting>
  <conditionalFormatting sqref="F74 F76 F78 F80 F82 F84 F86 F88 F90 F92">
    <cfRule type="expression" dxfId="3601" priority="495">
      <formula>B74=""</formula>
    </cfRule>
  </conditionalFormatting>
  <conditionalFormatting sqref="F75 F77 F79 F81 F83 F85 F87 F89 F91 F93">
    <cfRule type="expression" dxfId="3600" priority="494">
      <formula>B75=""</formula>
    </cfRule>
  </conditionalFormatting>
  <conditionalFormatting sqref="F76:F86">
    <cfRule type="expression" dxfId="3599" priority="493">
      <formula>B76=""</formula>
    </cfRule>
  </conditionalFormatting>
  <conditionalFormatting sqref="F87">
    <cfRule type="expression" dxfId="3598" priority="492">
      <formula>B87=""</formula>
    </cfRule>
  </conditionalFormatting>
  <conditionalFormatting sqref="F88">
    <cfRule type="expression" dxfId="3597" priority="491">
      <formula>B88=""</formula>
    </cfRule>
  </conditionalFormatting>
  <conditionalFormatting sqref="F89">
    <cfRule type="expression" dxfId="3596" priority="490">
      <formula>B89=""</formula>
    </cfRule>
  </conditionalFormatting>
  <conditionalFormatting sqref="F90">
    <cfRule type="expression" dxfId="3595" priority="489">
      <formula>B90=""</formula>
    </cfRule>
  </conditionalFormatting>
  <conditionalFormatting sqref="F91">
    <cfRule type="expression" dxfId="3594" priority="488">
      <formula>B91=""</formula>
    </cfRule>
  </conditionalFormatting>
  <conditionalFormatting sqref="F92">
    <cfRule type="expression" dxfId="3593" priority="487">
      <formula>B92=""</formula>
    </cfRule>
  </conditionalFormatting>
  <conditionalFormatting sqref="F93">
    <cfRule type="expression" dxfId="3592" priority="486">
      <formula>B93=""</formula>
    </cfRule>
  </conditionalFormatting>
  <conditionalFormatting sqref="F94">
    <cfRule type="expression" dxfId="3591" priority="485">
      <formula>B94=""</formula>
    </cfRule>
  </conditionalFormatting>
  <conditionalFormatting sqref="E75 E77 E79 E81 E83 E85 E87 E89 E91 E93">
    <cfRule type="expression" dxfId="3590" priority="484">
      <formula>B75=""</formula>
    </cfRule>
  </conditionalFormatting>
  <conditionalFormatting sqref="E76:E86">
    <cfRule type="expression" dxfId="3589" priority="483">
      <formula>B76=""</formula>
    </cfRule>
  </conditionalFormatting>
  <conditionalFormatting sqref="E87">
    <cfRule type="expression" dxfId="3588" priority="482">
      <formula>B87=""</formula>
    </cfRule>
  </conditionalFormatting>
  <conditionalFormatting sqref="E88">
    <cfRule type="expression" dxfId="3587" priority="481">
      <formula>B88=""</formula>
    </cfRule>
  </conditionalFormatting>
  <conditionalFormatting sqref="E89">
    <cfRule type="expression" dxfId="3586" priority="480">
      <formula>B89=""</formula>
    </cfRule>
  </conditionalFormatting>
  <conditionalFormatting sqref="E90">
    <cfRule type="expression" dxfId="3585" priority="479">
      <formula>B90=""</formula>
    </cfRule>
  </conditionalFormatting>
  <conditionalFormatting sqref="E91">
    <cfRule type="expression" dxfId="3584" priority="478">
      <formula>B91=""</formula>
    </cfRule>
  </conditionalFormatting>
  <conditionalFormatting sqref="E92">
    <cfRule type="expression" dxfId="3583" priority="477">
      <formula>B92=""</formula>
    </cfRule>
  </conditionalFormatting>
  <conditionalFormatting sqref="E93">
    <cfRule type="expression" dxfId="3582" priority="476">
      <formula>B93=""</formula>
    </cfRule>
  </conditionalFormatting>
  <conditionalFormatting sqref="E94">
    <cfRule type="expression" dxfId="3581" priority="475">
      <formula>B94=""</formula>
    </cfRule>
  </conditionalFormatting>
  <conditionalFormatting sqref="G74 G76 G78 G80 G82 G84 G86 G88 G90 G92">
    <cfRule type="expression" dxfId="3580" priority="474">
      <formula>B74=""</formula>
    </cfRule>
  </conditionalFormatting>
  <conditionalFormatting sqref="G75 G77 G79 G81 G83 G85 G87 G89 G91 G93">
    <cfRule type="expression" dxfId="3579" priority="473">
      <formula>B75=""</formula>
    </cfRule>
  </conditionalFormatting>
  <conditionalFormatting sqref="G76:G86">
    <cfRule type="expression" dxfId="3578" priority="472">
      <formula>B76=""</formula>
    </cfRule>
  </conditionalFormatting>
  <conditionalFormatting sqref="G87">
    <cfRule type="expression" dxfId="3577" priority="471">
      <formula>B87=""</formula>
    </cfRule>
  </conditionalFormatting>
  <conditionalFormatting sqref="G88">
    <cfRule type="expression" dxfId="3576" priority="470">
      <formula>B88=""</formula>
    </cfRule>
  </conditionalFormatting>
  <conditionalFormatting sqref="G89">
    <cfRule type="expression" dxfId="3575" priority="469">
      <formula>B89=""</formula>
    </cfRule>
  </conditionalFormatting>
  <conditionalFormatting sqref="G90">
    <cfRule type="expression" dxfId="3574" priority="468">
      <formula>B90=""</formula>
    </cfRule>
  </conditionalFormatting>
  <conditionalFormatting sqref="G91">
    <cfRule type="expression" dxfId="3573" priority="467">
      <formula>B91=""</formula>
    </cfRule>
  </conditionalFormatting>
  <conditionalFormatting sqref="G92">
    <cfRule type="expression" dxfId="3572" priority="466">
      <formula>B92=""</formula>
    </cfRule>
  </conditionalFormatting>
  <conditionalFormatting sqref="G93">
    <cfRule type="expression" dxfId="3571" priority="465">
      <formula>B93=""</formula>
    </cfRule>
  </conditionalFormatting>
  <conditionalFormatting sqref="G94">
    <cfRule type="expression" dxfId="3570" priority="464">
      <formula>B94=""</formula>
    </cfRule>
  </conditionalFormatting>
  <conditionalFormatting sqref="H74 H76 H78 H80 H82 H84 H86 H88 H90 H92">
    <cfRule type="expression" dxfId="3569" priority="463">
      <formula>B74=""</formula>
    </cfRule>
  </conditionalFormatting>
  <conditionalFormatting sqref="H75 H77 H79 H81 H83 H85 H87 H89 H91 H93">
    <cfRule type="expression" dxfId="3568" priority="462">
      <formula>B75=""</formula>
    </cfRule>
  </conditionalFormatting>
  <conditionalFormatting sqref="H76:H86">
    <cfRule type="expression" dxfId="3567" priority="461">
      <formula>B76=""</formula>
    </cfRule>
  </conditionalFormatting>
  <conditionalFormatting sqref="H87">
    <cfRule type="expression" dxfId="3566" priority="460">
      <formula>B87=""</formula>
    </cfRule>
  </conditionalFormatting>
  <conditionalFormatting sqref="H88">
    <cfRule type="expression" dxfId="3565" priority="459">
      <formula>B88=""</formula>
    </cfRule>
  </conditionalFormatting>
  <conditionalFormatting sqref="H89">
    <cfRule type="expression" dxfId="3564" priority="458">
      <formula>B89=""</formula>
    </cfRule>
  </conditionalFormatting>
  <conditionalFormatting sqref="H90">
    <cfRule type="expression" dxfId="3563" priority="457">
      <formula>B90=""</formula>
    </cfRule>
  </conditionalFormatting>
  <conditionalFormatting sqref="H91">
    <cfRule type="expression" dxfId="3562" priority="456">
      <formula>B91=""</formula>
    </cfRule>
  </conditionalFormatting>
  <conditionalFormatting sqref="H92">
    <cfRule type="expression" dxfId="3561" priority="455">
      <formula>B92=""</formula>
    </cfRule>
  </conditionalFormatting>
  <conditionalFormatting sqref="H93">
    <cfRule type="expression" dxfId="3560" priority="454">
      <formula>B93=""</formula>
    </cfRule>
  </conditionalFormatting>
  <conditionalFormatting sqref="H94">
    <cfRule type="expression" dxfId="3559" priority="453">
      <formula>B94=""</formula>
    </cfRule>
  </conditionalFormatting>
  <conditionalFormatting sqref="C49">
    <cfRule type="expression" dxfId="3558" priority="452">
      <formula>B49=""</formula>
    </cfRule>
  </conditionalFormatting>
  <conditionalFormatting sqref="C71">
    <cfRule type="expression" dxfId="3557" priority="451">
      <formula>B71=""</formula>
    </cfRule>
  </conditionalFormatting>
  <conditionalFormatting sqref="C93">
    <cfRule type="expression" dxfId="3556" priority="450">
      <formula>B93=""</formula>
    </cfRule>
  </conditionalFormatting>
  <conditionalFormatting sqref="C8:C27">
    <cfRule type="expression" dxfId="3555" priority="449">
      <formula>B8=""</formula>
    </cfRule>
  </conditionalFormatting>
  <conditionalFormatting sqref="C9 C11 C13 C15 C17 C19 C21 C23 C25 C27">
    <cfRule type="expression" dxfId="3554" priority="448">
      <formula>B9=""</formula>
    </cfRule>
  </conditionalFormatting>
  <conditionalFormatting sqref="C10:C20">
    <cfRule type="expression" dxfId="3553" priority="447">
      <formula>B10=""</formula>
    </cfRule>
  </conditionalFormatting>
  <conditionalFormatting sqref="C21">
    <cfRule type="expression" dxfId="3552" priority="446">
      <formula>B21=""</formula>
    </cfRule>
  </conditionalFormatting>
  <conditionalFormatting sqref="C22">
    <cfRule type="expression" dxfId="3551" priority="445">
      <formula>B22=""</formula>
    </cfRule>
  </conditionalFormatting>
  <conditionalFormatting sqref="C23">
    <cfRule type="expression" dxfId="3550" priority="444">
      <formula>B23=""</formula>
    </cfRule>
  </conditionalFormatting>
  <conditionalFormatting sqref="C24">
    <cfRule type="expression" dxfId="3549" priority="443">
      <formula>B24=""</formula>
    </cfRule>
  </conditionalFormatting>
  <conditionalFormatting sqref="C25">
    <cfRule type="expression" dxfId="3548" priority="442">
      <formula>B25=""</formula>
    </cfRule>
  </conditionalFormatting>
  <conditionalFormatting sqref="C26">
    <cfRule type="expression" dxfId="3547" priority="441">
      <formula>B26=""</formula>
    </cfRule>
  </conditionalFormatting>
  <conditionalFormatting sqref="C27">
    <cfRule type="expression" dxfId="3546" priority="440">
      <formula>B27=""</formula>
    </cfRule>
  </conditionalFormatting>
  <conditionalFormatting sqref="C28">
    <cfRule type="expression" dxfId="3545" priority="439">
      <formula>B28=""</formula>
    </cfRule>
  </conditionalFormatting>
  <conditionalFormatting sqref="C30:C50">
    <cfRule type="expression" dxfId="3544" priority="438">
      <formula>B30=""</formula>
    </cfRule>
  </conditionalFormatting>
  <conditionalFormatting sqref="C31 C33 C35 C37 C39 C41 C43 C45 C47 C49">
    <cfRule type="expression" dxfId="3543" priority="437">
      <formula>B31=""</formula>
    </cfRule>
  </conditionalFormatting>
  <conditionalFormatting sqref="C32:C42">
    <cfRule type="expression" dxfId="3542" priority="436">
      <formula>B32=""</formula>
    </cfRule>
  </conditionalFormatting>
  <conditionalFormatting sqref="C43">
    <cfRule type="expression" dxfId="3541" priority="435">
      <formula>B43=""</formula>
    </cfRule>
  </conditionalFormatting>
  <conditionalFormatting sqref="C44">
    <cfRule type="expression" dxfId="3540" priority="434">
      <formula>B44=""</formula>
    </cfRule>
  </conditionalFormatting>
  <conditionalFormatting sqref="C45">
    <cfRule type="expression" dxfId="3539" priority="433">
      <formula>B45=""</formula>
    </cfRule>
  </conditionalFormatting>
  <conditionalFormatting sqref="C46">
    <cfRule type="expression" dxfId="3538" priority="432">
      <formula>B46=""</formula>
    </cfRule>
  </conditionalFormatting>
  <conditionalFormatting sqref="C47">
    <cfRule type="expression" dxfId="3537" priority="431">
      <formula>B47=""</formula>
    </cfRule>
  </conditionalFormatting>
  <conditionalFormatting sqref="C48">
    <cfRule type="expression" dxfId="3536" priority="430">
      <formula>B48=""</formula>
    </cfRule>
  </conditionalFormatting>
  <conditionalFormatting sqref="C49">
    <cfRule type="expression" dxfId="3535" priority="429">
      <formula>B49=""</formula>
    </cfRule>
  </conditionalFormatting>
  <conditionalFormatting sqref="C50">
    <cfRule type="expression" dxfId="3534" priority="428">
      <formula>B50=""</formula>
    </cfRule>
  </conditionalFormatting>
  <conditionalFormatting sqref="C52:C71">
    <cfRule type="expression" dxfId="3533" priority="427">
      <formula>B52=""</formula>
    </cfRule>
  </conditionalFormatting>
  <conditionalFormatting sqref="C53 C55 C57 C59 C61 C63 C65 C67 C69 C71">
    <cfRule type="expression" dxfId="3532" priority="426">
      <formula>B53=""</formula>
    </cfRule>
  </conditionalFormatting>
  <conditionalFormatting sqref="C54:C64">
    <cfRule type="expression" dxfId="3531" priority="425">
      <formula>B54=""</formula>
    </cfRule>
  </conditionalFormatting>
  <conditionalFormatting sqref="C65">
    <cfRule type="expression" dxfId="3530" priority="424">
      <formula>B65=""</formula>
    </cfRule>
  </conditionalFormatting>
  <conditionalFormatting sqref="C66">
    <cfRule type="expression" dxfId="3529" priority="423">
      <formula>B66=""</formula>
    </cfRule>
  </conditionalFormatting>
  <conditionalFormatting sqref="C67">
    <cfRule type="expression" dxfId="3528" priority="422">
      <formula>B67=""</formula>
    </cfRule>
  </conditionalFormatting>
  <conditionalFormatting sqref="C68">
    <cfRule type="expression" dxfId="3527" priority="421">
      <formula>B68=""</formula>
    </cfRule>
  </conditionalFormatting>
  <conditionalFormatting sqref="C69">
    <cfRule type="expression" dxfId="3526" priority="420">
      <formula>B69=""</formula>
    </cfRule>
  </conditionalFormatting>
  <conditionalFormatting sqref="C70">
    <cfRule type="expression" dxfId="3525" priority="419">
      <formula>B70=""</formula>
    </cfRule>
  </conditionalFormatting>
  <conditionalFormatting sqref="C71">
    <cfRule type="expression" dxfId="3524" priority="418">
      <formula>B71=""</formula>
    </cfRule>
  </conditionalFormatting>
  <conditionalFormatting sqref="C72">
    <cfRule type="expression" dxfId="3523" priority="417">
      <formula>B72=""</formula>
    </cfRule>
  </conditionalFormatting>
  <conditionalFormatting sqref="C74:C94">
    <cfRule type="expression" dxfId="3522" priority="416">
      <formula>B74=""</formula>
    </cfRule>
  </conditionalFormatting>
  <conditionalFormatting sqref="C75 C77 C79 C81 C83 C85 C87 C89 C91 C93">
    <cfRule type="expression" dxfId="3521" priority="415">
      <formula>B75=""</formula>
    </cfRule>
  </conditionalFormatting>
  <conditionalFormatting sqref="C76:C86">
    <cfRule type="expression" dxfId="3520" priority="414">
      <formula>B76=""</formula>
    </cfRule>
  </conditionalFormatting>
  <conditionalFormatting sqref="C87">
    <cfRule type="expression" dxfId="3519" priority="413">
      <formula>B87=""</formula>
    </cfRule>
  </conditionalFormatting>
  <conditionalFormatting sqref="C88">
    <cfRule type="expression" dxfId="3518" priority="412">
      <formula>B88=""</formula>
    </cfRule>
  </conditionalFormatting>
  <conditionalFormatting sqref="C89">
    <cfRule type="expression" dxfId="3517" priority="411">
      <formula>B89=""</formula>
    </cfRule>
  </conditionalFormatting>
  <conditionalFormatting sqref="C90">
    <cfRule type="expression" dxfId="3516" priority="410">
      <formula>B90=""</formula>
    </cfRule>
  </conditionalFormatting>
  <conditionalFormatting sqref="C91">
    <cfRule type="expression" dxfId="3515" priority="409">
      <formula>B91=""</formula>
    </cfRule>
  </conditionalFormatting>
  <conditionalFormatting sqref="C92">
    <cfRule type="expression" dxfId="3514" priority="408">
      <formula>B92=""</formula>
    </cfRule>
  </conditionalFormatting>
  <conditionalFormatting sqref="C93">
    <cfRule type="expression" dxfId="3513" priority="407">
      <formula>B93=""</formula>
    </cfRule>
  </conditionalFormatting>
  <conditionalFormatting sqref="C94">
    <cfRule type="expression" dxfId="3512" priority="406">
      <formula>B94=""</formula>
    </cfRule>
  </conditionalFormatting>
  <conditionalFormatting sqref="C8 C10 C12 C14 C16 C18 C20 C22 C24 C26">
    <cfRule type="expression" dxfId="3511" priority="405">
      <formula>B8=""</formula>
    </cfRule>
  </conditionalFormatting>
  <conditionalFormatting sqref="C9 C11 C13 C15 C17 C19 C21 C23 C25 C27">
    <cfRule type="expression" dxfId="3510" priority="404">
      <formula>B9=""</formula>
    </cfRule>
  </conditionalFormatting>
  <conditionalFormatting sqref="C10:C20">
    <cfRule type="expression" dxfId="3509" priority="403">
      <formula>B10=""</formula>
    </cfRule>
  </conditionalFormatting>
  <conditionalFormatting sqref="C21">
    <cfRule type="expression" dxfId="3508" priority="402">
      <formula>B21=""</formula>
    </cfRule>
  </conditionalFormatting>
  <conditionalFormatting sqref="C22">
    <cfRule type="expression" dxfId="3507" priority="401">
      <formula>B22=""</formula>
    </cfRule>
  </conditionalFormatting>
  <conditionalFormatting sqref="C23">
    <cfRule type="expression" dxfId="3506" priority="400">
      <formula>B23=""</formula>
    </cfRule>
  </conditionalFormatting>
  <conditionalFormatting sqref="C24">
    <cfRule type="expression" dxfId="3505" priority="399">
      <formula>B24=""</formula>
    </cfRule>
  </conditionalFormatting>
  <conditionalFormatting sqref="C25">
    <cfRule type="expression" dxfId="3504" priority="398">
      <formula>B25=""</formula>
    </cfRule>
  </conditionalFormatting>
  <conditionalFormatting sqref="C26">
    <cfRule type="expression" dxfId="3503" priority="397">
      <formula>B26=""</formula>
    </cfRule>
  </conditionalFormatting>
  <conditionalFormatting sqref="C27">
    <cfRule type="expression" dxfId="3502" priority="396">
      <formula>B27=""</formula>
    </cfRule>
  </conditionalFormatting>
  <conditionalFormatting sqref="D8 D10 D12 D14 D16 D18 D20 D22 D24 D26">
    <cfRule type="expression" dxfId="3501" priority="395">
      <formula>B8=""</formula>
    </cfRule>
  </conditionalFormatting>
  <conditionalFormatting sqref="D9 D11 D13 D15 D17 D19 D21 D23 D25 D27">
    <cfRule type="expression" dxfId="3500" priority="394">
      <formula>B9=""</formula>
    </cfRule>
  </conditionalFormatting>
  <conditionalFormatting sqref="D10:D20">
    <cfRule type="expression" dxfId="3499" priority="393">
      <formula>B10=""</formula>
    </cfRule>
  </conditionalFormatting>
  <conditionalFormatting sqref="D21">
    <cfRule type="expression" dxfId="3498" priority="392">
      <formula>B21=""</formula>
    </cfRule>
  </conditionalFormatting>
  <conditionalFormatting sqref="D22">
    <cfRule type="expression" dxfId="3497" priority="391">
      <formula>B22=""</formula>
    </cfRule>
  </conditionalFormatting>
  <conditionalFormatting sqref="D23">
    <cfRule type="expression" dxfId="3496" priority="390">
      <formula>B23=""</formula>
    </cfRule>
  </conditionalFormatting>
  <conditionalFormatting sqref="D24">
    <cfRule type="expression" dxfId="3495" priority="389">
      <formula>B24=""</formula>
    </cfRule>
  </conditionalFormatting>
  <conditionalFormatting sqref="D25">
    <cfRule type="expression" dxfId="3494" priority="388">
      <formula>B25=""</formula>
    </cfRule>
  </conditionalFormatting>
  <conditionalFormatting sqref="D26">
    <cfRule type="expression" dxfId="3493" priority="387">
      <formula>B26=""</formula>
    </cfRule>
  </conditionalFormatting>
  <conditionalFormatting sqref="D27">
    <cfRule type="expression" dxfId="3492" priority="386">
      <formula>B27=""</formula>
    </cfRule>
  </conditionalFormatting>
  <conditionalFormatting sqref="E8:E27">
    <cfRule type="expression" dxfId="3491" priority="385">
      <formula>B8=""</formula>
    </cfRule>
  </conditionalFormatting>
  <conditionalFormatting sqref="E9 E11 E13 E15 E17 E19 E21 E23 E25 E27">
    <cfRule type="expression" dxfId="3490" priority="384">
      <formula>B9=""</formula>
    </cfRule>
  </conditionalFormatting>
  <conditionalFormatting sqref="E10:E20">
    <cfRule type="expression" dxfId="3489" priority="383">
      <formula>B10=""</formula>
    </cfRule>
  </conditionalFormatting>
  <conditionalFormatting sqref="E21">
    <cfRule type="expression" dxfId="3488" priority="382">
      <formula>B21=""</formula>
    </cfRule>
  </conditionalFormatting>
  <conditionalFormatting sqref="E22:E23">
    <cfRule type="expression" dxfId="3487" priority="381">
      <formula>B22=""</formula>
    </cfRule>
  </conditionalFormatting>
  <conditionalFormatting sqref="E23">
    <cfRule type="expression" dxfId="3486" priority="380">
      <formula>B23=""</formula>
    </cfRule>
  </conditionalFormatting>
  <conditionalFormatting sqref="E24">
    <cfRule type="expression" dxfId="3485" priority="379">
      <formula>B24=""</formula>
    </cfRule>
  </conditionalFormatting>
  <conditionalFormatting sqref="E25">
    <cfRule type="expression" dxfId="3484" priority="378">
      <formula>B25=""</formula>
    </cfRule>
  </conditionalFormatting>
  <conditionalFormatting sqref="E26">
    <cfRule type="expression" dxfId="3483" priority="377">
      <formula>B26=""</formula>
    </cfRule>
  </conditionalFormatting>
  <conditionalFormatting sqref="E27">
    <cfRule type="expression" dxfId="3482" priority="376">
      <formula>B27=""</formula>
    </cfRule>
  </conditionalFormatting>
  <conditionalFormatting sqref="F8:F27">
    <cfRule type="expression" dxfId="3481" priority="375">
      <formula>B8=""</formula>
    </cfRule>
  </conditionalFormatting>
  <conditionalFormatting sqref="F9 F11 F13 F15 F17 F19 F21 F23 F25 F27">
    <cfRule type="expression" dxfId="3480" priority="374">
      <formula>B9=""</formula>
    </cfRule>
  </conditionalFormatting>
  <conditionalFormatting sqref="F10:F20">
    <cfRule type="expression" dxfId="3479" priority="373">
      <formula>B10=""</formula>
    </cfRule>
  </conditionalFormatting>
  <conditionalFormatting sqref="F21">
    <cfRule type="expression" dxfId="3478" priority="372">
      <formula>B21=""</formula>
    </cfRule>
  </conditionalFormatting>
  <conditionalFormatting sqref="F22">
    <cfRule type="expression" dxfId="3477" priority="371">
      <formula>B22=""</formula>
    </cfRule>
  </conditionalFormatting>
  <conditionalFormatting sqref="F23">
    <cfRule type="expression" dxfId="3476" priority="370">
      <formula>B23=""</formula>
    </cfRule>
  </conditionalFormatting>
  <conditionalFormatting sqref="F24">
    <cfRule type="expression" dxfId="3475" priority="369">
      <formula>B24=""</formula>
    </cfRule>
  </conditionalFormatting>
  <conditionalFormatting sqref="F25">
    <cfRule type="expression" dxfId="3474" priority="368">
      <formula>B25=""</formula>
    </cfRule>
  </conditionalFormatting>
  <conditionalFormatting sqref="F26">
    <cfRule type="expression" dxfId="3473" priority="367">
      <formula>B26=""</formula>
    </cfRule>
  </conditionalFormatting>
  <conditionalFormatting sqref="F27">
    <cfRule type="expression" dxfId="3472" priority="366">
      <formula>B27=""</formula>
    </cfRule>
  </conditionalFormatting>
  <conditionalFormatting sqref="E9 E11 E13 E15 E17 E19 E21 E23 E25 E27">
    <cfRule type="expression" dxfId="3471" priority="365">
      <formula>B9=""</formula>
    </cfRule>
  </conditionalFormatting>
  <conditionalFormatting sqref="E10:E20">
    <cfRule type="expression" dxfId="3470" priority="364">
      <formula>B10=""</formula>
    </cfRule>
  </conditionalFormatting>
  <conditionalFormatting sqref="E21">
    <cfRule type="expression" dxfId="3469" priority="363">
      <formula>B21=""</formula>
    </cfRule>
  </conditionalFormatting>
  <conditionalFormatting sqref="E22:E23">
    <cfRule type="expression" dxfId="3468" priority="362">
      <formula>B22=""</formula>
    </cfRule>
  </conditionalFormatting>
  <conditionalFormatting sqref="E23">
    <cfRule type="expression" dxfId="3467" priority="361">
      <formula>B23=""</formula>
    </cfRule>
  </conditionalFormatting>
  <conditionalFormatting sqref="E24">
    <cfRule type="expression" dxfId="3466" priority="360">
      <formula>B24=""</formula>
    </cfRule>
  </conditionalFormatting>
  <conditionalFormatting sqref="E25">
    <cfRule type="expression" dxfId="3465" priority="359">
      <formula>B25=""</formula>
    </cfRule>
  </conditionalFormatting>
  <conditionalFormatting sqref="E26">
    <cfRule type="expression" dxfId="3464" priority="358">
      <formula>B26=""</formula>
    </cfRule>
  </conditionalFormatting>
  <conditionalFormatting sqref="E27">
    <cfRule type="expression" dxfId="3463" priority="357">
      <formula>B27=""</formula>
    </cfRule>
  </conditionalFormatting>
  <conditionalFormatting sqref="G8:G27">
    <cfRule type="expression" dxfId="3462" priority="356">
      <formula>B8=""</formula>
    </cfRule>
  </conditionalFormatting>
  <conditionalFormatting sqref="G9 G11 G13 G15 G17 G19 G21 G23 G25 G27">
    <cfRule type="expression" dxfId="3461" priority="355">
      <formula>B9=""</formula>
    </cfRule>
  </conditionalFormatting>
  <conditionalFormatting sqref="G10:G20">
    <cfRule type="expression" dxfId="3460" priority="354">
      <formula>B10=""</formula>
    </cfRule>
  </conditionalFormatting>
  <conditionalFormatting sqref="G21">
    <cfRule type="expression" dxfId="3459" priority="353">
      <formula>B21=""</formula>
    </cfRule>
  </conditionalFormatting>
  <conditionalFormatting sqref="G22">
    <cfRule type="expression" dxfId="3458" priority="352">
      <formula>B22=""</formula>
    </cfRule>
  </conditionalFormatting>
  <conditionalFormatting sqref="G23">
    <cfRule type="expression" dxfId="3457" priority="351">
      <formula>B23=""</formula>
    </cfRule>
  </conditionalFormatting>
  <conditionalFormatting sqref="G24">
    <cfRule type="expression" dxfId="3456" priority="350">
      <formula>B24=""</formula>
    </cfRule>
  </conditionalFormatting>
  <conditionalFormatting sqref="G25">
    <cfRule type="expression" dxfId="3455" priority="349">
      <formula>B25=""</formula>
    </cfRule>
  </conditionalFormatting>
  <conditionalFormatting sqref="G26">
    <cfRule type="expression" dxfId="3454" priority="348">
      <formula>B26=""</formula>
    </cfRule>
  </conditionalFormatting>
  <conditionalFormatting sqref="G27">
    <cfRule type="expression" dxfId="3453" priority="347">
      <formula>B27=""</formula>
    </cfRule>
  </conditionalFormatting>
  <conditionalFormatting sqref="H8 H10 H12 H14 H16 H18 H20 H22 H24 H26">
    <cfRule type="expression" dxfId="3452" priority="346">
      <formula>B8=""</formula>
    </cfRule>
  </conditionalFormatting>
  <conditionalFormatting sqref="H9 H11 H13 H15 H17 H19 H21 H23 H25 H27">
    <cfRule type="expression" dxfId="3451" priority="345">
      <formula>B9=""</formula>
    </cfRule>
  </conditionalFormatting>
  <conditionalFormatting sqref="H10:H20">
    <cfRule type="expression" dxfId="3450" priority="344">
      <formula>B10=""</formula>
    </cfRule>
  </conditionalFormatting>
  <conditionalFormatting sqref="H21">
    <cfRule type="expression" dxfId="3449" priority="343">
      <formula>B21=""</formula>
    </cfRule>
  </conditionalFormatting>
  <conditionalFormatting sqref="H22">
    <cfRule type="expression" dxfId="3448" priority="342">
      <formula>B22=""</formula>
    </cfRule>
  </conditionalFormatting>
  <conditionalFormatting sqref="H23">
    <cfRule type="expression" dxfId="3447" priority="341">
      <formula>B23=""</formula>
    </cfRule>
  </conditionalFormatting>
  <conditionalFormatting sqref="H24">
    <cfRule type="expression" dxfId="3446" priority="340">
      <formula>B24=""</formula>
    </cfRule>
  </conditionalFormatting>
  <conditionalFormatting sqref="H25">
    <cfRule type="expression" dxfId="3445" priority="339">
      <formula>B25=""</formula>
    </cfRule>
  </conditionalFormatting>
  <conditionalFormatting sqref="H26">
    <cfRule type="expression" dxfId="3444" priority="338">
      <formula>B26=""</formula>
    </cfRule>
  </conditionalFormatting>
  <conditionalFormatting sqref="H27">
    <cfRule type="expression" dxfId="3443" priority="337">
      <formula>B27=""</formula>
    </cfRule>
  </conditionalFormatting>
  <conditionalFormatting sqref="F8 F10 F12 F14 F16 F18 F20 F22 F24 F26">
    <cfRule type="expression" dxfId="3442" priority="336">
      <formula>B8=""</formula>
    </cfRule>
  </conditionalFormatting>
  <conditionalFormatting sqref="F9 F11 F13 F15 F17 F19 F21 F23 F25 F27">
    <cfRule type="expression" dxfId="3441" priority="335">
      <formula>B9=""</formula>
    </cfRule>
  </conditionalFormatting>
  <conditionalFormatting sqref="F10:F20">
    <cfRule type="expression" dxfId="3440" priority="334">
      <formula>B10=""</formula>
    </cfRule>
  </conditionalFormatting>
  <conditionalFormatting sqref="F21">
    <cfRule type="expression" dxfId="3439" priority="333">
      <formula>B21=""</formula>
    </cfRule>
  </conditionalFormatting>
  <conditionalFormatting sqref="F22">
    <cfRule type="expression" dxfId="3438" priority="332">
      <formula>B22=""</formula>
    </cfRule>
  </conditionalFormatting>
  <conditionalFormatting sqref="F23">
    <cfRule type="expression" dxfId="3437" priority="331">
      <formula>B23=""</formula>
    </cfRule>
  </conditionalFormatting>
  <conditionalFormatting sqref="F24">
    <cfRule type="expression" dxfId="3436" priority="330">
      <formula>B24=""</formula>
    </cfRule>
  </conditionalFormatting>
  <conditionalFormatting sqref="F25">
    <cfRule type="expression" dxfId="3435" priority="329">
      <formula>B25=""</formula>
    </cfRule>
  </conditionalFormatting>
  <conditionalFormatting sqref="F26">
    <cfRule type="expression" dxfId="3434" priority="328">
      <formula>B26=""</formula>
    </cfRule>
  </conditionalFormatting>
  <conditionalFormatting sqref="F27">
    <cfRule type="expression" dxfId="3433" priority="327">
      <formula>B27=""</formula>
    </cfRule>
  </conditionalFormatting>
  <conditionalFormatting sqref="C30:C49">
    <cfRule type="expression" dxfId="3432" priority="326">
      <formula>B30=""</formula>
    </cfRule>
  </conditionalFormatting>
  <conditionalFormatting sqref="C31 C33 C35 C37 C39 C41 C43 C45 C47 C49">
    <cfRule type="expression" dxfId="3431" priority="325">
      <formula>B31=""</formula>
    </cfRule>
  </conditionalFormatting>
  <conditionalFormatting sqref="C32:C42">
    <cfRule type="expression" dxfId="3430" priority="324">
      <formula>B32=""</formula>
    </cfRule>
  </conditionalFormatting>
  <conditionalFormatting sqref="C43">
    <cfRule type="expression" dxfId="3429" priority="323">
      <formula>B43=""</formula>
    </cfRule>
  </conditionalFormatting>
  <conditionalFormatting sqref="C44">
    <cfRule type="expression" dxfId="3428" priority="322">
      <formula>B44=""</formula>
    </cfRule>
  </conditionalFormatting>
  <conditionalFormatting sqref="C45">
    <cfRule type="expression" dxfId="3427" priority="321">
      <formula>B45=""</formula>
    </cfRule>
  </conditionalFormatting>
  <conditionalFormatting sqref="C46">
    <cfRule type="expression" dxfId="3426" priority="320">
      <formula>B46=""</formula>
    </cfRule>
  </conditionalFormatting>
  <conditionalFormatting sqref="C47">
    <cfRule type="expression" dxfId="3425" priority="319">
      <formula>B47=""</formula>
    </cfRule>
  </conditionalFormatting>
  <conditionalFormatting sqref="C48">
    <cfRule type="expression" dxfId="3424" priority="318">
      <formula>B48=""</formula>
    </cfRule>
  </conditionalFormatting>
  <conditionalFormatting sqref="C49">
    <cfRule type="expression" dxfId="3423" priority="317">
      <formula>B49=""</formula>
    </cfRule>
  </conditionalFormatting>
  <conditionalFormatting sqref="D30 D32 D34 D36 D38 D40 D42 D44 D46 D48">
    <cfRule type="expression" dxfId="3422" priority="316">
      <formula>B30=""</formula>
    </cfRule>
  </conditionalFormatting>
  <conditionalFormatting sqref="D31 D33 D35 D37 D39 D41 D43 D45 D47 D49">
    <cfRule type="expression" dxfId="3421" priority="315">
      <formula>B31=""</formula>
    </cfRule>
  </conditionalFormatting>
  <conditionalFormatting sqref="D32:D42">
    <cfRule type="expression" dxfId="3420" priority="314">
      <formula>B32=""</formula>
    </cfRule>
  </conditionalFormatting>
  <conditionalFormatting sqref="D43">
    <cfRule type="expression" dxfId="3419" priority="313">
      <formula>B43=""</formula>
    </cfRule>
  </conditionalFormatting>
  <conditionalFormatting sqref="D44">
    <cfRule type="expression" dxfId="3418" priority="312">
      <formula>B44=""</formula>
    </cfRule>
  </conditionalFormatting>
  <conditionalFormatting sqref="D45">
    <cfRule type="expression" dxfId="3417" priority="311">
      <formula>B45=""</formula>
    </cfRule>
  </conditionalFormatting>
  <conditionalFormatting sqref="D46">
    <cfRule type="expression" dxfId="3416" priority="310">
      <formula>B46=""</formula>
    </cfRule>
  </conditionalFormatting>
  <conditionalFormatting sqref="D47">
    <cfRule type="expression" dxfId="3415" priority="309">
      <formula>B47=""</formula>
    </cfRule>
  </conditionalFormatting>
  <conditionalFormatting sqref="D48">
    <cfRule type="expression" dxfId="3414" priority="308">
      <formula>B48=""</formula>
    </cfRule>
  </conditionalFormatting>
  <conditionalFormatting sqref="D49">
    <cfRule type="expression" dxfId="3413" priority="307">
      <formula>B49=""</formula>
    </cfRule>
  </conditionalFormatting>
  <conditionalFormatting sqref="E30 E32 E34 E36 E38 E40 E42 E44 E46 E48">
    <cfRule type="expression" dxfId="3412" priority="306">
      <formula>B30=""</formula>
    </cfRule>
  </conditionalFormatting>
  <conditionalFormatting sqref="E31 E33 E35 E37 E39 E41 E43 E45 E47 E49">
    <cfRule type="expression" dxfId="3411" priority="305">
      <formula>B31=""</formula>
    </cfRule>
  </conditionalFormatting>
  <conditionalFormatting sqref="E32:E42">
    <cfRule type="expression" dxfId="3410" priority="304">
      <formula>B32=""</formula>
    </cfRule>
  </conditionalFormatting>
  <conditionalFormatting sqref="E43">
    <cfRule type="expression" dxfId="3409" priority="303">
      <formula>B43=""</formula>
    </cfRule>
  </conditionalFormatting>
  <conditionalFormatting sqref="E44">
    <cfRule type="expression" dxfId="3408" priority="302">
      <formula>B44=""</formula>
    </cfRule>
  </conditionalFormatting>
  <conditionalFormatting sqref="E45">
    <cfRule type="expression" dxfId="3407" priority="301">
      <formula>B45=""</formula>
    </cfRule>
  </conditionalFormatting>
  <conditionalFormatting sqref="E46">
    <cfRule type="expression" dxfId="3406" priority="300">
      <formula>B46=""</formula>
    </cfRule>
  </conditionalFormatting>
  <conditionalFormatting sqref="E47">
    <cfRule type="expression" dxfId="3405" priority="299">
      <formula>B47=""</formula>
    </cfRule>
  </conditionalFormatting>
  <conditionalFormatting sqref="E48">
    <cfRule type="expression" dxfId="3404" priority="298">
      <formula>B48=""</formula>
    </cfRule>
  </conditionalFormatting>
  <conditionalFormatting sqref="E49">
    <cfRule type="expression" dxfId="3403" priority="297">
      <formula>B49=""</formula>
    </cfRule>
  </conditionalFormatting>
  <conditionalFormatting sqref="F30 F32 F34 F36 F38 F40 F42 F44 F46 F48">
    <cfRule type="expression" dxfId="3402" priority="296">
      <formula>B30=""</formula>
    </cfRule>
  </conditionalFormatting>
  <conditionalFormatting sqref="F31 F33 F35 F37 F39 F41 F43 F45 F47 F49">
    <cfRule type="expression" dxfId="3401" priority="295">
      <formula>B31=""</formula>
    </cfRule>
  </conditionalFormatting>
  <conditionalFormatting sqref="F32:F42">
    <cfRule type="expression" dxfId="3400" priority="294">
      <formula>B32=""</formula>
    </cfRule>
  </conditionalFormatting>
  <conditionalFormatting sqref="F43">
    <cfRule type="expression" dxfId="3399" priority="293">
      <formula>B43=""</formula>
    </cfRule>
  </conditionalFormatting>
  <conditionalFormatting sqref="F44">
    <cfRule type="expression" dxfId="3398" priority="292">
      <formula>B44=""</formula>
    </cfRule>
  </conditionalFormatting>
  <conditionalFormatting sqref="F45">
    <cfRule type="expression" dxfId="3397" priority="291">
      <formula>B45=""</formula>
    </cfRule>
  </conditionalFormatting>
  <conditionalFormatting sqref="F46">
    <cfRule type="expression" dxfId="3396" priority="290">
      <formula>B46=""</formula>
    </cfRule>
  </conditionalFormatting>
  <conditionalFormatting sqref="F47">
    <cfRule type="expression" dxfId="3395" priority="289">
      <formula>B47=""</formula>
    </cfRule>
  </conditionalFormatting>
  <conditionalFormatting sqref="F48">
    <cfRule type="expression" dxfId="3394" priority="288">
      <formula>B48=""</formula>
    </cfRule>
  </conditionalFormatting>
  <conditionalFormatting sqref="F49">
    <cfRule type="expression" dxfId="3393" priority="287">
      <formula>B49=""</formula>
    </cfRule>
  </conditionalFormatting>
  <conditionalFormatting sqref="E31 E33 E35 E37 E39 E41 E43 E45 E47 E49">
    <cfRule type="expression" dxfId="3392" priority="286">
      <formula>B31=""</formula>
    </cfRule>
  </conditionalFormatting>
  <conditionalFormatting sqref="E32:E42">
    <cfRule type="expression" dxfId="3391" priority="285">
      <formula>B32=""</formula>
    </cfRule>
  </conditionalFormatting>
  <conditionalFormatting sqref="E43">
    <cfRule type="expression" dxfId="3390" priority="284">
      <formula>B43=""</formula>
    </cfRule>
  </conditionalFormatting>
  <conditionalFormatting sqref="E44">
    <cfRule type="expression" dxfId="3389" priority="283">
      <formula>B44=""</formula>
    </cfRule>
  </conditionalFormatting>
  <conditionalFormatting sqref="E45">
    <cfRule type="expression" dxfId="3388" priority="282">
      <formula>B45=""</formula>
    </cfRule>
  </conditionalFormatting>
  <conditionalFormatting sqref="E46">
    <cfRule type="expression" dxfId="3387" priority="281">
      <formula>B46=""</formula>
    </cfRule>
  </conditionalFormatting>
  <conditionalFormatting sqref="E47">
    <cfRule type="expression" dxfId="3386" priority="280">
      <formula>B47=""</formula>
    </cfRule>
  </conditionalFormatting>
  <conditionalFormatting sqref="E48">
    <cfRule type="expression" dxfId="3385" priority="279">
      <formula>B48=""</formula>
    </cfRule>
  </conditionalFormatting>
  <conditionalFormatting sqref="E49">
    <cfRule type="expression" dxfId="3384" priority="278">
      <formula>B49=""</formula>
    </cfRule>
  </conditionalFormatting>
  <conditionalFormatting sqref="G30 G32 G34 G36 G38 G40 G42 G44 G46 G48">
    <cfRule type="expression" dxfId="3383" priority="277">
      <formula>B30=""</formula>
    </cfRule>
  </conditionalFormatting>
  <conditionalFormatting sqref="G31 G33 G35 G37 G39 G41 G43 G45 G47 G49">
    <cfRule type="expression" dxfId="3382" priority="276">
      <formula>B31=""</formula>
    </cfRule>
  </conditionalFormatting>
  <conditionalFormatting sqref="G32:G42">
    <cfRule type="expression" dxfId="3381" priority="275">
      <formula>B32=""</formula>
    </cfRule>
  </conditionalFormatting>
  <conditionalFormatting sqref="G43">
    <cfRule type="expression" dxfId="3380" priority="274">
      <formula>B43=""</formula>
    </cfRule>
  </conditionalFormatting>
  <conditionalFormatting sqref="G44">
    <cfRule type="expression" dxfId="3379" priority="273">
      <formula>B44=""</formula>
    </cfRule>
  </conditionalFormatting>
  <conditionalFormatting sqref="G45">
    <cfRule type="expression" dxfId="3378" priority="272">
      <formula>B45=""</formula>
    </cfRule>
  </conditionalFormatting>
  <conditionalFormatting sqref="G46">
    <cfRule type="expression" dxfId="3377" priority="271">
      <formula>B46=""</formula>
    </cfRule>
  </conditionalFormatting>
  <conditionalFormatting sqref="G47">
    <cfRule type="expression" dxfId="3376" priority="270">
      <formula>B47=""</formula>
    </cfRule>
  </conditionalFormatting>
  <conditionalFormatting sqref="G48">
    <cfRule type="expression" dxfId="3375" priority="269">
      <formula>B48=""</formula>
    </cfRule>
  </conditionalFormatting>
  <conditionalFormatting sqref="G49">
    <cfRule type="expression" dxfId="3374" priority="268">
      <formula>B49=""</formula>
    </cfRule>
  </conditionalFormatting>
  <conditionalFormatting sqref="H30 H32 H34 H36 H38 H40 H42 H44 H46 H48">
    <cfRule type="expression" dxfId="3373" priority="267">
      <formula>B30=""</formula>
    </cfRule>
  </conditionalFormatting>
  <conditionalFormatting sqref="H31 H33 H35 H37 H39 H41 H43 H45 H47 H49">
    <cfRule type="expression" dxfId="3372" priority="266">
      <formula>B31=""</formula>
    </cfRule>
  </conditionalFormatting>
  <conditionalFormatting sqref="H32:H42">
    <cfRule type="expression" dxfId="3371" priority="265">
      <formula>B32=""</formula>
    </cfRule>
  </conditionalFormatting>
  <conditionalFormatting sqref="H43">
    <cfRule type="expression" dxfId="3370" priority="264">
      <formula>B43=""</formula>
    </cfRule>
  </conditionalFormatting>
  <conditionalFormatting sqref="H44">
    <cfRule type="expression" dxfId="3369" priority="263">
      <formula>B44=""</formula>
    </cfRule>
  </conditionalFormatting>
  <conditionalFormatting sqref="H45">
    <cfRule type="expression" dxfId="3368" priority="262">
      <formula>B45=""</formula>
    </cfRule>
  </conditionalFormatting>
  <conditionalFormatting sqref="H46">
    <cfRule type="expression" dxfId="3367" priority="261">
      <formula>B46=""</formula>
    </cfRule>
  </conditionalFormatting>
  <conditionalFormatting sqref="H47">
    <cfRule type="expression" dxfId="3366" priority="260">
      <formula>B47=""</formula>
    </cfRule>
  </conditionalFormatting>
  <conditionalFormatting sqref="H48">
    <cfRule type="expression" dxfId="3365" priority="259">
      <formula>B48=""</formula>
    </cfRule>
  </conditionalFormatting>
  <conditionalFormatting sqref="H49">
    <cfRule type="expression" dxfId="3364" priority="258">
      <formula>B49=""</formula>
    </cfRule>
  </conditionalFormatting>
  <conditionalFormatting sqref="C30:C49">
    <cfRule type="expression" dxfId="3363" priority="257">
      <formula>B30=""</formula>
    </cfRule>
  </conditionalFormatting>
  <conditionalFormatting sqref="C31 C33 C35 C37 C39 C41 C43 C45 C47 C49">
    <cfRule type="expression" dxfId="3362" priority="256">
      <formula>B31=""</formula>
    </cfRule>
  </conditionalFormatting>
  <conditionalFormatting sqref="C32:C42">
    <cfRule type="expression" dxfId="3361" priority="255">
      <formula>B32=""</formula>
    </cfRule>
  </conditionalFormatting>
  <conditionalFormatting sqref="C43">
    <cfRule type="expression" dxfId="3360" priority="254">
      <formula>B43=""</formula>
    </cfRule>
  </conditionalFormatting>
  <conditionalFormatting sqref="C44">
    <cfRule type="expression" dxfId="3359" priority="253">
      <formula>B44=""</formula>
    </cfRule>
  </conditionalFormatting>
  <conditionalFormatting sqref="C45">
    <cfRule type="expression" dxfId="3358" priority="252">
      <formula>B45=""</formula>
    </cfRule>
  </conditionalFormatting>
  <conditionalFormatting sqref="C46">
    <cfRule type="expression" dxfId="3357" priority="251">
      <formula>B46=""</formula>
    </cfRule>
  </conditionalFormatting>
  <conditionalFormatting sqref="C47">
    <cfRule type="expression" dxfId="3356" priority="250">
      <formula>B47=""</formula>
    </cfRule>
  </conditionalFormatting>
  <conditionalFormatting sqref="C48">
    <cfRule type="expression" dxfId="3355" priority="249">
      <formula>B48=""</formula>
    </cfRule>
  </conditionalFormatting>
  <conditionalFormatting sqref="C49">
    <cfRule type="expression" dxfId="3354" priority="248">
      <formula>B49=""</formula>
    </cfRule>
  </conditionalFormatting>
  <conditionalFormatting sqref="C30 C32 C34 C36 C38 C40 C42 C44 C46 C48">
    <cfRule type="expression" dxfId="3353" priority="247">
      <formula>B30=""</formula>
    </cfRule>
  </conditionalFormatting>
  <conditionalFormatting sqref="C31 C33 C35 C37 C39 C41 C43 C45 C47 C49">
    <cfRule type="expression" dxfId="3352" priority="246">
      <formula>B31=""</formula>
    </cfRule>
  </conditionalFormatting>
  <conditionalFormatting sqref="C32:C42">
    <cfRule type="expression" dxfId="3351" priority="245">
      <formula>B32=""</formula>
    </cfRule>
  </conditionalFormatting>
  <conditionalFormatting sqref="C43">
    <cfRule type="expression" dxfId="3350" priority="244">
      <formula>B43=""</formula>
    </cfRule>
  </conditionalFormatting>
  <conditionalFormatting sqref="C44">
    <cfRule type="expression" dxfId="3349" priority="243">
      <formula>B44=""</formula>
    </cfRule>
  </conditionalFormatting>
  <conditionalFormatting sqref="C45">
    <cfRule type="expression" dxfId="3348" priority="242">
      <formula>B45=""</formula>
    </cfRule>
  </conditionalFormatting>
  <conditionalFormatting sqref="C46">
    <cfRule type="expression" dxfId="3347" priority="241">
      <formula>B46=""</formula>
    </cfRule>
  </conditionalFormatting>
  <conditionalFormatting sqref="C47">
    <cfRule type="expression" dxfId="3346" priority="240">
      <formula>B47=""</formula>
    </cfRule>
  </conditionalFormatting>
  <conditionalFormatting sqref="C48">
    <cfRule type="expression" dxfId="3345" priority="239">
      <formula>B48=""</formula>
    </cfRule>
  </conditionalFormatting>
  <conditionalFormatting sqref="C49">
    <cfRule type="expression" dxfId="3344" priority="238">
      <formula>B49=""</formula>
    </cfRule>
  </conditionalFormatting>
  <conditionalFormatting sqref="D30 D32 D34 D36 D38 D40 D42 D44 D46 D48">
    <cfRule type="expression" dxfId="3343" priority="237">
      <formula>B30=""</formula>
    </cfRule>
  </conditionalFormatting>
  <conditionalFormatting sqref="D31 D33 D35 D37 D39 D41 D43 D45 D47 D49">
    <cfRule type="expression" dxfId="3342" priority="236">
      <formula>B31=""</formula>
    </cfRule>
  </conditionalFormatting>
  <conditionalFormatting sqref="D32:D42">
    <cfRule type="expression" dxfId="3341" priority="235">
      <formula>B32=""</formula>
    </cfRule>
  </conditionalFormatting>
  <conditionalFormatting sqref="D43">
    <cfRule type="expression" dxfId="3340" priority="234">
      <formula>B43=""</formula>
    </cfRule>
  </conditionalFormatting>
  <conditionalFormatting sqref="D44">
    <cfRule type="expression" dxfId="3339" priority="233">
      <formula>B44=""</formula>
    </cfRule>
  </conditionalFormatting>
  <conditionalFormatting sqref="D45">
    <cfRule type="expression" dxfId="3338" priority="232">
      <formula>B45=""</formula>
    </cfRule>
  </conditionalFormatting>
  <conditionalFormatting sqref="D46">
    <cfRule type="expression" dxfId="3337" priority="231">
      <formula>B46=""</formula>
    </cfRule>
  </conditionalFormatting>
  <conditionalFormatting sqref="D47">
    <cfRule type="expression" dxfId="3336" priority="230">
      <formula>B47=""</formula>
    </cfRule>
  </conditionalFormatting>
  <conditionalFormatting sqref="D48">
    <cfRule type="expression" dxfId="3335" priority="229">
      <formula>B48=""</formula>
    </cfRule>
  </conditionalFormatting>
  <conditionalFormatting sqref="D49">
    <cfRule type="expression" dxfId="3334" priority="228">
      <formula>B49=""</formula>
    </cfRule>
  </conditionalFormatting>
  <conditionalFormatting sqref="E30:E49">
    <cfRule type="expression" dxfId="3333" priority="227">
      <formula>B30=""</formula>
    </cfRule>
  </conditionalFormatting>
  <conditionalFormatting sqref="E31 E33 E35 E37 E39 E41 E43 E45 E47 E49">
    <cfRule type="expression" dxfId="3332" priority="226">
      <formula>B31=""</formula>
    </cfRule>
  </conditionalFormatting>
  <conditionalFormatting sqref="E32:E42">
    <cfRule type="expression" dxfId="3331" priority="225">
      <formula>B32=""</formula>
    </cfRule>
  </conditionalFormatting>
  <conditionalFormatting sqref="E43">
    <cfRule type="expression" dxfId="3330" priority="224">
      <formula>B43=""</formula>
    </cfRule>
  </conditionalFormatting>
  <conditionalFormatting sqref="E44">
    <cfRule type="expression" dxfId="3329" priority="223">
      <formula>B44=""</formula>
    </cfRule>
  </conditionalFormatting>
  <conditionalFormatting sqref="E45">
    <cfRule type="expression" dxfId="3328" priority="222">
      <formula>B45=""</formula>
    </cfRule>
  </conditionalFormatting>
  <conditionalFormatting sqref="E46">
    <cfRule type="expression" dxfId="3327" priority="221">
      <formula>B46=""</formula>
    </cfRule>
  </conditionalFormatting>
  <conditionalFormatting sqref="E47">
    <cfRule type="expression" dxfId="3326" priority="220">
      <formula>B47=""</formula>
    </cfRule>
  </conditionalFormatting>
  <conditionalFormatting sqref="E48">
    <cfRule type="expression" dxfId="3325" priority="219">
      <formula>B48=""</formula>
    </cfRule>
  </conditionalFormatting>
  <conditionalFormatting sqref="E49">
    <cfRule type="expression" dxfId="3324" priority="218">
      <formula>B49=""</formula>
    </cfRule>
  </conditionalFormatting>
  <conditionalFormatting sqref="F30:F49">
    <cfRule type="expression" dxfId="3323" priority="217">
      <formula>B30=""</formula>
    </cfRule>
  </conditionalFormatting>
  <conditionalFormatting sqref="F31 F33 F35 F37 F39 F41 F43 F45 F47 F49">
    <cfRule type="expression" dxfId="3322" priority="216">
      <formula>B31=""</formula>
    </cfRule>
  </conditionalFormatting>
  <conditionalFormatting sqref="F32:F42">
    <cfRule type="expression" dxfId="3321" priority="215">
      <formula>B32=""</formula>
    </cfRule>
  </conditionalFormatting>
  <conditionalFormatting sqref="F43">
    <cfRule type="expression" dxfId="3320" priority="214">
      <formula>B43=""</formula>
    </cfRule>
  </conditionalFormatting>
  <conditionalFormatting sqref="F44">
    <cfRule type="expression" dxfId="3319" priority="213">
      <formula>B44=""</formula>
    </cfRule>
  </conditionalFormatting>
  <conditionalFormatting sqref="F45">
    <cfRule type="expression" dxfId="3318" priority="212">
      <formula>B45=""</formula>
    </cfRule>
  </conditionalFormatting>
  <conditionalFormatting sqref="F46">
    <cfRule type="expression" dxfId="3317" priority="211">
      <formula>B46=""</formula>
    </cfRule>
  </conditionalFormatting>
  <conditionalFormatting sqref="F47">
    <cfRule type="expression" dxfId="3316" priority="210">
      <formula>B47=""</formula>
    </cfRule>
  </conditionalFormatting>
  <conditionalFormatting sqref="F48">
    <cfRule type="expression" dxfId="3315" priority="209">
      <formula>B48=""</formula>
    </cfRule>
  </conditionalFormatting>
  <conditionalFormatting sqref="F49">
    <cfRule type="expression" dxfId="3314" priority="208">
      <formula>B49=""</formula>
    </cfRule>
  </conditionalFormatting>
  <conditionalFormatting sqref="E31 E33 E35 E37 E39 E41 E43 E45 E47 E49">
    <cfRule type="expression" dxfId="3313" priority="207">
      <formula>B31=""</formula>
    </cfRule>
  </conditionalFormatting>
  <conditionalFormatting sqref="E32:E42">
    <cfRule type="expression" dxfId="3312" priority="206">
      <formula>B32=""</formula>
    </cfRule>
  </conditionalFormatting>
  <conditionalFormatting sqref="E43">
    <cfRule type="expression" dxfId="3311" priority="205">
      <formula>B43=""</formula>
    </cfRule>
  </conditionalFormatting>
  <conditionalFormatting sqref="E44">
    <cfRule type="expression" dxfId="3310" priority="204">
      <formula>B44=""</formula>
    </cfRule>
  </conditionalFormatting>
  <conditionalFormatting sqref="E45">
    <cfRule type="expression" dxfId="3309" priority="203">
      <formula>B45=""</formula>
    </cfRule>
  </conditionalFormatting>
  <conditionalFormatting sqref="E46">
    <cfRule type="expression" dxfId="3308" priority="202">
      <formula>B46=""</formula>
    </cfRule>
  </conditionalFormatting>
  <conditionalFormatting sqref="E47">
    <cfRule type="expression" dxfId="3307" priority="201">
      <formula>B47=""</formula>
    </cfRule>
  </conditionalFormatting>
  <conditionalFormatting sqref="E48">
    <cfRule type="expression" dxfId="3306" priority="200">
      <formula>B48=""</formula>
    </cfRule>
  </conditionalFormatting>
  <conditionalFormatting sqref="E49">
    <cfRule type="expression" dxfId="3305" priority="199">
      <formula>B49=""</formula>
    </cfRule>
  </conditionalFormatting>
  <conditionalFormatting sqref="G30:G49">
    <cfRule type="expression" dxfId="3304" priority="198">
      <formula>B30=""</formula>
    </cfRule>
  </conditionalFormatting>
  <conditionalFormatting sqref="G31 G33 G35 G37 G39 G41 G43 G45 G47 G49">
    <cfRule type="expression" dxfId="3303" priority="197">
      <formula>B31=""</formula>
    </cfRule>
  </conditionalFormatting>
  <conditionalFormatting sqref="G32:G42">
    <cfRule type="expression" dxfId="3302" priority="196">
      <formula>B32=""</formula>
    </cfRule>
  </conditionalFormatting>
  <conditionalFormatting sqref="G43">
    <cfRule type="expression" dxfId="3301" priority="195">
      <formula>B43=""</formula>
    </cfRule>
  </conditionalFormatting>
  <conditionalFormatting sqref="G44">
    <cfRule type="expression" dxfId="3300" priority="194">
      <formula>B44=""</formula>
    </cfRule>
  </conditionalFormatting>
  <conditionalFormatting sqref="G45">
    <cfRule type="expression" dxfId="3299" priority="193">
      <formula>B45=""</formula>
    </cfRule>
  </conditionalFormatting>
  <conditionalFormatting sqref="G46">
    <cfRule type="expression" dxfId="3298" priority="192">
      <formula>B46=""</formula>
    </cfRule>
  </conditionalFormatting>
  <conditionalFormatting sqref="G47">
    <cfRule type="expression" dxfId="3297" priority="191">
      <formula>B47=""</formula>
    </cfRule>
  </conditionalFormatting>
  <conditionalFormatting sqref="G48">
    <cfRule type="expression" dxfId="3296" priority="190">
      <formula>B48=""</formula>
    </cfRule>
  </conditionalFormatting>
  <conditionalFormatting sqref="G49">
    <cfRule type="expression" dxfId="3295" priority="189">
      <formula>B49=""</formula>
    </cfRule>
  </conditionalFormatting>
  <conditionalFormatting sqref="H30 H32 H34 H36 H38 H40 H42 H44 H46 H48">
    <cfRule type="expression" dxfId="3294" priority="188">
      <formula>B30=""</formula>
    </cfRule>
  </conditionalFormatting>
  <conditionalFormatting sqref="H31 H33 H35 H37 H39 H41 H43 H45 H47 H49">
    <cfRule type="expression" dxfId="3293" priority="187">
      <formula>B31=""</formula>
    </cfRule>
  </conditionalFormatting>
  <conditionalFormatting sqref="H32:H42">
    <cfRule type="expression" dxfId="3292" priority="186">
      <formula>B32=""</formula>
    </cfRule>
  </conditionalFormatting>
  <conditionalFormatting sqref="H43">
    <cfRule type="expression" dxfId="3291" priority="185">
      <formula>B43=""</formula>
    </cfRule>
  </conditionalFormatting>
  <conditionalFormatting sqref="H44">
    <cfRule type="expression" dxfId="3290" priority="184">
      <formula>B44=""</formula>
    </cfRule>
  </conditionalFormatting>
  <conditionalFormatting sqref="H45">
    <cfRule type="expression" dxfId="3289" priority="183">
      <formula>B45=""</formula>
    </cfRule>
  </conditionalFormatting>
  <conditionalFormatting sqref="H46">
    <cfRule type="expression" dxfId="3288" priority="182">
      <formula>B46=""</formula>
    </cfRule>
  </conditionalFormatting>
  <conditionalFormatting sqref="H47">
    <cfRule type="expression" dxfId="3287" priority="181">
      <formula>B47=""</formula>
    </cfRule>
  </conditionalFormatting>
  <conditionalFormatting sqref="H48">
    <cfRule type="expression" dxfId="3286" priority="180">
      <formula>B48=""</formula>
    </cfRule>
  </conditionalFormatting>
  <conditionalFormatting sqref="H49">
    <cfRule type="expression" dxfId="3285" priority="179">
      <formula>B49=""</formula>
    </cfRule>
  </conditionalFormatting>
  <conditionalFormatting sqref="F30 F32 F34 F36 F38 F40 F42 F44 F46 F48">
    <cfRule type="expression" dxfId="3284" priority="178">
      <formula>B30=""</formula>
    </cfRule>
  </conditionalFormatting>
  <conditionalFormatting sqref="F31 F33 F35 F37 F39 F41 F43 F45 F47 F49">
    <cfRule type="expression" dxfId="3283" priority="177">
      <formula>B31=""</formula>
    </cfRule>
  </conditionalFormatting>
  <conditionalFormatting sqref="F32:F42">
    <cfRule type="expression" dxfId="3282" priority="176">
      <formula>B32=""</formula>
    </cfRule>
  </conditionalFormatting>
  <conditionalFormatting sqref="F43">
    <cfRule type="expression" dxfId="3281" priority="175">
      <formula>B43=""</formula>
    </cfRule>
  </conditionalFormatting>
  <conditionalFormatting sqref="F44">
    <cfRule type="expression" dxfId="3280" priority="174">
      <formula>B44=""</formula>
    </cfRule>
  </conditionalFormatting>
  <conditionalFormatting sqref="F45">
    <cfRule type="expression" dxfId="3279" priority="173">
      <formula>B45=""</formula>
    </cfRule>
  </conditionalFormatting>
  <conditionalFormatting sqref="F46">
    <cfRule type="expression" dxfId="3278" priority="172">
      <formula>B46=""</formula>
    </cfRule>
  </conditionalFormatting>
  <conditionalFormatting sqref="F47">
    <cfRule type="expression" dxfId="3277" priority="171">
      <formula>B47=""</formula>
    </cfRule>
  </conditionalFormatting>
  <conditionalFormatting sqref="F48">
    <cfRule type="expression" dxfId="3276" priority="170">
      <formula>B48=""</formula>
    </cfRule>
  </conditionalFormatting>
  <conditionalFormatting sqref="F49">
    <cfRule type="expression" dxfId="3275" priority="169">
      <formula>B49=""</formula>
    </cfRule>
  </conditionalFormatting>
  <conditionalFormatting sqref="C52:C71">
    <cfRule type="expression" dxfId="3274" priority="168">
      <formula>B52=""</formula>
    </cfRule>
  </conditionalFormatting>
  <conditionalFormatting sqref="C53 C55 C57 C59 C61 C63 C65 C67 C69 C71">
    <cfRule type="expression" dxfId="3273" priority="167">
      <formula>B53=""</formula>
    </cfRule>
  </conditionalFormatting>
  <conditionalFormatting sqref="C54:C64">
    <cfRule type="expression" dxfId="3272" priority="166">
      <formula>B54=""</formula>
    </cfRule>
  </conditionalFormatting>
  <conditionalFormatting sqref="C65">
    <cfRule type="expression" dxfId="3271" priority="165">
      <formula>B65=""</formula>
    </cfRule>
  </conditionalFormatting>
  <conditionalFormatting sqref="C66">
    <cfRule type="expression" dxfId="3270" priority="164">
      <formula>B66=""</formula>
    </cfRule>
  </conditionalFormatting>
  <conditionalFormatting sqref="C67">
    <cfRule type="expression" dxfId="3269" priority="163">
      <formula>B67=""</formula>
    </cfRule>
  </conditionalFormatting>
  <conditionalFormatting sqref="C68">
    <cfRule type="expression" dxfId="3268" priority="162">
      <formula>B68=""</formula>
    </cfRule>
  </conditionalFormatting>
  <conditionalFormatting sqref="C69">
    <cfRule type="expression" dxfId="3267" priority="161">
      <formula>B69=""</formula>
    </cfRule>
  </conditionalFormatting>
  <conditionalFormatting sqref="C70">
    <cfRule type="expression" dxfId="3266" priority="160">
      <formula>B70=""</formula>
    </cfRule>
  </conditionalFormatting>
  <conditionalFormatting sqref="C71">
    <cfRule type="expression" dxfId="3265" priority="159">
      <formula>B71=""</formula>
    </cfRule>
  </conditionalFormatting>
  <conditionalFormatting sqref="C71">
    <cfRule type="expression" dxfId="3264" priority="158">
      <formula>B71=""</formula>
    </cfRule>
  </conditionalFormatting>
  <conditionalFormatting sqref="C52:C71">
    <cfRule type="expression" dxfId="3263" priority="157">
      <formula>B52=""</formula>
    </cfRule>
  </conditionalFormatting>
  <conditionalFormatting sqref="C53 C55 C57 C59 C61 C63 C65 C67 C69 C71">
    <cfRule type="expression" dxfId="3262" priority="156">
      <formula>B53=""</formula>
    </cfRule>
  </conditionalFormatting>
  <conditionalFormatting sqref="C54:C64">
    <cfRule type="expression" dxfId="3261" priority="155">
      <formula>B54=""</formula>
    </cfRule>
  </conditionalFormatting>
  <conditionalFormatting sqref="C65">
    <cfRule type="expression" dxfId="3260" priority="154">
      <formula>B65=""</formula>
    </cfRule>
  </conditionalFormatting>
  <conditionalFormatting sqref="C66">
    <cfRule type="expression" dxfId="3259" priority="153">
      <formula>B66=""</formula>
    </cfRule>
  </conditionalFormatting>
  <conditionalFormatting sqref="C67">
    <cfRule type="expression" dxfId="3258" priority="152">
      <formula>B67=""</formula>
    </cfRule>
  </conditionalFormatting>
  <conditionalFormatting sqref="C68">
    <cfRule type="expression" dxfId="3257" priority="151">
      <formula>B68=""</formula>
    </cfRule>
  </conditionalFormatting>
  <conditionalFormatting sqref="C69">
    <cfRule type="expression" dxfId="3256" priority="150">
      <formula>B69=""</formula>
    </cfRule>
  </conditionalFormatting>
  <conditionalFormatting sqref="C70">
    <cfRule type="expression" dxfId="3255" priority="149">
      <formula>B70=""</formula>
    </cfRule>
  </conditionalFormatting>
  <conditionalFormatting sqref="C71">
    <cfRule type="expression" dxfId="3254" priority="148">
      <formula>B71=""</formula>
    </cfRule>
  </conditionalFormatting>
  <conditionalFormatting sqref="C52:C71">
    <cfRule type="expression" dxfId="3253" priority="147">
      <formula>B52=""</formula>
    </cfRule>
  </conditionalFormatting>
  <conditionalFormatting sqref="C53 C55 C57 C59 C61 C63 C65 C67 C69 C71">
    <cfRule type="expression" dxfId="3252" priority="146">
      <formula>B53=""</formula>
    </cfRule>
  </conditionalFormatting>
  <conditionalFormatting sqref="C54:C64">
    <cfRule type="expression" dxfId="3251" priority="145">
      <formula>B54=""</formula>
    </cfRule>
  </conditionalFormatting>
  <conditionalFormatting sqref="C65">
    <cfRule type="expression" dxfId="3250" priority="144">
      <formula>B65=""</formula>
    </cfRule>
  </conditionalFormatting>
  <conditionalFormatting sqref="C66">
    <cfRule type="expression" dxfId="3249" priority="143">
      <formula>B66=""</formula>
    </cfRule>
  </conditionalFormatting>
  <conditionalFormatting sqref="C67">
    <cfRule type="expression" dxfId="3248" priority="142">
      <formula>B67=""</formula>
    </cfRule>
  </conditionalFormatting>
  <conditionalFormatting sqref="C68">
    <cfRule type="expression" dxfId="3247" priority="141">
      <formula>B68=""</formula>
    </cfRule>
  </conditionalFormatting>
  <conditionalFormatting sqref="C69">
    <cfRule type="expression" dxfId="3246" priority="140">
      <formula>B69=""</formula>
    </cfRule>
  </conditionalFormatting>
  <conditionalFormatting sqref="C70">
    <cfRule type="expression" dxfId="3245" priority="139">
      <formula>B70=""</formula>
    </cfRule>
  </conditionalFormatting>
  <conditionalFormatting sqref="C71">
    <cfRule type="expression" dxfId="3244" priority="138">
      <formula>B71=""</formula>
    </cfRule>
  </conditionalFormatting>
  <conditionalFormatting sqref="C52:C71">
    <cfRule type="expression" dxfId="3243" priority="137">
      <formula>B52=""</formula>
    </cfRule>
  </conditionalFormatting>
  <conditionalFormatting sqref="C53 C55 C57 C59 C61 C63 C65 C67 C69 C71">
    <cfRule type="expression" dxfId="3242" priority="136">
      <formula>B53=""</formula>
    </cfRule>
  </conditionalFormatting>
  <conditionalFormatting sqref="C54:C64">
    <cfRule type="expression" dxfId="3241" priority="135">
      <formula>B54=""</formula>
    </cfRule>
  </conditionalFormatting>
  <conditionalFormatting sqref="C65">
    <cfRule type="expression" dxfId="3240" priority="134">
      <formula>B65=""</formula>
    </cfRule>
  </conditionalFormatting>
  <conditionalFormatting sqref="C66">
    <cfRule type="expression" dxfId="3239" priority="133">
      <formula>B66=""</formula>
    </cfRule>
  </conditionalFormatting>
  <conditionalFormatting sqref="C67">
    <cfRule type="expression" dxfId="3238" priority="132">
      <formula>B67=""</formula>
    </cfRule>
  </conditionalFormatting>
  <conditionalFormatting sqref="C68">
    <cfRule type="expression" dxfId="3237" priority="131">
      <formula>B68=""</formula>
    </cfRule>
  </conditionalFormatting>
  <conditionalFormatting sqref="C69">
    <cfRule type="expression" dxfId="3236" priority="130">
      <formula>B69=""</formula>
    </cfRule>
  </conditionalFormatting>
  <conditionalFormatting sqref="C70">
    <cfRule type="expression" dxfId="3235" priority="129">
      <formula>B70=""</formula>
    </cfRule>
  </conditionalFormatting>
  <conditionalFormatting sqref="C71">
    <cfRule type="expression" dxfId="3234" priority="128">
      <formula>B71=""</formula>
    </cfRule>
  </conditionalFormatting>
  <conditionalFormatting sqref="C52 C54 C56 C58 C60 C62 C64 C66 C68 C70">
    <cfRule type="expression" dxfId="3233" priority="127">
      <formula>B52=""</formula>
    </cfRule>
  </conditionalFormatting>
  <conditionalFormatting sqref="C53 C55 C57 C59 C61 C63 C65 C67 C69 C71">
    <cfRule type="expression" dxfId="3232" priority="126">
      <formula>B53=""</formula>
    </cfRule>
  </conditionalFormatting>
  <conditionalFormatting sqref="C54:C64">
    <cfRule type="expression" dxfId="3231" priority="125">
      <formula>B54=""</formula>
    </cfRule>
  </conditionalFormatting>
  <conditionalFormatting sqref="C65">
    <cfRule type="expression" dxfId="3230" priority="124">
      <formula>B65=""</formula>
    </cfRule>
  </conditionalFormatting>
  <conditionalFormatting sqref="C66">
    <cfRule type="expression" dxfId="3229" priority="123">
      <formula>B66=""</formula>
    </cfRule>
  </conditionalFormatting>
  <conditionalFormatting sqref="C67">
    <cfRule type="expression" dxfId="3228" priority="122">
      <formula>B67=""</formula>
    </cfRule>
  </conditionalFormatting>
  <conditionalFormatting sqref="C68">
    <cfRule type="expression" dxfId="3227" priority="121">
      <formula>B68=""</formula>
    </cfRule>
  </conditionalFormatting>
  <conditionalFormatting sqref="C69">
    <cfRule type="expression" dxfId="3226" priority="120">
      <formula>B69=""</formula>
    </cfRule>
  </conditionalFormatting>
  <conditionalFormatting sqref="C70">
    <cfRule type="expression" dxfId="3225" priority="119">
      <formula>B70=""</formula>
    </cfRule>
  </conditionalFormatting>
  <conditionalFormatting sqref="C71">
    <cfRule type="expression" dxfId="3224" priority="118">
      <formula>B71=""</formula>
    </cfRule>
  </conditionalFormatting>
  <conditionalFormatting sqref="C74:C93">
    <cfRule type="expression" dxfId="3223" priority="117">
      <formula>B74=""</formula>
    </cfRule>
  </conditionalFormatting>
  <conditionalFormatting sqref="C75 C77 C79 C81 C83 C85 C87 C89 C91 C93">
    <cfRule type="expression" dxfId="3222" priority="116">
      <formula>B75=""</formula>
    </cfRule>
  </conditionalFormatting>
  <conditionalFormatting sqref="C76:C86">
    <cfRule type="expression" dxfId="3221" priority="115">
      <formula>B76=""</formula>
    </cfRule>
  </conditionalFormatting>
  <conditionalFormatting sqref="C87">
    <cfRule type="expression" dxfId="3220" priority="114">
      <formula>B87=""</formula>
    </cfRule>
  </conditionalFormatting>
  <conditionalFormatting sqref="C88">
    <cfRule type="expression" dxfId="3219" priority="113">
      <formula>B88=""</formula>
    </cfRule>
  </conditionalFormatting>
  <conditionalFormatting sqref="C89">
    <cfRule type="expression" dxfId="3218" priority="112">
      <formula>B89=""</formula>
    </cfRule>
  </conditionalFormatting>
  <conditionalFormatting sqref="C90">
    <cfRule type="expression" dxfId="3217" priority="111">
      <formula>B90=""</formula>
    </cfRule>
  </conditionalFormatting>
  <conditionalFormatting sqref="C91">
    <cfRule type="expression" dxfId="3216" priority="110">
      <formula>B91=""</formula>
    </cfRule>
  </conditionalFormatting>
  <conditionalFormatting sqref="C92">
    <cfRule type="expression" dxfId="3215" priority="109">
      <formula>B92=""</formula>
    </cfRule>
  </conditionalFormatting>
  <conditionalFormatting sqref="C93">
    <cfRule type="expression" dxfId="3214" priority="108">
      <formula>B93=""</formula>
    </cfRule>
  </conditionalFormatting>
  <conditionalFormatting sqref="C93">
    <cfRule type="expression" dxfId="3213" priority="107">
      <formula>B93=""</formula>
    </cfRule>
  </conditionalFormatting>
  <conditionalFormatting sqref="C74:C93">
    <cfRule type="expression" dxfId="3212" priority="106">
      <formula>B74=""</formula>
    </cfRule>
  </conditionalFormatting>
  <conditionalFormatting sqref="C75 C77 C79 C81 C83 C85 C87 C89 C91 C93">
    <cfRule type="expression" dxfId="3211" priority="105">
      <formula>B75=""</formula>
    </cfRule>
  </conditionalFormatting>
  <conditionalFormatting sqref="C76:C86">
    <cfRule type="expression" dxfId="3210" priority="104">
      <formula>B76=""</formula>
    </cfRule>
  </conditionalFormatting>
  <conditionalFormatting sqref="C87">
    <cfRule type="expression" dxfId="3209" priority="103">
      <formula>B87=""</formula>
    </cfRule>
  </conditionalFormatting>
  <conditionalFormatting sqref="C88">
    <cfRule type="expression" dxfId="3208" priority="102">
      <formula>B88=""</formula>
    </cfRule>
  </conditionalFormatting>
  <conditionalFormatting sqref="C89">
    <cfRule type="expression" dxfId="3207" priority="101">
      <formula>B89=""</formula>
    </cfRule>
  </conditionalFormatting>
  <conditionalFormatting sqref="C90">
    <cfRule type="expression" dxfId="3206" priority="100">
      <formula>B90=""</formula>
    </cfRule>
  </conditionalFormatting>
  <conditionalFormatting sqref="C91">
    <cfRule type="expression" dxfId="3205" priority="99">
      <formula>B91=""</formula>
    </cfRule>
  </conditionalFormatting>
  <conditionalFormatting sqref="C92">
    <cfRule type="expression" dxfId="3204" priority="98">
      <formula>B92=""</formula>
    </cfRule>
  </conditionalFormatting>
  <conditionalFormatting sqref="C93">
    <cfRule type="expression" dxfId="3203" priority="97">
      <formula>B93=""</formula>
    </cfRule>
  </conditionalFormatting>
  <conditionalFormatting sqref="C74:C93">
    <cfRule type="expression" dxfId="3202" priority="96">
      <formula>B74=""</formula>
    </cfRule>
  </conditionalFormatting>
  <conditionalFormatting sqref="C75 C77 C79 C81 C83 C85 C87 C89 C91 C93">
    <cfRule type="expression" dxfId="3201" priority="95">
      <formula>B75=""</formula>
    </cfRule>
  </conditionalFormatting>
  <conditionalFormatting sqref="C76:C86">
    <cfRule type="expression" dxfId="3200" priority="94">
      <formula>B76=""</formula>
    </cfRule>
  </conditionalFormatting>
  <conditionalFormatting sqref="C87">
    <cfRule type="expression" dxfId="3199" priority="93">
      <formula>B87=""</formula>
    </cfRule>
  </conditionalFormatting>
  <conditionalFormatting sqref="C88">
    <cfRule type="expression" dxfId="3198" priority="92">
      <formula>B88=""</formula>
    </cfRule>
  </conditionalFormatting>
  <conditionalFormatting sqref="C89">
    <cfRule type="expression" dxfId="3197" priority="91">
      <formula>B89=""</formula>
    </cfRule>
  </conditionalFormatting>
  <conditionalFormatting sqref="C90">
    <cfRule type="expression" dxfId="3196" priority="90">
      <formula>B90=""</formula>
    </cfRule>
  </conditionalFormatting>
  <conditionalFormatting sqref="C91">
    <cfRule type="expression" dxfId="3195" priority="89">
      <formula>B91=""</formula>
    </cfRule>
  </conditionalFormatting>
  <conditionalFormatting sqref="C92">
    <cfRule type="expression" dxfId="3194" priority="88">
      <formula>B92=""</formula>
    </cfRule>
  </conditionalFormatting>
  <conditionalFormatting sqref="C93">
    <cfRule type="expression" dxfId="3193" priority="87">
      <formula>B93=""</formula>
    </cfRule>
  </conditionalFormatting>
  <conditionalFormatting sqref="C93">
    <cfRule type="expression" dxfId="3192" priority="86">
      <formula>B93=""</formula>
    </cfRule>
  </conditionalFormatting>
  <conditionalFormatting sqref="C74:C93">
    <cfRule type="expression" dxfId="3191" priority="85">
      <formula>B74=""</formula>
    </cfRule>
  </conditionalFormatting>
  <conditionalFormatting sqref="C75 C77 C79 C81 C83 C85 C87 C89 C91 C93">
    <cfRule type="expression" dxfId="3190" priority="84">
      <formula>B75=""</formula>
    </cfRule>
  </conditionalFormatting>
  <conditionalFormatting sqref="C76:C86">
    <cfRule type="expression" dxfId="3189" priority="83">
      <formula>B76=""</formula>
    </cfRule>
  </conditionalFormatting>
  <conditionalFormatting sqref="C87">
    <cfRule type="expression" dxfId="3188" priority="82">
      <formula>B87=""</formula>
    </cfRule>
  </conditionalFormatting>
  <conditionalFormatting sqref="C88">
    <cfRule type="expression" dxfId="3187" priority="81">
      <formula>B88=""</formula>
    </cfRule>
  </conditionalFormatting>
  <conditionalFormatting sqref="C89">
    <cfRule type="expression" dxfId="3186" priority="80">
      <formula>B89=""</formula>
    </cfRule>
  </conditionalFormatting>
  <conditionalFormatting sqref="C90">
    <cfRule type="expression" dxfId="3185" priority="79">
      <formula>B90=""</formula>
    </cfRule>
  </conditionalFormatting>
  <conditionalFormatting sqref="C91">
    <cfRule type="expression" dxfId="3184" priority="78">
      <formula>B91=""</formula>
    </cfRule>
  </conditionalFormatting>
  <conditionalFormatting sqref="C92">
    <cfRule type="expression" dxfId="3183" priority="77">
      <formula>B92=""</formula>
    </cfRule>
  </conditionalFormatting>
  <conditionalFormatting sqref="C93">
    <cfRule type="expression" dxfId="3182" priority="76">
      <formula>B93=""</formula>
    </cfRule>
  </conditionalFormatting>
  <conditionalFormatting sqref="C74:C93">
    <cfRule type="expression" dxfId="3181" priority="75">
      <formula>B74=""</formula>
    </cfRule>
  </conditionalFormatting>
  <conditionalFormatting sqref="C75 C77 C79 C81 C83 C85 C87 C89 C91 C93">
    <cfRule type="expression" dxfId="3180" priority="74">
      <formula>B75=""</formula>
    </cfRule>
  </conditionalFormatting>
  <conditionalFormatting sqref="C76:C86">
    <cfRule type="expression" dxfId="3179" priority="73">
      <formula>B76=""</formula>
    </cfRule>
  </conditionalFormatting>
  <conditionalFormatting sqref="C87">
    <cfRule type="expression" dxfId="3178" priority="72">
      <formula>B87=""</formula>
    </cfRule>
  </conditionalFormatting>
  <conditionalFormatting sqref="C88">
    <cfRule type="expression" dxfId="3177" priority="71">
      <formula>B88=""</formula>
    </cfRule>
  </conditionalFormatting>
  <conditionalFormatting sqref="C89">
    <cfRule type="expression" dxfId="3176" priority="70">
      <formula>B89=""</formula>
    </cfRule>
  </conditionalFormatting>
  <conditionalFormatting sqref="C90">
    <cfRule type="expression" dxfId="3175" priority="69">
      <formula>B90=""</formula>
    </cfRule>
  </conditionalFormatting>
  <conditionalFormatting sqref="C91">
    <cfRule type="expression" dxfId="3174" priority="68">
      <formula>B91=""</formula>
    </cfRule>
  </conditionalFormatting>
  <conditionalFormatting sqref="C92">
    <cfRule type="expression" dxfId="3173" priority="67">
      <formula>B92=""</formula>
    </cfRule>
  </conditionalFormatting>
  <conditionalFormatting sqref="C93">
    <cfRule type="expression" dxfId="3172" priority="66">
      <formula>B93=""</formula>
    </cfRule>
  </conditionalFormatting>
  <conditionalFormatting sqref="C74:C93">
    <cfRule type="expression" dxfId="3171" priority="65">
      <formula>B74=""</formula>
    </cfRule>
  </conditionalFormatting>
  <conditionalFormatting sqref="C75 C77 C79 C81 C83 C85 C87 C89 C91 C93">
    <cfRule type="expression" dxfId="3170" priority="64">
      <formula>B75=""</formula>
    </cfRule>
  </conditionalFormatting>
  <conditionalFormatting sqref="C76:C86">
    <cfRule type="expression" dxfId="3169" priority="63">
      <formula>B76=""</formula>
    </cfRule>
  </conditionalFormatting>
  <conditionalFormatting sqref="C87">
    <cfRule type="expression" dxfId="3168" priority="62">
      <formula>B87=""</formula>
    </cfRule>
  </conditionalFormatting>
  <conditionalFormatting sqref="C88">
    <cfRule type="expression" dxfId="3167" priority="61">
      <formula>B88=""</formula>
    </cfRule>
  </conditionalFormatting>
  <conditionalFormatting sqref="C89">
    <cfRule type="expression" dxfId="3166" priority="60">
      <formula>B89=""</formula>
    </cfRule>
  </conditionalFormatting>
  <conditionalFormatting sqref="C90">
    <cfRule type="expression" dxfId="3165" priority="59">
      <formula>B90=""</formula>
    </cfRule>
  </conditionalFormatting>
  <conditionalFormatting sqref="C91">
    <cfRule type="expression" dxfId="3164" priority="58">
      <formula>B91=""</formula>
    </cfRule>
  </conditionalFormatting>
  <conditionalFormatting sqref="C92">
    <cfRule type="expression" dxfId="3163" priority="57">
      <formula>B92=""</formula>
    </cfRule>
  </conditionalFormatting>
  <conditionalFormatting sqref="C93">
    <cfRule type="expression" dxfId="3162" priority="56">
      <formula>B93=""</formula>
    </cfRule>
  </conditionalFormatting>
  <conditionalFormatting sqref="C74 C76 C78 C80 C82 C84 C86 C88 C90 C92">
    <cfRule type="expression" dxfId="3161" priority="55">
      <formula>B74=""</formula>
    </cfRule>
  </conditionalFormatting>
  <conditionalFormatting sqref="C75 C77 C79 C81 C83 C85 C87 C89 C91 C93">
    <cfRule type="expression" dxfId="3160" priority="54">
      <formula>B75=""</formula>
    </cfRule>
  </conditionalFormatting>
  <conditionalFormatting sqref="C76:C86">
    <cfRule type="expression" dxfId="3159" priority="53">
      <formula>B76=""</formula>
    </cfRule>
  </conditionalFormatting>
  <conditionalFormatting sqref="C87">
    <cfRule type="expression" dxfId="3158" priority="52">
      <formula>B87=""</formula>
    </cfRule>
  </conditionalFormatting>
  <conditionalFormatting sqref="C88">
    <cfRule type="expression" dxfId="3157" priority="51">
      <formula>B88=""</formula>
    </cfRule>
  </conditionalFormatting>
  <conditionalFormatting sqref="C89">
    <cfRule type="expression" dxfId="3156" priority="50">
      <formula>B89=""</formula>
    </cfRule>
  </conditionalFormatting>
  <conditionalFormatting sqref="C90">
    <cfRule type="expression" dxfId="3155" priority="49">
      <formula>B90=""</formula>
    </cfRule>
  </conditionalFormatting>
  <conditionalFormatting sqref="C91">
    <cfRule type="expression" dxfId="3154" priority="48">
      <formula>B91=""</formula>
    </cfRule>
  </conditionalFormatting>
  <conditionalFormatting sqref="C92">
    <cfRule type="expression" dxfId="3153" priority="47">
      <formula>B92=""</formula>
    </cfRule>
  </conditionalFormatting>
  <conditionalFormatting sqref="C93">
    <cfRule type="expression" dxfId="3152" priority="46">
      <formula>B93=""</formula>
    </cfRule>
  </conditionalFormatting>
  <conditionalFormatting sqref="B8:B27">
    <cfRule type="containsBlanks" dxfId="3151" priority="45">
      <formula>LEN(TRIM(B8))=0</formula>
    </cfRule>
  </conditionalFormatting>
  <conditionalFormatting sqref="C8:C27">
    <cfRule type="expression" dxfId="3150" priority="44">
      <formula>B8=""</formula>
    </cfRule>
  </conditionalFormatting>
  <conditionalFormatting sqref="C9 C11 C13 C15 C17 C19 C21 C23 C25 C27">
    <cfRule type="expression" dxfId="3149" priority="43">
      <formula>B9=""</formula>
    </cfRule>
  </conditionalFormatting>
  <conditionalFormatting sqref="C8:C27">
    <cfRule type="expression" dxfId="3148" priority="42">
      <formula>B8=""</formula>
    </cfRule>
  </conditionalFormatting>
  <conditionalFormatting sqref="C9 C11 C13 C15 C17 C19 C21 C23 C25 C27">
    <cfRule type="expression" dxfId="3147" priority="41">
      <formula>B9=""</formula>
    </cfRule>
  </conditionalFormatting>
  <conditionalFormatting sqref="C8 C10 C12 C14 C16 C18 C20 C22 C24 C26">
    <cfRule type="expression" dxfId="3146" priority="40">
      <formula>B8=""</formula>
    </cfRule>
  </conditionalFormatting>
  <conditionalFormatting sqref="C9 C11 C13 C15 C17 C19 C21 C23 C25 C27">
    <cfRule type="expression" dxfId="3145" priority="39">
      <formula>B9=""</formula>
    </cfRule>
  </conditionalFormatting>
  <conditionalFormatting sqref="B8:B27">
    <cfRule type="containsBlanks" dxfId="3144" priority="38">
      <formula>LEN(TRIM(B8))=0</formula>
    </cfRule>
  </conditionalFormatting>
  <conditionalFormatting sqref="C8:C27">
    <cfRule type="expression" dxfId="3143" priority="37">
      <formula>B8=""</formula>
    </cfRule>
  </conditionalFormatting>
  <conditionalFormatting sqref="C9 C11 C13 C15 C17 C19 C21 C23 C25 C27">
    <cfRule type="expression" dxfId="3142" priority="36">
      <formula>B9=""</formula>
    </cfRule>
  </conditionalFormatting>
  <conditionalFormatting sqref="C8:C27">
    <cfRule type="expression" dxfId="3141" priority="35">
      <formula>B8=""</formula>
    </cfRule>
  </conditionalFormatting>
  <conditionalFormatting sqref="C9 C11 C13 C15 C17 C19 C21 C23 C25 C27">
    <cfRule type="expression" dxfId="3140" priority="34">
      <formula>B9=""</formula>
    </cfRule>
  </conditionalFormatting>
  <conditionalFormatting sqref="C8 C10 C12 C14 C16 C18 C20 C22 C24 C26">
    <cfRule type="expression" dxfId="3139" priority="33">
      <formula>B8=""</formula>
    </cfRule>
  </conditionalFormatting>
  <conditionalFormatting sqref="C9 C11 C13 C15 C17 C19 C21 C23 C25 C27">
    <cfRule type="expression" dxfId="3138" priority="32">
      <formula>B9=""</formula>
    </cfRule>
  </conditionalFormatting>
  <conditionalFormatting sqref="B8:B27">
    <cfRule type="containsBlanks" dxfId="3137" priority="31">
      <formula>LEN(TRIM(B8))=0</formula>
    </cfRule>
  </conditionalFormatting>
  <conditionalFormatting sqref="C8:C27">
    <cfRule type="expression" dxfId="3136" priority="30">
      <formula>B8=""</formula>
    </cfRule>
  </conditionalFormatting>
  <conditionalFormatting sqref="C9 C11 C13 C15 C17 C19 C21 C23 C25 C27">
    <cfRule type="expression" dxfId="3135" priority="29">
      <formula>B9=""</formula>
    </cfRule>
  </conditionalFormatting>
  <conditionalFormatting sqref="C8:C27">
    <cfRule type="expression" dxfId="3134" priority="28">
      <formula>B8=""</formula>
    </cfRule>
  </conditionalFormatting>
  <conditionalFormatting sqref="C9 C11 C13 C15 C17 C19 C21 C23 C25 C27">
    <cfRule type="expression" dxfId="3133" priority="27">
      <formula>B9=""</formula>
    </cfRule>
  </conditionalFormatting>
  <conditionalFormatting sqref="C8 C10 C12 C14 C16 C18 C20 C22 C24 C26">
    <cfRule type="expression" dxfId="3132" priority="26">
      <formula>B8=""</formula>
    </cfRule>
  </conditionalFormatting>
  <conditionalFormatting sqref="C9 C11 C13 C15 C17 C19 C21 C23 C25 C27">
    <cfRule type="expression" dxfId="3131" priority="25">
      <formula>B9=""</formula>
    </cfRule>
  </conditionalFormatting>
  <conditionalFormatting sqref="B8:B27">
    <cfRule type="containsBlanks" dxfId="3130" priority="24">
      <formula>LEN(TRIM(B8))=0</formula>
    </cfRule>
  </conditionalFormatting>
  <conditionalFormatting sqref="C8:C27">
    <cfRule type="expression" dxfId="3129" priority="23">
      <formula>B8=""</formula>
    </cfRule>
  </conditionalFormatting>
  <conditionalFormatting sqref="C9 C11 C13 C15 C17 C19 C21 C23 C25 C27">
    <cfRule type="expression" dxfId="3128" priority="22">
      <formula>B9=""</formula>
    </cfRule>
  </conditionalFormatting>
  <conditionalFormatting sqref="C8:C27">
    <cfRule type="expression" dxfId="3127" priority="21">
      <formula>B8=""</formula>
    </cfRule>
  </conditionalFormatting>
  <conditionalFormatting sqref="C9 C11 C13 C15 C17 C19 C21 C23 C25 C27">
    <cfRule type="expression" dxfId="3126" priority="20">
      <formula>B9=""</formula>
    </cfRule>
  </conditionalFormatting>
  <conditionalFormatting sqref="C8 C10 C12 C14 C16 C18 C20 C22 C24 C26">
    <cfRule type="expression" dxfId="3125" priority="19">
      <formula>B8=""</formula>
    </cfRule>
  </conditionalFormatting>
  <conditionalFormatting sqref="C9 C11 C13 C15 C17 C19 C21 C23 C25 C27">
    <cfRule type="expression" dxfId="3124" priority="18">
      <formula>B9=""</formula>
    </cfRule>
  </conditionalFormatting>
  <conditionalFormatting sqref="C8:C27">
    <cfRule type="expression" dxfId="3123" priority="17">
      <formula>B8=""</formula>
    </cfRule>
  </conditionalFormatting>
  <conditionalFormatting sqref="C9 C11 C13 C15 C17 C19 C21 C23 C25 C27">
    <cfRule type="expression" dxfId="3122" priority="16">
      <formula>B9=""</formula>
    </cfRule>
  </conditionalFormatting>
  <conditionalFormatting sqref="C8:C27">
    <cfRule type="expression" dxfId="3121" priority="15">
      <formula>B8=""</formula>
    </cfRule>
  </conditionalFormatting>
  <conditionalFormatting sqref="C9 C11 C13 C15 C17 C19 C21 C23 C25 C27">
    <cfRule type="expression" dxfId="3120" priority="14">
      <formula>B9=""</formula>
    </cfRule>
  </conditionalFormatting>
  <conditionalFormatting sqref="C8 C10 C12 C14 C16 C18 C20 C22 C24 C26">
    <cfRule type="expression" dxfId="3119" priority="13">
      <formula>B8=""</formula>
    </cfRule>
  </conditionalFormatting>
  <conditionalFormatting sqref="C9 C11 C13 C15 C17 C19 C21 C23 C25 C27">
    <cfRule type="expression" dxfId="3118" priority="12">
      <formula>B9=""</formula>
    </cfRule>
  </conditionalFormatting>
  <conditionalFormatting sqref="C8:C27">
    <cfRule type="expression" dxfId="3117" priority="11">
      <formula>B8=""</formula>
    </cfRule>
  </conditionalFormatting>
  <conditionalFormatting sqref="C9 C11 C13 C15 C17 C19 C21 C23 C25 C27">
    <cfRule type="expression" dxfId="3116" priority="10">
      <formula>B9=""</formula>
    </cfRule>
  </conditionalFormatting>
  <conditionalFormatting sqref="C9 C11 C13 C15 C17 C19 C21 C23 C25 C27">
    <cfRule type="expression" dxfId="3115" priority="9">
      <formula>B9=""</formula>
    </cfRule>
  </conditionalFormatting>
  <conditionalFormatting sqref="C8 C10 C12 C14 C16 C18 C20 C22 C24 C26">
    <cfRule type="expression" dxfId="3114" priority="8">
      <formula>B8=""</formula>
    </cfRule>
  </conditionalFormatting>
  <conditionalFormatting sqref="C9 C11 C13 C15 C17 C19 C21 C23 C25 C27">
    <cfRule type="expression" dxfId="3113" priority="7">
      <formula>B9=""</formula>
    </cfRule>
  </conditionalFormatting>
  <conditionalFormatting sqref="C8:C27">
    <cfRule type="expression" dxfId="3112" priority="6">
      <formula>B8=""</formula>
    </cfRule>
  </conditionalFormatting>
  <conditionalFormatting sqref="C9 C11 C13 C15 C17 C19 C21 C23 C25 C27">
    <cfRule type="expression" dxfId="3111" priority="5">
      <formula>B9=""</formula>
    </cfRule>
  </conditionalFormatting>
  <conditionalFormatting sqref="C8:C27">
    <cfRule type="expression" dxfId="3110" priority="4">
      <formula>B8=""</formula>
    </cfRule>
  </conditionalFormatting>
  <conditionalFormatting sqref="C9 C11 C13 C15 C17 C19 C21 C23 C25 C27">
    <cfRule type="expression" dxfId="3109" priority="3">
      <formula>B9=""</formula>
    </cfRule>
  </conditionalFormatting>
  <conditionalFormatting sqref="C8:C27">
    <cfRule type="expression" dxfId="3108" priority="2">
      <formula>B8=""</formula>
    </cfRule>
  </conditionalFormatting>
  <conditionalFormatting sqref="C9 C11 C13 C15 C17 C19 C21 C23 C25 C27">
    <cfRule type="expression" dxfId="3107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A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">
    <tabColor rgb="FFFF0000"/>
    <pageSetUpPr fitToPage="1"/>
  </sheetPr>
  <dimension ref="A1:N171"/>
  <sheetViews>
    <sheetView workbookViewId="0">
      <selection activeCell="B1" sqref="B1"/>
    </sheetView>
  </sheetViews>
  <sheetFormatPr defaultRowHeight="1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3.5703125" style="13" customWidth="1"/>
    <col min="6" max="6" width="14.5703125" style="18" customWidth="1"/>
    <col min="7" max="7" width="14.5703125" customWidth="1"/>
    <col min="8" max="8" width="17.140625" customWidth="1"/>
    <col min="10" max="10" width="14.7109375" customWidth="1"/>
    <col min="11" max="11" width="15.140625" style="163" customWidth="1"/>
    <col min="12" max="12" width="14.85546875" customWidth="1"/>
    <col min="13" max="13" width="13.42578125" customWidth="1"/>
    <col min="14" max="14" width="13.28515625" customWidth="1"/>
  </cols>
  <sheetData>
    <row r="1" spans="1:12" ht="23.25">
      <c r="C1" s="276" t="s">
        <v>224</v>
      </c>
      <c r="D1" s="890" t="str">
        <f>IF('TENDERER INPUT DATA'!D1="","PLEASE INSERT TENDERER NAME ON INPUT DATA SHEET",'TENDERER INPUT DATA'!D1)</f>
        <v>PLEASE INSERT TENDERER NAME ON INPUT DATA SHEET</v>
      </c>
      <c r="E1" s="887"/>
      <c r="F1" s="888"/>
      <c r="G1" s="126"/>
      <c r="H1" s="126"/>
    </row>
    <row r="2" spans="1:12" ht="33.75" customHeight="1">
      <c r="B2" s="281" t="str">
        <f>DATA!C1004</f>
        <v>NRA.N.011-050-2012/1F</v>
      </c>
    </row>
    <row r="3" spans="1:12" ht="31.5">
      <c r="A3" s="36"/>
      <c r="B3" s="1076" t="s">
        <v>816</v>
      </c>
      <c r="C3" s="1076"/>
      <c r="D3" s="1076"/>
      <c r="E3" s="1076"/>
      <c r="F3" s="1076"/>
      <c r="G3" s="1076"/>
      <c r="H3" s="1076"/>
    </row>
    <row r="4" spans="1:12">
      <c r="A4" s="36"/>
      <c r="B4" s="36"/>
      <c r="C4" s="36"/>
      <c r="D4" s="37"/>
      <c r="E4" s="37"/>
      <c r="F4" s="38"/>
      <c r="G4" s="36"/>
      <c r="H4" s="36"/>
    </row>
    <row r="5" spans="1:12">
      <c r="A5" s="36"/>
      <c r="B5" s="36"/>
      <c r="C5" s="36"/>
      <c r="D5" s="37"/>
      <c r="E5" s="37"/>
      <c r="F5" s="38"/>
      <c r="G5" s="36"/>
      <c r="H5" s="36"/>
    </row>
    <row r="6" spans="1:12" ht="15.75" thickBot="1">
      <c r="A6" s="36"/>
      <c r="B6" s="39" t="s">
        <v>0</v>
      </c>
      <c r="C6" s="39"/>
      <c r="D6" s="40"/>
      <c r="E6" s="40" t="s">
        <v>2</v>
      </c>
      <c r="F6" s="41"/>
      <c r="G6" s="39"/>
      <c r="H6" s="39" t="s">
        <v>4</v>
      </c>
    </row>
    <row r="7" spans="1:12" ht="15.75" thickBot="1">
      <c r="A7" s="36"/>
      <c r="B7" s="42" t="s">
        <v>5</v>
      </c>
      <c r="C7" s="43"/>
      <c r="D7" s="44"/>
      <c r="E7" s="44"/>
      <c r="F7" s="45"/>
      <c r="G7" s="43"/>
      <c r="H7" s="46"/>
    </row>
    <row r="8" spans="1:12" ht="15.75" thickBot="1">
      <c r="A8" s="36"/>
      <c r="B8" s="47" t="s">
        <v>29</v>
      </c>
      <c r="C8" s="48"/>
      <c r="D8" s="49"/>
      <c r="E8" s="49"/>
      <c r="F8" s="50"/>
      <c r="G8" s="51"/>
      <c r="H8" s="52"/>
      <c r="J8" s="11"/>
      <c r="K8" s="11"/>
      <c r="L8" s="11"/>
    </row>
    <row r="9" spans="1:12" ht="30">
      <c r="A9" s="36"/>
      <c r="B9" s="117" t="s">
        <v>30</v>
      </c>
      <c r="C9" s="113" t="s">
        <v>838</v>
      </c>
      <c r="D9" s="55" t="s">
        <v>8</v>
      </c>
      <c r="E9" s="109">
        <f>SUM(E10:E30)</f>
        <v>0</v>
      </c>
      <c r="F9" s="56"/>
      <c r="G9" s="57"/>
      <c r="H9" s="58">
        <f>SUM(G10:G30)</f>
        <v>0</v>
      </c>
      <c r="K9" s="13"/>
    </row>
    <row r="10" spans="1:12">
      <c r="A10" s="36"/>
      <c r="B10" s="118" t="str">
        <f>IF(DATA!A1051="","",DATA!A1051)</f>
        <v>PL</v>
      </c>
      <c r="C10" s="59" t="str">
        <f>IF('TENDERER INPUT DATA'!C12="","",'TENDERER INPUT DATA'!C12)</f>
        <v/>
      </c>
      <c r="D10" s="59"/>
      <c r="E10" s="114">
        <f>E85*DATA!$C$7+E107*DATA!$C$8+E129*DATA!$C$9+E151*DATA!$C$10</f>
        <v>0</v>
      </c>
      <c r="F10" s="60"/>
      <c r="G10" s="61">
        <f>IF(B10="","",(E85*F85+E107*F107+E129*F129+E151*F151))</f>
        <v>0</v>
      </c>
      <c r="H10" s="62"/>
      <c r="K10" s="228"/>
      <c r="L10" s="229"/>
    </row>
    <row r="11" spans="1:12">
      <c r="A11" s="36"/>
      <c r="B11" s="118" t="str">
        <f>IF(DATA!A1052="","",DATA!A1052)</f>
        <v>DS1</v>
      </c>
      <c r="C11" s="59" t="str">
        <f>IF('TENDERER INPUT DATA'!C13="","",'TENDERER INPUT DATA'!C13)</f>
        <v/>
      </c>
      <c r="D11" s="59"/>
      <c r="E11" s="114">
        <f>E86*DATA!$C$7+E108*DATA!$C$8+E130*DATA!$C$9+E152*DATA!$C$10</f>
        <v>0</v>
      </c>
      <c r="F11" s="60"/>
      <c r="G11" s="61">
        <f>IF(B11="","",(E86*F86+E108*F108+E130*F130+E152*F152))</f>
        <v>0</v>
      </c>
      <c r="H11" s="62"/>
      <c r="K11" s="228"/>
      <c r="L11" s="229"/>
    </row>
    <row r="12" spans="1:12">
      <c r="A12" s="36"/>
      <c r="B12" s="118" t="str">
        <f>IF(DATA!A1053="","",DATA!A1053)</f>
        <v>DS3</v>
      </c>
      <c r="C12" s="59" t="str">
        <f>IF('TENDERER INPUT DATA'!C14="","",'TENDERER INPUT DATA'!C14)</f>
        <v/>
      </c>
      <c r="D12" s="59"/>
      <c r="E12" s="114">
        <f>E87*DATA!$C$7+E109*DATA!$C$8+E131*DATA!$C$9+E153*DATA!$C$10</f>
        <v>0</v>
      </c>
      <c r="F12" s="60"/>
      <c r="G12" s="61">
        <f t="shared" ref="G12:G19" si="0">IF(B12="","",(E87*F87+E109*F109+E131*F131+E153*F153))</f>
        <v>0</v>
      </c>
      <c r="H12" s="62"/>
      <c r="K12" s="228"/>
      <c r="L12" s="229"/>
    </row>
    <row r="13" spans="1:12">
      <c r="A13" s="36"/>
      <c r="B13" s="118" t="str">
        <f>IF(DATA!A1054="","",DATA!A1054)</f>
        <v/>
      </c>
      <c r="C13" s="59" t="str">
        <f>IF('TENDERER INPUT DATA'!C15="","",'TENDERER INPUT DATA'!C15)</f>
        <v/>
      </c>
      <c r="D13" s="59"/>
      <c r="E13" s="114">
        <f>E88*DATA!$C$7+E110*DATA!$C$8+E132*DATA!$C$9+E154*DATA!$C$10</f>
        <v>0</v>
      </c>
      <c r="F13" s="60"/>
      <c r="G13" s="61" t="str">
        <f t="shared" si="0"/>
        <v/>
      </c>
      <c r="H13" s="62"/>
      <c r="K13" s="228"/>
      <c r="L13" s="229"/>
    </row>
    <row r="14" spans="1:12">
      <c r="A14" s="36"/>
      <c r="B14" s="118" t="str">
        <f>IF(DATA!A1055="","",DATA!A1055)</f>
        <v/>
      </c>
      <c r="C14" s="59" t="str">
        <f>IF('TENDERER INPUT DATA'!C16="","",'TENDERER INPUT DATA'!C16)</f>
        <v/>
      </c>
      <c r="D14" s="59"/>
      <c r="E14" s="114">
        <f>E89*DATA!$C$7+E111*DATA!$C$8+E133*DATA!$C$9+E155*DATA!$C$10</f>
        <v>0</v>
      </c>
      <c r="F14" s="60"/>
      <c r="G14" s="61" t="str">
        <f t="shared" si="0"/>
        <v/>
      </c>
      <c r="H14" s="62"/>
      <c r="K14" s="228"/>
      <c r="L14" s="229"/>
    </row>
    <row r="15" spans="1:12">
      <c r="A15" s="36"/>
      <c r="B15" s="118" t="str">
        <f>IF(DATA!A1056="","",DATA!A1056)</f>
        <v/>
      </c>
      <c r="C15" s="59" t="str">
        <f>IF('TENDERER INPUT DATA'!C17="","",'TENDERER INPUT DATA'!C17)</f>
        <v/>
      </c>
      <c r="D15" s="59"/>
      <c r="E15" s="114">
        <f>E90*DATA!$C$7+E112*DATA!$C$8+E134*DATA!$C$9+E156*DATA!$C$10</f>
        <v>0</v>
      </c>
      <c r="F15" s="60"/>
      <c r="G15" s="61" t="str">
        <f t="shared" si="0"/>
        <v/>
      </c>
      <c r="H15" s="62"/>
      <c r="K15" s="228"/>
      <c r="L15" s="229"/>
    </row>
    <row r="16" spans="1:12">
      <c r="A16" s="36"/>
      <c r="B16" s="118" t="str">
        <f>IF(DATA!A1057="","",DATA!A1057)</f>
        <v/>
      </c>
      <c r="C16" s="59" t="str">
        <f>IF('TENDERER INPUT DATA'!C18="","",'TENDERER INPUT DATA'!C18)</f>
        <v/>
      </c>
      <c r="D16" s="59"/>
      <c r="E16" s="114">
        <f>E91*DATA!$C$7+E113*DATA!$C$8+E135*DATA!$C$9+E157*DATA!$C$10</f>
        <v>0</v>
      </c>
      <c r="F16" s="60"/>
      <c r="G16" s="61" t="str">
        <f t="shared" si="0"/>
        <v/>
      </c>
      <c r="H16" s="62"/>
      <c r="K16" s="228"/>
      <c r="L16" s="229"/>
    </row>
    <row r="17" spans="1:12">
      <c r="A17" s="36"/>
      <c r="B17" s="118" t="str">
        <f>IF(DATA!A1058="","",DATA!A1058)</f>
        <v/>
      </c>
      <c r="C17" s="59" t="str">
        <f>IF('TENDERER INPUT DATA'!C19="","",'TENDERER INPUT DATA'!C19)</f>
        <v/>
      </c>
      <c r="D17" s="59"/>
      <c r="E17" s="114">
        <f>E92*DATA!$C$7+E114*DATA!$C$8+E136*DATA!$C$9+E158*DATA!$C$10</f>
        <v>0</v>
      </c>
      <c r="F17" s="60"/>
      <c r="G17" s="61" t="str">
        <f t="shared" si="0"/>
        <v/>
      </c>
      <c r="H17" s="62"/>
      <c r="K17" s="228"/>
      <c r="L17" s="229"/>
    </row>
    <row r="18" spans="1:12">
      <c r="A18" s="36"/>
      <c r="B18" s="118" t="str">
        <f>IF(DATA!A1059="","",DATA!A1059)</f>
        <v/>
      </c>
      <c r="C18" s="59" t="str">
        <f>IF('TENDERER INPUT DATA'!C20="","",'TENDERER INPUT DATA'!C20)</f>
        <v/>
      </c>
      <c r="D18" s="59"/>
      <c r="E18" s="114">
        <f>E93*DATA!$C$7+E115*DATA!$C$8+E137*DATA!$C$9+E159*DATA!$C$10</f>
        <v>0</v>
      </c>
      <c r="F18" s="60"/>
      <c r="G18" s="61" t="str">
        <f t="shared" si="0"/>
        <v/>
      </c>
      <c r="H18" s="62"/>
      <c r="K18" s="228"/>
      <c r="L18" s="229"/>
    </row>
    <row r="19" spans="1:12">
      <c r="A19" s="36"/>
      <c r="B19" s="118" t="str">
        <f>IF(DATA!A1060="","",DATA!A1060)</f>
        <v/>
      </c>
      <c r="C19" s="59" t="str">
        <f>IF('TENDERER INPUT DATA'!C21="","",'TENDERER INPUT DATA'!C21)</f>
        <v/>
      </c>
      <c r="D19" s="59"/>
      <c r="E19" s="114">
        <f>E94*DATA!$C$7+E116*DATA!$C$8+E138*DATA!$C$9+E160*DATA!$C$10</f>
        <v>0</v>
      </c>
      <c r="F19" s="60"/>
      <c r="G19" s="61" t="str">
        <f t="shared" si="0"/>
        <v/>
      </c>
      <c r="H19" s="62"/>
      <c r="K19" s="228"/>
      <c r="L19" s="229"/>
    </row>
    <row r="20" spans="1:12" hidden="1">
      <c r="A20" s="36"/>
      <c r="B20" s="118"/>
      <c r="C20" s="59"/>
      <c r="D20" s="59"/>
      <c r="E20" s="114"/>
      <c r="F20" s="60"/>
      <c r="G20" s="61"/>
      <c r="H20" s="62"/>
      <c r="K20" s="228"/>
      <c r="L20" s="229"/>
    </row>
    <row r="21" spans="1:12" hidden="1">
      <c r="A21" s="36"/>
      <c r="B21" s="118"/>
      <c r="C21" s="59"/>
      <c r="D21" s="59"/>
      <c r="E21" s="114"/>
      <c r="F21" s="60"/>
      <c r="G21" s="61"/>
      <c r="H21" s="62"/>
      <c r="K21" s="228"/>
      <c r="L21" s="229"/>
    </row>
    <row r="22" spans="1:12" hidden="1">
      <c r="A22" s="36"/>
      <c r="B22" s="118"/>
      <c r="C22" s="59"/>
      <c r="D22" s="59"/>
      <c r="E22" s="114"/>
      <c r="F22" s="60"/>
      <c r="G22" s="61"/>
      <c r="H22" s="62"/>
      <c r="K22" s="228"/>
      <c r="L22" s="229"/>
    </row>
    <row r="23" spans="1:12" hidden="1">
      <c r="A23" s="36"/>
      <c r="B23" s="118"/>
      <c r="C23" s="59"/>
      <c r="D23" s="59"/>
      <c r="E23" s="114"/>
      <c r="F23" s="60"/>
      <c r="G23" s="61"/>
      <c r="H23" s="62"/>
      <c r="K23" s="228"/>
      <c r="L23" s="229"/>
    </row>
    <row r="24" spans="1:12" hidden="1">
      <c r="A24" s="36"/>
      <c r="B24" s="118"/>
      <c r="C24" s="59"/>
      <c r="D24" s="59"/>
      <c r="E24" s="114"/>
      <c r="F24" s="60"/>
      <c r="G24" s="61"/>
      <c r="H24" s="62"/>
      <c r="K24" s="228"/>
      <c r="L24" s="229"/>
    </row>
    <row r="25" spans="1:12" hidden="1">
      <c r="A25" s="36"/>
      <c r="B25" s="118"/>
      <c r="C25" s="59"/>
      <c r="D25" s="59"/>
      <c r="E25" s="114"/>
      <c r="F25" s="60"/>
      <c r="G25" s="61"/>
      <c r="H25" s="62"/>
      <c r="K25" s="228"/>
      <c r="L25" s="229"/>
    </row>
    <row r="26" spans="1:12" hidden="1">
      <c r="A26" s="36"/>
      <c r="B26" s="118"/>
      <c r="C26" s="59"/>
      <c r="D26" s="59"/>
      <c r="E26" s="114"/>
      <c r="F26" s="60"/>
      <c r="G26" s="61"/>
      <c r="H26" s="62"/>
      <c r="K26" s="228"/>
      <c r="L26" s="229"/>
    </row>
    <row r="27" spans="1:12" hidden="1">
      <c r="A27" s="36"/>
      <c r="B27" s="118"/>
      <c r="C27" s="59"/>
      <c r="D27" s="59"/>
      <c r="E27" s="114"/>
      <c r="F27" s="60"/>
      <c r="G27" s="61"/>
      <c r="H27" s="62"/>
      <c r="J27" s="1"/>
      <c r="K27" s="230"/>
      <c r="L27" s="231"/>
    </row>
    <row r="28" spans="1:12" hidden="1">
      <c r="A28" s="36"/>
      <c r="B28" s="118"/>
      <c r="C28" s="59"/>
      <c r="D28" s="59"/>
      <c r="E28" s="114"/>
      <c r="F28" s="60"/>
      <c r="G28" s="61"/>
      <c r="H28" s="62"/>
      <c r="K28" s="13"/>
    </row>
    <row r="29" spans="1:12" hidden="1">
      <c r="A29" s="36"/>
      <c r="B29" s="118"/>
      <c r="C29" s="59"/>
      <c r="D29" s="59"/>
      <c r="E29" s="114"/>
      <c r="F29" s="60"/>
      <c r="G29" s="61"/>
      <c r="H29" s="62"/>
      <c r="K29" s="13"/>
    </row>
    <row r="30" spans="1:12" ht="15.75" thickBot="1">
      <c r="A30" s="36"/>
      <c r="B30" s="119" t="s">
        <v>9</v>
      </c>
      <c r="C30" s="63" t="s">
        <v>26</v>
      </c>
      <c r="D30" s="63"/>
      <c r="E30" s="115">
        <f>E105*DATA!$C$7+E127*DATA!$C$8+E149*DATA!$C$9+E171*DATA!$C$10</f>
        <v>0</v>
      </c>
      <c r="F30" s="64"/>
      <c r="G30" s="65">
        <f>IF(B30="","",(E105*F105+E127*F127+E149*F149+E171*F171))</f>
        <v>0</v>
      </c>
      <c r="H30" s="66"/>
      <c r="K30" s="13"/>
    </row>
    <row r="31" spans="1:12">
      <c r="A31" s="36"/>
      <c r="B31" s="67"/>
      <c r="C31" s="67"/>
      <c r="D31" s="67"/>
      <c r="E31" s="68"/>
      <c r="F31" s="69"/>
      <c r="G31" s="70"/>
      <c r="H31" s="70"/>
      <c r="K31" s="13"/>
    </row>
    <row r="32" spans="1:12" ht="15.75" thickBot="1">
      <c r="A32" s="36"/>
      <c r="B32" s="39" t="s">
        <v>0</v>
      </c>
      <c r="C32" s="39"/>
      <c r="D32" s="40"/>
      <c r="E32" s="40" t="s">
        <v>2</v>
      </c>
      <c r="F32" s="41"/>
      <c r="G32" s="39"/>
      <c r="H32" s="39" t="s">
        <v>4</v>
      </c>
      <c r="K32" s="13"/>
    </row>
    <row r="33" spans="1:14" ht="15.75" thickBot="1">
      <c r="A33" s="36"/>
      <c r="B33" s="42" t="s">
        <v>5</v>
      </c>
      <c r="C33" s="43"/>
      <c r="D33" s="44"/>
      <c r="E33" s="44"/>
      <c r="F33" s="45"/>
      <c r="G33" s="43"/>
      <c r="H33" s="46"/>
      <c r="J33" s="11"/>
      <c r="K33" s="11"/>
      <c r="L33" s="11"/>
      <c r="M33" s="11"/>
      <c r="N33" s="11"/>
    </row>
    <row r="34" spans="1:14" ht="30" customHeight="1" thickBot="1">
      <c r="A34" s="36"/>
      <c r="B34" s="75" t="s">
        <v>32</v>
      </c>
      <c r="C34" s="76"/>
      <c r="D34" s="81" t="s">
        <v>35</v>
      </c>
      <c r="E34" s="77" t="s">
        <v>31</v>
      </c>
      <c r="F34" s="80" t="s">
        <v>34</v>
      </c>
      <c r="G34" s="78" t="s">
        <v>33</v>
      </c>
      <c r="H34" s="79"/>
      <c r="J34" s="13"/>
      <c r="K34" s="13"/>
      <c r="L34" s="13"/>
      <c r="M34" s="13"/>
    </row>
    <row r="35" spans="1:14">
      <c r="A35" s="36"/>
      <c r="B35" s="53" t="s">
        <v>30</v>
      </c>
      <c r="C35" s="54"/>
      <c r="D35" s="109">
        <f>SUM(E36:E55)</f>
        <v>0</v>
      </c>
      <c r="E35" s="110">
        <f>SUM(E36:E56)</f>
        <v>0</v>
      </c>
      <c r="F35" s="71" t="e">
        <f>SUM(F36:F56)</f>
        <v>#DIV/0!</v>
      </c>
      <c r="G35" s="72" t="e">
        <f>SUM(G36:G56)</f>
        <v>#DIV/0!</v>
      </c>
      <c r="H35" s="58">
        <f>SUM(H36:H56)</f>
        <v>0</v>
      </c>
      <c r="J35" s="13"/>
      <c r="K35" s="232"/>
      <c r="L35" s="232"/>
      <c r="M35" s="228"/>
      <c r="N35" s="229"/>
    </row>
    <row r="36" spans="1:14">
      <c r="A36" s="36"/>
      <c r="B36" s="118" t="str">
        <f>IF(DATA!A1051="","",DATA!A1051)</f>
        <v>PL</v>
      </c>
      <c r="C36" s="59" t="str">
        <f>IF(B10="","",C10)</f>
        <v/>
      </c>
      <c r="D36" s="59"/>
      <c r="E36" s="116">
        <f>E10</f>
        <v>0</v>
      </c>
      <c r="F36" s="277" t="e">
        <f>IF(B36="","",(E36/$E$35))</f>
        <v>#DIV/0!</v>
      </c>
      <c r="G36" s="278" t="e">
        <f>IF(B36="","",(E36/$D$35))</f>
        <v>#DIV/0!</v>
      </c>
      <c r="H36" s="279">
        <f>G10</f>
        <v>0</v>
      </c>
      <c r="J36" s="13"/>
      <c r="K36" s="232"/>
      <c r="L36" s="232"/>
      <c r="M36" s="228"/>
      <c r="N36" s="229"/>
    </row>
    <row r="37" spans="1:14">
      <c r="A37" s="36"/>
      <c r="B37" s="118" t="str">
        <f>IF(DATA!A1052="","",DATA!A1052)</f>
        <v>DS1</v>
      </c>
      <c r="C37" s="59" t="str">
        <f>IF(B11="","",C11)</f>
        <v/>
      </c>
      <c r="D37" s="59"/>
      <c r="E37" s="116">
        <f t="shared" ref="E37:E45" si="1">E11</f>
        <v>0</v>
      </c>
      <c r="F37" s="277" t="e">
        <f t="shared" ref="F37:F56" si="2">IF(B37="","",(E37/$E$35))</f>
        <v>#DIV/0!</v>
      </c>
      <c r="G37" s="278" t="e">
        <f t="shared" ref="G37:G38" si="3">IF(B37="","",(E37/$D$35))</f>
        <v>#DIV/0!</v>
      </c>
      <c r="H37" s="279">
        <f>G11</f>
        <v>0</v>
      </c>
      <c r="J37" s="13"/>
      <c r="K37" s="232"/>
      <c r="L37" s="232"/>
      <c r="M37" s="228"/>
      <c r="N37" s="229"/>
    </row>
    <row r="38" spans="1:14">
      <c r="A38" s="36"/>
      <c r="B38" s="118" t="str">
        <f>IF(DATA!A1053="","",DATA!A1053)</f>
        <v>DS3</v>
      </c>
      <c r="C38" s="59" t="str">
        <f t="shared" ref="C38:C45" si="4">IF(B12="","",C12)</f>
        <v/>
      </c>
      <c r="D38" s="59"/>
      <c r="E38" s="116">
        <f t="shared" si="1"/>
        <v>0</v>
      </c>
      <c r="F38" s="277" t="e">
        <f t="shared" si="2"/>
        <v>#DIV/0!</v>
      </c>
      <c r="G38" s="278" t="e">
        <f t="shared" si="3"/>
        <v>#DIV/0!</v>
      </c>
      <c r="H38" s="279">
        <f>G12</f>
        <v>0</v>
      </c>
      <c r="J38" s="13"/>
      <c r="K38" s="232"/>
      <c r="L38" s="232"/>
      <c r="M38" s="228"/>
      <c r="N38" s="229"/>
    </row>
    <row r="39" spans="1:14">
      <c r="A39" s="36"/>
      <c r="B39" s="118" t="str">
        <f>IF(DATA!A1054="","",DATA!A1054)</f>
        <v/>
      </c>
      <c r="C39" s="59" t="str">
        <f t="shared" si="4"/>
        <v/>
      </c>
      <c r="D39" s="59"/>
      <c r="E39" s="116">
        <f t="shared" si="1"/>
        <v>0</v>
      </c>
      <c r="F39" s="277" t="str">
        <f t="shared" ref="F39:F45" si="5">IF(B39="","",(E39/$E$35))</f>
        <v/>
      </c>
      <c r="G39" s="278" t="str">
        <f t="shared" ref="G39:G45" si="6">IF(B39="","",(E39/$D$35))</f>
        <v/>
      </c>
      <c r="H39" s="279" t="str">
        <f t="shared" ref="H39:H45" si="7">G13</f>
        <v/>
      </c>
      <c r="J39" s="13"/>
      <c r="K39" s="232"/>
      <c r="L39" s="232"/>
      <c r="M39" s="228"/>
      <c r="N39" s="229"/>
    </row>
    <row r="40" spans="1:14">
      <c r="A40" s="36"/>
      <c r="B40" s="118" t="str">
        <f>IF(DATA!A1055="","",DATA!A1055)</f>
        <v/>
      </c>
      <c r="C40" s="59" t="str">
        <f t="shared" si="4"/>
        <v/>
      </c>
      <c r="D40" s="59"/>
      <c r="E40" s="116">
        <f t="shared" si="1"/>
        <v>0</v>
      </c>
      <c r="F40" s="277" t="str">
        <f t="shared" si="5"/>
        <v/>
      </c>
      <c r="G40" s="278" t="str">
        <f t="shared" si="6"/>
        <v/>
      </c>
      <c r="H40" s="279" t="str">
        <f t="shared" si="7"/>
        <v/>
      </c>
      <c r="J40" s="13"/>
      <c r="K40" s="232"/>
      <c r="L40" s="232"/>
      <c r="M40" s="228"/>
      <c r="N40" s="229"/>
    </row>
    <row r="41" spans="1:14">
      <c r="A41" s="36"/>
      <c r="B41" s="118" t="str">
        <f>IF(DATA!A1056="","",DATA!A1056)</f>
        <v/>
      </c>
      <c r="C41" s="59" t="str">
        <f t="shared" si="4"/>
        <v/>
      </c>
      <c r="D41" s="59"/>
      <c r="E41" s="116">
        <f t="shared" si="1"/>
        <v>0</v>
      </c>
      <c r="F41" s="277" t="str">
        <f t="shared" si="5"/>
        <v/>
      </c>
      <c r="G41" s="278" t="str">
        <f t="shared" si="6"/>
        <v/>
      </c>
      <c r="H41" s="279" t="str">
        <f t="shared" si="7"/>
        <v/>
      </c>
      <c r="J41" s="13"/>
      <c r="K41" s="232"/>
      <c r="L41" s="232"/>
      <c r="M41" s="228"/>
      <c r="N41" s="229"/>
    </row>
    <row r="42" spans="1:14">
      <c r="A42" s="36"/>
      <c r="B42" s="118" t="str">
        <f>IF(DATA!A1057="","",DATA!A1057)</f>
        <v/>
      </c>
      <c r="C42" s="59" t="str">
        <f t="shared" si="4"/>
        <v/>
      </c>
      <c r="D42" s="59"/>
      <c r="E42" s="116">
        <f t="shared" si="1"/>
        <v>0</v>
      </c>
      <c r="F42" s="277" t="str">
        <f t="shared" si="5"/>
        <v/>
      </c>
      <c r="G42" s="278" t="str">
        <f t="shared" si="6"/>
        <v/>
      </c>
      <c r="H42" s="279" t="str">
        <f t="shared" si="7"/>
        <v/>
      </c>
      <c r="J42" s="13"/>
      <c r="K42" s="232"/>
      <c r="L42" s="232"/>
      <c r="M42" s="228"/>
      <c r="N42" s="229"/>
    </row>
    <row r="43" spans="1:14">
      <c r="A43" s="36"/>
      <c r="B43" s="118" t="str">
        <f>IF(DATA!A1058="","",DATA!A1058)</f>
        <v/>
      </c>
      <c r="C43" s="59" t="str">
        <f t="shared" si="4"/>
        <v/>
      </c>
      <c r="D43" s="59"/>
      <c r="E43" s="116">
        <f t="shared" si="1"/>
        <v>0</v>
      </c>
      <c r="F43" s="277" t="str">
        <f t="shared" si="5"/>
        <v/>
      </c>
      <c r="G43" s="278" t="str">
        <f t="shared" si="6"/>
        <v/>
      </c>
      <c r="H43" s="279" t="str">
        <f t="shared" si="7"/>
        <v/>
      </c>
      <c r="J43" s="13"/>
      <c r="K43" s="232"/>
      <c r="L43" s="232"/>
      <c r="M43" s="228"/>
      <c r="N43" s="229"/>
    </row>
    <row r="44" spans="1:14">
      <c r="A44" s="36"/>
      <c r="B44" s="118" t="str">
        <f>IF(DATA!A1059="","",DATA!A1059)</f>
        <v/>
      </c>
      <c r="C44" s="59" t="str">
        <f t="shared" si="4"/>
        <v/>
      </c>
      <c r="D44" s="59"/>
      <c r="E44" s="116">
        <f t="shared" si="1"/>
        <v>0</v>
      </c>
      <c r="F44" s="277" t="str">
        <f t="shared" si="5"/>
        <v/>
      </c>
      <c r="G44" s="278" t="str">
        <f t="shared" si="6"/>
        <v/>
      </c>
      <c r="H44" s="279" t="str">
        <f t="shared" si="7"/>
        <v/>
      </c>
      <c r="J44" s="13"/>
      <c r="K44" s="232"/>
      <c r="L44" s="232"/>
      <c r="M44" s="228"/>
      <c r="N44" s="229"/>
    </row>
    <row r="45" spans="1:14">
      <c r="A45" s="36"/>
      <c r="B45" s="118" t="str">
        <f>IF(DATA!A1060="","",DATA!A1060)</f>
        <v/>
      </c>
      <c r="C45" s="59" t="str">
        <f t="shared" si="4"/>
        <v/>
      </c>
      <c r="D45" s="59"/>
      <c r="E45" s="116">
        <f t="shared" si="1"/>
        <v>0</v>
      </c>
      <c r="F45" s="277" t="str">
        <f t="shared" si="5"/>
        <v/>
      </c>
      <c r="G45" s="278" t="str">
        <f t="shared" si="6"/>
        <v/>
      </c>
      <c r="H45" s="279" t="str">
        <f t="shared" si="7"/>
        <v/>
      </c>
      <c r="J45" s="13"/>
      <c r="K45" s="232"/>
      <c r="L45" s="232"/>
      <c r="M45" s="228"/>
      <c r="N45" s="229"/>
    </row>
    <row r="46" spans="1:14" hidden="1">
      <c r="A46" s="36"/>
      <c r="B46" s="118"/>
      <c r="C46" s="59"/>
      <c r="D46" s="59"/>
      <c r="E46" s="116"/>
      <c r="F46" s="277"/>
      <c r="G46" s="278"/>
      <c r="H46" s="279"/>
      <c r="J46" s="13"/>
      <c r="K46" s="232"/>
      <c r="L46" s="232"/>
      <c r="M46" s="228"/>
      <c r="N46" s="229"/>
    </row>
    <row r="47" spans="1:14" hidden="1">
      <c r="A47" s="36"/>
      <c r="B47" s="118"/>
      <c r="C47" s="59"/>
      <c r="D47" s="59"/>
      <c r="E47" s="116"/>
      <c r="F47" s="277"/>
      <c r="G47" s="278"/>
      <c r="H47" s="279"/>
      <c r="J47" s="13"/>
      <c r="K47" s="232"/>
      <c r="L47" s="232"/>
      <c r="M47" s="228"/>
      <c r="N47" s="229"/>
    </row>
    <row r="48" spans="1:14" hidden="1">
      <c r="A48" s="36"/>
      <c r="B48" s="118"/>
      <c r="C48" s="59"/>
      <c r="D48" s="59"/>
      <c r="E48" s="116"/>
      <c r="F48" s="277"/>
      <c r="G48" s="278"/>
      <c r="H48" s="279"/>
      <c r="J48" s="13"/>
      <c r="K48" s="232"/>
      <c r="L48" s="232"/>
      <c r="M48" s="228"/>
      <c r="N48" s="229"/>
    </row>
    <row r="49" spans="1:14" hidden="1">
      <c r="A49" s="36"/>
      <c r="B49" s="118"/>
      <c r="C49" s="59"/>
      <c r="D49" s="59"/>
      <c r="E49" s="116"/>
      <c r="F49" s="277"/>
      <c r="G49" s="278"/>
      <c r="H49" s="279"/>
      <c r="J49" s="13"/>
      <c r="K49" s="232"/>
      <c r="L49" s="232"/>
      <c r="M49" s="228"/>
      <c r="N49" s="229"/>
    </row>
    <row r="50" spans="1:14" hidden="1">
      <c r="A50" s="36"/>
      <c r="B50" s="118"/>
      <c r="C50" s="59"/>
      <c r="D50" s="59"/>
      <c r="E50" s="116"/>
      <c r="F50" s="277"/>
      <c r="G50" s="278"/>
      <c r="H50" s="279"/>
      <c r="J50" s="13"/>
      <c r="K50" s="232"/>
      <c r="L50" s="232"/>
      <c r="M50" s="228"/>
      <c r="N50" s="229"/>
    </row>
    <row r="51" spans="1:14" hidden="1">
      <c r="A51" s="36"/>
      <c r="B51" s="118"/>
      <c r="C51" s="59"/>
      <c r="D51" s="59"/>
      <c r="E51" s="116"/>
      <c r="F51" s="277"/>
      <c r="G51" s="278"/>
      <c r="H51" s="279"/>
      <c r="J51" s="13"/>
      <c r="K51" s="232"/>
      <c r="L51" s="232"/>
      <c r="M51" s="228"/>
      <c r="N51" s="229"/>
    </row>
    <row r="52" spans="1:14" hidden="1">
      <c r="A52" s="36"/>
      <c r="B52" s="118"/>
      <c r="C52" s="59"/>
      <c r="D52" s="59"/>
      <c r="E52" s="116"/>
      <c r="F52" s="277"/>
      <c r="G52" s="278"/>
      <c r="H52" s="279"/>
      <c r="J52" s="11"/>
      <c r="K52" s="233"/>
      <c r="L52" s="233"/>
      <c r="M52" s="230"/>
      <c r="N52" s="231"/>
    </row>
    <row r="53" spans="1:14" hidden="1">
      <c r="A53" s="36"/>
      <c r="B53" s="118"/>
      <c r="C53" s="59"/>
      <c r="D53" s="59"/>
      <c r="E53" s="116"/>
      <c r="F53" s="277"/>
      <c r="G53" s="278"/>
      <c r="H53" s="279"/>
      <c r="K53" s="13"/>
    </row>
    <row r="54" spans="1:14" hidden="1">
      <c r="A54" s="36"/>
      <c r="B54" s="118"/>
      <c r="C54" s="59"/>
      <c r="D54" s="59"/>
      <c r="E54" s="116"/>
      <c r="F54" s="277"/>
      <c r="G54" s="278"/>
      <c r="H54" s="279"/>
    </row>
    <row r="55" spans="1:14" hidden="1">
      <c r="A55" s="36"/>
      <c r="B55" s="118"/>
      <c r="C55" s="59"/>
      <c r="D55" s="59"/>
      <c r="E55" s="116"/>
      <c r="F55" s="277"/>
      <c r="G55" s="278"/>
      <c r="H55" s="279"/>
    </row>
    <row r="56" spans="1:14" ht="15.75" thickBot="1">
      <c r="A56" s="36"/>
      <c r="B56" s="119" t="str">
        <f>$B$30</f>
        <v>OTHER</v>
      </c>
      <c r="C56" s="63" t="str">
        <f>$C$30</f>
        <v>Various non-key personnel</v>
      </c>
      <c r="D56" s="63"/>
      <c r="E56" s="115">
        <f>E30</f>
        <v>0</v>
      </c>
      <c r="F56" s="73" t="e">
        <f t="shared" si="2"/>
        <v>#DIV/0!</v>
      </c>
      <c r="G56" s="74"/>
      <c r="H56" s="66">
        <f t="shared" ref="H56" si="8">G30</f>
        <v>0</v>
      </c>
    </row>
    <row r="57" spans="1:14">
      <c r="A57" s="36"/>
      <c r="B57" s="37"/>
      <c r="C57" s="67"/>
      <c r="D57" s="67"/>
      <c r="E57" s="225"/>
      <c r="F57" s="226"/>
      <c r="G57" s="226"/>
      <c r="H57" s="227"/>
    </row>
    <row r="58" spans="1:14">
      <c r="A58" s="36"/>
      <c r="B58" s="1083" t="s">
        <v>215</v>
      </c>
      <c r="C58" s="1083"/>
      <c r="D58" s="1083"/>
      <c r="E58" s="1083"/>
      <c r="F58" s="1083"/>
      <c r="G58" s="226"/>
      <c r="H58" s="227"/>
    </row>
    <row r="59" spans="1:14" ht="30">
      <c r="A59" s="36"/>
      <c r="B59" s="218" t="s">
        <v>216</v>
      </c>
      <c r="C59" s="1084" t="s">
        <v>0</v>
      </c>
      <c r="D59" s="1084"/>
      <c r="E59" s="212" t="s">
        <v>93</v>
      </c>
      <c r="F59" s="138" t="s">
        <v>207</v>
      </c>
      <c r="G59" s="226"/>
      <c r="H59" s="227"/>
    </row>
    <row r="60" spans="1:14">
      <c r="A60" s="36"/>
      <c r="B60" s="219">
        <f>'Non Fee Hours'!$B$6</f>
        <v>32.01</v>
      </c>
      <c r="C60" s="1078" t="str">
        <f>'Non Fee Hours'!$C$6</f>
        <v>INITIAL ASSESSMENT</v>
      </c>
      <c r="D60" s="1078"/>
      <c r="E60" s="213">
        <f>'Non Fee Hours'!$E$6</f>
        <v>0</v>
      </c>
      <c r="F60" s="139">
        <f>'Non Fee Hours'!$H$6</f>
        <v>0</v>
      </c>
      <c r="G60" s="226"/>
      <c r="H60" s="227"/>
    </row>
    <row r="61" spans="1:14">
      <c r="A61" s="36"/>
      <c r="B61" s="219">
        <f>'Non Fee Hours'!$B$106</f>
        <v>32.020000000000003</v>
      </c>
      <c r="C61" s="1078" t="str">
        <f>'Non Fee Hours'!$C$106</f>
        <v>VISUAL SURVEY</v>
      </c>
      <c r="D61" s="1078"/>
      <c r="E61" s="213">
        <f>'Non Fee Hours'!$E$106</f>
        <v>0</v>
      </c>
      <c r="F61" s="139">
        <f>'Non Fee Hours'!$H$106</f>
        <v>0</v>
      </c>
      <c r="G61" s="226"/>
      <c r="H61" s="227"/>
    </row>
    <row r="62" spans="1:14">
      <c r="A62" s="36"/>
      <c r="B62" s="219">
        <f>'Non Fee Hours'!$B$206</f>
        <v>32.03</v>
      </c>
      <c r="C62" s="1078" t="str">
        <f>'Non Fee Hours'!$C$206</f>
        <v>PROJECT ASSESSMENT REPORT</v>
      </c>
      <c r="D62" s="1078"/>
      <c r="E62" s="213">
        <f>'Non Fee Hours'!$E$206</f>
        <v>0</v>
      </c>
      <c r="F62" s="139">
        <f>'Non Fee Hours'!$H$206</f>
        <v>0</v>
      </c>
      <c r="G62" s="226"/>
      <c r="H62" s="227"/>
    </row>
    <row r="63" spans="1:14">
      <c r="A63" s="36"/>
      <c r="B63" s="219" t="str">
        <f>'Non Fee Hours'!$B$306</f>
        <v>35.01 (a)</v>
      </c>
      <c r="C63" s="1078" t="str">
        <f>'Non Fee Hours'!$C$306</f>
        <v>PREPARATION OF THE TENDER DOCUMENT</v>
      </c>
      <c r="D63" s="1078"/>
      <c r="E63" s="213">
        <f>'Non Fee Hours'!$E$306</f>
        <v>0</v>
      </c>
      <c r="F63" s="139">
        <f>'Non Fee Hours'!$H$306</f>
        <v>0</v>
      </c>
      <c r="G63" s="226"/>
      <c r="H63" s="227"/>
    </row>
    <row r="64" spans="1:14">
      <c r="A64" s="36"/>
      <c r="B64" s="219">
        <f>'Non Fee Hours'!$B$406</f>
        <v>36.020000000000003</v>
      </c>
      <c r="C64" s="1078" t="str">
        <f>'Non Fee Hours'!$C$406</f>
        <v>TENDER EVALUATION</v>
      </c>
      <c r="D64" s="1078"/>
      <c r="E64" s="213">
        <f>'Non Fee Hours'!$E$406</f>
        <v>0</v>
      </c>
      <c r="F64" s="139">
        <f>'Non Fee Hours'!$H$406</f>
        <v>0</v>
      </c>
      <c r="G64" s="226"/>
      <c r="H64" s="227"/>
    </row>
    <row r="65" spans="1:8">
      <c r="A65" s="36"/>
      <c r="B65" s="219"/>
      <c r="C65" s="1078"/>
      <c r="D65" s="1078"/>
      <c r="E65" s="213"/>
      <c r="F65" s="139"/>
      <c r="G65" s="226"/>
      <c r="H65" s="227"/>
    </row>
    <row r="66" spans="1:8">
      <c r="A66" s="36"/>
      <c r="B66" s="219"/>
      <c r="C66" s="1078"/>
      <c r="D66" s="1078"/>
      <c r="E66" s="213"/>
      <c r="F66" s="139"/>
      <c r="G66" s="226"/>
      <c r="H66" s="227"/>
    </row>
    <row r="67" spans="1:8">
      <c r="A67" s="36"/>
      <c r="B67" s="220"/>
      <c r="C67" s="1080" t="s">
        <v>208</v>
      </c>
      <c r="D67" s="1081"/>
      <c r="E67" s="221">
        <f>SUM(E60:E66)</f>
        <v>0</v>
      </c>
      <c r="F67" s="222">
        <f>SUM(F60:F66)</f>
        <v>0</v>
      </c>
      <c r="G67" s="226"/>
      <c r="H67" s="227"/>
    </row>
    <row r="68" spans="1:8">
      <c r="A68" s="36"/>
      <c r="B68" s="37"/>
      <c r="C68" s="67"/>
      <c r="D68" s="67"/>
      <c r="E68" s="225"/>
      <c r="F68" s="226"/>
      <c r="G68" s="226"/>
      <c r="H68" s="227"/>
    </row>
    <row r="69" spans="1:8">
      <c r="A69" s="36"/>
      <c r="B69" s="37"/>
      <c r="C69" s="1083" t="s">
        <v>214</v>
      </c>
      <c r="D69" s="1083"/>
      <c r="E69" s="1083"/>
      <c r="F69" s="1083"/>
      <c r="G69" s="226"/>
      <c r="H69" s="227"/>
    </row>
    <row r="70" spans="1:8" ht="30">
      <c r="A70" s="36"/>
      <c r="B70" s="37"/>
      <c r="C70" s="1082" t="s">
        <v>206</v>
      </c>
      <c r="D70" s="1082"/>
      <c r="E70" s="212" t="s">
        <v>93</v>
      </c>
      <c r="F70" s="138" t="s">
        <v>207</v>
      </c>
      <c r="G70" s="226"/>
      <c r="H70" s="227"/>
    </row>
    <row r="71" spans="1:8">
      <c r="A71" s="36"/>
      <c r="B71" s="37"/>
      <c r="C71" s="1078" t="str">
        <f>'Hours Roadworks'!$B$6</f>
        <v>Road works</v>
      </c>
      <c r="D71" s="1078"/>
      <c r="E71" s="213">
        <f>'Hours Roadworks'!$E$6</f>
        <v>0</v>
      </c>
      <c r="F71" s="139">
        <f>'Hours Roadworks'!$H$6</f>
        <v>0</v>
      </c>
      <c r="G71" s="226"/>
      <c r="H71" s="227"/>
    </row>
    <row r="72" spans="1:8">
      <c r="A72" s="36"/>
      <c r="B72" s="37"/>
      <c r="C72" s="1078" t="str">
        <f>'Hours Structures'!$B$6</f>
        <v>Structures</v>
      </c>
      <c r="D72" s="1078"/>
      <c r="E72" s="213">
        <f>'Hours Structures'!$E$6</f>
        <v>0</v>
      </c>
      <c r="F72" s="139">
        <f>'Hours Structures'!$H$6</f>
        <v>0</v>
      </c>
      <c r="G72" s="226"/>
      <c r="H72" s="227"/>
    </row>
    <row r="73" spans="1:8">
      <c r="A73" s="36"/>
      <c r="B73" s="37"/>
      <c r="C73" s="1078" t="str">
        <f>'Hours Electrical'!$B$6</f>
        <v>Electrical</v>
      </c>
      <c r="D73" s="1078"/>
      <c r="E73" s="213">
        <f>'Hours Electrical'!$E$6</f>
        <v>0</v>
      </c>
      <c r="F73" s="139">
        <f>'Hours Electrical'!$H$6</f>
        <v>0</v>
      </c>
      <c r="G73" s="226"/>
      <c r="H73" s="227"/>
    </row>
    <row r="74" spans="1:8">
      <c r="A74" s="36"/>
      <c r="B74" s="37"/>
      <c r="C74" s="1078" t="str">
        <f>'Hours Building'!$B$6</f>
        <v xml:space="preserve">Building </v>
      </c>
      <c r="D74" s="1078"/>
      <c r="E74" s="213">
        <f>'Hours Building'!$E$6</f>
        <v>0</v>
      </c>
      <c r="F74" s="139">
        <f>'Hours Building'!$H$6</f>
        <v>0</v>
      </c>
      <c r="G74" s="226"/>
      <c r="H74" s="227"/>
    </row>
    <row r="75" spans="1:8">
      <c r="A75" s="36"/>
      <c r="B75" s="37"/>
      <c r="C75" s="1078" t="str">
        <f>'Hours Mechanical'!$B$6</f>
        <v>Mechanical</v>
      </c>
      <c r="D75" s="1078"/>
      <c r="E75" s="213">
        <f>'Hours Mechanical'!$E$6</f>
        <v>0</v>
      </c>
      <c r="F75" s="139">
        <f>'Hours Mechanical'!$H$6</f>
        <v>0</v>
      </c>
      <c r="G75" s="226"/>
      <c r="H75" s="227"/>
    </row>
    <row r="76" spans="1:8">
      <c r="A76" s="36"/>
      <c r="B76" s="37"/>
      <c r="C76" s="1078" t="str">
        <f>'Hours Electronic'!$B$6</f>
        <v>Electronic</v>
      </c>
      <c r="D76" s="1078"/>
      <c r="E76" s="213">
        <f>'Hours Electronic'!$E$6</f>
        <v>0</v>
      </c>
      <c r="F76" s="139">
        <f>'Hours Electronic'!$H$6</f>
        <v>0</v>
      </c>
      <c r="G76" s="226"/>
      <c r="H76" s="227"/>
    </row>
    <row r="77" spans="1:8">
      <c r="A77" s="36"/>
      <c r="B77" s="37"/>
      <c r="C77" s="1078" t="str">
        <f>'Hours Other'!$B$6</f>
        <v>Other:</v>
      </c>
      <c r="D77" s="1078"/>
      <c r="E77" s="213">
        <f>'Hours Other'!$E$6</f>
        <v>0</v>
      </c>
      <c r="F77" s="139">
        <f>'Hours Other'!$H$6</f>
        <v>0</v>
      </c>
      <c r="G77" s="226"/>
      <c r="H77" s="227"/>
    </row>
    <row r="78" spans="1:8">
      <c r="A78" s="36"/>
      <c r="B78" s="37"/>
      <c r="C78" s="1079" t="s">
        <v>208</v>
      </c>
      <c r="D78" s="1079"/>
      <c r="E78" s="221">
        <f>SUM(E71:E77)</f>
        <v>0</v>
      </c>
      <c r="F78" s="222">
        <f>SUM(F71:F77)</f>
        <v>0</v>
      </c>
      <c r="G78" s="226"/>
      <c r="H78" s="227"/>
    </row>
    <row r="79" spans="1:8">
      <c r="A79" s="36"/>
      <c r="B79" s="37"/>
      <c r="C79" s="67"/>
      <c r="D79" s="67"/>
      <c r="E79" s="225"/>
      <c r="F79" s="226"/>
      <c r="G79" s="226"/>
      <c r="H79" s="227"/>
    </row>
    <row r="80" spans="1:8">
      <c r="A80" s="36"/>
      <c r="B80" s="67"/>
      <c r="C80" s="67"/>
      <c r="D80" s="67"/>
      <c r="E80" s="68"/>
      <c r="F80" s="69"/>
      <c r="G80" s="70"/>
      <c r="H80" s="70"/>
    </row>
    <row r="81" spans="2:8" ht="15.75" thickBot="1">
      <c r="B81" s="1" t="s">
        <v>0</v>
      </c>
      <c r="C81" s="1"/>
      <c r="D81" s="11" t="s">
        <v>1</v>
      </c>
      <c r="E81" s="11" t="s">
        <v>2</v>
      </c>
      <c r="F81" s="14" t="s">
        <v>3</v>
      </c>
      <c r="G81" s="1"/>
      <c r="H81" s="1" t="s">
        <v>4</v>
      </c>
    </row>
    <row r="82" spans="2:8" ht="15.75" thickBot="1">
      <c r="B82" s="2" t="s">
        <v>5</v>
      </c>
      <c r="C82" s="3"/>
      <c r="D82" s="12"/>
      <c r="E82" s="12"/>
      <c r="F82" s="15"/>
      <c r="G82" s="3"/>
      <c r="H82" s="4"/>
    </row>
    <row r="83" spans="2:8" ht="15.75" thickBot="1">
      <c r="B83" s="30" t="s">
        <v>28</v>
      </c>
      <c r="C83" s="31"/>
      <c r="D83" s="32"/>
      <c r="E83" s="32">
        <f>E84+E106+E128+E150</f>
        <v>0</v>
      </c>
      <c r="F83" s="33"/>
      <c r="G83" s="34"/>
      <c r="H83" s="35"/>
    </row>
    <row r="84" spans="2:8">
      <c r="B84" s="19" t="s">
        <v>7</v>
      </c>
      <c r="C84" s="20"/>
      <c r="D84" s="21" t="s">
        <v>8</v>
      </c>
      <c r="E84" s="21">
        <f>SUM(E85:E105)</f>
        <v>0</v>
      </c>
      <c r="F84" s="22">
        <f>DATA!$B$7</f>
        <v>3534</v>
      </c>
      <c r="G84" s="23"/>
      <c r="H84" s="24">
        <f>E84*F84</f>
        <v>0</v>
      </c>
    </row>
    <row r="85" spans="2:8">
      <c r="B85" s="118" t="str">
        <f>IF(DATA!A1051="","",DATA!A1051)</f>
        <v>PL</v>
      </c>
      <c r="C85" s="59" t="str">
        <f>IF(B10="","",C10)</f>
        <v/>
      </c>
      <c r="D85" s="5"/>
      <c r="E85" s="223">
        <f>'Hours Roadworks'!E8*'Hours Roadworks'!$G$6+'Hours Structures'!E8*'Hours Structures'!$G$6+'Hours Electrical'!E8*'Hours Electrical'!$G$6+'Hours Building'!E8*'Hours Building'!$G$6+'Hours Mechanical'!E8*'Hours Mechanical'!$G$6+'Hours Electronic'!E8*'Hours Electronic'!$G$6+'Hours Other'!E8*'Hours Other'!$G$6+IF('Pricing Schedule'!$G$13="n",0,'Non Fee Hours'!E8)+IF('Pricing Schedule'!$G$16="n",0,'Non Fee Hours'!E108)+IF('Pricing Schedule'!$G$19="n",0,'Non Fee Hours'!E208)+IF('Pricing Schedule'!$G$240="n",0,'Non Fee Hours'!E308)+IF('Pricing Schedule'!$G$250="n",0,'Non Fee Hours'!E408)</f>
        <v>0</v>
      </c>
      <c r="F85" s="16">
        <f>IF(B85="","",$F$84)</f>
        <v>3534</v>
      </c>
      <c r="G85" s="6">
        <f>IF(B85="","",(F85*E85))</f>
        <v>0</v>
      </c>
      <c r="H85" s="7"/>
    </row>
    <row r="86" spans="2:8">
      <c r="B86" s="118" t="str">
        <f>IF(DATA!A1052="","",DATA!A1052)</f>
        <v>DS1</v>
      </c>
      <c r="C86" s="59" t="str">
        <f>IF(B11="","",C11)</f>
        <v/>
      </c>
      <c r="D86" s="5"/>
      <c r="E86" s="223">
        <f>'Hours Roadworks'!E9*'Hours Roadworks'!$G$6+'Hours Structures'!E9*'Hours Structures'!$G$6+'Hours Electrical'!E9*'Hours Electrical'!$G$6+'Hours Building'!E9*'Hours Building'!$G$6+'Hours Mechanical'!E9*'Hours Mechanical'!$G$6+'Hours Electronic'!E9*'Hours Electronic'!$G$6+'Hours Other'!E9*'Hours Other'!$G$6+IF('Pricing Schedule'!$G$13="n",0,'Non Fee Hours'!E9)+IF('Pricing Schedule'!$G$16="n",0,'Non Fee Hours'!E109)+IF('Pricing Schedule'!$G$19="n",0,'Non Fee Hours'!E209)+IF('Pricing Schedule'!$G$240="n",0,'Non Fee Hours'!E309)+IF('Pricing Schedule'!$G$250="n",0,'Non Fee Hours'!E409)</f>
        <v>0</v>
      </c>
      <c r="F86" s="16">
        <f>IF(B86="","",$F$84)</f>
        <v>3534</v>
      </c>
      <c r="G86" s="6">
        <f t="shared" ref="G86:G94" si="9">IF(B86="","",(F86*E86))</f>
        <v>0</v>
      </c>
      <c r="H86" s="7"/>
    </row>
    <row r="87" spans="2:8">
      <c r="B87" s="118" t="str">
        <f>IF(DATA!A1053="","",DATA!A1053)</f>
        <v>DS3</v>
      </c>
      <c r="C87" s="59" t="str">
        <f t="shared" ref="C87:C94" si="10">IF(B12="","",C12)</f>
        <v/>
      </c>
      <c r="D87" s="5"/>
      <c r="E87" s="223">
        <f>'Hours Roadworks'!E10*'Hours Roadworks'!$G$6+'Hours Structures'!E10*'Hours Structures'!$G$6+'Hours Electrical'!E10*'Hours Electrical'!$G$6+'Hours Building'!E10*'Hours Building'!$G$6+'Hours Mechanical'!E10*'Hours Mechanical'!$G$6+'Hours Electronic'!E10*'Hours Electronic'!$G$6+'Hours Other'!E10*'Hours Other'!$G$6+IF('Pricing Schedule'!$G$13="n",0,'Non Fee Hours'!E10)+IF('Pricing Schedule'!$G$16="n",0,'Non Fee Hours'!E110)+IF('Pricing Schedule'!$G$19="n",0,'Non Fee Hours'!E210)+IF('Pricing Schedule'!$G$240="n",0,'Non Fee Hours'!E310)+IF('Pricing Schedule'!$G$250="n",0,'Non Fee Hours'!E410)</f>
        <v>0</v>
      </c>
      <c r="F87" s="16">
        <f t="shared" ref="F87:F94" si="11">IF(B87="","",$F$84)</f>
        <v>3534</v>
      </c>
      <c r="G87" s="6">
        <f t="shared" si="9"/>
        <v>0</v>
      </c>
      <c r="H87" s="7"/>
    </row>
    <row r="88" spans="2:8">
      <c r="B88" s="118" t="str">
        <f>IF(DATA!A1054="","",DATA!A1054)</f>
        <v/>
      </c>
      <c r="C88" s="59" t="str">
        <f t="shared" si="10"/>
        <v/>
      </c>
      <c r="D88" s="5"/>
      <c r="E88" s="223">
        <f>'Hours Roadworks'!E11*'Hours Roadworks'!$G$6+'Hours Structures'!E11*'Hours Structures'!$G$6+'Hours Electrical'!E11*'Hours Electrical'!$G$6+'Hours Building'!E11*'Hours Building'!$G$6+'Hours Mechanical'!E11*'Hours Mechanical'!$G$6+'Hours Electronic'!E11*'Hours Electronic'!$G$6+'Hours Other'!E11*'Hours Other'!$G$6+IF('Pricing Schedule'!$G$13="n",0,'Non Fee Hours'!E11)+IF('Pricing Schedule'!$G$16="n",0,'Non Fee Hours'!E111)+IF('Pricing Schedule'!$G$19="n",0,'Non Fee Hours'!E211)+IF('Pricing Schedule'!$G$240="n",0,'Non Fee Hours'!E311)+IF('Pricing Schedule'!$G$250="n",0,'Non Fee Hours'!E411)</f>
        <v>0</v>
      </c>
      <c r="F88" s="16" t="str">
        <f t="shared" si="11"/>
        <v/>
      </c>
      <c r="G88" s="6" t="str">
        <f t="shared" si="9"/>
        <v/>
      </c>
      <c r="H88" s="7"/>
    </row>
    <row r="89" spans="2:8">
      <c r="B89" s="118" t="str">
        <f>IF(DATA!A1055="","",DATA!A1055)</f>
        <v/>
      </c>
      <c r="C89" s="59" t="str">
        <f t="shared" si="10"/>
        <v/>
      </c>
      <c r="D89" s="5"/>
      <c r="E89" s="223">
        <f>'Hours Roadworks'!E12*'Hours Roadworks'!$G$6+'Hours Structures'!E12*'Hours Structures'!$G$6+'Hours Electrical'!E12*'Hours Electrical'!$G$6+'Hours Building'!E12*'Hours Building'!$G$6+'Hours Mechanical'!E12*'Hours Mechanical'!$G$6+'Hours Electronic'!E12*'Hours Electronic'!$G$6+'Hours Other'!E12*'Hours Other'!$G$6+IF('Pricing Schedule'!$G$13="n",0,'Non Fee Hours'!E12)+IF('Pricing Schedule'!$G$16="n",0,'Non Fee Hours'!E112)+IF('Pricing Schedule'!$G$19="n",0,'Non Fee Hours'!E212)+IF('Pricing Schedule'!$G$240="n",0,'Non Fee Hours'!E312)+IF('Pricing Schedule'!$G$250="n",0,'Non Fee Hours'!E412)</f>
        <v>0</v>
      </c>
      <c r="F89" s="16" t="str">
        <f t="shared" si="11"/>
        <v/>
      </c>
      <c r="G89" s="6" t="str">
        <f t="shared" si="9"/>
        <v/>
      </c>
      <c r="H89" s="7"/>
    </row>
    <row r="90" spans="2:8">
      <c r="B90" s="118" t="str">
        <f>IF(DATA!A1056="","",DATA!A1056)</f>
        <v/>
      </c>
      <c r="C90" s="59" t="str">
        <f t="shared" si="10"/>
        <v/>
      </c>
      <c r="D90" s="5"/>
      <c r="E90" s="223">
        <f>'Hours Roadworks'!E13*'Hours Roadworks'!$G$6+'Hours Structures'!E13*'Hours Structures'!$G$6+'Hours Electrical'!E13*'Hours Electrical'!$G$6+'Hours Building'!E13*'Hours Building'!$G$6+'Hours Mechanical'!E13*'Hours Mechanical'!$G$6+'Hours Electronic'!E13*'Hours Electronic'!$G$6+'Hours Other'!E13*'Hours Other'!$G$6+IF('Pricing Schedule'!$G$13="n",0,'Non Fee Hours'!E13)+IF('Pricing Schedule'!$G$16="n",0,'Non Fee Hours'!E113)+IF('Pricing Schedule'!$G$19="n",0,'Non Fee Hours'!E213)+IF('Pricing Schedule'!$G$240="n",0,'Non Fee Hours'!E313)+IF('Pricing Schedule'!$G$250="n",0,'Non Fee Hours'!E413)</f>
        <v>0</v>
      </c>
      <c r="F90" s="16" t="str">
        <f t="shared" si="11"/>
        <v/>
      </c>
      <c r="G90" s="6" t="str">
        <f t="shared" si="9"/>
        <v/>
      </c>
      <c r="H90" s="7"/>
    </row>
    <row r="91" spans="2:8">
      <c r="B91" s="118" t="str">
        <f>IF(DATA!A1057="","",DATA!A1057)</f>
        <v/>
      </c>
      <c r="C91" s="59" t="str">
        <f t="shared" si="10"/>
        <v/>
      </c>
      <c r="D91" s="5"/>
      <c r="E91" s="223">
        <f>'Hours Roadworks'!E14*'Hours Roadworks'!$G$6+'Hours Structures'!E14*'Hours Structures'!$G$6+'Hours Electrical'!E14*'Hours Electrical'!$G$6+'Hours Building'!E14*'Hours Building'!$G$6+'Hours Mechanical'!E14*'Hours Mechanical'!$G$6+'Hours Electronic'!E14*'Hours Electronic'!$G$6+'Hours Other'!E14*'Hours Other'!$G$6+IF('Pricing Schedule'!$G$13="n",0,'Non Fee Hours'!E14)+IF('Pricing Schedule'!$G$16="n",0,'Non Fee Hours'!E114)+IF('Pricing Schedule'!$G$19="n",0,'Non Fee Hours'!E214)+IF('Pricing Schedule'!$G$240="n",0,'Non Fee Hours'!E314)+IF('Pricing Schedule'!$G$250="n",0,'Non Fee Hours'!E414)</f>
        <v>0</v>
      </c>
      <c r="F91" s="16" t="str">
        <f t="shared" si="11"/>
        <v/>
      </c>
      <c r="G91" s="6" t="str">
        <f t="shared" si="9"/>
        <v/>
      </c>
      <c r="H91" s="7"/>
    </row>
    <row r="92" spans="2:8">
      <c r="B92" s="118" t="str">
        <f>IF(DATA!A1058="","",DATA!A1058)</f>
        <v/>
      </c>
      <c r="C92" s="59" t="str">
        <f t="shared" si="10"/>
        <v/>
      </c>
      <c r="D92" s="5"/>
      <c r="E92" s="223">
        <f>'Hours Roadworks'!E15*'Hours Roadworks'!$G$6+'Hours Structures'!E15*'Hours Structures'!$G$6+'Hours Electrical'!E15*'Hours Electrical'!$G$6+'Hours Building'!E15*'Hours Building'!$G$6+'Hours Mechanical'!E15*'Hours Mechanical'!$G$6+'Hours Electronic'!E15*'Hours Electronic'!$G$6+'Hours Other'!E15*'Hours Other'!$G$6+IF('Pricing Schedule'!$G$13="n",0,'Non Fee Hours'!E15)+IF('Pricing Schedule'!$G$16="n",0,'Non Fee Hours'!E115)+IF('Pricing Schedule'!$G$19="n",0,'Non Fee Hours'!E215)+IF('Pricing Schedule'!$G$240="n",0,'Non Fee Hours'!E315)+IF('Pricing Schedule'!$G$250="n",0,'Non Fee Hours'!E415)</f>
        <v>0</v>
      </c>
      <c r="F92" s="16" t="str">
        <f t="shared" si="11"/>
        <v/>
      </c>
      <c r="G92" s="6" t="str">
        <f t="shared" si="9"/>
        <v/>
      </c>
      <c r="H92" s="7"/>
    </row>
    <row r="93" spans="2:8">
      <c r="B93" s="118" t="str">
        <f>IF(DATA!A1059="","",DATA!A1059)</f>
        <v/>
      </c>
      <c r="C93" s="59" t="str">
        <f t="shared" si="10"/>
        <v/>
      </c>
      <c r="D93" s="5"/>
      <c r="E93" s="223">
        <f>'Hours Roadworks'!E16*'Hours Roadworks'!$G$6+'Hours Structures'!E16*'Hours Structures'!$G$6+'Hours Electrical'!E16*'Hours Electrical'!$G$6+'Hours Building'!E16*'Hours Building'!$G$6+'Hours Mechanical'!E16*'Hours Mechanical'!$G$6+'Hours Electronic'!E16*'Hours Electronic'!$G$6+'Hours Other'!E16*'Hours Other'!$G$6+IF('Pricing Schedule'!$G$13="n",0,'Non Fee Hours'!E16)+IF('Pricing Schedule'!$G$16="n",0,'Non Fee Hours'!E116)+IF('Pricing Schedule'!$G$19="n",0,'Non Fee Hours'!E216)+IF('Pricing Schedule'!$G$240="n",0,'Non Fee Hours'!E316)+IF('Pricing Schedule'!$G$250="n",0,'Non Fee Hours'!E416)</f>
        <v>0</v>
      </c>
      <c r="F93" s="16" t="str">
        <f t="shared" si="11"/>
        <v/>
      </c>
      <c r="G93" s="6" t="str">
        <f t="shared" si="9"/>
        <v/>
      </c>
      <c r="H93" s="7"/>
    </row>
    <row r="94" spans="2:8">
      <c r="B94" s="118" t="str">
        <f>IF(DATA!A1060="","",DATA!A1060)</f>
        <v/>
      </c>
      <c r="C94" s="59" t="str">
        <f t="shared" si="10"/>
        <v/>
      </c>
      <c r="D94" s="5"/>
      <c r="E94" s="223">
        <f>'Hours Roadworks'!E17*'Hours Roadworks'!$G$6+'Hours Structures'!E17*'Hours Structures'!$G$6+'Hours Electrical'!E17*'Hours Electrical'!$G$6+'Hours Building'!E17*'Hours Building'!$G$6+'Hours Mechanical'!E17*'Hours Mechanical'!$G$6+'Hours Electronic'!E17*'Hours Electronic'!$G$6+'Hours Other'!E17*'Hours Other'!$G$6+IF('Pricing Schedule'!$G$13="n",0,'Non Fee Hours'!E17)+IF('Pricing Schedule'!$G$16="n",0,'Non Fee Hours'!E117)+IF('Pricing Schedule'!$G$19="n",0,'Non Fee Hours'!E217)+IF('Pricing Schedule'!$G$240="n",0,'Non Fee Hours'!E317)+IF('Pricing Schedule'!$G$250="n",0,'Non Fee Hours'!E417)</f>
        <v>0</v>
      </c>
      <c r="F94" s="16" t="str">
        <f t="shared" si="11"/>
        <v/>
      </c>
      <c r="G94" s="6" t="str">
        <f t="shared" si="9"/>
        <v/>
      </c>
      <c r="H94" s="7"/>
    </row>
    <row r="95" spans="2:8" hidden="1">
      <c r="B95" s="118"/>
      <c r="C95" s="59"/>
      <c r="D95" s="5"/>
      <c r="E95" s="223">
        <f>'Hours Roadworks'!E18*'Hours Roadworks'!$G$6+'Hours Structures'!E18*'Hours Structures'!$G$6+'Hours Electrical'!E18*'Hours Electrical'!$G$6+'Hours Building'!E18*'Hours Building'!$G$6+'Hours Mechanical'!E18*'Hours Mechanical'!$G$6+'Hours Electronic'!E18*'Hours Electronic'!$G$6+'Hours Other'!E18*'Hours Other'!$G$6+IF('Pricing Schedule'!$G$13="n",0,'Non Fee Hours'!E18)+IF('Pricing Schedule'!$G$16="n",0,'Non Fee Hours'!E118)+IF('Pricing Schedule'!$G$19="n",0,'Non Fee Hours'!E218)+IF('Pricing Schedule'!$G$240="n",0,'Non Fee Hours'!E318)+IF('Pricing Schedule'!$G$250="n",0,'Non Fee Hours'!E418)</f>
        <v>0</v>
      </c>
      <c r="F95" s="16"/>
      <c r="G95" s="6"/>
      <c r="H95" s="7"/>
    </row>
    <row r="96" spans="2:8" hidden="1">
      <c r="B96" s="118"/>
      <c r="C96" s="59"/>
      <c r="D96" s="5"/>
      <c r="E96" s="223">
        <f>'Hours Roadworks'!E19*'Hours Roadworks'!$G$6+'Hours Structures'!E19*'Hours Structures'!$G$6+'Hours Electrical'!E19*'Hours Electrical'!$G$6+'Hours Building'!E19*'Hours Building'!$G$6+'Hours Mechanical'!E19*'Hours Mechanical'!$G$6+'Hours Electronic'!E19*'Hours Electronic'!$G$6+'Hours Other'!E19*'Hours Other'!$G$6+IF('Pricing Schedule'!$G$13="n",0,'Non Fee Hours'!E19)+IF('Pricing Schedule'!$G$16="n",0,'Non Fee Hours'!E119)+IF('Pricing Schedule'!$G$19="n",0,'Non Fee Hours'!E219)+IF('Pricing Schedule'!$G$240="n",0,'Non Fee Hours'!E319)+IF('Pricing Schedule'!$G$250="n",0,'Non Fee Hours'!E419)</f>
        <v>0</v>
      </c>
      <c r="F96" s="16"/>
      <c r="G96" s="6"/>
      <c r="H96" s="7"/>
    </row>
    <row r="97" spans="2:8" hidden="1">
      <c r="B97" s="118"/>
      <c r="C97" s="59"/>
      <c r="D97" s="5"/>
      <c r="E97" s="223">
        <f>'Hours Roadworks'!E20*'Hours Roadworks'!$G$6+'Hours Structures'!E20*'Hours Structures'!$G$6+'Hours Electrical'!E20*'Hours Electrical'!$G$6+'Hours Building'!E20*'Hours Building'!$G$6+'Hours Mechanical'!E20*'Hours Mechanical'!$G$6+'Hours Electronic'!E20*'Hours Electronic'!$G$6+'Hours Other'!E20*'Hours Other'!$G$6+IF('Pricing Schedule'!$G$13="n",0,'Non Fee Hours'!E20)+IF('Pricing Schedule'!$G$16="n",0,'Non Fee Hours'!E120)+IF('Pricing Schedule'!$G$19="n",0,'Non Fee Hours'!E220)+IF('Pricing Schedule'!$G$240="n",0,'Non Fee Hours'!E320)+IF('Pricing Schedule'!$G$250="n",0,'Non Fee Hours'!E420)</f>
        <v>0</v>
      </c>
      <c r="F97" s="16"/>
      <c r="G97" s="6"/>
      <c r="H97" s="7"/>
    </row>
    <row r="98" spans="2:8" hidden="1">
      <c r="B98" s="118"/>
      <c r="C98" s="59"/>
      <c r="D98" s="5"/>
      <c r="E98" s="223">
        <f>'Hours Roadworks'!E21*'Hours Roadworks'!$G$6+'Hours Structures'!E21*'Hours Structures'!$G$6+'Hours Electrical'!E21*'Hours Electrical'!$G$6+'Hours Building'!E21*'Hours Building'!$G$6+'Hours Mechanical'!E21*'Hours Mechanical'!$G$6+'Hours Electronic'!E21*'Hours Electronic'!$G$6+'Hours Other'!E21*'Hours Other'!$G$6+IF('Pricing Schedule'!$G$13="n",0,'Non Fee Hours'!E21)+IF('Pricing Schedule'!$G$16="n",0,'Non Fee Hours'!E121)+IF('Pricing Schedule'!$G$19="n",0,'Non Fee Hours'!E221)+IF('Pricing Schedule'!$G$240="n",0,'Non Fee Hours'!E321)+IF('Pricing Schedule'!$G$250="n",0,'Non Fee Hours'!E421)</f>
        <v>0</v>
      </c>
      <c r="F98" s="16"/>
      <c r="G98" s="6"/>
      <c r="H98" s="7"/>
    </row>
    <row r="99" spans="2:8" hidden="1">
      <c r="B99" s="118"/>
      <c r="C99" s="59"/>
      <c r="D99" s="5"/>
      <c r="E99" s="223">
        <f>'Hours Roadworks'!E22*'Hours Roadworks'!$G$6+'Hours Structures'!E22*'Hours Structures'!$G$6+'Hours Electrical'!E22*'Hours Electrical'!$G$6+'Hours Building'!E22*'Hours Building'!$G$6+'Hours Mechanical'!E22*'Hours Mechanical'!$G$6+'Hours Electronic'!E22*'Hours Electronic'!$G$6+'Hours Other'!E22*'Hours Other'!$G$6+IF('Pricing Schedule'!$G$13="n",0,'Non Fee Hours'!E22)+IF('Pricing Schedule'!$G$16="n",0,'Non Fee Hours'!E122)+IF('Pricing Schedule'!$G$19="n",0,'Non Fee Hours'!E222)+IF('Pricing Schedule'!$G$240="n",0,'Non Fee Hours'!E322)+IF('Pricing Schedule'!$G$250="n",0,'Non Fee Hours'!E422)</f>
        <v>0</v>
      </c>
      <c r="F99" s="16"/>
      <c r="G99" s="6"/>
      <c r="H99" s="7"/>
    </row>
    <row r="100" spans="2:8" hidden="1">
      <c r="B100" s="118"/>
      <c r="C100" s="59"/>
      <c r="D100" s="5"/>
      <c r="E100" s="223">
        <f>'Hours Roadworks'!E23*'Hours Roadworks'!$G$6+'Hours Structures'!E23*'Hours Structures'!$G$6+'Hours Electrical'!E23*'Hours Electrical'!$G$6+'Hours Building'!E23*'Hours Building'!$G$6+'Hours Mechanical'!E23*'Hours Mechanical'!$G$6+'Hours Electronic'!E23*'Hours Electronic'!$G$6+'Hours Other'!E23*'Hours Other'!$G$6+IF('Pricing Schedule'!$G$13="n",0,'Non Fee Hours'!E23)+IF('Pricing Schedule'!$G$16="n",0,'Non Fee Hours'!E123)+IF('Pricing Schedule'!$G$19="n",0,'Non Fee Hours'!E223)+IF('Pricing Schedule'!$G$240="n",0,'Non Fee Hours'!E323)+IF('Pricing Schedule'!$G$250="n",0,'Non Fee Hours'!E423)</f>
        <v>0</v>
      </c>
      <c r="F100" s="16"/>
      <c r="G100" s="6"/>
      <c r="H100" s="7"/>
    </row>
    <row r="101" spans="2:8" hidden="1">
      <c r="B101" s="118"/>
      <c r="C101" s="59"/>
      <c r="D101" s="5"/>
      <c r="E101" s="223">
        <f>'Hours Roadworks'!E24*'Hours Roadworks'!$G$6+'Hours Structures'!E24*'Hours Structures'!$G$6+'Hours Electrical'!E24*'Hours Electrical'!$G$6+'Hours Building'!E24*'Hours Building'!$G$6+'Hours Mechanical'!E24*'Hours Mechanical'!$G$6+'Hours Electronic'!E24*'Hours Electronic'!$G$6+'Hours Other'!E24*'Hours Other'!$G$6+IF('Pricing Schedule'!$G$13="n",0,'Non Fee Hours'!E24)+IF('Pricing Schedule'!$G$16="n",0,'Non Fee Hours'!E124)+IF('Pricing Schedule'!$G$19="n",0,'Non Fee Hours'!E224)+IF('Pricing Schedule'!$G$240="n",0,'Non Fee Hours'!E324)+IF('Pricing Schedule'!$G$250="n",0,'Non Fee Hours'!E424)</f>
        <v>0</v>
      </c>
      <c r="F101" s="16"/>
      <c r="G101" s="6"/>
      <c r="H101" s="7"/>
    </row>
    <row r="102" spans="2:8" hidden="1">
      <c r="B102" s="118"/>
      <c r="C102" s="59"/>
      <c r="D102" s="5"/>
      <c r="E102" s="223">
        <f>'Hours Roadworks'!E25*'Hours Roadworks'!$G$6+'Hours Structures'!E25*'Hours Structures'!$G$6+'Hours Electrical'!E25*'Hours Electrical'!$G$6+'Hours Building'!E25*'Hours Building'!$G$6+'Hours Mechanical'!E25*'Hours Mechanical'!$G$6+'Hours Electronic'!E25*'Hours Electronic'!$G$6+'Hours Other'!E25*'Hours Other'!$G$6+IF('Pricing Schedule'!$G$13="n",0,'Non Fee Hours'!E25)+IF('Pricing Schedule'!$G$16="n",0,'Non Fee Hours'!E125)+IF('Pricing Schedule'!$G$19="n",0,'Non Fee Hours'!E225)+IF('Pricing Schedule'!$G$240="n",0,'Non Fee Hours'!E325)+IF('Pricing Schedule'!$G$250="n",0,'Non Fee Hours'!E425)</f>
        <v>0</v>
      </c>
      <c r="F102" s="16"/>
      <c r="G102" s="6"/>
      <c r="H102" s="7"/>
    </row>
    <row r="103" spans="2:8" hidden="1">
      <c r="B103" s="118"/>
      <c r="C103" s="59"/>
      <c r="D103" s="5"/>
      <c r="E103" s="223">
        <f>'Hours Roadworks'!E26*'Hours Roadworks'!$G$6+'Hours Structures'!E26*'Hours Structures'!$G$6+'Hours Electrical'!E26*'Hours Electrical'!$G$6+'Hours Building'!E26*'Hours Building'!$G$6+'Hours Mechanical'!E26*'Hours Mechanical'!$G$6+'Hours Electronic'!E26*'Hours Electronic'!$G$6+'Hours Other'!E26*'Hours Other'!$G$6+IF('Pricing Schedule'!$G$13="n",0,'Non Fee Hours'!E26)+IF('Pricing Schedule'!$G$16="n",0,'Non Fee Hours'!E126)+IF('Pricing Schedule'!$G$19="n",0,'Non Fee Hours'!E226)+IF('Pricing Schedule'!$G$240="n",0,'Non Fee Hours'!E326)+IF('Pricing Schedule'!$G$250="n",0,'Non Fee Hours'!E426)</f>
        <v>0</v>
      </c>
      <c r="F103" s="16"/>
      <c r="G103" s="6"/>
      <c r="H103" s="7"/>
    </row>
    <row r="104" spans="2:8" hidden="1">
      <c r="B104" s="118"/>
      <c r="C104" s="59"/>
      <c r="D104" s="5"/>
      <c r="E104" s="223">
        <f>'Hours Roadworks'!E27*'Hours Roadworks'!$G$6+'Hours Structures'!E27*'Hours Structures'!$G$6+'Hours Electrical'!E27*'Hours Electrical'!$G$6+'Hours Building'!E27*'Hours Building'!$G$6+'Hours Mechanical'!E27*'Hours Mechanical'!$G$6+'Hours Electronic'!E27*'Hours Electronic'!$G$6+'Hours Other'!E27*'Hours Other'!$G$6+IF('Pricing Schedule'!$G$13="n",0,'Non Fee Hours'!E27)+IF('Pricing Schedule'!$G$16="n",0,'Non Fee Hours'!E127)+IF('Pricing Schedule'!$G$19="n",0,'Non Fee Hours'!E227)+IF('Pricing Schedule'!$G$240="n",0,'Non Fee Hours'!E327)+IF('Pricing Schedule'!$G$250="n",0,'Non Fee Hours'!E427)</f>
        <v>0</v>
      </c>
      <c r="F104" s="16"/>
      <c r="G104" s="6"/>
      <c r="H104" s="7"/>
    </row>
    <row r="105" spans="2:8" ht="15.75" thickBot="1">
      <c r="B105" s="119" t="str">
        <f>$B$30</f>
        <v>OTHER</v>
      </c>
      <c r="C105" s="63" t="str">
        <f>$C$30</f>
        <v>Various non-key personnel</v>
      </c>
      <c r="D105" s="5"/>
      <c r="E105" s="223">
        <f>'Hours Roadworks'!E28*'Hours Roadworks'!$G$6+'Hours Structures'!E28*'Hours Structures'!$G$6+'Hours Electrical'!E28*'Hours Electrical'!$G$6+'Hours Building'!E28*'Hours Building'!$G$6+'Hours Mechanical'!E28*'Hours Mechanical'!$G$6+'Hours Electronic'!E28*'Hours Electronic'!$G$6+'Hours Other'!E28*'Hours Other'!$G$6+IF('Pricing Schedule'!$G$13="n",0,'Non Fee Hours'!E28)+IF('Pricing Schedule'!$G$16="n",0,'Non Fee Hours'!E128)+IF('Pricing Schedule'!$G$19="n",0,'Non Fee Hours'!E228)+IF('Pricing Schedule'!$G$240="n",0,'Non Fee Hours'!E328)+IF('Pricing Schedule'!$G$250="n",0,'Non Fee Hours'!E428)</f>
        <v>0</v>
      </c>
      <c r="F105" s="16">
        <f>IF(B105="","",$F$84)</f>
        <v>3534</v>
      </c>
      <c r="G105" s="6">
        <f t="shared" ref="G105" si="12">IF(B105="","",(F105*E105))</f>
        <v>0</v>
      </c>
      <c r="H105" s="7"/>
    </row>
    <row r="106" spans="2:8">
      <c r="B106" s="19" t="s">
        <v>10</v>
      </c>
      <c r="C106" s="20"/>
      <c r="D106" s="21" t="s">
        <v>8</v>
      </c>
      <c r="E106" s="21">
        <f>SUM(E107:E127)</f>
        <v>0</v>
      </c>
      <c r="F106" s="22">
        <f>DATA!$B$8</f>
        <v>2796</v>
      </c>
      <c r="G106" s="23"/>
      <c r="H106" s="24">
        <f>E106*F106</f>
        <v>0</v>
      </c>
    </row>
    <row r="107" spans="2:8">
      <c r="B107" s="118" t="str">
        <f>IF(DATA!A1051="","",DATA!A1051)</f>
        <v>PL</v>
      </c>
      <c r="C107" s="59" t="str">
        <f>IF(B10="","",C10)</f>
        <v/>
      </c>
      <c r="D107" s="5"/>
      <c r="E107" s="223">
        <f>'Hours Roadworks'!E30*'Hours Roadworks'!$G$6+'Hours Structures'!E30*'Hours Structures'!$G$6+'Hours Electrical'!E30*'Hours Electrical'!$G$6+'Hours Building'!E30*'Hours Building'!$G$6+'Hours Mechanical'!E30*'Hours Mechanical'!$G$6+'Hours Electronic'!E30*'Hours Electronic'!$G$6+'Hours Other'!E30*'Hours Other'!$G$6+IF('Pricing Schedule'!$G$13="n",0,'Non Fee Hours'!E30)+IF('Pricing Schedule'!$G$16="n",0,'Non Fee Hours'!E130)+IF('Pricing Schedule'!$G$19="n",0,'Non Fee Hours'!E230)+IF('Pricing Schedule'!$G$240="n",0,'Non Fee Hours'!E330)+IF('Pricing Schedule'!$G$250="n",0,'Non Fee Hours'!E430)</f>
        <v>0</v>
      </c>
      <c r="F107" s="16">
        <f>IF(B107="","",$F$106)</f>
        <v>2796</v>
      </c>
      <c r="G107" s="6">
        <f>IF(B107="","",(F107*E107))</f>
        <v>0</v>
      </c>
      <c r="H107" s="7"/>
    </row>
    <row r="108" spans="2:8">
      <c r="B108" s="118" t="str">
        <f>IF(DATA!A1052="","",DATA!A1052)</f>
        <v>DS1</v>
      </c>
      <c r="C108" s="59" t="str">
        <f>IF(B11="","",C11)</f>
        <v/>
      </c>
      <c r="D108" s="5"/>
      <c r="E108" s="223">
        <f>'Hours Roadworks'!E31*'Hours Roadworks'!$G$6+'Hours Structures'!E31*'Hours Structures'!$G$6+'Hours Electrical'!E31*'Hours Electrical'!$G$6+'Hours Building'!E31*'Hours Building'!$G$6+'Hours Mechanical'!E31*'Hours Mechanical'!$G$6+'Hours Electronic'!E31*'Hours Electronic'!$G$6+'Hours Other'!E31*'Hours Other'!$G$6+IF('Pricing Schedule'!$G$13="n",0,'Non Fee Hours'!E31)+IF('Pricing Schedule'!$G$16="n",0,'Non Fee Hours'!E131)+IF('Pricing Schedule'!$G$19="n",0,'Non Fee Hours'!E231)+IF('Pricing Schedule'!$G$240="n",0,'Non Fee Hours'!E331)+IF('Pricing Schedule'!$G$250="n",0,'Non Fee Hours'!E431)</f>
        <v>0</v>
      </c>
      <c r="F108" s="16">
        <f t="shared" ref="F108:F116" si="13">IF(B108="","",$F$106)</f>
        <v>2796</v>
      </c>
      <c r="G108" s="6">
        <f t="shared" ref="G108:G116" si="14">IF(B108="","",(F108*E108))</f>
        <v>0</v>
      </c>
      <c r="H108" s="7"/>
    </row>
    <row r="109" spans="2:8">
      <c r="B109" s="118" t="str">
        <f>IF(DATA!A1053="","",DATA!A1053)</f>
        <v>DS3</v>
      </c>
      <c r="C109" s="59" t="str">
        <f t="shared" ref="C109:C116" si="15">IF(B12="","",C12)</f>
        <v/>
      </c>
      <c r="D109" s="5"/>
      <c r="E109" s="223">
        <f>'Hours Roadworks'!E32*'Hours Roadworks'!$G$6+'Hours Structures'!E32*'Hours Structures'!$G$6+'Hours Electrical'!E32*'Hours Electrical'!$G$6+'Hours Building'!E32*'Hours Building'!$G$6+'Hours Mechanical'!E32*'Hours Mechanical'!$G$6+'Hours Electronic'!E32*'Hours Electronic'!$G$6+'Hours Other'!E32*'Hours Other'!$G$6+IF('Pricing Schedule'!$G$13="n",0,'Non Fee Hours'!E32)+IF('Pricing Schedule'!$G$16="n",0,'Non Fee Hours'!E132)+IF('Pricing Schedule'!$G$19="n",0,'Non Fee Hours'!E232)+IF('Pricing Schedule'!$G$240="n",0,'Non Fee Hours'!E332)+IF('Pricing Schedule'!$G$250="n",0,'Non Fee Hours'!E432)</f>
        <v>0</v>
      </c>
      <c r="F109" s="16">
        <f t="shared" si="13"/>
        <v>2796</v>
      </c>
      <c r="G109" s="6">
        <f t="shared" si="14"/>
        <v>0</v>
      </c>
      <c r="H109" s="7"/>
    </row>
    <row r="110" spans="2:8">
      <c r="B110" s="118" t="str">
        <f>IF(DATA!A1054="","",DATA!A1054)</f>
        <v/>
      </c>
      <c r="C110" s="59" t="str">
        <f t="shared" si="15"/>
        <v/>
      </c>
      <c r="D110" s="5"/>
      <c r="E110" s="223">
        <f>'Hours Roadworks'!E33*'Hours Roadworks'!$G$6+'Hours Structures'!E33*'Hours Structures'!$G$6+'Hours Electrical'!E33*'Hours Electrical'!$G$6+'Hours Building'!E33*'Hours Building'!$G$6+'Hours Mechanical'!E33*'Hours Mechanical'!$G$6+'Hours Electronic'!E33*'Hours Electronic'!$G$6+'Hours Other'!E33*'Hours Other'!$G$6+IF('Pricing Schedule'!$G$13="n",0,'Non Fee Hours'!E33)+IF('Pricing Schedule'!$G$16="n",0,'Non Fee Hours'!E133)+IF('Pricing Schedule'!$G$19="n",0,'Non Fee Hours'!E233)+IF('Pricing Schedule'!$G$240="n",0,'Non Fee Hours'!E333)+IF('Pricing Schedule'!$G$250="n",0,'Non Fee Hours'!E433)</f>
        <v>0</v>
      </c>
      <c r="F110" s="16" t="str">
        <f t="shared" si="13"/>
        <v/>
      </c>
      <c r="G110" s="6" t="str">
        <f t="shared" si="14"/>
        <v/>
      </c>
      <c r="H110" s="7"/>
    </row>
    <row r="111" spans="2:8">
      <c r="B111" s="118" t="str">
        <f>IF(DATA!A1055="","",DATA!A1055)</f>
        <v/>
      </c>
      <c r="C111" s="59" t="str">
        <f t="shared" si="15"/>
        <v/>
      </c>
      <c r="D111" s="5"/>
      <c r="E111" s="223">
        <f>'Hours Roadworks'!E34*'Hours Roadworks'!$G$6+'Hours Structures'!E34*'Hours Structures'!$G$6+'Hours Electrical'!E34*'Hours Electrical'!$G$6+'Hours Building'!E34*'Hours Building'!$G$6+'Hours Mechanical'!E34*'Hours Mechanical'!$G$6+'Hours Electronic'!E34*'Hours Electronic'!$G$6+'Hours Other'!E34*'Hours Other'!$G$6+IF('Pricing Schedule'!$G$13="n",0,'Non Fee Hours'!E34)+IF('Pricing Schedule'!$G$16="n",0,'Non Fee Hours'!E134)+IF('Pricing Schedule'!$G$19="n",0,'Non Fee Hours'!E234)+IF('Pricing Schedule'!$G$240="n",0,'Non Fee Hours'!E334)+IF('Pricing Schedule'!$G$250="n",0,'Non Fee Hours'!E434)</f>
        <v>0</v>
      </c>
      <c r="F111" s="16" t="str">
        <f t="shared" si="13"/>
        <v/>
      </c>
      <c r="G111" s="6" t="str">
        <f t="shared" si="14"/>
        <v/>
      </c>
      <c r="H111" s="7"/>
    </row>
    <row r="112" spans="2:8">
      <c r="B112" s="118" t="str">
        <f>IF(DATA!A1056="","",DATA!A1056)</f>
        <v/>
      </c>
      <c r="C112" s="59" t="str">
        <f t="shared" si="15"/>
        <v/>
      </c>
      <c r="D112" s="5"/>
      <c r="E112" s="223">
        <f>'Hours Roadworks'!E35*'Hours Roadworks'!$G$6+'Hours Structures'!E35*'Hours Structures'!$G$6+'Hours Electrical'!E35*'Hours Electrical'!$G$6+'Hours Building'!E35*'Hours Building'!$G$6+'Hours Mechanical'!E35*'Hours Mechanical'!$G$6+'Hours Electronic'!E35*'Hours Electronic'!$G$6+'Hours Other'!E35*'Hours Other'!$G$6+IF('Pricing Schedule'!$G$13="n",0,'Non Fee Hours'!E35)+IF('Pricing Schedule'!$G$16="n",0,'Non Fee Hours'!E135)+IF('Pricing Schedule'!$G$19="n",0,'Non Fee Hours'!E235)+IF('Pricing Schedule'!$G$240="n",0,'Non Fee Hours'!E335)+IF('Pricing Schedule'!$G$250="n",0,'Non Fee Hours'!E435)</f>
        <v>0</v>
      </c>
      <c r="F112" s="16" t="str">
        <f t="shared" si="13"/>
        <v/>
      </c>
      <c r="G112" s="6" t="str">
        <f t="shared" si="14"/>
        <v/>
      </c>
      <c r="H112" s="7"/>
    </row>
    <row r="113" spans="2:8">
      <c r="B113" s="118" t="str">
        <f>IF(DATA!A1057="","",DATA!A1057)</f>
        <v/>
      </c>
      <c r="C113" s="59" t="str">
        <f t="shared" si="15"/>
        <v/>
      </c>
      <c r="D113" s="5"/>
      <c r="E113" s="223">
        <f>'Hours Roadworks'!E36*'Hours Roadworks'!$G$6+'Hours Structures'!E36*'Hours Structures'!$G$6+'Hours Electrical'!E36*'Hours Electrical'!$G$6+'Hours Building'!E36*'Hours Building'!$G$6+'Hours Mechanical'!E36*'Hours Mechanical'!$G$6+'Hours Electronic'!E36*'Hours Electronic'!$G$6+'Hours Other'!E36*'Hours Other'!$G$6+IF('Pricing Schedule'!$G$13="n",0,'Non Fee Hours'!E36)+IF('Pricing Schedule'!$G$16="n",0,'Non Fee Hours'!E136)+IF('Pricing Schedule'!$G$19="n",0,'Non Fee Hours'!E236)+IF('Pricing Schedule'!$G$240="n",0,'Non Fee Hours'!E336)+IF('Pricing Schedule'!$G$250="n",0,'Non Fee Hours'!E436)</f>
        <v>0</v>
      </c>
      <c r="F113" s="16" t="str">
        <f t="shared" si="13"/>
        <v/>
      </c>
      <c r="G113" s="6" t="str">
        <f t="shared" si="14"/>
        <v/>
      </c>
      <c r="H113" s="7"/>
    </row>
    <row r="114" spans="2:8">
      <c r="B114" s="118" t="str">
        <f>IF(DATA!A1058="","",DATA!A1058)</f>
        <v/>
      </c>
      <c r="C114" s="59" t="str">
        <f t="shared" si="15"/>
        <v/>
      </c>
      <c r="D114" s="5"/>
      <c r="E114" s="223">
        <f>'Hours Roadworks'!E37*'Hours Roadworks'!$G$6+'Hours Structures'!E37*'Hours Structures'!$G$6+'Hours Electrical'!E37*'Hours Electrical'!$G$6+'Hours Building'!E37*'Hours Building'!$G$6+'Hours Mechanical'!E37*'Hours Mechanical'!$G$6+'Hours Electronic'!E37*'Hours Electronic'!$G$6+'Hours Other'!E37*'Hours Other'!$G$6+IF('Pricing Schedule'!$G$13="n",0,'Non Fee Hours'!E37)+IF('Pricing Schedule'!$G$16="n",0,'Non Fee Hours'!E137)+IF('Pricing Schedule'!$G$19="n",0,'Non Fee Hours'!E237)+IF('Pricing Schedule'!$G$240="n",0,'Non Fee Hours'!E337)+IF('Pricing Schedule'!$G$250="n",0,'Non Fee Hours'!E437)</f>
        <v>0</v>
      </c>
      <c r="F114" s="16" t="str">
        <f t="shared" si="13"/>
        <v/>
      </c>
      <c r="G114" s="6" t="str">
        <f t="shared" si="14"/>
        <v/>
      </c>
      <c r="H114" s="7"/>
    </row>
    <row r="115" spans="2:8">
      <c r="B115" s="118" t="str">
        <f>IF(DATA!A1059="","",DATA!A1059)</f>
        <v/>
      </c>
      <c r="C115" s="59" t="str">
        <f t="shared" si="15"/>
        <v/>
      </c>
      <c r="D115" s="5"/>
      <c r="E115" s="223">
        <f>'Hours Roadworks'!E38*'Hours Roadworks'!$G$6+'Hours Structures'!E38*'Hours Structures'!$G$6+'Hours Electrical'!E38*'Hours Electrical'!$G$6+'Hours Building'!E38*'Hours Building'!$G$6+'Hours Mechanical'!E38*'Hours Mechanical'!$G$6+'Hours Electronic'!E38*'Hours Electronic'!$G$6+'Hours Other'!E38*'Hours Other'!$G$6+IF('Pricing Schedule'!$G$13="n",0,'Non Fee Hours'!E38)+IF('Pricing Schedule'!$G$16="n",0,'Non Fee Hours'!E138)+IF('Pricing Schedule'!$G$19="n",0,'Non Fee Hours'!E238)+IF('Pricing Schedule'!$G$240="n",0,'Non Fee Hours'!E338)+IF('Pricing Schedule'!$G$250="n",0,'Non Fee Hours'!E438)</f>
        <v>0</v>
      </c>
      <c r="F115" s="16" t="str">
        <f t="shared" si="13"/>
        <v/>
      </c>
      <c r="G115" s="6" t="str">
        <f t="shared" si="14"/>
        <v/>
      </c>
      <c r="H115" s="7"/>
    </row>
    <row r="116" spans="2:8">
      <c r="B116" s="118" t="str">
        <f>IF(DATA!A1060="","",DATA!A1060)</f>
        <v/>
      </c>
      <c r="C116" s="59" t="str">
        <f t="shared" si="15"/>
        <v/>
      </c>
      <c r="D116" s="5"/>
      <c r="E116" s="223">
        <f>'Hours Roadworks'!E39*'Hours Roadworks'!$G$6+'Hours Structures'!E39*'Hours Structures'!$G$6+'Hours Electrical'!E39*'Hours Electrical'!$G$6+'Hours Building'!E39*'Hours Building'!$G$6+'Hours Mechanical'!E39*'Hours Mechanical'!$G$6+'Hours Electronic'!E39*'Hours Electronic'!$G$6+'Hours Other'!E39*'Hours Other'!$G$6+IF('Pricing Schedule'!$G$13="n",0,'Non Fee Hours'!E39)+IF('Pricing Schedule'!$G$16="n",0,'Non Fee Hours'!E139)+IF('Pricing Schedule'!$G$19="n",0,'Non Fee Hours'!E239)+IF('Pricing Schedule'!$G$240="n",0,'Non Fee Hours'!E339)+IF('Pricing Schedule'!$G$250="n",0,'Non Fee Hours'!E439)</f>
        <v>0</v>
      </c>
      <c r="F116" s="16" t="str">
        <f t="shared" si="13"/>
        <v/>
      </c>
      <c r="G116" s="6" t="str">
        <f t="shared" si="14"/>
        <v/>
      </c>
      <c r="H116" s="7"/>
    </row>
    <row r="117" spans="2:8" hidden="1">
      <c r="B117" s="118"/>
      <c r="C117" s="59"/>
      <c r="D117" s="5"/>
      <c r="E117" s="223">
        <f>'Hours Roadworks'!E40*'Hours Roadworks'!$G$6+'Hours Structures'!E40*'Hours Structures'!$G$6+'Hours Electrical'!E40*'Hours Electrical'!$G$6+'Hours Building'!E40*'Hours Building'!$G$6+'Hours Mechanical'!E40*'Hours Mechanical'!$G$6+'Hours Electronic'!E40*'Hours Electronic'!$G$6+'Hours Other'!E40*'Hours Other'!$G$6+IF('Pricing Schedule'!$G$13="n",0,'Non Fee Hours'!E40)+IF('Pricing Schedule'!$G$16="n",0,'Non Fee Hours'!E140)+IF('Pricing Schedule'!$G$19="n",0,'Non Fee Hours'!E240)+IF('Pricing Schedule'!$G$240="n",0,'Non Fee Hours'!E340)+IF('Pricing Schedule'!$G$250="n",0,'Non Fee Hours'!E440)</f>
        <v>0</v>
      </c>
      <c r="F117" s="16"/>
      <c r="G117" s="6"/>
      <c r="H117" s="7"/>
    </row>
    <row r="118" spans="2:8" hidden="1">
      <c r="B118" s="118"/>
      <c r="C118" s="59"/>
      <c r="D118" s="5"/>
      <c r="E118" s="223">
        <f>'Hours Roadworks'!E41*'Hours Roadworks'!$G$6+'Hours Structures'!E41*'Hours Structures'!$G$6+'Hours Electrical'!E41*'Hours Electrical'!$G$6+'Hours Building'!E41*'Hours Building'!$G$6+'Hours Mechanical'!E41*'Hours Mechanical'!$G$6+'Hours Electronic'!E41*'Hours Electronic'!$G$6+'Hours Other'!E41*'Hours Other'!$G$6+IF('Pricing Schedule'!$G$13="n",0,'Non Fee Hours'!E41)+IF('Pricing Schedule'!$G$16="n",0,'Non Fee Hours'!E141)+IF('Pricing Schedule'!$G$19="n",0,'Non Fee Hours'!E241)+IF('Pricing Schedule'!$G$240="n",0,'Non Fee Hours'!E341)+IF('Pricing Schedule'!$G$250="n",0,'Non Fee Hours'!E441)</f>
        <v>0</v>
      </c>
      <c r="F118" s="16"/>
      <c r="G118" s="6"/>
      <c r="H118" s="7"/>
    </row>
    <row r="119" spans="2:8" hidden="1">
      <c r="B119" s="118"/>
      <c r="C119" s="59"/>
      <c r="D119" s="5"/>
      <c r="E119" s="223">
        <f>'Hours Roadworks'!E42*'Hours Roadworks'!$G$6+'Hours Structures'!E42*'Hours Structures'!$G$6+'Hours Electrical'!E42*'Hours Electrical'!$G$6+'Hours Building'!E42*'Hours Building'!$G$6+'Hours Mechanical'!E42*'Hours Mechanical'!$G$6+'Hours Electronic'!E42*'Hours Electronic'!$G$6+'Hours Other'!E42*'Hours Other'!$G$6+IF('Pricing Schedule'!$G$13="n",0,'Non Fee Hours'!E42)+IF('Pricing Schedule'!$G$16="n",0,'Non Fee Hours'!E142)+IF('Pricing Schedule'!$G$19="n",0,'Non Fee Hours'!E242)+IF('Pricing Schedule'!$G$240="n",0,'Non Fee Hours'!E342)+IF('Pricing Schedule'!$G$250="n",0,'Non Fee Hours'!E442)</f>
        <v>0</v>
      </c>
      <c r="F119" s="16"/>
      <c r="G119" s="6"/>
      <c r="H119" s="7"/>
    </row>
    <row r="120" spans="2:8" hidden="1">
      <c r="B120" s="118"/>
      <c r="C120" s="59"/>
      <c r="D120" s="5"/>
      <c r="E120" s="223">
        <f>'Hours Roadworks'!E43*'Hours Roadworks'!$G$6+'Hours Structures'!E43*'Hours Structures'!$G$6+'Hours Electrical'!E43*'Hours Electrical'!$G$6+'Hours Building'!E43*'Hours Building'!$G$6+'Hours Mechanical'!E43*'Hours Mechanical'!$G$6+'Hours Electronic'!E43*'Hours Electronic'!$G$6+'Hours Other'!E43*'Hours Other'!$G$6+IF('Pricing Schedule'!$G$13="n",0,'Non Fee Hours'!E43)+IF('Pricing Schedule'!$G$16="n",0,'Non Fee Hours'!E143)+IF('Pricing Schedule'!$G$19="n",0,'Non Fee Hours'!E243)+IF('Pricing Schedule'!$G$240="n",0,'Non Fee Hours'!E343)+IF('Pricing Schedule'!$G$250="n",0,'Non Fee Hours'!E443)</f>
        <v>0</v>
      </c>
      <c r="F120" s="16"/>
      <c r="G120" s="6"/>
      <c r="H120" s="7"/>
    </row>
    <row r="121" spans="2:8" hidden="1">
      <c r="B121" s="118"/>
      <c r="C121" s="59"/>
      <c r="D121" s="5"/>
      <c r="E121" s="223">
        <f>'Hours Roadworks'!E44*'Hours Roadworks'!$G$6+'Hours Structures'!E44*'Hours Structures'!$G$6+'Hours Electrical'!E44*'Hours Electrical'!$G$6+'Hours Building'!E44*'Hours Building'!$G$6+'Hours Mechanical'!E44*'Hours Mechanical'!$G$6+'Hours Electronic'!E44*'Hours Electronic'!$G$6+'Hours Other'!E44*'Hours Other'!$G$6+IF('Pricing Schedule'!$G$13="n",0,'Non Fee Hours'!E44)+IF('Pricing Schedule'!$G$16="n",0,'Non Fee Hours'!E144)+IF('Pricing Schedule'!$G$19="n",0,'Non Fee Hours'!E244)+IF('Pricing Schedule'!$G$240="n",0,'Non Fee Hours'!E344)+IF('Pricing Schedule'!$G$250="n",0,'Non Fee Hours'!E444)</f>
        <v>0</v>
      </c>
      <c r="F121" s="16"/>
      <c r="G121" s="6"/>
      <c r="H121" s="7"/>
    </row>
    <row r="122" spans="2:8" hidden="1">
      <c r="B122" s="118"/>
      <c r="C122" s="59"/>
      <c r="D122" s="5"/>
      <c r="E122" s="223">
        <f>'Hours Roadworks'!E45*'Hours Roadworks'!$G$6+'Hours Structures'!E45*'Hours Structures'!$G$6+'Hours Electrical'!E45*'Hours Electrical'!$G$6+'Hours Building'!E45*'Hours Building'!$G$6+'Hours Mechanical'!E45*'Hours Mechanical'!$G$6+'Hours Electronic'!E45*'Hours Electronic'!$G$6+'Hours Other'!E45*'Hours Other'!$G$6+IF('Pricing Schedule'!$G$13="n",0,'Non Fee Hours'!E45)+IF('Pricing Schedule'!$G$16="n",0,'Non Fee Hours'!E145)+IF('Pricing Schedule'!$G$19="n",0,'Non Fee Hours'!E245)+IF('Pricing Schedule'!$G$240="n",0,'Non Fee Hours'!E345)+IF('Pricing Schedule'!$G$250="n",0,'Non Fee Hours'!E445)</f>
        <v>0</v>
      </c>
      <c r="F122" s="16"/>
      <c r="G122" s="6"/>
      <c r="H122" s="7"/>
    </row>
    <row r="123" spans="2:8" hidden="1">
      <c r="B123" s="118"/>
      <c r="C123" s="59"/>
      <c r="D123" s="5"/>
      <c r="E123" s="223">
        <f>'Hours Roadworks'!E46*'Hours Roadworks'!$G$6+'Hours Structures'!E46*'Hours Structures'!$G$6+'Hours Electrical'!E46*'Hours Electrical'!$G$6+'Hours Building'!E46*'Hours Building'!$G$6+'Hours Mechanical'!E46*'Hours Mechanical'!$G$6+'Hours Electronic'!E46*'Hours Electronic'!$G$6+'Hours Other'!E46*'Hours Other'!$G$6+IF('Pricing Schedule'!$G$13="n",0,'Non Fee Hours'!E46)+IF('Pricing Schedule'!$G$16="n",0,'Non Fee Hours'!E146)+IF('Pricing Schedule'!$G$19="n",0,'Non Fee Hours'!E246)+IF('Pricing Schedule'!$G$240="n",0,'Non Fee Hours'!E346)+IF('Pricing Schedule'!$G$250="n",0,'Non Fee Hours'!E446)</f>
        <v>0</v>
      </c>
      <c r="F123" s="16"/>
      <c r="G123" s="6"/>
      <c r="H123" s="7"/>
    </row>
    <row r="124" spans="2:8" hidden="1">
      <c r="B124" s="118"/>
      <c r="C124" s="59"/>
      <c r="D124" s="5"/>
      <c r="E124" s="223">
        <f>'Hours Roadworks'!E47*'Hours Roadworks'!$G$6+'Hours Structures'!E47*'Hours Structures'!$G$6+'Hours Electrical'!E47*'Hours Electrical'!$G$6+'Hours Building'!E47*'Hours Building'!$G$6+'Hours Mechanical'!E47*'Hours Mechanical'!$G$6+'Hours Electronic'!E47*'Hours Electronic'!$G$6+'Hours Other'!E47*'Hours Other'!$G$6+IF('Pricing Schedule'!$G$13="n",0,'Non Fee Hours'!E47)+IF('Pricing Schedule'!$G$16="n",0,'Non Fee Hours'!E147)+IF('Pricing Schedule'!$G$19="n",0,'Non Fee Hours'!E247)+IF('Pricing Schedule'!$G$240="n",0,'Non Fee Hours'!E347)+IF('Pricing Schedule'!$G$250="n",0,'Non Fee Hours'!E447)</f>
        <v>0</v>
      </c>
      <c r="F124" s="16"/>
      <c r="G124" s="6"/>
      <c r="H124" s="7"/>
    </row>
    <row r="125" spans="2:8" hidden="1">
      <c r="B125" s="118"/>
      <c r="C125" s="59"/>
      <c r="D125" s="5"/>
      <c r="E125" s="223">
        <f>'Hours Roadworks'!E48*'Hours Roadworks'!$G$6+'Hours Structures'!E48*'Hours Structures'!$G$6+'Hours Electrical'!E48*'Hours Electrical'!$G$6+'Hours Building'!E48*'Hours Building'!$G$6+'Hours Mechanical'!E48*'Hours Mechanical'!$G$6+'Hours Electronic'!E48*'Hours Electronic'!$G$6+'Hours Other'!E48*'Hours Other'!$G$6+IF('Pricing Schedule'!$G$13="n",0,'Non Fee Hours'!E48)+IF('Pricing Schedule'!$G$16="n",0,'Non Fee Hours'!E148)+IF('Pricing Schedule'!$G$19="n",0,'Non Fee Hours'!E248)+IF('Pricing Schedule'!$G$240="n",0,'Non Fee Hours'!E348)+IF('Pricing Schedule'!$G$250="n",0,'Non Fee Hours'!E448)</f>
        <v>0</v>
      </c>
      <c r="F125" s="16"/>
      <c r="G125" s="6"/>
      <c r="H125" s="7"/>
    </row>
    <row r="126" spans="2:8" hidden="1">
      <c r="B126" s="118"/>
      <c r="C126" s="59"/>
      <c r="D126" s="5"/>
      <c r="E126" s="223">
        <f>'Hours Roadworks'!E49*'Hours Roadworks'!$G$6+'Hours Structures'!E49*'Hours Structures'!$G$6+'Hours Electrical'!E49*'Hours Electrical'!$G$6+'Hours Building'!E49*'Hours Building'!$G$6+'Hours Mechanical'!E49*'Hours Mechanical'!$G$6+'Hours Electronic'!E49*'Hours Electronic'!$G$6+'Hours Other'!E49*'Hours Other'!$G$6+IF('Pricing Schedule'!$G$13="n",0,'Non Fee Hours'!E49)+IF('Pricing Schedule'!$G$16="n",0,'Non Fee Hours'!E149)+IF('Pricing Schedule'!$G$19="n",0,'Non Fee Hours'!E249)+IF('Pricing Schedule'!$G$240="n",0,'Non Fee Hours'!E349)+IF('Pricing Schedule'!$G$250="n",0,'Non Fee Hours'!E449)</f>
        <v>0</v>
      </c>
      <c r="F126" s="16"/>
      <c r="G126" s="6"/>
      <c r="H126" s="7"/>
    </row>
    <row r="127" spans="2:8" ht="15.75" thickBot="1">
      <c r="B127" s="119" t="str">
        <f>$B$30</f>
        <v>OTHER</v>
      </c>
      <c r="C127" s="63" t="str">
        <f>$C$30</f>
        <v>Various non-key personnel</v>
      </c>
      <c r="D127" s="5"/>
      <c r="E127" s="223">
        <f>'Hours Roadworks'!E50*'Hours Roadworks'!$G$6+'Hours Structures'!E50*'Hours Structures'!$G$6+'Hours Electrical'!E50*'Hours Electrical'!$G$6+'Hours Building'!E50*'Hours Building'!$G$6+'Hours Mechanical'!E50*'Hours Mechanical'!$G$6+'Hours Electronic'!E50*'Hours Electronic'!$G$6+'Hours Other'!E50*'Hours Other'!$G$6+IF('Pricing Schedule'!$G$13="n",0,'Non Fee Hours'!E50)+IF('Pricing Schedule'!$G$16="n",0,'Non Fee Hours'!E150)+IF('Pricing Schedule'!$G$19="n",0,'Non Fee Hours'!E250)+IF('Pricing Schedule'!$G$240="n",0,'Non Fee Hours'!E350)+IF('Pricing Schedule'!$G$250="n",0,'Non Fee Hours'!E450)</f>
        <v>0</v>
      </c>
      <c r="F127" s="16">
        <f>IF(B127="","",F106)</f>
        <v>2796</v>
      </c>
      <c r="G127" s="6">
        <f t="shared" ref="G127" si="16">IF(B127="","",(F127*E127))</f>
        <v>0</v>
      </c>
      <c r="H127" s="7"/>
    </row>
    <row r="128" spans="2:8">
      <c r="B128" s="120" t="s">
        <v>11</v>
      </c>
      <c r="C128" s="20"/>
      <c r="D128" s="21" t="s">
        <v>8</v>
      </c>
      <c r="E128" s="21">
        <f>SUM(E129:E149)</f>
        <v>0</v>
      </c>
      <c r="F128" s="22">
        <f>DATA!$B$9</f>
        <v>2403</v>
      </c>
      <c r="G128" s="23"/>
      <c r="H128" s="24">
        <f>E128*F128</f>
        <v>0</v>
      </c>
    </row>
    <row r="129" spans="2:8">
      <c r="B129" s="118" t="str">
        <f>IF(DATA!A1051="","",DATA!A1051)</f>
        <v>PL</v>
      </c>
      <c r="C129" s="59" t="str">
        <f>IF(B10="","",C10)</f>
        <v/>
      </c>
      <c r="D129" s="5"/>
      <c r="E129" s="223">
        <f>'Hours Roadworks'!E52*'Hours Roadworks'!$G$6+'Hours Structures'!E52*'Hours Structures'!$G$6+'Hours Electrical'!E52*'Hours Electrical'!$G$6+'Hours Building'!E52*'Hours Building'!$G$6+'Hours Mechanical'!E52*'Hours Mechanical'!$G$6+'Hours Electronic'!E52*'Hours Electronic'!$G$6+'Hours Other'!E52*'Hours Other'!$G$6+IF('Pricing Schedule'!$G$13="n",0,'Non Fee Hours'!E52)+IF('Pricing Schedule'!$G$16="n",0,'Non Fee Hours'!E152)+IF('Pricing Schedule'!$G$19="n",0,'Non Fee Hours'!E252)+IF('Pricing Schedule'!$G$240="n",0,'Non Fee Hours'!E352)+IF('Pricing Schedule'!$G$250="n",0,'Non Fee Hours'!E452)</f>
        <v>0</v>
      </c>
      <c r="F129" s="16">
        <f>IF(B129="","",$F$128)</f>
        <v>2403</v>
      </c>
      <c r="G129" s="6">
        <f>IF(B129="","",(F129*E129))</f>
        <v>0</v>
      </c>
      <c r="H129" s="7"/>
    </row>
    <row r="130" spans="2:8">
      <c r="B130" s="118" t="str">
        <f>IF(DATA!A1052="","",DATA!A1052)</f>
        <v>DS1</v>
      </c>
      <c r="C130" s="59" t="str">
        <f>IF(B11="","",C11)</f>
        <v/>
      </c>
      <c r="D130" s="5"/>
      <c r="E130" s="223">
        <f>'Hours Roadworks'!E53*'Hours Roadworks'!$G$6+'Hours Structures'!E53*'Hours Structures'!$G$6+'Hours Electrical'!E53*'Hours Electrical'!$G$6+'Hours Building'!E53*'Hours Building'!$G$6+'Hours Mechanical'!E53*'Hours Mechanical'!$G$6+'Hours Electronic'!E53*'Hours Electronic'!$G$6+'Hours Other'!E53*'Hours Other'!$G$6+IF('Pricing Schedule'!$G$13="n",0,'Non Fee Hours'!E53)+IF('Pricing Schedule'!$G$16="n",0,'Non Fee Hours'!E153)+IF('Pricing Schedule'!$G$19="n",0,'Non Fee Hours'!E253)+IF('Pricing Schedule'!$G$240="n",0,'Non Fee Hours'!E353)+IF('Pricing Schedule'!$G$250="n",0,'Non Fee Hours'!E453)</f>
        <v>0</v>
      </c>
      <c r="F130" s="16">
        <f>IF(B130="","",$F$128)</f>
        <v>2403</v>
      </c>
      <c r="G130" s="6">
        <f t="shared" ref="G130:G149" si="17">IF(B130="","",(F130*E130))</f>
        <v>0</v>
      </c>
      <c r="H130" s="7"/>
    </row>
    <row r="131" spans="2:8">
      <c r="B131" s="118" t="str">
        <f>IF(DATA!A1053="","",DATA!A1053)</f>
        <v>DS3</v>
      </c>
      <c r="C131" s="59" t="str">
        <f t="shared" ref="C131:C138" si="18">IF(B12="","",C12)</f>
        <v/>
      </c>
      <c r="D131" s="5"/>
      <c r="E131" s="223">
        <f>'Hours Roadworks'!E54*'Hours Roadworks'!$G$6+'Hours Structures'!E54*'Hours Structures'!$G$6+'Hours Electrical'!E54*'Hours Electrical'!$G$6+'Hours Building'!E54*'Hours Building'!$G$6+'Hours Mechanical'!E54*'Hours Mechanical'!$G$6+'Hours Electronic'!E54*'Hours Electronic'!$G$6+'Hours Other'!E54*'Hours Other'!$G$6+IF('Pricing Schedule'!$G$13="n",0,'Non Fee Hours'!E54)+IF('Pricing Schedule'!$G$16="n",0,'Non Fee Hours'!E154)+IF('Pricing Schedule'!$G$19="n",0,'Non Fee Hours'!E254)+IF('Pricing Schedule'!$G$240="n",0,'Non Fee Hours'!E354)+IF('Pricing Schedule'!$G$250="n",0,'Non Fee Hours'!E454)</f>
        <v>0</v>
      </c>
      <c r="F131" s="16">
        <f t="shared" ref="F131:F138" si="19">IF(B131="","",$F$128)</f>
        <v>2403</v>
      </c>
      <c r="G131" s="6">
        <f t="shared" si="17"/>
        <v>0</v>
      </c>
      <c r="H131" s="7"/>
    </row>
    <row r="132" spans="2:8">
      <c r="B132" s="118" t="str">
        <f>IF(DATA!A1054="","",DATA!A1054)</f>
        <v/>
      </c>
      <c r="C132" s="59" t="str">
        <f t="shared" si="18"/>
        <v/>
      </c>
      <c r="D132" s="5"/>
      <c r="E132" s="223">
        <f>'Hours Roadworks'!E55*'Hours Roadworks'!$G$6+'Hours Structures'!E55*'Hours Structures'!$G$6+'Hours Electrical'!E55*'Hours Electrical'!$G$6+'Hours Building'!E55*'Hours Building'!$G$6+'Hours Mechanical'!E55*'Hours Mechanical'!$G$6+'Hours Electronic'!E55*'Hours Electronic'!$G$6+'Hours Other'!E55*'Hours Other'!$G$6+IF('Pricing Schedule'!$G$13="n",0,'Non Fee Hours'!E55)+IF('Pricing Schedule'!$G$16="n",0,'Non Fee Hours'!E155)+IF('Pricing Schedule'!$G$19="n",0,'Non Fee Hours'!E255)+IF('Pricing Schedule'!$G$240="n",0,'Non Fee Hours'!E355)+IF('Pricing Schedule'!$G$250="n",0,'Non Fee Hours'!E455)</f>
        <v>0</v>
      </c>
      <c r="F132" s="16" t="str">
        <f t="shared" si="19"/>
        <v/>
      </c>
      <c r="G132" s="6" t="str">
        <f t="shared" ref="G132:G138" si="20">IF(B132="","",(F132*E132))</f>
        <v/>
      </c>
      <c r="H132" s="7"/>
    </row>
    <row r="133" spans="2:8">
      <c r="B133" s="118" t="str">
        <f>IF(DATA!A1055="","",DATA!A1055)</f>
        <v/>
      </c>
      <c r="C133" s="59" t="str">
        <f t="shared" si="18"/>
        <v/>
      </c>
      <c r="D133" s="5"/>
      <c r="E133" s="223">
        <f>'Hours Roadworks'!E56*'Hours Roadworks'!$G$6+'Hours Structures'!E56*'Hours Structures'!$G$6+'Hours Electrical'!E56*'Hours Electrical'!$G$6+'Hours Building'!E56*'Hours Building'!$G$6+'Hours Mechanical'!E56*'Hours Mechanical'!$G$6+'Hours Electronic'!E56*'Hours Electronic'!$G$6+'Hours Other'!E56*'Hours Other'!$G$6+IF('Pricing Schedule'!$G$13="n",0,'Non Fee Hours'!E56)+IF('Pricing Schedule'!$G$16="n",0,'Non Fee Hours'!E156)+IF('Pricing Schedule'!$G$19="n",0,'Non Fee Hours'!E256)+IF('Pricing Schedule'!$G$240="n",0,'Non Fee Hours'!E356)+IF('Pricing Schedule'!$G$250="n",0,'Non Fee Hours'!E456)</f>
        <v>0</v>
      </c>
      <c r="F133" s="16" t="str">
        <f t="shared" si="19"/>
        <v/>
      </c>
      <c r="G133" s="6" t="str">
        <f t="shared" si="20"/>
        <v/>
      </c>
      <c r="H133" s="7"/>
    </row>
    <row r="134" spans="2:8">
      <c r="B134" s="118" t="str">
        <f>IF(DATA!A1056="","",DATA!A1056)</f>
        <v/>
      </c>
      <c r="C134" s="59" t="str">
        <f t="shared" si="18"/>
        <v/>
      </c>
      <c r="D134" s="5"/>
      <c r="E134" s="223">
        <f>'Hours Roadworks'!E57*'Hours Roadworks'!$G$6+'Hours Structures'!E57*'Hours Structures'!$G$6+'Hours Electrical'!E57*'Hours Electrical'!$G$6+'Hours Building'!E57*'Hours Building'!$G$6+'Hours Mechanical'!E57*'Hours Mechanical'!$G$6+'Hours Electronic'!E57*'Hours Electronic'!$G$6+'Hours Other'!E57*'Hours Other'!$G$6+IF('Pricing Schedule'!$G$13="n",0,'Non Fee Hours'!E57)+IF('Pricing Schedule'!$G$16="n",0,'Non Fee Hours'!E157)+IF('Pricing Schedule'!$G$19="n",0,'Non Fee Hours'!E257)+IF('Pricing Schedule'!$G$240="n",0,'Non Fee Hours'!E357)+IF('Pricing Schedule'!$G$250="n",0,'Non Fee Hours'!E457)</f>
        <v>0</v>
      </c>
      <c r="F134" s="16" t="str">
        <f t="shared" si="19"/>
        <v/>
      </c>
      <c r="G134" s="6" t="str">
        <f t="shared" si="20"/>
        <v/>
      </c>
      <c r="H134" s="7"/>
    </row>
    <row r="135" spans="2:8">
      <c r="B135" s="118" t="str">
        <f>IF(DATA!A1057="","",DATA!A1057)</f>
        <v/>
      </c>
      <c r="C135" s="59" t="str">
        <f t="shared" si="18"/>
        <v/>
      </c>
      <c r="D135" s="5"/>
      <c r="E135" s="223">
        <f>'Hours Roadworks'!E58*'Hours Roadworks'!$G$6+'Hours Structures'!E58*'Hours Structures'!$G$6+'Hours Electrical'!E58*'Hours Electrical'!$G$6+'Hours Building'!E58*'Hours Building'!$G$6+'Hours Mechanical'!E58*'Hours Mechanical'!$G$6+'Hours Electronic'!E58*'Hours Electronic'!$G$6+'Hours Other'!E58*'Hours Other'!$G$6+IF('Pricing Schedule'!$G$13="n",0,'Non Fee Hours'!E58)+IF('Pricing Schedule'!$G$16="n",0,'Non Fee Hours'!E158)+IF('Pricing Schedule'!$G$19="n",0,'Non Fee Hours'!E258)+IF('Pricing Schedule'!$G$240="n",0,'Non Fee Hours'!E358)+IF('Pricing Schedule'!$G$250="n",0,'Non Fee Hours'!E458)</f>
        <v>0</v>
      </c>
      <c r="F135" s="16" t="str">
        <f t="shared" si="19"/>
        <v/>
      </c>
      <c r="G135" s="6" t="str">
        <f t="shared" si="20"/>
        <v/>
      </c>
      <c r="H135" s="7"/>
    </row>
    <row r="136" spans="2:8">
      <c r="B136" s="118" t="str">
        <f>IF(DATA!A1058="","",DATA!A1058)</f>
        <v/>
      </c>
      <c r="C136" s="59" t="str">
        <f t="shared" si="18"/>
        <v/>
      </c>
      <c r="D136" s="5"/>
      <c r="E136" s="223">
        <f>'Hours Roadworks'!E59*'Hours Roadworks'!$G$6+'Hours Structures'!E59*'Hours Structures'!$G$6+'Hours Electrical'!E59*'Hours Electrical'!$G$6+'Hours Building'!E59*'Hours Building'!$G$6+'Hours Mechanical'!E59*'Hours Mechanical'!$G$6+'Hours Electronic'!E59*'Hours Electronic'!$G$6+'Hours Other'!E59*'Hours Other'!$G$6+IF('Pricing Schedule'!$G$13="n",0,'Non Fee Hours'!E59)+IF('Pricing Schedule'!$G$16="n",0,'Non Fee Hours'!E159)+IF('Pricing Schedule'!$G$19="n",0,'Non Fee Hours'!E259)+IF('Pricing Schedule'!$G$240="n",0,'Non Fee Hours'!E359)+IF('Pricing Schedule'!$G$250="n",0,'Non Fee Hours'!E459)</f>
        <v>0</v>
      </c>
      <c r="F136" s="16" t="str">
        <f t="shared" si="19"/>
        <v/>
      </c>
      <c r="G136" s="6" t="str">
        <f t="shared" si="20"/>
        <v/>
      </c>
      <c r="H136" s="7"/>
    </row>
    <row r="137" spans="2:8">
      <c r="B137" s="118" t="str">
        <f>IF(DATA!A1059="","",DATA!A1059)</f>
        <v/>
      </c>
      <c r="C137" s="59" t="str">
        <f t="shared" si="18"/>
        <v/>
      </c>
      <c r="D137" s="5"/>
      <c r="E137" s="223">
        <f>'Hours Roadworks'!E60*'Hours Roadworks'!$G$6+'Hours Structures'!E60*'Hours Structures'!$G$6+'Hours Electrical'!E60*'Hours Electrical'!$G$6+'Hours Building'!E60*'Hours Building'!$G$6+'Hours Mechanical'!E60*'Hours Mechanical'!$G$6+'Hours Electronic'!E60*'Hours Electronic'!$G$6+'Hours Other'!E60*'Hours Other'!$G$6+IF('Pricing Schedule'!$G$13="n",0,'Non Fee Hours'!E60)+IF('Pricing Schedule'!$G$16="n",0,'Non Fee Hours'!E160)+IF('Pricing Schedule'!$G$19="n",0,'Non Fee Hours'!E260)+IF('Pricing Schedule'!$G$240="n",0,'Non Fee Hours'!E360)+IF('Pricing Schedule'!$G$250="n",0,'Non Fee Hours'!E460)</f>
        <v>0</v>
      </c>
      <c r="F137" s="16" t="str">
        <f t="shared" si="19"/>
        <v/>
      </c>
      <c r="G137" s="6" t="str">
        <f t="shared" si="20"/>
        <v/>
      </c>
      <c r="H137" s="7"/>
    </row>
    <row r="138" spans="2:8">
      <c r="B138" s="118" t="str">
        <f>IF(DATA!A1060="","",DATA!A1060)</f>
        <v/>
      </c>
      <c r="C138" s="59" t="str">
        <f t="shared" si="18"/>
        <v/>
      </c>
      <c r="D138" s="5"/>
      <c r="E138" s="223">
        <f>'Hours Roadworks'!E61*'Hours Roadworks'!$G$6+'Hours Structures'!E61*'Hours Structures'!$G$6+'Hours Electrical'!E61*'Hours Electrical'!$G$6+'Hours Building'!E61*'Hours Building'!$G$6+'Hours Mechanical'!E61*'Hours Mechanical'!$G$6+'Hours Electronic'!E61*'Hours Electronic'!$G$6+'Hours Other'!E61*'Hours Other'!$G$6+IF('Pricing Schedule'!$G$13="n",0,'Non Fee Hours'!E61)+IF('Pricing Schedule'!$G$16="n",0,'Non Fee Hours'!E161)+IF('Pricing Schedule'!$G$19="n",0,'Non Fee Hours'!E261)+IF('Pricing Schedule'!$G$240="n",0,'Non Fee Hours'!E361)+IF('Pricing Schedule'!$G$250="n",0,'Non Fee Hours'!E461)</f>
        <v>0</v>
      </c>
      <c r="F138" s="16" t="str">
        <f t="shared" si="19"/>
        <v/>
      </c>
      <c r="G138" s="6" t="str">
        <f t="shared" si="20"/>
        <v/>
      </c>
      <c r="H138" s="7"/>
    </row>
    <row r="139" spans="2:8" hidden="1">
      <c r="B139" s="118"/>
      <c r="C139" s="59"/>
      <c r="D139" s="5"/>
      <c r="E139" s="223">
        <f>'Hours Roadworks'!E62*'Hours Roadworks'!$G$6+'Hours Structures'!E62*'Hours Structures'!$G$6+'Hours Electrical'!E62*'Hours Electrical'!$G$6+'Hours Building'!E62*'Hours Building'!$G$6+'Hours Mechanical'!E62*'Hours Mechanical'!$G$6+'Hours Electronic'!E62*'Hours Electronic'!$G$6+'Hours Other'!E62*'Hours Other'!$G$6+IF('Pricing Schedule'!$G$13="n",0,'Non Fee Hours'!E62)+IF('Pricing Schedule'!$G$16="n",0,'Non Fee Hours'!E162)+IF('Pricing Schedule'!$G$19="n",0,'Non Fee Hours'!E262)+IF('Pricing Schedule'!$G$240="n",0,'Non Fee Hours'!E362)+IF('Pricing Schedule'!$G$250="n",0,'Non Fee Hours'!E462)</f>
        <v>0</v>
      </c>
      <c r="F139" s="16"/>
      <c r="G139" s="6"/>
      <c r="H139" s="7"/>
    </row>
    <row r="140" spans="2:8" hidden="1">
      <c r="B140" s="118"/>
      <c r="C140" s="59"/>
      <c r="D140" s="5"/>
      <c r="E140" s="223">
        <f>'Hours Roadworks'!E63*'Hours Roadworks'!$G$6+'Hours Structures'!E63*'Hours Structures'!$G$6+'Hours Electrical'!E63*'Hours Electrical'!$G$6+'Hours Building'!E63*'Hours Building'!$G$6+'Hours Mechanical'!E63*'Hours Mechanical'!$G$6+'Hours Electronic'!E63*'Hours Electronic'!$G$6+'Hours Other'!E63*'Hours Other'!$G$6+IF('Pricing Schedule'!$G$13="n",0,'Non Fee Hours'!E63)+IF('Pricing Schedule'!$G$16="n",0,'Non Fee Hours'!E163)+IF('Pricing Schedule'!$G$19="n",0,'Non Fee Hours'!E263)+IF('Pricing Schedule'!$G$240="n",0,'Non Fee Hours'!E363)+IF('Pricing Schedule'!$G$250="n",0,'Non Fee Hours'!E463)</f>
        <v>0</v>
      </c>
      <c r="F140" s="16"/>
      <c r="G140" s="6"/>
      <c r="H140" s="7"/>
    </row>
    <row r="141" spans="2:8" hidden="1">
      <c r="B141" s="118"/>
      <c r="C141" s="59"/>
      <c r="D141" s="5"/>
      <c r="E141" s="223">
        <f>'Hours Roadworks'!E64*'Hours Roadworks'!$G$6+'Hours Structures'!E64*'Hours Structures'!$G$6+'Hours Electrical'!E64*'Hours Electrical'!$G$6+'Hours Building'!E64*'Hours Building'!$G$6+'Hours Mechanical'!E64*'Hours Mechanical'!$G$6+'Hours Electronic'!E64*'Hours Electronic'!$G$6+'Hours Other'!E64*'Hours Other'!$G$6+IF('Pricing Schedule'!$G$13="n",0,'Non Fee Hours'!E64)+IF('Pricing Schedule'!$G$16="n",0,'Non Fee Hours'!E164)+IF('Pricing Schedule'!$G$19="n",0,'Non Fee Hours'!E264)+IF('Pricing Schedule'!$G$240="n",0,'Non Fee Hours'!E364)+IF('Pricing Schedule'!$G$250="n",0,'Non Fee Hours'!E464)</f>
        <v>0</v>
      </c>
      <c r="F141" s="16"/>
      <c r="G141" s="6"/>
      <c r="H141" s="7"/>
    </row>
    <row r="142" spans="2:8" hidden="1">
      <c r="B142" s="118"/>
      <c r="C142" s="59"/>
      <c r="D142" s="5"/>
      <c r="E142" s="223">
        <f>'Hours Roadworks'!E65*'Hours Roadworks'!$G$6+'Hours Structures'!E65*'Hours Structures'!$G$6+'Hours Electrical'!E65*'Hours Electrical'!$G$6+'Hours Building'!E65*'Hours Building'!$G$6+'Hours Mechanical'!E65*'Hours Mechanical'!$G$6+'Hours Electronic'!E65*'Hours Electronic'!$G$6+'Hours Other'!E65*'Hours Other'!$G$6+IF('Pricing Schedule'!$G$13="n",0,'Non Fee Hours'!E65)+IF('Pricing Schedule'!$G$16="n",0,'Non Fee Hours'!E165)+IF('Pricing Schedule'!$G$19="n",0,'Non Fee Hours'!E265)+IF('Pricing Schedule'!$G$240="n",0,'Non Fee Hours'!E365)+IF('Pricing Schedule'!$G$250="n",0,'Non Fee Hours'!E465)</f>
        <v>0</v>
      </c>
      <c r="F142" s="16"/>
      <c r="G142" s="6"/>
      <c r="H142" s="7"/>
    </row>
    <row r="143" spans="2:8" hidden="1">
      <c r="B143" s="118"/>
      <c r="C143" s="59"/>
      <c r="D143" s="5"/>
      <c r="E143" s="223">
        <f>'Hours Roadworks'!E66*'Hours Roadworks'!$G$6+'Hours Structures'!E66*'Hours Structures'!$G$6+'Hours Electrical'!E66*'Hours Electrical'!$G$6+'Hours Building'!E66*'Hours Building'!$G$6+'Hours Mechanical'!E66*'Hours Mechanical'!$G$6+'Hours Electronic'!E66*'Hours Electronic'!$G$6+'Hours Other'!E66*'Hours Other'!$G$6+IF('Pricing Schedule'!$G$13="n",0,'Non Fee Hours'!E66)+IF('Pricing Schedule'!$G$16="n",0,'Non Fee Hours'!E166)+IF('Pricing Schedule'!$G$19="n",0,'Non Fee Hours'!E266)+IF('Pricing Schedule'!$G$240="n",0,'Non Fee Hours'!E366)+IF('Pricing Schedule'!$G$250="n",0,'Non Fee Hours'!E466)</f>
        <v>0</v>
      </c>
      <c r="F143" s="16"/>
      <c r="G143" s="6"/>
      <c r="H143" s="7"/>
    </row>
    <row r="144" spans="2:8" hidden="1">
      <c r="B144" s="118"/>
      <c r="C144" s="59"/>
      <c r="D144" s="5"/>
      <c r="E144" s="223">
        <f>'Hours Roadworks'!E67*'Hours Roadworks'!$G$6+'Hours Structures'!E67*'Hours Structures'!$G$6+'Hours Electrical'!E67*'Hours Electrical'!$G$6+'Hours Building'!E67*'Hours Building'!$G$6+'Hours Mechanical'!E67*'Hours Mechanical'!$G$6+'Hours Electronic'!E67*'Hours Electronic'!$G$6+'Hours Other'!E67*'Hours Other'!$G$6+IF('Pricing Schedule'!$G$13="n",0,'Non Fee Hours'!E67)+IF('Pricing Schedule'!$G$16="n",0,'Non Fee Hours'!E167)+IF('Pricing Schedule'!$G$19="n",0,'Non Fee Hours'!E267)+IF('Pricing Schedule'!$G$240="n",0,'Non Fee Hours'!E367)+IF('Pricing Schedule'!$G$250="n",0,'Non Fee Hours'!E467)</f>
        <v>0</v>
      </c>
      <c r="F144" s="16"/>
      <c r="G144" s="6"/>
      <c r="H144" s="7"/>
    </row>
    <row r="145" spans="2:8" hidden="1">
      <c r="B145" s="118"/>
      <c r="C145" s="59"/>
      <c r="D145" s="5"/>
      <c r="E145" s="223">
        <f>'Hours Roadworks'!E68*'Hours Roadworks'!$G$6+'Hours Structures'!E68*'Hours Structures'!$G$6+'Hours Electrical'!E68*'Hours Electrical'!$G$6+'Hours Building'!E68*'Hours Building'!$G$6+'Hours Mechanical'!E68*'Hours Mechanical'!$G$6+'Hours Electronic'!E68*'Hours Electronic'!$G$6+'Hours Other'!E68*'Hours Other'!$G$6+IF('Pricing Schedule'!$G$13="n",0,'Non Fee Hours'!E68)+IF('Pricing Schedule'!$G$16="n",0,'Non Fee Hours'!E168)+IF('Pricing Schedule'!$G$19="n",0,'Non Fee Hours'!E268)+IF('Pricing Schedule'!$G$240="n",0,'Non Fee Hours'!E368)+IF('Pricing Schedule'!$G$250="n",0,'Non Fee Hours'!E468)</f>
        <v>0</v>
      </c>
      <c r="F145" s="16"/>
      <c r="G145" s="6"/>
      <c r="H145" s="7"/>
    </row>
    <row r="146" spans="2:8" hidden="1">
      <c r="B146" s="118"/>
      <c r="C146" s="59"/>
      <c r="D146" s="5"/>
      <c r="E146" s="223">
        <f>'Hours Roadworks'!E69*'Hours Roadworks'!$G$6+'Hours Structures'!E69*'Hours Structures'!$G$6+'Hours Electrical'!E69*'Hours Electrical'!$G$6+'Hours Building'!E69*'Hours Building'!$G$6+'Hours Mechanical'!E69*'Hours Mechanical'!$G$6+'Hours Electronic'!E69*'Hours Electronic'!$G$6+'Hours Other'!E69*'Hours Other'!$G$6+IF('Pricing Schedule'!$G$13="n",0,'Non Fee Hours'!E69)+IF('Pricing Schedule'!$G$16="n",0,'Non Fee Hours'!E169)+IF('Pricing Schedule'!$G$19="n",0,'Non Fee Hours'!E269)+IF('Pricing Schedule'!$G$240="n",0,'Non Fee Hours'!E369)+IF('Pricing Schedule'!$G$250="n",0,'Non Fee Hours'!E469)</f>
        <v>0</v>
      </c>
      <c r="F146" s="16"/>
      <c r="G146" s="6"/>
      <c r="H146" s="7"/>
    </row>
    <row r="147" spans="2:8" hidden="1">
      <c r="B147" s="118"/>
      <c r="C147" s="59"/>
      <c r="D147" s="5"/>
      <c r="E147" s="223">
        <f>'Hours Roadworks'!E70*'Hours Roadworks'!$G$6+'Hours Structures'!E70*'Hours Structures'!$G$6+'Hours Electrical'!E70*'Hours Electrical'!$G$6+'Hours Building'!E70*'Hours Building'!$G$6+'Hours Mechanical'!E70*'Hours Mechanical'!$G$6+'Hours Electronic'!E70*'Hours Electronic'!$G$6+'Hours Other'!E70*'Hours Other'!$G$6+IF('Pricing Schedule'!$G$13="n",0,'Non Fee Hours'!E70)+IF('Pricing Schedule'!$G$16="n",0,'Non Fee Hours'!E170)+IF('Pricing Schedule'!$G$19="n",0,'Non Fee Hours'!E270)+IF('Pricing Schedule'!$G$240="n",0,'Non Fee Hours'!E370)+IF('Pricing Schedule'!$G$250="n",0,'Non Fee Hours'!E470)</f>
        <v>0</v>
      </c>
      <c r="F147" s="16"/>
      <c r="G147" s="6"/>
      <c r="H147" s="7"/>
    </row>
    <row r="148" spans="2:8" hidden="1">
      <c r="B148" s="118"/>
      <c r="C148" s="59"/>
      <c r="D148" s="5"/>
      <c r="E148" s="223">
        <f>'Hours Roadworks'!E71*'Hours Roadworks'!$G$6+'Hours Structures'!E71*'Hours Structures'!$G$6+'Hours Electrical'!E71*'Hours Electrical'!$G$6+'Hours Building'!E71*'Hours Building'!$G$6+'Hours Mechanical'!E71*'Hours Mechanical'!$G$6+'Hours Electronic'!E71*'Hours Electronic'!$G$6+'Hours Other'!E71*'Hours Other'!$G$6+IF('Pricing Schedule'!$G$13="n",0,'Non Fee Hours'!E71)+IF('Pricing Schedule'!$G$16="n",0,'Non Fee Hours'!E171)+IF('Pricing Schedule'!$G$19="n",0,'Non Fee Hours'!E271)+IF('Pricing Schedule'!$G$240="n",0,'Non Fee Hours'!E371)+IF('Pricing Schedule'!$G$250="n",0,'Non Fee Hours'!E471)</f>
        <v>0</v>
      </c>
      <c r="F148" s="16"/>
      <c r="G148" s="6"/>
      <c r="H148" s="7"/>
    </row>
    <row r="149" spans="2:8" ht="15.75" thickBot="1">
      <c r="B149" s="119" t="str">
        <f>$B$30</f>
        <v>OTHER</v>
      </c>
      <c r="C149" s="63" t="str">
        <f>$C$30</f>
        <v>Various non-key personnel</v>
      </c>
      <c r="D149" s="5"/>
      <c r="E149" s="223">
        <f>'Hours Roadworks'!E72*'Hours Roadworks'!$G$6+'Hours Structures'!E72*'Hours Structures'!$G$6+'Hours Electrical'!E72*'Hours Electrical'!$G$6+'Hours Building'!E72*'Hours Building'!$G$6+'Hours Mechanical'!E72*'Hours Mechanical'!$G$6+'Hours Electronic'!E72*'Hours Electronic'!$G$6+'Hours Other'!E72*'Hours Other'!$G$6+IF('Pricing Schedule'!$G$13="n",0,'Non Fee Hours'!E72)+IF('Pricing Schedule'!$G$16="n",0,'Non Fee Hours'!E172)+IF('Pricing Schedule'!$G$19="n",0,'Non Fee Hours'!E272)+IF('Pricing Schedule'!$G$240="n",0,'Non Fee Hours'!E372)+IF('Pricing Schedule'!$G$250="n",0,'Non Fee Hours'!E472)</f>
        <v>0</v>
      </c>
      <c r="F149" s="16">
        <f>IF(B149="","",$F$128)</f>
        <v>2403</v>
      </c>
      <c r="G149" s="6">
        <f t="shared" si="17"/>
        <v>0</v>
      </c>
      <c r="H149" s="7"/>
    </row>
    <row r="150" spans="2:8">
      <c r="B150" s="19" t="s">
        <v>12</v>
      </c>
      <c r="C150" s="20"/>
      <c r="D150" s="21" t="s">
        <v>8</v>
      </c>
      <c r="E150" s="21">
        <f>SUM(E151:E171)</f>
        <v>0</v>
      </c>
      <c r="F150" s="22">
        <f>DATA!$B$10</f>
        <v>1167</v>
      </c>
      <c r="G150" s="23"/>
      <c r="H150" s="24">
        <f>E150*F150</f>
        <v>0</v>
      </c>
    </row>
    <row r="151" spans="2:8">
      <c r="B151" s="118" t="str">
        <f>IF(DATA!A1051="","",DATA!A1051)</f>
        <v>PL</v>
      </c>
      <c r="C151" s="59" t="str">
        <f>IF(B10="","",C10)</f>
        <v/>
      </c>
      <c r="D151" s="5"/>
      <c r="E151" s="223">
        <f>'Hours Roadworks'!E74*'Hours Roadworks'!$G$6+'Hours Structures'!E74*'Hours Structures'!$G$6+'Hours Electrical'!E74*'Hours Electrical'!$G$6+'Hours Building'!E74*'Hours Building'!$G$6+'Hours Mechanical'!E74*'Hours Mechanical'!$G$6+'Hours Electronic'!E74*'Hours Electronic'!$G$6+'Hours Other'!E74*'Hours Other'!$G$6+IF('Pricing Schedule'!$G$13="n",0,'Non Fee Hours'!E74)+IF('Pricing Schedule'!$G$16="n",0,'Non Fee Hours'!E174)+IF('Pricing Schedule'!$G$19="n",0,'Non Fee Hours'!E274)+IF('Pricing Schedule'!$G$240="n",0,'Non Fee Hours'!E374)+IF('Pricing Schedule'!$G$250="n",0,'Non Fee Hours'!E474)</f>
        <v>0</v>
      </c>
      <c r="F151" s="16">
        <f>IF(B151="","",$F$150)</f>
        <v>1167</v>
      </c>
      <c r="G151" s="6">
        <f>IF(B151="","",(F151*E151))</f>
        <v>0</v>
      </c>
      <c r="H151" s="7"/>
    </row>
    <row r="152" spans="2:8">
      <c r="B152" s="118" t="str">
        <f>IF(DATA!A1052="","",DATA!A1052)</f>
        <v>DS1</v>
      </c>
      <c r="C152" s="59" t="str">
        <f>IF(B11="","",C11)</f>
        <v/>
      </c>
      <c r="D152" s="5"/>
      <c r="E152" s="223">
        <f>'Hours Roadworks'!E75*'Hours Roadworks'!$G$6+'Hours Structures'!E75*'Hours Structures'!$G$6+'Hours Electrical'!E75*'Hours Electrical'!$G$6+'Hours Building'!E75*'Hours Building'!$G$6+'Hours Mechanical'!E75*'Hours Mechanical'!$G$6+'Hours Electronic'!E75*'Hours Electronic'!$G$6+'Hours Other'!E75*'Hours Other'!$G$6+IF('Pricing Schedule'!$G$13="n",0,'Non Fee Hours'!E75)+IF('Pricing Schedule'!$G$16="n",0,'Non Fee Hours'!E175)+IF('Pricing Schedule'!$G$19="n",0,'Non Fee Hours'!E275)+IF('Pricing Schedule'!$G$240="n",0,'Non Fee Hours'!E375)+IF('Pricing Schedule'!$G$250="n",0,'Non Fee Hours'!E475)</f>
        <v>0</v>
      </c>
      <c r="F152" s="16">
        <f>IF(B152="","",$F$150)</f>
        <v>1167</v>
      </c>
      <c r="G152" s="6">
        <f t="shared" ref="G152:G171" si="21">IF(B152="","",(F152*E152))</f>
        <v>0</v>
      </c>
      <c r="H152" s="7"/>
    </row>
    <row r="153" spans="2:8">
      <c r="B153" s="118" t="str">
        <f>IF(DATA!A1053="","",DATA!A1053)</f>
        <v>DS3</v>
      </c>
      <c r="C153" s="59" t="str">
        <f t="shared" ref="C153:C160" si="22">IF(B12="","",C12)</f>
        <v/>
      </c>
      <c r="D153" s="5"/>
      <c r="E153" s="223">
        <f>'Hours Roadworks'!E76*'Hours Roadworks'!$G$6+'Hours Structures'!E76*'Hours Structures'!$G$6+'Hours Electrical'!E76*'Hours Electrical'!$G$6+'Hours Building'!E76*'Hours Building'!$G$6+'Hours Mechanical'!E76*'Hours Mechanical'!$G$6+'Hours Electronic'!E76*'Hours Electronic'!$G$6+'Hours Other'!E76*'Hours Other'!$G$6+IF('Pricing Schedule'!$G$13="n",0,'Non Fee Hours'!E76)+IF('Pricing Schedule'!$G$16="n",0,'Non Fee Hours'!E176)+IF('Pricing Schedule'!$G$19="n",0,'Non Fee Hours'!E276)+IF('Pricing Schedule'!$G$240="n",0,'Non Fee Hours'!E376)+IF('Pricing Schedule'!$G$250="n",0,'Non Fee Hours'!E476)</f>
        <v>0</v>
      </c>
      <c r="F153" s="16">
        <f t="shared" ref="F153:F160" si="23">IF(B153="","",$F$150)</f>
        <v>1167</v>
      </c>
      <c r="G153" s="6">
        <f t="shared" si="21"/>
        <v>0</v>
      </c>
      <c r="H153" s="7"/>
    </row>
    <row r="154" spans="2:8">
      <c r="B154" s="118" t="str">
        <f>IF(DATA!A1054="","",DATA!A1054)</f>
        <v/>
      </c>
      <c r="C154" s="59" t="str">
        <f t="shared" si="22"/>
        <v/>
      </c>
      <c r="D154" s="5"/>
      <c r="E154" s="223">
        <f>'Hours Roadworks'!E77*'Hours Roadworks'!$G$6+'Hours Structures'!E77*'Hours Structures'!$G$6+'Hours Electrical'!E77*'Hours Electrical'!$G$6+'Hours Building'!E77*'Hours Building'!$G$6+'Hours Mechanical'!E77*'Hours Mechanical'!$G$6+'Hours Electronic'!E77*'Hours Electronic'!$G$6+'Hours Other'!E77*'Hours Other'!$G$6+IF('Pricing Schedule'!$G$13="n",0,'Non Fee Hours'!E77)+IF('Pricing Schedule'!$G$16="n",0,'Non Fee Hours'!E177)+IF('Pricing Schedule'!$G$19="n",0,'Non Fee Hours'!E277)+IF('Pricing Schedule'!$G$240="n",0,'Non Fee Hours'!E377)+IF('Pricing Schedule'!$G$250="n",0,'Non Fee Hours'!E477)</f>
        <v>0</v>
      </c>
      <c r="F154" s="16" t="str">
        <f t="shared" si="23"/>
        <v/>
      </c>
      <c r="G154" s="6" t="str">
        <f t="shared" ref="G154:G160" si="24">IF(B154="","",(F154*E154))</f>
        <v/>
      </c>
      <c r="H154" s="7"/>
    </row>
    <row r="155" spans="2:8">
      <c r="B155" s="118" t="str">
        <f>IF(DATA!A1055="","",DATA!A1055)</f>
        <v/>
      </c>
      <c r="C155" s="59" t="str">
        <f t="shared" si="22"/>
        <v/>
      </c>
      <c r="D155" s="5"/>
      <c r="E155" s="223">
        <f>'Hours Roadworks'!E78*'Hours Roadworks'!$G$6+'Hours Structures'!E78*'Hours Structures'!$G$6+'Hours Electrical'!E78*'Hours Electrical'!$G$6+'Hours Building'!E78*'Hours Building'!$G$6+'Hours Mechanical'!E78*'Hours Mechanical'!$G$6+'Hours Electronic'!E78*'Hours Electronic'!$G$6+'Hours Other'!E78*'Hours Other'!$G$6+IF('Pricing Schedule'!$G$13="n",0,'Non Fee Hours'!E78)+IF('Pricing Schedule'!$G$16="n",0,'Non Fee Hours'!E178)+IF('Pricing Schedule'!$G$19="n",0,'Non Fee Hours'!E278)+IF('Pricing Schedule'!$G$240="n",0,'Non Fee Hours'!E378)+IF('Pricing Schedule'!$G$250="n",0,'Non Fee Hours'!E478)</f>
        <v>0</v>
      </c>
      <c r="F155" s="16" t="str">
        <f t="shared" si="23"/>
        <v/>
      </c>
      <c r="G155" s="6" t="str">
        <f t="shared" si="24"/>
        <v/>
      </c>
      <c r="H155" s="7"/>
    </row>
    <row r="156" spans="2:8">
      <c r="B156" s="118" t="str">
        <f>IF(DATA!A1056="","",DATA!A1056)</f>
        <v/>
      </c>
      <c r="C156" s="59" t="str">
        <f t="shared" si="22"/>
        <v/>
      </c>
      <c r="D156" s="5"/>
      <c r="E156" s="223">
        <f>'Hours Roadworks'!E79*'Hours Roadworks'!$G$6+'Hours Structures'!E79*'Hours Structures'!$G$6+'Hours Electrical'!E79*'Hours Electrical'!$G$6+'Hours Building'!E79*'Hours Building'!$G$6+'Hours Mechanical'!E79*'Hours Mechanical'!$G$6+'Hours Electronic'!E79*'Hours Electronic'!$G$6+'Hours Other'!E79*'Hours Other'!$G$6+IF('Pricing Schedule'!$G$13="n",0,'Non Fee Hours'!E79)+IF('Pricing Schedule'!$G$16="n",0,'Non Fee Hours'!E179)+IF('Pricing Schedule'!$G$19="n",0,'Non Fee Hours'!E279)+IF('Pricing Schedule'!$G$240="n",0,'Non Fee Hours'!E379)+IF('Pricing Schedule'!$G$250="n",0,'Non Fee Hours'!E479)</f>
        <v>0</v>
      </c>
      <c r="F156" s="16" t="str">
        <f t="shared" si="23"/>
        <v/>
      </c>
      <c r="G156" s="6" t="str">
        <f t="shared" si="24"/>
        <v/>
      </c>
      <c r="H156" s="7"/>
    </row>
    <row r="157" spans="2:8">
      <c r="B157" s="118" t="str">
        <f>IF(DATA!A1057="","",DATA!A1057)</f>
        <v/>
      </c>
      <c r="C157" s="59" t="str">
        <f t="shared" si="22"/>
        <v/>
      </c>
      <c r="D157" s="5"/>
      <c r="E157" s="223">
        <f>'Hours Roadworks'!E80*'Hours Roadworks'!$G$6+'Hours Structures'!E80*'Hours Structures'!$G$6+'Hours Electrical'!E80*'Hours Electrical'!$G$6+'Hours Building'!E80*'Hours Building'!$G$6+'Hours Mechanical'!E80*'Hours Mechanical'!$G$6+'Hours Electronic'!E80*'Hours Electronic'!$G$6+'Hours Other'!E80*'Hours Other'!$G$6+IF('Pricing Schedule'!$G$13="n",0,'Non Fee Hours'!E80)+IF('Pricing Schedule'!$G$16="n",0,'Non Fee Hours'!E180)+IF('Pricing Schedule'!$G$19="n",0,'Non Fee Hours'!E280)+IF('Pricing Schedule'!$G$240="n",0,'Non Fee Hours'!E380)+IF('Pricing Schedule'!$G$250="n",0,'Non Fee Hours'!E480)</f>
        <v>0</v>
      </c>
      <c r="F157" s="16" t="str">
        <f t="shared" si="23"/>
        <v/>
      </c>
      <c r="G157" s="6" t="str">
        <f t="shared" si="24"/>
        <v/>
      </c>
      <c r="H157" s="7"/>
    </row>
    <row r="158" spans="2:8">
      <c r="B158" s="118" t="str">
        <f>IF(DATA!A1058="","",DATA!A1058)</f>
        <v/>
      </c>
      <c r="C158" s="59" t="str">
        <f t="shared" si="22"/>
        <v/>
      </c>
      <c r="D158" s="5"/>
      <c r="E158" s="223">
        <f>'Hours Roadworks'!E81*'Hours Roadworks'!$G$6+'Hours Structures'!E81*'Hours Structures'!$G$6+'Hours Electrical'!E81*'Hours Electrical'!$G$6+'Hours Building'!E81*'Hours Building'!$G$6+'Hours Mechanical'!E81*'Hours Mechanical'!$G$6+'Hours Electronic'!E81*'Hours Electronic'!$G$6+'Hours Other'!E81*'Hours Other'!$G$6+IF('Pricing Schedule'!$G$13="n",0,'Non Fee Hours'!E81)+IF('Pricing Schedule'!$G$16="n",0,'Non Fee Hours'!E181)+IF('Pricing Schedule'!$G$19="n",0,'Non Fee Hours'!E281)+IF('Pricing Schedule'!$G$240="n",0,'Non Fee Hours'!E381)+IF('Pricing Schedule'!$G$250="n",0,'Non Fee Hours'!E481)</f>
        <v>0</v>
      </c>
      <c r="F158" s="16" t="str">
        <f t="shared" si="23"/>
        <v/>
      </c>
      <c r="G158" s="6" t="str">
        <f t="shared" si="24"/>
        <v/>
      </c>
      <c r="H158" s="7"/>
    </row>
    <row r="159" spans="2:8">
      <c r="B159" s="118" t="str">
        <f>IF(DATA!A1059="","",DATA!A1059)</f>
        <v/>
      </c>
      <c r="C159" s="59" t="str">
        <f t="shared" si="22"/>
        <v/>
      </c>
      <c r="D159" s="5"/>
      <c r="E159" s="223">
        <f>'Hours Roadworks'!E82*'Hours Roadworks'!$G$6+'Hours Structures'!E82*'Hours Structures'!$G$6+'Hours Electrical'!E82*'Hours Electrical'!$G$6+'Hours Building'!E82*'Hours Building'!$G$6+'Hours Mechanical'!E82*'Hours Mechanical'!$G$6+'Hours Electronic'!E82*'Hours Electronic'!$G$6+'Hours Other'!E82*'Hours Other'!$G$6+IF('Pricing Schedule'!$G$13="n",0,'Non Fee Hours'!E82)+IF('Pricing Schedule'!$G$16="n",0,'Non Fee Hours'!E182)+IF('Pricing Schedule'!$G$19="n",0,'Non Fee Hours'!E282)+IF('Pricing Schedule'!$G$240="n",0,'Non Fee Hours'!E382)+IF('Pricing Schedule'!$G$250="n",0,'Non Fee Hours'!E482)</f>
        <v>0</v>
      </c>
      <c r="F159" s="16" t="str">
        <f t="shared" si="23"/>
        <v/>
      </c>
      <c r="G159" s="6" t="str">
        <f t="shared" si="24"/>
        <v/>
      </c>
      <c r="H159" s="7"/>
    </row>
    <row r="160" spans="2:8">
      <c r="B160" s="118" t="str">
        <f>IF(DATA!A1060="","",DATA!A1060)</f>
        <v/>
      </c>
      <c r="C160" s="59" t="str">
        <f t="shared" si="22"/>
        <v/>
      </c>
      <c r="D160" s="5"/>
      <c r="E160" s="223">
        <f>'Hours Roadworks'!E83*'Hours Roadworks'!$G$6+'Hours Structures'!E83*'Hours Structures'!$G$6+'Hours Electrical'!E83*'Hours Electrical'!$G$6+'Hours Building'!E83*'Hours Building'!$G$6+'Hours Mechanical'!E83*'Hours Mechanical'!$G$6+'Hours Electronic'!E83*'Hours Electronic'!$G$6+'Hours Other'!E83*'Hours Other'!$G$6+IF('Pricing Schedule'!$G$13="n",0,'Non Fee Hours'!E83)+IF('Pricing Schedule'!$G$16="n",0,'Non Fee Hours'!E183)+IF('Pricing Schedule'!$G$19="n",0,'Non Fee Hours'!E283)+IF('Pricing Schedule'!$G$240="n",0,'Non Fee Hours'!E383)+IF('Pricing Schedule'!$G$250="n",0,'Non Fee Hours'!E483)</f>
        <v>0</v>
      </c>
      <c r="F160" s="16" t="str">
        <f t="shared" si="23"/>
        <v/>
      </c>
      <c r="G160" s="6" t="str">
        <f t="shared" si="24"/>
        <v/>
      </c>
      <c r="H160" s="7"/>
    </row>
    <row r="161" spans="2:8" hidden="1">
      <c r="B161" s="118"/>
      <c r="C161" s="59"/>
      <c r="D161" s="5"/>
      <c r="E161" s="223">
        <f>'Hours Roadworks'!E84*'Hours Roadworks'!$G$6+'Hours Structures'!E84*'Hours Structures'!$G$6+'Hours Electrical'!E84*'Hours Electrical'!$G$6+'Hours Building'!E84*'Hours Building'!$G$6+'Hours Mechanical'!E84*'Hours Mechanical'!$G$6+'Hours Electronic'!E84*'Hours Electronic'!$G$6+'Hours Other'!E84*'Hours Other'!$G$6+IF('Pricing Schedule'!$G$13="n",0,'Non Fee Hours'!E84)+IF('Pricing Schedule'!$G$16="n",0,'Non Fee Hours'!E184)+IF('Pricing Schedule'!$G$19="n",0,'Non Fee Hours'!E284)+IF('Pricing Schedule'!$G$240="n",0,'Non Fee Hours'!E384)+IF('Pricing Schedule'!$G$250="n",0,'Non Fee Hours'!E484)</f>
        <v>0</v>
      </c>
      <c r="F161" s="16"/>
      <c r="G161" s="6"/>
      <c r="H161" s="7"/>
    </row>
    <row r="162" spans="2:8" hidden="1">
      <c r="B162" s="118"/>
      <c r="C162" s="59"/>
      <c r="D162" s="5"/>
      <c r="E162" s="223">
        <f>'Hours Roadworks'!E85*'Hours Roadworks'!$G$6+'Hours Structures'!E85*'Hours Structures'!$G$6+'Hours Electrical'!E85*'Hours Electrical'!$G$6+'Hours Building'!E85*'Hours Building'!$G$6+'Hours Mechanical'!E85*'Hours Mechanical'!$G$6+'Hours Electronic'!E85*'Hours Electronic'!$G$6+'Hours Other'!E85*'Hours Other'!$G$6+IF('Pricing Schedule'!$G$13="n",0,'Non Fee Hours'!E85)+IF('Pricing Schedule'!$G$16="n",0,'Non Fee Hours'!E185)+IF('Pricing Schedule'!$G$19="n",0,'Non Fee Hours'!E285)+IF('Pricing Schedule'!$G$240="n",0,'Non Fee Hours'!E385)+IF('Pricing Schedule'!$G$250="n",0,'Non Fee Hours'!E485)</f>
        <v>0</v>
      </c>
      <c r="F162" s="16"/>
      <c r="G162" s="6"/>
      <c r="H162" s="7"/>
    </row>
    <row r="163" spans="2:8" hidden="1">
      <c r="B163" s="118"/>
      <c r="C163" s="59"/>
      <c r="D163" s="5"/>
      <c r="E163" s="223">
        <f>'Hours Roadworks'!E86*'Hours Roadworks'!$G$6+'Hours Structures'!E86*'Hours Structures'!$G$6+'Hours Electrical'!E86*'Hours Electrical'!$G$6+'Hours Building'!E86*'Hours Building'!$G$6+'Hours Mechanical'!E86*'Hours Mechanical'!$G$6+'Hours Electronic'!E86*'Hours Electronic'!$G$6+'Hours Other'!E86*'Hours Other'!$G$6+IF('Pricing Schedule'!$G$13="n",0,'Non Fee Hours'!E86)+IF('Pricing Schedule'!$G$16="n",0,'Non Fee Hours'!E186)+IF('Pricing Schedule'!$G$19="n",0,'Non Fee Hours'!E286)+IF('Pricing Schedule'!$G$240="n",0,'Non Fee Hours'!E386)+IF('Pricing Schedule'!$G$250="n",0,'Non Fee Hours'!E486)</f>
        <v>0</v>
      </c>
      <c r="F163" s="16"/>
      <c r="G163" s="6"/>
      <c r="H163" s="7"/>
    </row>
    <row r="164" spans="2:8" hidden="1">
      <c r="B164" s="118"/>
      <c r="C164" s="59"/>
      <c r="D164" s="5"/>
      <c r="E164" s="223">
        <f>'Hours Roadworks'!E87*'Hours Roadworks'!$G$6+'Hours Structures'!E87*'Hours Structures'!$G$6+'Hours Electrical'!E87*'Hours Electrical'!$G$6+'Hours Building'!E87*'Hours Building'!$G$6+'Hours Mechanical'!E87*'Hours Mechanical'!$G$6+'Hours Electronic'!E87*'Hours Electronic'!$G$6+'Hours Other'!E87*'Hours Other'!$G$6+IF('Pricing Schedule'!$G$13="n",0,'Non Fee Hours'!E87)+IF('Pricing Schedule'!$G$16="n",0,'Non Fee Hours'!E187)+IF('Pricing Schedule'!$G$19="n",0,'Non Fee Hours'!E287)+IF('Pricing Schedule'!$G$240="n",0,'Non Fee Hours'!E387)+IF('Pricing Schedule'!$G$250="n",0,'Non Fee Hours'!E487)</f>
        <v>0</v>
      </c>
      <c r="F164" s="16"/>
      <c r="G164" s="6"/>
      <c r="H164" s="7"/>
    </row>
    <row r="165" spans="2:8" hidden="1">
      <c r="B165" s="118"/>
      <c r="C165" s="59"/>
      <c r="D165" s="5"/>
      <c r="E165" s="223">
        <f>'Hours Roadworks'!E88*'Hours Roadworks'!$G$6+'Hours Structures'!E88*'Hours Structures'!$G$6+'Hours Electrical'!E88*'Hours Electrical'!$G$6+'Hours Building'!E88*'Hours Building'!$G$6+'Hours Mechanical'!E88*'Hours Mechanical'!$G$6+'Hours Electronic'!E88*'Hours Electronic'!$G$6+'Hours Other'!E88*'Hours Other'!$G$6+IF('Pricing Schedule'!$G$13="n",0,'Non Fee Hours'!E88)+IF('Pricing Schedule'!$G$16="n",0,'Non Fee Hours'!E188)+IF('Pricing Schedule'!$G$19="n",0,'Non Fee Hours'!E288)+IF('Pricing Schedule'!$G$240="n",0,'Non Fee Hours'!E388)+IF('Pricing Schedule'!$G$250="n",0,'Non Fee Hours'!E488)</f>
        <v>0</v>
      </c>
      <c r="F165" s="16"/>
      <c r="G165" s="6"/>
      <c r="H165" s="7"/>
    </row>
    <row r="166" spans="2:8" hidden="1">
      <c r="B166" s="118"/>
      <c r="C166" s="59"/>
      <c r="D166" s="5"/>
      <c r="E166" s="223">
        <f>'Hours Roadworks'!E89*'Hours Roadworks'!$G$6+'Hours Structures'!E89*'Hours Structures'!$G$6+'Hours Electrical'!E89*'Hours Electrical'!$G$6+'Hours Building'!E89*'Hours Building'!$G$6+'Hours Mechanical'!E89*'Hours Mechanical'!$G$6+'Hours Electronic'!E89*'Hours Electronic'!$G$6+'Hours Other'!E89*'Hours Other'!$G$6+IF('Pricing Schedule'!$G$13="n",0,'Non Fee Hours'!E89)+IF('Pricing Schedule'!$G$16="n",0,'Non Fee Hours'!E189)+IF('Pricing Schedule'!$G$19="n",0,'Non Fee Hours'!E289)+IF('Pricing Schedule'!$G$240="n",0,'Non Fee Hours'!E389)+IF('Pricing Schedule'!$G$250="n",0,'Non Fee Hours'!E489)</f>
        <v>0</v>
      </c>
      <c r="F166" s="16"/>
      <c r="G166" s="6"/>
      <c r="H166" s="7"/>
    </row>
    <row r="167" spans="2:8" hidden="1">
      <c r="B167" s="118"/>
      <c r="C167" s="59"/>
      <c r="D167" s="5"/>
      <c r="E167" s="223">
        <f>'Hours Roadworks'!E90*'Hours Roadworks'!$G$6+'Hours Structures'!E90*'Hours Structures'!$G$6+'Hours Electrical'!E90*'Hours Electrical'!$G$6+'Hours Building'!E90*'Hours Building'!$G$6+'Hours Mechanical'!E90*'Hours Mechanical'!$G$6+'Hours Electronic'!E90*'Hours Electronic'!$G$6+'Hours Other'!E90*'Hours Other'!$G$6+IF('Pricing Schedule'!$G$13="n",0,'Non Fee Hours'!E90)+IF('Pricing Schedule'!$G$16="n",0,'Non Fee Hours'!E190)+IF('Pricing Schedule'!$G$19="n",0,'Non Fee Hours'!E290)+IF('Pricing Schedule'!$G$240="n",0,'Non Fee Hours'!E390)+IF('Pricing Schedule'!$G$250="n",0,'Non Fee Hours'!E490)</f>
        <v>0</v>
      </c>
      <c r="F167" s="16"/>
      <c r="G167" s="6"/>
      <c r="H167" s="7"/>
    </row>
    <row r="168" spans="2:8" hidden="1">
      <c r="B168" s="118"/>
      <c r="C168" s="59"/>
      <c r="D168" s="5"/>
      <c r="E168" s="223">
        <f>'Hours Roadworks'!E91*'Hours Roadworks'!$G$6+'Hours Structures'!E91*'Hours Structures'!$G$6+'Hours Electrical'!E91*'Hours Electrical'!$G$6+'Hours Building'!E91*'Hours Building'!$G$6+'Hours Mechanical'!E91*'Hours Mechanical'!$G$6+'Hours Electronic'!E91*'Hours Electronic'!$G$6+'Hours Other'!E91*'Hours Other'!$G$6+IF('Pricing Schedule'!$G$13="n",0,'Non Fee Hours'!E91)+IF('Pricing Schedule'!$G$16="n",0,'Non Fee Hours'!E191)+IF('Pricing Schedule'!$G$19="n",0,'Non Fee Hours'!E291)+IF('Pricing Schedule'!$G$240="n",0,'Non Fee Hours'!E391)+IF('Pricing Schedule'!$G$250="n",0,'Non Fee Hours'!E491)</f>
        <v>0</v>
      </c>
      <c r="F168" s="16"/>
      <c r="G168" s="6"/>
      <c r="H168" s="7"/>
    </row>
    <row r="169" spans="2:8" hidden="1">
      <c r="B169" s="118"/>
      <c r="C169" s="59"/>
      <c r="D169" s="5"/>
      <c r="E169" s="223">
        <f>'Hours Roadworks'!E92*'Hours Roadworks'!$G$6+'Hours Structures'!E92*'Hours Structures'!$G$6+'Hours Electrical'!E92*'Hours Electrical'!$G$6+'Hours Building'!E92*'Hours Building'!$G$6+'Hours Mechanical'!E92*'Hours Mechanical'!$G$6+'Hours Electronic'!E92*'Hours Electronic'!$G$6+'Hours Other'!E92*'Hours Other'!$G$6+IF('Pricing Schedule'!$G$13="n",0,'Non Fee Hours'!E92)+IF('Pricing Schedule'!$G$16="n",0,'Non Fee Hours'!E192)+IF('Pricing Schedule'!$G$19="n",0,'Non Fee Hours'!E292)+IF('Pricing Schedule'!$G$240="n",0,'Non Fee Hours'!E392)+IF('Pricing Schedule'!$G$250="n",0,'Non Fee Hours'!E492)</f>
        <v>0</v>
      </c>
      <c r="F169" s="16"/>
      <c r="G169" s="6"/>
      <c r="H169" s="7"/>
    </row>
    <row r="170" spans="2:8" hidden="1">
      <c r="B170" s="118"/>
      <c r="C170" s="59"/>
      <c r="D170" s="5"/>
      <c r="E170" s="223">
        <f>'Hours Roadworks'!E93*'Hours Roadworks'!$G$6+'Hours Structures'!E93*'Hours Structures'!$G$6+'Hours Electrical'!E93*'Hours Electrical'!$G$6+'Hours Building'!E93*'Hours Building'!$G$6+'Hours Mechanical'!E93*'Hours Mechanical'!$G$6+'Hours Electronic'!E93*'Hours Electronic'!$G$6+'Hours Other'!E93*'Hours Other'!$G$6+IF('Pricing Schedule'!$G$13="n",0,'Non Fee Hours'!E93)+IF('Pricing Schedule'!$G$16="n",0,'Non Fee Hours'!E193)+IF('Pricing Schedule'!$G$19="n",0,'Non Fee Hours'!E293)+IF('Pricing Schedule'!$G$240="n",0,'Non Fee Hours'!E393)+IF('Pricing Schedule'!$G$250="n",0,'Non Fee Hours'!E493)</f>
        <v>0</v>
      </c>
      <c r="F170" s="16"/>
      <c r="G170" s="6"/>
      <c r="H170" s="7"/>
    </row>
    <row r="171" spans="2:8" ht="15.75" thickBot="1">
      <c r="B171" s="119" t="str">
        <f>$B$30</f>
        <v>OTHER</v>
      </c>
      <c r="C171" s="63" t="str">
        <f>$C$30</f>
        <v>Various non-key personnel</v>
      </c>
      <c r="D171" s="8"/>
      <c r="E171" s="224">
        <f>'Hours Roadworks'!E94*'Hours Roadworks'!$G$6+'Hours Structures'!E94*'Hours Structures'!$G$6+'Hours Electrical'!E94*'Hours Electrical'!$G$6+'Hours Building'!E94*'Hours Building'!$G$6+'Hours Mechanical'!E94*'Hours Mechanical'!$G$6+'Hours Electronic'!E94*'Hours Electronic'!$G$6+'Hours Other'!E94*'Hours Other'!$G$6+IF('Pricing Schedule'!$G$13="n",0,'Non Fee Hours'!E94)+IF('Pricing Schedule'!$G$16="n",0,'Non Fee Hours'!E194)+IF('Pricing Schedule'!$G$19="n",0,'Non Fee Hours'!E294)+IF('Pricing Schedule'!$G$240="n",0,'Non Fee Hours'!E394)+IF('Pricing Schedule'!$G$250="n",0,'Non Fee Hours'!E494)</f>
        <v>0</v>
      </c>
      <c r="F171" s="17">
        <f>IF(B171="","",$F$150)</f>
        <v>1167</v>
      </c>
      <c r="G171" s="9">
        <f t="shared" si="21"/>
        <v>0</v>
      </c>
      <c r="H171" s="10"/>
    </row>
  </sheetData>
  <sheetProtection algorithmName="SHA-512" hashValue="jdjteac/rAKLcGwA29RhjOAlCkGvm2Acg9OzT/NOTBd8fcisWkA65GpKGqkSX/sWjEkIBH9fy09CsbdynZsPag==" saltValue="YcuXbgZ20Eox/6O0mHc+Hg==" spinCount="100000" sheet="1" objects="1" scenarios="1"/>
  <mergeCells count="21">
    <mergeCell ref="B3:H3"/>
    <mergeCell ref="B58:F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71:D71"/>
    <mergeCell ref="C72:D72"/>
    <mergeCell ref="C73:D73"/>
    <mergeCell ref="C70:D70"/>
    <mergeCell ref="C69:F69"/>
    <mergeCell ref="C74:D74"/>
    <mergeCell ref="C75:D75"/>
    <mergeCell ref="C76:D76"/>
    <mergeCell ref="C77:D77"/>
    <mergeCell ref="C78:D78"/>
  </mergeCells>
  <conditionalFormatting sqref="B10:B30 B36:B56 B85:B105 B107:B127 B129:B149 B151:B171">
    <cfRule type="containsBlanks" dxfId="3106" priority="1734">
      <formula>LEN(TRIM(B10))=0</formula>
    </cfRule>
  </conditionalFormatting>
  <conditionalFormatting sqref="C85 C87 C89 C91 C93 C95 C97 C99 C101 C103">
    <cfRule type="expression" dxfId="3105" priority="1095">
      <formula>B85=""</formula>
    </cfRule>
  </conditionalFormatting>
  <conditionalFormatting sqref="C86 C88 C90 C92 C94 C96 C98 C100 C102 C104">
    <cfRule type="expression" dxfId="3104" priority="1094">
      <formula>B86=""</formula>
    </cfRule>
  </conditionalFormatting>
  <conditionalFormatting sqref="C87">
    <cfRule type="expression" dxfId="3103" priority="1093">
      <formula>B87=""</formula>
    </cfRule>
  </conditionalFormatting>
  <conditionalFormatting sqref="C88:C98">
    <cfRule type="expression" dxfId="3102" priority="1092">
      <formula>B88=""</formula>
    </cfRule>
  </conditionalFormatting>
  <conditionalFormatting sqref="C99">
    <cfRule type="expression" dxfId="3101" priority="1091">
      <formula>B99=""</formula>
    </cfRule>
  </conditionalFormatting>
  <conditionalFormatting sqref="C100">
    <cfRule type="expression" dxfId="3100" priority="1090">
      <formula>B100=""</formula>
    </cfRule>
  </conditionalFormatting>
  <conditionalFormatting sqref="C101">
    <cfRule type="expression" dxfId="3099" priority="1089">
      <formula>B101=""</formula>
    </cfRule>
  </conditionalFormatting>
  <conditionalFormatting sqref="C102">
    <cfRule type="expression" dxfId="3098" priority="1088">
      <formula>B102=""</formula>
    </cfRule>
  </conditionalFormatting>
  <conditionalFormatting sqref="C103">
    <cfRule type="expression" dxfId="3097" priority="1087">
      <formula>B103=""</formula>
    </cfRule>
  </conditionalFormatting>
  <conditionalFormatting sqref="C104">
    <cfRule type="expression" dxfId="3096" priority="1086">
      <formula>B104=""</formula>
    </cfRule>
  </conditionalFormatting>
  <conditionalFormatting sqref="C105">
    <cfRule type="expression" dxfId="3095" priority="1085">
      <formula>B105=""</formula>
    </cfRule>
  </conditionalFormatting>
  <conditionalFormatting sqref="D85">
    <cfRule type="expression" dxfId="3094" priority="1084">
      <formula>B85=""</formula>
    </cfRule>
  </conditionalFormatting>
  <conditionalFormatting sqref="D86">
    <cfRule type="expression" dxfId="3093" priority="1083">
      <formula>B86=""</formula>
    </cfRule>
  </conditionalFormatting>
  <conditionalFormatting sqref="D87">
    <cfRule type="expression" dxfId="3092" priority="1082">
      <formula>B87=""</formula>
    </cfRule>
  </conditionalFormatting>
  <conditionalFormatting sqref="D88:D98">
    <cfRule type="expression" dxfId="3091" priority="1081">
      <formula>B88=""</formula>
    </cfRule>
  </conditionalFormatting>
  <conditionalFormatting sqref="D99">
    <cfRule type="expression" dxfId="3090" priority="1080">
      <formula>B99=""</formula>
    </cfRule>
  </conditionalFormatting>
  <conditionalFormatting sqref="D100">
    <cfRule type="expression" dxfId="3089" priority="1079">
      <formula>B100=""</formula>
    </cfRule>
  </conditionalFormatting>
  <conditionalFormatting sqref="D101">
    <cfRule type="expression" dxfId="3088" priority="1078">
      <formula>B101=""</formula>
    </cfRule>
  </conditionalFormatting>
  <conditionalFormatting sqref="D102">
    <cfRule type="expression" dxfId="3087" priority="1077">
      <formula>B102=""</formula>
    </cfRule>
  </conditionalFormatting>
  <conditionalFormatting sqref="D103">
    <cfRule type="expression" dxfId="3086" priority="1076">
      <formula>B103=""</formula>
    </cfRule>
  </conditionalFormatting>
  <conditionalFormatting sqref="D104">
    <cfRule type="expression" dxfId="3085" priority="1075">
      <formula>B104=""</formula>
    </cfRule>
  </conditionalFormatting>
  <conditionalFormatting sqref="D105">
    <cfRule type="expression" dxfId="3084" priority="1074">
      <formula>B105=""</formula>
    </cfRule>
  </conditionalFormatting>
  <conditionalFormatting sqref="E85:E105">
    <cfRule type="expression" dxfId="3083" priority="1073">
      <formula>B85=""</formula>
    </cfRule>
  </conditionalFormatting>
  <conditionalFormatting sqref="E86">
    <cfRule type="expression" dxfId="3082" priority="1072">
      <formula>B86=""</formula>
    </cfRule>
  </conditionalFormatting>
  <conditionalFormatting sqref="E87">
    <cfRule type="expression" dxfId="3081" priority="1071">
      <formula>B87=""</formula>
    </cfRule>
  </conditionalFormatting>
  <conditionalFormatting sqref="E88:E98">
    <cfRule type="expression" dxfId="3080" priority="1070">
      <formula>B88=""</formula>
    </cfRule>
  </conditionalFormatting>
  <conditionalFormatting sqref="E99">
    <cfRule type="expression" dxfId="3079" priority="1069">
      <formula>B99=""</formula>
    </cfRule>
  </conditionalFormatting>
  <conditionalFormatting sqref="E100">
    <cfRule type="expression" dxfId="3078" priority="1068">
      <formula>B100=""</formula>
    </cfRule>
  </conditionalFormatting>
  <conditionalFormatting sqref="E101">
    <cfRule type="expression" dxfId="3077" priority="1067">
      <formula>B101=""</formula>
    </cfRule>
  </conditionalFormatting>
  <conditionalFormatting sqref="E102">
    <cfRule type="expression" dxfId="3076" priority="1066">
      <formula>B102=""</formula>
    </cfRule>
  </conditionalFormatting>
  <conditionalFormatting sqref="E103">
    <cfRule type="expression" dxfId="3075" priority="1065">
      <formula>B103=""</formula>
    </cfRule>
  </conditionalFormatting>
  <conditionalFormatting sqref="E104">
    <cfRule type="expression" dxfId="3074" priority="1064">
      <formula>B104=""</formula>
    </cfRule>
  </conditionalFormatting>
  <conditionalFormatting sqref="E105">
    <cfRule type="expression" dxfId="3073" priority="1063">
      <formula>B105=""</formula>
    </cfRule>
  </conditionalFormatting>
  <conditionalFormatting sqref="F85 F87 F89 F91 F93 F95 F97 F99 F101 F103">
    <cfRule type="expression" dxfId="3072" priority="1062">
      <formula>B85=""</formula>
    </cfRule>
  </conditionalFormatting>
  <conditionalFormatting sqref="F86 F88 F90 F92 F94 F96 F98 F100 F102 F104">
    <cfRule type="expression" dxfId="3071" priority="1061">
      <formula>B86=""</formula>
    </cfRule>
  </conditionalFormatting>
  <conditionalFormatting sqref="F87">
    <cfRule type="expression" dxfId="3070" priority="1060">
      <formula>B87=""</formula>
    </cfRule>
  </conditionalFormatting>
  <conditionalFormatting sqref="F88:F98">
    <cfRule type="expression" dxfId="3069" priority="1059">
      <formula>B88=""</formula>
    </cfRule>
  </conditionalFormatting>
  <conditionalFormatting sqref="F99">
    <cfRule type="expression" dxfId="3068" priority="1058">
      <formula>B99=""</formula>
    </cfRule>
  </conditionalFormatting>
  <conditionalFormatting sqref="F100">
    <cfRule type="expression" dxfId="3067" priority="1057">
      <formula>B100=""</formula>
    </cfRule>
  </conditionalFormatting>
  <conditionalFormatting sqref="F101">
    <cfRule type="expression" dxfId="3066" priority="1056">
      <formula>B101=""</formula>
    </cfRule>
  </conditionalFormatting>
  <conditionalFormatting sqref="F102">
    <cfRule type="expression" dxfId="3065" priority="1055">
      <formula>B102=""</formula>
    </cfRule>
  </conditionalFormatting>
  <conditionalFormatting sqref="F103">
    <cfRule type="expression" dxfId="3064" priority="1054">
      <formula>B103=""</formula>
    </cfRule>
  </conditionalFormatting>
  <conditionalFormatting sqref="F104">
    <cfRule type="expression" dxfId="3063" priority="1053">
      <formula>B104=""</formula>
    </cfRule>
  </conditionalFormatting>
  <conditionalFormatting sqref="F105">
    <cfRule type="expression" dxfId="3062" priority="1052">
      <formula>B105=""</formula>
    </cfRule>
  </conditionalFormatting>
  <conditionalFormatting sqref="E86">
    <cfRule type="expression" dxfId="3061" priority="1051">
      <formula>B86=""</formula>
    </cfRule>
  </conditionalFormatting>
  <conditionalFormatting sqref="E87">
    <cfRule type="expression" dxfId="3060" priority="1050">
      <formula>B87=""</formula>
    </cfRule>
  </conditionalFormatting>
  <conditionalFormatting sqref="E88:E98">
    <cfRule type="expression" dxfId="3059" priority="1049">
      <formula>B88=""</formula>
    </cfRule>
  </conditionalFormatting>
  <conditionalFormatting sqref="E99">
    <cfRule type="expression" dxfId="3058" priority="1048">
      <formula>B99=""</formula>
    </cfRule>
  </conditionalFormatting>
  <conditionalFormatting sqref="E100">
    <cfRule type="expression" dxfId="3057" priority="1047">
      <formula>B100=""</formula>
    </cfRule>
  </conditionalFormatting>
  <conditionalFormatting sqref="E101">
    <cfRule type="expression" dxfId="3056" priority="1046">
      <formula>B101=""</formula>
    </cfRule>
  </conditionalFormatting>
  <conditionalFormatting sqref="E102">
    <cfRule type="expression" dxfId="3055" priority="1045">
      <formula>B102=""</formula>
    </cfRule>
  </conditionalFormatting>
  <conditionalFormatting sqref="E103">
    <cfRule type="expression" dxfId="3054" priority="1044">
      <formula>B103=""</formula>
    </cfRule>
  </conditionalFormatting>
  <conditionalFormatting sqref="E104">
    <cfRule type="expression" dxfId="3053" priority="1043">
      <formula>B104=""</formula>
    </cfRule>
  </conditionalFormatting>
  <conditionalFormatting sqref="E105">
    <cfRule type="expression" dxfId="3052" priority="1042">
      <formula>B105=""</formula>
    </cfRule>
  </conditionalFormatting>
  <conditionalFormatting sqref="G85:G104">
    <cfRule type="expression" dxfId="3051" priority="1041">
      <formula>B85=""</formula>
    </cfRule>
  </conditionalFormatting>
  <conditionalFormatting sqref="G86">
    <cfRule type="expression" dxfId="3050" priority="1040">
      <formula>B86=""</formula>
    </cfRule>
  </conditionalFormatting>
  <conditionalFormatting sqref="G87">
    <cfRule type="expression" dxfId="3049" priority="1039">
      <formula>B87=""</formula>
    </cfRule>
  </conditionalFormatting>
  <conditionalFormatting sqref="G88:G98">
    <cfRule type="expression" dxfId="3048" priority="1038">
      <formula>B88=""</formula>
    </cfRule>
  </conditionalFormatting>
  <conditionalFormatting sqref="G99">
    <cfRule type="expression" dxfId="3047" priority="1037">
      <formula>B99=""</formula>
    </cfRule>
  </conditionalFormatting>
  <conditionalFormatting sqref="G100">
    <cfRule type="expression" dxfId="3046" priority="1036">
      <formula>B100=""</formula>
    </cfRule>
  </conditionalFormatting>
  <conditionalFormatting sqref="G101">
    <cfRule type="expression" dxfId="3045" priority="1035">
      <formula>B101=""</formula>
    </cfRule>
  </conditionalFormatting>
  <conditionalFormatting sqref="G102">
    <cfRule type="expression" dxfId="3044" priority="1034">
      <formula>B102=""</formula>
    </cfRule>
  </conditionalFormatting>
  <conditionalFormatting sqref="G103">
    <cfRule type="expression" dxfId="3043" priority="1033">
      <formula>B103=""</formula>
    </cfRule>
  </conditionalFormatting>
  <conditionalFormatting sqref="G104">
    <cfRule type="expression" dxfId="3042" priority="1032">
      <formula>B104=""</formula>
    </cfRule>
  </conditionalFormatting>
  <conditionalFormatting sqref="G105">
    <cfRule type="expression" dxfId="3041" priority="1031">
      <formula>B105=""</formula>
    </cfRule>
  </conditionalFormatting>
  <conditionalFormatting sqref="H85">
    <cfRule type="expression" dxfId="3040" priority="1030">
      <formula>B85=""</formula>
    </cfRule>
  </conditionalFormatting>
  <conditionalFormatting sqref="H86">
    <cfRule type="expression" dxfId="3039" priority="1029">
      <formula>B86=""</formula>
    </cfRule>
  </conditionalFormatting>
  <conditionalFormatting sqref="H87">
    <cfRule type="expression" dxfId="3038" priority="1028">
      <formula>B87=""</formula>
    </cfRule>
  </conditionalFormatting>
  <conditionalFormatting sqref="H88:H98">
    <cfRule type="expression" dxfId="3037" priority="1027">
      <formula>B88=""</formula>
    </cfRule>
  </conditionalFormatting>
  <conditionalFormatting sqref="H99">
    <cfRule type="expression" dxfId="3036" priority="1026">
      <formula>B99=""</formula>
    </cfRule>
  </conditionalFormatting>
  <conditionalFormatting sqref="H100">
    <cfRule type="expression" dxfId="3035" priority="1025">
      <formula>B100=""</formula>
    </cfRule>
  </conditionalFormatting>
  <conditionalFormatting sqref="H101">
    <cfRule type="expression" dxfId="3034" priority="1024">
      <formula>B101=""</formula>
    </cfRule>
  </conditionalFormatting>
  <conditionalFormatting sqref="H102">
    <cfRule type="expression" dxfId="3033" priority="1023">
      <formula>B102=""</formula>
    </cfRule>
  </conditionalFormatting>
  <conditionalFormatting sqref="H103">
    <cfRule type="expression" dxfId="3032" priority="1022">
      <formula>B103=""</formula>
    </cfRule>
  </conditionalFormatting>
  <conditionalFormatting sqref="H104">
    <cfRule type="expression" dxfId="3031" priority="1021">
      <formula>B104=""</formula>
    </cfRule>
  </conditionalFormatting>
  <conditionalFormatting sqref="H105">
    <cfRule type="expression" dxfId="3030" priority="1020">
      <formula>B105=""</formula>
    </cfRule>
  </conditionalFormatting>
  <conditionalFormatting sqref="C107 C109 C111 C113 C115 C117 C119 C121 C123 C125">
    <cfRule type="expression" dxfId="3029" priority="1018">
      <formula>B107=""</formula>
    </cfRule>
  </conditionalFormatting>
  <conditionalFormatting sqref="C108 C110 C112 C114 C116 C118 C120 C122 C124 C126">
    <cfRule type="expression" dxfId="3028" priority="1017">
      <formula>B108=""</formula>
    </cfRule>
  </conditionalFormatting>
  <conditionalFormatting sqref="C109">
    <cfRule type="expression" dxfId="3027" priority="1016">
      <formula>B109=""</formula>
    </cfRule>
  </conditionalFormatting>
  <conditionalFormatting sqref="C110:C120">
    <cfRule type="expression" dxfId="3026" priority="1015">
      <formula>B110=""</formula>
    </cfRule>
  </conditionalFormatting>
  <conditionalFormatting sqref="C121">
    <cfRule type="expression" dxfId="3025" priority="1014">
      <formula>B121=""</formula>
    </cfRule>
  </conditionalFormatting>
  <conditionalFormatting sqref="C122">
    <cfRule type="expression" dxfId="3024" priority="1013">
      <formula>B122=""</formula>
    </cfRule>
  </conditionalFormatting>
  <conditionalFormatting sqref="C123">
    <cfRule type="expression" dxfId="3023" priority="1012">
      <formula>B123=""</formula>
    </cfRule>
  </conditionalFormatting>
  <conditionalFormatting sqref="C124">
    <cfRule type="expression" dxfId="3022" priority="1011">
      <formula>B124=""</formula>
    </cfRule>
  </conditionalFormatting>
  <conditionalFormatting sqref="C125">
    <cfRule type="expression" dxfId="3021" priority="1010">
      <formula>B125=""</formula>
    </cfRule>
  </conditionalFormatting>
  <conditionalFormatting sqref="C126">
    <cfRule type="expression" dxfId="3020" priority="1009">
      <formula>B126=""</formula>
    </cfRule>
  </conditionalFormatting>
  <conditionalFormatting sqref="C127">
    <cfRule type="expression" dxfId="3019" priority="1008">
      <formula>B127=""</formula>
    </cfRule>
  </conditionalFormatting>
  <conditionalFormatting sqref="D107">
    <cfRule type="expression" dxfId="3018" priority="1007">
      <formula>B107=""</formula>
    </cfRule>
  </conditionalFormatting>
  <conditionalFormatting sqref="D108">
    <cfRule type="expression" dxfId="3017" priority="1006">
      <formula>B108=""</formula>
    </cfRule>
  </conditionalFormatting>
  <conditionalFormatting sqref="D109">
    <cfRule type="expression" dxfId="3016" priority="1005">
      <formula>B109=""</formula>
    </cfRule>
  </conditionalFormatting>
  <conditionalFormatting sqref="D110:D120">
    <cfRule type="expression" dxfId="3015" priority="1004">
      <formula>B110=""</formula>
    </cfRule>
  </conditionalFormatting>
  <conditionalFormatting sqref="D121">
    <cfRule type="expression" dxfId="3014" priority="1003">
      <formula>B121=""</formula>
    </cfRule>
  </conditionalFormatting>
  <conditionalFormatting sqref="D122">
    <cfRule type="expression" dxfId="3013" priority="1002">
      <formula>B122=""</formula>
    </cfRule>
  </conditionalFormatting>
  <conditionalFormatting sqref="D123">
    <cfRule type="expression" dxfId="3012" priority="1001">
      <formula>B123=""</formula>
    </cfRule>
  </conditionalFormatting>
  <conditionalFormatting sqref="D124">
    <cfRule type="expression" dxfId="3011" priority="1000">
      <formula>B124=""</formula>
    </cfRule>
  </conditionalFormatting>
  <conditionalFormatting sqref="D125">
    <cfRule type="expression" dxfId="3010" priority="999">
      <formula>B125=""</formula>
    </cfRule>
  </conditionalFormatting>
  <conditionalFormatting sqref="D126">
    <cfRule type="expression" dxfId="3009" priority="998">
      <formula>B126=""</formula>
    </cfRule>
  </conditionalFormatting>
  <conditionalFormatting sqref="D127">
    <cfRule type="expression" dxfId="3008" priority="997">
      <formula>B127=""</formula>
    </cfRule>
  </conditionalFormatting>
  <conditionalFormatting sqref="F107:F126">
    <cfRule type="expression" dxfId="3007" priority="985">
      <formula>B107=""</formula>
    </cfRule>
  </conditionalFormatting>
  <conditionalFormatting sqref="F108">
    <cfRule type="expression" dxfId="3006" priority="984">
      <formula>B108=""</formula>
    </cfRule>
  </conditionalFormatting>
  <conditionalFormatting sqref="F109">
    <cfRule type="expression" dxfId="3005" priority="983">
      <formula>B109=""</formula>
    </cfRule>
  </conditionalFormatting>
  <conditionalFormatting sqref="F110:F120">
    <cfRule type="expression" dxfId="3004" priority="982">
      <formula>B110=""</formula>
    </cfRule>
  </conditionalFormatting>
  <conditionalFormatting sqref="F121">
    <cfRule type="expression" dxfId="3003" priority="981">
      <formula>B121=""</formula>
    </cfRule>
  </conditionalFormatting>
  <conditionalFormatting sqref="F122">
    <cfRule type="expression" dxfId="3002" priority="980">
      <formula>B122=""</formula>
    </cfRule>
  </conditionalFormatting>
  <conditionalFormatting sqref="F123">
    <cfRule type="expression" dxfId="3001" priority="979">
      <formula>B123=""</formula>
    </cfRule>
  </conditionalFormatting>
  <conditionalFormatting sqref="F124">
    <cfRule type="expression" dxfId="3000" priority="978">
      <formula>B124=""</formula>
    </cfRule>
  </conditionalFormatting>
  <conditionalFormatting sqref="F125">
    <cfRule type="expression" dxfId="2999" priority="977">
      <formula>B125=""</formula>
    </cfRule>
  </conditionalFormatting>
  <conditionalFormatting sqref="F126">
    <cfRule type="expression" dxfId="2998" priority="976">
      <formula>B126=""</formula>
    </cfRule>
  </conditionalFormatting>
  <conditionalFormatting sqref="F127">
    <cfRule type="expression" dxfId="2997" priority="975">
      <formula>B127=""</formula>
    </cfRule>
  </conditionalFormatting>
  <conditionalFormatting sqref="G107:G126">
    <cfRule type="expression" dxfId="2996" priority="964">
      <formula>B107=""</formula>
    </cfRule>
  </conditionalFormatting>
  <conditionalFormatting sqref="G108">
    <cfRule type="expression" dxfId="2995" priority="963">
      <formula>B108=""</formula>
    </cfRule>
  </conditionalFormatting>
  <conditionalFormatting sqref="G109">
    <cfRule type="expression" dxfId="2994" priority="962">
      <formula>B109=""</formula>
    </cfRule>
  </conditionalFormatting>
  <conditionalFormatting sqref="G110:G120">
    <cfRule type="expression" dxfId="2993" priority="961">
      <formula>B110=""</formula>
    </cfRule>
  </conditionalFormatting>
  <conditionalFormatting sqref="G121">
    <cfRule type="expression" dxfId="2992" priority="960">
      <formula>B121=""</formula>
    </cfRule>
  </conditionalFormatting>
  <conditionalFormatting sqref="G122">
    <cfRule type="expression" dxfId="2991" priority="959">
      <formula>B122=""</formula>
    </cfRule>
  </conditionalFormatting>
  <conditionalFormatting sqref="G123">
    <cfRule type="expression" dxfId="2990" priority="958">
      <formula>B123=""</formula>
    </cfRule>
  </conditionalFormatting>
  <conditionalFormatting sqref="G124">
    <cfRule type="expression" dxfId="2989" priority="957">
      <formula>B124=""</formula>
    </cfRule>
  </conditionalFormatting>
  <conditionalFormatting sqref="G125">
    <cfRule type="expression" dxfId="2988" priority="956">
      <formula>B125=""</formula>
    </cfRule>
  </conditionalFormatting>
  <conditionalFormatting sqref="G126">
    <cfRule type="expression" dxfId="2987" priority="955">
      <formula>B126=""</formula>
    </cfRule>
  </conditionalFormatting>
  <conditionalFormatting sqref="G127">
    <cfRule type="expression" dxfId="2986" priority="954">
      <formula>B127=""</formula>
    </cfRule>
  </conditionalFormatting>
  <conditionalFormatting sqref="H107:H126">
    <cfRule type="expression" dxfId="2985" priority="953">
      <formula>B107=""</formula>
    </cfRule>
  </conditionalFormatting>
  <conditionalFormatting sqref="H108">
    <cfRule type="expression" dxfId="2984" priority="952">
      <formula>B108=""</formula>
    </cfRule>
  </conditionalFormatting>
  <conditionalFormatting sqref="H109">
    <cfRule type="expression" dxfId="2983" priority="951">
      <formula>B109=""</formula>
    </cfRule>
  </conditionalFormatting>
  <conditionalFormatting sqref="H110:H120">
    <cfRule type="expression" dxfId="2982" priority="950">
      <formula>B110=""</formula>
    </cfRule>
  </conditionalFormatting>
  <conditionalFormatting sqref="H121">
    <cfRule type="expression" dxfId="2981" priority="949">
      <formula>B121=""</formula>
    </cfRule>
  </conditionalFormatting>
  <conditionalFormatting sqref="H122">
    <cfRule type="expression" dxfId="2980" priority="948">
      <formula>B122=""</formula>
    </cfRule>
  </conditionalFormatting>
  <conditionalFormatting sqref="H123">
    <cfRule type="expression" dxfId="2979" priority="947">
      <formula>B123=""</formula>
    </cfRule>
  </conditionalFormatting>
  <conditionalFormatting sqref="H124">
    <cfRule type="expression" dxfId="2978" priority="946">
      <formula>B124=""</formula>
    </cfRule>
  </conditionalFormatting>
  <conditionalFormatting sqref="H125">
    <cfRule type="expression" dxfId="2977" priority="945">
      <formula>B125=""</formula>
    </cfRule>
  </conditionalFormatting>
  <conditionalFormatting sqref="H126">
    <cfRule type="expression" dxfId="2976" priority="944">
      <formula>B126=""</formula>
    </cfRule>
  </conditionalFormatting>
  <conditionalFormatting sqref="H127">
    <cfRule type="expression" dxfId="2975" priority="943">
      <formula>B127=""</formula>
    </cfRule>
  </conditionalFormatting>
  <conditionalFormatting sqref="C129 C131 C133 C135 C137 C139 C141 C143 C145 C147">
    <cfRule type="expression" dxfId="2974" priority="941">
      <formula>B129=""</formula>
    </cfRule>
  </conditionalFormatting>
  <conditionalFormatting sqref="C130 C132 C134 C136 C138 C140 C142 C144 C146 C148">
    <cfRule type="expression" dxfId="2973" priority="940">
      <formula>B130=""</formula>
    </cfRule>
  </conditionalFormatting>
  <conditionalFormatting sqref="C131">
    <cfRule type="expression" dxfId="2972" priority="939">
      <formula>B131=""</formula>
    </cfRule>
  </conditionalFormatting>
  <conditionalFormatting sqref="C132:C142">
    <cfRule type="expression" dxfId="2971" priority="938">
      <formula>B132=""</formula>
    </cfRule>
  </conditionalFormatting>
  <conditionalFormatting sqref="C143">
    <cfRule type="expression" dxfId="2970" priority="937">
      <formula>B143=""</formula>
    </cfRule>
  </conditionalFormatting>
  <conditionalFormatting sqref="C144">
    <cfRule type="expression" dxfId="2969" priority="936">
      <formula>B144=""</formula>
    </cfRule>
  </conditionalFormatting>
  <conditionalFormatting sqref="C145">
    <cfRule type="expression" dxfId="2968" priority="935">
      <formula>B145=""</formula>
    </cfRule>
  </conditionalFormatting>
  <conditionalFormatting sqref="C146">
    <cfRule type="expression" dxfId="2967" priority="934">
      <formula>B146=""</formula>
    </cfRule>
  </conditionalFormatting>
  <conditionalFormatting sqref="C147">
    <cfRule type="expression" dxfId="2966" priority="933">
      <formula>B147=""</formula>
    </cfRule>
  </conditionalFormatting>
  <conditionalFormatting sqref="C148">
    <cfRule type="expression" dxfId="2965" priority="932">
      <formula>B148=""</formula>
    </cfRule>
  </conditionalFormatting>
  <conditionalFormatting sqref="C149">
    <cfRule type="expression" dxfId="2964" priority="931">
      <formula>B149=""</formula>
    </cfRule>
  </conditionalFormatting>
  <conditionalFormatting sqref="D129 D131 D133 D135 D137 D139 D141 D143 D145 D147">
    <cfRule type="expression" dxfId="2963" priority="930">
      <formula>B129=""</formula>
    </cfRule>
  </conditionalFormatting>
  <conditionalFormatting sqref="D130 D132 D134 D136 D138 D140 D142 D144 D146 D148">
    <cfRule type="expression" dxfId="2962" priority="929">
      <formula>B130=""</formula>
    </cfRule>
  </conditionalFormatting>
  <conditionalFormatting sqref="D131">
    <cfRule type="expression" dxfId="2961" priority="928">
      <formula>B131=""</formula>
    </cfRule>
  </conditionalFormatting>
  <conditionalFormatting sqref="D132:D142">
    <cfRule type="expression" dxfId="2960" priority="927">
      <formula>B132=""</formula>
    </cfRule>
  </conditionalFormatting>
  <conditionalFormatting sqref="D143">
    <cfRule type="expression" dxfId="2959" priority="926">
      <formula>B143=""</formula>
    </cfRule>
  </conditionalFormatting>
  <conditionalFormatting sqref="D144">
    <cfRule type="expression" dxfId="2958" priority="925">
      <formula>B144=""</formula>
    </cfRule>
  </conditionalFormatting>
  <conditionalFormatting sqref="D145">
    <cfRule type="expression" dxfId="2957" priority="924">
      <formula>B145=""</formula>
    </cfRule>
  </conditionalFormatting>
  <conditionalFormatting sqref="D146">
    <cfRule type="expression" dxfId="2956" priority="923">
      <formula>B146=""</formula>
    </cfRule>
  </conditionalFormatting>
  <conditionalFormatting sqref="D147">
    <cfRule type="expression" dxfId="2955" priority="922">
      <formula>B147=""</formula>
    </cfRule>
  </conditionalFormatting>
  <conditionalFormatting sqref="D148">
    <cfRule type="expression" dxfId="2954" priority="921">
      <formula>B148=""</formula>
    </cfRule>
  </conditionalFormatting>
  <conditionalFormatting sqref="D149">
    <cfRule type="expression" dxfId="2953" priority="920">
      <formula>B149=""</formula>
    </cfRule>
  </conditionalFormatting>
  <conditionalFormatting sqref="F129 F131 F133 F135 F137 F139 F141 F143 F145 F147">
    <cfRule type="expression" dxfId="2952" priority="908">
      <formula>B129=""</formula>
    </cfRule>
  </conditionalFormatting>
  <conditionalFormatting sqref="F130 F132 F134 F136 F138 F140 F142 F144 F146 F148">
    <cfRule type="expression" dxfId="2951" priority="907">
      <formula>B130=""</formula>
    </cfRule>
  </conditionalFormatting>
  <conditionalFormatting sqref="F131">
    <cfRule type="expression" dxfId="2950" priority="906">
      <formula>B131=""</formula>
    </cfRule>
  </conditionalFormatting>
  <conditionalFormatting sqref="F132:F142">
    <cfRule type="expression" dxfId="2949" priority="905">
      <formula>B132=""</formula>
    </cfRule>
  </conditionalFormatting>
  <conditionalFormatting sqref="F143">
    <cfRule type="expression" dxfId="2948" priority="904">
      <formula>B143=""</formula>
    </cfRule>
  </conditionalFormatting>
  <conditionalFormatting sqref="F144">
    <cfRule type="expression" dxfId="2947" priority="903">
      <formula>B144=""</formula>
    </cfRule>
  </conditionalFormatting>
  <conditionalFormatting sqref="F145">
    <cfRule type="expression" dxfId="2946" priority="902">
      <formula>B145=""</formula>
    </cfRule>
  </conditionalFormatting>
  <conditionalFormatting sqref="F146">
    <cfRule type="expression" dxfId="2945" priority="901">
      <formula>B146=""</formula>
    </cfRule>
  </conditionalFormatting>
  <conditionalFormatting sqref="F147">
    <cfRule type="expression" dxfId="2944" priority="900">
      <formula>B147=""</formula>
    </cfRule>
  </conditionalFormatting>
  <conditionalFormatting sqref="F148">
    <cfRule type="expression" dxfId="2943" priority="899">
      <formula>B148=""</formula>
    </cfRule>
  </conditionalFormatting>
  <conditionalFormatting sqref="F149">
    <cfRule type="expression" dxfId="2942" priority="898">
      <formula>B149=""</formula>
    </cfRule>
  </conditionalFormatting>
  <conditionalFormatting sqref="G129 G131 G133 G135 G137 G139 G141 G143 G145 G147">
    <cfRule type="expression" dxfId="2941" priority="887">
      <formula>B129=""</formula>
    </cfRule>
  </conditionalFormatting>
  <conditionalFormatting sqref="G130 G132 G134 G136 G138 G140 G142 G144 G146 G148">
    <cfRule type="expression" dxfId="2940" priority="886">
      <formula>B130=""</formula>
    </cfRule>
  </conditionalFormatting>
  <conditionalFormatting sqref="G131">
    <cfRule type="expression" dxfId="2939" priority="885">
      <formula>B131=""</formula>
    </cfRule>
  </conditionalFormatting>
  <conditionalFormatting sqref="G132:G142">
    <cfRule type="expression" dxfId="2938" priority="884">
      <formula>B132=""</formula>
    </cfRule>
  </conditionalFormatting>
  <conditionalFormatting sqref="G143">
    <cfRule type="expression" dxfId="2937" priority="883">
      <formula>B143=""</formula>
    </cfRule>
  </conditionalFormatting>
  <conditionalFormatting sqref="G144">
    <cfRule type="expression" dxfId="2936" priority="882">
      <formula>B144=""</formula>
    </cfRule>
  </conditionalFormatting>
  <conditionalFormatting sqref="G145">
    <cfRule type="expression" dxfId="2935" priority="881">
      <formula>B145=""</formula>
    </cfRule>
  </conditionalFormatting>
  <conditionalFormatting sqref="G146">
    <cfRule type="expression" dxfId="2934" priority="880">
      <formula>B146=""</formula>
    </cfRule>
  </conditionalFormatting>
  <conditionalFormatting sqref="G147">
    <cfRule type="expression" dxfId="2933" priority="879">
      <formula>B147=""</formula>
    </cfRule>
  </conditionalFormatting>
  <conditionalFormatting sqref="G148">
    <cfRule type="expression" dxfId="2932" priority="878">
      <formula>B148=""</formula>
    </cfRule>
  </conditionalFormatting>
  <conditionalFormatting sqref="G149">
    <cfRule type="expression" dxfId="2931" priority="877">
      <formula>B149=""</formula>
    </cfRule>
  </conditionalFormatting>
  <conditionalFormatting sqref="H129 H131 H133 H135 H137 H139 H141 H143 H145 H147">
    <cfRule type="expression" dxfId="2930" priority="876">
      <formula>B129=""</formula>
    </cfRule>
  </conditionalFormatting>
  <conditionalFormatting sqref="H130 H132 H134 H136 H138 H140 H142 H144 H146 H148">
    <cfRule type="expression" dxfId="2929" priority="875">
      <formula>B130=""</formula>
    </cfRule>
  </conditionalFormatting>
  <conditionalFormatting sqref="H131">
    <cfRule type="expression" dxfId="2928" priority="874">
      <formula>B131=""</formula>
    </cfRule>
  </conditionalFormatting>
  <conditionalFormatting sqref="H132:H142">
    <cfRule type="expression" dxfId="2927" priority="873">
      <formula>B132=""</formula>
    </cfRule>
  </conditionalFormatting>
  <conditionalFormatting sqref="H143">
    <cfRule type="expression" dxfId="2926" priority="872">
      <formula>B143=""</formula>
    </cfRule>
  </conditionalFormatting>
  <conditionalFormatting sqref="H144">
    <cfRule type="expression" dxfId="2925" priority="871">
      <formula>B144=""</formula>
    </cfRule>
  </conditionalFormatting>
  <conditionalFormatting sqref="H145">
    <cfRule type="expression" dxfId="2924" priority="870">
      <formula>B145=""</formula>
    </cfRule>
  </conditionalFormatting>
  <conditionalFormatting sqref="H146">
    <cfRule type="expression" dxfId="2923" priority="869">
      <formula>B146=""</formula>
    </cfRule>
  </conditionalFormatting>
  <conditionalFormatting sqref="H147">
    <cfRule type="expression" dxfId="2922" priority="868">
      <formula>B147=""</formula>
    </cfRule>
  </conditionalFormatting>
  <conditionalFormatting sqref="H148">
    <cfRule type="expression" dxfId="2921" priority="867">
      <formula>B148=""</formula>
    </cfRule>
  </conditionalFormatting>
  <conditionalFormatting sqref="H149">
    <cfRule type="expression" dxfId="2920" priority="866">
      <formula>B149=""</formula>
    </cfRule>
  </conditionalFormatting>
  <conditionalFormatting sqref="C151 C153 C155 C157 C159 C161 C163 C165 C167 C169">
    <cfRule type="expression" dxfId="2919" priority="864">
      <formula>B151=""</formula>
    </cfRule>
  </conditionalFormatting>
  <conditionalFormatting sqref="C152 C154 C156 C158 C160 C162 C164 C166 C168 C170">
    <cfRule type="expression" dxfId="2918" priority="863">
      <formula>B152=""</formula>
    </cfRule>
  </conditionalFormatting>
  <conditionalFormatting sqref="C153:C163">
    <cfRule type="expression" dxfId="2917" priority="862">
      <formula>B153=""</formula>
    </cfRule>
  </conditionalFormatting>
  <conditionalFormatting sqref="C164">
    <cfRule type="expression" dxfId="2916" priority="861">
      <formula>B164=""</formula>
    </cfRule>
  </conditionalFormatting>
  <conditionalFormatting sqref="C165">
    <cfRule type="expression" dxfId="2915" priority="860">
      <formula>B165=""</formula>
    </cfRule>
  </conditionalFormatting>
  <conditionalFormatting sqref="C166">
    <cfRule type="expression" dxfId="2914" priority="859">
      <formula>B166=""</formula>
    </cfRule>
  </conditionalFormatting>
  <conditionalFormatting sqref="C167">
    <cfRule type="expression" dxfId="2913" priority="858">
      <formula>B167=""</formula>
    </cfRule>
  </conditionalFormatting>
  <conditionalFormatting sqref="C168">
    <cfRule type="expression" dxfId="2912" priority="857">
      <formula>B168=""</formula>
    </cfRule>
  </conditionalFormatting>
  <conditionalFormatting sqref="C169">
    <cfRule type="expression" dxfId="2911" priority="856">
      <formula>B169=""</formula>
    </cfRule>
  </conditionalFormatting>
  <conditionalFormatting sqref="C170">
    <cfRule type="expression" dxfId="2910" priority="855">
      <formula>B170=""</formula>
    </cfRule>
  </conditionalFormatting>
  <conditionalFormatting sqref="C171">
    <cfRule type="expression" dxfId="2909" priority="854">
      <formula>B171=""</formula>
    </cfRule>
  </conditionalFormatting>
  <conditionalFormatting sqref="D151 D153 D155 D157 D159 D161 D163 D165 D167 D169">
    <cfRule type="expression" dxfId="2908" priority="853">
      <formula>B151=""</formula>
    </cfRule>
  </conditionalFormatting>
  <conditionalFormatting sqref="D152 D154 D156 D158 D160 D162 D164 D166 D168 D170">
    <cfRule type="expression" dxfId="2907" priority="852">
      <formula>B152=""</formula>
    </cfRule>
  </conditionalFormatting>
  <conditionalFormatting sqref="D153:D163">
    <cfRule type="expression" dxfId="2906" priority="851">
      <formula>B153=""</formula>
    </cfRule>
  </conditionalFormatting>
  <conditionalFormatting sqref="D164">
    <cfRule type="expression" dxfId="2905" priority="850">
      <formula>B164=""</formula>
    </cfRule>
  </conditionalFormatting>
  <conditionalFormatting sqref="D165">
    <cfRule type="expression" dxfId="2904" priority="849">
      <formula>B165=""</formula>
    </cfRule>
  </conditionalFormatting>
  <conditionalFormatting sqref="D166">
    <cfRule type="expression" dxfId="2903" priority="848">
      <formula>B166=""</formula>
    </cfRule>
  </conditionalFormatting>
  <conditionalFormatting sqref="D167">
    <cfRule type="expression" dxfId="2902" priority="847">
      <formula>B167=""</formula>
    </cfRule>
  </conditionalFormatting>
  <conditionalFormatting sqref="D168">
    <cfRule type="expression" dxfId="2901" priority="846">
      <formula>B168=""</formula>
    </cfRule>
  </conditionalFormatting>
  <conditionalFormatting sqref="D169">
    <cfRule type="expression" dxfId="2900" priority="845">
      <formula>B169=""</formula>
    </cfRule>
  </conditionalFormatting>
  <conditionalFormatting sqref="D170">
    <cfRule type="expression" dxfId="2899" priority="844">
      <formula>B170=""</formula>
    </cfRule>
  </conditionalFormatting>
  <conditionalFormatting sqref="D171">
    <cfRule type="expression" dxfId="2898" priority="843">
      <formula>B171=""</formula>
    </cfRule>
  </conditionalFormatting>
  <conditionalFormatting sqref="F151 F153 F155 F157 F159 F161 F163 F165 F167 F169">
    <cfRule type="expression" dxfId="2897" priority="831">
      <formula>B151=""</formula>
    </cfRule>
  </conditionalFormatting>
  <conditionalFormatting sqref="F152 F154 F156 F158 F160 F162 F164 F166 F168 F170">
    <cfRule type="expression" dxfId="2896" priority="830">
      <formula>B152=""</formula>
    </cfRule>
  </conditionalFormatting>
  <conditionalFormatting sqref="F153:F163">
    <cfRule type="expression" dxfId="2895" priority="829">
      <formula>B153=""</formula>
    </cfRule>
  </conditionalFormatting>
  <conditionalFormatting sqref="F164">
    <cfRule type="expression" dxfId="2894" priority="828">
      <formula>B164=""</formula>
    </cfRule>
  </conditionalFormatting>
  <conditionalFormatting sqref="F165">
    <cfRule type="expression" dxfId="2893" priority="827">
      <formula>B165=""</formula>
    </cfRule>
  </conditionalFormatting>
  <conditionalFormatting sqref="F166">
    <cfRule type="expression" dxfId="2892" priority="826">
      <formula>B166=""</formula>
    </cfRule>
  </conditionalFormatting>
  <conditionalFormatting sqref="F167">
    <cfRule type="expression" dxfId="2891" priority="825">
      <formula>B167=""</formula>
    </cfRule>
  </conditionalFormatting>
  <conditionalFormatting sqref="F168">
    <cfRule type="expression" dxfId="2890" priority="824">
      <formula>B168=""</formula>
    </cfRule>
  </conditionalFormatting>
  <conditionalFormatting sqref="F169">
    <cfRule type="expression" dxfId="2889" priority="823">
      <formula>B169=""</formula>
    </cfRule>
  </conditionalFormatting>
  <conditionalFormatting sqref="F170">
    <cfRule type="expression" dxfId="2888" priority="822">
      <formula>B170=""</formula>
    </cfRule>
  </conditionalFormatting>
  <conditionalFormatting sqref="F171">
    <cfRule type="expression" dxfId="2887" priority="821">
      <formula>B171=""</formula>
    </cfRule>
  </conditionalFormatting>
  <conditionalFormatting sqref="G151 G153 G155 G157 G159 G161 G163 G165 G167 G169">
    <cfRule type="expression" dxfId="2886" priority="810">
      <formula>B151=""</formula>
    </cfRule>
  </conditionalFormatting>
  <conditionalFormatting sqref="G152 G154 G156 G158 G160 G162 G164 G166 G168 G170">
    <cfRule type="expression" dxfId="2885" priority="809">
      <formula>B152=""</formula>
    </cfRule>
  </conditionalFormatting>
  <conditionalFormatting sqref="G153:G163">
    <cfRule type="expression" dxfId="2884" priority="808">
      <formula>B153=""</formula>
    </cfRule>
  </conditionalFormatting>
  <conditionalFormatting sqref="G164">
    <cfRule type="expression" dxfId="2883" priority="807">
      <formula>B164=""</formula>
    </cfRule>
  </conditionalFormatting>
  <conditionalFormatting sqref="G165">
    <cfRule type="expression" dxfId="2882" priority="806">
      <formula>B165=""</formula>
    </cfRule>
  </conditionalFormatting>
  <conditionalFormatting sqref="G166">
    <cfRule type="expression" dxfId="2881" priority="805">
      <formula>B166=""</formula>
    </cfRule>
  </conditionalFormatting>
  <conditionalFormatting sqref="G167">
    <cfRule type="expression" dxfId="2880" priority="804">
      <formula>B167=""</formula>
    </cfRule>
  </conditionalFormatting>
  <conditionalFormatting sqref="G168">
    <cfRule type="expression" dxfId="2879" priority="803">
      <formula>B168=""</formula>
    </cfRule>
  </conditionalFormatting>
  <conditionalFormatting sqref="G169">
    <cfRule type="expression" dxfId="2878" priority="802">
      <formula>B169=""</formula>
    </cfRule>
  </conditionalFormatting>
  <conditionalFormatting sqref="G170">
    <cfRule type="expression" dxfId="2877" priority="801">
      <formula>B170=""</formula>
    </cfRule>
  </conditionalFormatting>
  <conditionalFormatting sqref="G171">
    <cfRule type="expression" dxfId="2876" priority="800">
      <formula>B171=""</formula>
    </cfRule>
  </conditionalFormatting>
  <conditionalFormatting sqref="H151 H153 H155 H157 H159 H161 H163 H165 H167 H169">
    <cfRule type="expression" dxfId="2875" priority="799">
      <formula>B151=""</formula>
    </cfRule>
  </conditionalFormatting>
  <conditionalFormatting sqref="H152 H154 H156 H158 H160 H162 H164 H166 H168 H170">
    <cfRule type="expression" dxfId="2874" priority="798">
      <formula>B152=""</formula>
    </cfRule>
  </conditionalFormatting>
  <conditionalFormatting sqref="H153:H163">
    <cfRule type="expression" dxfId="2873" priority="797">
      <formula>B153=""</formula>
    </cfRule>
  </conditionalFormatting>
  <conditionalFormatting sqref="H164">
    <cfRule type="expression" dxfId="2872" priority="796">
      <formula>B164=""</formula>
    </cfRule>
  </conditionalFormatting>
  <conditionalFormatting sqref="H165">
    <cfRule type="expression" dxfId="2871" priority="795">
      <formula>B165=""</formula>
    </cfRule>
  </conditionalFormatting>
  <conditionalFormatting sqref="H166">
    <cfRule type="expression" dxfId="2870" priority="794">
      <formula>B166=""</formula>
    </cfRule>
  </conditionalFormatting>
  <conditionalFormatting sqref="H167">
    <cfRule type="expression" dxfId="2869" priority="793">
      <formula>B167=""</formula>
    </cfRule>
  </conditionalFormatting>
  <conditionalFormatting sqref="H168">
    <cfRule type="expression" dxfId="2868" priority="792">
      <formula>B168=""</formula>
    </cfRule>
  </conditionalFormatting>
  <conditionalFormatting sqref="H169">
    <cfRule type="expression" dxfId="2867" priority="791">
      <formula>B169=""</formula>
    </cfRule>
  </conditionalFormatting>
  <conditionalFormatting sqref="H170">
    <cfRule type="expression" dxfId="2866" priority="790">
      <formula>B170=""</formula>
    </cfRule>
  </conditionalFormatting>
  <conditionalFormatting sqref="H171">
    <cfRule type="expression" dxfId="2865" priority="789">
      <formula>B171=""</formula>
    </cfRule>
  </conditionalFormatting>
  <conditionalFormatting sqref="C126">
    <cfRule type="expression" dxfId="2864" priority="787">
      <formula>B126=""</formula>
    </cfRule>
  </conditionalFormatting>
  <conditionalFormatting sqref="C148">
    <cfRule type="expression" dxfId="2863" priority="785">
      <formula>B148=""</formula>
    </cfRule>
  </conditionalFormatting>
  <conditionalFormatting sqref="C170">
    <cfRule type="expression" dxfId="2862" priority="783">
      <formula>B170=""</formula>
    </cfRule>
  </conditionalFormatting>
  <conditionalFormatting sqref="C10:C29">
    <cfRule type="expression" dxfId="2861" priority="419">
      <formula>B10=""</formula>
    </cfRule>
  </conditionalFormatting>
  <conditionalFormatting sqref="C11 C13 C15 C17 C19 C21 C23 C25 C27 C29">
    <cfRule type="expression" dxfId="2860" priority="418">
      <formula>B11=""</formula>
    </cfRule>
  </conditionalFormatting>
  <conditionalFormatting sqref="C12">
    <cfRule type="expression" dxfId="2859" priority="417">
      <formula>B12=""</formula>
    </cfRule>
  </conditionalFormatting>
  <conditionalFormatting sqref="C13:C23">
    <cfRule type="expression" dxfId="2858" priority="416">
      <formula>B13=""</formula>
    </cfRule>
  </conditionalFormatting>
  <conditionalFormatting sqref="C24">
    <cfRule type="expression" dxfId="2857" priority="415">
      <formula>B24=""</formula>
    </cfRule>
  </conditionalFormatting>
  <conditionalFormatting sqref="C25">
    <cfRule type="expression" dxfId="2856" priority="414">
      <formula>B25=""</formula>
    </cfRule>
  </conditionalFormatting>
  <conditionalFormatting sqref="C26">
    <cfRule type="expression" dxfId="2855" priority="413">
      <formula>B26=""</formula>
    </cfRule>
  </conditionalFormatting>
  <conditionalFormatting sqref="C27">
    <cfRule type="expression" dxfId="2854" priority="412">
      <formula>B27=""</formula>
    </cfRule>
  </conditionalFormatting>
  <conditionalFormatting sqref="C28">
    <cfRule type="expression" dxfId="2853" priority="411">
      <formula>B28=""</formula>
    </cfRule>
  </conditionalFormatting>
  <conditionalFormatting sqref="C29">
    <cfRule type="expression" dxfId="2852" priority="410">
      <formula>B29=""</formula>
    </cfRule>
  </conditionalFormatting>
  <conditionalFormatting sqref="C30">
    <cfRule type="expression" dxfId="2851" priority="409">
      <formula>B30=""</formula>
    </cfRule>
  </conditionalFormatting>
  <conditionalFormatting sqref="D10">
    <cfRule type="expression" dxfId="2850" priority="408">
      <formula>B10=""</formula>
    </cfRule>
  </conditionalFormatting>
  <conditionalFormatting sqref="D11">
    <cfRule type="expression" dxfId="2849" priority="407">
      <formula>B11=""</formula>
    </cfRule>
  </conditionalFormatting>
  <conditionalFormatting sqref="D12">
    <cfRule type="expression" dxfId="2848" priority="406">
      <formula>B12=""</formula>
    </cfRule>
  </conditionalFormatting>
  <conditionalFormatting sqref="D13:D23">
    <cfRule type="expression" dxfId="2847" priority="405">
      <formula>B13=""</formula>
    </cfRule>
  </conditionalFormatting>
  <conditionalFormatting sqref="D24">
    <cfRule type="expression" dxfId="2846" priority="404">
      <formula>B24=""</formula>
    </cfRule>
  </conditionalFormatting>
  <conditionalFormatting sqref="D25">
    <cfRule type="expression" dxfId="2845" priority="403">
      <formula>B25=""</formula>
    </cfRule>
  </conditionalFormatting>
  <conditionalFormatting sqref="D26">
    <cfRule type="expression" dxfId="2844" priority="402">
      <formula>B26=""</formula>
    </cfRule>
  </conditionalFormatting>
  <conditionalFormatting sqref="D27">
    <cfRule type="expression" dxfId="2843" priority="401">
      <formula>B27=""</formula>
    </cfRule>
  </conditionalFormatting>
  <conditionalFormatting sqref="D28">
    <cfRule type="expression" dxfId="2842" priority="400">
      <formula>B28=""</formula>
    </cfRule>
  </conditionalFormatting>
  <conditionalFormatting sqref="D29">
    <cfRule type="expression" dxfId="2841" priority="399">
      <formula>B29=""</formula>
    </cfRule>
  </conditionalFormatting>
  <conditionalFormatting sqref="D30">
    <cfRule type="expression" dxfId="2840" priority="398">
      <formula>B30=""</formula>
    </cfRule>
  </conditionalFormatting>
  <conditionalFormatting sqref="E10:E30">
    <cfRule type="expression" dxfId="2839" priority="397">
      <formula>B10=""</formula>
    </cfRule>
  </conditionalFormatting>
  <conditionalFormatting sqref="E11 E13 E15 E17 E19 E21 E23 E25 E27 E29">
    <cfRule type="expression" dxfId="2838" priority="396">
      <formula>B11=""</formula>
    </cfRule>
  </conditionalFormatting>
  <conditionalFormatting sqref="E12">
    <cfRule type="expression" dxfId="2837" priority="395">
      <formula>B12=""</formula>
    </cfRule>
  </conditionalFormatting>
  <conditionalFormatting sqref="E13:E23">
    <cfRule type="expression" dxfId="2836" priority="394">
      <formula>B13=""</formula>
    </cfRule>
  </conditionalFormatting>
  <conditionalFormatting sqref="E24">
    <cfRule type="expression" dxfId="2835" priority="393">
      <formula>B24=""</formula>
    </cfRule>
  </conditionalFormatting>
  <conditionalFormatting sqref="E25">
    <cfRule type="expression" dxfId="2834" priority="392">
      <formula>B25=""</formula>
    </cfRule>
  </conditionalFormatting>
  <conditionalFormatting sqref="E26">
    <cfRule type="expression" dxfId="2833" priority="391">
      <formula>B26=""</formula>
    </cfRule>
  </conditionalFormatting>
  <conditionalFormatting sqref="E27">
    <cfRule type="expression" dxfId="2832" priority="390">
      <formula>B27=""</formula>
    </cfRule>
  </conditionalFormatting>
  <conditionalFormatting sqref="E28">
    <cfRule type="expression" dxfId="2831" priority="389">
      <formula>B28=""</formula>
    </cfRule>
  </conditionalFormatting>
  <conditionalFormatting sqref="E29">
    <cfRule type="expression" dxfId="2830" priority="388">
      <formula>B29=""</formula>
    </cfRule>
  </conditionalFormatting>
  <conditionalFormatting sqref="E30">
    <cfRule type="expression" dxfId="2829" priority="387">
      <formula>B30=""</formula>
    </cfRule>
  </conditionalFormatting>
  <conditionalFormatting sqref="F10:F29">
    <cfRule type="expression" dxfId="2828" priority="386">
      <formula>B10=""</formula>
    </cfRule>
  </conditionalFormatting>
  <conditionalFormatting sqref="F11 F13 F15 F17 F19 F21 F23 F25 F27 F29">
    <cfRule type="expression" dxfId="2827" priority="385">
      <formula>B11=""</formula>
    </cfRule>
  </conditionalFormatting>
  <conditionalFormatting sqref="F12">
    <cfRule type="expression" dxfId="2826" priority="384">
      <formula>B12=""</formula>
    </cfRule>
  </conditionalFormatting>
  <conditionalFormatting sqref="F13:F23">
    <cfRule type="expression" dxfId="2825" priority="383">
      <formula>B13=""</formula>
    </cfRule>
  </conditionalFormatting>
  <conditionalFormatting sqref="F24">
    <cfRule type="expression" dxfId="2824" priority="382">
      <formula>B24=""</formula>
    </cfRule>
  </conditionalFormatting>
  <conditionalFormatting sqref="F25">
    <cfRule type="expression" dxfId="2823" priority="381">
      <formula>B25=""</formula>
    </cfRule>
  </conditionalFormatting>
  <conditionalFormatting sqref="F26">
    <cfRule type="expression" dxfId="2822" priority="380">
      <formula>B26=""</formula>
    </cfRule>
  </conditionalFormatting>
  <conditionalFormatting sqref="F27">
    <cfRule type="expression" dxfId="2821" priority="379">
      <formula>B27=""</formula>
    </cfRule>
  </conditionalFormatting>
  <conditionalFormatting sqref="F28">
    <cfRule type="expression" dxfId="2820" priority="378">
      <formula>B28=""</formula>
    </cfRule>
  </conditionalFormatting>
  <conditionalFormatting sqref="F29">
    <cfRule type="expression" dxfId="2819" priority="377">
      <formula>B29=""</formula>
    </cfRule>
  </conditionalFormatting>
  <conditionalFormatting sqref="F30">
    <cfRule type="expression" dxfId="2818" priority="376">
      <formula>B30=""</formula>
    </cfRule>
  </conditionalFormatting>
  <conditionalFormatting sqref="E11 E13 E15 E17 E19 E21 E23 E25 E27 E29">
    <cfRule type="expression" dxfId="2817" priority="375">
      <formula>B11=""</formula>
    </cfRule>
  </conditionalFormatting>
  <conditionalFormatting sqref="E12">
    <cfRule type="expression" dxfId="2816" priority="374">
      <formula>B12=""</formula>
    </cfRule>
  </conditionalFormatting>
  <conditionalFormatting sqref="E13:E23">
    <cfRule type="expression" dxfId="2815" priority="373">
      <formula>B13=""</formula>
    </cfRule>
  </conditionalFormatting>
  <conditionalFormatting sqref="E24">
    <cfRule type="expression" dxfId="2814" priority="372">
      <formula>B24=""</formula>
    </cfRule>
  </conditionalFormatting>
  <conditionalFormatting sqref="E25">
    <cfRule type="expression" dxfId="2813" priority="371">
      <formula>B25=""</formula>
    </cfRule>
  </conditionalFormatting>
  <conditionalFormatting sqref="E26">
    <cfRule type="expression" dxfId="2812" priority="370">
      <formula>B26=""</formula>
    </cfRule>
  </conditionalFormatting>
  <conditionalFormatting sqref="E27">
    <cfRule type="expression" dxfId="2811" priority="369">
      <formula>B27=""</formula>
    </cfRule>
  </conditionalFormatting>
  <conditionalFormatting sqref="E28">
    <cfRule type="expression" dxfId="2810" priority="368">
      <formula>B28=""</formula>
    </cfRule>
  </conditionalFormatting>
  <conditionalFormatting sqref="E29">
    <cfRule type="expression" dxfId="2809" priority="367">
      <formula>B29=""</formula>
    </cfRule>
  </conditionalFormatting>
  <conditionalFormatting sqref="E30">
    <cfRule type="expression" dxfId="2808" priority="366">
      <formula>B30=""</formula>
    </cfRule>
  </conditionalFormatting>
  <conditionalFormatting sqref="G10:G30">
    <cfRule type="expression" dxfId="2807" priority="365">
      <formula>B10=""</formula>
    </cfRule>
  </conditionalFormatting>
  <conditionalFormatting sqref="G11 G13 G15 G17 G19 G21 G23 G25 G27 G29">
    <cfRule type="expression" dxfId="2806" priority="364">
      <formula>B11=""</formula>
    </cfRule>
  </conditionalFormatting>
  <conditionalFormatting sqref="G12">
    <cfRule type="expression" dxfId="2805" priority="363">
      <formula>B12=""</formula>
    </cfRule>
  </conditionalFormatting>
  <conditionalFormatting sqref="G13:G23">
    <cfRule type="expression" dxfId="2804" priority="362">
      <formula>B13=""</formula>
    </cfRule>
  </conditionalFormatting>
  <conditionalFormatting sqref="G24">
    <cfRule type="expression" dxfId="2803" priority="361">
      <formula>B24=""</formula>
    </cfRule>
  </conditionalFormatting>
  <conditionalFormatting sqref="G25">
    <cfRule type="expression" dxfId="2802" priority="360">
      <formula>B25=""</formula>
    </cfRule>
  </conditionalFormatting>
  <conditionalFormatting sqref="G26">
    <cfRule type="expression" dxfId="2801" priority="359">
      <formula>B26=""</formula>
    </cfRule>
  </conditionalFormatting>
  <conditionalFormatting sqref="G27">
    <cfRule type="expression" dxfId="2800" priority="358">
      <formula>B27=""</formula>
    </cfRule>
  </conditionalFormatting>
  <conditionalFormatting sqref="G28">
    <cfRule type="expression" dxfId="2799" priority="357">
      <formula>B28=""</formula>
    </cfRule>
  </conditionalFormatting>
  <conditionalFormatting sqref="G29">
    <cfRule type="expression" dxfId="2798" priority="356">
      <formula>B29=""</formula>
    </cfRule>
  </conditionalFormatting>
  <conditionalFormatting sqref="G30">
    <cfRule type="expression" dxfId="2797" priority="355">
      <formula>B30=""</formula>
    </cfRule>
  </conditionalFormatting>
  <conditionalFormatting sqref="H10">
    <cfRule type="expression" dxfId="2796" priority="354">
      <formula>B10=""</formula>
    </cfRule>
  </conditionalFormatting>
  <conditionalFormatting sqref="H11">
    <cfRule type="expression" dxfId="2795" priority="353">
      <formula>B11=""</formula>
    </cfRule>
  </conditionalFormatting>
  <conditionalFormatting sqref="H12">
    <cfRule type="expression" dxfId="2794" priority="352">
      <formula>B12=""</formula>
    </cfRule>
  </conditionalFormatting>
  <conditionalFormatting sqref="H13:H23">
    <cfRule type="expression" dxfId="2793" priority="351">
      <formula>B13=""</formula>
    </cfRule>
  </conditionalFormatting>
  <conditionalFormatting sqref="H24">
    <cfRule type="expression" dxfId="2792" priority="350">
      <formula>B24=""</formula>
    </cfRule>
  </conditionalFormatting>
  <conditionalFormatting sqref="H25">
    <cfRule type="expression" dxfId="2791" priority="349">
      <formula>B25=""</formula>
    </cfRule>
  </conditionalFormatting>
  <conditionalFormatting sqref="H26">
    <cfRule type="expression" dxfId="2790" priority="348">
      <formula>B26=""</formula>
    </cfRule>
  </conditionalFormatting>
  <conditionalFormatting sqref="H27">
    <cfRule type="expression" dxfId="2789" priority="347">
      <formula>B27=""</formula>
    </cfRule>
  </conditionalFormatting>
  <conditionalFormatting sqref="H28">
    <cfRule type="expression" dxfId="2788" priority="346">
      <formula>B28=""</formula>
    </cfRule>
  </conditionalFormatting>
  <conditionalFormatting sqref="H29">
    <cfRule type="expression" dxfId="2787" priority="345">
      <formula>B29=""</formula>
    </cfRule>
  </conditionalFormatting>
  <conditionalFormatting sqref="H30">
    <cfRule type="expression" dxfId="2786" priority="344">
      <formula>B30=""</formula>
    </cfRule>
  </conditionalFormatting>
  <conditionalFormatting sqref="C36:C55">
    <cfRule type="expression" dxfId="2785" priority="342">
      <formula>B36=""</formula>
    </cfRule>
  </conditionalFormatting>
  <conditionalFormatting sqref="C37 C39 C41 C43 C45 C47 C49 C51 C53 C55">
    <cfRule type="expression" dxfId="2784" priority="341">
      <formula>B37=""</formula>
    </cfRule>
  </conditionalFormatting>
  <conditionalFormatting sqref="C38:C48">
    <cfRule type="expression" dxfId="2783" priority="340">
      <formula>B38=""</formula>
    </cfRule>
  </conditionalFormatting>
  <conditionalFormatting sqref="C49">
    <cfRule type="expression" dxfId="2782" priority="339">
      <formula>B49=""</formula>
    </cfRule>
  </conditionalFormatting>
  <conditionalFormatting sqref="C50">
    <cfRule type="expression" dxfId="2781" priority="338">
      <formula>B50=""</formula>
    </cfRule>
  </conditionalFormatting>
  <conditionalFormatting sqref="C51">
    <cfRule type="expression" dxfId="2780" priority="337">
      <formula>B51=""</formula>
    </cfRule>
  </conditionalFormatting>
  <conditionalFormatting sqref="C52">
    <cfRule type="expression" dxfId="2779" priority="336">
      <formula>B52=""</formula>
    </cfRule>
  </conditionalFormatting>
  <conditionalFormatting sqref="C53">
    <cfRule type="expression" dxfId="2778" priority="335">
      <formula>B53=""</formula>
    </cfRule>
  </conditionalFormatting>
  <conditionalFormatting sqref="C54">
    <cfRule type="expression" dxfId="2777" priority="334">
      <formula>B54=""</formula>
    </cfRule>
  </conditionalFormatting>
  <conditionalFormatting sqref="C55">
    <cfRule type="expression" dxfId="2776" priority="333">
      <formula>B55=""</formula>
    </cfRule>
  </conditionalFormatting>
  <conditionalFormatting sqref="C56">
    <cfRule type="expression" dxfId="2775" priority="332">
      <formula>B56=""</formula>
    </cfRule>
  </conditionalFormatting>
  <conditionalFormatting sqref="D36">
    <cfRule type="expression" dxfId="2774" priority="331">
      <formula>B36=""</formula>
    </cfRule>
  </conditionalFormatting>
  <conditionalFormatting sqref="D37">
    <cfRule type="expression" dxfId="2773" priority="330">
      <formula>B37=""</formula>
    </cfRule>
  </conditionalFormatting>
  <conditionalFormatting sqref="D38:D48">
    <cfRule type="expression" dxfId="2772" priority="329">
      <formula>B38=""</formula>
    </cfRule>
  </conditionalFormatting>
  <conditionalFormatting sqref="D49">
    <cfRule type="expression" dxfId="2771" priority="328">
      <formula>B49=""</formula>
    </cfRule>
  </conditionalFormatting>
  <conditionalFormatting sqref="D50">
    <cfRule type="expression" dxfId="2770" priority="327">
      <formula>B50=""</formula>
    </cfRule>
  </conditionalFormatting>
  <conditionalFormatting sqref="D51">
    <cfRule type="expression" dxfId="2769" priority="326">
      <formula>B51=""</formula>
    </cfRule>
  </conditionalFormatting>
  <conditionalFormatting sqref="D52">
    <cfRule type="expression" dxfId="2768" priority="325">
      <formula>B52=""</formula>
    </cfRule>
  </conditionalFormatting>
  <conditionalFormatting sqref="D53">
    <cfRule type="expression" dxfId="2767" priority="324">
      <formula>B53=""</formula>
    </cfRule>
  </conditionalFormatting>
  <conditionalFormatting sqref="D54">
    <cfRule type="expression" dxfId="2766" priority="323">
      <formula>B54=""</formula>
    </cfRule>
  </conditionalFormatting>
  <conditionalFormatting sqref="D55">
    <cfRule type="expression" dxfId="2765" priority="322">
      <formula>B55=""</formula>
    </cfRule>
  </conditionalFormatting>
  <conditionalFormatting sqref="D56">
    <cfRule type="expression" dxfId="2764" priority="321">
      <formula>B56=""</formula>
    </cfRule>
  </conditionalFormatting>
  <conditionalFormatting sqref="E36:E56">
    <cfRule type="expression" dxfId="2763" priority="320">
      <formula>B36=""</formula>
    </cfRule>
  </conditionalFormatting>
  <conditionalFormatting sqref="E37">
    <cfRule type="expression" dxfId="2762" priority="319">
      <formula>B37=""</formula>
    </cfRule>
  </conditionalFormatting>
  <conditionalFormatting sqref="E38:E48">
    <cfRule type="expression" dxfId="2761" priority="318">
      <formula>B38=""</formula>
    </cfRule>
  </conditionalFormatting>
  <conditionalFormatting sqref="E49">
    <cfRule type="expression" dxfId="2760" priority="317">
      <formula>B49=""</formula>
    </cfRule>
  </conditionalFormatting>
  <conditionalFormatting sqref="E50">
    <cfRule type="expression" dxfId="2759" priority="316">
      <formula>B50=""</formula>
    </cfRule>
  </conditionalFormatting>
  <conditionalFormatting sqref="E51">
    <cfRule type="expression" dxfId="2758" priority="315">
      <formula>B51=""</formula>
    </cfRule>
  </conditionalFormatting>
  <conditionalFormatting sqref="E52">
    <cfRule type="expression" dxfId="2757" priority="314">
      <formula>B52=""</formula>
    </cfRule>
  </conditionalFormatting>
  <conditionalFormatting sqref="E53">
    <cfRule type="expression" dxfId="2756" priority="313">
      <formula>B53=""</formula>
    </cfRule>
  </conditionalFormatting>
  <conditionalFormatting sqref="E54">
    <cfRule type="expression" dxfId="2755" priority="312">
      <formula>B54=""</formula>
    </cfRule>
  </conditionalFormatting>
  <conditionalFormatting sqref="E55">
    <cfRule type="expression" dxfId="2754" priority="311">
      <formula>B55=""</formula>
    </cfRule>
  </conditionalFormatting>
  <conditionalFormatting sqref="E56">
    <cfRule type="expression" dxfId="2753" priority="310">
      <formula>B56=""</formula>
    </cfRule>
  </conditionalFormatting>
  <conditionalFormatting sqref="F36:F56">
    <cfRule type="expression" dxfId="2752" priority="309">
      <formula>B36=""</formula>
    </cfRule>
  </conditionalFormatting>
  <conditionalFormatting sqref="F37">
    <cfRule type="expression" dxfId="2751" priority="308">
      <formula>B37=""</formula>
    </cfRule>
  </conditionalFormatting>
  <conditionalFormatting sqref="F38:F55">
    <cfRule type="expression" dxfId="2750" priority="307">
      <formula>B38=""</formula>
    </cfRule>
  </conditionalFormatting>
  <conditionalFormatting sqref="F49">
    <cfRule type="expression" dxfId="2749" priority="306">
      <formula>B49=""</formula>
    </cfRule>
  </conditionalFormatting>
  <conditionalFormatting sqref="F50">
    <cfRule type="expression" dxfId="2748" priority="305">
      <formula>B50=""</formula>
    </cfRule>
  </conditionalFormatting>
  <conditionalFormatting sqref="F51">
    <cfRule type="expression" dxfId="2747" priority="304">
      <formula>B51=""</formula>
    </cfRule>
  </conditionalFormatting>
  <conditionalFormatting sqref="F52">
    <cfRule type="expression" dxfId="2746" priority="303">
      <formula>B52=""</formula>
    </cfRule>
  </conditionalFormatting>
  <conditionalFormatting sqref="F53">
    <cfRule type="expression" dxfId="2745" priority="302">
      <formula>B53=""</formula>
    </cfRule>
  </conditionalFormatting>
  <conditionalFormatting sqref="F54">
    <cfRule type="expression" dxfId="2744" priority="301">
      <formula>B54=""</formula>
    </cfRule>
  </conditionalFormatting>
  <conditionalFormatting sqref="F55">
    <cfRule type="expression" dxfId="2743" priority="300">
      <formula>B55=""</formula>
    </cfRule>
  </conditionalFormatting>
  <conditionalFormatting sqref="F56">
    <cfRule type="expression" dxfId="2742" priority="299">
      <formula>B56=""</formula>
    </cfRule>
  </conditionalFormatting>
  <conditionalFormatting sqref="E37">
    <cfRule type="expression" dxfId="2741" priority="298">
      <formula>B37=""</formula>
    </cfRule>
  </conditionalFormatting>
  <conditionalFormatting sqref="E38:E48">
    <cfRule type="expression" dxfId="2740" priority="297">
      <formula>B38=""</formula>
    </cfRule>
  </conditionalFormatting>
  <conditionalFormatting sqref="E49">
    <cfRule type="expression" dxfId="2739" priority="296">
      <formula>B49=""</formula>
    </cfRule>
  </conditionalFormatting>
  <conditionalFormatting sqref="E50">
    <cfRule type="expression" dxfId="2738" priority="295">
      <formula>B50=""</formula>
    </cfRule>
  </conditionalFormatting>
  <conditionalFormatting sqref="E51">
    <cfRule type="expression" dxfId="2737" priority="294">
      <formula>B51=""</formula>
    </cfRule>
  </conditionalFormatting>
  <conditionalFormatting sqref="E52">
    <cfRule type="expression" dxfId="2736" priority="293">
      <formula>B52=""</formula>
    </cfRule>
  </conditionalFormatting>
  <conditionalFormatting sqref="E53">
    <cfRule type="expression" dxfId="2735" priority="292">
      <formula>B53=""</formula>
    </cfRule>
  </conditionalFormatting>
  <conditionalFormatting sqref="E54">
    <cfRule type="expression" dxfId="2734" priority="291">
      <formula>B54=""</formula>
    </cfRule>
  </conditionalFormatting>
  <conditionalFormatting sqref="E55">
    <cfRule type="expression" dxfId="2733" priority="290">
      <formula>B55=""</formula>
    </cfRule>
  </conditionalFormatting>
  <conditionalFormatting sqref="E56">
    <cfRule type="expression" dxfId="2732" priority="289">
      <formula>B56=""</formula>
    </cfRule>
  </conditionalFormatting>
  <conditionalFormatting sqref="G36:G56">
    <cfRule type="expression" dxfId="2731" priority="288">
      <formula>B36=""</formula>
    </cfRule>
  </conditionalFormatting>
  <conditionalFormatting sqref="G37">
    <cfRule type="expression" dxfId="2730" priority="287">
      <formula>B37=""</formula>
    </cfRule>
  </conditionalFormatting>
  <conditionalFormatting sqref="G38:G55">
    <cfRule type="expression" dxfId="2729" priority="286">
      <formula>B38=""</formula>
    </cfRule>
  </conditionalFormatting>
  <conditionalFormatting sqref="G49">
    <cfRule type="expression" dxfId="2728" priority="285">
      <formula>B49=""</formula>
    </cfRule>
  </conditionalFormatting>
  <conditionalFormatting sqref="G50">
    <cfRule type="expression" dxfId="2727" priority="284">
      <formula>B50=""</formula>
    </cfRule>
  </conditionalFormatting>
  <conditionalFormatting sqref="G51">
    <cfRule type="expression" dxfId="2726" priority="283">
      <formula>B51=""</formula>
    </cfRule>
  </conditionalFormatting>
  <conditionalFormatting sqref="G52">
    <cfRule type="expression" dxfId="2725" priority="282">
      <formula>B52=""</formula>
    </cfRule>
  </conditionalFormatting>
  <conditionalFormatting sqref="G53">
    <cfRule type="expression" dxfId="2724" priority="281">
      <formula>B53=""</formula>
    </cfRule>
  </conditionalFormatting>
  <conditionalFormatting sqref="G54">
    <cfRule type="expression" dxfId="2723" priority="280">
      <formula>B54=""</formula>
    </cfRule>
  </conditionalFormatting>
  <conditionalFormatting sqref="G55">
    <cfRule type="expression" dxfId="2722" priority="279">
      <formula>B55=""</formula>
    </cfRule>
  </conditionalFormatting>
  <conditionalFormatting sqref="G56">
    <cfRule type="expression" dxfId="2721" priority="278">
      <formula>B56=""</formula>
    </cfRule>
  </conditionalFormatting>
  <conditionalFormatting sqref="H36:H56">
    <cfRule type="expression" dxfId="2720" priority="277">
      <formula>B36=""</formula>
    </cfRule>
  </conditionalFormatting>
  <conditionalFormatting sqref="H37">
    <cfRule type="expression" dxfId="2719" priority="276">
      <formula>B37=""</formula>
    </cfRule>
  </conditionalFormatting>
  <conditionalFormatting sqref="H38:H55">
    <cfRule type="expression" dxfId="2718" priority="275">
      <formula>B38=""</formula>
    </cfRule>
  </conditionalFormatting>
  <conditionalFormatting sqref="H49">
    <cfRule type="expression" dxfId="2717" priority="274">
      <formula>B49=""</formula>
    </cfRule>
  </conditionalFormatting>
  <conditionalFormatting sqref="H50">
    <cfRule type="expression" dxfId="2716" priority="273">
      <formula>B50=""</formula>
    </cfRule>
  </conditionalFormatting>
  <conditionalFormatting sqref="H51">
    <cfRule type="expression" dxfId="2715" priority="272">
      <formula>B51=""</formula>
    </cfRule>
  </conditionalFormatting>
  <conditionalFormatting sqref="H52">
    <cfRule type="expression" dxfId="2714" priority="271">
      <formula>B52=""</formula>
    </cfRule>
  </conditionalFormatting>
  <conditionalFormatting sqref="H53">
    <cfRule type="expression" dxfId="2713" priority="270">
      <formula>B53=""</formula>
    </cfRule>
  </conditionalFormatting>
  <conditionalFormatting sqref="H54">
    <cfRule type="expression" dxfId="2712" priority="269">
      <formula>B54=""</formula>
    </cfRule>
  </conditionalFormatting>
  <conditionalFormatting sqref="H55">
    <cfRule type="expression" dxfId="2711" priority="268">
      <formula>B55=""</formula>
    </cfRule>
  </conditionalFormatting>
  <conditionalFormatting sqref="H56">
    <cfRule type="expression" dxfId="2710" priority="267">
      <formula>B56=""</formula>
    </cfRule>
  </conditionalFormatting>
  <conditionalFormatting sqref="C85:C104">
    <cfRule type="expression" dxfId="2709" priority="266">
      <formula>B85=""</formula>
    </cfRule>
  </conditionalFormatting>
  <conditionalFormatting sqref="C86 C88 C90 C92 C94 C96 C98 C100 C102 C104">
    <cfRule type="expression" dxfId="2708" priority="265">
      <formula>B86=""</formula>
    </cfRule>
  </conditionalFormatting>
  <conditionalFormatting sqref="C87">
    <cfRule type="expression" dxfId="2707" priority="264">
      <formula>B87=""</formula>
    </cfRule>
  </conditionalFormatting>
  <conditionalFormatting sqref="C88:C98">
    <cfRule type="expression" dxfId="2706" priority="263">
      <formula>B88=""</formula>
    </cfRule>
  </conditionalFormatting>
  <conditionalFormatting sqref="C99">
    <cfRule type="expression" dxfId="2705" priority="262">
      <formula>B99=""</formula>
    </cfRule>
  </conditionalFormatting>
  <conditionalFormatting sqref="C100">
    <cfRule type="expression" dxfId="2704" priority="261">
      <formula>B100=""</formula>
    </cfRule>
  </conditionalFormatting>
  <conditionalFormatting sqref="C101">
    <cfRule type="expression" dxfId="2703" priority="260">
      <formula>B101=""</formula>
    </cfRule>
  </conditionalFormatting>
  <conditionalFormatting sqref="C102">
    <cfRule type="expression" dxfId="2702" priority="259">
      <formula>B102=""</formula>
    </cfRule>
  </conditionalFormatting>
  <conditionalFormatting sqref="C103">
    <cfRule type="expression" dxfId="2701" priority="258">
      <formula>B103=""</formula>
    </cfRule>
  </conditionalFormatting>
  <conditionalFormatting sqref="C104">
    <cfRule type="expression" dxfId="2700" priority="257">
      <formula>B104=""</formula>
    </cfRule>
  </conditionalFormatting>
  <conditionalFormatting sqref="C105">
    <cfRule type="expression" dxfId="2699" priority="256">
      <formula>B105=""</formula>
    </cfRule>
  </conditionalFormatting>
  <conditionalFormatting sqref="C107:C126">
    <cfRule type="expression" dxfId="2698" priority="255">
      <formula>B107=""</formula>
    </cfRule>
  </conditionalFormatting>
  <conditionalFormatting sqref="C108 C110 C112 C114 C116 C118 C120 C122 C124 C126">
    <cfRule type="expression" dxfId="2697" priority="254">
      <formula>B108=""</formula>
    </cfRule>
  </conditionalFormatting>
  <conditionalFormatting sqref="C109">
    <cfRule type="expression" dxfId="2696" priority="253">
      <formula>B109=""</formula>
    </cfRule>
  </conditionalFormatting>
  <conditionalFormatting sqref="C110:C120">
    <cfRule type="expression" dxfId="2695" priority="252">
      <formula>B110=""</formula>
    </cfRule>
  </conditionalFormatting>
  <conditionalFormatting sqref="C121">
    <cfRule type="expression" dxfId="2694" priority="251">
      <formula>B121=""</formula>
    </cfRule>
  </conditionalFormatting>
  <conditionalFormatting sqref="C122">
    <cfRule type="expression" dxfId="2693" priority="250">
      <formula>B122=""</formula>
    </cfRule>
  </conditionalFormatting>
  <conditionalFormatting sqref="C123">
    <cfRule type="expression" dxfId="2692" priority="249">
      <formula>B123=""</formula>
    </cfRule>
  </conditionalFormatting>
  <conditionalFormatting sqref="C124">
    <cfRule type="expression" dxfId="2691" priority="248">
      <formula>B124=""</formula>
    </cfRule>
  </conditionalFormatting>
  <conditionalFormatting sqref="C125">
    <cfRule type="expression" dxfId="2690" priority="247">
      <formula>B125=""</formula>
    </cfRule>
  </conditionalFormatting>
  <conditionalFormatting sqref="C126">
    <cfRule type="expression" dxfId="2689" priority="246">
      <formula>B126=""</formula>
    </cfRule>
  </conditionalFormatting>
  <conditionalFormatting sqref="C127">
    <cfRule type="expression" dxfId="2688" priority="245">
      <formula>B127=""</formula>
    </cfRule>
  </conditionalFormatting>
  <conditionalFormatting sqref="C129:C148">
    <cfRule type="expression" dxfId="2687" priority="244">
      <formula>B129=""</formula>
    </cfRule>
  </conditionalFormatting>
  <conditionalFormatting sqref="C130 C132 C134 C136 C138 C140 C142 C144 C146 C148">
    <cfRule type="expression" dxfId="2686" priority="243">
      <formula>B130=""</formula>
    </cfRule>
  </conditionalFormatting>
  <conditionalFormatting sqref="C131">
    <cfRule type="expression" dxfId="2685" priority="242">
      <formula>B131=""</formula>
    </cfRule>
  </conditionalFormatting>
  <conditionalFormatting sqref="C132:C142">
    <cfRule type="expression" dxfId="2684" priority="241">
      <formula>B132=""</formula>
    </cfRule>
  </conditionalFormatting>
  <conditionalFormatting sqref="C143">
    <cfRule type="expression" dxfId="2683" priority="240">
      <formula>B143=""</formula>
    </cfRule>
  </conditionalFormatting>
  <conditionalFormatting sqref="C144">
    <cfRule type="expression" dxfId="2682" priority="239">
      <formula>B144=""</formula>
    </cfRule>
  </conditionalFormatting>
  <conditionalFormatting sqref="C145">
    <cfRule type="expression" dxfId="2681" priority="238">
      <formula>B145=""</formula>
    </cfRule>
  </conditionalFormatting>
  <conditionalFormatting sqref="C146">
    <cfRule type="expression" dxfId="2680" priority="237">
      <formula>B146=""</formula>
    </cfRule>
  </conditionalFormatting>
  <conditionalFormatting sqref="C147">
    <cfRule type="expression" dxfId="2679" priority="236">
      <formula>B147=""</formula>
    </cfRule>
  </conditionalFormatting>
  <conditionalFormatting sqref="C148">
    <cfRule type="expression" dxfId="2678" priority="235">
      <formula>B148=""</formula>
    </cfRule>
  </conditionalFormatting>
  <conditionalFormatting sqref="C149">
    <cfRule type="expression" dxfId="2677" priority="234">
      <formula>B149=""</formula>
    </cfRule>
  </conditionalFormatting>
  <conditionalFormatting sqref="C151:C170">
    <cfRule type="expression" dxfId="2676" priority="233">
      <formula>B151=""</formula>
    </cfRule>
  </conditionalFormatting>
  <conditionalFormatting sqref="C152 C154 C156 C158 C160 C162 C164 C166 C168 C170">
    <cfRule type="expression" dxfId="2675" priority="232">
      <formula>B152=""</formula>
    </cfRule>
  </conditionalFormatting>
  <conditionalFormatting sqref="C153:C163">
    <cfRule type="expression" dxfId="2674" priority="231">
      <formula>B153=""</formula>
    </cfRule>
  </conditionalFormatting>
  <conditionalFormatting sqref="C164">
    <cfRule type="expression" dxfId="2673" priority="230">
      <formula>B164=""</formula>
    </cfRule>
  </conditionalFormatting>
  <conditionalFormatting sqref="C165">
    <cfRule type="expression" dxfId="2672" priority="229">
      <formula>B165=""</formula>
    </cfRule>
  </conditionalFormatting>
  <conditionalFormatting sqref="C166">
    <cfRule type="expression" dxfId="2671" priority="228">
      <formula>B166=""</formula>
    </cfRule>
  </conditionalFormatting>
  <conditionalFormatting sqref="C167">
    <cfRule type="expression" dxfId="2670" priority="227">
      <formula>B167=""</formula>
    </cfRule>
  </conditionalFormatting>
  <conditionalFormatting sqref="C168">
    <cfRule type="expression" dxfId="2669" priority="226">
      <formula>B168=""</formula>
    </cfRule>
  </conditionalFormatting>
  <conditionalFormatting sqref="C169">
    <cfRule type="expression" dxfId="2668" priority="225">
      <formula>B169=""</formula>
    </cfRule>
  </conditionalFormatting>
  <conditionalFormatting sqref="C170">
    <cfRule type="expression" dxfId="2667" priority="224">
      <formula>B170=""</formula>
    </cfRule>
  </conditionalFormatting>
  <conditionalFormatting sqref="C171">
    <cfRule type="expression" dxfId="2666" priority="223">
      <formula>B171=""</formula>
    </cfRule>
  </conditionalFormatting>
  <conditionalFormatting sqref="B10:B29">
    <cfRule type="containsBlanks" dxfId="2665" priority="69">
      <formula>LEN(TRIM(B10))=0</formula>
    </cfRule>
  </conditionalFormatting>
  <conditionalFormatting sqref="B10:B29">
    <cfRule type="containsBlanks" dxfId="2664" priority="68">
      <formula>LEN(TRIM(B10))=0</formula>
    </cfRule>
  </conditionalFormatting>
  <conditionalFormatting sqref="B10:B29">
    <cfRule type="containsBlanks" dxfId="2663" priority="67">
      <formula>LEN(TRIM(B10))=0</formula>
    </cfRule>
  </conditionalFormatting>
  <conditionalFormatting sqref="B10:B29">
    <cfRule type="containsBlanks" dxfId="2662" priority="66">
      <formula>LEN(TRIM(B10))=0</formula>
    </cfRule>
  </conditionalFormatting>
  <conditionalFormatting sqref="B10:B29">
    <cfRule type="containsBlanks" dxfId="2661" priority="65">
      <formula>LEN(TRIM(B10))=0</formula>
    </cfRule>
  </conditionalFormatting>
  <conditionalFormatting sqref="B10:B29">
    <cfRule type="containsBlanks" dxfId="2660" priority="64">
      <formula>LEN(TRIM(B10))=0</formula>
    </cfRule>
  </conditionalFormatting>
  <conditionalFormatting sqref="B10:B29">
    <cfRule type="containsBlanks" dxfId="2659" priority="63">
      <formula>LEN(TRIM(B10))=0</formula>
    </cfRule>
  </conditionalFormatting>
  <conditionalFormatting sqref="B10:B29">
    <cfRule type="containsBlanks" dxfId="2658" priority="62">
      <formula>LEN(TRIM(B10))=0</formula>
    </cfRule>
  </conditionalFormatting>
  <conditionalFormatting sqref="B10:B29">
    <cfRule type="containsBlanks" dxfId="2657" priority="61">
      <formula>LEN(TRIM(B10))=0</formula>
    </cfRule>
  </conditionalFormatting>
  <conditionalFormatting sqref="B10:B29">
    <cfRule type="containsBlanks" dxfId="2656" priority="60">
      <formula>LEN(TRIM(B10))=0</formula>
    </cfRule>
  </conditionalFormatting>
  <conditionalFormatting sqref="B36:B55">
    <cfRule type="containsBlanks" dxfId="2655" priority="59">
      <formula>LEN(TRIM(B36))=0</formula>
    </cfRule>
  </conditionalFormatting>
  <conditionalFormatting sqref="B36:B55">
    <cfRule type="containsBlanks" dxfId="2654" priority="58">
      <formula>LEN(TRIM(B36))=0</formula>
    </cfRule>
  </conditionalFormatting>
  <conditionalFormatting sqref="B36:B55">
    <cfRule type="containsBlanks" dxfId="2653" priority="57">
      <formula>LEN(TRIM(B36))=0</formula>
    </cfRule>
  </conditionalFormatting>
  <conditionalFormatting sqref="B36:B55">
    <cfRule type="containsBlanks" dxfId="2652" priority="56">
      <formula>LEN(TRIM(B36))=0</formula>
    </cfRule>
  </conditionalFormatting>
  <conditionalFormatting sqref="B36:B55">
    <cfRule type="containsBlanks" dxfId="2651" priority="55">
      <formula>LEN(TRIM(B36))=0</formula>
    </cfRule>
  </conditionalFormatting>
  <conditionalFormatting sqref="B36:B55">
    <cfRule type="containsBlanks" dxfId="2650" priority="54">
      <formula>LEN(TRIM(B36))=0</formula>
    </cfRule>
  </conditionalFormatting>
  <conditionalFormatting sqref="B36:B55">
    <cfRule type="containsBlanks" dxfId="2649" priority="53">
      <formula>LEN(TRIM(B36))=0</formula>
    </cfRule>
  </conditionalFormatting>
  <conditionalFormatting sqref="B36:B55">
    <cfRule type="containsBlanks" dxfId="2648" priority="52">
      <formula>LEN(TRIM(B36))=0</formula>
    </cfRule>
  </conditionalFormatting>
  <conditionalFormatting sqref="B36:B55">
    <cfRule type="containsBlanks" dxfId="2647" priority="51">
      <formula>LEN(TRIM(B36))=0</formula>
    </cfRule>
  </conditionalFormatting>
  <conditionalFormatting sqref="B36:B55">
    <cfRule type="containsBlanks" dxfId="2646" priority="50">
      <formula>LEN(TRIM(B36))=0</formula>
    </cfRule>
  </conditionalFormatting>
  <conditionalFormatting sqref="B85:B104">
    <cfRule type="containsBlanks" dxfId="2645" priority="49">
      <formula>LEN(TRIM(B85))=0</formula>
    </cfRule>
  </conditionalFormatting>
  <conditionalFormatting sqref="B85:B104">
    <cfRule type="containsBlanks" dxfId="2644" priority="48">
      <formula>LEN(TRIM(B85))=0</formula>
    </cfRule>
  </conditionalFormatting>
  <conditionalFormatting sqref="B85:B104">
    <cfRule type="containsBlanks" dxfId="2643" priority="47">
      <formula>LEN(TRIM(B85))=0</formula>
    </cfRule>
  </conditionalFormatting>
  <conditionalFormatting sqref="B85:B104">
    <cfRule type="containsBlanks" dxfId="2642" priority="46">
      <formula>LEN(TRIM(B85))=0</formula>
    </cfRule>
  </conditionalFormatting>
  <conditionalFormatting sqref="B85:B104">
    <cfRule type="containsBlanks" dxfId="2641" priority="45">
      <formula>LEN(TRIM(B85))=0</formula>
    </cfRule>
  </conditionalFormatting>
  <conditionalFormatting sqref="B85:B104">
    <cfRule type="containsBlanks" dxfId="2640" priority="44">
      <formula>LEN(TRIM(B85))=0</formula>
    </cfRule>
  </conditionalFormatting>
  <conditionalFormatting sqref="B85:B104">
    <cfRule type="containsBlanks" dxfId="2639" priority="43">
      <formula>LEN(TRIM(B85))=0</formula>
    </cfRule>
  </conditionalFormatting>
  <conditionalFormatting sqref="B85:B104">
    <cfRule type="containsBlanks" dxfId="2638" priority="42">
      <formula>LEN(TRIM(B85))=0</formula>
    </cfRule>
  </conditionalFormatting>
  <conditionalFormatting sqref="B85:B104">
    <cfRule type="containsBlanks" dxfId="2637" priority="41">
      <formula>LEN(TRIM(B85))=0</formula>
    </cfRule>
  </conditionalFormatting>
  <conditionalFormatting sqref="B85:B104">
    <cfRule type="containsBlanks" dxfId="2636" priority="40">
      <formula>LEN(TRIM(B85))=0</formula>
    </cfRule>
  </conditionalFormatting>
  <conditionalFormatting sqref="B107:B126">
    <cfRule type="containsBlanks" dxfId="2635" priority="39">
      <formula>LEN(TRIM(B107))=0</formula>
    </cfRule>
  </conditionalFormatting>
  <conditionalFormatting sqref="B107:B126">
    <cfRule type="containsBlanks" dxfId="2634" priority="38">
      <formula>LEN(TRIM(B107))=0</formula>
    </cfRule>
  </conditionalFormatting>
  <conditionalFormatting sqref="B107:B126">
    <cfRule type="containsBlanks" dxfId="2633" priority="37">
      <formula>LEN(TRIM(B107))=0</formula>
    </cfRule>
  </conditionalFormatting>
  <conditionalFormatting sqref="B107:B126">
    <cfRule type="containsBlanks" dxfId="2632" priority="36">
      <formula>LEN(TRIM(B107))=0</formula>
    </cfRule>
  </conditionalFormatting>
  <conditionalFormatting sqref="B107:B126">
    <cfRule type="containsBlanks" dxfId="2631" priority="35">
      <formula>LEN(TRIM(B107))=0</formula>
    </cfRule>
  </conditionalFormatting>
  <conditionalFormatting sqref="B107:B126">
    <cfRule type="containsBlanks" dxfId="2630" priority="34">
      <formula>LEN(TRIM(B107))=0</formula>
    </cfRule>
  </conditionalFormatting>
  <conditionalFormatting sqref="B107:B126">
    <cfRule type="containsBlanks" dxfId="2629" priority="33">
      <formula>LEN(TRIM(B107))=0</formula>
    </cfRule>
  </conditionalFormatting>
  <conditionalFormatting sqref="B107:B126">
    <cfRule type="containsBlanks" dxfId="2628" priority="32">
      <formula>LEN(TRIM(B107))=0</formula>
    </cfRule>
  </conditionalFormatting>
  <conditionalFormatting sqref="B107:B126">
    <cfRule type="containsBlanks" dxfId="2627" priority="31">
      <formula>LEN(TRIM(B107))=0</formula>
    </cfRule>
  </conditionalFormatting>
  <conditionalFormatting sqref="B107:B126">
    <cfRule type="containsBlanks" dxfId="2626" priority="30">
      <formula>LEN(TRIM(B107))=0</formula>
    </cfRule>
  </conditionalFormatting>
  <conditionalFormatting sqref="B129:B148">
    <cfRule type="containsBlanks" dxfId="2625" priority="29">
      <formula>LEN(TRIM(B129))=0</formula>
    </cfRule>
  </conditionalFormatting>
  <conditionalFormatting sqref="B129:B148">
    <cfRule type="containsBlanks" dxfId="2624" priority="28">
      <formula>LEN(TRIM(B129))=0</formula>
    </cfRule>
  </conditionalFormatting>
  <conditionalFormatting sqref="B129:B148">
    <cfRule type="containsBlanks" dxfId="2623" priority="27">
      <formula>LEN(TRIM(B129))=0</formula>
    </cfRule>
  </conditionalFormatting>
  <conditionalFormatting sqref="B129:B148">
    <cfRule type="containsBlanks" dxfId="2622" priority="26">
      <formula>LEN(TRIM(B129))=0</formula>
    </cfRule>
  </conditionalFormatting>
  <conditionalFormatting sqref="B129:B148">
    <cfRule type="containsBlanks" dxfId="2621" priority="25">
      <formula>LEN(TRIM(B129))=0</formula>
    </cfRule>
  </conditionalFormatting>
  <conditionalFormatting sqref="B129:B148">
    <cfRule type="containsBlanks" dxfId="2620" priority="24">
      <formula>LEN(TRIM(B129))=0</formula>
    </cfRule>
  </conditionalFormatting>
  <conditionalFormatting sqref="B129:B148">
    <cfRule type="containsBlanks" dxfId="2619" priority="23">
      <formula>LEN(TRIM(B129))=0</formula>
    </cfRule>
  </conditionalFormatting>
  <conditionalFormatting sqref="B129:B148">
    <cfRule type="containsBlanks" dxfId="2618" priority="22">
      <formula>LEN(TRIM(B129))=0</formula>
    </cfRule>
  </conditionalFormatting>
  <conditionalFormatting sqref="B129:B148">
    <cfRule type="containsBlanks" dxfId="2617" priority="21">
      <formula>LEN(TRIM(B129))=0</formula>
    </cfRule>
  </conditionalFormatting>
  <conditionalFormatting sqref="B129:B148">
    <cfRule type="containsBlanks" dxfId="2616" priority="20">
      <formula>LEN(TRIM(B129))=0</formula>
    </cfRule>
  </conditionalFormatting>
  <conditionalFormatting sqref="B151:B170">
    <cfRule type="containsBlanks" dxfId="2615" priority="19">
      <formula>LEN(TRIM(B151))=0</formula>
    </cfRule>
  </conditionalFormatting>
  <conditionalFormatting sqref="B151:B170">
    <cfRule type="containsBlanks" dxfId="2614" priority="18">
      <formula>LEN(TRIM(B151))=0</formula>
    </cfRule>
  </conditionalFormatting>
  <conditionalFormatting sqref="B151:B170">
    <cfRule type="containsBlanks" dxfId="2613" priority="17">
      <formula>LEN(TRIM(B151))=0</formula>
    </cfRule>
  </conditionalFormatting>
  <conditionalFormatting sqref="B151:B170">
    <cfRule type="containsBlanks" dxfId="2612" priority="16">
      <formula>LEN(TRIM(B151))=0</formula>
    </cfRule>
  </conditionalFormatting>
  <conditionalFormatting sqref="B151:B170">
    <cfRule type="containsBlanks" dxfId="2611" priority="15">
      <formula>LEN(TRIM(B151))=0</formula>
    </cfRule>
  </conditionalFormatting>
  <conditionalFormatting sqref="B151:B170">
    <cfRule type="containsBlanks" dxfId="2610" priority="14">
      <formula>LEN(TRIM(B151))=0</formula>
    </cfRule>
  </conditionalFormatting>
  <conditionalFormatting sqref="B151:B170">
    <cfRule type="containsBlanks" dxfId="2609" priority="13">
      <formula>LEN(TRIM(B151))=0</formula>
    </cfRule>
  </conditionalFormatting>
  <conditionalFormatting sqref="B151:B170">
    <cfRule type="containsBlanks" dxfId="2608" priority="12">
      <formula>LEN(TRIM(B151))=0</formula>
    </cfRule>
  </conditionalFormatting>
  <conditionalFormatting sqref="B151:B170">
    <cfRule type="containsBlanks" dxfId="2607" priority="11">
      <formula>LEN(TRIM(B151))=0</formula>
    </cfRule>
  </conditionalFormatting>
  <conditionalFormatting sqref="B151:B170">
    <cfRule type="containsBlanks" dxfId="2606" priority="10">
      <formula>LEN(TRIM(B151))=0</formula>
    </cfRule>
  </conditionalFormatting>
  <conditionalFormatting sqref="E107:E127">
    <cfRule type="expression" dxfId="2605" priority="9">
      <formula>B107=""</formula>
    </cfRule>
  </conditionalFormatting>
  <conditionalFormatting sqref="E107:E127">
    <cfRule type="expression" dxfId="2604" priority="8">
      <formula>B107=""</formula>
    </cfRule>
  </conditionalFormatting>
  <conditionalFormatting sqref="E107:E127">
    <cfRule type="expression" dxfId="2603" priority="7">
      <formula>B107=""</formula>
    </cfRule>
  </conditionalFormatting>
  <conditionalFormatting sqref="E129:E149">
    <cfRule type="expression" dxfId="2602" priority="6">
      <formula>B129=""</formula>
    </cfRule>
  </conditionalFormatting>
  <conditionalFormatting sqref="E129:E149">
    <cfRule type="expression" dxfId="2601" priority="5">
      <formula>B129=""</formula>
    </cfRule>
  </conditionalFormatting>
  <conditionalFormatting sqref="E129:E149">
    <cfRule type="expression" dxfId="2600" priority="4">
      <formula>B129=""</formula>
    </cfRule>
  </conditionalFormatting>
  <conditionalFormatting sqref="E151:E171">
    <cfRule type="expression" dxfId="2599" priority="3">
      <formula>B151=""</formula>
    </cfRule>
  </conditionalFormatting>
  <conditionalFormatting sqref="E151:E171">
    <cfRule type="expression" dxfId="2598" priority="2">
      <formula>B151=""</formula>
    </cfRule>
  </conditionalFormatting>
  <conditionalFormatting sqref="E151:E171">
    <cfRule type="expression" dxfId="2597" priority="1">
      <formula>B151=""</formula>
    </cfRule>
  </conditionalFormatting>
  <printOptions horizontalCentered="1"/>
  <pageMargins left="0.15748031496062992" right="0.23622047244094491" top="0.23622047244094491" bottom="0.27559055118110237" header="0.15748031496062992" footer="0.15748031496062992"/>
  <pageSetup paperSize="9" scale="71" fitToHeight="0" orientation="portrait" r:id="rId1"/>
  <headerFooter>
    <oddHeader>&amp;L&amp;"Calibri"&amp;10&amp;K000000Sensitivity - General&amp;1#</oddHeader>
  </headerFooter>
  <rowBreaks count="1" manualBreakCount="1">
    <brk id="8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4">
    <tabColor rgb="FFFF0000"/>
    <pageSetUpPr fitToPage="1"/>
  </sheetPr>
  <dimension ref="A1:F45"/>
  <sheetViews>
    <sheetView workbookViewId="0">
      <selection activeCell="B4" sqref="B4:E5"/>
    </sheetView>
  </sheetViews>
  <sheetFormatPr defaultColWidth="9.140625" defaultRowHeight="12.75"/>
  <cols>
    <col min="1" max="1" width="19.5703125" style="83" customWidth="1"/>
    <col min="2" max="2" width="31.85546875" style="83" customWidth="1"/>
    <col min="3" max="3" width="10.7109375" style="83" customWidth="1"/>
    <col min="4" max="5" width="19.5703125" style="83" customWidth="1"/>
    <col min="6" max="16384" width="9.140625" style="83"/>
  </cols>
  <sheetData>
    <row r="1" spans="1:6" ht="17.25" customHeight="1">
      <c r="A1" s="1086" t="s">
        <v>36</v>
      </c>
      <c r="B1" s="1086"/>
      <c r="C1" s="1086"/>
      <c r="D1" s="1086"/>
      <c r="E1" s="1086"/>
      <c r="F1" s="82"/>
    </row>
    <row r="2" spans="1:6" ht="27" customHeight="1">
      <c r="A2" s="283" t="str">
        <f>'All Hours'!D1</f>
        <v>PLEASE INSERT TENDERER NAME ON INPUT DATA SHEET</v>
      </c>
      <c r="C2" s="85"/>
      <c r="D2" s="85"/>
      <c r="E2" s="85"/>
      <c r="F2" s="85"/>
    </row>
    <row r="3" spans="1:6">
      <c r="A3" s="236" t="s">
        <v>221</v>
      </c>
      <c r="B3" s="235" t="str">
        <f>DATA!C1004</f>
        <v>NRA.N.011-050-2012/1F</v>
      </c>
    </row>
    <row r="4" spans="1:6">
      <c r="A4" s="236" t="s">
        <v>218</v>
      </c>
      <c r="B4" s="1096" t="str">
        <f>DATA!C1005</f>
        <v>CONSULTING ENGINEERING SERVICES FOR THE PRELIMINARY DESIGN REVIEW,DETAIL DESIGN, CONTRACT DOCUMENTATION AND CONSTRUCTION MONITORING OF THE ERMELO RING ROAD</v>
      </c>
      <c r="C4" s="1096"/>
      <c r="D4" s="1096"/>
      <c r="E4" s="1096"/>
    </row>
    <row r="5" spans="1:6">
      <c r="B5" s="1096"/>
      <c r="C5" s="1096"/>
      <c r="D5" s="1096"/>
      <c r="E5" s="1096"/>
    </row>
    <row r="6" spans="1:6">
      <c r="A6" s="85"/>
      <c r="B6" s="85"/>
      <c r="C6" s="85"/>
      <c r="D6" s="85"/>
      <c r="E6" s="84"/>
    </row>
    <row r="7" spans="1:6">
      <c r="A7" s="85" t="s">
        <v>836</v>
      </c>
      <c r="B7" s="85"/>
      <c r="C7" s="85"/>
      <c r="D7" s="85"/>
      <c r="E7" s="84"/>
    </row>
    <row r="8" spans="1:6" ht="13.5" thickBot="1">
      <c r="A8" s="86"/>
      <c r="B8" s="87"/>
      <c r="C8" s="87"/>
      <c r="D8" s="88"/>
      <c r="E8" s="88"/>
    </row>
    <row r="9" spans="1:6" ht="24.75" customHeight="1" thickBot="1">
      <c r="A9" s="1087" t="s">
        <v>37</v>
      </c>
      <c r="B9" s="1088"/>
      <c r="C9" s="1088"/>
      <c r="D9" s="1088"/>
      <c r="E9" s="1089"/>
    </row>
    <row r="10" spans="1:6" ht="45" customHeight="1" thickBot="1">
      <c r="A10" s="1090" t="s">
        <v>44</v>
      </c>
      <c r="B10" s="1091"/>
      <c r="C10" s="1091"/>
      <c r="D10" s="1092"/>
      <c r="E10" s="237">
        <f>'All Hours'!E83</f>
        <v>0</v>
      </c>
    </row>
    <row r="11" spans="1:6" ht="40.5" customHeight="1" thickBot="1">
      <c r="A11" s="1090" t="s">
        <v>42</v>
      </c>
      <c r="B11" s="1091"/>
      <c r="C11" s="1091"/>
      <c r="D11" s="1092"/>
      <c r="E11" s="238">
        <f>C41</f>
        <v>0</v>
      </c>
    </row>
    <row r="12" spans="1:6" ht="17.100000000000001" customHeight="1">
      <c r="A12" s="89"/>
      <c r="B12" s="90"/>
      <c r="C12" s="91"/>
      <c r="D12" s="92"/>
      <c r="E12" s="93"/>
    </row>
    <row r="13" spans="1:6" ht="16.5" customHeight="1">
      <c r="B13" s="94"/>
      <c r="C13" s="95"/>
      <c r="D13" s="96"/>
      <c r="E13" s="97"/>
    </row>
    <row r="14" spans="1:6" ht="16.5" customHeight="1">
      <c r="A14" s="98"/>
      <c r="B14" s="98"/>
      <c r="C14" s="98"/>
      <c r="D14" s="98"/>
      <c r="E14" s="99"/>
    </row>
    <row r="15" spans="1:6" ht="16.5" customHeight="1">
      <c r="A15" s="1093" t="s">
        <v>38</v>
      </c>
      <c r="B15" s="1093"/>
      <c r="C15" s="1093"/>
      <c r="D15" s="1093"/>
      <c r="E15" s="1093"/>
      <c r="F15" s="239"/>
    </row>
    <row r="16" spans="1:6" ht="16.5" customHeight="1" thickBot="1">
      <c r="A16" s="240"/>
      <c r="B16" s="241"/>
      <c r="C16" s="242"/>
      <c r="D16" s="242"/>
      <c r="E16" s="243"/>
      <c r="F16" s="241"/>
    </row>
    <row r="17" spans="1:5" ht="42" customHeight="1" thickBot="1">
      <c r="A17" s="1094" t="s">
        <v>32</v>
      </c>
      <c r="B17" s="1095"/>
      <c r="C17" s="244" t="s">
        <v>31</v>
      </c>
      <c r="D17" s="245" t="s">
        <v>34</v>
      </c>
      <c r="E17" s="246" t="s">
        <v>39</v>
      </c>
    </row>
    <row r="18" spans="1:5" ht="16.5" customHeight="1">
      <c r="A18" s="247" t="s">
        <v>855</v>
      </c>
      <c r="B18" s="248" t="s">
        <v>40</v>
      </c>
      <c r="C18" s="249"/>
      <c r="D18" s="250" t="e">
        <f>SUM(D19:D39)</f>
        <v>#DIV/0!</v>
      </c>
      <c r="E18" s="251" t="e">
        <f>SUM(E19:E39)</f>
        <v>#DIV/0!</v>
      </c>
    </row>
    <row r="19" spans="1:5" ht="16.5" customHeight="1">
      <c r="A19" s="252" t="str">
        <f>'All Hours'!B10</f>
        <v>PL</v>
      </c>
      <c r="B19" s="253" t="str">
        <f>'All Hours'!C10</f>
        <v/>
      </c>
      <c r="C19" s="254">
        <f>'All Hours'!E10</f>
        <v>0</v>
      </c>
      <c r="D19" s="255" t="e">
        <f>IF(A19="","",IF(C19="","",(C19/$C$41)))</f>
        <v>#DIV/0!</v>
      </c>
      <c r="E19" s="256" t="e">
        <f>IF(A19="","",IF(C19="","",(C19/$C$40)))</f>
        <v>#DIV/0!</v>
      </c>
    </row>
    <row r="20" spans="1:5" ht="16.5" customHeight="1">
      <c r="A20" s="252" t="str">
        <f>'All Hours'!B11</f>
        <v>DS1</v>
      </c>
      <c r="B20" s="253" t="str">
        <f>'All Hours'!C11</f>
        <v/>
      </c>
      <c r="C20" s="254">
        <f>'All Hours'!E11</f>
        <v>0</v>
      </c>
      <c r="D20" s="255" t="e">
        <f t="shared" ref="D20:D39" si="0">IF(A20="","",IF(C20="","",(C20/$C$41)))</f>
        <v>#DIV/0!</v>
      </c>
      <c r="E20" s="256" t="e">
        <f t="shared" ref="E20:E21" si="1">IF(A20="","",IF(C20="","",(C20/$C$40)))</f>
        <v>#DIV/0!</v>
      </c>
    </row>
    <row r="21" spans="1:5" ht="16.5" customHeight="1">
      <c r="A21" s="252" t="str">
        <f>'All Hours'!B12</f>
        <v>DS3</v>
      </c>
      <c r="B21" s="253" t="str">
        <f>'All Hours'!C12</f>
        <v/>
      </c>
      <c r="C21" s="254">
        <f>'All Hours'!E12</f>
        <v>0</v>
      </c>
      <c r="D21" s="255" t="e">
        <f t="shared" si="0"/>
        <v>#DIV/0!</v>
      </c>
      <c r="E21" s="256" t="e">
        <f t="shared" si="1"/>
        <v>#DIV/0!</v>
      </c>
    </row>
    <row r="22" spans="1:5" ht="16.5" customHeight="1">
      <c r="A22" s="252" t="str">
        <f>'All Hours'!B13</f>
        <v/>
      </c>
      <c r="B22" s="253" t="str">
        <f>'All Hours'!C13</f>
        <v/>
      </c>
      <c r="C22" s="254">
        <f>'All Hours'!E13</f>
        <v>0</v>
      </c>
      <c r="D22" s="255" t="str">
        <f t="shared" ref="D22:D28" si="2">IF(A22="","",IF(C22="","",(C22/$C$41)))</f>
        <v/>
      </c>
      <c r="E22" s="256" t="str">
        <f t="shared" ref="E22:E28" si="3">IF(A22="","",IF(C22="","",(C22/$C$40)))</f>
        <v/>
      </c>
    </row>
    <row r="23" spans="1:5" ht="16.5" customHeight="1">
      <c r="A23" s="252" t="str">
        <f>'All Hours'!B14</f>
        <v/>
      </c>
      <c r="B23" s="253" t="str">
        <f>'All Hours'!C14</f>
        <v/>
      </c>
      <c r="C23" s="254">
        <f>'All Hours'!E14</f>
        <v>0</v>
      </c>
      <c r="D23" s="255" t="str">
        <f t="shared" si="2"/>
        <v/>
      </c>
      <c r="E23" s="256" t="str">
        <f t="shared" si="3"/>
        <v/>
      </c>
    </row>
    <row r="24" spans="1:5" ht="16.5" customHeight="1">
      <c r="A24" s="252" t="str">
        <f>'All Hours'!B15</f>
        <v/>
      </c>
      <c r="B24" s="253" t="str">
        <f>'All Hours'!C15</f>
        <v/>
      </c>
      <c r="C24" s="254">
        <f>'All Hours'!E15</f>
        <v>0</v>
      </c>
      <c r="D24" s="255" t="str">
        <f t="shared" si="2"/>
        <v/>
      </c>
      <c r="E24" s="256" t="str">
        <f t="shared" si="3"/>
        <v/>
      </c>
    </row>
    <row r="25" spans="1:5" ht="16.5" customHeight="1">
      <c r="A25" s="252" t="str">
        <f>'All Hours'!B16</f>
        <v/>
      </c>
      <c r="B25" s="253" t="str">
        <f>'All Hours'!C16</f>
        <v/>
      </c>
      <c r="C25" s="254">
        <f>'All Hours'!E16</f>
        <v>0</v>
      </c>
      <c r="D25" s="255" t="str">
        <f t="shared" si="2"/>
        <v/>
      </c>
      <c r="E25" s="256" t="str">
        <f t="shared" si="3"/>
        <v/>
      </c>
    </row>
    <row r="26" spans="1:5" ht="16.5" customHeight="1">
      <c r="A26" s="252" t="str">
        <f>'All Hours'!B17</f>
        <v/>
      </c>
      <c r="B26" s="253" t="str">
        <f>'All Hours'!C17</f>
        <v/>
      </c>
      <c r="C26" s="254">
        <f>'All Hours'!E17</f>
        <v>0</v>
      </c>
      <c r="D26" s="255" t="str">
        <f t="shared" si="2"/>
        <v/>
      </c>
      <c r="E26" s="256" t="str">
        <f t="shared" si="3"/>
        <v/>
      </c>
    </row>
    <row r="27" spans="1:5" ht="16.5" customHeight="1">
      <c r="A27" s="252" t="str">
        <f>'All Hours'!B18</f>
        <v/>
      </c>
      <c r="B27" s="253" t="str">
        <f>'All Hours'!C18</f>
        <v/>
      </c>
      <c r="C27" s="254">
        <f>'All Hours'!E18</f>
        <v>0</v>
      </c>
      <c r="D27" s="255" t="str">
        <f t="shared" si="2"/>
        <v/>
      </c>
      <c r="E27" s="256" t="str">
        <f t="shared" si="3"/>
        <v/>
      </c>
    </row>
    <row r="28" spans="1:5" ht="16.5" customHeight="1" thickBot="1">
      <c r="A28" s="252" t="str">
        <f>'All Hours'!B19</f>
        <v/>
      </c>
      <c r="B28" s="253" t="str">
        <f>'All Hours'!C19</f>
        <v/>
      </c>
      <c r="C28" s="254">
        <f>'All Hours'!E19</f>
        <v>0</v>
      </c>
      <c r="D28" s="255" t="str">
        <f t="shared" si="2"/>
        <v/>
      </c>
      <c r="E28" s="256" t="str">
        <f t="shared" si="3"/>
        <v/>
      </c>
    </row>
    <row r="29" spans="1:5" ht="16.5" hidden="1" customHeight="1">
      <c r="A29" s="252"/>
      <c r="B29" s="253"/>
      <c r="C29" s="254"/>
      <c r="D29" s="255"/>
      <c r="E29" s="256"/>
    </row>
    <row r="30" spans="1:5" ht="16.5" hidden="1" customHeight="1">
      <c r="A30" s="252"/>
      <c r="B30" s="253"/>
      <c r="C30" s="254"/>
      <c r="D30" s="255"/>
      <c r="E30" s="256"/>
    </row>
    <row r="31" spans="1:5" ht="16.5" hidden="1" customHeight="1">
      <c r="A31" s="252"/>
      <c r="B31" s="253"/>
      <c r="C31" s="254"/>
      <c r="D31" s="255"/>
      <c r="E31" s="256"/>
    </row>
    <row r="32" spans="1:5" ht="16.5" hidden="1" customHeight="1">
      <c r="A32" s="252"/>
      <c r="B32" s="253"/>
      <c r="C32" s="254"/>
      <c r="D32" s="255"/>
      <c r="E32" s="256"/>
    </row>
    <row r="33" spans="1:5" ht="16.5" hidden="1" customHeight="1">
      <c r="A33" s="252"/>
      <c r="B33" s="253"/>
      <c r="C33" s="254"/>
      <c r="D33" s="255"/>
      <c r="E33" s="256"/>
    </row>
    <row r="34" spans="1:5" ht="16.5" hidden="1" customHeight="1">
      <c r="A34" s="252"/>
      <c r="B34" s="253"/>
      <c r="C34" s="254"/>
      <c r="D34" s="255"/>
      <c r="E34" s="256"/>
    </row>
    <row r="35" spans="1:5" ht="16.5" hidden="1" customHeight="1">
      <c r="A35" s="252"/>
      <c r="B35" s="253"/>
      <c r="C35" s="254"/>
      <c r="D35" s="255"/>
      <c r="E35" s="256"/>
    </row>
    <row r="36" spans="1:5" ht="16.5" hidden="1" customHeight="1">
      <c r="A36" s="252"/>
      <c r="B36" s="253"/>
      <c r="C36" s="254"/>
      <c r="D36" s="255"/>
      <c r="E36" s="256"/>
    </row>
    <row r="37" spans="1:5" ht="16.5" hidden="1" customHeight="1">
      <c r="A37" s="252"/>
      <c r="B37" s="253"/>
      <c r="C37" s="254"/>
      <c r="D37" s="255"/>
      <c r="E37" s="256"/>
    </row>
    <row r="38" spans="1:5" ht="16.5" hidden="1" customHeight="1" thickBot="1">
      <c r="A38" s="252"/>
      <c r="B38" s="253"/>
      <c r="C38" s="254"/>
      <c r="D38" s="255"/>
      <c r="E38" s="256"/>
    </row>
    <row r="39" spans="1:5" ht="16.5" customHeight="1" thickBot="1">
      <c r="A39" s="257" t="str">
        <f>'All Hours'!B30</f>
        <v>OTHER</v>
      </c>
      <c r="B39" s="258" t="str">
        <f>'All Hours'!C30</f>
        <v>Various non-key personnel</v>
      </c>
      <c r="C39" s="259">
        <f>'All Hours'!E30</f>
        <v>0</v>
      </c>
      <c r="D39" s="260" t="e">
        <f t="shared" si="0"/>
        <v>#DIV/0!</v>
      </c>
      <c r="E39" s="261"/>
    </row>
    <row r="40" spans="1:5" ht="16.5" customHeight="1">
      <c r="A40" s="100" t="s">
        <v>41</v>
      </c>
      <c r="B40" s="101"/>
      <c r="C40" s="111">
        <f>SUM(C18:C38)</f>
        <v>0</v>
      </c>
      <c r="D40" s="102"/>
    </row>
    <row r="41" spans="1:5" ht="16.5" customHeight="1" thickBot="1">
      <c r="A41" s="103" t="s">
        <v>42</v>
      </c>
      <c r="B41" s="104"/>
      <c r="C41" s="112">
        <f>SUM(C18:C39)</f>
        <v>0</v>
      </c>
      <c r="D41" s="102"/>
    </row>
    <row r="42" spans="1:5" ht="16.5" customHeight="1">
      <c r="A42" s="105"/>
      <c r="B42" s="106"/>
      <c r="C42" s="106"/>
      <c r="D42" s="107"/>
      <c r="E42" s="107"/>
    </row>
    <row r="43" spans="1:5" ht="137.25" customHeight="1">
      <c r="A43" s="1085" t="s">
        <v>842</v>
      </c>
      <c r="B43" s="1085"/>
      <c r="C43" s="1085"/>
      <c r="D43" s="1085"/>
      <c r="E43" s="1085"/>
    </row>
    <row r="44" spans="1:5">
      <c r="A44" s="108"/>
      <c r="B44" s="108"/>
      <c r="C44" s="108"/>
      <c r="D44" s="108"/>
      <c r="E44" s="108"/>
    </row>
    <row r="45" spans="1:5">
      <c r="A45" s="108"/>
      <c r="B45" s="108"/>
      <c r="C45" s="108"/>
      <c r="D45" s="108"/>
      <c r="E45" s="108"/>
    </row>
  </sheetData>
  <sheetProtection algorithmName="SHA-512" hashValue="oCIilS6N6pZqgUwUMBh1zZtRWs9q4jib2KVb4ykaSgwhfhQ9MMYnACApjHaQZ/euNXIf4uobLxsyzKlXAyV/Dw==" saltValue="W/4EIcmHmaamA9vZ4/SszA==" spinCount="100000" sheet="1" objects="1" scenarios="1"/>
  <mergeCells count="8">
    <mergeCell ref="A43:E43"/>
    <mergeCell ref="A1:E1"/>
    <mergeCell ref="A9:E9"/>
    <mergeCell ref="A10:D10"/>
    <mergeCell ref="A11:D11"/>
    <mergeCell ref="A15:E15"/>
    <mergeCell ref="A17:B17"/>
    <mergeCell ref="B4:E5"/>
  </mergeCells>
  <conditionalFormatting sqref="D40:D41">
    <cfRule type="cellIs" dxfId="2596" priority="59" operator="lessThan">
      <formula>$D$16</formula>
    </cfRule>
  </conditionalFormatting>
  <conditionalFormatting sqref="A19:A39">
    <cfRule type="containsBlanks" dxfId="2595" priority="58">
      <formula>LEN(TRIM(A19))=0</formula>
    </cfRule>
  </conditionalFormatting>
  <conditionalFormatting sqref="B20 B22 B24 B26 B28 B30 B32 B34 B36 B38">
    <cfRule type="expression" dxfId="2594" priority="56">
      <formula>A20=""</formula>
    </cfRule>
  </conditionalFormatting>
  <conditionalFormatting sqref="B21:B31">
    <cfRule type="expression" dxfId="2593" priority="55">
      <formula>A21=""</formula>
    </cfRule>
  </conditionalFormatting>
  <conditionalFormatting sqref="B32">
    <cfRule type="expression" dxfId="2592" priority="54">
      <formula>A32=""</formula>
    </cfRule>
  </conditionalFormatting>
  <conditionalFormatting sqref="B33">
    <cfRule type="expression" dxfId="2591" priority="53">
      <formula>A33=""</formula>
    </cfRule>
  </conditionalFormatting>
  <conditionalFormatting sqref="B34">
    <cfRule type="expression" dxfId="2590" priority="52">
      <formula>A34=""</formula>
    </cfRule>
  </conditionalFormatting>
  <conditionalFormatting sqref="B35">
    <cfRule type="expression" dxfId="2589" priority="51">
      <formula>A35=""</formula>
    </cfRule>
  </conditionalFormatting>
  <conditionalFormatting sqref="B36">
    <cfRule type="expression" dxfId="2588" priority="50">
      <formula>A36=""</formula>
    </cfRule>
  </conditionalFormatting>
  <conditionalFormatting sqref="B37">
    <cfRule type="expression" dxfId="2587" priority="49">
      <formula>A37=""</formula>
    </cfRule>
  </conditionalFormatting>
  <conditionalFormatting sqref="B38">
    <cfRule type="expression" dxfId="2586" priority="48">
      <formula>A38=""</formula>
    </cfRule>
  </conditionalFormatting>
  <conditionalFormatting sqref="C19:C39">
    <cfRule type="expression" dxfId="2585" priority="47">
      <formula>A19=""</formula>
    </cfRule>
  </conditionalFormatting>
  <conditionalFormatting sqref="C20 C22 C24 C26 C28 C30 C32 C34 C36 C38">
    <cfRule type="expression" dxfId="2584" priority="46">
      <formula>A20=""</formula>
    </cfRule>
  </conditionalFormatting>
  <conditionalFormatting sqref="C21:C31">
    <cfRule type="expression" dxfId="2583" priority="45">
      <formula>A21=""</formula>
    </cfRule>
  </conditionalFormatting>
  <conditionalFormatting sqref="C32">
    <cfRule type="expression" dxfId="2582" priority="44">
      <formula>A32=""</formula>
    </cfRule>
  </conditionalFormatting>
  <conditionalFormatting sqref="C33">
    <cfRule type="expression" dxfId="2581" priority="43">
      <formula>A33=""</formula>
    </cfRule>
  </conditionalFormatting>
  <conditionalFormatting sqref="C34">
    <cfRule type="expression" dxfId="2580" priority="42">
      <formula>A34=""</formula>
    </cfRule>
  </conditionalFormatting>
  <conditionalFormatting sqref="C35">
    <cfRule type="expression" dxfId="2579" priority="41">
      <formula>A35=""</formula>
    </cfRule>
  </conditionalFormatting>
  <conditionalFormatting sqref="C36">
    <cfRule type="expression" dxfId="2578" priority="40">
      <formula>A36=""</formula>
    </cfRule>
  </conditionalFormatting>
  <conditionalFormatting sqref="C37">
    <cfRule type="expression" dxfId="2577" priority="39">
      <formula>A37=""</formula>
    </cfRule>
  </conditionalFormatting>
  <conditionalFormatting sqref="C38">
    <cfRule type="expression" dxfId="2576" priority="38">
      <formula>A38=""</formula>
    </cfRule>
  </conditionalFormatting>
  <conditionalFormatting sqref="D19:D39">
    <cfRule type="expression" dxfId="2575" priority="37">
      <formula>A19=""</formula>
    </cfRule>
  </conditionalFormatting>
  <conditionalFormatting sqref="D20 D22 D24 D26 D28 D30 D32 D34 D36 D38">
    <cfRule type="expression" dxfId="2574" priority="36">
      <formula>A20=""</formula>
    </cfRule>
  </conditionalFormatting>
  <conditionalFormatting sqref="D21:D31">
    <cfRule type="expression" dxfId="2573" priority="35">
      <formula>A21=""</formula>
    </cfRule>
  </conditionalFormatting>
  <conditionalFormatting sqref="D32">
    <cfRule type="expression" dxfId="2572" priority="34">
      <formula>A32=""</formula>
    </cfRule>
  </conditionalFormatting>
  <conditionalFormatting sqref="D33">
    <cfRule type="expression" dxfId="2571" priority="33">
      <formula>A33=""</formula>
    </cfRule>
  </conditionalFormatting>
  <conditionalFormatting sqref="D34">
    <cfRule type="expression" dxfId="2570" priority="32">
      <formula>A34=""</formula>
    </cfRule>
  </conditionalFormatting>
  <conditionalFormatting sqref="D35">
    <cfRule type="expression" dxfId="2569" priority="31">
      <formula>A35=""</formula>
    </cfRule>
  </conditionalFormatting>
  <conditionalFormatting sqref="D36">
    <cfRule type="expression" dxfId="2568" priority="30">
      <formula>A36=""</formula>
    </cfRule>
  </conditionalFormatting>
  <conditionalFormatting sqref="D37">
    <cfRule type="expression" dxfId="2567" priority="29">
      <formula>A37=""</formula>
    </cfRule>
  </conditionalFormatting>
  <conditionalFormatting sqref="D38">
    <cfRule type="expression" dxfId="2566" priority="28">
      <formula>A38=""</formula>
    </cfRule>
  </conditionalFormatting>
  <conditionalFormatting sqref="C20 C22 C24 C26 C28 C30 C32 C34 C36 C38">
    <cfRule type="expression" dxfId="2565" priority="27">
      <formula>A20=""</formula>
    </cfRule>
  </conditionalFormatting>
  <conditionalFormatting sqref="C21:C31">
    <cfRule type="expression" dxfId="2564" priority="26">
      <formula>A21=""</formula>
    </cfRule>
  </conditionalFormatting>
  <conditionalFormatting sqref="C32">
    <cfRule type="expression" dxfId="2563" priority="25">
      <formula>A32=""</formula>
    </cfRule>
  </conditionalFormatting>
  <conditionalFormatting sqref="C33">
    <cfRule type="expression" dxfId="2562" priority="24">
      <formula>A33=""</formula>
    </cfRule>
  </conditionalFormatting>
  <conditionalFormatting sqref="C34">
    <cfRule type="expression" dxfId="2561" priority="23">
      <formula>A34=""</formula>
    </cfRule>
  </conditionalFormatting>
  <conditionalFormatting sqref="C35">
    <cfRule type="expression" dxfId="2560" priority="22">
      <formula>A35=""</formula>
    </cfRule>
  </conditionalFormatting>
  <conditionalFormatting sqref="C36">
    <cfRule type="expression" dxfId="2559" priority="21">
      <formula>A36=""</formula>
    </cfRule>
  </conditionalFormatting>
  <conditionalFormatting sqref="C37">
    <cfRule type="expression" dxfId="2558" priority="20">
      <formula>A37=""</formula>
    </cfRule>
  </conditionalFormatting>
  <conditionalFormatting sqref="C38">
    <cfRule type="expression" dxfId="2557" priority="19">
      <formula>A38=""</formula>
    </cfRule>
  </conditionalFormatting>
  <conditionalFormatting sqref="E19:E39">
    <cfRule type="expression" dxfId="2556" priority="18">
      <formula>A19=""</formula>
    </cfRule>
  </conditionalFormatting>
  <conditionalFormatting sqref="E20 E22 E24 E26 E28 E30 E32 E34 E36 E38">
    <cfRule type="expression" dxfId="2555" priority="17">
      <formula>A20=""</formula>
    </cfRule>
  </conditionalFormatting>
  <conditionalFormatting sqref="E21:E31">
    <cfRule type="expression" dxfId="2554" priority="16">
      <formula>A21=""</formula>
    </cfRule>
  </conditionalFormatting>
  <conditionalFormatting sqref="E32">
    <cfRule type="expression" dxfId="2553" priority="15">
      <formula>A32=""</formula>
    </cfRule>
  </conditionalFormatting>
  <conditionalFormatting sqref="E33">
    <cfRule type="expression" dxfId="2552" priority="14">
      <formula>A33=""</formula>
    </cfRule>
  </conditionalFormatting>
  <conditionalFormatting sqref="E34">
    <cfRule type="expression" dxfId="2551" priority="13">
      <formula>A34=""</formula>
    </cfRule>
  </conditionalFormatting>
  <conditionalFormatting sqref="E35">
    <cfRule type="expression" dxfId="2550" priority="12">
      <formula>A35=""</formula>
    </cfRule>
  </conditionalFormatting>
  <conditionalFormatting sqref="E36">
    <cfRule type="expression" dxfId="2549" priority="11">
      <formula>A36=""</formula>
    </cfRule>
  </conditionalFormatting>
  <conditionalFormatting sqref="E37">
    <cfRule type="expression" dxfId="2548" priority="10">
      <formula>A37=""</formula>
    </cfRule>
  </conditionalFormatting>
  <conditionalFormatting sqref="E38">
    <cfRule type="expression" dxfId="2547" priority="9">
      <formula>A38=""</formula>
    </cfRule>
  </conditionalFormatting>
  <conditionalFormatting sqref="B39">
    <cfRule type="expression" dxfId="2546" priority="8">
      <formula>A39=""</formula>
    </cfRule>
  </conditionalFormatting>
  <conditionalFormatting sqref="C39">
    <cfRule type="expression" dxfId="2545" priority="7">
      <formula>A39=""</formula>
    </cfRule>
  </conditionalFormatting>
  <conditionalFormatting sqref="C39">
    <cfRule type="expression" dxfId="2544" priority="6">
      <formula>A39=""</formula>
    </cfRule>
  </conditionalFormatting>
  <conditionalFormatting sqref="D39">
    <cfRule type="expression" dxfId="2543" priority="5">
      <formula>A39=""</formula>
    </cfRule>
  </conditionalFormatting>
  <conditionalFormatting sqref="D39">
    <cfRule type="expression" dxfId="2542" priority="4">
      <formula>A39=""</formula>
    </cfRule>
  </conditionalFormatting>
  <conditionalFormatting sqref="C39">
    <cfRule type="expression" dxfId="2541" priority="3">
      <formula>A39=""</formula>
    </cfRule>
  </conditionalFormatting>
  <conditionalFormatting sqref="E39">
    <cfRule type="expression" dxfId="2540" priority="2">
      <formula>A39=""</formula>
    </cfRule>
  </conditionalFormatting>
  <conditionalFormatting sqref="E39">
    <cfRule type="expression" dxfId="2539" priority="1">
      <formula>A39=""</formula>
    </cfRule>
  </conditionalFormatting>
  <printOptions horizontalCentered="1"/>
  <pageMargins left="0.19685039370078741" right="0" top="0.35433070866141736" bottom="0.23622047244094491" header="0.15748031496062992" footer="0.15748031496062992"/>
  <pageSetup paperSize="9" scale="99" orientation="portrait" r:id="rId1"/>
  <headerFooter>
    <oddHeader>&amp;L&amp;"Calibri"&amp;10&amp;K000000Sensitivity - General&amp;1#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>
    <tabColor theme="9"/>
    <pageSetUpPr fitToPage="1"/>
  </sheetPr>
  <dimension ref="A1:B11"/>
  <sheetViews>
    <sheetView workbookViewId="0"/>
  </sheetViews>
  <sheetFormatPr defaultRowHeight="12.75"/>
  <cols>
    <col min="1" max="1" width="21.42578125" style="314" customWidth="1"/>
    <col min="2" max="256" width="9.140625" style="314"/>
    <col min="257" max="257" width="21.42578125" style="314" customWidth="1"/>
    <col min="258" max="512" width="9.140625" style="314"/>
    <col min="513" max="513" width="21.42578125" style="314" customWidth="1"/>
    <col min="514" max="768" width="9.140625" style="314"/>
    <col min="769" max="769" width="21.42578125" style="314" customWidth="1"/>
    <col min="770" max="1024" width="9.140625" style="314"/>
    <col min="1025" max="1025" width="21.42578125" style="314" customWidth="1"/>
    <col min="1026" max="1280" width="9.140625" style="314"/>
    <col min="1281" max="1281" width="21.42578125" style="314" customWidth="1"/>
    <col min="1282" max="1536" width="9.140625" style="314"/>
    <col min="1537" max="1537" width="21.42578125" style="314" customWidth="1"/>
    <col min="1538" max="1792" width="9.140625" style="314"/>
    <col min="1793" max="1793" width="21.42578125" style="314" customWidth="1"/>
    <col min="1794" max="2048" width="9.140625" style="314"/>
    <col min="2049" max="2049" width="21.42578125" style="314" customWidth="1"/>
    <col min="2050" max="2304" width="9.140625" style="314"/>
    <col min="2305" max="2305" width="21.42578125" style="314" customWidth="1"/>
    <col min="2306" max="2560" width="9.140625" style="314"/>
    <col min="2561" max="2561" width="21.42578125" style="314" customWidth="1"/>
    <col min="2562" max="2816" width="9.140625" style="314"/>
    <col min="2817" max="2817" width="21.42578125" style="314" customWidth="1"/>
    <col min="2818" max="3072" width="9.140625" style="314"/>
    <col min="3073" max="3073" width="21.42578125" style="314" customWidth="1"/>
    <col min="3074" max="3328" width="9.140625" style="314"/>
    <col min="3329" max="3329" width="21.42578125" style="314" customWidth="1"/>
    <col min="3330" max="3584" width="9.140625" style="314"/>
    <col min="3585" max="3585" width="21.42578125" style="314" customWidth="1"/>
    <col min="3586" max="3840" width="9.140625" style="314"/>
    <col min="3841" max="3841" width="21.42578125" style="314" customWidth="1"/>
    <col min="3842" max="4096" width="9.140625" style="314"/>
    <col min="4097" max="4097" width="21.42578125" style="314" customWidth="1"/>
    <col min="4098" max="4352" width="9.140625" style="314"/>
    <col min="4353" max="4353" width="21.42578125" style="314" customWidth="1"/>
    <col min="4354" max="4608" width="9.140625" style="314"/>
    <col min="4609" max="4609" width="21.42578125" style="314" customWidth="1"/>
    <col min="4610" max="4864" width="9.140625" style="314"/>
    <col min="4865" max="4865" width="21.42578125" style="314" customWidth="1"/>
    <col min="4866" max="5120" width="9.140625" style="314"/>
    <col min="5121" max="5121" width="21.42578125" style="314" customWidth="1"/>
    <col min="5122" max="5376" width="9.140625" style="314"/>
    <col min="5377" max="5377" width="21.42578125" style="314" customWidth="1"/>
    <col min="5378" max="5632" width="9.140625" style="314"/>
    <col min="5633" max="5633" width="21.42578125" style="314" customWidth="1"/>
    <col min="5634" max="5888" width="9.140625" style="314"/>
    <col min="5889" max="5889" width="21.42578125" style="314" customWidth="1"/>
    <col min="5890" max="6144" width="9.140625" style="314"/>
    <col min="6145" max="6145" width="21.42578125" style="314" customWidth="1"/>
    <col min="6146" max="6400" width="9.140625" style="314"/>
    <col min="6401" max="6401" width="21.42578125" style="314" customWidth="1"/>
    <col min="6402" max="6656" width="9.140625" style="314"/>
    <col min="6657" max="6657" width="21.42578125" style="314" customWidth="1"/>
    <col min="6658" max="6912" width="9.140625" style="314"/>
    <col min="6913" max="6913" width="21.42578125" style="314" customWidth="1"/>
    <col min="6914" max="7168" width="9.140625" style="314"/>
    <col min="7169" max="7169" width="21.42578125" style="314" customWidth="1"/>
    <col min="7170" max="7424" width="9.140625" style="314"/>
    <col min="7425" max="7425" width="21.42578125" style="314" customWidth="1"/>
    <col min="7426" max="7680" width="9.140625" style="314"/>
    <col min="7681" max="7681" width="21.42578125" style="314" customWidth="1"/>
    <col min="7682" max="7936" width="9.140625" style="314"/>
    <col min="7937" max="7937" width="21.42578125" style="314" customWidth="1"/>
    <col min="7938" max="8192" width="9.140625" style="314"/>
    <col min="8193" max="8193" width="21.42578125" style="314" customWidth="1"/>
    <col min="8194" max="8448" width="9.140625" style="314"/>
    <col min="8449" max="8449" width="21.42578125" style="314" customWidth="1"/>
    <col min="8450" max="8704" width="9.140625" style="314"/>
    <col min="8705" max="8705" width="21.42578125" style="314" customWidth="1"/>
    <col min="8706" max="8960" width="9.140625" style="314"/>
    <col min="8961" max="8961" width="21.42578125" style="314" customWidth="1"/>
    <col min="8962" max="9216" width="9.140625" style="314"/>
    <col min="9217" max="9217" width="21.42578125" style="314" customWidth="1"/>
    <col min="9218" max="9472" width="9.140625" style="314"/>
    <col min="9473" max="9473" width="21.42578125" style="314" customWidth="1"/>
    <col min="9474" max="9728" width="9.140625" style="314"/>
    <col min="9729" max="9729" width="21.42578125" style="314" customWidth="1"/>
    <col min="9730" max="9984" width="9.140625" style="314"/>
    <col min="9985" max="9985" width="21.42578125" style="314" customWidth="1"/>
    <col min="9986" max="10240" width="9.140625" style="314"/>
    <col min="10241" max="10241" width="21.42578125" style="314" customWidth="1"/>
    <col min="10242" max="10496" width="9.140625" style="314"/>
    <col min="10497" max="10497" width="21.42578125" style="314" customWidth="1"/>
    <col min="10498" max="10752" width="9.140625" style="314"/>
    <col min="10753" max="10753" width="21.42578125" style="314" customWidth="1"/>
    <col min="10754" max="11008" width="9.140625" style="314"/>
    <col min="11009" max="11009" width="21.42578125" style="314" customWidth="1"/>
    <col min="11010" max="11264" width="9.140625" style="314"/>
    <col min="11265" max="11265" width="21.42578125" style="314" customWidth="1"/>
    <col min="11266" max="11520" width="9.140625" style="314"/>
    <col min="11521" max="11521" width="21.42578125" style="314" customWidth="1"/>
    <col min="11522" max="11776" width="9.140625" style="314"/>
    <col min="11777" max="11777" width="21.42578125" style="314" customWidth="1"/>
    <col min="11778" max="12032" width="9.140625" style="314"/>
    <col min="12033" max="12033" width="21.42578125" style="314" customWidth="1"/>
    <col min="12034" max="12288" width="9.140625" style="314"/>
    <col min="12289" max="12289" width="21.42578125" style="314" customWidth="1"/>
    <col min="12290" max="12544" width="9.140625" style="314"/>
    <col min="12545" max="12545" width="21.42578125" style="314" customWidth="1"/>
    <col min="12546" max="12800" width="9.140625" style="314"/>
    <col min="12801" max="12801" width="21.42578125" style="314" customWidth="1"/>
    <col min="12802" max="13056" width="9.140625" style="314"/>
    <col min="13057" max="13057" width="21.42578125" style="314" customWidth="1"/>
    <col min="13058" max="13312" width="9.140625" style="314"/>
    <col min="13313" max="13313" width="21.42578125" style="314" customWidth="1"/>
    <col min="13314" max="13568" width="9.140625" style="314"/>
    <col min="13569" max="13569" width="21.42578125" style="314" customWidth="1"/>
    <col min="13570" max="13824" width="9.140625" style="314"/>
    <col min="13825" max="13825" width="21.42578125" style="314" customWidth="1"/>
    <col min="13826" max="14080" width="9.140625" style="314"/>
    <col min="14081" max="14081" width="21.42578125" style="314" customWidth="1"/>
    <col min="14082" max="14336" width="9.140625" style="314"/>
    <col min="14337" max="14337" width="21.42578125" style="314" customWidth="1"/>
    <col min="14338" max="14592" width="9.140625" style="314"/>
    <col min="14593" max="14593" width="21.42578125" style="314" customWidth="1"/>
    <col min="14594" max="14848" width="9.140625" style="314"/>
    <col min="14849" max="14849" width="21.42578125" style="314" customWidth="1"/>
    <col min="14850" max="15104" width="9.140625" style="314"/>
    <col min="15105" max="15105" width="21.42578125" style="314" customWidth="1"/>
    <col min="15106" max="15360" width="9.140625" style="314"/>
    <col min="15361" max="15361" width="21.42578125" style="314" customWidth="1"/>
    <col min="15362" max="15616" width="9.140625" style="314"/>
    <col min="15617" max="15617" width="21.42578125" style="314" customWidth="1"/>
    <col min="15618" max="15872" width="9.140625" style="314"/>
    <col min="15873" max="15873" width="21.42578125" style="314" customWidth="1"/>
    <col min="15874" max="16128" width="9.140625" style="314"/>
    <col min="16129" max="16129" width="21.42578125" style="314" customWidth="1"/>
    <col min="16130" max="16384" width="9.140625" style="314"/>
  </cols>
  <sheetData>
    <row r="1" spans="1:2">
      <c r="A1" s="313" t="s">
        <v>271</v>
      </c>
    </row>
    <row r="3" spans="1:2">
      <c r="A3" s="315"/>
      <c r="B3" s="314" t="s">
        <v>272</v>
      </c>
    </row>
    <row r="4" spans="1:2">
      <c r="A4" s="316"/>
      <c r="B4" s="314" t="s">
        <v>273</v>
      </c>
    </row>
    <row r="5" spans="1:2">
      <c r="A5" s="317"/>
      <c r="B5" s="317"/>
    </row>
    <row r="6" spans="1:2">
      <c r="A6" s="314" t="s">
        <v>274</v>
      </c>
      <c r="B6" s="314" t="s">
        <v>872</v>
      </c>
    </row>
    <row r="8" spans="1:2">
      <c r="A8" s="314" t="s">
        <v>275</v>
      </c>
      <c r="B8" s="314" t="s">
        <v>276</v>
      </c>
    </row>
    <row r="9" spans="1:2">
      <c r="A9" s="314" t="s">
        <v>277</v>
      </c>
    </row>
    <row r="11" spans="1:2">
      <c r="A11" s="314" t="s">
        <v>278</v>
      </c>
      <c r="B11" s="314" t="s">
        <v>279</v>
      </c>
    </row>
  </sheetData>
  <pageMargins left="0.74803149606299213" right="0.74803149606299213" top="0.98425196850393704" bottom="0.98425196850393704" header="0.51181102362204722" footer="0.51181102362204722"/>
  <pageSetup paperSize="9" scale="86" orientation="landscape" r:id="rId1"/>
  <headerFooter alignWithMargins="0">
    <oddHeader>&amp;L&amp;"Calibri"&amp;10&amp;K000000Sensitivity - General&amp;1#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3">
    <tabColor theme="9"/>
    <pageSetUpPr fitToPage="1"/>
  </sheetPr>
  <dimension ref="A1:F124"/>
  <sheetViews>
    <sheetView workbookViewId="0">
      <selection activeCell="A20" sqref="A20"/>
    </sheetView>
  </sheetViews>
  <sheetFormatPr defaultRowHeight="20.100000000000001" customHeight="1"/>
  <cols>
    <col min="1" max="1" width="30.7109375" style="320" customWidth="1"/>
    <col min="2" max="2" width="27.140625" style="320" customWidth="1"/>
    <col min="3" max="3" width="20" style="320" customWidth="1"/>
    <col min="4" max="4" width="27.7109375" style="320" customWidth="1"/>
    <col min="5" max="5" width="20.7109375" style="320" customWidth="1"/>
    <col min="6" max="6" width="26.85546875" style="320" customWidth="1"/>
    <col min="7" max="256" width="9.140625" style="320"/>
    <col min="257" max="257" width="30.7109375" style="320" customWidth="1"/>
    <col min="258" max="258" width="27.140625" style="320" customWidth="1"/>
    <col min="259" max="259" width="20" style="320" customWidth="1"/>
    <col min="260" max="260" width="27.7109375" style="320" customWidth="1"/>
    <col min="261" max="261" width="19.85546875" style="320" customWidth="1"/>
    <col min="262" max="262" width="28.42578125" style="320" customWidth="1"/>
    <col min="263" max="512" width="9.140625" style="320"/>
    <col min="513" max="513" width="30.7109375" style="320" customWidth="1"/>
    <col min="514" max="514" width="27.140625" style="320" customWidth="1"/>
    <col min="515" max="515" width="20" style="320" customWidth="1"/>
    <col min="516" max="516" width="27.7109375" style="320" customWidth="1"/>
    <col min="517" max="517" width="19.85546875" style="320" customWidth="1"/>
    <col min="518" max="518" width="28.42578125" style="320" customWidth="1"/>
    <col min="519" max="768" width="9.140625" style="320"/>
    <col min="769" max="769" width="30.7109375" style="320" customWidth="1"/>
    <col min="770" max="770" width="27.140625" style="320" customWidth="1"/>
    <col min="771" max="771" width="20" style="320" customWidth="1"/>
    <col min="772" max="772" width="27.7109375" style="320" customWidth="1"/>
    <col min="773" max="773" width="19.85546875" style="320" customWidth="1"/>
    <col min="774" max="774" width="28.42578125" style="320" customWidth="1"/>
    <col min="775" max="1024" width="9.140625" style="320"/>
    <col min="1025" max="1025" width="30.7109375" style="320" customWidth="1"/>
    <col min="1026" max="1026" width="27.140625" style="320" customWidth="1"/>
    <col min="1027" max="1027" width="20" style="320" customWidth="1"/>
    <col min="1028" max="1028" width="27.7109375" style="320" customWidth="1"/>
    <col min="1029" max="1029" width="19.85546875" style="320" customWidth="1"/>
    <col min="1030" max="1030" width="28.42578125" style="320" customWidth="1"/>
    <col min="1031" max="1280" width="9.140625" style="320"/>
    <col min="1281" max="1281" width="30.7109375" style="320" customWidth="1"/>
    <col min="1282" max="1282" width="27.140625" style="320" customWidth="1"/>
    <col min="1283" max="1283" width="20" style="320" customWidth="1"/>
    <col min="1284" max="1284" width="27.7109375" style="320" customWidth="1"/>
    <col min="1285" max="1285" width="19.85546875" style="320" customWidth="1"/>
    <col min="1286" max="1286" width="28.42578125" style="320" customWidth="1"/>
    <col min="1287" max="1536" width="9.140625" style="320"/>
    <col min="1537" max="1537" width="30.7109375" style="320" customWidth="1"/>
    <col min="1538" max="1538" width="27.140625" style="320" customWidth="1"/>
    <col min="1539" max="1539" width="20" style="320" customWidth="1"/>
    <col min="1540" max="1540" width="27.7109375" style="320" customWidth="1"/>
    <col min="1541" max="1541" width="19.85546875" style="320" customWidth="1"/>
    <col min="1542" max="1542" width="28.42578125" style="320" customWidth="1"/>
    <col min="1543" max="1792" width="9.140625" style="320"/>
    <col min="1793" max="1793" width="30.7109375" style="320" customWidth="1"/>
    <col min="1794" max="1794" width="27.140625" style="320" customWidth="1"/>
    <col min="1795" max="1795" width="20" style="320" customWidth="1"/>
    <col min="1796" max="1796" width="27.7109375" style="320" customWidth="1"/>
    <col min="1797" max="1797" width="19.85546875" style="320" customWidth="1"/>
    <col min="1798" max="1798" width="28.42578125" style="320" customWidth="1"/>
    <col min="1799" max="2048" width="9.140625" style="320"/>
    <col min="2049" max="2049" width="30.7109375" style="320" customWidth="1"/>
    <col min="2050" max="2050" width="27.140625" style="320" customWidth="1"/>
    <col min="2051" max="2051" width="20" style="320" customWidth="1"/>
    <col min="2052" max="2052" width="27.7109375" style="320" customWidth="1"/>
    <col min="2053" max="2053" width="19.85546875" style="320" customWidth="1"/>
    <col min="2054" max="2054" width="28.42578125" style="320" customWidth="1"/>
    <col min="2055" max="2304" width="9.140625" style="320"/>
    <col min="2305" max="2305" width="30.7109375" style="320" customWidth="1"/>
    <col min="2306" max="2306" width="27.140625" style="320" customWidth="1"/>
    <col min="2307" max="2307" width="20" style="320" customWidth="1"/>
    <col min="2308" max="2308" width="27.7109375" style="320" customWidth="1"/>
    <col min="2309" max="2309" width="19.85546875" style="320" customWidth="1"/>
    <col min="2310" max="2310" width="28.42578125" style="320" customWidth="1"/>
    <col min="2311" max="2560" width="9.140625" style="320"/>
    <col min="2561" max="2561" width="30.7109375" style="320" customWidth="1"/>
    <col min="2562" max="2562" width="27.140625" style="320" customWidth="1"/>
    <col min="2563" max="2563" width="20" style="320" customWidth="1"/>
    <col min="2564" max="2564" width="27.7109375" style="320" customWidth="1"/>
    <col min="2565" max="2565" width="19.85546875" style="320" customWidth="1"/>
    <col min="2566" max="2566" width="28.42578125" style="320" customWidth="1"/>
    <col min="2567" max="2816" width="9.140625" style="320"/>
    <col min="2817" max="2817" width="30.7109375" style="320" customWidth="1"/>
    <col min="2818" max="2818" width="27.140625" style="320" customWidth="1"/>
    <col min="2819" max="2819" width="20" style="320" customWidth="1"/>
    <col min="2820" max="2820" width="27.7109375" style="320" customWidth="1"/>
    <col min="2821" max="2821" width="19.85546875" style="320" customWidth="1"/>
    <col min="2822" max="2822" width="28.42578125" style="320" customWidth="1"/>
    <col min="2823" max="3072" width="9.140625" style="320"/>
    <col min="3073" max="3073" width="30.7109375" style="320" customWidth="1"/>
    <col min="3074" max="3074" width="27.140625" style="320" customWidth="1"/>
    <col min="3075" max="3075" width="20" style="320" customWidth="1"/>
    <col min="3076" max="3076" width="27.7109375" style="320" customWidth="1"/>
    <col min="3077" max="3077" width="19.85546875" style="320" customWidth="1"/>
    <col min="3078" max="3078" width="28.42578125" style="320" customWidth="1"/>
    <col min="3079" max="3328" width="9.140625" style="320"/>
    <col min="3329" max="3329" width="30.7109375" style="320" customWidth="1"/>
    <col min="3330" max="3330" width="27.140625" style="320" customWidth="1"/>
    <col min="3331" max="3331" width="20" style="320" customWidth="1"/>
    <col min="3332" max="3332" width="27.7109375" style="320" customWidth="1"/>
    <col min="3333" max="3333" width="19.85546875" style="320" customWidth="1"/>
    <col min="3334" max="3334" width="28.42578125" style="320" customWidth="1"/>
    <col min="3335" max="3584" width="9.140625" style="320"/>
    <col min="3585" max="3585" width="30.7109375" style="320" customWidth="1"/>
    <col min="3586" max="3586" width="27.140625" style="320" customWidth="1"/>
    <col min="3587" max="3587" width="20" style="320" customWidth="1"/>
    <col min="3588" max="3588" width="27.7109375" style="320" customWidth="1"/>
    <col min="3589" max="3589" width="19.85546875" style="320" customWidth="1"/>
    <col min="3590" max="3590" width="28.42578125" style="320" customWidth="1"/>
    <col min="3591" max="3840" width="9.140625" style="320"/>
    <col min="3841" max="3841" width="30.7109375" style="320" customWidth="1"/>
    <col min="3842" max="3842" width="27.140625" style="320" customWidth="1"/>
    <col min="3843" max="3843" width="20" style="320" customWidth="1"/>
    <col min="3844" max="3844" width="27.7109375" style="320" customWidth="1"/>
    <col min="3845" max="3845" width="19.85546875" style="320" customWidth="1"/>
    <col min="3846" max="3846" width="28.42578125" style="320" customWidth="1"/>
    <col min="3847" max="4096" width="9.140625" style="320"/>
    <col min="4097" max="4097" width="30.7109375" style="320" customWidth="1"/>
    <col min="4098" max="4098" width="27.140625" style="320" customWidth="1"/>
    <col min="4099" max="4099" width="20" style="320" customWidth="1"/>
    <col min="4100" max="4100" width="27.7109375" style="320" customWidth="1"/>
    <col min="4101" max="4101" width="19.85546875" style="320" customWidth="1"/>
    <col min="4102" max="4102" width="28.42578125" style="320" customWidth="1"/>
    <col min="4103" max="4352" width="9.140625" style="320"/>
    <col min="4353" max="4353" width="30.7109375" style="320" customWidth="1"/>
    <col min="4354" max="4354" width="27.140625" style="320" customWidth="1"/>
    <col min="4355" max="4355" width="20" style="320" customWidth="1"/>
    <col min="4356" max="4356" width="27.7109375" style="320" customWidth="1"/>
    <col min="4357" max="4357" width="19.85546875" style="320" customWidth="1"/>
    <col min="4358" max="4358" width="28.42578125" style="320" customWidth="1"/>
    <col min="4359" max="4608" width="9.140625" style="320"/>
    <col min="4609" max="4609" width="30.7109375" style="320" customWidth="1"/>
    <col min="4610" max="4610" width="27.140625" style="320" customWidth="1"/>
    <col min="4611" max="4611" width="20" style="320" customWidth="1"/>
    <col min="4612" max="4612" width="27.7109375" style="320" customWidth="1"/>
    <col min="4613" max="4613" width="19.85546875" style="320" customWidth="1"/>
    <col min="4614" max="4614" width="28.42578125" style="320" customWidth="1"/>
    <col min="4615" max="4864" width="9.140625" style="320"/>
    <col min="4865" max="4865" width="30.7109375" style="320" customWidth="1"/>
    <col min="4866" max="4866" width="27.140625" style="320" customWidth="1"/>
    <col min="4867" max="4867" width="20" style="320" customWidth="1"/>
    <col min="4868" max="4868" width="27.7109375" style="320" customWidth="1"/>
    <col min="4869" max="4869" width="19.85546875" style="320" customWidth="1"/>
    <col min="4870" max="4870" width="28.42578125" style="320" customWidth="1"/>
    <col min="4871" max="5120" width="9.140625" style="320"/>
    <col min="5121" max="5121" width="30.7109375" style="320" customWidth="1"/>
    <col min="5122" max="5122" width="27.140625" style="320" customWidth="1"/>
    <col min="5123" max="5123" width="20" style="320" customWidth="1"/>
    <col min="5124" max="5124" width="27.7109375" style="320" customWidth="1"/>
    <col min="5125" max="5125" width="19.85546875" style="320" customWidth="1"/>
    <col min="5126" max="5126" width="28.42578125" style="320" customWidth="1"/>
    <col min="5127" max="5376" width="9.140625" style="320"/>
    <col min="5377" max="5377" width="30.7109375" style="320" customWidth="1"/>
    <col min="5378" max="5378" width="27.140625" style="320" customWidth="1"/>
    <col min="5379" max="5379" width="20" style="320" customWidth="1"/>
    <col min="5380" max="5380" width="27.7109375" style="320" customWidth="1"/>
    <col min="5381" max="5381" width="19.85546875" style="320" customWidth="1"/>
    <col min="5382" max="5382" width="28.42578125" style="320" customWidth="1"/>
    <col min="5383" max="5632" width="9.140625" style="320"/>
    <col min="5633" max="5633" width="30.7109375" style="320" customWidth="1"/>
    <col min="5634" max="5634" width="27.140625" style="320" customWidth="1"/>
    <col min="5635" max="5635" width="20" style="320" customWidth="1"/>
    <col min="5636" max="5636" width="27.7109375" style="320" customWidth="1"/>
    <col min="5637" max="5637" width="19.85546875" style="320" customWidth="1"/>
    <col min="5638" max="5638" width="28.42578125" style="320" customWidth="1"/>
    <col min="5639" max="5888" width="9.140625" style="320"/>
    <col min="5889" max="5889" width="30.7109375" style="320" customWidth="1"/>
    <col min="5890" max="5890" width="27.140625" style="320" customWidth="1"/>
    <col min="5891" max="5891" width="20" style="320" customWidth="1"/>
    <col min="5892" max="5892" width="27.7109375" style="320" customWidth="1"/>
    <col min="5893" max="5893" width="19.85546875" style="320" customWidth="1"/>
    <col min="5894" max="5894" width="28.42578125" style="320" customWidth="1"/>
    <col min="5895" max="6144" width="9.140625" style="320"/>
    <col min="6145" max="6145" width="30.7109375" style="320" customWidth="1"/>
    <col min="6146" max="6146" width="27.140625" style="320" customWidth="1"/>
    <col min="6147" max="6147" width="20" style="320" customWidth="1"/>
    <col min="6148" max="6148" width="27.7109375" style="320" customWidth="1"/>
    <col min="6149" max="6149" width="19.85546875" style="320" customWidth="1"/>
    <col min="6150" max="6150" width="28.42578125" style="320" customWidth="1"/>
    <col min="6151" max="6400" width="9.140625" style="320"/>
    <col min="6401" max="6401" width="30.7109375" style="320" customWidth="1"/>
    <col min="6402" max="6402" width="27.140625" style="320" customWidth="1"/>
    <col min="6403" max="6403" width="20" style="320" customWidth="1"/>
    <col min="6404" max="6404" width="27.7109375" style="320" customWidth="1"/>
    <col min="6405" max="6405" width="19.85546875" style="320" customWidth="1"/>
    <col min="6406" max="6406" width="28.42578125" style="320" customWidth="1"/>
    <col min="6407" max="6656" width="9.140625" style="320"/>
    <col min="6657" max="6657" width="30.7109375" style="320" customWidth="1"/>
    <col min="6658" max="6658" width="27.140625" style="320" customWidth="1"/>
    <col min="6659" max="6659" width="20" style="320" customWidth="1"/>
    <col min="6660" max="6660" width="27.7109375" style="320" customWidth="1"/>
    <col min="6661" max="6661" width="19.85546875" style="320" customWidth="1"/>
    <col min="6662" max="6662" width="28.42578125" style="320" customWidth="1"/>
    <col min="6663" max="6912" width="9.140625" style="320"/>
    <col min="6913" max="6913" width="30.7109375" style="320" customWidth="1"/>
    <col min="6914" max="6914" width="27.140625" style="320" customWidth="1"/>
    <col min="6915" max="6915" width="20" style="320" customWidth="1"/>
    <col min="6916" max="6916" width="27.7109375" style="320" customWidth="1"/>
    <col min="6917" max="6917" width="19.85546875" style="320" customWidth="1"/>
    <col min="6918" max="6918" width="28.42578125" style="320" customWidth="1"/>
    <col min="6919" max="7168" width="9.140625" style="320"/>
    <col min="7169" max="7169" width="30.7109375" style="320" customWidth="1"/>
    <col min="7170" max="7170" width="27.140625" style="320" customWidth="1"/>
    <col min="7171" max="7171" width="20" style="320" customWidth="1"/>
    <col min="7172" max="7172" width="27.7109375" style="320" customWidth="1"/>
    <col min="7173" max="7173" width="19.85546875" style="320" customWidth="1"/>
    <col min="7174" max="7174" width="28.42578125" style="320" customWidth="1"/>
    <col min="7175" max="7424" width="9.140625" style="320"/>
    <col min="7425" max="7425" width="30.7109375" style="320" customWidth="1"/>
    <col min="7426" max="7426" width="27.140625" style="320" customWidth="1"/>
    <col min="7427" max="7427" width="20" style="320" customWidth="1"/>
    <col min="7428" max="7428" width="27.7109375" style="320" customWidth="1"/>
    <col min="7429" max="7429" width="19.85546875" style="320" customWidth="1"/>
    <col min="7430" max="7430" width="28.42578125" style="320" customWidth="1"/>
    <col min="7431" max="7680" width="9.140625" style="320"/>
    <col min="7681" max="7681" width="30.7109375" style="320" customWidth="1"/>
    <col min="7682" max="7682" width="27.140625" style="320" customWidth="1"/>
    <col min="7683" max="7683" width="20" style="320" customWidth="1"/>
    <col min="7684" max="7684" width="27.7109375" style="320" customWidth="1"/>
    <col min="7685" max="7685" width="19.85546875" style="320" customWidth="1"/>
    <col min="7686" max="7686" width="28.42578125" style="320" customWidth="1"/>
    <col min="7687" max="7936" width="9.140625" style="320"/>
    <col min="7937" max="7937" width="30.7109375" style="320" customWidth="1"/>
    <col min="7938" max="7938" width="27.140625" style="320" customWidth="1"/>
    <col min="7939" max="7939" width="20" style="320" customWidth="1"/>
    <col min="7940" max="7940" width="27.7109375" style="320" customWidth="1"/>
    <col min="7941" max="7941" width="19.85546875" style="320" customWidth="1"/>
    <col min="7942" max="7942" width="28.42578125" style="320" customWidth="1"/>
    <col min="7943" max="8192" width="9.140625" style="320"/>
    <col min="8193" max="8193" width="30.7109375" style="320" customWidth="1"/>
    <col min="8194" max="8194" width="27.140625" style="320" customWidth="1"/>
    <col min="8195" max="8195" width="20" style="320" customWidth="1"/>
    <col min="8196" max="8196" width="27.7109375" style="320" customWidth="1"/>
    <col min="8197" max="8197" width="19.85546875" style="320" customWidth="1"/>
    <col min="8198" max="8198" width="28.42578125" style="320" customWidth="1"/>
    <col min="8199" max="8448" width="9.140625" style="320"/>
    <col min="8449" max="8449" width="30.7109375" style="320" customWidth="1"/>
    <col min="8450" max="8450" width="27.140625" style="320" customWidth="1"/>
    <col min="8451" max="8451" width="20" style="320" customWidth="1"/>
    <col min="8452" max="8452" width="27.7109375" style="320" customWidth="1"/>
    <col min="8453" max="8453" width="19.85546875" style="320" customWidth="1"/>
    <col min="8454" max="8454" width="28.42578125" style="320" customWidth="1"/>
    <col min="8455" max="8704" width="9.140625" style="320"/>
    <col min="8705" max="8705" width="30.7109375" style="320" customWidth="1"/>
    <col min="8706" max="8706" width="27.140625" style="320" customWidth="1"/>
    <col min="8707" max="8707" width="20" style="320" customWidth="1"/>
    <col min="8708" max="8708" width="27.7109375" style="320" customWidth="1"/>
    <col min="8709" max="8709" width="19.85546875" style="320" customWidth="1"/>
    <col min="8710" max="8710" width="28.42578125" style="320" customWidth="1"/>
    <col min="8711" max="8960" width="9.140625" style="320"/>
    <col min="8961" max="8961" width="30.7109375" style="320" customWidth="1"/>
    <col min="8962" max="8962" width="27.140625" style="320" customWidth="1"/>
    <col min="8963" max="8963" width="20" style="320" customWidth="1"/>
    <col min="8964" max="8964" width="27.7109375" style="320" customWidth="1"/>
    <col min="8965" max="8965" width="19.85546875" style="320" customWidth="1"/>
    <col min="8966" max="8966" width="28.42578125" style="320" customWidth="1"/>
    <col min="8967" max="9216" width="9.140625" style="320"/>
    <col min="9217" max="9217" width="30.7109375" style="320" customWidth="1"/>
    <col min="9218" max="9218" width="27.140625" style="320" customWidth="1"/>
    <col min="9219" max="9219" width="20" style="320" customWidth="1"/>
    <col min="9220" max="9220" width="27.7109375" style="320" customWidth="1"/>
    <col min="9221" max="9221" width="19.85546875" style="320" customWidth="1"/>
    <col min="9222" max="9222" width="28.42578125" style="320" customWidth="1"/>
    <col min="9223" max="9472" width="9.140625" style="320"/>
    <col min="9473" max="9473" width="30.7109375" style="320" customWidth="1"/>
    <col min="9474" max="9474" width="27.140625" style="320" customWidth="1"/>
    <col min="9475" max="9475" width="20" style="320" customWidth="1"/>
    <col min="9476" max="9476" width="27.7109375" style="320" customWidth="1"/>
    <col min="9477" max="9477" width="19.85546875" style="320" customWidth="1"/>
    <col min="9478" max="9478" width="28.42578125" style="320" customWidth="1"/>
    <col min="9479" max="9728" width="9.140625" style="320"/>
    <col min="9729" max="9729" width="30.7109375" style="320" customWidth="1"/>
    <col min="9730" max="9730" width="27.140625" style="320" customWidth="1"/>
    <col min="9731" max="9731" width="20" style="320" customWidth="1"/>
    <col min="9732" max="9732" width="27.7109375" style="320" customWidth="1"/>
    <col min="9733" max="9733" width="19.85546875" style="320" customWidth="1"/>
    <col min="9734" max="9734" width="28.42578125" style="320" customWidth="1"/>
    <col min="9735" max="9984" width="9.140625" style="320"/>
    <col min="9985" max="9985" width="30.7109375" style="320" customWidth="1"/>
    <col min="9986" max="9986" width="27.140625" style="320" customWidth="1"/>
    <col min="9987" max="9987" width="20" style="320" customWidth="1"/>
    <col min="9988" max="9988" width="27.7109375" style="320" customWidth="1"/>
    <col min="9989" max="9989" width="19.85546875" style="320" customWidth="1"/>
    <col min="9990" max="9990" width="28.42578125" style="320" customWidth="1"/>
    <col min="9991" max="10240" width="9.140625" style="320"/>
    <col min="10241" max="10241" width="30.7109375" style="320" customWidth="1"/>
    <col min="10242" max="10242" width="27.140625" style="320" customWidth="1"/>
    <col min="10243" max="10243" width="20" style="320" customWidth="1"/>
    <col min="10244" max="10244" width="27.7109375" style="320" customWidth="1"/>
    <col min="10245" max="10245" width="19.85546875" style="320" customWidth="1"/>
    <col min="10246" max="10246" width="28.42578125" style="320" customWidth="1"/>
    <col min="10247" max="10496" width="9.140625" style="320"/>
    <col min="10497" max="10497" width="30.7109375" style="320" customWidth="1"/>
    <col min="10498" max="10498" width="27.140625" style="320" customWidth="1"/>
    <col min="10499" max="10499" width="20" style="320" customWidth="1"/>
    <col min="10500" max="10500" width="27.7109375" style="320" customWidth="1"/>
    <col min="10501" max="10501" width="19.85546875" style="320" customWidth="1"/>
    <col min="10502" max="10502" width="28.42578125" style="320" customWidth="1"/>
    <col min="10503" max="10752" width="9.140625" style="320"/>
    <col min="10753" max="10753" width="30.7109375" style="320" customWidth="1"/>
    <col min="10754" max="10754" width="27.140625" style="320" customWidth="1"/>
    <col min="10755" max="10755" width="20" style="320" customWidth="1"/>
    <col min="10756" max="10756" width="27.7109375" style="320" customWidth="1"/>
    <col min="10757" max="10757" width="19.85546875" style="320" customWidth="1"/>
    <col min="10758" max="10758" width="28.42578125" style="320" customWidth="1"/>
    <col min="10759" max="11008" width="9.140625" style="320"/>
    <col min="11009" max="11009" width="30.7109375" style="320" customWidth="1"/>
    <col min="11010" max="11010" width="27.140625" style="320" customWidth="1"/>
    <col min="11011" max="11011" width="20" style="320" customWidth="1"/>
    <col min="11012" max="11012" width="27.7109375" style="320" customWidth="1"/>
    <col min="11013" max="11013" width="19.85546875" style="320" customWidth="1"/>
    <col min="11014" max="11014" width="28.42578125" style="320" customWidth="1"/>
    <col min="11015" max="11264" width="9.140625" style="320"/>
    <col min="11265" max="11265" width="30.7109375" style="320" customWidth="1"/>
    <col min="11266" max="11266" width="27.140625" style="320" customWidth="1"/>
    <col min="11267" max="11267" width="20" style="320" customWidth="1"/>
    <col min="11268" max="11268" width="27.7109375" style="320" customWidth="1"/>
    <col min="11269" max="11269" width="19.85546875" style="320" customWidth="1"/>
    <col min="11270" max="11270" width="28.42578125" style="320" customWidth="1"/>
    <col min="11271" max="11520" width="9.140625" style="320"/>
    <col min="11521" max="11521" width="30.7109375" style="320" customWidth="1"/>
    <col min="11522" max="11522" width="27.140625" style="320" customWidth="1"/>
    <col min="11523" max="11523" width="20" style="320" customWidth="1"/>
    <col min="11524" max="11524" width="27.7109375" style="320" customWidth="1"/>
    <col min="11525" max="11525" width="19.85546875" style="320" customWidth="1"/>
    <col min="11526" max="11526" width="28.42578125" style="320" customWidth="1"/>
    <col min="11527" max="11776" width="9.140625" style="320"/>
    <col min="11777" max="11777" width="30.7109375" style="320" customWidth="1"/>
    <col min="11778" max="11778" width="27.140625" style="320" customWidth="1"/>
    <col min="11779" max="11779" width="20" style="320" customWidth="1"/>
    <col min="11780" max="11780" width="27.7109375" style="320" customWidth="1"/>
    <col min="11781" max="11781" width="19.85546875" style="320" customWidth="1"/>
    <col min="11782" max="11782" width="28.42578125" style="320" customWidth="1"/>
    <col min="11783" max="12032" width="9.140625" style="320"/>
    <col min="12033" max="12033" width="30.7109375" style="320" customWidth="1"/>
    <col min="12034" max="12034" width="27.140625" style="320" customWidth="1"/>
    <col min="12035" max="12035" width="20" style="320" customWidth="1"/>
    <col min="12036" max="12036" width="27.7109375" style="320" customWidth="1"/>
    <col min="12037" max="12037" width="19.85546875" style="320" customWidth="1"/>
    <col min="12038" max="12038" width="28.42578125" style="320" customWidth="1"/>
    <col min="12039" max="12288" width="9.140625" style="320"/>
    <col min="12289" max="12289" width="30.7109375" style="320" customWidth="1"/>
    <col min="12290" max="12290" width="27.140625" style="320" customWidth="1"/>
    <col min="12291" max="12291" width="20" style="320" customWidth="1"/>
    <col min="12292" max="12292" width="27.7109375" style="320" customWidth="1"/>
    <col min="12293" max="12293" width="19.85546875" style="320" customWidth="1"/>
    <col min="12294" max="12294" width="28.42578125" style="320" customWidth="1"/>
    <col min="12295" max="12544" width="9.140625" style="320"/>
    <col min="12545" max="12545" width="30.7109375" style="320" customWidth="1"/>
    <col min="12546" max="12546" width="27.140625" style="320" customWidth="1"/>
    <col min="12547" max="12547" width="20" style="320" customWidth="1"/>
    <col min="12548" max="12548" width="27.7109375" style="320" customWidth="1"/>
    <col min="12549" max="12549" width="19.85546875" style="320" customWidth="1"/>
    <col min="12550" max="12550" width="28.42578125" style="320" customWidth="1"/>
    <col min="12551" max="12800" width="9.140625" style="320"/>
    <col min="12801" max="12801" width="30.7109375" style="320" customWidth="1"/>
    <col min="12802" max="12802" width="27.140625" style="320" customWidth="1"/>
    <col min="12803" max="12803" width="20" style="320" customWidth="1"/>
    <col min="12804" max="12804" width="27.7109375" style="320" customWidth="1"/>
    <col min="12805" max="12805" width="19.85546875" style="320" customWidth="1"/>
    <col min="12806" max="12806" width="28.42578125" style="320" customWidth="1"/>
    <col min="12807" max="13056" width="9.140625" style="320"/>
    <col min="13057" max="13057" width="30.7109375" style="320" customWidth="1"/>
    <col min="13058" max="13058" width="27.140625" style="320" customWidth="1"/>
    <col min="13059" max="13059" width="20" style="320" customWidth="1"/>
    <col min="13060" max="13060" width="27.7109375" style="320" customWidth="1"/>
    <col min="13061" max="13061" width="19.85546875" style="320" customWidth="1"/>
    <col min="13062" max="13062" width="28.42578125" style="320" customWidth="1"/>
    <col min="13063" max="13312" width="9.140625" style="320"/>
    <col min="13313" max="13313" width="30.7109375" style="320" customWidth="1"/>
    <col min="13314" max="13314" width="27.140625" style="320" customWidth="1"/>
    <col min="13315" max="13315" width="20" style="320" customWidth="1"/>
    <col min="13316" max="13316" width="27.7109375" style="320" customWidth="1"/>
    <col min="13317" max="13317" width="19.85546875" style="320" customWidth="1"/>
    <col min="13318" max="13318" width="28.42578125" style="320" customWidth="1"/>
    <col min="13319" max="13568" width="9.140625" style="320"/>
    <col min="13569" max="13569" width="30.7109375" style="320" customWidth="1"/>
    <col min="13570" max="13570" width="27.140625" style="320" customWidth="1"/>
    <col min="13571" max="13571" width="20" style="320" customWidth="1"/>
    <col min="13572" max="13572" width="27.7109375" style="320" customWidth="1"/>
    <col min="13573" max="13573" width="19.85546875" style="320" customWidth="1"/>
    <col min="13574" max="13574" width="28.42578125" style="320" customWidth="1"/>
    <col min="13575" max="13824" width="9.140625" style="320"/>
    <col min="13825" max="13825" width="30.7109375" style="320" customWidth="1"/>
    <col min="13826" max="13826" width="27.140625" style="320" customWidth="1"/>
    <col min="13827" max="13827" width="20" style="320" customWidth="1"/>
    <col min="13828" max="13828" width="27.7109375" style="320" customWidth="1"/>
    <col min="13829" max="13829" width="19.85546875" style="320" customWidth="1"/>
    <col min="13830" max="13830" width="28.42578125" style="320" customWidth="1"/>
    <col min="13831" max="14080" width="9.140625" style="320"/>
    <col min="14081" max="14081" width="30.7109375" style="320" customWidth="1"/>
    <col min="14082" max="14082" width="27.140625" style="320" customWidth="1"/>
    <col min="14083" max="14083" width="20" style="320" customWidth="1"/>
    <col min="14084" max="14084" width="27.7109375" style="320" customWidth="1"/>
    <col min="14085" max="14085" width="19.85546875" style="320" customWidth="1"/>
    <col min="14086" max="14086" width="28.42578125" style="320" customWidth="1"/>
    <col min="14087" max="14336" width="9.140625" style="320"/>
    <col min="14337" max="14337" width="30.7109375" style="320" customWidth="1"/>
    <col min="14338" max="14338" width="27.140625" style="320" customWidth="1"/>
    <col min="14339" max="14339" width="20" style="320" customWidth="1"/>
    <col min="14340" max="14340" width="27.7109375" style="320" customWidth="1"/>
    <col min="14341" max="14341" width="19.85546875" style="320" customWidth="1"/>
    <col min="14342" max="14342" width="28.42578125" style="320" customWidth="1"/>
    <col min="14343" max="14592" width="9.140625" style="320"/>
    <col min="14593" max="14593" width="30.7109375" style="320" customWidth="1"/>
    <col min="14594" max="14594" width="27.140625" style="320" customWidth="1"/>
    <col min="14595" max="14595" width="20" style="320" customWidth="1"/>
    <col min="14596" max="14596" width="27.7109375" style="320" customWidth="1"/>
    <col min="14597" max="14597" width="19.85546875" style="320" customWidth="1"/>
    <col min="14598" max="14598" width="28.42578125" style="320" customWidth="1"/>
    <col min="14599" max="14848" width="9.140625" style="320"/>
    <col min="14849" max="14849" width="30.7109375" style="320" customWidth="1"/>
    <col min="14850" max="14850" width="27.140625" style="320" customWidth="1"/>
    <col min="14851" max="14851" width="20" style="320" customWidth="1"/>
    <col min="14852" max="14852" width="27.7109375" style="320" customWidth="1"/>
    <col min="14853" max="14853" width="19.85546875" style="320" customWidth="1"/>
    <col min="14854" max="14854" width="28.42578125" style="320" customWidth="1"/>
    <col min="14855" max="15104" width="9.140625" style="320"/>
    <col min="15105" max="15105" width="30.7109375" style="320" customWidth="1"/>
    <col min="15106" max="15106" width="27.140625" style="320" customWidth="1"/>
    <col min="15107" max="15107" width="20" style="320" customWidth="1"/>
    <col min="15108" max="15108" width="27.7109375" style="320" customWidth="1"/>
    <col min="15109" max="15109" width="19.85546875" style="320" customWidth="1"/>
    <col min="15110" max="15110" width="28.42578125" style="320" customWidth="1"/>
    <col min="15111" max="15360" width="9.140625" style="320"/>
    <col min="15361" max="15361" width="30.7109375" style="320" customWidth="1"/>
    <col min="15362" max="15362" width="27.140625" style="320" customWidth="1"/>
    <col min="15363" max="15363" width="20" style="320" customWidth="1"/>
    <col min="15364" max="15364" width="27.7109375" style="320" customWidth="1"/>
    <col min="15365" max="15365" width="19.85546875" style="320" customWidth="1"/>
    <col min="15366" max="15366" width="28.42578125" style="320" customWidth="1"/>
    <col min="15367" max="15616" width="9.140625" style="320"/>
    <col min="15617" max="15617" width="30.7109375" style="320" customWidth="1"/>
    <col min="15618" max="15618" width="27.140625" style="320" customWidth="1"/>
    <col min="15619" max="15619" width="20" style="320" customWidth="1"/>
    <col min="15620" max="15620" width="27.7109375" style="320" customWidth="1"/>
    <col min="15621" max="15621" width="19.85546875" style="320" customWidth="1"/>
    <col min="15622" max="15622" width="28.42578125" style="320" customWidth="1"/>
    <col min="15623" max="15872" width="9.140625" style="320"/>
    <col min="15873" max="15873" width="30.7109375" style="320" customWidth="1"/>
    <col min="15874" max="15874" width="27.140625" style="320" customWidth="1"/>
    <col min="15875" max="15875" width="20" style="320" customWidth="1"/>
    <col min="15876" max="15876" width="27.7109375" style="320" customWidth="1"/>
    <col min="15877" max="15877" width="19.85546875" style="320" customWidth="1"/>
    <col min="15878" max="15878" width="28.42578125" style="320" customWidth="1"/>
    <col min="15879" max="16128" width="9.140625" style="320"/>
    <col min="16129" max="16129" width="30.7109375" style="320" customWidth="1"/>
    <col min="16130" max="16130" width="27.140625" style="320" customWidth="1"/>
    <col min="16131" max="16131" width="20" style="320" customWidth="1"/>
    <col min="16132" max="16132" width="27.7109375" style="320" customWidth="1"/>
    <col min="16133" max="16133" width="19.85546875" style="320" customWidth="1"/>
    <col min="16134" max="16134" width="28.42578125" style="320" customWidth="1"/>
    <col min="16135" max="16384" width="9.140625" style="320"/>
  </cols>
  <sheetData>
    <row r="1" spans="1:6" ht="20.100000000000001" customHeight="1">
      <c r="A1" s="318"/>
      <c r="B1" s="1137" t="s">
        <v>280</v>
      </c>
      <c r="C1" s="1138"/>
      <c r="D1" s="1141" t="s">
        <v>281</v>
      </c>
      <c r="E1" s="1142"/>
      <c r="F1" s="319" t="s">
        <v>282</v>
      </c>
    </row>
    <row r="2" spans="1:6" ht="20.100000000000001" customHeight="1">
      <c r="A2" s="321"/>
      <c r="B2" s="1139"/>
      <c r="C2" s="1140"/>
      <c r="D2" s="1143" t="str">
        <f>'F1 Forecast Consultant'!D2:E2</f>
        <v>Safety Improvement</v>
      </c>
      <c r="E2" s="1144"/>
      <c r="F2" s="322" t="s">
        <v>550</v>
      </c>
    </row>
    <row r="3" spans="1:6" ht="20.100000000000001" customHeight="1">
      <c r="A3" s="321"/>
      <c r="B3" s="1145" t="s">
        <v>284</v>
      </c>
      <c r="C3" s="1147" t="str">
        <f>'F1 Forecast Consultant'!C3:C4</f>
        <v>Western</v>
      </c>
      <c r="D3" s="323" t="s">
        <v>285</v>
      </c>
      <c r="E3" s="820" t="str">
        <f>DATA!C1004</f>
        <v>NRA.N.011-050-2012/1F</v>
      </c>
      <c r="F3" s="361" t="s">
        <v>598</v>
      </c>
    </row>
    <row r="4" spans="1:6" ht="20.25" customHeight="1" thickBot="1">
      <c r="A4" s="324"/>
      <c r="B4" s="1146"/>
      <c r="C4" s="1148"/>
      <c r="D4" s="325" t="s">
        <v>597</v>
      </c>
      <c r="E4" s="700">
        <f>'F1 Forecast Consultant'!E4</f>
        <v>1</v>
      </c>
      <c r="F4" s="701">
        <f>'F1 Forecast Contractor'!E4</f>
        <v>0</v>
      </c>
    </row>
    <row r="5" spans="1:6" ht="20.100000000000001" customHeight="1">
      <c r="A5" s="1116" t="s">
        <v>690</v>
      </c>
      <c r="B5" s="1117"/>
      <c r="C5" s="1117"/>
      <c r="D5" s="1117"/>
      <c r="E5" s="1117"/>
      <c r="F5" s="1118"/>
    </row>
    <row r="6" spans="1:6" ht="20.100000000000001" customHeight="1">
      <c r="A6" s="1119"/>
      <c r="B6" s="1120"/>
      <c r="C6" s="1120"/>
      <c r="D6" s="1120"/>
      <c r="E6" s="1120"/>
      <c r="F6" s="1121"/>
    </row>
    <row r="7" spans="1:6" ht="20.100000000000001" customHeight="1" thickBot="1">
      <c r="A7" s="1122"/>
      <c r="B7" s="1123"/>
      <c r="C7" s="1123"/>
      <c r="D7" s="1123"/>
      <c r="E7" s="1123"/>
      <c r="F7" s="1124"/>
    </row>
    <row r="8" spans="1:6" ht="20.100000000000001" customHeight="1">
      <c r="A8" s="328" t="s">
        <v>287</v>
      </c>
      <c r="B8" s="664" t="str">
        <f>E3</f>
        <v>NRA.N.011-050-2012/1F</v>
      </c>
      <c r="C8" s="665"/>
      <c r="D8" s="665"/>
      <c r="E8" s="665"/>
      <c r="F8" s="666"/>
    </row>
    <row r="9" spans="1:6" ht="20.100000000000001" customHeight="1">
      <c r="A9" s="1125" t="s">
        <v>288</v>
      </c>
      <c r="B9" s="1127" t="str">
        <f>DATA!C1005</f>
        <v>CONSULTING ENGINEERING SERVICES FOR THE PRELIMINARY DESIGN REVIEW,DETAIL DESIGN, CONTRACT DOCUMENTATION AND CONSTRUCTION MONITORING OF THE ERMELO RING ROAD</v>
      </c>
      <c r="C9" s="1128"/>
      <c r="D9" s="1128"/>
      <c r="E9" s="1128"/>
      <c r="F9" s="1129"/>
    </row>
    <row r="10" spans="1:6" ht="18.75" customHeight="1">
      <c r="A10" s="1126"/>
      <c r="B10" s="1130"/>
      <c r="C10" s="1131"/>
      <c r="D10" s="1131"/>
      <c r="E10" s="1131"/>
      <c r="F10" s="1132"/>
    </row>
    <row r="11" spans="1:6" ht="20.100000000000001" customHeight="1">
      <c r="A11" s="329" t="s">
        <v>289</v>
      </c>
      <c r="B11" s="1133" t="str">
        <f>IF('F1 Forecast Consultant'!B11:C11="","",'F1 Forecast Consultant'!B11:C11)</f>
        <v/>
      </c>
      <c r="C11" s="1134"/>
      <c r="D11" s="331" t="s">
        <v>290</v>
      </c>
      <c r="E11" s="1135" t="str">
        <f>IF('F1 Forecast Consultant'!E11:F11="","",'F1 Forecast Consultant'!E11:F11)</f>
        <v/>
      </c>
      <c r="F11" s="1136"/>
    </row>
    <row r="12" spans="1:6" ht="20.100000000000001" customHeight="1">
      <c r="A12" s="330" t="s">
        <v>291</v>
      </c>
      <c r="B12" s="1097" t="str">
        <f>'All Hours'!D1</f>
        <v>PLEASE INSERT TENDERER NAME ON INPUT DATA SHEET</v>
      </c>
      <c r="C12" s="1098"/>
      <c r="D12" s="1098"/>
      <c r="E12" s="1098"/>
      <c r="F12" s="1099"/>
    </row>
    <row r="13" spans="1:6" ht="20.100000000000001" customHeight="1">
      <c r="A13" s="331" t="s">
        <v>292</v>
      </c>
      <c r="B13" s="658">
        <f>IF('F1 Forecast Consultant'!B13="","",'F1 Forecast Consultant'!B13)</f>
        <v>127533449.8</v>
      </c>
      <c r="C13" s="663" t="s">
        <v>293</v>
      </c>
      <c r="D13" s="656"/>
      <c r="E13" s="656"/>
      <c r="F13" s="657"/>
    </row>
    <row r="14" spans="1:6" ht="20.100000000000001" customHeight="1">
      <c r="A14" s="330" t="s">
        <v>294</v>
      </c>
      <c r="B14" s="1100" t="str">
        <f>IF('F1 Forecast Contractor'!B14:D14="","",'F1 Forecast Contractor'!B14:D14)</f>
        <v/>
      </c>
      <c r="C14" s="1101"/>
      <c r="D14" s="1102"/>
      <c r="E14" s="656"/>
      <c r="F14" s="657"/>
    </row>
    <row r="15" spans="1:6" ht="20.100000000000001" customHeight="1">
      <c r="A15" s="329" t="s">
        <v>289</v>
      </c>
      <c r="B15" s="1103" t="str">
        <f>IF('F1 Forecast Contractor'!B15:C15=0,"",'F1 Forecast Contractor'!B15:C15)</f>
        <v/>
      </c>
      <c r="C15" s="1104"/>
      <c r="D15" s="331" t="s">
        <v>290</v>
      </c>
      <c r="E15" s="1103" t="str">
        <f>IF('F1 Forecast Contractor'!E15:F15=0,"",'F1 Forecast Contractor'!E15:F15)</f>
        <v/>
      </c>
      <c r="F15" s="1104"/>
    </row>
    <row r="16" spans="1:6" ht="36" customHeight="1" thickBot="1">
      <c r="A16" s="334" t="s">
        <v>295</v>
      </c>
      <c r="B16" s="659">
        <f>IF('F1 Forecast Contractor'!B16="","",'F1 Forecast Contractor'!B16)</f>
        <v>5635000000</v>
      </c>
      <c r="C16" s="660" t="s">
        <v>293</v>
      </c>
      <c r="D16" s="656"/>
      <c r="E16" s="661"/>
      <c r="F16" s="662"/>
    </row>
    <row r="17" spans="1:6" ht="16.5" customHeight="1">
      <c r="A17" s="1105" t="s">
        <v>296</v>
      </c>
      <c r="B17" s="1108" t="s">
        <v>297</v>
      </c>
      <c r="C17" s="1109"/>
      <c r="D17" s="1109"/>
      <c r="E17" s="1110"/>
      <c r="F17" s="337" t="s">
        <v>298</v>
      </c>
    </row>
    <row r="18" spans="1:6" ht="14.25" customHeight="1">
      <c r="A18" s="1106"/>
      <c r="B18" s="1111" t="s">
        <v>293</v>
      </c>
      <c r="C18" s="1112"/>
      <c r="D18" s="1112"/>
      <c r="E18" s="1113"/>
      <c r="F18" s="338" t="s">
        <v>293</v>
      </c>
    </row>
    <row r="19" spans="1:6" ht="16.5" customHeight="1" thickBot="1">
      <c r="A19" s="1107"/>
      <c r="B19" s="339" t="s">
        <v>299</v>
      </c>
      <c r="C19" s="340" t="s">
        <v>300</v>
      </c>
      <c r="D19" s="341" t="s">
        <v>301</v>
      </c>
      <c r="E19" s="340" t="s">
        <v>50</v>
      </c>
      <c r="F19" s="342"/>
    </row>
    <row r="20" spans="1:6" ht="20.100000000000001" customHeight="1">
      <c r="A20" s="343">
        <f>DATA!U2</f>
        <v>45017</v>
      </c>
      <c r="B20" s="839" t="str">
        <f>IF('F1 Forecast Consultant'!B20="","",'F1 Forecast Consultant'!B20)</f>
        <v/>
      </c>
      <c r="C20" s="838" t="str">
        <f>IF('F1 Forecast Consultant'!C20="","",'F1 Forecast Consultant'!C20)</f>
        <v/>
      </c>
      <c r="D20" s="346" t="str">
        <f>IF('F1 Forecast Contractor'!D20="","",'F1 Forecast Contractor'!D20)</f>
        <v/>
      </c>
      <c r="E20" s="345">
        <f>SUM(B20:D20)</f>
        <v>0</v>
      </c>
      <c r="F20" s="347"/>
    </row>
    <row r="21" spans="1:6" ht="20.100000000000001" customHeight="1">
      <c r="A21" s="343">
        <f>+A20+30</f>
        <v>45047</v>
      </c>
      <c r="B21" s="344" t="str">
        <f>IF('F1 Forecast Consultant'!B21="","",'F1 Forecast Consultant'!B21)</f>
        <v/>
      </c>
      <c r="C21" s="345" t="str">
        <f>IF('F1 Forecast Consultant'!C21="","",'F1 Forecast Consultant'!C21)</f>
        <v/>
      </c>
      <c r="D21" s="346" t="str">
        <f>IF('F1 Forecast Contractor'!D21="","",'F1 Forecast Contractor'!D21)</f>
        <v/>
      </c>
      <c r="E21" s="345">
        <f>SUM(B21:D21)</f>
        <v>0</v>
      </c>
      <c r="F21" s="347"/>
    </row>
    <row r="22" spans="1:6" ht="20.100000000000001" customHeight="1">
      <c r="A22" s="343">
        <f>+A21+31</f>
        <v>45078</v>
      </c>
      <c r="B22" s="344" t="str">
        <f>IF('F1 Forecast Consultant'!B22="","",'F1 Forecast Consultant'!B22)</f>
        <v/>
      </c>
      <c r="C22" s="345" t="str">
        <f>IF('F1 Forecast Consultant'!C22="","",'F1 Forecast Consultant'!C22)</f>
        <v/>
      </c>
      <c r="D22" s="346" t="str">
        <f>IF('F1 Forecast Contractor'!D22="","",'F1 Forecast Contractor'!D22)</f>
        <v/>
      </c>
      <c r="E22" s="345">
        <f>SUM(B22:D22)</f>
        <v>0</v>
      </c>
      <c r="F22" s="347"/>
    </row>
    <row r="23" spans="1:6" ht="20.100000000000001" customHeight="1">
      <c r="A23" s="343">
        <f>+A22+30</f>
        <v>45108</v>
      </c>
      <c r="B23" s="344" t="str">
        <f>IF('F1 Forecast Consultant'!B23="","",'F1 Forecast Consultant'!B23)</f>
        <v/>
      </c>
      <c r="C23" s="345" t="str">
        <f>IF('F1 Forecast Consultant'!C23="","",'F1 Forecast Consultant'!C23)</f>
        <v/>
      </c>
      <c r="D23" s="346" t="str">
        <f>IF('F1 Forecast Contractor'!D23="","",'F1 Forecast Contractor'!D23)</f>
        <v/>
      </c>
      <c r="E23" s="345">
        <f>SUM(B23:D23)</f>
        <v>0</v>
      </c>
      <c r="F23" s="347"/>
    </row>
    <row r="24" spans="1:6" ht="20.100000000000001" customHeight="1">
      <c r="A24" s="343">
        <f>+A23+31</f>
        <v>45139</v>
      </c>
      <c r="B24" s="344" t="str">
        <f>IF('F1 Forecast Consultant'!B24="","",'F1 Forecast Consultant'!B24)</f>
        <v/>
      </c>
      <c r="C24" s="345" t="str">
        <f>IF('F1 Forecast Consultant'!C24="","",'F1 Forecast Consultant'!C24)</f>
        <v/>
      </c>
      <c r="D24" s="346" t="str">
        <f>IF('F1 Forecast Contractor'!D24="","",'F1 Forecast Contractor'!D24)</f>
        <v/>
      </c>
      <c r="E24" s="345">
        <f>SUM(B24:D24)</f>
        <v>0</v>
      </c>
      <c r="F24" s="347"/>
    </row>
    <row r="25" spans="1:6" ht="20.100000000000001" customHeight="1">
      <c r="A25" s="343">
        <f>+A24+31</f>
        <v>45170</v>
      </c>
      <c r="B25" s="344" t="str">
        <f>IF('F1 Forecast Consultant'!B25="","",'F1 Forecast Consultant'!B25)</f>
        <v/>
      </c>
      <c r="C25" s="345" t="str">
        <f>IF('F1 Forecast Consultant'!C25="","",'F1 Forecast Consultant'!C25)</f>
        <v/>
      </c>
      <c r="D25" s="346" t="str">
        <f>IF('F1 Forecast Contractor'!D25="","",'F1 Forecast Contractor'!D25)</f>
        <v/>
      </c>
      <c r="E25" s="345">
        <f t="shared" ref="E25:E31" si="0">SUM(B25:D25)</f>
        <v>0</v>
      </c>
      <c r="F25" s="347"/>
    </row>
    <row r="26" spans="1:6" ht="20.100000000000001" customHeight="1">
      <c r="A26" s="343">
        <f>+A25+30</f>
        <v>45200</v>
      </c>
      <c r="B26" s="344" t="str">
        <f>IF('F1 Forecast Consultant'!B26="","",'F1 Forecast Consultant'!B26)</f>
        <v/>
      </c>
      <c r="C26" s="345" t="str">
        <f>IF('F1 Forecast Consultant'!C26="","",'F1 Forecast Consultant'!C26)</f>
        <v/>
      </c>
      <c r="D26" s="346" t="str">
        <f>IF('F1 Forecast Contractor'!D26="","",'F1 Forecast Contractor'!D26)</f>
        <v/>
      </c>
      <c r="E26" s="345">
        <f t="shared" si="0"/>
        <v>0</v>
      </c>
      <c r="F26" s="347"/>
    </row>
    <row r="27" spans="1:6" ht="20.100000000000001" customHeight="1">
      <c r="A27" s="343">
        <f>+A26+31</f>
        <v>45231</v>
      </c>
      <c r="B27" s="344" t="str">
        <f>IF('F1 Forecast Consultant'!B27="","",'F1 Forecast Consultant'!B27)</f>
        <v/>
      </c>
      <c r="C27" s="345" t="str">
        <f>IF('F1 Forecast Consultant'!C27="","",'F1 Forecast Consultant'!C27)</f>
        <v/>
      </c>
      <c r="D27" s="346" t="str">
        <f>IF('F1 Forecast Contractor'!D27="","",'F1 Forecast Contractor'!D27)</f>
        <v/>
      </c>
      <c r="E27" s="345">
        <f t="shared" si="0"/>
        <v>0</v>
      </c>
      <c r="F27" s="347"/>
    </row>
    <row r="28" spans="1:6" ht="20.100000000000001" customHeight="1">
      <c r="A28" s="343">
        <f>+A27+30</f>
        <v>45261</v>
      </c>
      <c r="B28" s="344" t="str">
        <f>IF('F1 Forecast Consultant'!B28="","",'F1 Forecast Consultant'!B28)</f>
        <v/>
      </c>
      <c r="C28" s="345" t="str">
        <f>IF('F1 Forecast Consultant'!C28="","",'F1 Forecast Consultant'!C28)</f>
        <v/>
      </c>
      <c r="D28" s="346" t="str">
        <f>IF('F1 Forecast Contractor'!D28="","",'F1 Forecast Contractor'!D28)</f>
        <v/>
      </c>
      <c r="E28" s="345">
        <f t="shared" si="0"/>
        <v>0</v>
      </c>
      <c r="F28" s="347"/>
    </row>
    <row r="29" spans="1:6" ht="20.100000000000001" customHeight="1">
      <c r="A29" s="343">
        <f>+A28+31</f>
        <v>45292</v>
      </c>
      <c r="B29" s="344" t="str">
        <f>IF('F1 Forecast Consultant'!B29="","",'F1 Forecast Consultant'!B29)</f>
        <v/>
      </c>
      <c r="C29" s="345" t="str">
        <f>IF('F1 Forecast Consultant'!C29="","",'F1 Forecast Consultant'!C29)</f>
        <v/>
      </c>
      <c r="D29" s="346" t="str">
        <f>IF('F1 Forecast Contractor'!D29="","",'F1 Forecast Contractor'!D29)</f>
        <v/>
      </c>
      <c r="E29" s="345">
        <f t="shared" si="0"/>
        <v>0</v>
      </c>
      <c r="F29" s="347"/>
    </row>
    <row r="30" spans="1:6" ht="20.100000000000001" customHeight="1">
      <c r="A30" s="343">
        <f>+A29+31</f>
        <v>45323</v>
      </c>
      <c r="B30" s="344" t="str">
        <f>IF('F1 Forecast Consultant'!B30="","",'F1 Forecast Consultant'!B30)</f>
        <v/>
      </c>
      <c r="C30" s="345" t="str">
        <f>IF('F1 Forecast Consultant'!C30="","",'F1 Forecast Consultant'!C30)</f>
        <v/>
      </c>
      <c r="D30" s="346" t="str">
        <f>IF('F1 Forecast Contractor'!D30="","",'F1 Forecast Contractor'!D30)</f>
        <v/>
      </c>
      <c r="E30" s="345">
        <f t="shared" si="0"/>
        <v>0</v>
      </c>
      <c r="F30" s="347"/>
    </row>
    <row r="31" spans="1:6" ht="20.100000000000001" customHeight="1">
      <c r="A31" s="343">
        <f>IF(ISNA(VLOOKUP(A30,DATA!$E$4:$E$13,1,FALSE))=TRUE,A30+28,A30+29)</f>
        <v>45352</v>
      </c>
      <c r="B31" s="840" t="str">
        <f>IF('F1 Forecast Consultant'!B31="","",'F1 Forecast Consultant'!B31)</f>
        <v/>
      </c>
      <c r="C31" s="348" t="str">
        <f>IF('F1 Forecast Consultant'!C31="","",'F1 Forecast Consultant'!C31)</f>
        <v/>
      </c>
      <c r="D31" s="346" t="str">
        <f>IF('F1 Forecast Contractor'!D31="","",'F1 Forecast Contractor'!D31)</f>
        <v/>
      </c>
      <c r="E31" s="348">
        <f t="shared" si="0"/>
        <v>0</v>
      </c>
      <c r="F31" s="347"/>
    </row>
    <row r="32" spans="1:6" ht="20.100000000000001" customHeight="1" thickBot="1">
      <c r="A32" s="349" t="str">
        <f>VLOOKUP(A20,DATA!$Y$2:$AA$41,2,FALSE)</f>
        <v>Sub-Total 2023/2024</v>
      </c>
      <c r="B32" s="354">
        <f>'F1 Forecast Consultant'!B32</f>
        <v>0</v>
      </c>
      <c r="C32" s="354">
        <f>'F1 Forecast Consultant'!C32</f>
        <v>0</v>
      </c>
      <c r="D32" s="354">
        <f>'F1 Forecast Contractor'!D32</f>
        <v>0</v>
      </c>
      <c r="E32" s="350">
        <f>SUM(E20:E31)</f>
        <v>0</v>
      </c>
      <c r="F32" s="351">
        <f>SUM(F20:F31)</f>
        <v>0</v>
      </c>
    </row>
    <row r="33" spans="1:6" ht="20.100000000000001" customHeight="1" thickTop="1">
      <c r="A33" s="343">
        <f>A31+31</f>
        <v>45383</v>
      </c>
      <c r="B33" s="841" t="str">
        <f>IF('F1 Forecast Consultant'!B33="","",'F1 Forecast Consultant'!B33)</f>
        <v/>
      </c>
      <c r="C33" s="842" t="str">
        <f>IF('F1 Forecast Consultant'!C33="","",'F1 Forecast Consultant'!C33)</f>
        <v/>
      </c>
      <c r="D33" s="681" t="str">
        <f>IF('F1 Forecast Contractor'!D33="","",'F1 Forecast Contractor'!D33)</f>
        <v/>
      </c>
      <c r="E33" s="352">
        <f t="shared" ref="E33:E44" si="1">SUM(B33:D33)</f>
        <v>0</v>
      </c>
      <c r="F33" s="347"/>
    </row>
    <row r="34" spans="1:6" ht="20.100000000000001" customHeight="1">
      <c r="A34" s="343">
        <f>+A33+30</f>
        <v>45413</v>
      </c>
      <c r="B34" s="344" t="str">
        <f>IF('F1 Forecast Consultant'!B34="","",'F1 Forecast Consultant'!B34)</f>
        <v/>
      </c>
      <c r="C34" s="345" t="str">
        <f>IF('F1 Forecast Consultant'!C34="","",'F1 Forecast Consultant'!C34)</f>
        <v/>
      </c>
      <c r="D34" s="682" t="str">
        <f>IF('F1 Forecast Contractor'!D34="","",'F1 Forecast Contractor'!D34)</f>
        <v/>
      </c>
      <c r="E34" s="352">
        <f t="shared" si="1"/>
        <v>0</v>
      </c>
      <c r="F34" s="347"/>
    </row>
    <row r="35" spans="1:6" ht="20.100000000000001" customHeight="1">
      <c r="A35" s="343">
        <f>+A34+31</f>
        <v>45444</v>
      </c>
      <c r="B35" s="344" t="str">
        <f>IF('F1 Forecast Consultant'!B35="","",'F1 Forecast Consultant'!B35)</f>
        <v/>
      </c>
      <c r="C35" s="345" t="str">
        <f>IF('F1 Forecast Consultant'!C35="","",'F1 Forecast Consultant'!C35)</f>
        <v/>
      </c>
      <c r="D35" s="682" t="str">
        <f>IF('F1 Forecast Contractor'!D35="","",'F1 Forecast Contractor'!D35)</f>
        <v/>
      </c>
      <c r="E35" s="352">
        <f t="shared" si="1"/>
        <v>0</v>
      </c>
      <c r="F35" s="347"/>
    </row>
    <row r="36" spans="1:6" ht="20.100000000000001" customHeight="1">
      <c r="A36" s="343">
        <f>+A35+30</f>
        <v>45474</v>
      </c>
      <c r="B36" s="344" t="str">
        <f>IF('F1 Forecast Consultant'!B36="","",'F1 Forecast Consultant'!B36)</f>
        <v/>
      </c>
      <c r="C36" s="345" t="str">
        <f>IF('F1 Forecast Consultant'!C36="","",'F1 Forecast Consultant'!C36)</f>
        <v/>
      </c>
      <c r="D36" s="682" t="str">
        <f>IF('F1 Forecast Contractor'!D36="","",'F1 Forecast Contractor'!D36)</f>
        <v/>
      </c>
      <c r="E36" s="352">
        <f t="shared" si="1"/>
        <v>0</v>
      </c>
      <c r="F36" s="347"/>
    </row>
    <row r="37" spans="1:6" ht="20.100000000000001" customHeight="1">
      <c r="A37" s="343">
        <f>+A36+31</f>
        <v>45505</v>
      </c>
      <c r="B37" s="344" t="str">
        <f>IF('F1 Forecast Consultant'!B37="","",'F1 Forecast Consultant'!B37)</f>
        <v/>
      </c>
      <c r="C37" s="345" t="str">
        <f>IF('F1 Forecast Consultant'!C37="","",'F1 Forecast Consultant'!C37)</f>
        <v/>
      </c>
      <c r="D37" s="682" t="str">
        <f>IF('F1 Forecast Contractor'!D37="","",'F1 Forecast Contractor'!D37)</f>
        <v/>
      </c>
      <c r="E37" s="352">
        <f t="shared" si="1"/>
        <v>0</v>
      </c>
      <c r="F37" s="347"/>
    </row>
    <row r="38" spans="1:6" ht="20.100000000000001" customHeight="1">
      <c r="A38" s="343">
        <f>+A37+31</f>
        <v>45536</v>
      </c>
      <c r="B38" s="344" t="str">
        <f>IF('F1 Forecast Consultant'!B38="","",'F1 Forecast Consultant'!B38)</f>
        <v/>
      </c>
      <c r="C38" s="345" t="str">
        <f>IF('F1 Forecast Consultant'!C38="","",'F1 Forecast Consultant'!C38)</f>
        <v/>
      </c>
      <c r="D38" s="682" t="str">
        <f>IF('F1 Forecast Contractor'!D38="","",'F1 Forecast Contractor'!D38)</f>
        <v/>
      </c>
      <c r="E38" s="352">
        <f t="shared" si="1"/>
        <v>0</v>
      </c>
      <c r="F38" s="347"/>
    </row>
    <row r="39" spans="1:6" ht="20.100000000000001" customHeight="1">
      <c r="A39" s="343">
        <f>+A38+30</f>
        <v>45566</v>
      </c>
      <c r="B39" s="344" t="str">
        <f>IF('F1 Forecast Consultant'!B39="","",'F1 Forecast Consultant'!B39)</f>
        <v/>
      </c>
      <c r="C39" s="345" t="str">
        <f>IF('F1 Forecast Consultant'!C39="","",'F1 Forecast Consultant'!C39)</f>
        <v/>
      </c>
      <c r="D39" s="682" t="str">
        <f>IF('F1 Forecast Contractor'!D39="","",'F1 Forecast Contractor'!D39)</f>
        <v/>
      </c>
      <c r="E39" s="352">
        <f t="shared" si="1"/>
        <v>0</v>
      </c>
      <c r="F39" s="347"/>
    </row>
    <row r="40" spans="1:6" ht="20.100000000000001" customHeight="1">
      <c r="A40" s="343">
        <f>+A39+31</f>
        <v>45597</v>
      </c>
      <c r="B40" s="344" t="str">
        <f>IF('F1 Forecast Consultant'!B40="","",'F1 Forecast Consultant'!B40)</f>
        <v/>
      </c>
      <c r="C40" s="345" t="str">
        <f>IF('F1 Forecast Consultant'!C40="","",'F1 Forecast Consultant'!C40)</f>
        <v/>
      </c>
      <c r="D40" s="682" t="str">
        <f>IF('F1 Forecast Contractor'!D40="","",'F1 Forecast Contractor'!D40)</f>
        <v/>
      </c>
      <c r="E40" s="352">
        <f t="shared" si="1"/>
        <v>0</v>
      </c>
      <c r="F40" s="347"/>
    </row>
    <row r="41" spans="1:6" ht="20.100000000000001" customHeight="1">
      <c r="A41" s="343">
        <f>+A40+30</f>
        <v>45627</v>
      </c>
      <c r="B41" s="344" t="str">
        <f>IF('F1 Forecast Consultant'!B41="","",'F1 Forecast Consultant'!B41)</f>
        <v/>
      </c>
      <c r="C41" s="345" t="str">
        <f>IF('F1 Forecast Consultant'!C41="","",'F1 Forecast Consultant'!C41)</f>
        <v/>
      </c>
      <c r="D41" s="682" t="str">
        <f>IF('F1 Forecast Contractor'!D41="","",'F1 Forecast Contractor'!D41)</f>
        <v/>
      </c>
      <c r="E41" s="352">
        <f t="shared" si="1"/>
        <v>0</v>
      </c>
      <c r="F41" s="347"/>
    </row>
    <row r="42" spans="1:6" ht="20.100000000000001" customHeight="1">
      <c r="A42" s="343">
        <f>+A41+31</f>
        <v>45658</v>
      </c>
      <c r="B42" s="344" t="str">
        <f>IF('F1 Forecast Consultant'!B42="","",'F1 Forecast Consultant'!B42)</f>
        <v/>
      </c>
      <c r="C42" s="345" t="str">
        <f>IF('F1 Forecast Consultant'!C42="","",'F1 Forecast Consultant'!C42)</f>
        <v/>
      </c>
      <c r="D42" s="682" t="str">
        <f>IF('F1 Forecast Contractor'!D42="","",'F1 Forecast Contractor'!D42)</f>
        <v/>
      </c>
      <c r="E42" s="352">
        <f t="shared" si="1"/>
        <v>0</v>
      </c>
      <c r="F42" s="347"/>
    </row>
    <row r="43" spans="1:6" ht="20.100000000000001" customHeight="1">
      <c r="A43" s="343">
        <f>+A42+31</f>
        <v>45689</v>
      </c>
      <c r="B43" s="344" t="str">
        <f>IF('F1 Forecast Consultant'!B43="","",'F1 Forecast Consultant'!B43)</f>
        <v/>
      </c>
      <c r="C43" s="345" t="str">
        <f>IF('F1 Forecast Consultant'!C43="","",'F1 Forecast Consultant'!C43)</f>
        <v/>
      </c>
      <c r="D43" s="682" t="str">
        <f>IF('F1 Forecast Contractor'!D43="","",'F1 Forecast Contractor'!D43)</f>
        <v/>
      </c>
      <c r="E43" s="352">
        <f t="shared" si="1"/>
        <v>0</v>
      </c>
      <c r="F43" s="347"/>
    </row>
    <row r="44" spans="1:6" ht="20.100000000000001" customHeight="1">
      <c r="A44" s="343">
        <f>IF(ISNA(VLOOKUP(A43,DATA!$E$4:$E$13,1,FALSE))=TRUE,A43+28,A43+29)</f>
        <v>45717</v>
      </c>
      <c r="B44" s="840" t="str">
        <f>IF('F1 Forecast Consultant'!B44="","",'F1 Forecast Consultant'!B44)</f>
        <v/>
      </c>
      <c r="C44" s="348" t="str">
        <f>IF('F1 Forecast Consultant'!C44="","",'F1 Forecast Consultant'!C44)</f>
        <v/>
      </c>
      <c r="D44" s="851" t="str">
        <f>IF('F1 Forecast Contractor'!D44="","",'F1 Forecast Contractor'!D44)</f>
        <v/>
      </c>
      <c r="E44" s="352">
        <f t="shared" si="1"/>
        <v>0</v>
      </c>
      <c r="F44" s="347"/>
    </row>
    <row r="45" spans="1:6" ht="20.100000000000001" customHeight="1" thickBot="1">
      <c r="A45" s="349" t="str">
        <f>VLOOKUP(A33,DATA!$Y$2:$AA$41,2,FALSE)</f>
        <v>Sub-Total 2024/2025</v>
      </c>
      <c r="B45" s="354">
        <f>'F1 Forecast Consultant'!B45</f>
        <v>0</v>
      </c>
      <c r="C45" s="354">
        <f>'F1 Forecast Consultant'!C45</f>
        <v>0</v>
      </c>
      <c r="D45" s="683">
        <f>'F1 Forecast Contractor'!D45</f>
        <v>0</v>
      </c>
      <c r="E45" s="679">
        <f>SUM(E33:E44)</f>
        <v>0</v>
      </c>
      <c r="F45" s="355">
        <f>SUM(F33:F44)</f>
        <v>0</v>
      </c>
    </row>
    <row r="46" spans="1:6" ht="20.100000000000001" customHeight="1" thickTop="1">
      <c r="A46" s="343">
        <f>A44+31</f>
        <v>45748</v>
      </c>
      <c r="B46" s="841" t="str">
        <f>IF('F1 Forecast Consultant'!B46="","",'F1 Forecast Consultant'!B46)</f>
        <v/>
      </c>
      <c r="C46" s="842" t="str">
        <f>IF('F1 Forecast Consultant'!C46="","",'F1 Forecast Consultant'!C46)</f>
        <v/>
      </c>
      <c r="D46" s="681" t="str">
        <f>IF('F1 Forecast Contractor'!D46="","",'F1 Forecast Contractor'!D46)</f>
        <v/>
      </c>
      <c r="E46" s="352">
        <f>SUM(B46:D46)</f>
        <v>0</v>
      </c>
      <c r="F46" s="347"/>
    </row>
    <row r="47" spans="1:6" ht="20.100000000000001" customHeight="1">
      <c r="A47" s="343">
        <f>+A46+30</f>
        <v>45778</v>
      </c>
      <c r="B47" s="344" t="str">
        <f>IF('F1 Forecast Consultant'!B47="","",'F1 Forecast Consultant'!B47)</f>
        <v/>
      </c>
      <c r="C47" s="345" t="str">
        <f>IF('F1 Forecast Consultant'!C47="","",'F1 Forecast Consultant'!C47)</f>
        <v/>
      </c>
      <c r="D47" s="682" t="str">
        <f>IF('F1 Forecast Contractor'!D47="","",'F1 Forecast Contractor'!D47)</f>
        <v/>
      </c>
      <c r="E47" s="352">
        <f t="shared" ref="E47:E56" si="2">SUM(B47:D47)</f>
        <v>0</v>
      </c>
      <c r="F47" s="347"/>
    </row>
    <row r="48" spans="1:6" ht="20.100000000000001" customHeight="1">
      <c r="A48" s="343">
        <f>+A47+31</f>
        <v>45809</v>
      </c>
      <c r="B48" s="344" t="str">
        <f>IF('F1 Forecast Consultant'!B48="","",'F1 Forecast Consultant'!B48)</f>
        <v/>
      </c>
      <c r="C48" s="345" t="str">
        <f>IF('F1 Forecast Consultant'!C48="","",'F1 Forecast Consultant'!C48)</f>
        <v/>
      </c>
      <c r="D48" s="682" t="str">
        <f>IF('F1 Forecast Contractor'!D48="","",'F1 Forecast Contractor'!D48)</f>
        <v/>
      </c>
      <c r="E48" s="352">
        <f t="shared" si="2"/>
        <v>0</v>
      </c>
      <c r="F48" s="347"/>
    </row>
    <row r="49" spans="1:6" ht="20.100000000000001" customHeight="1">
      <c r="A49" s="343">
        <f>+A48+30</f>
        <v>45839</v>
      </c>
      <c r="B49" s="344" t="str">
        <f>IF('F1 Forecast Consultant'!B49="","",'F1 Forecast Consultant'!B49)</f>
        <v/>
      </c>
      <c r="C49" s="345" t="str">
        <f>IF('F1 Forecast Consultant'!C49="","",'F1 Forecast Consultant'!C49)</f>
        <v/>
      </c>
      <c r="D49" s="682" t="str">
        <f>IF('F1 Forecast Contractor'!D49="","",'F1 Forecast Contractor'!D49)</f>
        <v/>
      </c>
      <c r="E49" s="352">
        <f t="shared" si="2"/>
        <v>0</v>
      </c>
      <c r="F49" s="347"/>
    </row>
    <row r="50" spans="1:6" ht="20.100000000000001" customHeight="1">
      <c r="A50" s="343">
        <f>+A49+31</f>
        <v>45870</v>
      </c>
      <c r="B50" s="344" t="str">
        <f>IF('F1 Forecast Consultant'!B50="","",'F1 Forecast Consultant'!B50)</f>
        <v/>
      </c>
      <c r="C50" s="345" t="str">
        <f>IF('F1 Forecast Consultant'!C50="","",'F1 Forecast Consultant'!C50)</f>
        <v/>
      </c>
      <c r="D50" s="682" t="str">
        <f>IF('F1 Forecast Contractor'!D50="","",'F1 Forecast Contractor'!D50)</f>
        <v/>
      </c>
      <c r="E50" s="352">
        <f t="shared" si="2"/>
        <v>0</v>
      </c>
      <c r="F50" s="347"/>
    </row>
    <row r="51" spans="1:6" ht="20.100000000000001" customHeight="1">
      <c r="A51" s="343">
        <f>+A50+31</f>
        <v>45901</v>
      </c>
      <c r="B51" s="344" t="str">
        <f>IF('F1 Forecast Consultant'!B51="","",'F1 Forecast Consultant'!B51)</f>
        <v/>
      </c>
      <c r="C51" s="345" t="str">
        <f>IF('F1 Forecast Consultant'!C51="","",'F1 Forecast Consultant'!C51)</f>
        <v/>
      </c>
      <c r="D51" s="682" t="str">
        <f>IF('F1 Forecast Contractor'!D51="","",'F1 Forecast Contractor'!D51)</f>
        <v/>
      </c>
      <c r="E51" s="352">
        <f t="shared" si="2"/>
        <v>0</v>
      </c>
      <c r="F51" s="347"/>
    </row>
    <row r="52" spans="1:6" ht="20.100000000000001" customHeight="1">
      <c r="A52" s="343">
        <f>+A51+30</f>
        <v>45931</v>
      </c>
      <c r="B52" s="344" t="str">
        <f>IF('F1 Forecast Consultant'!B52="","",'F1 Forecast Consultant'!B52)</f>
        <v/>
      </c>
      <c r="C52" s="345" t="str">
        <f>IF('F1 Forecast Consultant'!C52="","",'F1 Forecast Consultant'!C52)</f>
        <v/>
      </c>
      <c r="D52" s="682" t="str">
        <f>IF('F1 Forecast Contractor'!D52="","",'F1 Forecast Contractor'!D52)</f>
        <v/>
      </c>
      <c r="E52" s="352">
        <f t="shared" si="2"/>
        <v>0</v>
      </c>
      <c r="F52" s="347"/>
    </row>
    <row r="53" spans="1:6" ht="20.100000000000001" customHeight="1">
      <c r="A53" s="343">
        <f>+A52+31</f>
        <v>45962</v>
      </c>
      <c r="B53" s="344" t="str">
        <f>IF('F1 Forecast Consultant'!B53="","",'F1 Forecast Consultant'!B53)</f>
        <v/>
      </c>
      <c r="C53" s="345" t="str">
        <f>IF('F1 Forecast Consultant'!C53="","",'F1 Forecast Consultant'!C53)</f>
        <v/>
      </c>
      <c r="D53" s="682" t="str">
        <f>IF('F1 Forecast Contractor'!D53="","",'F1 Forecast Contractor'!D53)</f>
        <v/>
      </c>
      <c r="E53" s="352">
        <f t="shared" si="2"/>
        <v>0</v>
      </c>
      <c r="F53" s="347"/>
    </row>
    <row r="54" spans="1:6" ht="20.100000000000001" customHeight="1">
      <c r="A54" s="343">
        <f>+A53+30</f>
        <v>45992</v>
      </c>
      <c r="B54" s="344" t="str">
        <f>IF('F1 Forecast Consultant'!B54="","",'F1 Forecast Consultant'!B54)</f>
        <v/>
      </c>
      <c r="C54" s="345" t="str">
        <f>IF('F1 Forecast Consultant'!C54="","",'F1 Forecast Consultant'!C54)</f>
        <v/>
      </c>
      <c r="D54" s="682" t="str">
        <f>IF('F1 Forecast Contractor'!D54="","",'F1 Forecast Contractor'!D54)</f>
        <v/>
      </c>
      <c r="E54" s="352">
        <f t="shared" si="2"/>
        <v>0</v>
      </c>
      <c r="F54" s="347"/>
    </row>
    <row r="55" spans="1:6" ht="20.100000000000001" customHeight="1">
      <c r="A55" s="343">
        <f>+A54+31</f>
        <v>46023</v>
      </c>
      <c r="B55" s="344" t="str">
        <f>IF('F1 Forecast Consultant'!B55="","",'F1 Forecast Consultant'!B55)</f>
        <v/>
      </c>
      <c r="C55" s="345" t="str">
        <f>IF('F1 Forecast Consultant'!C55="","",'F1 Forecast Consultant'!C55)</f>
        <v/>
      </c>
      <c r="D55" s="682" t="str">
        <f>IF('F1 Forecast Contractor'!D55="","",'F1 Forecast Contractor'!D55)</f>
        <v/>
      </c>
      <c r="E55" s="352">
        <f t="shared" si="2"/>
        <v>0</v>
      </c>
      <c r="F55" s="347"/>
    </row>
    <row r="56" spans="1:6" ht="20.100000000000001" customHeight="1">
      <c r="A56" s="343">
        <f>+A55+31</f>
        <v>46054</v>
      </c>
      <c r="B56" s="344" t="str">
        <f>IF('F1 Forecast Consultant'!B56="","",'F1 Forecast Consultant'!B56)</f>
        <v/>
      </c>
      <c r="C56" s="345" t="str">
        <f>IF('F1 Forecast Consultant'!C56="","",'F1 Forecast Consultant'!C56)</f>
        <v/>
      </c>
      <c r="D56" s="682" t="str">
        <f>IF('F1 Forecast Contractor'!D56="","",'F1 Forecast Contractor'!D56)</f>
        <v/>
      </c>
      <c r="E56" s="352">
        <f t="shared" si="2"/>
        <v>0</v>
      </c>
      <c r="F56" s="347"/>
    </row>
    <row r="57" spans="1:6" ht="20.100000000000001" customHeight="1">
      <c r="A57" s="343">
        <f>IF(ISNA(VLOOKUP(A56,DATA!$E$4:$E$13,1,FALSE))=TRUE,A56+28,A56+29)</f>
        <v>46082</v>
      </c>
      <c r="B57" s="840" t="str">
        <f>IF('F1 Forecast Consultant'!B57="","",'F1 Forecast Consultant'!B57)</f>
        <v/>
      </c>
      <c r="C57" s="348" t="str">
        <f>IF('F1 Forecast Consultant'!C57="","",'F1 Forecast Consultant'!C57)</f>
        <v/>
      </c>
      <c r="D57" s="851" t="str">
        <f>IF('F1 Forecast Contractor'!D57="","",'F1 Forecast Contractor'!D57)</f>
        <v/>
      </c>
      <c r="E57" s="352">
        <f>SUM(B57:D57)</f>
        <v>0</v>
      </c>
      <c r="F57" s="347"/>
    </row>
    <row r="58" spans="1:6" ht="20.100000000000001" customHeight="1" thickBot="1">
      <c r="A58" s="349" t="str">
        <f>VLOOKUP(A46,DATA!$Y$2:$AA$41,2,FALSE)</f>
        <v>Sub-Total 2025/2026</v>
      </c>
      <c r="B58" s="354">
        <f>'F1 Forecast Consultant'!B58</f>
        <v>0</v>
      </c>
      <c r="C58" s="354">
        <f>'F1 Forecast Consultant'!C58</f>
        <v>0</v>
      </c>
      <c r="D58" s="683">
        <f>'F1 Forecast Contractor'!D58</f>
        <v>0</v>
      </c>
      <c r="E58" s="679">
        <f>SUM(E46:E57)</f>
        <v>0</v>
      </c>
      <c r="F58" s="355">
        <f>SUM(F46:F57)</f>
        <v>0</v>
      </c>
    </row>
    <row r="59" spans="1:6" ht="20.100000000000001" customHeight="1" thickTop="1" thickBot="1">
      <c r="A59" s="356" t="s">
        <v>305</v>
      </c>
      <c r="B59" s="684">
        <f>'F1 Forecast Consultant'!B59</f>
        <v>0</v>
      </c>
      <c r="C59" s="684">
        <f>'F1 Forecast Consultant'!C59</f>
        <v>0</v>
      </c>
      <c r="D59" s="685">
        <f>'F1 Forecast Contractor'!D59</f>
        <v>0</v>
      </c>
      <c r="E59" s="680">
        <f>+E32+E45+E58</f>
        <v>0</v>
      </c>
      <c r="F59" s="358">
        <f>+F32+F45+F58</f>
        <v>0</v>
      </c>
    </row>
    <row r="60" spans="1:6" ht="20.100000000000001" customHeight="1">
      <c r="A60" s="359" t="s">
        <v>306</v>
      </c>
      <c r="B60" s="359" t="s">
        <v>307</v>
      </c>
    </row>
    <row r="61" spans="1:6" ht="20.100000000000001" customHeight="1">
      <c r="A61" s="359"/>
      <c r="B61" s="359"/>
    </row>
    <row r="63" spans="1:6" ht="20.100000000000001" customHeight="1" thickBot="1"/>
    <row r="64" spans="1:6" ht="20.100000000000001" customHeight="1">
      <c r="A64" s="318"/>
      <c r="B64" s="1137" t="s">
        <v>280</v>
      </c>
      <c r="C64" s="1138"/>
      <c r="D64" s="1141" t="s">
        <v>281</v>
      </c>
      <c r="E64" s="1142"/>
      <c r="F64" s="319" t="s">
        <v>282</v>
      </c>
    </row>
    <row r="65" spans="1:6" ht="20.100000000000001" customHeight="1">
      <c r="A65" s="321"/>
      <c r="B65" s="1139"/>
      <c r="C65" s="1140"/>
      <c r="D65" s="1143" t="str">
        <f>D2</f>
        <v>Safety Improvement</v>
      </c>
      <c r="E65" s="1144"/>
      <c r="F65" s="322" t="s">
        <v>550</v>
      </c>
    </row>
    <row r="66" spans="1:6" ht="20.100000000000001" customHeight="1">
      <c r="A66" s="321"/>
      <c r="B66" s="1145" t="s">
        <v>284</v>
      </c>
      <c r="C66" s="1147" t="str">
        <f>C3</f>
        <v>Western</v>
      </c>
      <c r="D66" s="323" t="s">
        <v>285</v>
      </c>
      <c r="E66" s="820" t="str">
        <f>E3</f>
        <v>NRA.N.011-050-2012/1F</v>
      </c>
      <c r="F66" s="361" t="s">
        <v>598</v>
      </c>
    </row>
    <row r="67" spans="1:6" ht="20.100000000000001" customHeight="1" thickBot="1">
      <c r="A67" s="324"/>
      <c r="B67" s="1146"/>
      <c r="C67" s="1148"/>
      <c r="D67" s="325" t="s">
        <v>597</v>
      </c>
      <c r="E67" s="700">
        <f>E4</f>
        <v>1</v>
      </c>
      <c r="F67" s="701">
        <f>F4</f>
        <v>0</v>
      </c>
    </row>
    <row r="68" spans="1:6" ht="20.100000000000001" customHeight="1">
      <c r="A68" s="1116" t="s">
        <v>689</v>
      </c>
      <c r="B68" s="1117"/>
      <c r="C68" s="1117"/>
      <c r="D68" s="1117"/>
      <c r="E68" s="1117"/>
      <c r="F68" s="1118"/>
    </row>
    <row r="69" spans="1:6" ht="20.100000000000001" customHeight="1">
      <c r="A69" s="1119"/>
      <c r="B69" s="1120"/>
      <c r="C69" s="1120"/>
      <c r="D69" s="1120"/>
      <c r="E69" s="1120"/>
      <c r="F69" s="1121"/>
    </row>
    <row r="70" spans="1:6" ht="20.100000000000001" customHeight="1" thickBot="1">
      <c r="A70" s="1122"/>
      <c r="B70" s="1123"/>
      <c r="C70" s="1123"/>
      <c r="D70" s="1123"/>
      <c r="E70" s="1123"/>
      <c r="F70" s="1124"/>
    </row>
    <row r="71" spans="1:6" ht="20.100000000000001" customHeight="1">
      <c r="A71" s="328" t="s">
        <v>287</v>
      </c>
      <c r="B71" s="664" t="str">
        <f>E66</f>
        <v>NRA.N.011-050-2012/1F</v>
      </c>
      <c r="C71" s="665"/>
      <c r="D71" s="665"/>
      <c r="E71" s="665"/>
      <c r="F71" s="666"/>
    </row>
    <row r="72" spans="1:6" ht="20.100000000000001" customHeight="1">
      <c r="A72" s="1125" t="s">
        <v>288</v>
      </c>
      <c r="B72" s="1127" t="str">
        <f>B9</f>
        <v>CONSULTING ENGINEERING SERVICES FOR THE PRELIMINARY DESIGN REVIEW,DETAIL DESIGN, CONTRACT DOCUMENTATION AND CONSTRUCTION MONITORING OF THE ERMELO RING ROAD</v>
      </c>
      <c r="C72" s="1128"/>
      <c r="D72" s="1128"/>
      <c r="E72" s="1128"/>
      <c r="F72" s="1129"/>
    </row>
    <row r="73" spans="1:6" ht="20.100000000000001" customHeight="1">
      <c r="A73" s="1126"/>
      <c r="B73" s="1130"/>
      <c r="C73" s="1131"/>
      <c r="D73" s="1131"/>
      <c r="E73" s="1131"/>
      <c r="F73" s="1132"/>
    </row>
    <row r="74" spans="1:6" ht="20.100000000000001" customHeight="1">
      <c r="A74" s="329" t="s">
        <v>289</v>
      </c>
      <c r="B74" s="1133" t="str">
        <f t="shared" ref="B74:B79" si="3">B11</f>
        <v/>
      </c>
      <c r="C74" s="1134"/>
      <c r="D74" s="331" t="s">
        <v>290</v>
      </c>
      <c r="E74" s="1135" t="str">
        <f>E11</f>
        <v/>
      </c>
      <c r="F74" s="1136"/>
    </row>
    <row r="75" spans="1:6" ht="20.100000000000001" customHeight="1">
      <c r="A75" s="330" t="s">
        <v>291</v>
      </c>
      <c r="B75" s="1097" t="str">
        <f t="shared" si="3"/>
        <v>PLEASE INSERT TENDERER NAME ON INPUT DATA SHEET</v>
      </c>
      <c r="C75" s="1098"/>
      <c r="D75" s="1098"/>
      <c r="E75" s="1098"/>
      <c r="F75" s="1099"/>
    </row>
    <row r="76" spans="1:6" ht="20.100000000000001" customHeight="1">
      <c r="A76" s="331" t="s">
        <v>292</v>
      </c>
      <c r="B76" s="658">
        <f t="shared" si="3"/>
        <v>127533449.8</v>
      </c>
      <c r="C76" s="663" t="s">
        <v>293</v>
      </c>
      <c r="D76" s="656"/>
      <c r="E76" s="656"/>
      <c r="F76" s="657"/>
    </row>
    <row r="77" spans="1:6" ht="20.100000000000001" customHeight="1">
      <c r="A77" s="330" t="s">
        <v>294</v>
      </c>
      <c r="B77" s="1100" t="str">
        <f t="shared" si="3"/>
        <v/>
      </c>
      <c r="C77" s="1101"/>
      <c r="D77" s="1102"/>
      <c r="E77" s="656"/>
      <c r="F77" s="657"/>
    </row>
    <row r="78" spans="1:6" ht="20.100000000000001" customHeight="1">
      <c r="A78" s="329" t="s">
        <v>289</v>
      </c>
      <c r="B78" s="1114" t="str">
        <f t="shared" si="3"/>
        <v/>
      </c>
      <c r="C78" s="1115"/>
      <c r="D78" s="331" t="s">
        <v>290</v>
      </c>
      <c r="E78" s="1103" t="str">
        <f>E15</f>
        <v/>
      </c>
      <c r="F78" s="1104"/>
    </row>
    <row r="79" spans="1:6" ht="37.5" customHeight="1" thickBot="1">
      <c r="A79" s="334" t="s">
        <v>295</v>
      </c>
      <c r="B79" s="659">
        <f t="shared" si="3"/>
        <v>5635000000</v>
      </c>
      <c r="C79" s="660" t="s">
        <v>293</v>
      </c>
      <c r="D79" s="656"/>
      <c r="E79" s="661"/>
      <c r="F79" s="662"/>
    </row>
    <row r="80" spans="1:6" ht="20.100000000000001" customHeight="1">
      <c r="A80" s="1105" t="s">
        <v>296</v>
      </c>
      <c r="B80" s="1108" t="s">
        <v>297</v>
      </c>
      <c r="C80" s="1109"/>
      <c r="D80" s="1109"/>
      <c r="E80" s="1110"/>
      <c r="F80" s="337" t="s">
        <v>298</v>
      </c>
    </row>
    <row r="81" spans="1:6" ht="20.100000000000001" customHeight="1">
      <c r="A81" s="1106"/>
      <c r="B81" s="1111" t="s">
        <v>293</v>
      </c>
      <c r="C81" s="1112"/>
      <c r="D81" s="1112"/>
      <c r="E81" s="1113"/>
      <c r="F81" s="338" t="s">
        <v>293</v>
      </c>
    </row>
    <row r="82" spans="1:6" ht="20.100000000000001" customHeight="1" thickBot="1">
      <c r="A82" s="1107"/>
      <c r="B82" s="339" t="s">
        <v>299</v>
      </c>
      <c r="C82" s="340" t="s">
        <v>300</v>
      </c>
      <c r="D82" s="341" t="s">
        <v>301</v>
      </c>
      <c r="E82" s="340" t="s">
        <v>50</v>
      </c>
      <c r="F82" s="342"/>
    </row>
    <row r="83" spans="1:6" ht="20.100000000000001" customHeight="1" thickBot="1">
      <c r="A83" s="821" t="s">
        <v>691</v>
      </c>
      <c r="B83" s="822">
        <f>B59</f>
        <v>0</v>
      </c>
      <c r="C83" s="823">
        <f>C59</f>
        <v>0</v>
      </c>
      <c r="D83" s="824">
        <f>D59</f>
        <v>0</v>
      </c>
      <c r="E83" s="823">
        <f>E59</f>
        <v>0</v>
      </c>
      <c r="F83" s="351">
        <f>F59</f>
        <v>0</v>
      </c>
    </row>
    <row r="84" spans="1:6" ht="20.100000000000001" customHeight="1" thickTop="1">
      <c r="A84" s="343">
        <f>A57+31</f>
        <v>46113</v>
      </c>
      <c r="B84" s="841" t="str">
        <f>IF('F1 Forecast Consultant'!B84="","",'F1 Forecast Consultant'!B84)</f>
        <v/>
      </c>
      <c r="C84" s="842" t="str">
        <f>IF('F1 Forecast Consultant'!C84="","",'F1 Forecast Consultant'!C84)</f>
        <v/>
      </c>
      <c r="D84" s="681" t="str">
        <f>IF('F1 Forecast Contractor'!D84="","",'F1 Forecast Contractor'!D84)</f>
        <v/>
      </c>
      <c r="E84" s="345">
        <f>SUM(B84:D84)</f>
        <v>0</v>
      </c>
      <c r="F84" s="347"/>
    </row>
    <row r="85" spans="1:6" ht="20.100000000000001" customHeight="1">
      <c r="A85" s="343">
        <f>+A84+30</f>
        <v>46143</v>
      </c>
      <c r="B85" s="344" t="str">
        <f>IF('F1 Forecast Consultant'!B85="","",'F1 Forecast Consultant'!B85)</f>
        <v/>
      </c>
      <c r="C85" s="345" t="str">
        <f>IF('F1 Forecast Consultant'!C85="","",'F1 Forecast Consultant'!C85)</f>
        <v/>
      </c>
      <c r="D85" s="682" t="str">
        <f>IF('F1 Forecast Contractor'!D85="","",'F1 Forecast Contractor'!D85)</f>
        <v/>
      </c>
      <c r="E85" s="345">
        <f>SUM(B85:D85)</f>
        <v>0</v>
      </c>
      <c r="F85" s="347"/>
    </row>
    <row r="86" spans="1:6" ht="20.100000000000001" customHeight="1">
      <c r="A86" s="343">
        <f>+A85+31</f>
        <v>46174</v>
      </c>
      <c r="B86" s="344" t="str">
        <f>IF('F1 Forecast Consultant'!B86="","",'F1 Forecast Consultant'!B86)</f>
        <v/>
      </c>
      <c r="C86" s="345" t="str">
        <f>IF('F1 Forecast Consultant'!C86="","",'F1 Forecast Consultant'!C86)</f>
        <v/>
      </c>
      <c r="D86" s="682" t="str">
        <f>IF('F1 Forecast Contractor'!D86="","",'F1 Forecast Contractor'!D86)</f>
        <v/>
      </c>
      <c r="E86" s="345">
        <f>SUM(B86:D86)</f>
        <v>0</v>
      </c>
      <c r="F86" s="347"/>
    </row>
    <row r="87" spans="1:6" ht="20.100000000000001" customHeight="1">
      <c r="A87" s="343">
        <f>+A86+30</f>
        <v>46204</v>
      </c>
      <c r="B87" s="344" t="str">
        <f>IF('F1 Forecast Consultant'!B87="","",'F1 Forecast Consultant'!B87)</f>
        <v/>
      </c>
      <c r="C87" s="345" t="str">
        <f>IF('F1 Forecast Consultant'!C87="","",'F1 Forecast Consultant'!C87)</f>
        <v/>
      </c>
      <c r="D87" s="682" t="str">
        <f>IF('F1 Forecast Contractor'!D87="","",'F1 Forecast Contractor'!D87)</f>
        <v/>
      </c>
      <c r="E87" s="345">
        <f>SUM(B87:D87)</f>
        <v>0</v>
      </c>
      <c r="F87" s="347"/>
    </row>
    <row r="88" spans="1:6" ht="20.100000000000001" customHeight="1">
      <c r="A88" s="343">
        <f>+A87+31</f>
        <v>46235</v>
      </c>
      <c r="B88" s="344" t="str">
        <f>IF('F1 Forecast Consultant'!B88="","",'F1 Forecast Consultant'!B88)</f>
        <v/>
      </c>
      <c r="C88" s="345" t="str">
        <f>IF('F1 Forecast Consultant'!C88="","",'F1 Forecast Consultant'!C88)</f>
        <v/>
      </c>
      <c r="D88" s="682" t="str">
        <f>IF('F1 Forecast Contractor'!D88="","",'F1 Forecast Contractor'!D88)</f>
        <v/>
      </c>
      <c r="E88" s="345">
        <f>SUM(B88:D88)</f>
        <v>0</v>
      </c>
      <c r="F88" s="347"/>
    </row>
    <row r="89" spans="1:6" ht="20.100000000000001" customHeight="1">
      <c r="A89" s="343">
        <f>+A88+31</f>
        <v>46266</v>
      </c>
      <c r="B89" s="344" t="str">
        <f>IF('F1 Forecast Consultant'!B89="","",'F1 Forecast Consultant'!B89)</f>
        <v/>
      </c>
      <c r="C89" s="345" t="str">
        <f>IF('F1 Forecast Consultant'!C89="","",'F1 Forecast Consultant'!C89)</f>
        <v/>
      </c>
      <c r="D89" s="682" t="str">
        <f>IF('F1 Forecast Contractor'!D89="","",'F1 Forecast Contractor'!D89)</f>
        <v/>
      </c>
      <c r="E89" s="345">
        <f t="shared" ref="E89:E95" si="4">SUM(B89:D89)</f>
        <v>0</v>
      </c>
      <c r="F89" s="347"/>
    </row>
    <row r="90" spans="1:6" ht="20.100000000000001" customHeight="1">
      <c r="A90" s="343">
        <f>+A89+30</f>
        <v>46296</v>
      </c>
      <c r="B90" s="344" t="str">
        <f>IF('F1 Forecast Consultant'!B90="","",'F1 Forecast Consultant'!B90)</f>
        <v/>
      </c>
      <c r="C90" s="345" t="str">
        <f>IF('F1 Forecast Consultant'!C90="","",'F1 Forecast Consultant'!C90)</f>
        <v/>
      </c>
      <c r="D90" s="682" t="str">
        <f>IF('F1 Forecast Contractor'!D90="","",'F1 Forecast Contractor'!D90)</f>
        <v/>
      </c>
      <c r="E90" s="345">
        <f t="shared" si="4"/>
        <v>0</v>
      </c>
      <c r="F90" s="347"/>
    </row>
    <row r="91" spans="1:6" ht="20.100000000000001" customHeight="1">
      <c r="A91" s="343">
        <f>+A90+31</f>
        <v>46327</v>
      </c>
      <c r="B91" s="344" t="str">
        <f>IF('F1 Forecast Consultant'!B91="","",'F1 Forecast Consultant'!B91)</f>
        <v/>
      </c>
      <c r="C91" s="345" t="str">
        <f>IF('F1 Forecast Consultant'!C91="","",'F1 Forecast Consultant'!C91)</f>
        <v/>
      </c>
      <c r="D91" s="682" t="str">
        <f>IF('F1 Forecast Contractor'!D91="","",'F1 Forecast Contractor'!D91)</f>
        <v/>
      </c>
      <c r="E91" s="345">
        <f t="shared" si="4"/>
        <v>0</v>
      </c>
      <c r="F91" s="347"/>
    </row>
    <row r="92" spans="1:6" ht="20.100000000000001" customHeight="1">
      <c r="A92" s="343">
        <f>+A91+30</f>
        <v>46357</v>
      </c>
      <c r="B92" s="344" t="str">
        <f>IF('F1 Forecast Consultant'!B92="","",'F1 Forecast Consultant'!B92)</f>
        <v/>
      </c>
      <c r="C92" s="345" t="str">
        <f>IF('F1 Forecast Consultant'!C92="","",'F1 Forecast Consultant'!C92)</f>
        <v/>
      </c>
      <c r="D92" s="682" t="str">
        <f>IF('F1 Forecast Contractor'!D92="","",'F1 Forecast Contractor'!D92)</f>
        <v/>
      </c>
      <c r="E92" s="345">
        <f t="shared" si="4"/>
        <v>0</v>
      </c>
      <c r="F92" s="347"/>
    </row>
    <row r="93" spans="1:6" ht="20.100000000000001" customHeight="1">
      <c r="A93" s="343">
        <f>+A92+31</f>
        <v>46388</v>
      </c>
      <c r="B93" s="344" t="str">
        <f>IF('F1 Forecast Consultant'!B93="","",'F1 Forecast Consultant'!B93)</f>
        <v/>
      </c>
      <c r="C93" s="345" t="str">
        <f>IF('F1 Forecast Consultant'!C93="","",'F1 Forecast Consultant'!C93)</f>
        <v/>
      </c>
      <c r="D93" s="682" t="str">
        <f>IF('F1 Forecast Contractor'!D93="","",'F1 Forecast Contractor'!D93)</f>
        <v/>
      </c>
      <c r="E93" s="345">
        <f t="shared" si="4"/>
        <v>0</v>
      </c>
      <c r="F93" s="347"/>
    </row>
    <row r="94" spans="1:6" ht="20.100000000000001" customHeight="1">
      <c r="A94" s="343">
        <f>+A93+31</f>
        <v>46419</v>
      </c>
      <c r="B94" s="344" t="str">
        <f>IF('F1 Forecast Consultant'!B94="","",'F1 Forecast Consultant'!B94)</f>
        <v/>
      </c>
      <c r="C94" s="345" t="str">
        <f>IF('F1 Forecast Consultant'!C94="","",'F1 Forecast Consultant'!C94)</f>
        <v/>
      </c>
      <c r="D94" s="682" t="str">
        <f>IF('F1 Forecast Contractor'!D94="","",'F1 Forecast Contractor'!D94)</f>
        <v/>
      </c>
      <c r="E94" s="345">
        <f t="shared" si="4"/>
        <v>0</v>
      </c>
      <c r="F94" s="347"/>
    </row>
    <row r="95" spans="1:6" ht="20.100000000000001" customHeight="1">
      <c r="A95" s="343">
        <f>IF(ISNA(VLOOKUP(A94,DATA!$E$4:$E$13,1,FALSE))=TRUE,A94+28,A94+29)</f>
        <v>46447</v>
      </c>
      <c r="B95" s="840" t="str">
        <f>IF('F1 Forecast Consultant'!B95="","",'F1 Forecast Consultant'!B95)</f>
        <v/>
      </c>
      <c r="C95" s="348" t="str">
        <f>IF('F1 Forecast Consultant'!C95="","",'F1 Forecast Consultant'!C95)</f>
        <v/>
      </c>
      <c r="D95" s="851" t="str">
        <f>IF('F1 Forecast Contractor'!D95="","",'F1 Forecast Contractor'!D95)</f>
        <v/>
      </c>
      <c r="E95" s="348">
        <f t="shared" si="4"/>
        <v>0</v>
      </c>
      <c r="F95" s="347"/>
    </row>
    <row r="96" spans="1:6" ht="20.100000000000001" customHeight="1" thickBot="1">
      <c r="A96" s="349" t="str">
        <f>VLOOKUP(A84,DATA!$Y$2:$AA$41,2,FALSE)</f>
        <v>Sub-Total 2026/2027</v>
      </c>
      <c r="B96" s="836">
        <f>'F1 Forecast Consultant'!B96</f>
        <v>0</v>
      </c>
      <c r="C96" s="837">
        <f>'F1 Forecast Consultant'!C96</f>
        <v>0</v>
      </c>
      <c r="D96" s="354">
        <f>'F1 Forecast Contractor'!D96</f>
        <v>0</v>
      </c>
      <c r="E96" s="350">
        <f>SUM(E84:E95)</f>
        <v>0</v>
      </c>
      <c r="F96" s="351">
        <f>SUM(F84:F95)</f>
        <v>0</v>
      </c>
    </row>
    <row r="97" spans="1:6" ht="20.100000000000001" customHeight="1" thickTop="1">
      <c r="A97" s="343">
        <f>A95+31</f>
        <v>46478</v>
      </c>
      <c r="B97" s="841" t="str">
        <f>IF('F1 Forecast Consultant'!B97="","",'F1 Forecast Consultant'!B97)</f>
        <v/>
      </c>
      <c r="C97" s="842" t="str">
        <f>IF('F1 Forecast Consultant'!C97="","",'F1 Forecast Consultant'!C97)</f>
        <v/>
      </c>
      <c r="D97" s="681" t="str">
        <f>IF('F1 Forecast Contractor'!D97="","",'F1 Forecast Contractor'!D97)</f>
        <v/>
      </c>
      <c r="E97" s="352">
        <f t="shared" ref="E97:E108" si="5">SUM(B97:D97)</f>
        <v>0</v>
      </c>
      <c r="F97" s="347"/>
    </row>
    <row r="98" spans="1:6" ht="20.100000000000001" customHeight="1">
      <c r="A98" s="343">
        <f>+A97+30</f>
        <v>46508</v>
      </c>
      <c r="B98" s="344" t="str">
        <f>IF('F1 Forecast Consultant'!B98="","",'F1 Forecast Consultant'!B98)</f>
        <v/>
      </c>
      <c r="C98" s="345" t="str">
        <f>IF('F1 Forecast Consultant'!C98="","",'F1 Forecast Consultant'!C98)</f>
        <v/>
      </c>
      <c r="D98" s="682" t="str">
        <f>IF('F1 Forecast Contractor'!D98="","",'F1 Forecast Contractor'!D98)</f>
        <v/>
      </c>
      <c r="E98" s="352">
        <f t="shared" si="5"/>
        <v>0</v>
      </c>
      <c r="F98" s="347"/>
    </row>
    <row r="99" spans="1:6" ht="20.100000000000001" customHeight="1">
      <c r="A99" s="343">
        <f>+A98+31</f>
        <v>46539</v>
      </c>
      <c r="B99" s="344" t="str">
        <f>IF('F1 Forecast Consultant'!B99="","",'F1 Forecast Consultant'!B99)</f>
        <v/>
      </c>
      <c r="C99" s="345" t="str">
        <f>IF('F1 Forecast Consultant'!C99="","",'F1 Forecast Consultant'!C99)</f>
        <v/>
      </c>
      <c r="D99" s="682" t="str">
        <f>IF('F1 Forecast Contractor'!D99="","",'F1 Forecast Contractor'!D99)</f>
        <v/>
      </c>
      <c r="E99" s="352">
        <f t="shared" si="5"/>
        <v>0</v>
      </c>
      <c r="F99" s="347"/>
    </row>
    <row r="100" spans="1:6" ht="20.100000000000001" customHeight="1">
      <c r="A100" s="343">
        <f>+A99+30</f>
        <v>46569</v>
      </c>
      <c r="B100" s="344" t="str">
        <f>IF('F1 Forecast Consultant'!B100="","",'F1 Forecast Consultant'!B100)</f>
        <v/>
      </c>
      <c r="C100" s="345" t="str">
        <f>IF('F1 Forecast Consultant'!C100="","",'F1 Forecast Consultant'!C100)</f>
        <v/>
      </c>
      <c r="D100" s="682" t="str">
        <f>IF('F1 Forecast Contractor'!D100="","",'F1 Forecast Contractor'!D100)</f>
        <v/>
      </c>
      <c r="E100" s="352">
        <f t="shared" si="5"/>
        <v>0</v>
      </c>
      <c r="F100" s="347"/>
    </row>
    <row r="101" spans="1:6" ht="20.100000000000001" customHeight="1">
      <c r="A101" s="343">
        <f>+A100+31</f>
        <v>46600</v>
      </c>
      <c r="B101" s="344" t="str">
        <f>IF('F1 Forecast Consultant'!B101="","",'F1 Forecast Consultant'!B101)</f>
        <v/>
      </c>
      <c r="C101" s="345" t="str">
        <f>IF('F1 Forecast Consultant'!C101="","",'F1 Forecast Consultant'!C101)</f>
        <v/>
      </c>
      <c r="D101" s="682" t="str">
        <f>IF('F1 Forecast Contractor'!D101="","",'F1 Forecast Contractor'!D101)</f>
        <v/>
      </c>
      <c r="E101" s="352">
        <f t="shared" si="5"/>
        <v>0</v>
      </c>
      <c r="F101" s="347"/>
    </row>
    <row r="102" spans="1:6" ht="20.100000000000001" customHeight="1">
      <c r="A102" s="343">
        <f>+A101+31</f>
        <v>46631</v>
      </c>
      <c r="B102" s="344" t="str">
        <f>IF('F1 Forecast Consultant'!B102="","",'F1 Forecast Consultant'!B102)</f>
        <v/>
      </c>
      <c r="C102" s="345" t="str">
        <f>IF('F1 Forecast Consultant'!C102="","",'F1 Forecast Consultant'!C102)</f>
        <v/>
      </c>
      <c r="D102" s="682" t="str">
        <f>IF('F1 Forecast Contractor'!D102="","",'F1 Forecast Contractor'!D102)</f>
        <v/>
      </c>
      <c r="E102" s="352">
        <f t="shared" si="5"/>
        <v>0</v>
      </c>
      <c r="F102" s="347"/>
    </row>
    <row r="103" spans="1:6" ht="20.100000000000001" customHeight="1">
      <c r="A103" s="343">
        <f>+A102+30</f>
        <v>46661</v>
      </c>
      <c r="B103" s="344" t="str">
        <f>IF('F1 Forecast Consultant'!B103="","",'F1 Forecast Consultant'!B103)</f>
        <v/>
      </c>
      <c r="C103" s="345" t="str">
        <f>IF('F1 Forecast Consultant'!C103="","",'F1 Forecast Consultant'!C103)</f>
        <v/>
      </c>
      <c r="D103" s="682" t="str">
        <f>IF('F1 Forecast Contractor'!D103="","",'F1 Forecast Contractor'!D103)</f>
        <v/>
      </c>
      <c r="E103" s="352">
        <f t="shared" si="5"/>
        <v>0</v>
      </c>
      <c r="F103" s="347"/>
    </row>
    <row r="104" spans="1:6" ht="20.100000000000001" customHeight="1">
      <c r="A104" s="343">
        <f>+A103+31</f>
        <v>46692</v>
      </c>
      <c r="B104" s="344" t="str">
        <f>IF('F1 Forecast Consultant'!B104="","",'F1 Forecast Consultant'!B104)</f>
        <v/>
      </c>
      <c r="C104" s="345" t="str">
        <f>IF('F1 Forecast Consultant'!C104="","",'F1 Forecast Consultant'!C104)</f>
        <v/>
      </c>
      <c r="D104" s="682" t="str">
        <f>IF('F1 Forecast Contractor'!D104="","",'F1 Forecast Contractor'!D104)</f>
        <v/>
      </c>
      <c r="E104" s="352">
        <f t="shared" si="5"/>
        <v>0</v>
      </c>
      <c r="F104" s="347"/>
    </row>
    <row r="105" spans="1:6" ht="20.100000000000001" customHeight="1">
      <c r="A105" s="343">
        <f>+A104+30</f>
        <v>46722</v>
      </c>
      <c r="B105" s="344" t="str">
        <f>IF('F1 Forecast Consultant'!B105="","",'F1 Forecast Consultant'!B105)</f>
        <v/>
      </c>
      <c r="C105" s="345" t="str">
        <f>IF('F1 Forecast Consultant'!C105="","",'F1 Forecast Consultant'!C105)</f>
        <v/>
      </c>
      <c r="D105" s="682" t="str">
        <f>IF('F1 Forecast Contractor'!D105="","",'F1 Forecast Contractor'!D105)</f>
        <v/>
      </c>
      <c r="E105" s="352">
        <f t="shared" si="5"/>
        <v>0</v>
      </c>
      <c r="F105" s="347"/>
    </row>
    <row r="106" spans="1:6" ht="20.100000000000001" customHeight="1">
      <c r="A106" s="343">
        <f>+A105+31</f>
        <v>46753</v>
      </c>
      <c r="B106" s="344" t="str">
        <f>IF('F1 Forecast Consultant'!B106="","",'F1 Forecast Consultant'!B106)</f>
        <v/>
      </c>
      <c r="C106" s="345" t="str">
        <f>IF('F1 Forecast Consultant'!C106="","",'F1 Forecast Consultant'!C106)</f>
        <v/>
      </c>
      <c r="D106" s="682" t="str">
        <f>IF('F1 Forecast Contractor'!D106="","",'F1 Forecast Contractor'!D106)</f>
        <v/>
      </c>
      <c r="E106" s="352">
        <f t="shared" si="5"/>
        <v>0</v>
      </c>
      <c r="F106" s="347"/>
    </row>
    <row r="107" spans="1:6" ht="20.100000000000001" customHeight="1">
      <c r="A107" s="343">
        <f>+A106+31</f>
        <v>46784</v>
      </c>
      <c r="B107" s="344" t="str">
        <f>IF('F1 Forecast Consultant'!B107="","",'F1 Forecast Consultant'!B107)</f>
        <v/>
      </c>
      <c r="C107" s="345" t="str">
        <f>IF('F1 Forecast Consultant'!C107="","",'F1 Forecast Consultant'!C107)</f>
        <v/>
      </c>
      <c r="D107" s="682" t="str">
        <f>IF('F1 Forecast Contractor'!D107="","",'F1 Forecast Contractor'!D107)</f>
        <v/>
      </c>
      <c r="E107" s="352">
        <f t="shared" si="5"/>
        <v>0</v>
      </c>
      <c r="F107" s="347"/>
    </row>
    <row r="108" spans="1:6" ht="20.100000000000001" customHeight="1">
      <c r="A108" s="343">
        <f>IF(ISNA(VLOOKUP(A107,DATA!$E$4:$E$13,1,FALSE))=TRUE,A107+28,A107+29)</f>
        <v>46813</v>
      </c>
      <c r="B108" s="840" t="str">
        <f>IF('F1 Forecast Consultant'!B108="","",'F1 Forecast Consultant'!B108)</f>
        <v/>
      </c>
      <c r="C108" s="348" t="str">
        <f>IF('F1 Forecast Consultant'!C108="","",'F1 Forecast Consultant'!C108)</f>
        <v/>
      </c>
      <c r="D108" s="851" t="str">
        <f>IF('F1 Forecast Contractor'!D108="","",'F1 Forecast Contractor'!D108)</f>
        <v/>
      </c>
      <c r="E108" s="352">
        <f t="shared" si="5"/>
        <v>0</v>
      </c>
      <c r="F108" s="347"/>
    </row>
    <row r="109" spans="1:6" ht="20.100000000000001" customHeight="1" thickBot="1">
      <c r="A109" s="349" t="str">
        <f>VLOOKUP(A97,DATA!$Y$2:$AA$41,2,FALSE)</f>
        <v>Sub-Total 2027/2028</v>
      </c>
      <c r="B109" s="836">
        <f>'F1 Forecast Consultant'!B109</f>
        <v>0</v>
      </c>
      <c r="C109" s="837">
        <f>'F1 Forecast Consultant'!C109</f>
        <v>0</v>
      </c>
      <c r="D109" s="683">
        <f>'F1 Forecast Contractor'!D109</f>
        <v>0</v>
      </c>
      <c r="E109" s="679">
        <f>SUM(E97:E108)</f>
        <v>0</v>
      </c>
      <c r="F109" s="355">
        <f>SUM(F97:F108)</f>
        <v>0</v>
      </c>
    </row>
    <row r="110" spans="1:6" ht="20.100000000000001" customHeight="1" thickTop="1">
      <c r="A110" s="343">
        <f>A108+31</f>
        <v>46844</v>
      </c>
      <c r="B110" s="841" t="str">
        <f>IF('F1 Forecast Consultant'!B110="","",'F1 Forecast Consultant'!B110)</f>
        <v/>
      </c>
      <c r="C110" s="842" t="str">
        <f>IF('F1 Forecast Consultant'!C110="","",'F1 Forecast Consultant'!C110)</f>
        <v/>
      </c>
      <c r="D110" s="681" t="str">
        <f>IF('F1 Forecast Contractor'!D110="","",'F1 Forecast Contractor'!D110)</f>
        <v/>
      </c>
      <c r="E110" s="352">
        <f>SUM(B110:D110)</f>
        <v>0</v>
      </c>
      <c r="F110" s="347"/>
    </row>
    <row r="111" spans="1:6" ht="20.100000000000001" customHeight="1">
      <c r="A111" s="343">
        <f>+A110+30</f>
        <v>46874</v>
      </c>
      <c r="B111" s="344" t="str">
        <f>IF('F1 Forecast Consultant'!B111="","",'F1 Forecast Consultant'!B111)</f>
        <v/>
      </c>
      <c r="C111" s="345" t="str">
        <f>IF('F1 Forecast Consultant'!C111="","",'F1 Forecast Consultant'!C111)</f>
        <v/>
      </c>
      <c r="D111" s="682" t="str">
        <f>IF('F1 Forecast Contractor'!D111="","",'F1 Forecast Contractor'!D111)</f>
        <v/>
      </c>
      <c r="E111" s="352">
        <f t="shared" ref="E111:E120" si="6">SUM(B111:D111)</f>
        <v>0</v>
      </c>
      <c r="F111" s="347"/>
    </row>
    <row r="112" spans="1:6" ht="20.100000000000001" customHeight="1">
      <c r="A112" s="343">
        <f>+A111+31</f>
        <v>46905</v>
      </c>
      <c r="B112" s="344" t="str">
        <f>IF('F1 Forecast Consultant'!B112="","",'F1 Forecast Consultant'!B112)</f>
        <v/>
      </c>
      <c r="C112" s="345" t="str">
        <f>IF('F1 Forecast Consultant'!C112="","",'F1 Forecast Consultant'!C112)</f>
        <v/>
      </c>
      <c r="D112" s="682" t="str">
        <f>IF('F1 Forecast Contractor'!D112="","",'F1 Forecast Contractor'!D112)</f>
        <v/>
      </c>
      <c r="E112" s="352">
        <f t="shared" si="6"/>
        <v>0</v>
      </c>
      <c r="F112" s="347"/>
    </row>
    <row r="113" spans="1:6" ht="20.100000000000001" customHeight="1">
      <c r="A113" s="343">
        <f>+A112+30</f>
        <v>46935</v>
      </c>
      <c r="B113" s="344" t="str">
        <f>IF('F1 Forecast Consultant'!B113="","",'F1 Forecast Consultant'!B113)</f>
        <v/>
      </c>
      <c r="C113" s="345" t="str">
        <f>IF('F1 Forecast Consultant'!C113="","",'F1 Forecast Consultant'!C113)</f>
        <v/>
      </c>
      <c r="D113" s="682" t="str">
        <f>IF('F1 Forecast Contractor'!D113="","",'F1 Forecast Contractor'!D113)</f>
        <v/>
      </c>
      <c r="E113" s="352">
        <f t="shared" si="6"/>
        <v>0</v>
      </c>
      <c r="F113" s="347"/>
    </row>
    <row r="114" spans="1:6" ht="20.100000000000001" customHeight="1">
      <c r="A114" s="343">
        <f>+A113+31</f>
        <v>46966</v>
      </c>
      <c r="B114" s="344" t="str">
        <f>IF('F1 Forecast Consultant'!B114="","",'F1 Forecast Consultant'!B114)</f>
        <v/>
      </c>
      <c r="C114" s="345" t="str">
        <f>IF('F1 Forecast Consultant'!C114="","",'F1 Forecast Consultant'!C114)</f>
        <v/>
      </c>
      <c r="D114" s="682" t="str">
        <f>IF('F1 Forecast Contractor'!D114="","",'F1 Forecast Contractor'!D114)</f>
        <v/>
      </c>
      <c r="E114" s="352">
        <f t="shared" si="6"/>
        <v>0</v>
      </c>
      <c r="F114" s="347"/>
    </row>
    <row r="115" spans="1:6" ht="20.100000000000001" customHeight="1">
      <c r="A115" s="343">
        <f>+A114+31</f>
        <v>46997</v>
      </c>
      <c r="B115" s="344" t="str">
        <f>IF('F1 Forecast Consultant'!B115="","",'F1 Forecast Consultant'!B115)</f>
        <v/>
      </c>
      <c r="C115" s="345" t="str">
        <f>IF('F1 Forecast Consultant'!C115="","",'F1 Forecast Consultant'!C115)</f>
        <v/>
      </c>
      <c r="D115" s="682" t="str">
        <f>IF('F1 Forecast Contractor'!D115="","",'F1 Forecast Contractor'!D115)</f>
        <v/>
      </c>
      <c r="E115" s="352">
        <f t="shared" si="6"/>
        <v>0</v>
      </c>
      <c r="F115" s="347"/>
    </row>
    <row r="116" spans="1:6" ht="20.100000000000001" customHeight="1">
      <c r="A116" s="343">
        <f>+A115+30</f>
        <v>47027</v>
      </c>
      <c r="B116" s="344" t="str">
        <f>IF('F1 Forecast Consultant'!B116="","",'F1 Forecast Consultant'!B116)</f>
        <v/>
      </c>
      <c r="C116" s="345" t="str">
        <f>IF('F1 Forecast Consultant'!C116="","",'F1 Forecast Consultant'!C116)</f>
        <v/>
      </c>
      <c r="D116" s="682" t="str">
        <f>IF('F1 Forecast Contractor'!D116="","",'F1 Forecast Contractor'!D116)</f>
        <v/>
      </c>
      <c r="E116" s="352">
        <f t="shared" si="6"/>
        <v>0</v>
      </c>
      <c r="F116" s="347"/>
    </row>
    <row r="117" spans="1:6" ht="20.100000000000001" customHeight="1">
      <c r="A117" s="343">
        <f>+A116+31</f>
        <v>47058</v>
      </c>
      <c r="B117" s="344" t="str">
        <f>IF('F1 Forecast Consultant'!B117="","",'F1 Forecast Consultant'!B117)</f>
        <v/>
      </c>
      <c r="C117" s="345" t="str">
        <f>IF('F1 Forecast Consultant'!C117="","",'F1 Forecast Consultant'!C117)</f>
        <v/>
      </c>
      <c r="D117" s="682" t="str">
        <f>IF('F1 Forecast Contractor'!D117="","",'F1 Forecast Contractor'!D117)</f>
        <v/>
      </c>
      <c r="E117" s="352">
        <f t="shared" si="6"/>
        <v>0</v>
      </c>
      <c r="F117" s="347"/>
    </row>
    <row r="118" spans="1:6" ht="20.100000000000001" customHeight="1">
      <c r="A118" s="343">
        <f>+A117+30</f>
        <v>47088</v>
      </c>
      <c r="B118" s="344" t="str">
        <f>IF('F1 Forecast Consultant'!B118="","",'F1 Forecast Consultant'!B118)</f>
        <v/>
      </c>
      <c r="C118" s="345" t="str">
        <f>IF('F1 Forecast Consultant'!C118="","",'F1 Forecast Consultant'!C118)</f>
        <v/>
      </c>
      <c r="D118" s="682" t="str">
        <f>IF('F1 Forecast Contractor'!D118="","",'F1 Forecast Contractor'!D118)</f>
        <v/>
      </c>
      <c r="E118" s="352">
        <f t="shared" si="6"/>
        <v>0</v>
      </c>
      <c r="F118" s="347"/>
    </row>
    <row r="119" spans="1:6" ht="20.100000000000001" customHeight="1">
      <c r="A119" s="343">
        <f>+A118+31</f>
        <v>47119</v>
      </c>
      <c r="B119" s="344" t="str">
        <f>IF('F1 Forecast Consultant'!B119="","",'F1 Forecast Consultant'!B119)</f>
        <v/>
      </c>
      <c r="C119" s="345" t="str">
        <f>IF('F1 Forecast Consultant'!C119="","",'F1 Forecast Consultant'!C119)</f>
        <v/>
      </c>
      <c r="D119" s="682" t="str">
        <f>IF('F1 Forecast Contractor'!D119="","",'F1 Forecast Contractor'!D119)</f>
        <v/>
      </c>
      <c r="E119" s="352">
        <f t="shared" si="6"/>
        <v>0</v>
      </c>
      <c r="F119" s="347"/>
    </row>
    <row r="120" spans="1:6" ht="20.100000000000001" customHeight="1">
      <c r="A120" s="343">
        <f>+A119+31</f>
        <v>47150</v>
      </c>
      <c r="B120" s="344" t="str">
        <f>IF('F1 Forecast Consultant'!B120="","",'F1 Forecast Consultant'!B120)</f>
        <v/>
      </c>
      <c r="C120" s="345" t="str">
        <f>IF('F1 Forecast Consultant'!C120="","",'F1 Forecast Consultant'!C120)</f>
        <v/>
      </c>
      <c r="D120" s="682" t="str">
        <f>IF('F1 Forecast Contractor'!D120="","",'F1 Forecast Contractor'!D120)</f>
        <v/>
      </c>
      <c r="E120" s="352">
        <f t="shared" si="6"/>
        <v>0</v>
      </c>
      <c r="F120" s="347"/>
    </row>
    <row r="121" spans="1:6" ht="20.100000000000001" customHeight="1">
      <c r="A121" s="343">
        <f>IF(ISNA(VLOOKUP(A120,DATA!$E$4:$E$13,1,FALSE))=TRUE,A120+28,A120+29)</f>
        <v>47178</v>
      </c>
      <c r="B121" s="840" t="str">
        <f>IF('F1 Forecast Consultant'!B121="","",'F1 Forecast Consultant'!B121)</f>
        <v/>
      </c>
      <c r="C121" s="348" t="str">
        <f>IF('F1 Forecast Consultant'!C121="","",'F1 Forecast Consultant'!C121)</f>
        <v/>
      </c>
      <c r="D121" s="851" t="str">
        <f>IF('F1 Forecast Contractor'!D121="","",'F1 Forecast Contractor'!D121)</f>
        <v/>
      </c>
      <c r="E121" s="352">
        <f>SUM(B121:D121)</f>
        <v>0</v>
      </c>
      <c r="F121" s="347"/>
    </row>
    <row r="122" spans="1:6" ht="20.100000000000001" customHeight="1" thickBot="1">
      <c r="A122" s="349" t="str">
        <f>VLOOKUP(A110,DATA!$Y$2:$AA$41,2,FALSE)</f>
        <v>Sub-Total 2028/2029</v>
      </c>
      <c r="B122" s="836">
        <f>'F1 Forecast Consultant'!B122</f>
        <v>0</v>
      </c>
      <c r="C122" s="837">
        <f>'F1 Forecast Consultant'!C122</f>
        <v>0</v>
      </c>
      <c r="D122" s="683">
        <f>'F1 Forecast Contractor'!D122</f>
        <v>0</v>
      </c>
      <c r="E122" s="679">
        <f>SUM(E110:E121)</f>
        <v>0</v>
      </c>
      <c r="F122" s="355">
        <f>SUM(F110:F121)</f>
        <v>0</v>
      </c>
    </row>
    <row r="123" spans="1:6" ht="20.100000000000001" customHeight="1" thickTop="1" thickBot="1">
      <c r="A123" s="356" t="s">
        <v>305</v>
      </c>
      <c r="B123" s="684">
        <f>'F1 Forecast Consultant'!B123</f>
        <v>0</v>
      </c>
      <c r="C123" s="684">
        <f>'F1 Forecast Consultant'!C123</f>
        <v>0</v>
      </c>
      <c r="D123" s="685">
        <f>'F1 Forecast Contractor'!D124</f>
        <v>0</v>
      </c>
      <c r="E123" s="680">
        <f>E83+E96+E109+E122</f>
        <v>0</v>
      </c>
      <c r="F123" s="358">
        <f>F83+F96+F109+F122</f>
        <v>0</v>
      </c>
    </row>
    <row r="124" spans="1:6" ht="20.100000000000001" customHeight="1">
      <c r="A124" s="359" t="s">
        <v>306</v>
      </c>
      <c r="B124" s="359" t="s">
        <v>307</v>
      </c>
    </row>
  </sheetData>
  <mergeCells count="34">
    <mergeCell ref="A5:F7"/>
    <mergeCell ref="B1:C2"/>
    <mergeCell ref="D1:E1"/>
    <mergeCell ref="D2:E2"/>
    <mergeCell ref="B3:B4"/>
    <mergeCell ref="C3:C4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B64:C65"/>
    <mergeCell ref="D64:E64"/>
    <mergeCell ref="D65:E65"/>
    <mergeCell ref="B66:B67"/>
    <mergeCell ref="C66:C67"/>
    <mergeCell ref="A68:F70"/>
    <mergeCell ref="A72:A73"/>
    <mergeCell ref="B72:F73"/>
    <mergeCell ref="B74:C74"/>
    <mergeCell ref="E74:F74"/>
    <mergeCell ref="B75:F75"/>
    <mergeCell ref="B77:D77"/>
    <mergeCell ref="E78:F78"/>
    <mergeCell ref="A80:A82"/>
    <mergeCell ref="B80:E80"/>
    <mergeCell ref="B81:E81"/>
    <mergeCell ref="B78:C78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4">
    <tabColor theme="9"/>
    <pageSetUpPr fitToPage="1"/>
  </sheetPr>
  <dimension ref="A1:F124"/>
  <sheetViews>
    <sheetView workbookViewId="0">
      <selection activeCell="A5" sqref="A5:F7"/>
    </sheetView>
  </sheetViews>
  <sheetFormatPr defaultRowHeight="20.100000000000001" customHeight="1"/>
  <cols>
    <col min="1" max="1" width="30.7109375" style="320" customWidth="1"/>
    <col min="2" max="2" width="27.140625" style="320" customWidth="1"/>
    <col min="3" max="3" width="20" style="320" customWidth="1"/>
    <col min="4" max="4" width="27.7109375" style="320" customWidth="1"/>
    <col min="5" max="5" width="19.85546875" style="320" customWidth="1"/>
    <col min="6" max="6" width="28.42578125" style="320" customWidth="1"/>
    <col min="7" max="256" width="9.140625" style="320"/>
    <col min="257" max="257" width="30.7109375" style="320" customWidth="1"/>
    <col min="258" max="258" width="27.140625" style="320" customWidth="1"/>
    <col min="259" max="259" width="20" style="320" customWidth="1"/>
    <col min="260" max="260" width="27.7109375" style="320" customWidth="1"/>
    <col min="261" max="261" width="19.85546875" style="320" customWidth="1"/>
    <col min="262" max="262" width="28.42578125" style="320" customWidth="1"/>
    <col min="263" max="512" width="9.140625" style="320"/>
    <col min="513" max="513" width="30.7109375" style="320" customWidth="1"/>
    <col min="514" max="514" width="27.140625" style="320" customWidth="1"/>
    <col min="515" max="515" width="20" style="320" customWidth="1"/>
    <col min="516" max="516" width="27.7109375" style="320" customWidth="1"/>
    <col min="517" max="517" width="19.85546875" style="320" customWidth="1"/>
    <col min="518" max="518" width="28.42578125" style="320" customWidth="1"/>
    <col min="519" max="768" width="9.140625" style="320"/>
    <col min="769" max="769" width="30.7109375" style="320" customWidth="1"/>
    <col min="770" max="770" width="27.140625" style="320" customWidth="1"/>
    <col min="771" max="771" width="20" style="320" customWidth="1"/>
    <col min="772" max="772" width="27.7109375" style="320" customWidth="1"/>
    <col min="773" max="773" width="19.85546875" style="320" customWidth="1"/>
    <col min="774" max="774" width="28.42578125" style="320" customWidth="1"/>
    <col min="775" max="1024" width="9.140625" style="320"/>
    <col min="1025" max="1025" width="30.7109375" style="320" customWidth="1"/>
    <col min="1026" max="1026" width="27.140625" style="320" customWidth="1"/>
    <col min="1027" max="1027" width="20" style="320" customWidth="1"/>
    <col min="1028" max="1028" width="27.7109375" style="320" customWidth="1"/>
    <col min="1029" max="1029" width="19.85546875" style="320" customWidth="1"/>
    <col min="1030" max="1030" width="28.42578125" style="320" customWidth="1"/>
    <col min="1031" max="1280" width="9.140625" style="320"/>
    <col min="1281" max="1281" width="30.7109375" style="320" customWidth="1"/>
    <col min="1282" max="1282" width="27.140625" style="320" customWidth="1"/>
    <col min="1283" max="1283" width="20" style="320" customWidth="1"/>
    <col min="1284" max="1284" width="27.7109375" style="320" customWidth="1"/>
    <col min="1285" max="1285" width="19.85546875" style="320" customWidth="1"/>
    <col min="1286" max="1286" width="28.42578125" style="320" customWidth="1"/>
    <col min="1287" max="1536" width="9.140625" style="320"/>
    <col min="1537" max="1537" width="30.7109375" style="320" customWidth="1"/>
    <col min="1538" max="1538" width="27.140625" style="320" customWidth="1"/>
    <col min="1539" max="1539" width="20" style="320" customWidth="1"/>
    <col min="1540" max="1540" width="27.7109375" style="320" customWidth="1"/>
    <col min="1541" max="1541" width="19.85546875" style="320" customWidth="1"/>
    <col min="1542" max="1542" width="28.42578125" style="320" customWidth="1"/>
    <col min="1543" max="1792" width="9.140625" style="320"/>
    <col min="1793" max="1793" width="30.7109375" style="320" customWidth="1"/>
    <col min="1794" max="1794" width="27.140625" style="320" customWidth="1"/>
    <col min="1795" max="1795" width="20" style="320" customWidth="1"/>
    <col min="1796" max="1796" width="27.7109375" style="320" customWidth="1"/>
    <col min="1797" max="1797" width="19.85546875" style="320" customWidth="1"/>
    <col min="1798" max="1798" width="28.42578125" style="320" customWidth="1"/>
    <col min="1799" max="2048" width="9.140625" style="320"/>
    <col min="2049" max="2049" width="30.7109375" style="320" customWidth="1"/>
    <col min="2050" max="2050" width="27.140625" style="320" customWidth="1"/>
    <col min="2051" max="2051" width="20" style="320" customWidth="1"/>
    <col min="2052" max="2052" width="27.7109375" style="320" customWidth="1"/>
    <col min="2053" max="2053" width="19.85546875" style="320" customWidth="1"/>
    <col min="2054" max="2054" width="28.42578125" style="320" customWidth="1"/>
    <col min="2055" max="2304" width="9.140625" style="320"/>
    <col min="2305" max="2305" width="30.7109375" style="320" customWidth="1"/>
    <col min="2306" max="2306" width="27.140625" style="320" customWidth="1"/>
    <col min="2307" max="2307" width="20" style="320" customWidth="1"/>
    <col min="2308" max="2308" width="27.7109375" style="320" customWidth="1"/>
    <col min="2309" max="2309" width="19.85546875" style="320" customWidth="1"/>
    <col min="2310" max="2310" width="28.42578125" style="320" customWidth="1"/>
    <col min="2311" max="2560" width="9.140625" style="320"/>
    <col min="2561" max="2561" width="30.7109375" style="320" customWidth="1"/>
    <col min="2562" max="2562" width="27.140625" style="320" customWidth="1"/>
    <col min="2563" max="2563" width="20" style="320" customWidth="1"/>
    <col min="2564" max="2564" width="27.7109375" style="320" customWidth="1"/>
    <col min="2565" max="2565" width="19.85546875" style="320" customWidth="1"/>
    <col min="2566" max="2566" width="28.42578125" style="320" customWidth="1"/>
    <col min="2567" max="2816" width="9.140625" style="320"/>
    <col min="2817" max="2817" width="30.7109375" style="320" customWidth="1"/>
    <col min="2818" max="2818" width="27.140625" style="320" customWidth="1"/>
    <col min="2819" max="2819" width="20" style="320" customWidth="1"/>
    <col min="2820" max="2820" width="27.7109375" style="320" customWidth="1"/>
    <col min="2821" max="2821" width="19.85546875" style="320" customWidth="1"/>
    <col min="2822" max="2822" width="28.42578125" style="320" customWidth="1"/>
    <col min="2823" max="3072" width="9.140625" style="320"/>
    <col min="3073" max="3073" width="30.7109375" style="320" customWidth="1"/>
    <col min="3074" max="3074" width="27.140625" style="320" customWidth="1"/>
    <col min="3075" max="3075" width="20" style="320" customWidth="1"/>
    <col min="3076" max="3076" width="27.7109375" style="320" customWidth="1"/>
    <col min="3077" max="3077" width="19.85546875" style="320" customWidth="1"/>
    <col min="3078" max="3078" width="28.42578125" style="320" customWidth="1"/>
    <col min="3079" max="3328" width="9.140625" style="320"/>
    <col min="3329" max="3329" width="30.7109375" style="320" customWidth="1"/>
    <col min="3330" max="3330" width="27.140625" style="320" customWidth="1"/>
    <col min="3331" max="3331" width="20" style="320" customWidth="1"/>
    <col min="3332" max="3332" width="27.7109375" style="320" customWidth="1"/>
    <col min="3333" max="3333" width="19.85546875" style="320" customWidth="1"/>
    <col min="3334" max="3334" width="28.42578125" style="320" customWidth="1"/>
    <col min="3335" max="3584" width="9.140625" style="320"/>
    <col min="3585" max="3585" width="30.7109375" style="320" customWidth="1"/>
    <col min="3586" max="3586" width="27.140625" style="320" customWidth="1"/>
    <col min="3587" max="3587" width="20" style="320" customWidth="1"/>
    <col min="3588" max="3588" width="27.7109375" style="320" customWidth="1"/>
    <col min="3589" max="3589" width="19.85546875" style="320" customWidth="1"/>
    <col min="3590" max="3590" width="28.42578125" style="320" customWidth="1"/>
    <col min="3591" max="3840" width="9.140625" style="320"/>
    <col min="3841" max="3841" width="30.7109375" style="320" customWidth="1"/>
    <col min="3842" max="3842" width="27.140625" style="320" customWidth="1"/>
    <col min="3843" max="3843" width="20" style="320" customWidth="1"/>
    <col min="3844" max="3844" width="27.7109375" style="320" customWidth="1"/>
    <col min="3845" max="3845" width="19.85546875" style="320" customWidth="1"/>
    <col min="3846" max="3846" width="28.42578125" style="320" customWidth="1"/>
    <col min="3847" max="4096" width="9.140625" style="320"/>
    <col min="4097" max="4097" width="30.7109375" style="320" customWidth="1"/>
    <col min="4098" max="4098" width="27.140625" style="320" customWidth="1"/>
    <col min="4099" max="4099" width="20" style="320" customWidth="1"/>
    <col min="4100" max="4100" width="27.7109375" style="320" customWidth="1"/>
    <col min="4101" max="4101" width="19.85546875" style="320" customWidth="1"/>
    <col min="4102" max="4102" width="28.42578125" style="320" customWidth="1"/>
    <col min="4103" max="4352" width="9.140625" style="320"/>
    <col min="4353" max="4353" width="30.7109375" style="320" customWidth="1"/>
    <col min="4354" max="4354" width="27.140625" style="320" customWidth="1"/>
    <col min="4355" max="4355" width="20" style="320" customWidth="1"/>
    <col min="4356" max="4356" width="27.7109375" style="320" customWidth="1"/>
    <col min="4357" max="4357" width="19.85546875" style="320" customWidth="1"/>
    <col min="4358" max="4358" width="28.42578125" style="320" customWidth="1"/>
    <col min="4359" max="4608" width="9.140625" style="320"/>
    <col min="4609" max="4609" width="30.7109375" style="320" customWidth="1"/>
    <col min="4610" max="4610" width="27.140625" style="320" customWidth="1"/>
    <col min="4611" max="4611" width="20" style="320" customWidth="1"/>
    <col min="4612" max="4612" width="27.7109375" style="320" customWidth="1"/>
    <col min="4613" max="4613" width="19.85546875" style="320" customWidth="1"/>
    <col min="4614" max="4614" width="28.42578125" style="320" customWidth="1"/>
    <col min="4615" max="4864" width="9.140625" style="320"/>
    <col min="4865" max="4865" width="30.7109375" style="320" customWidth="1"/>
    <col min="4866" max="4866" width="27.140625" style="320" customWidth="1"/>
    <col min="4867" max="4867" width="20" style="320" customWidth="1"/>
    <col min="4868" max="4868" width="27.7109375" style="320" customWidth="1"/>
    <col min="4869" max="4869" width="19.85546875" style="320" customWidth="1"/>
    <col min="4870" max="4870" width="28.42578125" style="320" customWidth="1"/>
    <col min="4871" max="5120" width="9.140625" style="320"/>
    <col min="5121" max="5121" width="30.7109375" style="320" customWidth="1"/>
    <col min="5122" max="5122" width="27.140625" style="320" customWidth="1"/>
    <col min="5123" max="5123" width="20" style="320" customWidth="1"/>
    <col min="5124" max="5124" width="27.7109375" style="320" customWidth="1"/>
    <col min="5125" max="5125" width="19.85546875" style="320" customWidth="1"/>
    <col min="5126" max="5126" width="28.42578125" style="320" customWidth="1"/>
    <col min="5127" max="5376" width="9.140625" style="320"/>
    <col min="5377" max="5377" width="30.7109375" style="320" customWidth="1"/>
    <col min="5378" max="5378" width="27.140625" style="320" customWidth="1"/>
    <col min="5379" max="5379" width="20" style="320" customWidth="1"/>
    <col min="5380" max="5380" width="27.7109375" style="320" customWidth="1"/>
    <col min="5381" max="5381" width="19.85546875" style="320" customWidth="1"/>
    <col min="5382" max="5382" width="28.42578125" style="320" customWidth="1"/>
    <col min="5383" max="5632" width="9.140625" style="320"/>
    <col min="5633" max="5633" width="30.7109375" style="320" customWidth="1"/>
    <col min="5634" max="5634" width="27.140625" style="320" customWidth="1"/>
    <col min="5635" max="5635" width="20" style="320" customWidth="1"/>
    <col min="5636" max="5636" width="27.7109375" style="320" customWidth="1"/>
    <col min="5637" max="5637" width="19.85546875" style="320" customWidth="1"/>
    <col min="5638" max="5638" width="28.42578125" style="320" customWidth="1"/>
    <col min="5639" max="5888" width="9.140625" style="320"/>
    <col min="5889" max="5889" width="30.7109375" style="320" customWidth="1"/>
    <col min="5890" max="5890" width="27.140625" style="320" customWidth="1"/>
    <col min="5891" max="5891" width="20" style="320" customWidth="1"/>
    <col min="5892" max="5892" width="27.7109375" style="320" customWidth="1"/>
    <col min="5893" max="5893" width="19.85546875" style="320" customWidth="1"/>
    <col min="5894" max="5894" width="28.42578125" style="320" customWidth="1"/>
    <col min="5895" max="6144" width="9.140625" style="320"/>
    <col min="6145" max="6145" width="30.7109375" style="320" customWidth="1"/>
    <col min="6146" max="6146" width="27.140625" style="320" customWidth="1"/>
    <col min="6147" max="6147" width="20" style="320" customWidth="1"/>
    <col min="6148" max="6148" width="27.7109375" style="320" customWidth="1"/>
    <col min="6149" max="6149" width="19.85546875" style="320" customWidth="1"/>
    <col min="6150" max="6150" width="28.42578125" style="320" customWidth="1"/>
    <col min="6151" max="6400" width="9.140625" style="320"/>
    <col min="6401" max="6401" width="30.7109375" style="320" customWidth="1"/>
    <col min="6402" max="6402" width="27.140625" style="320" customWidth="1"/>
    <col min="6403" max="6403" width="20" style="320" customWidth="1"/>
    <col min="6404" max="6404" width="27.7109375" style="320" customWidth="1"/>
    <col min="6405" max="6405" width="19.85546875" style="320" customWidth="1"/>
    <col min="6406" max="6406" width="28.42578125" style="320" customWidth="1"/>
    <col min="6407" max="6656" width="9.140625" style="320"/>
    <col min="6657" max="6657" width="30.7109375" style="320" customWidth="1"/>
    <col min="6658" max="6658" width="27.140625" style="320" customWidth="1"/>
    <col min="6659" max="6659" width="20" style="320" customWidth="1"/>
    <col min="6660" max="6660" width="27.7109375" style="320" customWidth="1"/>
    <col min="6661" max="6661" width="19.85546875" style="320" customWidth="1"/>
    <col min="6662" max="6662" width="28.42578125" style="320" customWidth="1"/>
    <col min="6663" max="6912" width="9.140625" style="320"/>
    <col min="6913" max="6913" width="30.7109375" style="320" customWidth="1"/>
    <col min="6914" max="6914" width="27.140625" style="320" customWidth="1"/>
    <col min="6915" max="6915" width="20" style="320" customWidth="1"/>
    <col min="6916" max="6916" width="27.7109375" style="320" customWidth="1"/>
    <col min="6917" max="6917" width="19.85546875" style="320" customWidth="1"/>
    <col min="6918" max="6918" width="28.42578125" style="320" customWidth="1"/>
    <col min="6919" max="7168" width="9.140625" style="320"/>
    <col min="7169" max="7169" width="30.7109375" style="320" customWidth="1"/>
    <col min="7170" max="7170" width="27.140625" style="320" customWidth="1"/>
    <col min="7171" max="7171" width="20" style="320" customWidth="1"/>
    <col min="7172" max="7172" width="27.7109375" style="320" customWidth="1"/>
    <col min="7173" max="7173" width="19.85546875" style="320" customWidth="1"/>
    <col min="7174" max="7174" width="28.42578125" style="320" customWidth="1"/>
    <col min="7175" max="7424" width="9.140625" style="320"/>
    <col min="7425" max="7425" width="30.7109375" style="320" customWidth="1"/>
    <col min="7426" max="7426" width="27.140625" style="320" customWidth="1"/>
    <col min="7427" max="7427" width="20" style="320" customWidth="1"/>
    <col min="7428" max="7428" width="27.7109375" style="320" customWidth="1"/>
    <col min="7429" max="7429" width="19.85546875" style="320" customWidth="1"/>
    <col min="7430" max="7430" width="28.42578125" style="320" customWidth="1"/>
    <col min="7431" max="7680" width="9.140625" style="320"/>
    <col min="7681" max="7681" width="30.7109375" style="320" customWidth="1"/>
    <col min="7682" max="7682" width="27.140625" style="320" customWidth="1"/>
    <col min="7683" max="7683" width="20" style="320" customWidth="1"/>
    <col min="7684" max="7684" width="27.7109375" style="320" customWidth="1"/>
    <col min="7685" max="7685" width="19.85546875" style="320" customWidth="1"/>
    <col min="7686" max="7686" width="28.42578125" style="320" customWidth="1"/>
    <col min="7687" max="7936" width="9.140625" style="320"/>
    <col min="7937" max="7937" width="30.7109375" style="320" customWidth="1"/>
    <col min="7938" max="7938" width="27.140625" style="320" customWidth="1"/>
    <col min="7939" max="7939" width="20" style="320" customWidth="1"/>
    <col min="7940" max="7940" width="27.7109375" style="320" customWidth="1"/>
    <col min="7941" max="7941" width="19.85546875" style="320" customWidth="1"/>
    <col min="7942" max="7942" width="28.42578125" style="320" customWidth="1"/>
    <col min="7943" max="8192" width="9.140625" style="320"/>
    <col min="8193" max="8193" width="30.7109375" style="320" customWidth="1"/>
    <col min="8194" max="8194" width="27.140625" style="320" customWidth="1"/>
    <col min="8195" max="8195" width="20" style="320" customWidth="1"/>
    <col min="8196" max="8196" width="27.7109375" style="320" customWidth="1"/>
    <col min="8197" max="8197" width="19.85546875" style="320" customWidth="1"/>
    <col min="8198" max="8198" width="28.42578125" style="320" customWidth="1"/>
    <col min="8199" max="8448" width="9.140625" style="320"/>
    <col min="8449" max="8449" width="30.7109375" style="320" customWidth="1"/>
    <col min="8450" max="8450" width="27.140625" style="320" customWidth="1"/>
    <col min="8451" max="8451" width="20" style="320" customWidth="1"/>
    <col min="8452" max="8452" width="27.7109375" style="320" customWidth="1"/>
    <col min="8453" max="8453" width="19.85546875" style="320" customWidth="1"/>
    <col min="8454" max="8454" width="28.42578125" style="320" customWidth="1"/>
    <col min="8455" max="8704" width="9.140625" style="320"/>
    <col min="8705" max="8705" width="30.7109375" style="320" customWidth="1"/>
    <col min="8706" max="8706" width="27.140625" style="320" customWidth="1"/>
    <col min="8707" max="8707" width="20" style="320" customWidth="1"/>
    <col min="8708" max="8708" width="27.7109375" style="320" customWidth="1"/>
    <col min="8709" max="8709" width="19.85546875" style="320" customWidth="1"/>
    <col min="8710" max="8710" width="28.42578125" style="320" customWidth="1"/>
    <col min="8711" max="8960" width="9.140625" style="320"/>
    <col min="8961" max="8961" width="30.7109375" style="320" customWidth="1"/>
    <col min="8962" max="8962" width="27.140625" style="320" customWidth="1"/>
    <col min="8963" max="8963" width="20" style="320" customWidth="1"/>
    <col min="8964" max="8964" width="27.7109375" style="320" customWidth="1"/>
    <col min="8965" max="8965" width="19.85546875" style="320" customWidth="1"/>
    <col min="8966" max="8966" width="28.42578125" style="320" customWidth="1"/>
    <col min="8967" max="9216" width="9.140625" style="320"/>
    <col min="9217" max="9217" width="30.7109375" style="320" customWidth="1"/>
    <col min="9218" max="9218" width="27.140625" style="320" customWidth="1"/>
    <col min="9219" max="9219" width="20" style="320" customWidth="1"/>
    <col min="9220" max="9220" width="27.7109375" style="320" customWidth="1"/>
    <col min="9221" max="9221" width="19.85546875" style="320" customWidth="1"/>
    <col min="9222" max="9222" width="28.42578125" style="320" customWidth="1"/>
    <col min="9223" max="9472" width="9.140625" style="320"/>
    <col min="9473" max="9473" width="30.7109375" style="320" customWidth="1"/>
    <col min="9474" max="9474" width="27.140625" style="320" customWidth="1"/>
    <col min="9475" max="9475" width="20" style="320" customWidth="1"/>
    <col min="9476" max="9476" width="27.7109375" style="320" customWidth="1"/>
    <col min="9477" max="9477" width="19.85546875" style="320" customWidth="1"/>
    <col min="9478" max="9478" width="28.42578125" style="320" customWidth="1"/>
    <col min="9479" max="9728" width="9.140625" style="320"/>
    <col min="9729" max="9729" width="30.7109375" style="320" customWidth="1"/>
    <col min="9730" max="9730" width="27.140625" style="320" customWidth="1"/>
    <col min="9731" max="9731" width="20" style="320" customWidth="1"/>
    <col min="9732" max="9732" width="27.7109375" style="320" customWidth="1"/>
    <col min="9733" max="9733" width="19.85546875" style="320" customWidth="1"/>
    <col min="9734" max="9734" width="28.42578125" style="320" customWidth="1"/>
    <col min="9735" max="9984" width="9.140625" style="320"/>
    <col min="9985" max="9985" width="30.7109375" style="320" customWidth="1"/>
    <col min="9986" max="9986" width="27.140625" style="320" customWidth="1"/>
    <col min="9987" max="9987" width="20" style="320" customWidth="1"/>
    <col min="9988" max="9988" width="27.7109375" style="320" customWidth="1"/>
    <col min="9989" max="9989" width="19.85546875" style="320" customWidth="1"/>
    <col min="9990" max="9990" width="28.42578125" style="320" customWidth="1"/>
    <col min="9991" max="10240" width="9.140625" style="320"/>
    <col min="10241" max="10241" width="30.7109375" style="320" customWidth="1"/>
    <col min="10242" max="10242" width="27.140625" style="320" customWidth="1"/>
    <col min="10243" max="10243" width="20" style="320" customWidth="1"/>
    <col min="10244" max="10244" width="27.7109375" style="320" customWidth="1"/>
    <col min="10245" max="10245" width="19.85546875" style="320" customWidth="1"/>
    <col min="10246" max="10246" width="28.42578125" style="320" customWidth="1"/>
    <col min="10247" max="10496" width="9.140625" style="320"/>
    <col min="10497" max="10497" width="30.7109375" style="320" customWidth="1"/>
    <col min="10498" max="10498" width="27.140625" style="320" customWidth="1"/>
    <col min="10499" max="10499" width="20" style="320" customWidth="1"/>
    <col min="10500" max="10500" width="27.7109375" style="320" customWidth="1"/>
    <col min="10501" max="10501" width="19.85546875" style="320" customWidth="1"/>
    <col min="10502" max="10502" width="28.42578125" style="320" customWidth="1"/>
    <col min="10503" max="10752" width="9.140625" style="320"/>
    <col min="10753" max="10753" width="30.7109375" style="320" customWidth="1"/>
    <col min="10754" max="10754" width="27.140625" style="320" customWidth="1"/>
    <col min="10755" max="10755" width="20" style="320" customWidth="1"/>
    <col min="10756" max="10756" width="27.7109375" style="320" customWidth="1"/>
    <col min="10757" max="10757" width="19.85546875" style="320" customWidth="1"/>
    <col min="10758" max="10758" width="28.42578125" style="320" customWidth="1"/>
    <col min="10759" max="11008" width="9.140625" style="320"/>
    <col min="11009" max="11009" width="30.7109375" style="320" customWidth="1"/>
    <col min="11010" max="11010" width="27.140625" style="320" customWidth="1"/>
    <col min="11011" max="11011" width="20" style="320" customWidth="1"/>
    <col min="11012" max="11012" width="27.7109375" style="320" customWidth="1"/>
    <col min="11013" max="11013" width="19.85546875" style="320" customWidth="1"/>
    <col min="11014" max="11014" width="28.42578125" style="320" customWidth="1"/>
    <col min="11015" max="11264" width="9.140625" style="320"/>
    <col min="11265" max="11265" width="30.7109375" style="320" customWidth="1"/>
    <col min="11266" max="11266" width="27.140625" style="320" customWidth="1"/>
    <col min="11267" max="11267" width="20" style="320" customWidth="1"/>
    <col min="11268" max="11268" width="27.7109375" style="320" customWidth="1"/>
    <col min="11269" max="11269" width="19.85546875" style="320" customWidth="1"/>
    <col min="11270" max="11270" width="28.42578125" style="320" customWidth="1"/>
    <col min="11271" max="11520" width="9.140625" style="320"/>
    <col min="11521" max="11521" width="30.7109375" style="320" customWidth="1"/>
    <col min="11522" max="11522" width="27.140625" style="320" customWidth="1"/>
    <col min="11523" max="11523" width="20" style="320" customWidth="1"/>
    <col min="11524" max="11524" width="27.7109375" style="320" customWidth="1"/>
    <col min="11525" max="11525" width="19.85546875" style="320" customWidth="1"/>
    <col min="11526" max="11526" width="28.42578125" style="320" customWidth="1"/>
    <col min="11527" max="11776" width="9.140625" style="320"/>
    <col min="11777" max="11777" width="30.7109375" style="320" customWidth="1"/>
    <col min="11778" max="11778" width="27.140625" style="320" customWidth="1"/>
    <col min="11779" max="11779" width="20" style="320" customWidth="1"/>
    <col min="11780" max="11780" width="27.7109375" style="320" customWidth="1"/>
    <col min="11781" max="11781" width="19.85546875" style="320" customWidth="1"/>
    <col min="11782" max="11782" width="28.42578125" style="320" customWidth="1"/>
    <col min="11783" max="12032" width="9.140625" style="320"/>
    <col min="12033" max="12033" width="30.7109375" style="320" customWidth="1"/>
    <col min="12034" max="12034" width="27.140625" style="320" customWidth="1"/>
    <col min="12035" max="12035" width="20" style="320" customWidth="1"/>
    <col min="12036" max="12036" width="27.7109375" style="320" customWidth="1"/>
    <col min="12037" max="12037" width="19.85546875" style="320" customWidth="1"/>
    <col min="12038" max="12038" width="28.42578125" style="320" customWidth="1"/>
    <col min="12039" max="12288" width="9.140625" style="320"/>
    <col min="12289" max="12289" width="30.7109375" style="320" customWidth="1"/>
    <col min="12290" max="12290" width="27.140625" style="320" customWidth="1"/>
    <col min="12291" max="12291" width="20" style="320" customWidth="1"/>
    <col min="12292" max="12292" width="27.7109375" style="320" customWidth="1"/>
    <col min="12293" max="12293" width="19.85546875" style="320" customWidth="1"/>
    <col min="12294" max="12294" width="28.42578125" style="320" customWidth="1"/>
    <col min="12295" max="12544" width="9.140625" style="320"/>
    <col min="12545" max="12545" width="30.7109375" style="320" customWidth="1"/>
    <col min="12546" max="12546" width="27.140625" style="320" customWidth="1"/>
    <col min="12547" max="12547" width="20" style="320" customWidth="1"/>
    <col min="12548" max="12548" width="27.7109375" style="320" customWidth="1"/>
    <col min="12549" max="12549" width="19.85546875" style="320" customWidth="1"/>
    <col min="12550" max="12550" width="28.42578125" style="320" customWidth="1"/>
    <col min="12551" max="12800" width="9.140625" style="320"/>
    <col min="12801" max="12801" width="30.7109375" style="320" customWidth="1"/>
    <col min="12802" max="12802" width="27.140625" style="320" customWidth="1"/>
    <col min="12803" max="12803" width="20" style="320" customWidth="1"/>
    <col min="12804" max="12804" width="27.7109375" style="320" customWidth="1"/>
    <col min="12805" max="12805" width="19.85546875" style="320" customWidth="1"/>
    <col min="12806" max="12806" width="28.42578125" style="320" customWidth="1"/>
    <col min="12807" max="13056" width="9.140625" style="320"/>
    <col min="13057" max="13057" width="30.7109375" style="320" customWidth="1"/>
    <col min="13058" max="13058" width="27.140625" style="320" customWidth="1"/>
    <col min="13059" max="13059" width="20" style="320" customWidth="1"/>
    <col min="13060" max="13060" width="27.7109375" style="320" customWidth="1"/>
    <col min="13061" max="13061" width="19.85546875" style="320" customWidth="1"/>
    <col min="13062" max="13062" width="28.42578125" style="320" customWidth="1"/>
    <col min="13063" max="13312" width="9.140625" style="320"/>
    <col min="13313" max="13313" width="30.7109375" style="320" customWidth="1"/>
    <col min="13314" max="13314" width="27.140625" style="320" customWidth="1"/>
    <col min="13315" max="13315" width="20" style="320" customWidth="1"/>
    <col min="13316" max="13316" width="27.7109375" style="320" customWidth="1"/>
    <col min="13317" max="13317" width="19.85546875" style="320" customWidth="1"/>
    <col min="13318" max="13318" width="28.42578125" style="320" customWidth="1"/>
    <col min="13319" max="13568" width="9.140625" style="320"/>
    <col min="13569" max="13569" width="30.7109375" style="320" customWidth="1"/>
    <col min="13570" max="13570" width="27.140625" style="320" customWidth="1"/>
    <col min="13571" max="13571" width="20" style="320" customWidth="1"/>
    <col min="13572" max="13572" width="27.7109375" style="320" customWidth="1"/>
    <col min="13573" max="13573" width="19.85546875" style="320" customWidth="1"/>
    <col min="13574" max="13574" width="28.42578125" style="320" customWidth="1"/>
    <col min="13575" max="13824" width="9.140625" style="320"/>
    <col min="13825" max="13825" width="30.7109375" style="320" customWidth="1"/>
    <col min="13826" max="13826" width="27.140625" style="320" customWidth="1"/>
    <col min="13827" max="13827" width="20" style="320" customWidth="1"/>
    <col min="13828" max="13828" width="27.7109375" style="320" customWidth="1"/>
    <col min="13829" max="13829" width="19.85546875" style="320" customWidth="1"/>
    <col min="13830" max="13830" width="28.42578125" style="320" customWidth="1"/>
    <col min="13831" max="14080" width="9.140625" style="320"/>
    <col min="14081" max="14081" width="30.7109375" style="320" customWidth="1"/>
    <col min="14082" max="14082" width="27.140625" style="320" customWidth="1"/>
    <col min="14083" max="14083" width="20" style="320" customWidth="1"/>
    <col min="14084" max="14084" width="27.7109375" style="320" customWidth="1"/>
    <col min="14085" max="14085" width="19.85546875" style="320" customWidth="1"/>
    <col min="14086" max="14086" width="28.42578125" style="320" customWidth="1"/>
    <col min="14087" max="14336" width="9.140625" style="320"/>
    <col min="14337" max="14337" width="30.7109375" style="320" customWidth="1"/>
    <col min="14338" max="14338" width="27.140625" style="320" customWidth="1"/>
    <col min="14339" max="14339" width="20" style="320" customWidth="1"/>
    <col min="14340" max="14340" width="27.7109375" style="320" customWidth="1"/>
    <col min="14341" max="14341" width="19.85546875" style="320" customWidth="1"/>
    <col min="14342" max="14342" width="28.42578125" style="320" customWidth="1"/>
    <col min="14343" max="14592" width="9.140625" style="320"/>
    <col min="14593" max="14593" width="30.7109375" style="320" customWidth="1"/>
    <col min="14594" max="14594" width="27.140625" style="320" customWidth="1"/>
    <col min="14595" max="14595" width="20" style="320" customWidth="1"/>
    <col min="14596" max="14596" width="27.7109375" style="320" customWidth="1"/>
    <col min="14597" max="14597" width="19.85546875" style="320" customWidth="1"/>
    <col min="14598" max="14598" width="28.42578125" style="320" customWidth="1"/>
    <col min="14599" max="14848" width="9.140625" style="320"/>
    <col min="14849" max="14849" width="30.7109375" style="320" customWidth="1"/>
    <col min="14850" max="14850" width="27.140625" style="320" customWidth="1"/>
    <col min="14851" max="14851" width="20" style="320" customWidth="1"/>
    <col min="14852" max="14852" width="27.7109375" style="320" customWidth="1"/>
    <col min="14853" max="14853" width="19.85546875" style="320" customWidth="1"/>
    <col min="14854" max="14854" width="28.42578125" style="320" customWidth="1"/>
    <col min="14855" max="15104" width="9.140625" style="320"/>
    <col min="15105" max="15105" width="30.7109375" style="320" customWidth="1"/>
    <col min="15106" max="15106" width="27.140625" style="320" customWidth="1"/>
    <col min="15107" max="15107" width="20" style="320" customWidth="1"/>
    <col min="15108" max="15108" width="27.7109375" style="320" customWidth="1"/>
    <col min="15109" max="15109" width="19.85546875" style="320" customWidth="1"/>
    <col min="15110" max="15110" width="28.42578125" style="320" customWidth="1"/>
    <col min="15111" max="15360" width="9.140625" style="320"/>
    <col min="15361" max="15361" width="30.7109375" style="320" customWidth="1"/>
    <col min="15362" max="15362" width="27.140625" style="320" customWidth="1"/>
    <col min="15363" max="15363" width="20" style="320" customWidth="1"/>
    <col min="15364" max="15364" width="27.7109375" style="320" customWidth="1"/>
    <col min="15365" max="15365" width="19.85546875" style="320" customWidth="1"/>
    <col min="15366" max="15366" width="28.42578125" style="320" customWidth="1"/>
    <col min="15367" max="15616" width="9.140625" style="320"/>
    <col min="15617" max="15617" width="30.7109375" style="320" customWidth="1"/>
    <col min="15618" max="15618" width="27.140625" style="320" customWidth="1"/>
    <col min="15619" max="15619" width="20" style="320" customWidth="1"/>
    <col min="15620" max="15620" width="27.7109375" style="320" customWidth="1"/>
    <col min="15621" max="15621" width="19.85546875" style="320" customWidth="1"/>
    <col min="15622" max="15622" width="28.42578125" style="320" customWidth="1"/>
    <col min="15623" max="15872" width="9.140625" style="320"/>
    <col min="15873" max="15873" width="30.7109375" style="320" customWidth="1"/>
    <col min="15874" max="15874" width="27.140625" style="320" customWidth="1"/>
    <col min="15875" max="15875" width="20" style="320" customWidth="1"/>
    <col min="15876" max="15876" width="27.7109375" style="320" customWidth="1"/>
    <col min="15877" max="15877" width="19.85546875" style="320" customWidth="1"/>
    <col min="15878" max="15878" width="28.42578125" style="320" customWidth="1"/>
    <col min="15879" max="16128" width="9.140625" style="320"/>
    <col min="16129" max="16129" width="30.7109375" style="320" customWidth="1"/>
    <col min="16130" max="16130" width="27.140625" style="320" customWidth="1"/>
    <col min="16131" max="16131" width="20" style="320" customWidth="1"/>
    <col min="16132" max="16132" width="27.7109375" style="320" customWidth="1"/>
    <col min="16133" max="16133" width="19.85546875" style="320" customWidth="1"/>
    <col min="16134" max="16134" width="28.42578125" style="320" customWidth="1"/>
    <col min="16135" max="16384" width="9.140625" style="320"/>
  </cols>
  <sheetData>
    <row r="1" spans="1:6" ht="20.100000000000001" customHeight="1">
      <c r="A1" s="318"/>
      <c r="B1" s="1137" t="s">
        <v>280</v>
      </c>
      <c r="C1" s="1138"/>
      <c r="D1" s="1141" t="s">
        <v>281</v>
      </c>
      <c r="E1" s="1142"/>
      <c r="F1" s="319" t="s">
        <v>282</v>
      </c>
    </row>
    <row r="2" spans="1:6" ht="20.100000000000001" customHeight="1">
      <c r="A2" s="321"/>
      <c r="B2" s="1139"/>
      <c r="C2" s="1140"/>
      <c r="D2" s="1151" t="s">
        <v>283</v>
      </c>
      <c r="E2" s="1152"/>
      <c r="F2" s="322" t="s">
        <v>291</v>
      </c>
    </row>
    <row r="3" spans="1:6" ht="20.100000000000001" customHeight="1">
      <c r="A3" s="321"/>
      <c r="B3" s="1145" t="s">
        <v>284</v>
      </c>
      <c r="C3" s="1153" t="s">
        <v>604</v>
      </c>
      <c r="D3" s="323" t="s">
        <v>285</v>
      </c>
      <c r="E3" s="710" t="str">
        <f>DATA!C1004</f>
        <v>NRA.N.011-050-2012/1F</v>
      </c>
      <c r="F3" s="361"/>
    </row>
    <row r="4" spans="1:6" ht="20.25" customHeight="1" thickBot="1">
      <c r="A4" s="324"/>
      <c r="B4" s="1146"/>
      <c r="C4" s="1154"/>
      <c r="D4" s="325" t="s">
        <v>286</v>
      </c>
      <c r="E4" s="818">
        <f>'F1  Cover'!K8</f>
        <v>1</v>
      </c>
      <c r="F4" s="327"/>
    </row>
    <row r="5" spans="1:6" ht="20.100000000000001" customHeight="1">
      <c r="A5" s="1116" t="s">
        <v>690</v>
      </c>
      <c r="B5" s="1117"/>
      <c r="C5" s="1117"/>
      <c r="D5" s="1117"/>
      <c r="E5" s="1117"/>
      <c r="F5" s="1118"/>
    </row>
    <row r="6" spans="1:6" ht="20.100000000000001" customHeight="1">
      <c r="A6" s="1119"/>
      <c r="B6" s="1120"/>
      <c r="C6" s="1120"/>
      <c r="D6" s="1120"/>
      <c r="E6" s="1120"/>
      <c r="F6" s="1121"/>
    </row>
    <row r="7" spans="1:6" ht="20.100000000000001" customHeight="1" thickBot="1">
      <c r="A7" s="1122"/>
      <c r="B7" s="1123"/>
      <c r="C7" s="1123"/>
      <c r="D7" s="1123"/>
      <c r="E7" s="1123"/>
      <c r="F7" s="1124"/>
    </row>
    <row r="8" spans="1:6" ht="20.100000000000001" customHeight="1">
      <c r="A8" s="328" t="s">
        <v>287</v>
      </c>
      <c r="B8" s="664" t="str">
        <f>E3</f>
        <v>NRA.N.011-050-2012/1F</v>
      </c>
      <c r="C8" s="665"/>
      <c r="D8" s="665"/>
      <c r="E8" s="665"/>
      <c r="F8" s="666"/>
    </row>
    <row r="9" spans="1:6" ht="20.100000000000001" customHeight="1">
      <c r="A9" s="1125" t="s">
        <v>288</v>
      </c>
      <c r="B9" s="1127" t="str">
        <f>DATA!C1005</f>
        <v>CONSULTING ENGINEERING SERVICES FOR THE PRELIMINARY DESIGN REVIEW,DETAIL DESIGN, CONTRACT DOCUMENTATION AND CONSTRUCTION MONITORING OF THE ERMELO RING ROAD</v>
      </c>
      <c r="C9" s="1128"/>
      <c r="D9" s="1128"/>
      <c r="E9" s="1128"/>
      <c r="F9" s="1129"/>
    </row>
    <row r="10" spans="1:6" ht="18.75" customHeight="1">
      <c r="A10" s="1126"/>
      <c r="B10" s="1130"/>
      <c r="C10" s="1131"/>
      <c r="D10" s="1131"/>
      <c r="E10" s="1131"/>
      <c r="F10" s="1132"/>
    </row>
    <row r="11" spans="1:6" ht="20.100000000000001" customHeight="1">
      <c r="A11" s="329" t="s">
        <v>289</v>
      </c>
      <c r="B11" s="1155"/>
      <c r="C11" s="1156"/>
      <c r="D11" s="331" t="s">
        <v>290</v>
      </c>
      <c r="E11" s="1157"/>
      <c r="F11" s="1158"/>
    </row>
    <row r="12" spans="1:6" ht="20.100000000000001" customHeight="1">
      <c r="A12" s="330" t="s">
        <v>291</v>
      </c>
      <c r="B12" s="1097" t="str">
        <f>'All Hours'!D1</f>
        <v>PLEASE INSERT TENDERER NAME ON INPUT DATA SHEET</v>
      </c>
      <c r="C12" s="1098"/>
      <c r="D12" s="1098"/>
      <c r="E12" s="1098"/>
      <c r="F12" s="1099"/>
    </row>
    <row r="13" spans="1:6" ht="20.100000000000001" customHeight="1">
      <c r="A13" s="331" t="s">
        <v>292</v>
      </c>
      <c r="B13" s="819">
        <f>'Pricing Schedule'!F406</f>
        <v>127533449.8</v>
      </c>
      <c r="C13" s="663" t="s">
        <v>293</v>
      </c>
      <c r="D13" s="656"/>
      <c r="E13" s="656"/>
      <c r="F13" s="657"/>
    </row>
    <row r="14" spans="1:6" ht="20.100000000000001" customHeight="1">
      <c r="A14" s="330" t="s">
        <v>294</v>
      </c>
      <c r="B14" s="1100" t="str">
        <f>IF('F1 Forecast Contractor'!B14:D14="","",'F1 Forecast Contractor'!B14:D14)</f>
        <v/>
      </c>
      <c r="C14" s="1101"/>
      <c r="D14" s="1102"/>
      <c r="E14" s="656"/>
      <c r="F14" s="657"/>
    </row>
    <row r="15" spans="1:6" ht="20.100000000000001" customHeight="1">
      <c r="A15" s="329" t="s">
        <v>289</v>
      </c>
      <c r="B15" s="1149" t="str">
        <f>IF('F1 Forecast Contractor'!B15="","",'F1 Forecast Contractor'!B15)</f>
        <v/>
      </c>
      <c r="C15" s="1150"/>
      <c r="D15" s="331" t="s">
        <v>290</v>
      </c>
      <c r="E15" s="1103" t="str">
        <f>IF('F1 Forecast Contractor'!E15:F15="","",'F1 Forecast Contractor'!E15:F15)</f>
        <v/>
      </c>
      <c r="F15" s="1104"/>
    </row>
    <row r="16" spans="1:6" ht="36" customHeight="1" thickBot="1">
      <c r="A16" s="334" t="s">
        <v>295</v>
      </c>
      <c r="B16" s="659">
        <f>IF('F1 Forecast Contractor'!B16="","",'F1 Forecast Contractor'!B16)</f>
        <v>5635000000</v>
      </c>
      <c r="C16" s="660" t="s">
        <v>293</v>
      </c>
      <c r="D16" s="656"/>
      <c r="E16" s="661"/>
      <c r="F16" s="662"/>
    </row>
    <row r="17" spans="1:6" ht="16.5" customHeight="1">
      <c r="A17" s="1105" t="s">
        <v>296</v>
      </c>
      <c r="B17" s="1108" t="s">
        <v>297</v>
      </c>
      <c r="C17" s="1109"/>
      <c r="D17" s="1109"/>
      <c r="E17" s="1110"/>
      <c r="F17" s="337" t="s">
        <v>298</v>
      </c>
    </row>
    <row r="18" spans="1:6" ht="14.25" customHeight="1">
      <c r="A18" s="1106"/>
      <c r="B18" s="1111" t="s">
        <v>293</v>
      </c>
      <c r="C18" s="1112"/>
      <c r="D18" s="1112"/>
      <c r="E18" s="1113"/>
      <c r="F18" s="338" t="s">
        <v>293</v>
      </c>
    </row>
    <row r="19" spans="1:6" ht="16.5" customHeight="1" thickBot="1">
      <c r="A19" s="1107"/>
      <c r="B19" s="339" t="s">
        <v>299</v>
      </c>
      <c r="C19" s="340" t="s">
        <v>300</v>
      </c>
      <c r="D19" s="667" t="s">
        <v>301</v>
      </c>
      <c r="E19" s="654" t="s">
        <v>50</v>
      </c>
      <c r="F19" s="342"/>
    </row>
    <row r="20" spans="1:6" ht="20.100000000000001" customHeight="1">
      <c r="A20" s="343">
        <f>'F1 Forecast Combined'!A20</f>
        <v>45017</v>
      </c>
      <c r="B20" s="829"/>
      <c r="C20" s="830"/>
      <c r="D20" s="831"/>
      <c r="E20" s="345">
        <f t="shared" ref="E20:E31" si="0">SUM(B20:C20)</f>
        <v>0</v>
      </c>
      <c r="F20" s="347"/>
    </row>
    <row r="21" spans="1:6" ht="20.100000000000001" customHeight="1">
      <c r="A21" s="343">
        <f>'F1 Forecast Combined'!A21</f>
        <v>45047</v>
      </c>
      <c r="B21" s="829"/>
      <c r="C21" s="830"/>
      <c r="D21" s="831"/>
      <c r="E21" s="345">
        <f t="shared" si="0"/>
        <v>0</v>
      </c>
      <c r="F21" s="347"/>
    </row>
    <row r="22" spans="1:6" ht="20.100000000000001" customHeight="1">
      <c r="A22" s="343">
        <f>'F1 Forecast Combined'!A22</f>
        <v>45078</v>
      </c>
      <c r="B22" s="829"/>
      <c r="C22" s="830"/>
      <c r="D22" s="831"/>
      <c r="E22" s="345">
        <f t="shared" si="0"/>
        <v>0</v>
      </c>
      <c r="F22" s="347"/>
    </row>
    <row r="23" spans="1:6" ht="20.100000000000001" customHeight="1">
      <c r="A23" s="343">
        <f>'F1 Forecast Combined'!A23</f>
        <v>45108</v>
      </c>
      <c r="B23" s="829"/>
      <c r="C23" s="830"/>
      <c r="D23" s="831"/>
      <c r="E23" s="345">
        <f t="shared" si="0"/>
        <v>0</v>
      </c>
      <c r="F23" s="347"/>
    </row>
    <row r="24" spans="1:6" ht="20.100000000000001" customHeight="1">
      <c r="A24" s="343">
        <f>'F1 Forecast Combined'!A24</f>
        <v>45139</v>
      </c>
      <c r="B24" s="829"/>
      <c r="C24" s="830"/>
      <c r="D24" s="831"/>
      <c r="E24" s="345">
        <f t="shared" si="0"/>
        <v>0</v>
      </c>
      <c r="F24" s="347"/>
    </row>
    <row r="25" spans="1:6" ht="20.100000000000001" customHeight="1">
      <c r="A25" s="343">
        <f>'F1 Forecast Combined'!A25</f>
        <v>45170</v>
      </c>
      <c r="B25" s="829"/>
      <c r="C25" s="830"/>
      <c r="D25" s="831"/>
      <c r="E25" s="345">
        <f t="shared" si="0"/>
        <v>0</v>
      </c>
      <c r="F25" s="347"/>
    </row>
    <row r="26" spans="1:6" ht="20.100000000000001" customHeight="1">
      <c r="A26" s="343">
        <f>'F1 Forecast Combined'!A26</f>
        <v>45200</v>
      </c>
      <c r="B26" s="829"/>
      <c r="C26" s="830"/>
      <c r="D26" s="831"/>
      <c r="E26" s="345">
        <f t="shared" si="0"/>
        <v>0</v>
      </c>
      <c r="F26" s="347"/>
    </row>
    <row r="27" spans="1:6" ht="20.100000000000001" customHeight="1">
      <c r="A27" s="343">
        <f>'F1 Forecast Combined'!A27</f>
        <v>45231</v>
      </c>
      <c r="B27" s="829"/>
      <c r="C27" s="830"/>
      <c r="D27" s="831"/>
      <c r="E27" s="345">
        <f t="shared" si="0"/>
        <v>0</v>
      </c>
      <c r="F27" s="347"/>
    </row>
    <row r="28" spans="1:6" ht="20.100000000000001" customHeight="1">
      <c r="A28" s="343">
        <f>'F1 Forecast Combined'!A28</f>
        <v>45261</v>
      </c>
      <c r="B28" s="829"/>
      <c r="C28" s="830"/>
      <c r="D28" s="831"/>
      <c r="E28" s="345">
        <f t="shared" si="0"/>
        <v>0</v>
      </c>
      <c r="F28" s="347"/>
    </row>
    <row r="29" spans="1:6" ht="20.100000000000001" customHeight="1">
      <c r="A29" s="343">
        <f>'F1 Forecast Combined'!A29</f>
        <v>45292</v>
      </c>
      <c r="B29" s="829"/>
      <c r="C29" s="830"/>
      <c r="D29" s="831"/>
      <c r="E29" s="345">
        <f t="shared" si="0"/>
        <v>0</v>
      </c>
      <c r="F29" s="347"/>
    </row>
    <row r="30" spans="1:6" ht="20.100000000000001" customHeight="1">
      <c r="A30" s="343">
        <f>'F1 Forecast Combined'!A30</f>
        <v>45323</v>
      </c>
      <c r="B30" s="829"/>
      <c r="C30" s="830"/>
      <c r="D30" s="831"/>
      <c r="E30" s="345">
        <f t="shared" si="0"/>
        <v>0</v>
      </c>
      <c r="F30" s="347"/>
    </row>
    <row r="31" spans="1:6" ht="20.100000000000001" customHeight="1">
      <c r="A31" s="343">
        <f>'F1 Forecast Combined'!A31</f>
        <v>45352</v>
      </c>
      <c r="B31" s="829"/>
      <c r="C31" s="832"/>
      <c r="D31" s="831"/>
      <c r="E31" s="348">
        <f t="shared" si="0"/>
        <v>0</v>
      </c>
      <c r="F31" s="347"/>
    </row>
    <row r="32" spans="1:6" ht="20.100000000000001" customHeight="1" thickBot="1">
      <c r="A32" s="349" t="str">
        <f>'F1 Forecast Combined'!A32</f>
        <v>Sub-Total 2023/2024</v>
      </c>
      <c r="B32" s="350">
        <f>SUM(B20:B31)</f>
        <v>0</v>
      </c>
      <c r="C32" s="350">
        <f>SUM(C20:C31)</f>
        <v>0</v>
      </c>
      <c r="D32" s="668"/>
      <c r="E32" s="350">
        <f>SUM(E20:E31)</f>
        <v>0</v>
      </c>
      <c r="F32" s="351">
        <f>SUM(F20:F31)</f>
        <v>0</v>
      </c>
    </row>
    <row r="33" spans="1:6" ht="20.100000000000001" customHeight="1" thickTop="1">
      <c r="A33" s="343">
        <f>'F1 Forecast Combined'!A33</f>
        <v>45383</v>
      </c>
      <c r="B33" s="833"/>
      <c r="C33" s="834"/>
      <c r="D33" s="835"/>
      <c r="E33" s="352">
        <f t="shared" ref="E33:E44" si="1">SUM(B33:C33)</f>
        <v>0</v>
      </c>
      <c r="F33" s="347"/>
    </row>
    <row r="34" spans="1:6" ht="20.100000000000001" customHeight="1">
      <c r="A34" s="343">
        <f>'F1 Forecast Combined'!A34</f>
        <v>45413</v>
      </c>
      <c r="B34" s="833"/>
      <c r="C34" s="830"/>
      <c r="D34" s="835"/>
      <c r="E34" s="352">
        <f t="shared" si="1"/>
        <v>0</v>
      </c>
      <c r="F34" s="347"/>
    </row>
    <row r="35" spans="1:6" ht="20.100000000000001" customHeight="1">
      <c r="A35" s="343">
        <f>'F1 Forecast Combined'!A35</f>
        <v>45444</v>
      </c>
      <c r="B35" s="833"/>
      <c r="C35" s="834"/>
      <c r="D35" s="835"/>
      <c r="E35" s="352">
        <f t="shared" si="1"/>
        <v>0</v>
      </c>
      <c r="F35" s="347"/>
    </row>
    <row r="36" spans="1:6" ht="20.100000000000001" customHeight="1">
      <c r="A36" s="343">
        <f>'F1 Forecast Combined'!A36</f>
        <v>45474</v>
      </c>
      <c r="B36" s="833"/>
      <c r="C36" s="830"/>
      <c r="D36" s="835"/>
      <c r="E36" s="352">
        <f t="shared" si="1"/>
        <v>0</v>
      </c>
      <c r="F36" s="347"/>
    </row>
    <row r="37" spans="1:6" ht="20.100000000000001" customHeight="1">
      <c r="A37" s="343">
        <f>'F1 Forecast Combined'!A37</f>
        <v>45505</v>
      </c>
      <c r="B37" s="833"/>
      <c r="C37" s="830"/>
      <c r="D37" s="835"/>
      <c r="E37" s="352">
        <f t="shared" si="1"/>
        <v>0</v>
      </c>
      <c r="F37" s="347"/>
    </row>
    <row r="38" spans="1:6" ht="20.100000000000001" customHeight="1">
      <c r="A38" s="343">
        <f>'F1 Forecast Combined'!A38</f>
        <v>45536</v>
      </c>
      <c r="B38" s="833"/>
      <c r="C38" s="830"/>
      <c r="D38" s="835"/>
      <c r="E38" s="352">
        <f t="shared" si="1"/>
        <v>0</v>
      </c>
      <c r="F38" s="347"/>
    </row>
    <row r="39" spans="1:6" ht="20.100000000000001" customHeight="1">
      <c r="A39" s="343">
        <f>'F1 Forecast Combined'!A39</f>
        <v>45566</v>
      </c>
      <c r="B39" s="833"/>
      <c r="C39" s="830"/>
      <c r="D39" s="835"/>
      <c r="E39" s="352">
        <f t="shared" si="1"/>
        <v>0</v>
      </c>
      <c r="F39" s="347"/>
    </row>
    <row r="40" spans="1:6" ht="20.100000000000001" customHeight="1">
      <c r="A40" s="343">
        <f>'F1 Forecast Combined'!A40</f>
        <v>45597</v>
      </c>
      <c r="B40" s="833"/>
      <c r="C40" s="830"/>
      <c r="D40" s="835"/>
      <c r="E40" s="352">
        <f t="shared" si="1"/>
        <v>0</v>
      </c>
      <c r="F40" s="347"/>
    </row>
    <row r="41" spans="1:6" ht="20.100000000000001" customHeight="1">
      <c r="A41" s="343">
        <f>'F1 Forecast Combined'!A41</f>
        <v>45627</v>
      </c>
      <c r="B41" s="833"/>
      <c r="C41" s="830"/>
      <c r="D41" s="835"/>
      <c r="E41" s="352">
        <f t="shared" si="1"/>
        <v>0</v>
      </c>
      <c r="F41" s="347"/>
    </row>
    <row r="42" spans="1:6" ht="20.100000000000001" customHeight="1">
      <c r="A42" s="343">
        <f>'F1 Forecast Combined'!A42</f>
        <v>45658</v>
      </c>
      <c r="B42" s="833"/>
      <c r="C42" s="830"/>
      <c r="D42" s="835"/>
      <c r="E42" s="352">
        <f t="shared" si="1"/>
        <v>0</v>
      </c>
      <c r="F42" s="347"/>
    </row>
    <row r="43" spans="1:6" ht="20.100000000000001" customHeight="1">
      <c r="A43" s="343">
        <f>'F1 Forecast Combined'!A43</f>
        <v>45689</v>
      </c>
      <c r="B43" s="833"/>
      <c r="C43" s="830"/>
      <c r="D43" s="835"/>
      <c r="E43" s="352">
        <f t="shared" si="1"/>
        <v>0</v>
      </c>
      <c r="F43" s="347"/>
    </row>
    <row r="44" spans="1:6" ht="20.100000000000001" customHeight="1">
      <c r="A44" s="343">
        <f>'F1 Forecast Combined'!A44</f>
        <v>45717</v>
      </c>
      <c r="B44" s="833"/>
      <c r="C44" s="830"/>
      <c r="D44" s="835"/>
      <c r="E44" s="352">
        <f t="shared" si="1"/>
        <v>0</v>
      </c>
      <c r="F44" s="347"/>
    </row>
    <row r="45" spans="1:6" ht="20.100000000000001" customHeight="1" thickBot="1">
      <c r="A45" s="353" t="str">
        <f>'F1 Forecast Combined'!A45</f>
        <v>Sub-Total 2024/2025</v>
      </c>
      <c r="B45" s="354">
        <f>SUM(B33:B44)</f>
        <v>0</v>
      </c>
      <c r="C45" s="354">
        <f>SUM(C33:C44)</f>
        <v>0</v>
      </c>
      <c r="D45" s="669"/>
      <c r="E45" s="354">
        <f>SUM(E33:E44)</f>
        <v>0</v>
      </c>
      <c r="F45" s="355">
        <f>SUM(F33:F44)</f>
        <v>0</v>
      </c>
    </row>
    <row r="46" spans="1:6" ht="20.100000000000001" customHeight="1" thickTop="1">
      <c r="A46" s="343">
        <f>'F1 Forecast Combined'!A46</f>
        <v>45748</v>
      </c>
      <c r="B46" s="833"/>
      <c r="C46" s="830"/>
      <c r="D46" s="835"/>
      <c r="E46" s="352">
        <f t="shared" ref="E46:E57" si="2">SUM(B46:C46)</f>
        <v>0</v>
      </c>
      <c r="F46" s="347"/>
    </row>
    <row r="47" spans="1:6" ht="20.100000000000001" customHeight="1">
      <c r="A47" s="343">
        <f>'F1 Forecast Combined'!A47</f>
        <v>45778</v>
      </c>
      <c r="B47" s="833"/>
      <c r="C47" s="830"/>
      <c r="D47" s="835"/>
      <c r="E47" s="352">
        <f t="shared" si="2"/>
        <v>0</v>
      </c>
      <c r="F47" s="347"/>
    </row>
    <row r="48" spans="1:6" ht="20.100000000000001" customHeight="1">
      <c r="A48" s="343">
        <f>'F1 Forecast Combined'!A48</f>
        <v>45809</v>
      </c>
      <c r="B48" s="833"/>
      <c r="C48" s="834"/>
      <c r="D48" s="835"/>
      <c r="E48" s="352">
        <f t="shared" si="2"/>
        <v>0</v>
      </c>
      <c r="F48" s="347"/>
    </row>
    <row r="49" spans="1:6" ht="20.100000000000001" customHeight="1">
      <c r="A49" s="343">
        <f>'F1 Forecast Combined'!A49</f>
        <v>45839</v>
      </c>
      <c r="B49" s="833"/>
      <c r="C49" s="834"/>
      <c r="D49" s="835"/>
      <c r="E49" s="352">
        <f t="shared" si="2"/>
        <v>0</v>
      </c>
      <c r="F49" s="347"/>
    </row>
    <row r="50" spans="1:6" ht="20.100000000000001" customHeight="1">
      <c r="A50" s="343">
        <f>'F1 Forecast Combined'!A50</f>
        <v>45870</v>
      </c>
      <c r="B50" s="833"/>
      <c r="C50" s="834"/>
      <c r="D50" s="835"/>
      <c r="E50" s="352">
        <f t="shared" si="2"/>
        <v>0</v>
      </c>
      <c r="F50" s="347"/>
    </row>
    <row r="51" spans="1:6" ht="20.100000000000001" customHeight="1">
      <c r="A51" s="343">
        <f>'F1 Forecast Combined'!A51</f>
        <v>45901</v>
      </c>
      <c r="B51" s="833"/>
      <c r="C51" s="834"/>
      <c r="D51" s="835"/>
      <c r="E51" s="352">
        <f t="shared" si="2"/>
        <v>0</v>
      </c>
      <c r="F51" s="347"/>
    </row>
    <row r="52" spans="1:6" ht="20.100000000000001" customHeight="1">
      <c r="A52" s="343">
        <f>'F1 Forecast Combined'!A52</f>
        <v>45931</v>
      </c>
      <c r="B52" s="833"/>
      <c r="C52" s="834"/>
      <c r="D52" s="835"/>
      <c r="E52" s="352">
        <f t="shared" si="2"/>
        <v>0</v>
      </c>
      <c r="F52" s="347"/>
    </row>
    <row r="53" spans="1:6" ht="20.100000000000001" customHeight="1">
      <c r="A53" s="343">
        <f>'F1 Forecast Combined'!A53</f>
        <v>45962</v>
      </c>
      <c r="B53" s="833"/>
      <c r="C53" s="834"/>
      <c r="D53" s="835"/>
      <c r="E53" s="352">
        <f t="shared" si="2"/>
        <v>0</v>
      </c>
      <c r="F53" s="347"/>
    </row>
    <row r="54" spans="1:6" ht="20.100000000000001" customHeight="1">
      <c r="A54" s="343">
        <f>'F1 Forecast Combined'!A54</f>
        <v>45992</v>
      </c>
      <c r="B54" s="833"/>
      <c r="C54" s="834"/>
      <c r="D54" s="835"/>
      <c r="E54" s="352">
        <f t="shared" si="2"/>
        <v>0</v>
      </c>
      <c r="F54" s="347"/>
    </row>
    <row r="55" spans="1:6" ht="20.100000000000001" customHeight="1">
      <c r="A55" s="343">
        <f>'F1 Forecast Combined'!A55</f>
        <v>46023</v>
      </c>
      <c r="B55" s="833"/>
      <c r="C55" s="834"/>
      <c r="D55" s="835"/>
      <c r="E55" s="352">
        <f t="shared" si="2"/>
        <v>0</v>
      </c>
      <c r="F55" s="347"/>
    </row>
    <row r="56" spans="1:6" ht="20.100000000000001" customHeight="1">
      <c r="A56" s="343">
        <f>'F1 Forecast Combined'!A56</f>
        <v>46054</v>
      </c>
      <c r="B56" s="833"/>
      <c r="C56" s="834"/>
      <c r="D56" s="835"/>
      <c r="E56" s="352">
        <f t="shared" si="2"/>
        <v>0</v>
      </c>
      <c r="F56" s="347"/>
    </row>
    <row r="57" spans="1:6" ht="20.100000000000001" customHeight="1">
      <c r="A57" s="343">
        <f>'F1 Forecast Combined'!A57</f>
        <v>46082</v>
      </c>
      <c r="B57" s="833"/>
      <c r="C57" s="834"/>
      <c r="D57" s="835"/>
      <c r="E57" s="352">
        <f t="shared" si="2"/>
        <v>0</v>
      </c>
      <c r="F57" s="347"/>
    </row>
    <row r="58" spans="1:6" ht="20.100000000000001" customHeight="1" thickBot="1">
      <c r="A58" s="353" t="str">
        <f>'F1 Forecast Combined'!A58</f>
        <v>Sub-Total 2025/2026</v>
      </c>
      <c r="B58" s="354">
        <f>SUM(B46:B57)</f>
        <v>0</v>
      </c>
      <c r="C58" s="354">
        <f>SUM(C46:C57)</f>
        <v>0</v>
      </c>
      <c r="D58" s="669"/>
      <c r="E58" s="354">
        <f>SUM(E46:E57)</f>
        <v>0</v>
      </c>
      <c r="F58" s="355">
        <f>SUM(F46:F57)</f>
        <v>0</v>
      </c>
    </row>
    <row r="59" spans="1:6" ht="20.100000000000001" customHeight="1" thickTop="1" thickBot="1">
      <c r="A59" s="356" t="s">
        <v>305</v>
      </c>
      <c r="B59" s="357">
        <f>+B32+B45+B58</f>
        <v>0</v>
      </c>
      <c r="C59" s="357">
        <f>+C32+C45+C58</f>
        <v>0</v>
      </c>
      <c r="D59" s="670"/>
      <c r="E59" s="357">
        <f>+E32+E45+E58</f>
        <v>0</v>
      </c>
      <c r="F59" s="358">
        <f>+F32+F45+F58</f>
        <v>0</v>
      </c>
    </row>
    <row r="60" spans="1:6" ht="20.100000000000001" customHeight="1">
      <c r="A60" s="359" t="s">
        <v>306</v>
      </c>
      <c r="B60" s="359" t="s">
        <v>307</v>
      </c>
    </row>
    <row r="62" spans="1:6" ht="20.100000000000001" customHeight="1">
      <c r="C62" s="360"/>
    </row>
    <row r="63" spans="1:6" ht="20.100000000000001" customHeight="1" thickBot="1"/>
    <row r="64" spans="1:6" ht="20.100000000000001" customHeight="1">
      <c r="A64" s="318"/>
      <c r="B64" s="1137" t="s">
        <v>280</v>
      </c>
      <c r="C64" s="1138"/>
      <c r="D64" s="1141" t="s">
        <v>281</v>
      </c>
      <c r="E64" s="1142"/>
      <c r="F64" s="319" t="s">
        <v>282</v>
      </c>
    </row>
    <row r="65" spans="1:6" ht="20.100000000000001" customHeight="1">
      <c r="A65" s="321"/>
      <c r="B65" s="1139"/>
      <c r="C65" s="1140"/>
      <c r="D65" s="1143" t="str">
        <f>D2</f>
        <v>Safety Improvement</v>
      </c>
      <c r="E65" s="1144"/>
      <c r="F65" s="322" t="s">
        <v>291</v>
      </c>
    </row>
    <row r="66" spans="1:6" ht="20.100000000000001" customHeight="1">
      <c r="A66" s="321"/>
      <c r="B66" s="1145" t="s">
        <v>284</v>
      </c>
      <c r="C66" s="1147" t="str">
        <f>C3</f>
        <v>Western</v>
      </c>
      <c r="D66" s="323" t="s">
        <v>285</v>
      </c>
      <c r="E66" s="623" t="str">
        <f>E3</f>
        <v>NRA.N.011-050-2012/1F</v>
      </c>
      <c r="F66" s="361"/>
    </row>
    <row r="67" spans="1:6" ht="20.100000000000001" customHeight="1" thickBot="1">
      <c r="A67" s="324"/>
      <c r="B67" s="1146"/>
      <c r="C67" s="1148"/>
      <c r="D67" s="325" t="s">
        <v>286</v>
      </c>
      <c r="E67" s="825">
        <f>E4</f>
        <v>1</v>
      </c>
      <c r="F67" s="327"/>
    </row>
    <row r="68" spans="1:6" ht="20.100000000000001" customHeight="1">
      <c r="A68" s="1116" t="s">
        <v>689</v>
      </c>
      <c r="B68" s="1117"/>
      <c r="C68" s="1117"/>
      <c r="D68" s="1117"/>
      <c r="E68" s="1117"/>
      <c r="F68" s="1118"/>
    </row>
    <row r="69" spans="1:6" ht="20.100000000000001" customHeight="1">
      <c r="A69" s="1119"/>
      <c r="B69" s="1120"/>
      <c r="C69" s="1120"/>
      <c r="D69" s="1120"/>
      <c r="E69" s="1120"/>
      <c r="F69" s="1121"/>
    </row>
    <row r="70" spans="1:6" ht="20.100000000000001" customHeight="1" thickBot="1">
      <c r="A70" s="1122"/>
      <c r="B70" s="1123"/>
      <c r="C70" s="1123"/>
      <c r="D70" s="1123"/>
      <c r="E70" s="1123"/>
      <c r="F70" s="1124"/>
    </row>
    <row r="71" spans="1:6" ht="20.100000000000001" customHeight="1">
      <c r="A71" s="328" t="s">
        <v>287</v>
      </c>
      <c r="B71" s="664" t="str">
        <f>B8</f>
        <v>NRA.N.011-050-2012/1F</v>
      </c>
      <c r="C71" s="665"/>
      <c r="D71" s="665"/>
      <c r="E71" s="665"/>
      <c r="F71" s="666"/>
    </row>
    <row r="72" spans="1:6" ht="20.100000000000001" customHeight="1">
      <c r="A72" s="1125" t="s">
        <v>288</v>
      </c>
      <c r="B72" s="1127" t="str">
        <f>B9</f>
        <v>CONSULTING ENGINEERING SERVICES FOR THE PRELIMINARY DESIGN REVIEW,DETAIL DESIGN, CONTRACT DOCUMENTATION AND CONSTRUCTION MONITORING OF THE ERMELO RING ROAD</v>
      </c>
      <c r="C72" s="1128"/>
      <c r="D72" s="1128"/>
      <c r="E72" s="1128"/>
      <c r="F72" s="1129"/>
    </row>
    <row r="73" spans="1:6" ht="20.100000000000001" customHeight="1">
      <c r="A73" s="1126"/>
      <c r="B73" s="1130"/>
      <c r="C73" s="1131"/>
      <c r="D73" s="1131"/>
      <c r="E73" s="1131"/>
      <c r="F73" s="1132"/>
    </row>
    <row r="74" spans="1:6" ht="20.100000000000001" customHeight="1">
      <c r="A74" s="329" t="s">
        <v>289</v>
      </c>
      <c r="B74" s="1133">
        <f t="shared" ref="B74:B79" si="3">B11</f>
        <v>0</v>
      </c>
      <c r="C74" s="1134"/>
      <c r="D74" s="331" t="s">
        <v>290</v>
      </c>
      <c r="E74" s="1135">
        <f>E11</f>
        <v>0</v>
      </c>
      <c r="F74" s="1136"/>
    </row>
    <row r="75" spans="1:6" ht="20.100000000000001" customHeight="1">
      <c r="A75" s="330" t="s">
        <v>291</v>
      </c>
      <c r="B75" s="1097" t="str">
        <f t="shared" si="3"/>
        <v>PLEASE INSERT TENDERER NAME ON INPUT DATA SHEET</v>
      </c>
      <c r="C75" s="1098"/>
      <c r="D75" s="1098"/>
      <c r="E75" s="1098"/>
      <c r="F75" s="1099"/>
    </row>
    <row r="76" spans="1:6" ht="20.100000000000001" customHeight="1">
      <c r="A76" s="331" t="s">
        <v>292</v>
      </c>
      <c r="B76" s="819">
        <f t="shared" si="3"/>
        <v>127533449.8</v>
      </c>
      <c r="C76" s="663" t="s">
        <v>293</v>
      </c>
      <c r="D76" s="656"/>
      <c r="E76" s="656"/>
      <c r="F76" s="657"/>
    </row>
    <row r="77" spans="1:6" ht="20.100000000000001" customHeight="1">
      <c r="A77" s="330" t="s">
        <v>294</v>
      </c>
      <c r="B77" s="1100" t="str">
        <f t="shared" si="3"/>
        <v/>
      </c>
      <c r="C77" s="1101"/>
      <c r="D77" s="1102"/>
      <c r="E77" s="656"/>
      <c r="F77" s="657"/>
    </row>
    <row r="78" spans="1:6" ht="20.100000000000001" customHeight="1">
      <c r="A78" s="329" t="s">
        <v>289</v>
      </c>
      <c r="B78" s="1149" t="str">
        <f t="shared" si="3"/>
        <v/>
      </c>
      <c r="C78" s="1150"/>
      <c r="D78" s="331" t="s">
        <v>290</v>
      </c>
      <c r="E78" s="1103" t="str">
        <f>E15</f>
        <v/>
      </c>
      <c r="F78" s="1104"/>
    </row>
    <row r="79" spans="1:6" ht="36.75" customHeight="1" thickBot="1">
      <c r="A79" s="334" t="s">
        <v>295</v>
      </c>
      <c r="B79" s="659">
        <f t="shared" si="3"/>
        <v>5635000000</v>
      </c>
      <c r="C79" s="660" t="s">
        <v>293</v>
      </c>
      <c r="D79" s="656"/>
      <c r="E79" s="661"/>
      <c r="F79" s="662"/>
    </row>
    <row r="80" spans="1:6" ht="20.100000000000001" customHeight="1">
      <c r="A80" s="1105" t="s">
        <v>296</v>
      </c>
      <c r="B80" s="1108" t="s">
        <v>297</v>
      </c>
      <c r="C80" s="1109"/>
      <c r="D80" s="1109"/>
      <c r="E80" s="1110"/>
      <c r="F80" s="337" t="s">
        <v>298</v>
      </c>
    </row>
    <row r="81" spans="1:6" ht="20.100000000000001" customHeight="1">
      <c r="A81" s="1106"/>
      <c r="B81" s="1111" t="s">
        <v>293</v>
      </c>
      <c r="C81" s="1112"/>
      <c r="D81" s="1112"/>
      <c r="E81" s="1113"/>
      <c r="F81" s="338" t="s">
        <v>293</v>
      </c>
    </row>
    <row r="82" spans="1:6" ht="20.100000000000001" customHeight="1" thickBot="1">
      <c r="A82" s="1107"/>
      <c r="B82" s="339" t="s">
        <v>299</v>
      </c>
      <c r="C82" s="340" t="s">
        <v>300</v>
      </c>
      <c r="D82" s="667" t="s">
        <v>301</v>
      </c>
      <c r="E82" s="654" t="str">
        <f>'F1 Forecast Combined'!A83</f>
        <v>Brought Forward</v>
      </c>
      <c r="F82" s="342"/>
    </row>
    <row r="83" spans="1:6" ht="20.100000000000001" customHeight="1" thickBot="1">
      <c r="A83" s="826" t="str">
        <f>'F1 Forecast Combined'!A83</f>
        <v>Brought Forward</v>
      </c>
      <c r="B83" s="822">
        <f>B59</f>
        <v>0</v>
      </c>
      <c r="C83" s="823">
        <f>C59</f>
        <v>0</v>
      </c>
      <c r="D83" s="828"/>
      <c r="E83" s="823">
        <f>E59</f>
        <v>0</v>
      </c>
      <c r="F83" s="351">
        <f>F59</f>
        <v>0</v>
      </c>
    </row>
    <row r="84" spans="1:6" ht="20.100000000000001" customHeight="1" thickTop="1">
      <c r="A84" s="343">
        <f>'F1 Forecast Combined'!A84</f>
        <v>46113</v>
      </c>
      <c r="B84" s="829"/>
      <c r="C84" s="830"/>
      <c r="D84" s="831"/>
      <c r="E84" s="345">
        <f t="shared" ref="E84:E95" si="4">SUM(B84:C84)</f>
        <v>0</v>
      </c>
      <c r="F84" s="347"/>
    </row>
    <row r="85" spans="1:6" ht="20.100000000000001" customHeight="1">
      <c r="A85" s="343">
        <f>'F1 Forecast Combined'!A85</f>
        <v>46143</v>
      </c>
      <c r="B85" s="829"/>
      <c r="C85" s="830"/>
      <c r="D85" s="831"/>
      <c r="E85" s="345">
        <f t="shared" si="4"/>
        <v>0</v>
      </c>
      <c r="F85" s="347"/>
    </row>
    <row r="86" spans="1:6" ht="20.100000000000001" customHeight="1">
      <c r="A86" s="343">
        <f>'F1 Forecast Combined'!A86</f>
        <v>46174</v>
      </c>
      <c r="B86" s="829"/>
      <c r="C86" s="830"/>
      <c r="D86" s="831"/>
      <c r="E86" s="345">
        <f t="shared" si="4"/>
        <v>0</v>
      </c>
      <c r="F86" s="347"/>
    </row>
    <row r="87" spans="1:6" ht="20.100000000000001" customHeight="1">
      <c r="A87" s="343">
        <f>'F1 Forecast Combined'!A87</f>
        <v>46204</v>
      </c>
      <c r="B87" s="829"/>
      <c r="C87" s="830"/>
      <c r="D87" s="831"/>
      <c r="E87" s="345">
        <f t="shared" si="4"/>
        <v>0</v>
      </c>
      <c r="F87" s="347"/>
    </row>
    <row r="88" spans="1:6" ht="20.100000000000001" customHeight="1">
      <c r="A88" s="343">
        <f>'F1 Forecast Combined'!A88</f>
        <v>46235</v>
      </c>
      <c r="B88" s="829"/>
      <c r="C88" s="830"/>
      <c r="D88" s="831"/>
      <c r="E88" s="345">
        <f t="shared" si="4"/>
        <v>0</v>
      </c>
      <c r="F88" s="347"/>
    </row>
    <row r="89" spans="1:6" ht="20.100000000000001" customHeight="1">
      <c r="A89" s="343">
        <f>'F1 Forecast Combined'!A89</f>
        <v>46266</v>
      </c>
      <c r="B89" s="829"/>
      <c r="C89" s="830"/>
      <c r="D89" s="831"/>
      <c r="E89" s="345">
        <f t="shared" si="4"/>
        <v>0</v>
      </c>
      <c r="F89" s="347"/>
    </row>
    <row r="90" spans="1:6" ht="20.100000000000001" customHeight="1">
      <c r="A90" s="343">
        <f>'F1 Forecast Combined'!A90</f>
        <v>46296</v>
      </c>
      <c r="B90" s="829"/>
      <c r="C90" s="830"/>
      <c r="D90" s="831"/>
      <c r="E90" s="345">
        <f t="shared" si="4"/>
        <v>0</v>
      </c>
      <c r="F90" s="347"/>
    </row>
    <row r="91" spans="1:6" ht="20.100000000000001" customHeight="1">
      <c r="A91" s="343">
        <f>'F1 Forecast Combined'!A91</f>
        <v>46327</v>
      </c>
      <c r="B91" s="829"/>
      <c r="C91" s="830"/>
      <c r="D91" s="831"/>
      <c r="E91" s="345">
        <f t="shared" si="4"/>
        <v>0</v>
      </c>
      <c r="F91" s="347"/>
    </row>
    <row r="92" spans="1:6" ht="20.100000000000001" customHeight="1">
      <c r="A92" s="343">
        <f>'F1 Forecast Combined'!A92</f>
        <v>46357</v>
      </c>
      <c r="B92" s="829"/>
      <c r="C92" s="830"/>
      <c r="D92" s="831"/>
      <c r="E92" s="345">
        <f t="shared" si="4"/>
        <v>0</v>
      </c>
      <c r="F92" s="347"/>
    </row>
    <row r="93" spans="1:6" ht="20.100000000000001" customHeight="1">
      <c r="A93" s="343">
        <f>'F1 Forecast Combined'!A93</f>
        <v>46388</v>
      </c>
      <c r="B93" s="829"/>
      <c r="C93" s="830"/>
      <c r="D93" s="831"/>
      <c r="E93" s="345">
        <f t="shared" si="4"/>
        <v>0</v>
      </c>
      <c r="F93" s="347"/>
    </row>
    <row r="94" spans="1:6" ht="20.100000000000001" customHeight="1">
      <c r="A94" s="343">
        <f>'F1 Forecast Combined'!A94</f>
        <v>46419</v>
      </c>
      <c r="B94" s="829"/>
      <c r="C94" s="830"/>
      <c r="D94" s="831"/>
      <c r="E94" s="345">
        <f t="shared" si="4"/>
        <v>0</v>
      </c>
      <c r="F94" s="347"/>
    </row>
    <row r="95" spans="1:6" ht="20.100000000000001" customHeight="1">
      <c r="A95" s="343">
        <f>'F1 Forecast Combined'!A95</f>
        <v>46447</v>
      </c>
      <c r="B95" s="829"/>
      <c r="C95" s="832"/>
      <c r="D95" s="831"/>
      <c r="E95" s="348">
        <f t="shared" si="4"/>
        <v>0</v>
      </c>
      <c r="F95" s="347"/>
    </row>
    <row r="96" spans="1:6" ht="20.100000000000001" customHeight="1" thickBot="1">
      <c r="A96" s="827" t="str">
        <f>'F1 Forecast Combined'!A96</f>
        <v>Sub-Total 2026/2027</v>
      </c>
      <c r="B96" s="350">
        <f>SUM(B84:B95)</f>
        <v>0</v>
      </c>
      <c r="C96" s="350">
        <f>SUM(C84:C95)</f>
        <v>0</v>
      </c>
      <c r="D96" s="668"/>
      <c r="E96" s="350">
        <f>SUM(E84:E95)</f>
        <v>0</v>
      </c>
      <c r="F96" s="351">
        <f>SUM(F84:F95)</f>
        <v>0</v>
      </c>
    </row>
    <row r="97" spans="1:6" ht="20.100000000000001" customHeight="1" thickTop="1">
      <c r="A97" s="343">
        <f>'F1 Forecast Combined'!A97</f>
        <v>46478</v>
      </c>
      <c r="B97" s="833"/>
      <c r="C97" s="834"/>
      <c r="D97" s="835"/>
      <c r="E97" s="352">
        <f t="shared" ref="E97:E108" si="5">SUM(B97:C97)</f>
        <v>0</v>
      </c>
      <c r="F97" s="347"/>
    </row>
    <row r="98" spans="1:6" ht="20.100000000000001" customHeight="1">
      <c r="A98" s="343">
        <f>'F1 Forecast Combined'!A98</f>
        <v>46508</v>
      </c>
      <c r="B98" s="833"/>
      <c r="C98" s="830"/>
      <c r="D98" s="835"/>
      <c r="E98" s="352">
        <f t="shared" si="5"/>
        <v>0</v>
      </c>
      <c r="F98" s="347"/>
    </row>
    <row r="99" spans="1:6" ht="20.100000000000001" customHeight="1">
      <c r="A99" s="343">
        <f>'F1 Forecast Combined'!A99</f>
        <v>46539</v>
      </c>
      <c r="B99" s="833"/>
      <c r="C99" s="834"/>
      <c r="D99" s="835"/>
      <c r="E99" s="352">
        <f t="shared" si="5"/>
        <v>0</v>
      </c>
      <c r="F99" s="347"/>
    </row>
    <row r="100" spans="1:6" ht="20.100000000000001" customHeight="1">
      <c r="A100" s="343">
        <f>'F1 Forecast Combined'!A100</f>
        <v>46569</v>
      </c>
      <c r="B100" s="833"/>
      <c r="C100" s="830"/>
      <c r="D100" s="835"/>
      <c r="E100" s="352">
        <f t="shared" si="5"/>
        <v>0</v>
      </c>
      <c r="F100" s="347"/>
    </row>
    <row r="101" spans="1:6" ht="20.100000000000001" customHeight="1">
      <c r="A101" s="343">
        <f>'F1 Forecast Combined'!A101</f>
        <v>46600</v>
      </c>
      <c r="B101" s="833"/>
      <c r="C101" s="830"/>
      <c r="D101" s="835"/>
      <c r="E101" s="352">
        <f t="shared" si="5"/>
        <v>0</v>
      </c>
      <c r="F101" s="347"/>
    </row>
    <row r="102" spans="1:6" ht="20.100000000000001" customHeight="1">
      <c r="A102" s="343">
        <f>'F1 Forecast Combined'!A102</f>
        <v>46631</v>
      </c>
      <c r="B102" s="833"/>
      <c r="C102" s="830"/>
      <c r="D102" s="835"/>
      <c r="E102" s="352">
        <f t="shared" si="5"/>
        <v>0</v>
      </c>
      <c r="F102" s="347"/>
    </row>
    <row r="103" spans="1:6" ht="20.100000000000001" customHeight="1">
      <c r="A103" s="343">
        <f>'F1 Forecast Combined'!A103</f>
        <v>46661</v>
      </c>
      <c r="B103" s="833"/>
      <c r="C103" s="830"/>
      <c r="D103" s="835"/>
      <c r="E103" s="352">
        <f t="shared" si="5"/>
        <v>0</v>
      </c>
      <c r="F103" s="347"/>
    </row>
    <row r="104" spans="1:6" ht="20.100000000000001" customHeight="1">
      <c r="A104" s="343">
        <f>'F1 Forecast Combined'!A104</f>
        <v>46692</v>
      </c>
      <c r="B104" s="833"/>
      <c r="C104" s="830"/>
      <c r="D104" s="835"/>
      <c r="E104" s="352">
        <f t="shared" si="5"/>
        <v>0</v>
      </c>
      <c r="F104" s="347"/>
    </row>
    <row r="105" spans="1:6" ht="20.100000000000001" customHeight="1">
      <c r="A105" s="343">
        <f>'F1 Forecast Combined'!A105</f>
        <v>46722</v>
      </c>
      <c r="B105" s="833"/>
      <c r="C105" s="830"/>
      <c r="D105" s="835"/>
      <c r="E105" s="352">
        <f t="shared" si="5"/>
        <v>0</v>
      </c>
      <c r="F105" s="347"/>
    </row>
    <row r="106" spans="1:6" ht="20.100000000000001" customHeight="1">
      <c r="A106" s="343">
        <f>'F1 Forecast Combined'!A106</f>
        <v>46753</v>
      </c>
      <c r="B106" s="833"/>
      <c r="C106" s="830"/>
      <c r="D106" s="835"/>
      <c r="E106" s="352">
        <f t="shared" si="5"/>
        <v>0</v>
      </c>
      <c r="F106" s="347"/>
    </row>
    <row r="107" spans="1:6" ht="20.100000000000001" customHeight="1">
      <c r="A107" s="343">
        <f>'F1 Forecast Combined'!A107</f>
        <v>46784</v>
      </c>
      <c r="B107" s="833"/>
      <c r="C107" s="830"/>
      <c r="D107" s="835"/>
      <c r="E107" s="352">
        <f t="shared" si="5"/>
        <v>0</v>
      </c>
      <c r="F107" s="347"/>
    </row>
    <row r="108" spans="1:6" ht="20.100000000000001" customHeight="1">
      <c r="A108" s="343">
        <f>'F1 Forecast Combined'!A108</f>
        <v>46813</v>
      </c>
      <c r="B108" s="833"/>
      <c r="C108" s="830"/>
      <c r="D108" s="835"/>
      <c r="E108" s="352">
        <f t="shared" si="5"/>
        <v>0</v>
      </c>
      <c r="F108" s="347"/>
    </row>
    <row r="109" spans="1:6" ht="20.100000000000001" customHeight="1" thickBot="1">
      <c r="A109" s="827" t="str">
        <f>'F1 Forecast Combined'!A109</f>
        <v>Sub-Total 2027/2028</v>
      </c>
      <c r="B109" s="354">
        <f>SUM(B97:B108)</f>
        <v>0</v>
      </c>
      <c r="C109" s="354">
        <f>SUM(C97:C108)</f>
        <v>0</v>
      </c>
      <c r="D109" s="669"/>
      <c r="E109" s="354">
        <f>SUM(E97:E108)</f>
        <v>0</v>
      </c>
      <c r="F109" s="355">
        <f>SUM(F97:F108)</f>
        <v>0</v>
      </c>
    </row>
    <row r="110" spans="1:6" ht="20.100000000000001" customHeight="1" thickTop="1">
      <c r="A110" s="343">
        <f>'F1 Forecast Combined'!A110</f>
        <v>46844</v>
      </c>
      <c r="B110" s="833"/>
      <c r="C110" s="830"/>
      <c r="D110" s="835"/>
      <c r="E110" s="352">
        <f t="shared" ref="E110:E121" si="6">SUM(B110:C110)</f>
        <v>0</v>
      </c>
      <c r="F110" s="347"/>
    </row>
    <row r="111" spans="1:6" ht="20.100000000000001" customHeight="1">
      <c r="A111" s="343">
        <f>'F1 Forecast Combined'!A111</f>
        <v>46874</v>
      </c>
      <c r="B111" s="833"/>
      <c r="C111" s="830"/>
      <c r="D111" s="835"/>
      <c r="E111" s="352">
        <f t="shared" si="6"/>
        <v>0</v>
      </c>
      <c r="F111" s="347"/>
    </row>
    <row r="112" spans="1:6" ht="20.100000000000001" customHeight="1">
      <c r="A112" s="343">
        <f>'F1 Forecast Combined'!A112</f>
        <v>46905</v>
      </c>
      <c r="B112" s="833"/>
      <c r="C112" s="834"/>
      <c r="D112" s="835"/>
      <c r="E112" s="352">
        <f t="shared" si="6"/>
        <v>0</v>
      </c>
      <c r="F112" s="347"/>
    </row>
    <row r="113" spans="1:6" ht="20.100000000000001" customHeight="1">
      <c r="A113" s="343">
        <f>'F1 Forecast Combined'!A113</f>
        <v>46935</v>
      </c>
      <c r="B113" s="833"/>
      <c r="C113" s="834"/>
      <c r="D113" s="835"/>
      <c r="E113" s="352">
        <f t="shared" si="6"/>
        <v>0</v>
      </c>
      <c r="F113" s="347"/>
    </row>
    <row r="114" spans="1:6" ht="20.100000000000001" customHeight="1">
      <c r="A114" s="343">
        <f>'F1 Forecast Combined'!A114</f>
        <v>46966</v>
      </c>
      <c r="B114" s="833"/>
      <c r="C114" s="834"/>
      <c r="D114" s="835"/>
      <c r="E114" s="352">
        <f t="shared" si="6"/>
        <v>0</v>
      </c>
      <c r="F114" s="347"/>
    </row>
    <row r="115" spans="1:6" ht="20.100000000000001" customHeight="1">
      <c r="A115" s="343">
        <f>'F1 Forecast Combined'!A115</f>
        <v>46997</v>
      </c>
      <c r="B115" s="833"/>
      <c r="C115" s="834"/>
      <c r="D115" s="835"/>
      <c r="E115" s="352">
        <f t="shared" si="6"/>
        <v>0</v>
      </c>
      <c r="F115" s="347"/>
    </row>
    <row r="116" spans="1:6" ht="20.100000000000001" customHeight="1">
      <c r="A116" s="343">
        <f>'F1 Forecast Combined'!A116</f>
        <v>47027</v>
      </c>
      <c r="B116" s="833"/>
      <c r="C116" s="834"/>
      <c r="D116" s="835"/>
      <c r="E116" s="352">
        <f t="shared" si="6"/>
        <v>0</v>
      </c>
      <c r="F116" s="347"/>
    </row>
    <row r="117" spans="1:6" ht="20.100000000000001" customHeight="1">
      <c r="A117" s="343">
        <f>'F1 Forecast Combined'!A117</f>
        <v>47058</v>
      </c>
      <c r="B117" s="833"/>
      <c r="C117" s="834"/>
      <c r="D117" s="835"/>
      <c r="E117" s="352">
        <f t="shared" si="6"/>
        <v>0</v>
      </c>
      <c r="F117" s="347"/>
    </row>
    <row r="118" spans="1:6" ht="20.100000000000001" customHeight="1">
      <c r="A118" s="343">
        <f>'F1 Forecast Combined'!A118</f>
        <v>47088</v>
      </c>
      <c r="B118" s="833"/>
      <c r="C118" s="834"/>
      <c r="D118" s="835"/>
      <c r="E118" s="352">
        <f t="shared" si="6"/>
        <v>0</v>
      </c>
      <c r="F118" s="347"/>
    </row>
    <row r="119" spans="1:6" ht="20.100000000000001" customHeight="1">
      <c r="A119" s="343">
        <f>'F1 Forecast Combined'!A119</f>
        <v>47119</v>
      </c>
      <c r="B119" s="833"/>
      <c r="C119" s="834"/>
      <c r="D119" s="835"/>
      <c r="E119" s="352">
        <f t="shared" si="6"/>
        <v>0</v>
      </c>
      <c r="F119" s="347"/>
    </row>
    <row r="120" spans="1:6" ht="20.100000000000001" customHeight="1">
      <c r="A120" s="343">
        <f>'F1 Forecast Combined'!A120</f>
        <v>47150</v>
      </c>
      <c r="B120" s="833"/>
      <c r="C120" s="834"/>
      <c r="D120" s="835"/>
      <c r="E120" s="352">
        <f t="shared" si="6"/>
        <v>0</v>
      </c>
      <c r="F120" s="347"/>
    </row>
    <row r="121" spans="1:6" ht="20.100000000000001" customHeight="1">
      <c r="A121" s="343">
        <f>'F1 Forecast Combined'!A121</f>
        <v>47178</v>
      </c>
      <c r="B121" s="833"/>
      <c r="C121" s="834"/>
      <c r="D121" s="835"/>
      <c r="E121" s="352">
        <f t="shared" si="6"/>
        <v>0</v>
      </c>
      <c r="F121" s="347"/>
    </row>
    <row r="122" spans="1:6" ht="20.100000000000001" customHeight="1" thickBot="1">
      <c r="A122" s="827" t="str">
        <f>'F1 Forecast Combined'!A122</f>
        <v>Sub-Total 2028/2029</v>
      </c>
      <c r="B122" s="354">
        <f>SUM(B110:B121)</f>
        <v>0</v>
      </c>
      <c r="C122" s="354">
        <f>SUM(C110:C121)</f>
        <v>0</v>
      </c>
      <c r="D122" s="669"/>
      <c r="E122" s="354">
        <f>SUM(E110:E121)</f>
        <v>0</v>
      </c>
      <c r="F122" s="355">
        <f>SUM(F110:F121)</f>
        <v>0</v>
      </c>
    </row>
    <row r="123" spans="1:6" ht="20.100000000000001" customHeight="1" thickTop="1" thickBot="1">
      <c r="A123" s="356" t="s">
        <v>305</v>
      </c>
      <c r="B123" s="357">
        <f>B83+B96+B109+B122</f>
        <v>0</v>
      </c>
      <c r="C123" s="357">
        <f>C83+C96+C109+C122</f>
        <v>0</v>
      </c>
      <c r="D123" s="670"/>
      <c r="E123" s="357">
        <f>E83+E96+E109+E122</f>
        <v>0</v>
      </c>
      <c r="F123" s="358">
        <f>F83+F96+F109+F122</f>
        <v>0</v>
      </c>
    </row>
    <row r="124" spans="1:6" ht="20.100000000000001" customHeight="1">
      <c r="A124" s="359" t="s">
        <v>306</v>
      </c>
      <c r="B124" s="359" t="s">
        <v>307</v>
      </c>
    </row>
  </sheetData>
  <mergeCells count="34"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A5:F7"/>
    <mergeCell ref="B1:C2"/>
    <mergeCell ref="D1:E1"/>
    <mergeCell ref="D2:E2"/>
    <mergeCell ref="B3:B4"/>
    <mergeCell ref="C3:C4"/>
    <mergeCell ref="B64:C65"/>
    <mergeCell ref="D64:E64"/>
    <mergeCell ref="D65:E65"/>
    <mergeCell ref="B66:B67"/>
    <mergeCell ref="C66:C67"/>
    <mergeCell ref="A68:F70"/>
    <mergeCell ref="A72:A73"/>
    <mergeCell ref="B72:F73"/>
    <mergeCell ref="B74:C74"/>
    <mergeCell ref="E74:F74"/>
    <mergeCell ref="B75:F75"/>
    <mergeCell ref="B77:D77"/>
    <mergeCell ref="B78:C78"/>
    <mergeCell ref="E78:F78"/>
    <mergeCell ref="A80:A82"/>
    <mergeCell ref="B80:E80"/>
    <mergeCell ref="B81:E81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>
    <tabColor theme="9"/>
    <pageSetUpPr fitToPage="1"/>
  </sheetPr>
  <dimension ref="A1:J124"/>
  <sheetViews>
    <sheetView workbookViewId="0"/>
  </sheetViews>
  <sheetFormatPr defaultRowHeight="20.100000000000001" customHeight="1"/>
  <cols>
    <col min="1" max="1" width="30.7109375" style="320" customWidth="1"/>
    <col min="2" max="2" width="27.140625" style="320" customWidth="1"/>
    <col min="3" max="3" width="21.5703125" style="320" customWidth="1"/>
    <col min="4" max="4" width="27.7109375" style="320" customWidth="1"/>
    <col min="5" max="5" width="19.85546875" style="320" customWidth="1"/>
    <col min="6" max="6" width="27" style="320" customWidth="1"/>
    <col min="7" max="9" width="9.140625" style="320"/>
    <col min="10" max="10" width="9.140625" style="320" customWidth="1"/>
    <col min="11" max="256" width="9.140625" style="320"/>
    <col min="257" max="257" width="30.7109375" style="320" customWidth="1"/>
    <col min="258" max="258" width="27.140625" style="320" customWidth="1"/>
    <col min="259" max="259" width="20" style="320" customWidth="1"/>
    <col min="260" max="260" width="27.7109375" style="320" customWidth="1"/>
    <col min="261" max="261" width="19.85546875" style="320" customWidth="1"/>
    <col min="262" max="262" width="28.42578125" style="320" customWidth="1"/>
    <col min="263" max="512" width="9.140625" style="320"/>
    <col min="513" max="513" width="30.7109375" style="320" customWidth="1"/>
    <col min="514" max="514" width="27.140625" style="320" customWidth="1"/>
    <col min="515" max="515" width="20" style="320" customWidth="1"/>
    <col min="516" max="516" width="27.7109375" style="320" customWidth="1"/>
    <col min="517" max="517" width="19.85546875" style="320" customWidth="1"/>
    <col min="518" max="518" width="28.42578125" style="320" customWidth="1"/>
    <col min="519" max="768" width="9.140625" style="320"/>
    <col min="769" max="769" width="30.7109375" style="320" customWidth="1"/>
    <col min="770" max="770" width="27.140625" style="320" customWidth="1"/>
    <col min="771" max="771" width="20" style="320" customWidth="1"/>
    <col min="772" max="772" width="27.7109375" style="320" customWidth="1"/>
    <col min="773" max="773" width="19.85546875" style="320" customWidth="1"/>
    <col min="774" max="774" width="28.42578125" style="320" customWidth="1"/>
    <col min="775" max="1024" width="9.140625" style="320"/>
    <col min="1025" max="1025" width="30.7109375" style="320" customWidth="1"/>
    <col min="1026" max="1026" width="27.140625" style="320" customWidth="1"/>
    <col min="1027" max="1027" width="20" style="320" customWidth="1"/>
    <col min="1028" max="1028" width="27.7109375" style="320" customWidth="1"/>
    <col min="1029" max="1029" width="19.85546875" style="320" customWidth="1"/>
    <col min="1030" max="1030" width="28.42578125" style="320" customWidth="1"/>
    <col min="1031" max="1280" width="9.140625" style="320"/>
    <col min="1281" max="1281" width="30.7109375" style="320" customWidth="1"/>
    <col min="1282" max="1282" width="27.140625" style="320" customWidth="1"/>
    <col min="1283" max="1283" width="20" style="320" customWidth="1"/>
    <col min="1284" max="1284" width="27.7109375" style="320" customWidth="1"/>
    <col min="1285" max="1285" width="19.85546875" style="320" customWidth="1"/>
    <col min="1286" max="1286" width="28.42578125" style="320" customWidth="1"/>
    <col min="1287" max="1536" width="9.140625" style="320"/>
    <col min="1537" max="1537" width="30.7109375" style="320" customWidth="1"/>
    <col min="1538" max="1538" width="27.140625" style="320" customWidth="1"/>
    <col min="1539" max="1539" width="20" style="320" customWidth="1"/>
    <col min="1540" max="1540" width="27.7109375" style="320" customWidth="1"/>
    <col min="1541" max="1541" width="19.85546875" style="320" customWidth="1"/>
    <col min="1542" max="1542" width="28.42578125" style="320" customWidth="1"/>
    <col min="1543" max="1792" width="9.140625" style="320"/>
    <col min="1793" max="1793" width="30.7109375" style="320" customWidth="1"/>
    <col min="1794" max="1794" width="27.140625" style="320" customWidth="1"/>
    <col min="1795" max="1795" width="20" style="320" customWidth="1"/>
    <col min="1796" max="1796" width="27.7109375" style="320" customWidth="1"/>
    <col min="1797" max="1797" width="19.85546875" style="320" customWidth="1"/>
    <col min="1798" max="1798" width="28.42578125" style="320" customWidth="1"/>
    <col min="1799" max="2048" width="9.140625" style="320"/>
    <col min="2049" max="2049" width="30.7109375" style="320" customWidth="1"/>
    <col min="2050" max="2050" width="27.140625" style="320" customWidth="1"/>
    <col min="2051" max="2051" width="20" style="320" customWidth="1"/>
    <col min="2052" max="2052" width="27.7109375" style="320" customWidth="1"/>
    <col min="2053" max="2053" width="19.85546875" style="320" customWidth="1"/>
    <col min="2054" max="2054" width="28.42578125" style="320" customWidth="1"/>
    <col min="2055" max="2304" width="9.140625" style="320"/>
    <col min="2305" max="2305" width="30.7109375" style="320" customWidth="1"/>
    <col min="2306" max="2306" width="27.140625" style="320" customWidth="1"/>
    <col min="2307" max="2307" width="20" style="320" customWidth="1"/>
    <col min="2308" max="2308" width="27.7109375" style="320" customWidth="1"/>
    <col min="2309" max="2309" width="19.85546875" style="320" customWidth="1"/>
    <col min="2310" max="2310" width="28.42578125" style="320" customWidth="1"/>
    <col min="2311" max="2560" width="9.140625" style="320"/>
    <col min="2561" max="2561" width="30.7109375" style="320" customWidth="1"/>
    <col min="2562" max="2562" width="27.140625" style="320" customWidth="1"/>
    <col min="2563" max="2563" width="20" style="320" customWidth="1"/>
    <col min="2564" max="2564" width="27.7109375" style="320" customWidth="1"/>
    <col min="2565" max="2565" width="19.85546875" style="320" customWidth="1"/>
    <col min="2566" max="2566" width="28.42578125" style="320" customWidth="1"/>
    <col min="2567" max="2816" width="9.140625" style="320"/>
    <col min="2817" max="2817" width="30.7109375" style="320" customWidth="1"/>
    <col min="2818" max="2818" width="27.140625" style="320" customWidth="1"/>
    <col min="2819" max="2819" width="20" style="320" customWidth="1"/>
    <col min="2820" max="2820" width="27.7109375" style="320" customWidth="1"/>
    <col min="2821" max="2821" width="19.85546875" style="320" customWidth="1"/>
    <col min="2822" max="2822" width="28.42578125" style="320" customWidth="1"/>
    <col min="2823" max="3072" width="9.140625" style="320"/>
    <col min="3073" max="3073" width="30.7109375" style="320" customWidth="1"/>
    <col min="3074" max="3074" width="27.140625" style="320" customWidth="1"/>
    <col min="3075" max="3075" width="20" style="320" customWidth="1"/>
    <col min="3076" max="3076" width="27.7109375" style="320" customWidth="1"/>
    <col min="3077" max="3077" width="19.85546875" style="320" customWidth="1"/>
    <col min="3078" max="3078" width="28.42578125" style="320" customWidth="1"/>
    <col min="3079" max="3328" width="9.140625" style="320"/>
    <col min="3329" max="3329" width="30.7109375" style="320" customWidth="1"/>
    <col min="3330" max="3330" width="27.140625" style="320" customWidth="1"/>
    <col min="3331" max="3331" width="20" style="320" customWidth="1"/>
    <col min="3332" max="3332" width="27.7109375" style="320" customWidth="1"/>
    <col min="3333" max="3333" width="19.85546875" style="320" customWidth="1"/>
    <col min="3334" max="3334" width="28.42578125" style="320" customWidth="1"/>
    <col min="3335" max="3584" width="9.140625" style="320"/>
    <col min="3585" max="3585" width="30.7109375" style="320" customWidth="1"/>
    <col min="3586" max="3586" width="27.140625" style="320" customWidth="1"/>
    <col min="3587" max="3587" width="20" style="320" customWidth="1"/>
    <col min="3588" max="3588" width="27.7109375" style="320" customWidth="1"/>
    <col min="3589" max="3589" width="19.85546875" style="320" customWidth="1"/>
    <col min="3590" max="3590" width="28.42578125" style="320" customWidth="1"/>
    <col min="3591" max="3840" width="9.140625" style="320"/>
    <col min="3841" max="3841" width="30.7109375" style="320" customWidth="1"/>
    <col min="3842" max="3842" width="27.140625" style="320" customWidth="1"/>
    <col min="3843" max="3843" width="20" style="320" customWidth="1"/>
    <col min="3844" max="3844" width="27.7109375" style="320" customWidth="1"/>
    <col min="3845" max="3845" width="19.85546875" style="320" customWidth="1"/>
    <col min="3846" max="3846" width="28.42578125" style="320" customWidth="1"/>
    <col min="3847" max="4096" width="9.140625" style="320"/>
    <col min="4097" max="4097" width="30.7109375" style="320" customWidth="1"/>
    <col min="4098" max="4098" width="27.140625" style="320" customWidth="1"/>
    <col min="4099" max="4099" width="20" style="320" customWidth="1"/>
    <col min="4100" max="4100" width="27.7109375" style="320" customWidth="1"/>
    <col min="4101" max="4101" width="19.85546875" style="320" customWidth="1"/>
    <col min="4102" max="4102" width="28.42578125" style="320" customWidth="1"/>
    <col min="4103" max="4352" width="9.140625" style="320"/>
    <col min="4353" max="4353" width="30.7109375" style="320" customWidth="1"/>
    <col min="4354" max="4354" width="27.140625" style="320" customWidth="1"/>
    <col min="4355" max="4355" width="20" style="320" customWidth="1"/>
    <col min="4356" max="4356" width="27.7109375" style="320" customWidth="1"/>
    <col min="4357" max="4357" width="19.85546875" style="320" customWidth="1"/>
    <col min="4358" max="4358" width="28.42578125" style="320" customWidth="1"/>
    <col min="4359" max="4608" width="9.140625" style="320"/>
    <col min="4609" max="4609" width="30.7109375" style="320" customWidth="1"/>
    <col min="4610" max="4610" width="27.140625" style="320" customWidth="1"/>
    <col min="4611" max="4611" width="20" style="320" customWidth="1"/>
    <col min="4612" max="4612" width="27.7109375" style="320" customWidth="1"/>
    <col min="4613" max="4613" width="19.85546875" style="320" customWidth="1"/>
    <col min="4614" max="4614" width="28.42578125" style="320" customWidth="1"/>
    <col min="4615" max="4864" width="9.140625" style="320"/>
    <col min="4865" max="4865" width="30.7109375" style="320" customWidth="1"/>
    <col min="4866" max="4866" width="27.140625" style="320" customWidth="1"/>
    <col min="4867" max="4867" width="20" style="320" customWidth="1"/>
    <col min="4868" max="4868" width="27.7109375" style="320" customWidth="1"/>
    <col min="4869" max="4869" width="19.85546875" style="320" customWidth="1"/>
    <col min="4870" max="4870" width="28.42578125" style="320" customWidth="1"/>
    <col min="4871" max="5120" width="9.140625" style="320"/>
    <col min="5121" max="5121" width="30.7109375" style="320" customWidth="1"/>
    <col min="5122" max="5122" width="27.140625" style="320" customWidth="1"/>
    <col min="5123" max="5123" width="20" style="320" customWidth="1"/>
    <col min="5124" max="5124" width="27.7109375" style="320" customWidth="1"/>
    <col min="5125" max="5125" width="19.85546875" style="320" customWidth="1"/>
    <col min="5126" max="5126" width="28.42578125" style="320" customWidth="1"/>
    <col min="5127" max="5376" width="9.140625" style="320"/>
    <col min="5377" max="5377" width="30.7109375" style="320" customWidth="1"/>
    <col min="5378" max="5378" width="27.140625" style="320" customWidth="1"/>
    <col min="5379" max="5379" width="20" style="320" customWidth="1"/>
    <col min="5380" max="5380" width="27.7109375" style="320" customWidth="1"/>
    <col min="5381" max="5381" width="19.85546875" style="320" customWidth="1"/>
    <col min="5382" max="5382" width="28.42578125" style="320" customWidth="1"/>
    <col min="5383" max="5632" width="9.140625" style="320"/>
    <col min="5633" max="5633" width="30.7109375" style="320" customWidth="1"/>
    <col min="5634" max="5634" width="27.140625" style="320" customWidth="1"/>
    <col min="5635" max="5635" width="20" style="320" customWidth="1"/>
    <col min="5636" max="5636" width="27.7109375" style="320" customWidth="1"/>
    <col min="5637" max="5637" width="19.85546875" style="320" customWidth="1"/>
    <col min="5638" max="5638" width="28.42578125" style="320" customWidth="1"/>
    <col min="5639" max="5888" width="9.140625" style="320"/>
    <col min="5889" max="5889" width="30.7109375" style="320" customWidth="1"/>
    <col min="5890" max="5890" width="27.140625" style="320" customWidth="1"/>
    <col min="5891" max="5891" width="20" style="320" customWidth="1"/>
    <col min="5892" max="5892" width="27.7109375" style="320" customWidth="1"/>
    <col min="5893" max="5893" width="19.85546875" style="320" customWidth="1"/>
    <col min="5894" max="5894" width="28.42578125" style="320" customWidth="1"/>
    <col min="5895" max="6144" width="9.140625" style="320"/>
    <col min="6145" max="6145" width="30.7109375" style="320" customWidth="1"/>
    <col min="6146" max="6146" width="27.140625" style="320" customWidth="1"/>
    <col min="6147" max="6147" width="20" style="320" customWidth="1"/>
    <col min="6148" max="6148" width="27.7109375" style="320" customWidth="1"/>
    <col min="6149" max="6149" width="19.85546875" style="320" customWidth="1"/>
    <col min="6150" max="6150" width="28.42578125" style="320" customWidth="1"/>
    <col min="6151" max="6400" width="9.140625" style="320"/>
    <col min="6401" max="6401" width="30.7109375" style="320" customWidth="1"/>
    <col min="6402" max="6402" width="27.140625" style="320" customWidth="1"/>
    <col min="6403" max="6403" width="20" style="320" customWidth="1"/>
    <col min="6404" max="6404" width="27.7109375" style="320" customWidth="1"/>
    <col min="6405" max="6405" width="19.85546875" style="320" customWidth="1"/>
    <col min="6406" max="6406" width="28.42578125" style="320" customWidth="1"/>
    <col min="6407" max="6656" width="9.140625" style="320"/>
    <col min="6657" max="6657" width="30.7109375" style="320" customWidth="1"/>
    <col min="6658" max="6658" width="27.140625" style="320" customWidth="1"/>
    <col min="6659" max="6659" width="20" style="320" customWidth="1"/>
    <col min="6660" max="6660" width="27.7109375" style="320" customWidth="1"/>
    <col min="6661" max="6661" width="19.85546875" style="320" customWidth="1"/>
    <col min="6662" max="6662" width="28.42578125" style="320" customWidth="1"/>
    <col min="6663" max="6912" width="9.140625" style="320"/>
    <col min="6913" max="6913" width="30.7109375" style="320" customWidth="1"/>
    <col min="6914" max="6914" width="27.140625" style="320" customWidth="1"/>
    <col min="6915" max="6915" width="20" style="320" customWidth="1"/>
    <col min="6916" max="6916" width="27.7109375" style="320" customWidth="1"/>
    <col min="6917" max="6917" width="19.85546875" style="320" customWidth="1"/>
    <col min="6918" max="6918" width="28.42578125" style="320" customWidth="1"/>
    <col min="6919" max="7168" width="9.140625" style="320"/>
    <col min="7169" max="7169" width="30.7109375" style="320" customWidth="1"/>
    <col min="7170" max="7170" width="27.140625" style="320" customWidth="1"/>
    <col min="7171" max="7171" width="20" style="320" customWidth="1"/>
    <col min="7172" max="7172" width="27.7109375" style="320" customWidth="1"/>
    <col min="7173" max="7173" width="19.85546875" style="320" customWidth="1"/>
    <col min="7174" max="7174" width="28.42578125" style="320" customWidth="1"/>
    <col min="7175" max="7424" width="9.140625" style="320"/>
    <col min="7425" max="7425" width="30.7109375" style="320" customWidth="1"/>
    <col min="7426" max="7426" width="27.140625" style="320" customWidth="1"/>
    <col min="7427" max="7427" width="20" style="320" customWidth="1"/>
    <col min="7428" max="7428" width="27.7109375" style="320" customWidth="1"/>
    <col min="7429" max="7429" width="19.85546875" style="320" customWidth="1"/>
    <col min="7430" max="7430" width="28.42578125" style="320" customWidth="1"/>
    <col min="7431" max="7680" width="9.140625" style="320"/>
    <col min="7681" max="7681" width="30.7109375" style="320" customWidth="1"/>
    <col min="7682" max="7682" width="27.140625" style="320" customWidth="1"/>
    <col min="7683" max="7683" width="20" style="320" customWidth="1"/>
    <col min="7684" max="7684" width="27.7109375" style="320" customWidth="1"/>
    <col min="7685" max="7685" width="19.85546875" style="320" customWidth="1"/>
    <col min="7686" max="7686" width="28.42578125" style="320" customWidth="1"/>
    <col min="7687" max="7936" width="9.140625" style="320"/>
    <col min="7937" max="7937" width="30.7109375" style="320" customWidth="1"/>
    <col min="7938" max="7938" width="27.140625" style="320" customWidth="1"/>
    <col min="7939" max="7939" width="20" style="320" customWidth="1"/>
    <col min="7940" max="7940" width="27.7109375" style="320" customWidth="1"/>
    <col min="7941" max="7941" width="19.85546875" style="320" customWidth="1"/>
    <col min="7942" max="7942" width="28.42578125" style="320" customWidth="1"/>
    <col min="7943" max="8192" width="9.140625" style="320"/>
    <col min="8193" max="8193" width="30.7109375" style="320" customWidth="1"/>
    <col min="8194" max="8194" width="27.140625" style="320" customWidth="1"/>
    <col min="8195" max="8195" width="20" style="320" customWidth="1"/>
    <col min="8196" max="8196" width="27.7109375" style="320" customWidth="1"/>
    <col min="8197" max="8197" width="19.85546875" style="320" customWidth="1"/>
    <col min="8198" max="8198" width="28.42578125" style="320" customWidth="1"/>
    <col min="8199" max="8448" width="9.140625" style="320"/>
    <col min="8449" max="8449" width="30.7109375" style="320" customWidth="1"/>
    <col min="8450" max="8450" width="27.140625" style="320" customWidth="1"/>
    <col min="8451" max="8451" width="20" style="320" customWidth="1"/>
    <col min="8452" max="8452" width="27.7109375" style="320" customWidth="1"/>
    <col min="8453" max="8453" width="19.85546875" style="320" customWidth="1"/>
    <col min="8454" max="8454" width="28.42578125" style="320" customWidth="1"/>
    <col min="8455" max="8704" width="9.140625" style="320"/>
    <col min="8705" max="8705" width="30.7109375" style="320" customWidth="1"/>
    <col min="8706" max="8706" width="27.140625" style="320" customWidth="1"/>
    <col min="8707" max="8707" width="20" style="320" customWidth="1"/>
    <col min="8708" max="8708" width="27.7109375" style="320" customWidth="1"/>
    <col min="8709" max="8709" width="19.85546875" style="320" customWidth="1"/>
    <col min="8710" max="8710" width="28.42578125" style="320" customWidth="1"/>
    <col min="8711" max="8960" width="9.140625" style="320"/>
    <col min="8961" max="8961" width="30.7109375" style="320" customWidth="1"/>
    <col min="8962" max="8962" width="27.140625" style="320" customWidth="1"/>
    <col min="8963" max="8963" width="20" style="320" customWidth="1"/>
    <col min="8964" max="8964" width="27.7109375" style="320" customWidth="1"/>
    <col min="8965" max="8965" width="19.85546875" style="320" customWidth="1"/>
    <col min="8966" max="8966" width="28.42578125" style="320" customWidth="1"/>
    <col min="8967" max="9216" width="9.140625" style="320"/>
    <col min="9217" max="9217" width="30.7109375" style="320" customWidth="1"/>
    <col min="9218" max="9218" width="27.140625" style="320" customWidth="1"/>
    <col min="9219" max="9219" width="20" style="320" customWidth="1"/>
    <col min="9220" max="9220" width="27.7109375" style="320" customWidth="1"/>
    <col min="9221" max="9221" width="19.85546875" style="320" customWidth="1"/>
    <col min="9222" max="9222" width="28.42578125" style="320" customWidth="1"/>
    <col min="9223" max="9472" width="9.140625" style="320"/>
    <col min="9473" max="9473" width="30.7109375" style="320" customWidth="1"/>
    <col min="9474" max="9474" width="27.140625" style="320" customWidth="1"/>
    <col min="9475" max="9475" width="20" style="320" customWidth="1"/>
    <col min="9476" max="9476" width="27.7109375" style="320" customWidth="1"/>
    <col min="9477" max="9477" width="19.85546875" style="320" customWidth="1"/>
    <col min="9478" max="9478" width="28.42578125" style="320" customWidth="1"/>
    <col min="9479" max="9728" width="9.140625" style="320"/>
    <col min="9729" max="9729" width="30.7109375" style="320" customWidth="1"/>
    <col min="9730" max="9730" width="27.140625" style="320" customWidth="1"/>
    <col min="9731" max="9731" width="20" style="320" customWidth="1"/>
    <col min="9732" max="9732" width="27.7109375" style="320" customWidth="1"/>
    <col min="9733" max="9733" width="19.85546875" style="320" customWidth="1"/>
    <col min="9734" max="9734" width="28.42578125" style="320" customWidth="1"/>
    <col min="9735" max="9984" width="9.140625" style="320"/>
    <col min="9985" max="9985" width="30.7109375" style="320" customWidth="1"/>
    <col min="9986" max="9986" width="27.140625" style="320" customWidth="1"/>
    <col min="9987" max="9987" width="20" style="320" customWidth="1"/>
    <col min="9988" max="9988" width="27.7109375" style="320" customWidth="1"/>
    <col min="9989" max="9989" width="19.85546875" style="320" customWidth="1"/>
    <col min="9990" max="9990" width="28.42578125" style="320" customWidth="1"/>
    <col min="9991" max="10240" width="9.140625" style="320"/>
    <col min="10241" max="10241" width="30.7109375" style="320" customWidth="1"/>
    <col min="10242" max="10242" width="27.140625" style="320" customWidth="1"/>
    <col min="10243" max="10243" width="20" style="320" customWidth="1"/>
    <col min="10244" max="10244" width="27.7109375" style="320" customWidth="1"/>
    <col min="10245" max="10245" width="19.85546875" style="320" customWidth="1"/>
    <col min="10246" max="10246" width="28.42578125" style="320" customWidth="1"/>
    <col min="10247" max="10496" width="9.140625" style="320"/>
    <col min="10497" max="10497" width="30.7109375" style="320" customWidth="1"/>
    <col min="10498" max="10498" width="27.140625" style="320" customWidth="1"/>
    <col min="10499" max="10499" width="20" style="320" customWidth="1"/>
    <col min="10500" max="10500" width="27.7109375" style="320" customWidth="1"/>
    <col min="10501" max="10501" width="19.85546875" style="320" customWidth="1"/>
    <col min="10502" max="10502" width="28.42578125" style="320" customWidth="1"/>
    <col min="10503" max="10752" width="9.140625" style="320"/>
    <col min="10753" max="10753" width="30.7109375" style="320" customWidth="1"/>
    <col min="10754" max="10754" width="27.140625" style="320" customWidth="1"/>
    <col min="10755" max="10755" width="20" style="320" customWidth="1"/>
    <col min="10756" max="10756" width="27.7109375" style="320" customWidth="1"/>
    <col min="10757" max="10757" width="19.85546875" style="320" customWidth="1"/>
    <col min="10758" max="10758" width="28.42578125" style="320" customWidth="1"/>
    <col min="10759" max="11008" width="9.140625" style="320"/>
    <col min="11009" max="11009" width="30.7109375" style="320" customWidth="1"/>
    <col min="11010" max="11010" width="27.140625" style="320" customWidth="1"/>
    <col min="11011" max="11011" width="20" style="320" customWidth="1"/>
    <col min="11012" max="11012" width="27.7109375" style="320" customWidth="1"/>
    <col min="11013" max="11013" width="19.85546875" style="320" customWidth="1"/>
    <col min="11014" max="11014" width="28.42578125" style="320" customWidth="1"/>
    <col min="11015" max="11264" width="9.140625" style="320"/>
    <col min="11265" max="11265" width="30.7109375" style="320" customWidth="1"/>
    <col min="11266" max="11266" width="27.140625" style="320" customWidth="1"/>
    <col min="11267" max="11267" width="20" style="320" customWidth="1"/>
    <col min="11268" max="11268" width="27.7109375" style="320" customWidth="1"/>
    <col min="11269" max="11269" width="19.85546875" style="320" customWidth="1"/>
    <col min="11270" max="11270" width="28.42578125" style="320" customWidth="1"/>
    <col min="11271" max="11520" width="9.140625" style="320"/>
    <col min="11521" max="11521" width="30.7109375" style="320" customWidth="1"/>
    <col min="11522" max="11522" width="27.140625" style="320" customWidth="1"/>
    <col min="11523" max="11523" width="20" style="320" customWidth="1"/>
    <col min="11524" max="11524" width="27.7109375" style="320" customWidth="1"/>
    <col min="11525" max="11525" width="19.85546875" style="320" customWidth="1"/>
    <col min="11526" max="11526" width="28.42578125" style="320" customWidth="1"/>
    <col min="11527" max="11776" width="9.140625" style="320"/>
    <col min="11777" max="11777" width="30.7109375" style="320" customWidth="1"/>
    <col min="11778" max="11778" width="27.140625" style="320" customWidth="1"/>
    <col min="11779" max="11779" width="20" style="320" customWidth="1"/>
    <col min="11780" max="11780" width="27.7109375" style="320" customWidth="1"/>
    <col min="11781" max="11781" width="19.85546875" style="320" customWidth="1"/>
    <col min="11782" max="11782" width="28.42578125" style="320" customWidth="1"/>
    <col min="11783" max="12032" width="9.140625" style="320"/>
    <col min="12033" max="12033" width="30.7109375" style="320" customWidth="1"/>
    <col min="12034" max="12034" width="27.140625" style="320" customWidth="1"/>
    <col min="12035" max="12035" width="20" style="320" customWidth="1"/>
    <col min="12036" max="12036" width="27.7109375" style="320" customWidth="1"/>
    <col min="12037" max="12037" width="19.85546875" style="320" customWidth="1"/>
    <col min="12038" max="12038" width="28.42578125" style="320" customWidth="1"/>
    <col min="12039" max="12288" width="9.140625" style="320"/>
    <col min="12289" max="12289" width="30.7109375" style="320" customWidth="1"/>
    <col min="12290" max="12290" width="27.140625" style="320" customWidth="1"/>
    <col min="12291" max="12291" width="20" style="320" customWidth="1"/>
    <col min="12292" max="12292" width="27.7109375" style="320" customWidth="1"/>
    <col min="12293" max="12293" width="19.85546875" style="320" customWidth="1"/>
    <col min="12294" max="12294" width="28.42578125" style="320" customWidth="1"/>
    <col min="12295" max="12544" width="9.140625" style="320"/>
    <col min="12545" max="12545" width="30.7109375" style="320" customWidth="1"/>
    <col min="12546" max="12546" width="27.140625" style="320" customWidth="1"/>
    <col min="12547" max="12547" width="20" style="320" customWidth="1"/>
    <col min="12548" max="12548" width="27.7109375" style="320" customWidth="1"/>
    <col min="12549" max="12549" width="19.85546875" style="320" customWidth="1"/>
    <col min="12550" max="12550" width="28.42578125" style="320" customWidth="1"/>
    <col min="12551" max="12800" width="9.140625" style="320"/>
    <col min="12801" max="12801" width="30.7109375" style="320" customWidth="1"/>
    <col min="12802" max="12802" width="27.140625" style="320" customWidth="1"/>
    <col min="12803" max="12803" width="20" style="320" customWidth="1"/>
    <col min="12804" max="12804" width="27.7109375" style="320" customWidth="1"/>
    <col min="12805" max="12805" width="19.85546875" style="320" customWidth="1"/>
    <col min="12806" max="12806" width="28.42578125" style="320" customWidth="1"/>
    <col min="12807" max="13056" width="9.140625" style="320"/>
    <col min="13057" max="13057" width="30.7109375" style="320" customWidth="1"/>
    <col min="13058" max="13058" width="27.140625" style="320" customWidth="1"/>
    <col min="13059" max="13059" width="20" style="320" customWidth="1"/>
    <col min="13060" max="13060" width="27.7109375" style="320" customWidth="1"/>
    <col min="13061" max="13061" width="19.85546875" style="320" customWidth="1"/>
    <col min="13062" max="13062" width="28.42578125" style="320" customWidth="1"/>
    <col min="13063" max="13312" width="9.140625" style="320"/>
    <col min="13313" max="13313" width="30.7109375" style="320" customWidth="1"/>
    <col min="13314" max="13314" width="27.140625" style="320" customWidth="1"/>
    <col min="13315" max="13315" width="20" style="320" customWidth="1"/>
    <col min="13316" max="13316" width="27.7109375" style="320" customWidth="1"/>
    <col min="13317" max="13317" width="19.85546875" style="320" customWidth="1"/>
    <col min="13318" max="13318" width="28.42578125" style="320" customWidth="1"/>
    <col min="13319" max="13568" width="9.140625" style="320"/>
    <col min="13569" max="13569" width="30.7109375" style="320" customWidth="1"/>
    <col min="13570" max="13570" width="27.140625" style="320" customWidth="1"/>
    <col min="13571" max="13571" width="20" style="320" customWidth="1"/>
    <col min="13572" max="13572" width="27.7109375" style="320" customWidth="1"/>
    <col min="13573" max="13573" width="19.85546875" style="320" customWidth="1"/>
    <col min="13574" max="13574" width="28.42578125" style="320" customWidth="1"/>
    <col min="13575" max="13824" width="9.140625" style="320"/>
    <col min="13825" max="13825" width="30.7109375" style="320" customWidth="1"/>
    <col min="13826" max="13826" width="27.140625" style="320" customWidth="1"/>
    <col min="13827" max="13827" width="20" style="320" customWidth="1"/>
    <col min="13828" max="13828" width="27.7109375" style="320" customWidth="1"/>
    <col min="13829" max="13829" width="19.85546875" style="320" customWidth="1"/>
    <col min="13830" max="13830" width="28.42578125" style="320" customWidth="1"/>
    <col min="13831" max="14080" width="9.140625" style="320"/>
    <col min="14081" max="14081" width="30.7109375" style="320" customWidth="1"/>
    <col min="14082" max="14082" width="27.140625" style="320" customWidth="1"/>
    <col min="14083" max="14083" width="20" style="320" customWidth="1"/>
    <col min="14084" max="14084" width="27.7109375" style="320" customWidth="1"/>
    <col min="14085" max="14085" width="19.85546875" style="320" customWidth="1"/>
    <col min="14086" max="14086" width="28.42578125" style="320" customWidth="1"/>
    <col min="14087" max="14336" width="9.140625" style="320"/>
    <col min="14337" max="14337" width="30.7109375" style="320" customWidth="1"/>
    <col min="14338" max="14338" width="27.140625" style="320" customWidth="1"/>
    <col min="14339" max="14339" width="20" style="320" customWidth="1"/>
    <col min="14340" max="14340" width="27.7109375" style="320" customWidth="1"/>
    <col min="14341" max="14341" width="19.85546875" style="320" customWidth="1"/>
    <col min="14342" max="14342" width="28.42578125" style="320" customWidth="1"/>
    <col min="14343" max="14592" width="9.140625" style="320"/>
    <col min="14593" max="14593" width="30.7109375" style="320" customWidth="1"/>
    <col min="14594" max="14594" width="27.140625" style="320" customWidth="1"/>
    <col min="14595" max="14595" width="20" style="320" customWidth="1"/>
    <col min="14596" max="14596" width="27.7109375" style="320" customWidth="1"/>
    <col min="14597" max="14597" width="19.85546875" style="320" customWidth="1"/>
    <col min="14598" max="14598" width="28.42578125" style="320" customWidth="1"/>
    <col min="14599" max="14848" width="9.140625" style="320"/>
    <col min="14849" max="14849" width="30.7109375" style="320" customWidth="1"/>
    <col min="14850" max="14850" width="27.140625" style="320" customWidth="1"/>
    <col min="14851" max="14851" width="20" style="320" customWidth="1"/>
    <col min="14852" max="14852" width="27.7109375" style="320" customWidth="1"/>
    <col min="14853" max="14853" width="19.85546875" style="320" customWidth="1"/>
    <col min="14854" max="14854" width="28.42578125" style="320" customWidth="1"/>
    <col min="14855" max="15104" width="9.140625" style="320"/>
    <col min="15105" max="15105" width="30.7109375" style="320" customWidth="1"/>
    <col min="15106" max="15106" width="27.140625" style="320" customWidth="1"/>
    <col min="15107" max="15107" width="20" style="320" customWidth="1"/>
    <col min="15108" max="15108" width="27.7109375" style="320" customWidth="1"/>
    <col min="15109" max="15109" width="19.85546875" style="320" customWidth="1"/>
    <col min="15110" max="15110" width="28.42578125" style="320" customWidth="1"/>
    <col min="15111" max="15360" width="9.140625" style="320"/>
    <col min="15361" max="15361" width="30.7109375" style="320" customWidth="1"/>
    <col min="15362" max="15362" width="27.140625" style="320" customWidth="1"/>
    <col min="15363" max="15363" width="20" style="320" customWidth="1"/>
    <col min="15364" max="15364" width="27.7109375" style="320" customWidth="1"/>
    <col min="15365" max="15365" width="19.85546875" style="320" customWidth="1"/>
    <col min="15366" max="15366" width="28.42578125" style="320" customWidth="1"/>
    <col min="15367" max="15616" width="9.140625" style="320"/>
    <col min="15617" max="15617" width="30.7109375" style="320" customWidth="1"/>
    <col min="15618" max="15618" width="27.140625" style="320" customWidth="1"/>
    <col min="15619" max="15619" width="20" style="320" customWidth="1"/>
    <col min="15620" max="15620" width="27.7109375" style="320" customWidth="1"/>
    <col min="15621" max="15621" width="19.85546875" style="320" customWidth="1"/>
    <col min="15622" max="15622" width="28.42578125" style="320" customWidth="1"/>
    <col min="15623" max="15872" width="9.140625" style="320"/>
    <col min="15873" max="15873" width="30.7109375" style="320" customWidth="1"/>
    <col min="15874" max="15874" width="27.140625" style="320" customWidth="1"/>
    <col min="15875" max="15875" width="20" style="320" customWidth="1"/>
    <col min="15876" max="15876" width="27.7109375" style="320" customWidth="1"/>
    <col min="15877" max="15877" width="19.85546875" style="320" customWidth="1"/>
    <col min="15878" max="15878" width="28.42578125" style="320" customWidth="1"/>
    <col min="15879" max="16128" width="9.140625" style="320"/>
    <col min="16129" max="16129" width="30.7109375" style="320" customWidth="1"/>
    <col min="16130" max="16130" width="27.140625" style="320" customWidth="1"/>
    <col min="16131" max="16131" width="20" style="320" customWidth="1"/>
    <col min="16132" max="16132" width="27.7109375" style="320" customWidth="1"/>
    <col min="16133" max="16133" width="19.85546875" style="320" customWidth="1"/>
    <col min="16134" max="16134" width="28.42578125" style="320" customWidth="1"/>
    <col min="16135" max="16384" width="9.140625" style="320"/>
  </cols>
  <sheetData>
    <row r="1" spans="1:10" ht="20.100000000000001" customHeight="1">
      <c r="A1" s="318"/>
      <c r="B1" s="1137" t="s">
        <v>280</v>
      </c>
      <c r="C1" s="1138"/>
      <c r="D1" s="1141" t="s">
        <v>281</v>
      </c>
      <c r="E1" s="1142"/>
      <c r="F1" s="319" t="s">
        <v>282</v>
      </c>
    </row>
    <row r="2" spans="1:10" ht="20.100000000000001" customHeight="1">
      <c r="A2" s="321"/>
      <c r="B2" s="1139"/>
      <c r="C2" s="1140"/>
      <c r="D2" s="1143" t="str">
        <f>'F1 Forecast Consultant'!D2:E2</f>
        <v>Safety Improvement</v>
      </c>
      <c r="E2" s="1144"/>
      <c r="F2" s="322" t="s">
        <v>294</v>
      </c>
      <c r="H2" s="655"/>
    </row>
    <row r="3" spans="1:10" ht="20.100000000000001" customHeight="1">
      <c r="A3" s="321"/>
      <c r="B3" s="1145" t="s">
        <v>284</v>
      </c>
      <c r="C3" s="1147" t="str">
        <f>'F1 Forecast Consultant'!C3</f>
        <v>Western</v>
      </c>
      <c r="D3" s="323" t="s">
        <v>285</v>
      </c>
      <c r="E3" s="710" t="str">
        <f>DATA!C1004</f>
        <v>NRA.N.011-050-2012/1F</v>
      </c>
      <c r="F3" s="361"/>
    </row>
    <row r="4" spans="1:10" ht="20.25" customHeight="1" thickBot="1">
      <c r="A4" s="324"/>
      <c r="B4" s="1146"/>
      <c r="C4" s="1148"/>
      <c r="D4" s="325" t="s">
        <v>286</v>
      </c>
      <c r="E4" s="326"/>
      <c r="F4" s="327"/>
    </row>
    <row r="5" spans="1:10" ht="20.100000000000001" customHeight="1">
      <c r="A5" s="1116" t="s">
        <v>690</v>
      </c>
      <c r="B5" s="1117"/>
      <c r="C5" s="1117"/>
      <c r="D5" s="1117"/>
      <c r="E5" s="1117"/>
      <c r="F5" s="1118"/>
    </row>
    <row r="6" spans="1:10" ht="20.100000000000001" customHeight="1">
      <c r="A6" s="1119"/>
      <c r="B6" s="1120"/>
      <c r="C6" s="1120"/>
      <c r="D6" s="1120"/>
      <c r="E6" s="1120"/>
      <c r="F6" s="1121"/>
    </row>
    <row r="7" spans="1:10" ht="20.100000000000001" customHeight="1" thickBot="1">
      <c r="A7" s="1122"/>
      <c r="B7" s="1123"/>
      <c r="C7" s="1123"/>
      <c r="D7" s="1123"/>
      <c r="E7" s="1123"/>
      <c r="F7" s="1124"/>
    </row>
    <row r="8" spans="1:10" ht="20.100000000000001" customHeight="1">
      <c r="A8" s="328" t="s">
        <v>287</v>
      </c>
      <c r="B8" s="664" t="str">
        <f>E3</f>
        <v>NRA.N.011-050-2012/1F</v>
      </c>
      <c r="C8" s="665"/>
      <c r="D8" s="665"/>
      <c r="E8" s="665"/>
      <c r="F8" s="666"/>
    </row>
    <row r="9" spans="1:10" ht="20.100000000000001" customHeight="1">
      <c r="A9" s="1125" t="s">
        <v>288</v>
      </c>
      <c r="B9" s="1127" t="str">
        <f>DATA!C1005</f>
        <v>CONSULTING ENGINEERING SERVICES FOR THE PRELIMINARY DESIGN REVIEW,DETAIL DESIGN, CONTRACT DOCUMENTATION AND CONSTRUCTION MONITORING OF THE ERMELO RING ROAD</v>
      </c>
      <c r="C9" s="1128"/>
      <c r="D9" s="1128"/>
      <c r="E9" s="1128"/>
      <c r="F9" s="1129"/>
    </row>
    <row r="10" spans="1:10" ht="18.75" customHeight="1">
      <c r="A10" s="1126"/>
      <c r="B10" s="1130"/>
      <c r="C10" s="1131"/>
      <c r="D10" s="1131"/>
      <c r="E10" s="1131"/>
      <c r="F10" s="1132"/>
    </row>
    <row r="11" spans="1:10" ht="20.100000000000001" customHeight="1">
      <c r="A11" s="329" t="s">
        <v>289</v>
      </c>
      <c r="B11" s="1133" t="str">
        <f>IF('F1 Forecast Consultant'!B11:C11="","",'F1 Forecast Consultant'!B11:C11)</f>
        <v/>
      </c>
      <c r="C11" s="1134"/>
      <c r="D11" s="331" t="s">
        <v>290</v>
      </c>
      <c r="E11" s="1135" t="str">
        <f>IF('F1 Forecast Consultant'!E11:F11="","",'F1 Forecast Consultant'!E11:F11)</f>
        <v/>
      </c>
      <c r="F11" s="1136"/>
    </row>
    <row r="12" spans="1:10" ht="20.100000000000001" customHeight="1">
      <c r="A12" s="330" t="s">
        <v>291</v>
      </c>
      <c r="B12" s="1097" t="str">
        <f>'All Hours'!D1</f>
        <v>PLEASE INSERT TENDERER NAME ON INPUT DATA SHEET</v>
      </c>
      <c r="C12" s="1098"/>
      <c r="D12" s="1098"/>
      <c r="E12" s="1098"/>
      <c r="F12" s="1099"/>
    </row>
    <row r="13" spans="1:10" ht="20.100000000000001" customHeight="1">
      <c r="A13" s="331" t="s">
        <v>292</v>
      </c>
      <c r="B13" s="658">
        <f>'F1 Forecast Consultant'!B13</f>
        <v>127533449.8</v>
      </c>
      <c r="C13" s="663" t="s">
        <v>293</v>
      </c>
      <c r="D13" s="656"/>
      <c r="E13" s="656"/>
      <c r="F13" s="657"/>
    </row>
    <row r="14" spans="1:10" ht="20.100000000000001" customHeight="1">
      <c r="A14" s="330" t="s">
        <v>294</v>
      </c>
      <c r="B14" s="1161"/>
      <c r="C14" s="1162"/>
      <c r="D14" s="1163"/>
      <c r="E14" s="332"/>
      <c r="F14" s="333"/>
    </row>
    <row r="15" spans="1:10" ht="20.100000000000001" customHeight="1">
      <c r="A15" s="329" t="s">
        <v>289</v>
      </c>
      <c r="B15" s="1164"/>
      <c r="C15" s="1165"/>
      <c r="D15" s="331" t="s">
        <v>290</v>
      </c>
      <c r="E15" s="1159"/>
      <c r="F15" s="1160"/>
    </row>
    <row r="16" spans="1:10" ht="36" customHeight="1" thickBot="1">
      <c r="A16" s="334" t="s">
        <v>295</v>
      </c>
      <c r="B16" s="335">
        <f>E16*(1+DATA!$C$1032)</f>
        <v>5635000000</v>
      </c>
      <c r="C16" s="336" t="s">
        <v>293</v>
      </c>
      <c r="D16" s="921" t="s">
        <v>873</v>
      </c>
      <c r="E16" s="1166">
        <f>DATA!J1017</f>
        <v>4900000000</v>
      </c>
      <c r="F16" s="1167"/>
      <c r="J16" s="938"/>
    </row>
    <row r="17" spans="1:6" ht="16.5" customHeight="1">
      <c r="A17" s="1105" t="s">
        <v>296</v>
      </c>
      <c r="B17" s="1108" t="s">
        <v>297</v>
      </c>
      <c r="C17" s="1109"/>
      <c r="D17" s="1109"/>
      <c r="E17" s="1110"/>
      <c r="F17" s="337" t="s">
        <v>298</v>
      </c>
    </row>
    <row r="18" spans="1:6" ht="14.25" customHeight="1">
      <c r="A18" s="1106"/>
      <c r="B18" s="1111" t="s">
        <v>293</v>
      </c>
      <c r="C18" s="1112"/>
      <c r="D18" s="1112"/>
      <c r="E18" s="1113"/>
      <c r="F18" s="338" t="s">
        <v>293</v>
      </c>
    </row>
    <row r="19" spans="1:6" ht="16.5" customHeight="1" thickBot="1">
      <c r="A19" s="1107"/>
      <c r="B19" s="671" t="s">
        <v>299</v>
      </c>
      <c r="C19" s="672" t="s">
        <v>300</v>
      </c>
      <c r="D19" s="341" t="s">
        <v>301</v>
      </c>
      <c r="E19" s="340" t="s">
        <v>50</v>
      </c>
      <c r="F19" s="342"/>
    </row>
    <row r="20" spans="1:6" ht="20.100000000000001" customHeight="1">
      <c r="A20" s="343">
        <f>'F1 Forecast Combined'!A20</f>
        <v>45017</v>
      </c>
      <c r="B20" s="673"/>
      <c r="C20" s="674"/>
      <c r="D20" s="843"/>
      <c r="E20" s="345">
        <f t="shared" ref="E20:E31" si="0">SUM(D20:D20)</f>
        <v>0</v>
      </c>
      <c r="F20" s="347"/>
    </row>
    <row r="21" spans="1:6" ht="20.100000000000001" customHeight="1">
      <c r="A21" s="343">
        <f>'F1 Forecast Combined'!A21</f>
        <v>45047</v>
      </c>
      <c r="B21" s="673"/>
      <c r="C21" s="674"/>
      <c r="D21" s="843"/>
      <c r="E21" s="345">
        <f t="shared" si="0"/>
        <v>0</v>
      </c>
      <c r="F21" s="347"/>
    </row>
    <row r="22" spans="1:6" ht="20.100000000000001" customHeight="1">
      <c r="A22" s="343">
        <f>'F1 Forecast Combined'!A22</f>
        <v>45078</v>
      </c>
      <c r="B22" s="673"/>
      <c r="C22" s="674"/>
      <c r="D22" s="843"/>
      <c r="E22" s="345">
        <f t="shared" si="0"/>
        <v>0</v>
      </c>
      <c r="F22" s="347"/>
    </row>
    <row r="23" spans="1:6" ht="20.100000000000001" customHeight="1">
      <c r="A23" s="343">
        <f>'F1 Forecast Combined'!A23</f>
        <v>45108</v>
      </c>
      <c r="B23" s="673"/>
      <c r="C23" s="674"/>
      <c r="D23" s="843"/>
      <c r="E23" s="345">
        <f t="shared" si="0"/>
        <v>0</v>
      </c>
      <c r="F23" s="347"/>
    </row>
    <row r="24" spans="1:6" ht="20.100000000000001" customHeight="1">
      <c r="A24" s="343">
        <f>'F1 Forecast Combined'!A24</f>
        <v>45139</v>
      </c>
      <c r="B24" s="673"/>
      <c r="C24" s="674"/>
      <c r="D24" s="843"/>
      <c r="E24" s="345">
        <f t="shared" si="0"/>
        <v>0</v>
      </c>
      <c r="F24" s="347"/>
    </row>
    <row r="25" spans="1:6" ht="20.100000000000001" customHeight="1">
      <c r="A25" s="343">
        <f>'F1 Forecast Combined'!A25</f>
        <v>45170</v>
      </c>
      <c r="B25" s="673"/>
      <c r="C25" s="674"/>
      <c r="D25" s="843"/>
      <c r="E25" s="345">
        <f t="shared" si="0"/>
        <v>0</v>
      </c>
      <c r="F25" s="347"/>
    </row>
    <row r="26" spans="1:6" ht="20.100000000000001" customHeight="1">
      <c r="A26" s="343">
        <f>'F1 Forecast Combined'!A26</f>
        <v>45200</v>
      </c>
      <c r="B26" s="673"/>
      <c r="C26" s="674"/>
      <c r="D26" s="843"/>
      <c r="E26" s="345">
        <f t="shared" si="0"/>
        <v>0</v>
      </c>
      <c r="F26" s="347"/>
    </row>
    <row r="27" spans="1:6" ht="20.100000000000001" customHeight="1">
      <c r="A27" s="343">
        <f>'F1 Forecast Combined'!A27</f>
        <v>45231</v>
      </c>
      <c r="B27" s="675"/>
      <c r="C27" s="674"/>
      <c r="D27" s="843"/>
      <c r="E27" s="345">
        <f t="shared" si="0"/>
        <v>0</v>
      </c>
      <c r="F27" s="347"/>
    </row>
    <row r="28" spans="1:6" ht="20.100000000000001" customHeight="1">
      <c r="A28" s="343">
        <f>'F1 Forecast Combined'!A28</f>
        <v>45261</v>
      </c>
      <c r="B28" s="673"/>
      <c r="C28" s="674"/>
      <c r="D28" s="843"/>
      <c r="E28" s="345">
        <f t="shared" si="0"/>
        <v>0</v>
      </c>
      <c r="F28" s="347"/>
    </row>
    <row r="29" spans="1:6" ht="20.100000000000001" customHeight="1">
      <c r="A29" s="343">
        <f>'F1 Forecast Combined'!A29</f>
        <v>45292</v>
      </c>
      <c r="B29" s="673"/>
      <c r="C29" s="674"/>
      <c r="D29" s="843"/>
      <c r="E29" s="345">
        <f t="shared" si="0"/>
        <v>0</v>
      </c>
      <c r="F29" s="347"/>
    </row>
    <row r="30" spans="1:6" ht="20.100000000000001" customHeight="1">
      <c r="A30" s="343">
        <f>'F1 Forecast Combined'!A30</f>
        <v>45323</v>
      </c>
      <c r="B30" s="673"/>
      <c r="C30" s="674"/>
      <c r="D30" s="843"/>
      <c r="E30" s="345">
        <f t="shared" si="0"/>
        <v>0</v>
      </c>
      <c r="F30" s="347"/>
    </row>
    <row r="31" spans="1:6" ht="20.100000000000001" customHeight="1">
      <c r="A31" s="343">
        <f>'F1 Forecast Combined'!A31</f>
        <v>45352</v>
      </c>
      <c r="B31" s="673"/>
      <c r="C31" s="676"/>
      <c r="D31" s="843"/>
      <c r="E31" s="348">
        <f t="shared" si="0"/>
        <v>0</v>
      </c>
      <c r="F31" s="347"/>
    </row>
    <row r="32" spans="1:6" ht="20.100000000000001" customHeight="1" thickBot="1">
      <c r="A32" s="349" t="str">
        <f>'F1 Forecast Combined'!A32</f>
        <v>Sub-Total 2023/2024</v>
      </c>
      <c r="B32" s="668"/>
      <c r="C32" s="668"/>
      <c r="D32" s="350">
        <f>SUM(D20:D31)</f>
        <v>0</v>
      </c>
      <c r="E32" s="350">
        <f>SUM(E20:E31)</f>
        <v>0</v>
      </c>
      <c r="F32" s="351">
        <f>SUM(F20:F31)</f>
        <v>0</v>
      </c>
    </row>
    <row r="33" spans="1:6" ht="20.100000000000001" customHeight="1" thickTop="1">
      <c r="A33" s="343">
        <f>'F1 Forecast Combined'!A33</f>
        <v>45383</v>
      </c>
      <c r="B33" s="677"/>
      <c r="C33" s="678"/>
      <c r="D33" s="844"/>
      <c r="E33" s="352">
        <f t="shared" ref="E33:E44" si="1">SUM(D33:D33)</f>
        <v>0</v>
      </c>
      <c r="F33" s="347"/>
    </row>
    <row r="34" spans="1:6" ht="20.100000000000001" customHeight="1">
      <c r="A34" s="343">
        <f>'F1 Forecast Combined'!A34</f>
        <v>45413</v>
      </c>
      <c r="B34" s="677"/>
      <c r="C34" s="674"/>
      <c r="D34" s="844"/>
      <c r="E34" s="352">
        <f t="shared" si="1"/>
        <v>0</v>
      </c>
      <c r="F34" s="347"/>
    </row>
    <row r="35" spans="1:6" ht="20.100000000000001" customHeight="1">
      <c r="A35" s="343">
        <f>'F1 Forecast Combined'!A35</f>
        <v>45444</v>
      </c>
      <c r="B35" s="677"/>
      <c r="C35" s="678"/>
      <c r="D35" s="844"/>
      <c r="E35" s="352">
        <f t="shared" si="1"/>
        <v>0</v>
      </c>
      <c r="F35" s="347"/>
    </row>
    <row r="36" spans="1:6" ht="20.100000000000001" customHeight="1">
      <c r="A36" s="343">
        <f>'F1 Forecast Combined'!A36</f>
        <v>45474</v>
      </c>
      <c r="B36" s="677"/>
      <c r="C36" s="674"/>
      <c r="D36" s="844"/>
      <c r="E36" s="352">
        <f t="shared" si="1"/>
        <v>0</v>
      </c>
      <c r="F36" s="347"/>
    </row>
    <row r="37" spans="1:6" ht="20.100000000000001" customHeight="1">
      <c r="A37" s="343">
        <f>'F1 Forecast Combined'!A37</f>
        <v>45505</v>
      </c>
      <c r="B37" s="677"/>
      <c r="C37" s="674"/>
      <c r="D37" s="844"/>
      <c r="E37" s="352">
        <f t="shared" si="1"/>
        <v>0</v>
      </c>
      <c r="F37" s="347"/>
    </row>
    <row r="38" spans="1:6" ht="20.100000000000001" customHeight="1">
      <c r="A38" s="343">
        <f>'F1 Forecast Combined'!A38</f>
        <v>45536</v>
      </c>
      <c r="B38" s="677"/>
      <c r="C38" s="674"/>
      <c r="D38" s="844"/>
      <c r="E38" s="352">
        <f t="shared" si="1"/>
        <v>0</v>
      </c>
      <c r="F38" s="347"/>
    </row>
    <row r="39" spans="1:6" ht="20.100000000000001" customHeight="1">
      <c r="A39" s="343">
        <f>'F1 Forecast Combined'!A39</f>
        <v>45566</v>
      </c>
      <c r="B39" s="677"/>
      <c r="C39" s="674"/>
      <c r="D39" s="844"/>
      <c r="E39" s="352">
        <f t="shared" si="1"/>
        <v>0</v>
      </c>
      <c r="F39" s="347"/>
    </row>
    <row r="40" spans="1:6" ht="20.100000000000001" customHeight="1">
      <c r="A40" s="343">
        <f>'F1 Forecast Combined'!A40</f>
        <v>45597</v>
      </c>
      <c r="B40" s="677"/>
      <c r="C40" s="674"/>
      <c r="D40" s="844"/>
      <c r="E40" s="352">
        <f t="shared" si="1"/>
        <v>0</v>
      </c>
      <c r="F40" s="347"/>
    </row>
    <row r="41" spans="1:6" ht="20.100000000000001" customHeight="1">
      <c r="A41" s="343">
        <f>'F1 Forecast Combined'!A41</f>
        <v>45627</v>
      </c>
      <c r="B41" s="677"/>
      <c r="C41" s="674"/>
      <c r="D41" s="844"/>
      <c r="E41" s="352">
        <f t="shared" si="1"/>
        <v>0</v>
      </c>
      <c r="F41" s="347"/>
    </row>
    <row r="42" spans="1:6" ht="20.100000000000001" customHeight="1">
      <c r="A42" s="343">
        <f>'F1 Forecast Combined'!A42</f>
        <v>45658</v>
      </c>
      <c r="B42" s="677"/>
      <c r="C42" s="674"/>
      <c r="D42" s="844"/>
      <c r="E42" s="352">
        <f t="shared" si="1"/>
        <v>0</v>
      </c>
      <c r="F42" s="347"/>
    </row>
    <row r="43" spans="1:6" ht="20.100000000000001" customHeight="1">
      <c r="A43" s="343">
        <f>'F1 Forecast Combined'!A43</f>
        <v>45689</v>
      </c>
      <c r="B43" s="677"/>
      <c r="C43" s="674"/>
      <c r="D43" s="844"/>
      <c r="E43" s="352">
        <f t="shared" si="1"/>
        <v>0</v>
      </c>
      <c r="F43" s="347"/>
    </row>
    <row r="44" spans="1:6" ht="20.100000000000001" customHeight="1">
      <c r="A44" s="343">
        <f>'F1 Forecast Combined'!A44</f>
        <v>45717</v>
      </c>
      <c r="B44" s="677"/>
      <c r="C44" s="674"/>
      <c r="D44" s="844"/>
      <c r="E44" s="352">
        <f t="shared" si="1"/>
        <v>0</v>
      </c>
      <c r="F44" s="347"/>
    </row>
    <row r="45" spans="1:6" ht="20.100000000000001" customHeight="1" thickBot="1">
      <c r="A45" s="353" t="str">
        <f>'F1 Forecast Combined'!A45</f>
        <v>Sub-Total 2024/2025</v>
      </c>
      <c r="B45" s="669"/>
      <c r="C45" s="669"/>
      <c r="D45" s="354">
        <f>SUM(D33:D44)</f>
        <v>0</v>
      </c>
      <c r="E45" s="354">
        <f>SUM(E33:E44)</f>
        <v>0</v>
      </c>
      <c r="F45" s="355">
        <f>SUM(F33:F44)</f>
        <v>0</v>
      </c>
    </row>
    <row r="46" spans="1:6" ht="20.100000000000001" customHeight="1" thickTop="1">
      <c r="A46" s="343">
        <f>'F1 Forecast Combined'!A46</f>
        <v>45748</v>
      </c>
      <c r="B46" s="677"/>
      <c r="C46" s="674"/>
      <c r="D46" s="844"/>
      <c r="E46" s="352">
        <f t="shared" ref="E46:E57" si="2">SUM(D46:D46)</f>
        <v>0</v>
      </c>
      <c r="F46" s="347"/>
    </row>
    <row r="47" spans="1:6" ht="20.100000000000001" customHeight="1">
      <c r="A47" s="343">
        <f>'F1 Forecast Combined'!A47</f>
        <v>45778</v>
      </c>
      <c r="B47" s="677"/>
      <c r="C47" s="674"/>
      <c r="D47" s="844"/>
      <c r="E47" s="352">
        <f t="shared" si="2"/>
        <v>0</v>
      </c>
      <c r="F47" s="347"/>
    </row>
    <row r="48" spans="1:6" ht="20.100000000000001" customHeight="1">
      <c r="A48" s="343">
        <f>'F1 Forecast Combined'!A48</f>
        <v>45809</v>
      </c>
      <c r="B48" s="677"/>
      <c r="C48" s="678"/>
      <c r="D48" s="844"/>
      <c r="E48" s="352">
        <f t="shared" si="2"/>
        <v>0</v>
      </c>
      <c r="F48" s="347"/>
    </row>
    <row r="49" spans="1:6" ht="20.100000000000001" customHeight="1">
      <c r="A49" s="343">
        <f>'F1 Forecast Combined'!A49</f>
        <v>45839</v>
      </c>
      <c r="B49" s="677"/>
      <c r="C49" s="678"/>
      <c r="D49" s="844"/>
      <c r="E49" s="352">
        <f t="shared" si="2"/>
        <v>0</v>
      </c>
      <c r="F49" s="347"/>
    </row>
    <row r="50" spans="1:6" ht="20.100000000000001" customHeight="1">
      <c r="A50" s="343">
        <f>'F1 Forecast Combined'!A50</f>
        <v>45870</v>
      </c>
      <c r="B50" s="677"/>
      <c r="C50" s="678"/>
      <c r="D50" s="844"/>
      <c r="E50" s="352">
        <f t="shared" si="2"/>
        <v>0</v>
      </c>
      <c r="F50" s="347"/>
    </row>
    <row r="51" spans="1:6" ht="20.100000000000001" customHeight="1">
      <c r="A51" s="343">
        <f>'F1 Forecast Combined'!A51</f>
        <v>45901</v>
      </c>
      <c r="B51" s="677"/>
      <c r="C51" s="678"/>
      <c r="D51" s="844"/>
      <c r="E51" s="352">
        <f t="shared" si="2"/>
        <v>0</v>
      </c>
      <c r="F51" s="347"/>
    </row>
    <row r="52" spans="1:6" ht="20.100000000000001" customHeight="1">
      <c r="A52" s="343">
        <f>'F1 Forecast Combined'!A52</f>
        <v>45931</v>
      </c>
      <c r="B52" s="677"/>
      <c r="C52" s="678"/>
      <c r="D52" s="844"/>
      <c r="E52" s="352">
        <f t="shared" si="2"/>
        <v>0</v>
      </c>
      <c r="F52" s="347"/>
    </row>
    <row r="53" spans="1:6" ht="20.100000000000001" customHeight="1">
      <c r="A53" s="343">
        <f>'F1 Forecast Combined'!A53</f>
        <v>45962</v>
      </c>
      <c r="B53" s="677"/>
      <c r="C53" s="678"/>
      <c r="D53" s="844"/>
      <c r="E53" s="352">
        <f t="shared" si="2"/>
        <v>0</v>
      </c>
      <c r="F53" s="347"/>
    </row>
    <row r="54" spans="1:6" ht="20.100000000000001" customHeight="1">
      <c r="A54" s="343">
        <f>'F1 Forecast Combined'!A54</f>
        <v>45992</v>
      </c>
      <c r="B54" s="677"/>
      <c r="C54" s="678"/>
      <c r="D54" s="844"/>
      <c r="E54" s="352">
        <f t="shared" si="2"/>
        <v>0</v>
      </c>
      <c r="F54" s="347"/>
    </row>
    <row r="55" spans="1:6" ht="20.100000000000001" customHeight="1">
      <c r="A55" s="343">
        <f>'F1 Forecast Combined'!A55</f>
        <v>46023</v>
      </c>
      <c r="B55" s="677"/>
      <c r="C55" s="678"/>
      <c r="D55" s="844"/>
      <c r="E55" s="352">
        <f t="shared" si="2"/>
        <v>0</v>
      </c>
      <c r="F55" s="347"/>
    </row>
    <row r="56" spans="1:6" ht="20.100000000000001" customHeight="1">
      <c r="A56" s="343">
        <f>'F1 Forecast Combined'!A56</f>
        <v>46054</v>
      </c>
      <c r="B56" s="677"/>
      <c r="C56" s="678"/>
      <c r="D56" s="844"/>
      <c r="E56" s="352">
        <f t="shared" si="2"/>
        <v>0</v>
      </c>
      <c r="F56" s="347"/>
    </row>
    <row r="57" spans="1:6" ht="20.100000000000001" customHeight="1">
      <c r="A57" s="343">
        <f>'F1 Forecast Combined'!A57</f>
        <v>46082</v>
      </c>
      <c r="B57" s="677"/>
      <c r="C57" s="678"/>
      <c r="D57" s="844"/>
      <c r="E57" s="352">
        <f t="shared" si="2"/>
        <v>0</v>
      </c>
      <c r="F57" s="347"/>
    </row>
    <row r="58" spans="1:6" ht="20.100000000000001" customHeight="1" thickBot="1">
      <c r="A58" s="353" t="str">
        <f>'F1 Forecast Combined'!A58</f>
        <v>Sub-Total 2025/2026</v>
      </c>
      <c r="B58" s="669"/>
      <c r="C58" s="669"/>
      <c r="D58" s="354">
        <f>SUM(D46:D57)</f>
        <v>0</v>
      </c>
      <c r="E58" s="354">
        <f>SUM(E46:E57)</f>
        <v>0</v>
      </c>
      <c r="F58" s="355">
        <f>SUM(F46:F57)</f>
        <v>0</v>
      </c>
    </row>
    <row r="59" spans="1:6" ht="20.100000000000001" customHeight="1" thickTop="1" thickBot="1">
      <c r="A59" s="356" t="s">
        <v>305</v>
      </c>
      <c r="B59" s="670"/>
      <c r="C59" s="670"/>
      <c r="D59" s="357">
        <f>+D32+D45+D58</f>
        <v>0</v>
      </c>
      <c r="E59" s="357">
        <f>+E32+E45+E58</f>
        <v>0</v>
      </c>
      <c r="F59" s="358">
        <f>+F32+F45+F58</f>
        <v>0</v>
      </c>
    </row>
    <row r="60" spans="1:6" ht="20.100000000000001" customHeight="1">
      <c r="A60" s="359" t="s">
        <v>306</v>
      </c>
      <c r="B60" s="359" t="s">
        <v>307</v>
      </c>
    </row>
    <row r="62" spans="1:6" ht="20.100000000000001" customHeight="1">
      <c r="C62" s="360"/>
    </row>
    <row r="63" spans="1:6" ht="20.100000000000001" customHeight="1" thickBot="1"/>
    <row r="64" spans="1:6" ht="20.100000000000001" customHeight="1">
      <c r="A64" s="318"/>
      <c r="B64" s="1137" t="s">
        <v>280</v>
      </c>
      <c r="C64" s="1138"/>
      <c r="D64" s="1141" t="s">
        <v>281</v>
      </c>
      <c r="E64" s="1142"/>
      <c r="F64" s="319" t="s">
        <v>282</v>
      </c>
    </row>
    <row r="65" spans="1:6" ht="20.100000000000001" customHeight="1">
      <c r="A65" s="321"/>
      <c r="B65" s="1139"/>
      <c r="C65" s="1140"/>
      <c r="D65" s="1143" t="str">
        <f>D2</f>
        <v>Safety Improvement</v>
      </c>
      <c r="E65" s="1144"/>
      <c r="F65" s="322" t="s">
        <v>294</v>
      </c>
    </row>
    <row r="66" spans="1:6" ht="20.100000000000001" customHeight="1">
      <c r="A66" s="321"/>
      <c r="B66" s="1145" t="s">
        <v>284</v>
      </c>
      <c r="C66" s="1147" t="str">
        <f>C3</f>
        <v>Western</v>
      </c>
      <c r="D66" s="323" t="s">
        <v>285</v>
      </c>
      <c r="E66" s="710" t="str">
        <f>E3</f>
        <v>NRA.N.011-050-2012/1F</v>
      </c>
      <c r="F66" s="361"/>
    </row>
    <row r="67" spans="1:6" ht="20.100000000000001" customHeight="1" thickBot="1">
      <c r="A67" s="324"/>
      <c r="B67" s="1146"/>
      <c r="C67" s="1148"/>
      <c r="D67" s="325" t="s">
        <v>286</v>
      </c>
      <c r="E67" s="845">
        <f>E4</f>
        <v>0</v>
      </c>
      <c r="F67" s="327"/>
    </row>
    <row r="68" spans="1:6" ht="20.100000000000001" customHeight="1">
      <c r="A68" s="1116" t="s">
        <v>689</v>
      </c>
      <c r="B68" s="1117"/>
      <c r="C68" s="1117"/>
      <c r="D68" s="1117"/>
      <c r="E68" s="1117"/>
      <c r="F68" s="1118"/>
    </row>
    <row r="69" spans="1:6" ht="20.100000000000001" customHeight="1">
      <c r="A69" s="1119"/>
      <c r="B69" s="1120"/>
      <c r="C69" s="1120"/>
      <c r="D69" s="1120"/>
      <c r="E69" s="1120"/>
      <c r="F69" s="1121"/>
    </row>
    <row r="70" spans="1:6" ht="20.100000000000001" customHeight="1" thickBot="1">
      <c r="A70" s="1122"/>
      <c r="B70" s="1123"/>
      <c r="C70" s="1123"/>
      <c r="D70" s="1123"/>
      <c r="E70" s="1123"/>
      <c r="F70" s="1124"/>
    </row>
    <row r="71" spans="1:6" ht="20.100000000000001" customHeight="1">
      <c r="A71" s="328" t="s">
        <v>287</v>
      </c>
      <c r="B71" s="664" t="str">
        <f>E66</f>
        <v>NRA.N.011-050-2012/1F</v>
      </c>
      <c r="C71" s="665"/>
      <c r="D71" s="665"/>
      <c r="E71" s="665"/>
      <c r="F71" s="666"/>
    </row>
    <row r="72" spans="1:6" ht="20.100000000000001" customHeight="1">
      <c r="A72" s="1125" t="s">
        <v>288</v>
      </c>
      <c r="B72" s="1127" t="str">
        <f>B9</f>
        <v>CONSULTING ENGINEERING SERVICES FOR THE PRELIMINARY DESIGN REVIEW,DETAIL DESIGN, CONTRACT DOCUMENTATION AND CONSTRUCTION MONITORING OF THE ERMELO RING ROAD</v>
      </c>
      <c r="C72" s="1128"/>
      <c r="D72" s="1128"/>
      <c r="E72" s="1128"/>
      <c r="F72" s="1129"/>
    </row>
    <row r="73" spans="1:6" ht="20.100000000000001" customHeight="1">
      <c r="A73" s="1126"/>
      <c r="B73" s="1130"/>
      <c r="C73" s="1131"/>
      <c r="D73" s="1131"/>
      <c r="E73" s="1131"/>
      <c r="F73" s="1132"/>
    </row>
    <row r="74" spans="1:6" ht="20.100000000000001" customHeight="1">
      <c r="A74" s="329" t="s">
        <v>289</v>
      </c>
      <c r="B74" s="1133" t="str">
        <f t="shared" ref="B74:B79" si="3">B11</f>
        <v/>
      </c>
      <c r="C74" s="1134"/>
      <c r="D74" s="331" t="s">
        <v>290</v>
      </c>
      <c r="E74" s="1135" t="str">
        <f>E11</f>
        <v/>
      </c>
      <c r="F74" s="1136"/>
    </row>
    <row r="75" spans="1:6" ht="20.100000000000001" customHeight="1">
      <c r="A75" s="330" t="s">
        <v>291</v>
      </c>
      <c r="B75" s="1097" t="str">
        <f t="shared" si="3"/>
        <v>PLEASE INSERT TENDERER NAME ON INPUT DATA SHEET</v>
      </c>
      <c r="C75" s="1098"/>
      <c r="D75" s="1098"/>
      <c r="E75" s="1098"/>
      <c r="F75" s="1099"/>
    </row>
    <row r="76" spans="1:6" ht="20.100000000000001" customHeight="1">
      <c r="A76" s="331" t="s">
        <v>292</v>
      </c>
      <c r="B76" s="658">
        <f t="shared" si="3"/>
        <v>127533449.8</v>
      </c>
      <c r="C76" s="663" t="s">
        <v>293</v>
      </c>
      <c r="D76" s="656"/>
      <c r="E76" s="656"/>
      <c r="F76" s="657"/>
    </row>
    <row r="77" spans="1:6" ht="20.100000000000001" customHeight="1">
      <c r="A77" s="330" t="s">
        <v>294</v>
      </c>
      <c r="B77" s="1100">
        <f t="shared" si="3"/>
        <v>0</v>
      </c>
      <c r="C77" s="1101"/>
      <c r="D77" s="1102"/>
      <c r="E77" s="656"/>
      <c r="F77" s="657"/>
    </row>
    <row r="78" spans="1:6" ht="20.100000000000001" customHeight="1">
      <c r="A78" s="329" t="s">
        <v>289</v>
      </c>
      <c r="B78" s="1149">
        <f t="shared" si="3"/>
        <v>0</v>
      </c>
      <c r="C78" s="1150"/>
      <c r="D78" s="331" t="s">
        <v>290</v>
      </c>
      <c r="E78" s="1103">
        <f>E15</f>
        <v>0</v>
      </c>
      <c r="F78" s="1104"/>
    </row>
    <row r="79" spans="1:6" ht="36.75" customHeight="1" thickBot="1">
      <c r="A79" s="334" t="s">
        <v>295</v>
      </c>
      <c r="B79" s="659">
        <f t="shared" si="3"/>
        <v>5635000000</v>
      </c>
      <c r="C79" s="660" t="s">
        <v>293</v>
      </c>
      <c r="D79" s="656"/>
      <c r="E79" s="661"/>
      <c r="F79" s="662"/>
    </row>
    <row r="80" spans="1:6" ht="20.100000000000001" customHeight="1">
      <c r="A80" s="1105" t="s">
        <v>296</v>
      </c>
      <c r="B80" s="1108" t="s">
        <v>297</v>
      </c>
      <c r="C80" s="1109"/>
      <c r="D80" s="1109"/>
      <c r="E80" s="1110"/>
      <c r="F80" s="337" t="s">
        <v>298</v>
      </c>
    </row>
    <row r="81" spans="1:6" ht="20.100000000000001" customHeight="1">
      <c r="A81" s="1106"/>
      <c r="B81" s="1111" t="s">
        <v>293</v>
      </c>
      <c r="C81" s="1112"/>
      <c r="D81" s="1112"/>
      <c r="E81" s="1113"/>
      <c r="F81" s="338" t="s">
        <v>293</v>
      </c>
    </row>
    <row r="82" spans="1:6" ht="20.100000000000001" customHeight="1" thickBot="1">
      <c r="A82" s="1107"/>
      <c r="B82" s="671" t="s">
        <v>299</v>
      </c>
      <c r="C82" s="672" t="s">
        <v>300</v>
      </c>
      <c r="D82" s="341" t="s">
        <v>301</v>
      </c>
      <c r="E82" s="340" t="s">
        <v>50</v>
      </c>
      <c r="F82" s="342"/>
    </row>
    <row r="83" spans="1:6" ht="20.100000000000001" customHeight="1" thickBot="1">
      <c r="A83" s="846" t="str">
        <f>'F1 Forecast Combined'!A83</f>
        <v>Brought Forward</v>
      </c>
      <c r="B83" s="847"/>
      <c r="C83" s="848"/>
      <c r="D83" s="849">
        <f>D59</f>
        <v>0</v>
      </c>
      <c r="E83" s="850">
        <f>E59</f>
        <v>0</v>
      </c>
      <c r="F83" s="351">
        <f>F59</f>
        <v>0</v>
      </c>
    </row>
    <row r="84" spans="1:6" ht="20.100000000000001" customHeight="1" thickTop="1">
      <c r="A84" s="343">
        <f>'F1 Forecast Combined'!A84</f>
        <v>46113</v>
      </c>
      <c r="B84" s="673"/>
      <c r="C84" s="674"/>
      <c r="D84" s="843"/>
      <c r="E84" s="345">
        <f t="shared" ref="E84:E95" si="4">SUM(D84:D84)</f>
        <v>0</v>
      </c>
      <c r="F84" s="347"/>
    </row>
    <row r="85" spans="1:6" ht="20.100000000000001" customHeight="1">
      <c r="A85" s="343">
        <f>'F1 Forecast Combined'!A85</f>
        <v>46143</v>
      </c>
      <c r="B85" s="673"/>
      <c r="C85" s="674"/>
      <c r="D85" s="843"/>
      <c r="E85" s="345">
        <f t="shared" si="4"/>
        <v>0</v>
      </c>
      <c r="F85" s="347"/>
    </row>
    <row r="86" spans="1:6" ht="20.100000000000001" customHeight="1">
      <c r="A86" s="343">
        <f>'F1 Forecast Combined'!A86</f>
        <v>46174</v>
      </c>
      <c r="B86" s="673"/>
      <c r="C86" s="674"/>
      <c r="D86" s="843"/>
      <c r="E86" s="345">
        <f t="shared" si="4"/>
        <v>0</v>
      </c>
      <c r="F86" s="347"/>
    </row>
    <row r="87" spans="1:6" ht="20.100000000000001" customHeight="1">
      <c r="A87" s="343">
        <f>'F1 Forecast Combined'!A87</f>
        <v>46204</v>
      </c>
      <c r="B87" s="673"/>
      <c r="C87" s="674"/>
      <c r="D87" s="843"/>
      <c r="E87" s="345">
        <f t="shared" si="4"/>
        <v>0</v>
      </c>
      <c r="F87" s="347"/>
    </row>
    <row r="88" spans="1:6" ht="20.100000000000001" customHeight="1">
      <c r="A88" s="343">
        <f>'F1 Forecast Combined'!A88</f>
        <v>46235</v>
      </c>
      <c r="B88" s="673"/>
      <c r="C88" s="674"/>
      <c r="D88" s="843"/>
      <c r="E88" s="345">
        <f t="shared" si="4"/>
        <v>0</v>
      </c>
      <c r="F88" s="347"/>
    </row>
    <row r="89" spans="1:6" ht="20.100000000000001" customHeight="1">
      <c r="A89" s="343">
        <f>'F1 Forecast Combined'!A89</f>
        <v>46266</v>
      </c>
      <c r="B89" s="673"/>
      <c r="C89" s="674"/>
      <c r="D89" s="843"/>
      <c r="E89" s="345">
        <f t="shared" si="4"/>
        <v>0</v>
      </c>
      <c r="F89" s="347"/>
    </row>
    <row r="90" spans="1:6" ht="20.100000000000001" customHeight="1">
      <c r="A90" s="343">
        <f>'F1 Forecast Combined'!A90</f>
        <v>46296</v>
      </c>
      <c r="B90" s="673"/>
      <c r="C90" s="674"/>
      <c r="D90" s="843"/>
      <c r="E90" s="345">
        <f t="shared" si="4"/>
        <v>0</v>
      </c>
      <c r="F90" s="347"/>
    </row>
    <row r="91" spans="1:6" ht="20.100000000000001" customHeight="1">
      <c r="A91" s="343">
        <f>'F1 Forecast Combined'!A91</f>
        <v>46327</v>
      </c>
      <c r="B91" s="675"/>
      <c r="C91" s="674"/>
      <c r="D91" s="843"/>
      <c r="E91" s="345">
        <f t="shared" si="4"/>
        <v>0</v>
      </c>
      <c r="F91" s="347"/>
    </row>
    <row r="92" spans="1:6" ht="20.100000000000001" customHeight="1">
      <c r="A92" s="343">
        <f>'F1 Forecast Combined'!A92</f>
        <v>46357</v>
      </c>
      <c r="B92" s="673"/>
      <c r="C92" s="674"/>
      <c r="D92" s="843"/>
      <c r="E92" s="345">
        <f t="shared" si="4"/>
        <v>0</v>
      </c>
      <c r="F92" s="347"/>
    </row>
    <row r="93" spans="1:6" ht="20.100000000000001" customHeight="1">
      <c r="A93" s="343">
        <f>'F1 Forecast Combined'!A93</f>
        <v>46388</v>
      </c>
      <c r="B93" s="673"/>
      <c r="C93" s="674"/>
      <c r="D93" s="843"/>
      <c r="E93" s="345">
        <f t="shared" si="4"/>
        <v>0</v>
      </c>
      <c r="F93" s="347"/>
    </row>
    <row r="94" spans="1:6" ht="20.100000000000001" customHeight="1">
      <c r="A94" s="343">
        <f>'F1 Forecast Combined'!A94</f>
        <v>46419</v>
      </c>
      <c r="B94" s="673"/>
      <c r="C94" s="674"/>
      <c r="D94" s="843"/>
      <c r="E94" s="345">
        <f t="shared" si="4"/>
        <v>0</v>
      </c>
      <c r="F94" s="347"/>
    </row>
    <row r="95" spans="1:6" ht="20.100000000000001" customHeight="1">
      <c r="A95" s="343">
        <f>'F1 Forecast Combined'!A95</f>
        <v>46447</v>
      </c>
      <c r="B95" s="673"/>
      <c r="C95" s="676"/>
      <c r="D95" s="843"/>
      <c r="E95" s="348">
        <f t="shared" si="4"/>
        <v>0</v>
      </c>
      <c r="F95" s="347"/>
    </row>
    <row r="96" spans="1:6" ht="20.100000000000001" customHeight="1" thickBot="1">
      <c r="A96" s="827" t="str">
        <f>'F1 Forecast Combined'!A96</f>
        <v>Sub-Total 2026/2027</v>
      </c>
      <c r="B96" s="668"/>
      <c r="C96" s="668"/>
      <c r="D96" s="350">
        <f>SUM(D84:D95)</f>
        <v>0</v>
      </c>
      <c r="E96" s="350">
        <f>SUM(E84:E95)</f>
        <v>0</v>
      </c>
      <c r="F96" s="351">
        <f>SUM(F84:F95)</f>
        <v>0</v>
      </c>
    </row>
    <row r="97" spans="1:6" ht="20.100000000000001" customHeight="1" thickTop="1">
      <c r="A97" s="343">
        <f>'F1 Forecast Combined'!A97</f>
        <v>46478</v>
      </c>
      <c r="B97" s="677"/>
      <c r="C97" s="678"/>
      <c r="D97" s="844"/>
      <c r="E97" s="352">
        <f t="shared" ref="E97:E108" si="5">SUM(D97:D97)</f>
        <v>0</v>
      </c>
      <c r="F97" s="347"/>
    </row>
    <row r="98" spans="1:6" ht="20.100000000000001" customHeight="1">
      <c r="A98" s="343">
        <f>'F1 Forecast Combined'!A98</f>
        <v>46508</v>
      </c>
      <c r="B98" s="677"/>
      <c r="C98" s="674"/>
      <c r="D98" s="844"/>
      <c r="E98" s="352">
        <f t="shared" si="5"/>
        <v>0</v>
      </c>
      <c r="F98" s="347"/>
    </row>
    <row r="99" spans="1:6" ht="20.100000000000001" customHeight="1">
      <c r="A99" s="343">
        <f>'F1 Forecast Combined'!A99</f>
        <v>46539</v>
      </c>
      <c r="B99" s="677"/>
      <c r="C99" s="678"/>
      <c r="D99" s="844"/>
      <c r="E99" s="352">
        <f t="shared" si="5"/>
        <v>0</v>
      </c>
      <c r="F99" s="347"/>
    </row>
    <row r="100" spans="1:6" ht="20.100000000000001" customHeight="1">
      <c r="A100" s="343">
        <f>'F1 Forecast Combined'!A100</f>
        <v>46569</v>
      </c>
      <c r="B100" s="677"/>
      <c r="C100" s="674"/>
      <c r="D100" s="844"/>
      <c r="E100" s="352">
        <f t="shared" si="5"/>
        <v>0</v>
      </c>
      <c r="F100" s="347"/>
    </row>
    <row r="101" spans="1:6" ht="20.100000000000001" customHeight="1">
      <c r="A101" s="343">
        <f>'F1 Forecast Combined'!A101</f>
        <v>46600</v>
      </c>
      <c r="B101" s="677"/>
      <c r="C101" s="674"/>
      <c r="D101" s="844"/>
      <c r="E101" s="352">
        <f t="shared" si="5"/>
        <v>0</v>
      </c>
      <c r="F101" s="347"/>
    </row>
    <row r="102" spans="1:6" ht="20.100000000000001" customHeight="1">
      <c r="A102" s="343">
        <f>'F1 Forecast Combined'!A102</f>
        <v>46631</v>
      </c>
      <c r="B102" s="677"/>
      <c r="C102" s="674"/>
      <c r="D102" s="844"/>
      <c r="E102" s="352">
        <f t="shared" si="5"/>
        <v>0</v>
      </c>
      <c r="F102" s="347"/>
    </row>
    <row r="103" spans="1:6" ht="20.100000000000001" customHeight="1">
      <c r="A103" s="343">
        <f>'F1 Forecast Combined'!A103</f>
        <v>46661</v>
      </c>
      <c r="B103" s="677"/>
      <c r="C103" s="674"/>
      <c r="D103" s="844"/>
      <c r="E103" s="352">
        <f t="shared" si="5"/>
        <v>0</v>
      </c>
      <c r="F103" s="347"/>
    </row>
    <row r="104" spans="1:6" ht="20.100000000000001" customHeight="1">
      <c r="A104" s="343">
        <f>'F1 Forecast Combined'!A104</f>
        <v>46692</v>
      </c>
      <c r="B104" s="677"/>
      <c r="C104" s="674"/>
      <c r="D104" s="844"/>
      <c r="E104" s="352">
        <f t="shared" si="5"/>
        <v>0</v>
      </c>
      <c r="F104" s="347"/>
    </row>
    <row r="105" spans="1:6" ht="20.100000000000001" customHeight="1">
      <c r="A105" s="343">
        <f>'F1 Forecast Combined'!A105</f>
        <v>46722</v>
      </c>
      <c r="B105" s="677"/>
      <c r="C105" s="674"/>
      <c r="D105" s="844"/>
      <c r="E105" s="352">
        <f t="shared" si="5"/>
        <v>0</v>
      </c>
      <c r="F105" s="347"/>
    </row>
    <row r="106" spans="1:6" ht="20.100000000000001" customHeight="1">
      <c r="A106" s="343">
        <f>'F1 Forecast Combined'!A106</f>
        <v>46753</v>
      </c>
      <c r="B106" s="677"/>
      <c r="C106" s="674"/>
      <c r="D106" s="844"/>
      <c r="E106" s="352">
        <f t="shared" si="5"/>
        <v>0</v>
      </c>
      <c r="F106" s="347"/>
    </row>
    <row r="107" spans="1:6" ht="20.100000000000001" customHeight="1">
      <c r="A107" s="343">
        <f>'F1 Forecast Combined'!A107</f>
        <v>46784</v>
      </c>
      <c r="B107" s="677"/>
      <c r="C107" s="674"/>
      <c r="D107" s="844"/>
      <c r="E107" s="352">
        <f t="shared" si="5"/>
        <v>0</v>
      </c>
      <c r="F107" s="347"/>
    </row>
    <row r="108" spans="1:6" ht="20.100000000000001" customHeight="1">
      <c r="A108" s="343">
        <f>'F1 Forecast Combined'!A108</f>
        <v>46813</v>
      </c>
      <c r="B108" s="677"/>
      <c r="C108" s="674"/>
      <c r="D108" s="844"/>
      <c r="E108" s="352">
        <f t="shared" si="5"/>
        <v>0</v>
      </c>
      <c r="F108" s="347"/>
    </row>
    <row r="109" spans="1:6" ht="20.100000000000001" customHeight="1" thickBot="1">
      <c r="A109" s="827" t="str">
        <f>'F1 Forecast Combined'!A109</f>
        <v>Sub-Total 2027/2028</v>
      </c>
      <c r="B109" s="669"/>
      <c r="C109" s="669"/>
      <c r="D109" s="354">
        <f>SUM(D97:D108)</f>
        <v>0</v>
      </c>
      <c r="E109" s="354">
        <f>SUM(E97:E108)</f>
        <v>0</v>
      </c>
      <c r="F109" s="355">
        <f>SUM(F97:F108)</f>
        <v>0</v>
      </c>
    </row>
    <row r="110" spans="1:6" ht="20.100000000000001" customHeight="1" thickTop="1">
      <c r="A110" s="343">
        <f>'F1 Forecast Combined'!A110</f>
        <v>46844</v>
      </c>
      <c r="B110" s="677"/>
      <c r="C110" s="674"/>
      <c r="D110" s="844"/>
      <c r="E110" s="352">
        <f t="shared" ref="E110:E121" si="6">SUM(D110:D110)</f>
        <v>0</v>
      </c>
      <c r="F110" s="347"/>
    </row>
    <row r="111" spans="1:6" ht="20.100000000000001" customHeight="1">
      <c r="A111" s="343">
        <f>'F1 Forecast Combined'!A111</f>
        <v>46874</v>
      </c>
      <c r="B111" s="677"/>
      <c r="C111" s="674"/>
      <c r="D111" s="844"/>
      <c r="E111" s="352">
        <f t="shared" si="6"/>
        <v>0</v>
      </c>
      <c r="F111" s="347"/>
    </row>
    <row r="112" spans="1:6" ht="20.100000000000001" customHeight="1">
      <c r="A112" s="343">
        <f>'F1 Forecast Combined'!A112</f>
        <v>46905</v>
      </c>
      <c r="B112" s="677"/>
      <c r="C112" s="678"/>
      <c r="D112" s="844"/>
      <c r="E112" s="352">
        <f t="shared" si="6"/>
        <v>0</v>
      </c>
      <c r="F112" s="347"/>
    </row>
    <row r="113" spans="1:6" ht="20.100000000000001" customHeight="1">
      <c r="A113" s="343">
        <f>'F1 Forecast Combined'!A113</f>
        <v>46935</v>
      </c>
      <c r="B113" s="677"/>
      <c r="C113" s="678"/>
      <c r="D113" s="844"/>
      <c r="E113" s="352">
        <f t="shared" si="6"/>
        <v>0</v>
      </c>
      <c r="F113" s="347"/>
    </row>
    <row r="114" spans="1:6" ht="20.100000000000001" customHeight="1">
      <c r="A114" s="343">
        <f>'F1 Forecast Combined'!A114</f>
        <v>46966</v>
      </c>
      <c r="B114" s="677"/>
      <c r="C114" s="678"/>
      <c r="D114" s="844"/>
      <c r="E114" s="352">
        <f t="shared" si="6"/>
        <v>0</v>
      </c>
      <c r="F114" s="347"/>
    </row>
    <row r="115" spans="1:6" ht="20.100000000000001" customHeight="1">
      <c r="A115" s="343">
        <f>'F1 Forecast Combined'!A115</f>
        <v>46997</v>
      </c>
      <c r="B115" s="677"/>
      <c r="C115" s="678"/>
      <c r="D115" s="844"/>
      <c r="E115" s="352">
        <f t="shared" si="6"/>
        <v>0</v>
      </c>
      <c r="F115" s="347"/>
    </row>
    <row r="116" spans="1:6" ht="20.100000000000001" customHeight="1">
      <c r="A116" s="343">
        <f>'F1 Forecast Combined'!A116</f>
        <v>47027</v>
      </c>
      <c r="B116" s="677"/>
      <c r="C116" s="678"/>
      <c r="D116" s="844"/>
      <c r="E116" s="352">
        <f t="shared" si="6"/>
        <v>0</v>
      </c>
      <c r="F116" s="347"/>
    </row>
    <row r="117" spans="1:6" ht="20.100000000000001" customHeight="1">
      <c r="A117" s="343">
        <f>'F1 Forecast Combined'!A117</f>
        <v>47058</v>
      </c>
      <c r="B117" s="677"/>
      <c r="C117" s="678"/>
      <c r="D117" s="844"/>
      <c r="E117" s="352">
        <f t="shared" si="6"/>
        <v>0</v>
      </c>
      <c r="F117" s="347"/>
    </row>
    <row r="118" spans="1:6" ht="20.100000000000001" customHeight="1">
      <c r="A118" s="343">
        <f>'F1 Forecast Combined'!A118</f>
        <v>47088</v>
      </c>
      <c r="B118" s="677"/>
      <c r="C118" s="678"/>
      <c r="D118" s="844"/>
      <c r="E118" s="352">
        <f t="shared" si="6"/>
        <v>0</v>
      </c>
      <c r="F118" s="347"/>
    </row>
    <row r="119" spans="1:6" ht="20.100000000000001" customHeight="1">
      <c r="A119" s="343">
        <f>'F1 Forecast Combined'!A119</f>
        <v>47119</v>
      </c>
      <c r="B119" s="677"/>
      <c r="C119" s="678"/>
      <c r="D119" s="844"/>
      <c r="E119" s="352">
        <f t="shared" si="6"/>
        <v>0</v>
      </c>
      <c r="F119" s="347"/>
    </row>
    <row r="120" spans="1:6" ht="20.100000000000001" customHeight="1">
      <c r="A120" s="343">
        <f>'F1 Forecast Combined'!A120</f>
        <v>47150</v>
      </c>
      <c r="B120" s="677"/>
      <c r="C120" s="678"/>
      <c r="D120" s="844"/>
      <c r="E120" s="352">
        <f t="shared" si="6"/>
        <v>0</v>
      </c>
      <c r="F120" s="347"/>
    </row>
    <row r="121" spans="1:6" ht="20.100000000000001" customHeight="1">
      <c r="A121" s="343">
        <f>'F1 Forecast Combined'!A121</f>
        <v>47178</v>
      </c>
      <c r="B121" s="677"/>
      <c r="C121" s="678"/>
      <c r="D121" s="844"/>
      <c r="E121" s="352">
        <f t="shared" si="6"/>
        <v>0</v>
      </c>
      <c r="F121" s="347"/>
    </row>
    <row r="122" spans="1:6" ht="20.100000000000001" customHeight="1" thickBot="1">
      <c r="A122" s="827" t="str">
        <f>'F1 Forecast Combined'!A122</f>
        <v>Sub-Total 2028/2029</v>
      </c>
      <c r="B122" s="669"/>
      <c r="C122" s="669"/>
      <c r="D122" s="354">
        <f>SUM(D110:D121)</f>
        <v>0</v>
      </c>
      <c r="E122" s="354">
        <f>SUM(E110:E121)</f>
        <v>0</v>
      </c>
      <c r="F122" s="355">
        <f>SUM(F110:F121)</f>
        <v>0</v>
      </c>
    </row>
    <row r="123" spans="1:6" ht="20.100000000000001" customHeight="1" thickTop="1" thickBot="1">
      <c r="A123" s="356" t="s">
        <v>305</v>
      </c>
      <c r="B123" s="670"/>
      <c r="C123" s="670"/>
      <c r="D123" s="357">
        <f>D83+D96+D109+D122</f>
        <v>0</v>
      </c>
      <c r="E123" s="357">
        <f>E83+E96+E109+E122</f>
        <v>0</v>
      </c>
      <c r="F123" s="358">
        <f>F83+F96+F109+F122</f>
        <v>0</v>
      </c>
    </row>
    <row r="124" spans="1:6" ht="20.100000000000001" customHeight="1">
      <c r="A124" s="359" t="s">
        <v>306</v>
      </c>
      <c r="B124" s="359" t="s">
        <v>307</v>
      </c>
    </row>
  </sheetData>
  <mergeCells count="35"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E16:F16"/>
    <mergeCell ref="A5:F7"/>
    <mergeCell ref="B1:C2"/>
    <mergeCell ref="D1:E1"/>
    <mergeCell ref="D2:E2"/>
    <mergeCell ref="B3:B4"/>
    <mergeCell ref="C3:C4"/>
    <mergeCell ref="B64:C65"/>
    <mergeCell ref="D64:E64"/>
    <mergeCell ref="D65:E65"/>
    <mergeCell ref="B66:B67"/>
    <mergeCell ref="C66:C67"/>
    <mergeCell ref="A68:F70"/>
    <mergeCell ref="A72:A73"/>
    <mergeCell ref="B72:F73"/>
    <mergeCell ref="B74:C74"/>
    <mergeCell ref="E74:F74"/>
    <mergeCell ref="B75:F75"/>
    <mergeCell ref="B77:D77"/>
    <mergeCell ref="B78:C78"/>
    <mergeCell ref="E78:F78"/>
    <mergeCell ref="A80:A82"/>
    <mergeCell ref="B80:E80"/>
    <mergeCell ref="B81:E81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6">
    <tabColor theme="9"/>
    <pageSetUpPr fitToPage="1"/>
  </sheetPr>
  <dimension ref="A1:P54"/>
  <sheetViews>
    <sheetView workbookViewId="0">
      <selection activeCell="L10" sqref="L10"/>
    </sheetView>
  </sheetViews>
  <sheetFormatPr defaultRowHeight="15" customHeight="1"/>
  <cols>
    <col min="1" max="1" width="9.140625" style="320"/>
    <col min="2" max="2" width="12" style="320" customWidth="1"/>
    <col min="3" max="3" width="9.5703125" style="320" customWidth="1"/>
    <col min="4" max="5" width="9.140625" style="320"/>
    <col min="6" max="6" width="11.42578125" style="320" customWidth="1"/>
    <col min="7" max="7" width="18.5703125" style="320" customWidth="1"/>
    <col min="8" max="8" width="21.28515625" style="320" bestFit="1" customWidth="1"/>
    <col min="9" max="9" width="9.140625" style="320"/>
    <col min="10" max="10" width="14.5703125" style="320" customWidth="1"/>
    <col min="11" max="11" width="17.7109375" style="320" customWidth="1"/>
    <col min="12" max="12" width="7.140625" style="320" customWidth="1"/>
    <col min="13" max="13" width="15.5703125" style="320" customWidth="1"/>
    <col min="14" max="14" width="11.42578125" style="320" customWidth="1"/>
    <col min="15" max="15" width="9.140625" style="320"/>
    <col min="16" max="16" width="10.42578125" style="320" customWidth="1"/>
    <col min="17" max="257" width="9.140625" style="320"/>
    <col min="258" max="258" width="12" style="320" customWidth="1"/>
    <col min="259" max="259" width="9.5703125" style="320" customWidth="1"/>
    <col min="260" max="261" width="9.140625" style="320"/>
    <col min="262" max="262" width="11.42578125" style="320" customWidth="1"/>
    <col min="263" max="263" width="18.5703125" style="320" customWidth="1"/>
    <col min="264" max="264" width="21.28515625" style="320" bestFit="1" customWidth="1"/>
    <col min="265" max="265" width="9.140625" style="320"/>
    <col min="266" max="266" width="14.5703125" style="320" customWidth="1"/>
    <col min="267" max="267" width="17.7109375" style="320" customWidth="1"/>
    <col min="268" max="268" width="7.140625" style="320" customWidth="1"/>
    <col min="269" max="269" width="15.5703125" style="320" customWidth="1"/>
    <col min="270" max="270" width="11.42578125" style="320" customWidth="1"/>
    <col min="271" max="271" width="9.140625" style="320"/>
    <col min="272" max="272" width="10.42578125" style="320" customWidth="1"/>
    <col min="273" max="513" width="9.140625" style="320"/>
    <col min="514" max="514" width="12" style="320" customWidth="1"/>
    <col min="515" max="515" width="9.5703125" style="320" customWidth="1"/>
    <col min="516" max="517" width="9.140625" style="320"/>
    <col min="518" max="518" width="11.42578125" style="320" customWidth="1"/>
    <col min="519" max="519" width="18.5703125" style="320" customWidth="1"/>
    <col min="520" max="520" width="21.28515625" style="320" bestFit="1" customWidth="1"/>
    <col min="521" max="521" width="9.140625" style="320"/>
    <col min="522" max="522" width="14.5703125" style="320" customWidth="1"/>
    <col min="523" max="523" width="17.7109375" style="320" customWidth="1"/>
    <col min="524" max="524" width="7.140625" style="320" customWidth="1"/>
    <col min="525" max="525" width="15.5703125" style="320" customWidth="1"/>
    <col min="526" max="526" width="11.42578125" style="320" customWidth="1"/>
    <col min="527" max="527" width="9.140625" style="320"/>
    <col min="528" max="528" width="10.42578125" style="320" customWidth="1"/>
    <col min="529" max="769" width="9.140625" style="320"/>
    <col min="770" max="770" width="12" style="320" customWidth="1"/>
    <col min="771" max="771" width="9.5703125" style="320" customWidth="1"/>
    <col min="772" max="773" width="9.140625" style="320"/>
    <col min="774" max="774" width="11.42578125" style="320" customWidth="1"/>
    <col min="775" max="775" width="18.5703125" style="320" customWidth="1"/>
    <col min="776" max="776" width="21.28515625" style="320" bestFit="1" customWidth="1"/>
    <col min="777" max="777" width="9.140625" style="320"/>
    <col min="778" max="778" width="14.5703125" style="320" customWidth="1"/>
    <col min="779" max="779" width="17.7109375" style="320" customWidth="1"/>
    <col min="780" max="780" width="7.140625" style="320" customWidth="1"/>
    <col min="781" max="781" width="15.5703125" style="320" customWidth="1"/>
    <col min="782" max="782" width="11.42578125" style="320" customWidth="1"/>
    <col min="783" max="783" width="9.140625" style="320"/>
    <col min="784" max="784" width="10.42578125" style="320" customWidth="1"/>
    <col min="785" max="1025" width="9.140625" style="320"/>
    <col min="1026" max="1026" width="12" style="320" customWidth="1"/>
    <col min="1027" max="1027" width="9.5703125" style="320" customWidth="1"/>
    <col min="1028" max="1029" width="9.140625" style="320"/>
    <col min="1030" max="1030" width="11.42578125" style="320" customWidth="1"/>
    <col min="1031" max="1031" width="18.5703125" style="320" customWidth="1"/>
    <col min="1032" max="1032" width="21.28515625" style="320" bestFit="1" customWidth="1"/>
    <col min="1033" max="1033" width="9.140625" style="320"/>
    <col min="1034" max="1034" width="14.5703125" style="320" customWidth="1"/>
    <col min="1035" max="1035" width="17.7109375" style="320" customWidth="1"/>
    <col min="1036" max="1036" width="7.140625" style="320" customWidth="1"/>
    <col min="1037" max="1037" width="15.5703125" style="320" customWidth="1"/>
    <col min="1038" max="1038" width="11.42578125" style="320" customWidth="1"/>
    <col min="1039" max="1039" width="9.140625" style="320"/>
    <col min="1040" max="1040" width="10.42578125" style="320" customWidth="1"/>
    <col min="1041" max="1281" width="9.140625" style="320"/>
    <col min="1282" max="1282" width="12" style="320" customWidth="1"/>
    <col min="1283" max="1283" width="9.5703125" style="320" customWidth="1"/>
    <col min="1284" max="1285" width="9.140625" style="320"/>
    <col min="1286" max="1286" width="11.42578125" style="320" customWidth="1"/>
    <col min="1287" max="1287" width="18.5703125" style="320" customWidth="1"/>
    <col min="1288" max="1288" width="21.28515625" style="320" bestFit="1" customWidth="1"/>
    <col min="1289" max="1289" width="9.140625" style="320"/>
    <col min="1290" max="1290" width="14.5703125" style="320" customWidth="1"/>
    <col min="1291" max="1291" width="17.7109375" style="320" customWidth="1"/>
    <col min="1292" max="1292" width="7.140625" style="320" customWidth="1"/>
    <col min="1293" max="1293" width="15.5703125" style="320" customWidth="1"/>
    <col min="1294" max="1294" width="11.42578125" style="320" customWidth="1"/>
    <col min="1295" max="1295" width="9.140625" style="320"/>
    <col min="1296" max="1296" width="10.42578125" style="320" customWidth="1"/>
    <col min="1297" max="1537" width="9.140625" style="320"/>
    <col min="1538" max="1538" width="12" style="320" customWidth="1"/>
    <col min="1539" max="1539" width="9.5703125" style="320" customWidth="1"/>
    <col min="1540" max="1541" width="9.140625" style="320"/>
    <col min="1542" max="1542" width="11.42578125" style="320" customWidth="1"/>
    <col min="1543" max="1543" width="18.5703125" style="320" customWidth="1"/>
    <col min="1544" max="1544" width="21.28515625" style="320" bestFit="1" customWidth="1"/>
    <col min="1545" max="1545" width="9.140625" style="320"/>
    <col min="1546" max="1546" width="14.5703125" style="320" customWidth="1"/>
    <col min="1547" max="1547" width="17.7109375" style="320" customWidth="1"/>
    <col min="1548" max="1548" width="7.140625" style="320" customWidth="1"/>
    <col min="1549" max="1549" width="15.5703125" style="320" customWidth="1"/>
    <col min="1550" max="1550" width="11.42578125" style="320" customWidth="1"/>
    <col min="1551" max="1551" width="9.140625" style="320"/>
    <col min="1552" max="1552" width="10.42578125" style="320" customWidth="1"/>
    <col min="1553" max="1793" width="9.140625" style="320"/>
    <col min="1794" max="1794" width="12" style="320" customWidth="1"/>
    <col min="1795" max="1795" width="9.5703125" style="320" customWidth="1"/>
    <col min="1796" max="1797" width="9.140625" style="320"/>
    <col min="1798" max="1798" width="11.42578125" style="320" customWidth="1"/>
    <col min="1799" max="1799" width="18.5703125" style="320" customWidth="1"/>
    <col min="1800" max="1800" width="21.28515625" style="320" bestFit="1" customWidth="1"/>
    <col min="1801" max="1801" width="9.140625" style="320"/>
    <col min="1802" max="1802" width="14.5703125" style="320" customWidth="1"/>
    <col min="1803" max="1803" width="17.7109375" style="320" customWidth="1"/>
    <col min="1804" max="1804" width="7.140625" style="320" customWidth="1"/>
    <col min="1805" max="1805" width="15.5703125" style="320" customWidth="1"/>
    <col min="1806" max="1806" width="11.42578125" style="320" customWidth="1"/>
    <col min="1807" max="1807" width="9.140625" style="320"/>
    <col min="1808" max="1808" width="10.42578125" style="320" customWidth="1"/>
    <col min="1809" max="2049" width="9.140625" style="320"/>
    <col min="2050" max="2050" width="12" style="320" customWidth="1"/>
    <col min="2051" max="2051" width="9.5703125" style="320" customWidth="1"/>
    <col min="2052" max="2053" width="9.140625" style="320"/>
    <col min="2054" max="2054" width="11.42578125" style="320" customWidth="1"/>
    <col min="2055" max="2055" width="18.5703125" style="320" customWidth="1"/>
    <col min="2056" max="2056" width="21.28515625" style="320" bestFit="1" customWidth="1"/>
    <col min="2057" max="2057" width="9.140625" style="320"/>
    <col min="2058" max="2058" width="14.5703125" style="320" customWidth="1"/>
    <col min="2059" max="2059" width="17.7109375" style="320" customWidth="1"/>
    <col min="2060" max="2060" width="7.140625" style="320" customWidth="1"/>
    <col min="2061" max="2061" width="15.5703125" style="320" customWidth="1"/>
    <col min="2062" max="2062" width="11.42578125" style="320" customWidth="1"/>
    <col min="2063" max="2063" width="9.140625" style="320"/>
    <col min="2064" max="2064" width="10.42578125" style="320" customWidth="1"/>
    <col min="2065" max="2305" width="9.140625" style="320"/>
    <col min="2306" max="2306" width="12" style="320" customWidth="1"/>
    <col min="2307" max="2307" width="9.5703125" style="320" customWidth="1"/>
    <col min="2308" max="2309" width="9.140625" style="320"/>
    <col min="2310" max="2310" width="11.42578125" style="320" customWidth="1"/>
    <col min="2311" max="2311" width="18.5703125" style="320" customWidth="1"/>
    <col min="2312" max="2312" width="21.28515625" style="320" bestFit="1" customWidth="1"/>
    <col min="2313" max="2313" width="9.140625" style="320"/>
    <col min="2314" max="2314" width="14.5703125" style="320" customWidth="1"/>
    <col min="2315" max="2315" width="17.7109375" style="320" customWidth="1"/>
    <col min="2316" max="2316" width="7.140625" style="320" customWidth="1"/>
    <col min="2317" max="2317" width="15.5703125" style="320" customWidth="1"/>
    <col min="2318" max="2318" width="11.42578125" style="320" customWidth="1"/>
    <col min="2319" max="2319" width="9.140625" style="320"/>
    <col min="2320" max="2320" width="10.42578125" style="320" customWidth="1"/>
    <col min="2321" max="2561" width="9.140625" style="320"/>
    <col min="2562" max="2562" width="12" style="320" customWidth="1"/>
    <col min="2563" max="2563" width="9.5703125" style="320" customWidth="1"/>
    <col min="2564" max="2565" width="9.140625" style="320"/>
    <col min="2566" max="2566" width="11.42578125" style="320" customWidth="1"/>
    <col min="2567" max="2567" width="18.5703125" style="320" customWidth="1"/>
    <col min="2568" max="2568" width="21.28515625" style="320" bestFit="1" customWidth="1"/>
    <col min="2569" max="2569" width="9.140625" style="320"/>
    <col min="2570" max="2570" width="14.5703125" style="320" customWidth="1"/>
    <col min="2571" max="2571" width="17.7109375" style="320" customWidth="1"/>
    <col min="2572" max="2572" width="7.140625" style="320" customWidth="1"/>
    <col min="2573" max="2573" width="15.5703125" style="320" customWidth="1"/>
    <col min="2574" max="2574" width="11.42578125" style="320" customWidth="1"/>
    <col min="2575" max="2575" width="9.140625" style="320"/>
    <col min="2576" max="2576" width="10.42578125" style="320" customWidth="1"/>
    <col min="2577" max="2817" width="9.140625" style="320"/>
    <col min="2818" max="2818" width="12" style="320" customWidth="1"/>
    <col min="2819" max="2819" width="9.5703125" style="320" customWidth="1"/>
    <col min="2820" max="2821" width="9.140625" style="320"/>
    <col min="2822" max="2822" width="11.42578125" style="320" customWidth="1"/>
    <col min="2823" max="2823" width="18.5703125" style="320" customWidth="1"/>
    <col min="2824" max="2824" width="21.28515625" style="320" bestFit="1" customWidth="1"/>
    <col min="2825" max="2825" width="9.140625" style="320"/>
    <col min="2826" max="2826" width="14.5703125" style="320" customWidth="1"/>
    <col min="2827" max="2827" width="17.7109375" style="320" customWidth="1"/>
    <col min="2828" max="2828" width="7.140625" style="320" customWidth="1"/>
    <col min="2829" max="2829" width="15.5703125" style="320" customWidth="1"/>
    <col min="2830" max="2830" width="11.42578125" style="320" customWidth="1"/>
    <col min="2831" max="2831" width="9.140625" style="320"/>
    <col min="2832" max="2832" width="10.42578125" style="320" customWidth="1"/>
    <col min="2833" max="3073" width="9.140625" style="320"/>
    <col min="3074" max="3074" width="12" style="320" customWidth="1"/>
    <col min="3075" max="3075" width="9.5703125" style="320" customWidth="1"/>
    <col min="3076" max="3077" width="9.140625" style="320"/>
    <col min="3078" max="3078" width="11.42578125" style="320" customWidth="1"/>
    <col min="3079" max="3079" width="18.5703125" style="320" customWidth="1"/>
    <col min="3080" max="3080" width="21.28515625" style="320" bestFit="1" customWidth="1"/>
    <col min="3081" max="3081" width="9.140625" style="320"/>
    <col min="3082" max="3082" width="14.5703125" style="320" customWidth="1"/>
    <col min="3083" max="3083" width="17.7109375" style="320" customWidth="1"/>
    <col min="3084" max="3084" width="7.140625" style="320" customWidth="1"/>
    <col min="3085" max="3085" width="15.5703125" style="320" customWidth="1"/>
    <col min="3086" max="3086" width="11.42578125" style="320" customWidth="1"/>
    <col min="3087" max="3087" width="9.140625" style="320"/>
    <col min="3088" max="3088" width="10.42578125" style="320" customWidth="1"/>
    <col min="3089" max="3329" width="9.140625" style="320"/>
    <col min="3330" max="3330" width="12" style="320" customWidth="1"/>
    <col min="3331" max="3331" width="9.5703125" style="320" customWidth="1"/>
    <col min="3332" max="3333" width="9.140625" style="320"/>
    <col min="3334" max="3334" width="11.42578125" style="320" customWidth="1"/>
    <col min="3335" max="3335" width="18.5703125" style="320" customWidth="1"/>
    <col min="3336" max="3336" width="21.28515625" style="320" bestFit="1" customWidth="1"/>
    <col min="3337" max="3337" width="9.140625" style="320"/>
    <col min="3338" max="3338" width="14.5703125" style="320" customWidth="1"/>
    <col min="3339" max="3339" width="17.7109375" style="320" customWidth="1"/>
    <col min="3340" max="3340" width="7.140625" style="320" customWidth="1"/>
    <col min="3341" max="3341" width="15.5703125" style="320" customWidth="1"/>
    <col min="3342" max="3342" width="11.42578125" style="320" customWidth="1"/>
    <col min="3343" max="3343" width="9.140625" style="320"/>
    <col min="3344" max="3344" width="10.42578125" style="320" customWidth="1"/>
    <col min="3345" max="3585" width="9.140625" style="320"/>
    <col min="3586" max="3586" width="12" style="320" customWidth="1"/>
    <col min="3587" max="3587" width="9.5703125" style="320" customWidth="1"/>
    <col min="3588" max="3589" width="9.140625" style="320"/>
    <col min="3590" max="3590" width="11.42578125" style="320" customWidth="1"/>
    <col min="3591" max="3591" width="18.5703125" style="320" customWidth="1"/>
    <col min="3592" max="3592" width="21.28515625" style="320" bestFit="1" customWidth="1"/>
    <col min="3593" max="3593" width="9.140625" style="320"/>
    <col min="3594" max="3594" width="14.5703125" style="320" customWidth="1"/>
    <col min="3595" max="3595" width="17.7109375" style="320" customWidth="1"/>
    <col min="3596" max="3596" width="7.140625" style="320" customWidth="1"/>
    <col min="3597" max="3597" width="15.5703125" style="320" customWidth="1"/>
    <col min="3598" max="3598" width="11.42578125" style="320" customWidth="1"/>
    <col min="3599" max="3599" width="9.140625" style="320"/>
    <col min="3600" max="3600" width="10.42578125" style="320" customWidth="1"/>
    <col min="3601" max="3841" width="9.140625" style="320"/>
    <col min="3842" max="3842" width="12" style="320" customWidth="1"/>
    <col min="3843" max="3843" width="9.5703125" style="320" customWidth="1"/>
    <col min="3844" max="3845" width="9.140625" style="320"/>
    <col min="3846" max="3846" width="11.42578125" style="320" customWidth="1"/>
    <col min="3847" max="3847" width="18.5703125" style="320" customWidth="1"/>
    <col min="3848" max="3848" width="21.28515625" style="320" bestFit="1" customWidth="1"/>
    <col min="3849" max="3849" width="9.140625" style="320"/>
    <col min="3850" max="3850" width="14.5703125" style="320" customWidth="1"/>
    <col min="3851" max="3851" width="17.7109375" style="320" customWidth="1"/>
    <col min="3852" max="3852" width="7.140625" style="320" customWidth="1"/>
    <col min="3853" max="3853" width="15.5703125" style="320" customWidth="1"/>
    <col min="3854" max="3854" width="11.42578125" style="320" customWidth="1"/>
    <col min="3855" max="3855" width="9.140625" style="320"/>
    <col min="3856" max="3856" width="10.42578125" style="320" customWidth="1"/>
    <col min="3857" max="4097" width="9.140625" style="320"/>
    <col min="4098" max="4098" width="12" style="320" customWidth="1"/>
    <col min="4099" max="4099" width="9.5703125" style="320" customWidth="1"/>
    <col min="4100" max="4101" width="9.140625" style="320"/>
    <col min="4102" max="4102" width="11.42578125" style="320" customWidth="1"/>
    <col min="4103" max="4103" width="18.5703125" style="320" customWidth="1"/>
    <col min="4104" max="4104" width="21.28515625" style="320" bestFit="1" customWidth="1"/>
    <col min="4105" max="4105" width="9.140625" style="320"/>
    <col min="4106" max="4106" width="14.5703125" style="320" customWidth="1"/>
    <col min="4107" max="4107" width="17.7109375" style="320" customWidth="1"/>
    <col min="4108" max="4108" width="7.140625" style="320" customWidth="1"/>
    <col min="4109" max="4109" width="15.5703125" style="320" customWidth="1"/>
    <col min="4110" max="4110" width="11.42578125" style="320" customWidth="1"/>
    <col min="4111" max="4111" width="9.140625" style="320"/>
    <col min="4112" max="4112" width="10.42578125" style="320" customWidth="1"/>
    <col min="4113" max="4353" width="9.140625" style="320"/>
    <col min="4354" max="4354" width="12" style="320" customWidth="1"/>
    <col min="4355" max="4355" width="9.5703125" style="320" customWidth="1"/>
    <col min="4356" max="4357" width="9.140625" style="320"/>
    <col min="4358" max="4358" width="11.42578125" style="320" customWidth="1"/>
    <col min="4359" max="4359" width="18.5703125" style="320" customWidth="1"/>
    <col min="4360" max="4360" width="21.28515625" style="320" bestFit="1" customWidth="1"/>
    <col min="4361" max="4361" width="9.140625" style="320"/>
    <col min="4362" max="4362" width="14.5703125" style="320" customWidth="1"/>
    <col min="4363" max="4363" width="17.7109375" style="320" customWidth="1"/>
    <col min="4364" max="4364" width="7.140625" style="320" customWidth="1"/>
    <col min="4365" max="4365" width="15.5703125" style="320" customWidth="1"/>
    <col min="4366" max="4366" width="11.42578125" style="320" customWidth="1"/>
    <col min="4367" max="4367" width="9.140625" style="320"/>
    <col min="4368" max="4368" width="10.42578125" style="320" customWidth="1"/>
    <col min="4369" max="4609" width="9.140625" style="320"/>
    <col min="4610" max="4610" width="12" style="320" customWidth="1"/>
    <col min="4611" max="4611" width="9.5703125" style="320" customWidth="1"/>
    <col min="4612" max="4613" width="9.140625" style="320"/>
    <col min="4614" max="4614" width="11.42578125" style="320" customWidth="1"/>
    <col min="4615" max="4615" width="18.5703125" style="320" customWidth="1"/>
    <col min="4616" max="4616" width="21.28515625" style="320" bestFit="1" customWidth="1"/>
    <col min="4617" max="4617" width="9.140625" style="320"/>
    <col min="4618" max="4618" width="14.5703125" style="320" customWidth="1"/>
    <col min="4619" max="4619" width="17.7109375" style="320" customWidth="1"/>
    <col min="4620" max="4620" width="7.140625" style="320" customWidth="1"/>
    <col min="4621" max="4621" width="15.5703125" style="320" customWidth="1"/>
    <col min="4622" max="4622" width="11.42578125" style="320" customWidth="1"/>
    <col min="4623" max="4623" width="9.140625" style="320"/>
    <col min="4624" max="4624" width="10.42578125" style="320" customWidth="1"/>
    <col min="4625" max="4865" width="9.140625" style="320"/>
    <col min="4866" max="4866" width="12" style="320" customWidth="1"/>
    <col min="4867" max="4867" width="9.5703125" style="320" customWidth="1"/>
    <col min="4868" max="4869" width="9.140625" style="320"/>
    <col min="4870" max="4870" width="11.42578125" style="320" customWidth="1"/>
    <col min="4871" max="4871" width="18.5703125" style="320" customWidth="1"/>
    <col min="4872" max="4872" width="21.28515625" style="320" bestFit="1" customWidth="1"/>
    <col min="4873" max="4873" width="9.140625" style="320"/>
    <col min="4874" max="4874" width="14.5703125" style="320" customWidth="1"/>
    <col min="4875" max="4875" width="17.7109375" style="320" customWidth="1"/>
    <col min="4876" max="4876" width="7.140625" style="320" customWidth="1"/>
    <col min="4877" max="4877" width="15.5703125" style="320" customWidth="1"/>
    <col min="4878" max="4878" width="11.42578125" style="320" customWidth="1"/>
    <col min="4879" max="4879" width="9.140625" style="320"/>
    <col min="4880" max="4880" width="10.42578125" style="320" customWidth="1"/>
    <col min="4881" max="5121" width="9.140625" style="320"/>
    <col min="5122" max="5122" width="12" style="320" customWidth="1"/>
    <col min="5123" max="5123" width="9.5703125" style="320" customWidth="1"/>
    <col min="5124" max="5125" width="9.140625" style="320"/>
    <col min="5126" max="5126" width="11.42578125" style="320" customWidth="1"/>
    <col min="5127" max="5127" width="18.5703125" style="320" customWidth="1"/>
    <col min="5128" max="5128" width="21.28515625" style="320" bestFit="1" customWidth="1"/>
    <col min="5129" max="5129" width="9.140625" style="320"/>
    <col min="5130" max="5130" width="14.5703125" style="320" customWidth="1"/>
    <col min="5131" max="5131" width="17.7109375" style="320" customWidth="1"/>
    <col min="5132" max="5132" width="7.140625" style="320" customWidth="1"/>
    <col min="5133" max="5133" width="15.5703125" style="320" customWidth="1"/>
    <col min="5134" max="5134" width="11.42578125" style="320" customWidth="1"/>
    <col min="5135" max="5135" width="9.140625" style="320"/>
    <col min="5136" max="5136" width="10.42578125" style="320" customWidth="1"/>
    <col min="5137" max="5377" width="9.140625" style="320"/>
    <col min="5378" max="5378" width="12" style="320" customWidth="1"/>
    <col min="5379" max="5379" width="9.5703125" style="320" customWidth="1"/>
    <col min="5380" max="5381" width="9.140625" style="320"/>
    <col min="5382" max="5382" width="11.42578125" style="320" customWidth="1"/>
    <col min="5383" max="5383" width="18.5703125" style="320" customWidth="1"/>
    <col min="5384" max="5384" width="21.28515625" style="320" bestFit="1" customWidth="1"/>
    <col min="5385" max="5385" width="9.140625" style="320"/>
    <col min="5386" max="5386" width="14.5703125" style="320" customWidth="1"/>
    <col min="5387" max="5387" width="17.7109375" style="320" customWidth="1"/>
    <col min="5388" max="5388" width="7.140625" style="320" customWidth="1"/>
    <col min="5389" max="5389" width="15.5703125" style="320" customWidth="1"/>
    <col min="5390" max="5390" width="11.42578125" style="320" customWidth="1"/>
    <col min="5391" max="5391" width="9.140625" style="320"/>
    <col min="5392" max="5392" width="10.42578125" style="320" customWidth="1"/>
    <col min="5393" max="5633" width="9.140625" style="320"/>
    <col min="5634" max="5634" width="12" style="320" customWidth="1"/>
    <col min="5635" max="5635" width="9.5703125" style="320" customWidth="1"/>
    <col min="5636" max="5637" width="9.140625" style="320"/>
    <col min="5638" max="5638" width="11.42578125" style="320" customWidth="1"/>
    <col min="5639" max="5639" width="18.5703125" style="320" customWidth="1"/>
    <col min="5640" max="5640" width="21.28515625" style="320" bestFit="1" customWidth="1"/>
    <col min="5641" max="5641" width="9.140625" style="320"/>
    <col min="5642" max="5642" width="14.5703125" style="320" customWidth="1"/>
    <col min="5643" max="5643" width="17.7109375" style="320" customWidth="1"/>
    <col min="5644" max="5644" width="7.140625" style="320" customWidth="1"/>
    <col min="5645" max="5645" width="15.5703125" style="320" customWidth="1"/>
    <col min="5646" max="5646" width="11.42578125" style="320" customWidth="1"/>
    <col min="5647" max="5647" width="9.140625" style="320"/>
    <col min="5648" max="5648" width="10.42578125" style="320" customWidth="1"/>
    <col min="5649" max="5889" width="9.140625" style="320"/>
    <col min="5890" max="5890" width="12" style="320" customWidth="1"/>
    <col min="5891" max="5891" width="9.5703125" style="320" customWidth="1"/>
    <col min="5892" max="5893" width="9.140625" style="320"/>
    <col min="5894" max="5894" width="11.42578125" style="320" customWidth="1"/>
    <col min="5895" max="5895" width="18.5703125" style="320" customWidth="1"/>
    <col min="5896" max="5896" width="21.28515625" style="320" bestFit="1" customWidth="1"/>
    <col min="5897" max="5897" width="9.140625" style="320"/>
    <col min="5898" max="5898" width="14.5703125" style="320" customWidth="1"/>
    <col min="5899" max="5899" width="17.7109375" style="320" customWidth="1"/>
    <col min="5900" max="5900" width="7.140625" style="320" customWidth="1"/>
    <col min="5901" max="5901" width="15.5703125" style="320" customWidth="1"/>
    <col min="5902" max="5902" width="11.42578125" style="320" customWidth="1"/>
    <col min="5903" max="5903" width="9.140625" style="320"/>
    <col min="5904" max="5904" width="10.42578125" style="320" customWidth="1"/>
    <col min="5905" max="6145" width="9.140625" style="320"/>
    <col min="6146" max="6146" width="12" style="320" customWidth="1"/>
    <col min="6147" max="6147" width="9.5703125" style="320" customWidth="1"/>
    <col min="6148" max="6149" width="9.140625" style="320"/>
    <col min="6150" max="6150" width="11.42578125" style="320" customWidth="1"/>
    <col min="6151" max="6151" width="18.5703125" style="320" customWidth="1"/>
    <col min="6152" max="6152" width="21.28515625" style="320" bestFit="1" customWidth="1"/>
    <col min="6153" max="6153" width="9.140625" style="320"/>
    <col min="6154" max="6154" width="14.5703125" style="320" customWidth="1"/>
    <col min="6155" max="6155" width="17.7109375" style="320" customWidth="1"/>
    <col min="6156" max="6156" width="7.140625" style="320" customWidth="1"/>
    <col min="6157" max="6157" width="15.5703125" style="320" customWidth="1"/>
    <col min="6158" max="6158" width="11.42578125" style="320" customWidth="1"/>
    <col min="6159" max="6159" width="9.140625" style="320"/>
    <col min="6160" max="6160" width="10.42578125" style="320" customWidth="1"/>
    <col min="6161" max="6401" width="9.140625" style="320"/>
    <col min="6402" max="6402" width="12" style="320" customWidth="1"/>
    <col min="6403" max="6403" width="9.5703125" style="320" customWidth="1"/>
    <col min="6404" max="6405" width="9.140625" style="320"/>
    <col min="6406" max="6406" width="11.42578125" style="320" customWidth="1"/>
    <col min="6407" max="6407" width="18.5703125" style="320" customWidth="1"/>
    <col min="6408" max="6408" width="21.28515625" style="320" bestFit="1" customWidth="1"/>
    <col min="6409" max="6409" width="9.140625" style="320"/>
    <col min="6410" max="6410" width="14.5703125" style="320" customWidth="1"/>
    <col min="6411" max="6411" width="17.7109375" style="320" customWidth="1"/>
    <col min="6412" max="6412" width="7.140625" style="320" customWidth="1"/>
    <col min="6413" max="6413" width="15.5703125" style="320" customWidth="1"/>
    <col min="6414" max="6414" width="11.42578125" style="320" customWidth="1"/>
    <col min="6415" max="6415" width="9.140625" style="320"/>
    <col min="6416" max="6416" width="10.42578125" style="320" customWidth="1"/>
    <col min="6417" max="6657" width="9.140625" style="320"/>
    <col min="6658" max="6658" width="12" style="320" customWidth="1"/>
    <col min="6659" max="6659" width="9.5703125" style="320" customWidth="1"/>
    <col min="6660" max="6661" width="9.140625" style="320"/>
    <col min="6662" max="6662" width="11.42578125" style="320" customWidth="1"/>
    <col min="6663" max="6663" width="18.5703125" style="320" customWidth="1"/>
    <col min="6664" max="6664" width="21.28515625" style="320" bestFit="1" customWidth="1"/>
    <col min="6665" max="6665" width="9.140625" style="320"/>
    <col min="6666" max="6666" width="14.5703125" style="320" customWidth="1"/>
    <col min="6667" max="6667" width="17.7109375" style="320" customWidth="1"/>
    <col min="6668" max="6668" width="7.140625" style="320" customWidth="1"/>
    <col min="6669" max="6669" width="15.5703125" style="320" customWidth="1"/>
    <col min="6670" max="6670" width="11.42578125" style="320" customWidth="1"/>
    <col min="6671" max="6671" width="9.140625" style="320"/>
    <col min="6672" max="6672" width="10.42578125" style="320" customWidth="1"/>
    <col min="6673" max="6913" width="9.140625" style="320"/>
    <col min="6914" max="6914" width="12" style="320" customWidth="1"/>
    <col min="6915" max="6915" width="9.5703125" style="320" customWidth="1"/>
    <col min="6916" max="6917" width="9.140625" style="320"/>
    <col min="6918" max="6918" width="11.42578125" style="320" customWidth="1"/>
    <col min="6919" max="6919" width="18.5703125" style="320" customWidth="1"/>
    <col min="6920" max="6920" width="21.28515625" style="320" bestFit="1" customWidth="1"/>
    <col min="6921" max="6921" width="9.140625" style="320"/>
    <col min="6922" max="6922" width="14.5703125" style="320" customWidth="1"/>
    <col min="6923" max="6923" width="17.7109375" style="320" customWidth="1"/>
    <col min="6924" max="6924" width="7.140625" style="320" customWidth="1"/>
    <col min="6925" max="6925" width="15.5703125" style="320" customWidth="1"/>
    <col min="6926" max="6926" width="11.42578125" style="320" customWidth="1"/>
    <col min="6927" max="6927" width="9.140625" style="320"/>
    <col min="6928" max="6928" width="10.42578125" style="320" customWidth="1"/>
    <col min="6929" max="7169" width="9.140625" style="320"/>
    <col min="7170" max="7170" width="12" style="320" customWidth="1"/>
    <col min="7171" max="7171" width="9.5703125" style="320" customWidth="1"/>
    <col min="7172" max="7173" width="9.140625" style="320"/>
    <col min="7174" max="7174" width="11.42578125" style="320" customWidth="1"/>
    <col min="7175" max="7175" width="18.5703125" style="320" customWidth="1"/>
    <col min="7176" max="7176" width="21.28515625" style="320" bestFit="1" customWidth="1"/>
    <col min="7177" max="7177" width="9.140625" style="320"/>
    <col min="7178" max="7178" width="14.5703125" style="320" customWidth="1"/>
    <col min="7179" max="7179" width="17.7109375" style="320" customWidth="1"/>
    <col min="7180" max="7180" width="7.140625" style="320" customWidth="1"/>
    <col min="7181" max="7181" width="15.5703125" style="320" customWidth="1"/>
    <col min="7182" max="7182" width="11.42578125" style="320" customWidth="1"/>
    <col min="7183" max="7183" width="9.140625" style="320"/>
    <col min="7184" max="7184" width="10.42578125" style="320" customWidth="1"/>
    <col min="7185" max="7425" width="9.140625" style="320"/>
    <col min="7426" max="7426" width="12" style="320" customWidth="1"/>
    <col min="7427" max="7427" width="9.5703125" style="320" customWidth="1"/>
    <col min="7428" max="7429" width="9.140625" style="320"/>
    <col min="7430" max="7430" width="11.42578125" style="320" customWidth="1"/>
    <col min="7431" max="7431" width="18.5703125" style="320" customWidth="1"/>
    <col min="7432" max="7432" width="21.28515625" style="320" bestFit="1" customWidth="1"/>
    <col min="7433" max="7433" width="9.140625" style="320"/>
    <col min="7434" max="7434" width="14.5703125" style="320" customWidth="1"/>
    <col min="7435" max="7435" width="17.7109375" style="320" customWidth="1"/>
    <col min="7436" max="7436" width="7.140625" style="320" customWidth="1"/>
    <col min="7437" max="7437" width="15.5703125" style="320" customWidth="1"/>
    <col min="7438" max="7438" width="11.42578125" style="320" customWidth="1"/>
    <col min="7439" max="7439" width="9.140625" style="320"/>
    <col min="7440" max="7440" width="10.42578125" style="320" customWidth="1"/>
    <col min="7441" max="7681" width="9.140625" style="320"/>
    <col min="7682" max="7682" width="12" style="320" customWidth="1"/>
    <col min="7683" max="7683" width="9.5703125" style="320" customWidth="1"/>
    <col min="7684" max="7685" width="9.140625" style="320"/>
    <col min="7686" max="7686" width="11.42578125" style="320" customWidth="1"/>
    <col min="7687" max="7687" width="18.5703125" style="320" customWidth="1"/>
    <col min="7688" max="7688" width="21.28515625" style="320" bestFit="1" customWidth="1"/>
    <col min="7689" max="7689" width="9.140625" style="320"/>
    <col min="7690" max="7690" width="14.5703125" style="320" customWidth="1"/>
    <col min="7691" max="7691" width="17.7109375" style="320" customWidth="1"/>
    <col min="7692" max="7692" width="7.140625" style="320" customWidth="1"/>
    <col min="7693" max="7693" width="15.5703125" style="320" customWidth="1"/>
    <col min="7694" max="7694" width="11.42578125" style="320" customWidth="1"/>
    <col min="7695" max="7695" width="9.140625" style="320"/>
    <col min="7696" max="7696" width="10.42578125" style="320" customWidth="1"/>
    <col min="7697" max="7937" width="9.140625" style="320"/>
    <col min="7938" max="7938" width="12" style="320" customWidth="1"/>
    <col min="7939" max="7939" width="9.5703125" style="320" customWidth="1"/>
    <col min="7940" max="7941" width="9.140625" style="320"/>
    <col min="7942" max="7942" width="11.42578125" style="320" customWidth="1"/>
    <col min="7943" max="7943" width="18.5703125" style="320" customWidth="1"/>
    <col min="7944" max="7944" width="21.28515625" style="320" bestFit="1" customWidth="1"/>
    <col min="7945" max="7945" width="9.140625" style="320"/>
    <col min="7946" max="7946" width="14.5703125" style="320" customWidth="1"/>
    <col min="7947" max="7947" width="17.7109375" style="320" customWidth="1"/>
    <col min="7948" max="7948" width="7.140625" style="320" customWidth="1"/>
    <col min="7949" max="7949" width="15.5703125" style="320" customWidth="1"/>
    <col min="7950" max="7950" width="11.42578125" style="320" customWidth="1"/>
    <col min="7951" max="7951" width="9.140625" style="320"/>
    <col min="7952" max="7952" width="10.42578125" style="320" customWidth="1"/>
    <col min="7953" max="8193" width="9.140625" style="320"/>
    <col min="8194" max="8194" width="12" style="320" customWidth="1"/>
    <col min="8195" max="8195" width="9.5703125" style="320" customWidth="1"/>
    <col min="8196" max="8197" width="9.140625" style="320"/>
    <col min="8198" max="8198" width="11.42578125" style="320" customWidth="1"/>
    <col min="8199" max="8199" width="18.5703125" style="320" customWidth="1"/>
    <col min="8200" max="8200" width="21.28515625" style="320" bestFit="1" customWidth="1"/>
    <col min="8201" max="8201" width="9.140625" style="320"/>
    <col min="8202" max="8202" width="14.5703125" style="320" customWidth="1"/>
    <col min="8203" max="8203" width="17.7109375" style="320" customWidth="1"/>
    <col min="8204" max="8204" width="7.140625" style="320" customWidth="1"/>
    <col min="8205" max="8205" width="15.5703125" style="320" customWidth="1"/>
    <col min="8206" max="8206" width="11.42578125" style="320" customWidth="1"/>
    <col min="8207" max="8207" width="9.140625" style="320"/>
    <col min="8208" max="8208" width="10.42578125" style="320" customWidth="1"/>
    <col min="8209" max="8449" width="9.140625" style="320"/>
    <col min="8450" max="8450" width="12" style="320" customWidth="1"/>
    <col min="8451" max="8451" width="9.5703125" style="320" customWidth="1"/>
    <col min="8452" max="8453" width="9.140625" style="320"/>
    <col min="8454" max="8454" width="11.42578125" style="320" customWidth="1"/>
    <col min="8455" max="8455" width="18.5703125" style="320" customWidth="1"/>
    <col min="8456" max="8456" width="21.28515625" style="320" bestFit="1" customWidth="1"/>
    <col min="8457" max="8457" width="9.140625" style="320"/>
    <col min="8458" max="8458" width="14.5703125" style="320" customWidth="1"/>
    <col min="8459" max="8459" width="17.7109375" style="320" customWidth="1"/>
    <col min="8460" max="8460" width="7.140625" style="320" customWidth="1"/>
    <col min="8461" max="8461" width="15.5703125" style="320" customWidth="1"/>
    <col min="8462" max="8462" width="11.42578125" style="320" customWidth="1"/>
    <col min="8463" max="8463" width="9.140625" style="320"/>
    <col min="8464" max="8464" width="10.42578125" style="320" customWidth="1"/>
    <col min="8465" max="8705" width="9.140625" style="320"/>
    <col min="8706" max="8706" width="12" style="320" customWidth="1"/>
    <col min="8707" max="8707" width="9.5703125" style="320" customWidth="1"/>
    <col min="8708" max="8709" width="9.140625" style="320"/>
    <col min="8710" max="8710" width="11.42578125" style="320" customWidth="1"/>
    <col min="8711" max="8711" width="18.5703125" style="320" customWidth="1"/>
    <col min="8712" max="8712" width="21.28515625" style="320" bestFit="1" customWidth="1"/>
    <col min="8713" max="8713" width="9.140625" style="320"/>
    <col min="8714" max="8714" width="14.5703125" style="320" customWidth="1"/>
    <col min="8715" max="8715" width="17.7109375" style="320" customWidth="1"/>
    <col min="8716" max="8716" width="7.140625" style="320" customWidth="1"/>
    <col min="8717" max="8717" width="15.5703125" style="320" customWidth="1"/>
    <col min="8718" max="8718" width="11.42578125" style="320" customWidth="1"/>
    <col min="8719" max="8719" width="9.140625" style="320"/>
    <col min="8720" max="8720" width="10.42578125" style="320" customWidth="1"/>
    <col min="8721" max="8961" width="9.140625" style="320"/>
    <col min="8962" max="8962" width="12" style="320" customWidth="1"/>
    <col min="8963" max="8963" width="9.5703125" style="320" customWidth="1"/>
    <col min="8964" max="8965" width="9.140625" style="320"/>
    <col min="8966" max="8966" width="11.42578125" style="320" customWidth="1"/>
    <col min="8967" max="8967" width="18.5703125" style="320" customWidth="1"/>
    <col min="8968" max="8968" width="21.28515625" style="320" bestFit="1" customWidth="1"/>
    <col min="8969" max="8969" width="9.140625" style="320"/>
    <col min="8970" max="8970" width="14.5703125" style="320" customWidth="1"/>
    <col min="8971" max="8971" width="17.7109375" style="320" customWidth="1"/>
    <col min="8972" max="8972" width="7.140625" style="320" customWidth="1"/>
    <col min="8973" max="8973" width="15.5703125" style="320" customWidth="1"/>
    <col min="8974" max="8974" width="11.42578125" style="320" customWidth="1"/>
    <col min="8975" max="8975" width="9.140625" style="320"/>
    <col min="8976" max="8976" width="10.42578125" style="320" customWidth="1"/>
    <col min="8977" max="9217" width="9.140625" style="320"/>
    <col min="9218" max="9218" width="12" style="320" customWidth="1"/>
    <col min="9219" max="9219" width="9.5703125" style="320" customWidth="1"/>
    <col min="9220" max="9221" width="9.140625" style="320"/>
    <col min="9222" max="9222" width="11.42578125" style="320" customWidth="1"/>
    <col min="9223" max="9223" width="18.5703125" style="320" customWidth="1"/>
    <col min="9224" max="9224" width="21.28515625" style="320" bestFit="1" customWidth="1"/>
    <col min="9225" max="9225" width="9.140625" style="320"/>
    <col min="9226" max="9226" width="14.5703125" style="320" customWidth="1"/>
    <col min="9227" max="9227" width="17.7109375" style="320" customWidth="1"/>
    <col min="9228" max="9228" width="7.140625" style="320" customWidth="1"/>
    <col min="9229" max="9229" width="15.5703125" style="320" customWidth="1"/>
    <col min="9230" max="9230" width="11.42578125" style="320" customWidth="1"/>
    <col min="9231" max="9231" width="9.140625" style="320"/>
    <col min="9232" max="9232" width="10.42578125" style="320" customWidth="1"/>
    <col min="9233" max="9473" width="9.140625" style="320"/>
    <col min="9474" max="9474" width="12" style="320" customWidth="1"/>
    <col min="9475" max="9475" width="9.5703125" style="320" customWidth="1"/>
    <col min="9476" max="9477" width="9.140625" style="320"/>
    <col min="9478" max="9478" width="11.42578125" style="320" customWidth="1"/>
    <col min="9479" max="9479" width="18.5703125" style="320" customWidth="1"/>
    <col min="9480" max="9480" width="21.28515625" style="320" bestFit="1" customWidth="1"/>
    <col min="9481" max="9481" width="9.140625" style="320"/>
    <col min="9482" max="9482" width="14.5703125" style="320" customWidth="1"/>
    <col min="9483" max="9483" width="17.7109375" style="320" customWidth="1"/>
    <col min="9484" max="9484" width="7.140625" style="320" customWidth="1"/>
    <col min="9485" max="9485" width="15.5703125" style="320" customWidth="1"/>
    <col min="9486" max="9486" width="11.42578125" style="320" customWidth="1"/>
    <col min="9487" max="9487" width="9.140625" style="320"/>
    <col min="9488" max="9488" width="10.42578125" style="320" customWidth="1"/>
    <col min="9489" max="9729" width="9.140625" style="320"/>
    <col min="9730" max="9730" width="12" style="320" customWidth="1"/>
    <col min="9731" max="9731" width="9.5703125" style="320" customWidth="1"/>
    <col min="9732" max="9733" width="9.140625" style="320"/>
    <col min="9734" max="9734" width="11.42578125" style="320" customWidth="1"/>
    <col min="9735" max="9735" width="18.5703125" style="320" customWidth="1"/>
    <col min="9736" max="9736" width="21.28515625" style="320" bestFit="1" customWidth="1"/>
    <col min="9737" max="9737" width="9.140625" style="320"/>
    <col min="9738" max="9738" width="14.5703125" style="320" customWidth="1"/>
    <col min="9739" max="9739" width="17.7109375" style="320" customWidth="1"/>
    <col min="9740" max="9740" width="7.140625" style="320" customWidth="1"/>
    <col min="9741" max="9741" width="15.5703125" style="320" customWidth="1"/>
    <col min="9742" max="9742" width="11.42578125" style="320" customWidth="1"/>
    <col min="9743" max="9743" width="9.140625" style="320"/>
    <col min="9744" max="9744" width="10.42578125" style="320" customWidth="1"/>
    <col min="9745" max="9985" width="9.140625" style="320"/>
    <col min="9986" max="9986" width="12" style="320" customWidth="1"/>
    <col min="9987" max="9987" width="9.5703125" style="320" customWidth="1"/>
    <col min="9988" max="9989" width="9.140625" style="320"/>
    <col min="9990" max="9990" width="11.42578125" style="320" customWidth="1"/>
    <col min="9991" max="9991" width="18.5703125" style="320" customWidth="1"/>
    <col min="9992" max="9992" width="21.28515625" style="320" bestFit="1" customWidth="1"/>
    <col min="9993" max="9993" width="9.140625" style="320"/>
    <col min="9994" max="9994" width="14.5703125" style="320" customWidth="1"/>
    <col min="9995" max="9995" width="17.7109375" style="320" customWidth="1"/>
    <col min="9996" max="9996" width="7.140625" style="320" customWidth="1"/>
    <col min="9997" max="9997" width="15.5703125" style="320" customWidth="1"/>
    <col min="9998" max="9998" width="11.42578125" style="320" customWidth="1"/>
    <col min="9999" max="9999" width="9.140625" style="320"/>
    <col min="10000" max="10000" width="10.42578125" style="320" customWidth="1"/>
    <col min="10001" max="10241" width="9.140625" style="320"/>
    <col min="10242" max="10242" width="12" style="320" customWidth="1"/>
    <col min="10243" max="10243" width="9.5703125" style="320" customWidth="1"/>
    <col min="10244" max="10245" width="9.140625" style="320"/>
    <col min="10246" max="10246" width="11.42578125" style="320" customWidth="1"/>
    <col min="10247" max="10247" width="18.5703125" style="320" customWidth="1"/>
    <col min="10248" max="10248" width="21.28515625" style="320" bestFit="1" customWidth="1"/>
    <col min="10249" max="10249" width="9.140625" style="320"/>
    <col min="10250" max="10250" width="14.5703125" style="320" customWidth="1"/>
    <col min="10251" max="10251" width="17.7109375" style="320" customWidth="1"/>
    <col min="10252" max="10252" width="7.140625" style="320" customWidth="1"/>
    <col min="10253" max="10253" width="15.5703125" style="320" customWidth="1"/>
    <col min="10254" max="10254" width="11.42578125" style="320" customWidth="1"/>
    <col min="10255" max="10255" width="9.140625" style="320"/>
    <col min="10256" max="10256" width="10.42578125" style="320" customWidth="1"/>
    <col min="10257" max="10497" width="9.140625" style="320"/>
    <col min="10498" max="10498" width="12" style="320" customWidth="1"/>
    <col min="10499" max="10499" width="9.5703125" style="320" customWidth="1"/>
    <col min="10500" max="10501" width="9.140625" style="320"/>
    <col min="10502" max="10502" width="11.42578125" style="320" customWidth="1"/>
    <col min="10503" max="10503" width="18.5703125" style="320" customWidth="1"/>
    <col min="10504" max="10504" width="21.28515625" style="320" bestFit="1" customWidth="1"/>
    <col min="10505" max="10505" width="9.140625" style="320"/>
    <col min="10506" max="10506" width="14.5703125" style="320" customWidth="1"/>
    <col min="10507" max="10507" width="17.7109375" style="320" customWidth="1"/>
    <col min="10508" max="10508" width="7.140625" style="320" customWidth="1"/>
    <col min="10509" max="10509" width="15.5703125" style="320" customWidth="1"/>
    <col min="10510" max="10510" width="11.42578125" style="320" customWidth="1"/>
    <col min="10511" max="10511" width="9.140625" style="320"/>
    <col min="10512" max="10512" width="10.42578125" style="320" customWidth="1"/>
    <col min="10513" max="10753" width="9.140625" style="320"/>
    <col min="10754" max="10754" width="12" style="320" customWidth="1"/>
    <col min="10755" max="10755" width="9.5703125" style="320" customWidth="1"/>
    <col min="10756" max="10757" width="9.140625" style="320"/>
    <col min="10758" max="10758" width="11.42578125" style="320" customWidth="1"/>
    <col min="10759" max="10759" width="18.5703125" style="320" customWidth="1"/>
    <col min="10760" max="10760" width="21.28515625" style="320" bestFit="1" customWidth="1"/>
    <col min="10761" max="10761" width="9.140625" style="320"/>
    <col min="10762" max="10762" width="14.5703125" style="320" customWidth="1"/>
    <col min="10763" max="10763" width="17.7109375" style="320" customWidth="1"/>
    <col min="10764" max="10764" width="7.140625" style="320" customWidth="1"/>
    <col min="10765" max="10765" width="15.5703125" style="320" customWidth="1"/>
    <col min="10766" max="10766" width="11.42578125" style="320" customWidth="1"/>
    <col min="10767" max="10767" width="9.140625" style="320"/>
    <col min="10768" max="10768" width="10.42578125" style="320" customWidth="1"/>
    <col min="10769" max="11009" width="9.140625" style="320"/>
    <col min="11010" max="11010" width="12" style="320" customWidth="1"/>
    <col min="11011" max="11011" width="9.5703125" style="320" customWidth="1"/>
    <col min="11012" max="11013" width="9.140625" style="320"/>
    <col min="11014" max="11014" width="11.42578125" style="320" customWidth="1"/>
    <col min="11015" max="11015" width="18.5703125" style="320" customWidth="1"/>
    <col min="11016" max="11016" width="21.28515625" style="320" bestFit="1" customWidth="1"/>
    <col min="11017" max="11017" width="9.140625" style="320"/>
    <col min="11018" max="11018" width="14.5703125" style="320" customWidth="1"/>
    <col min="11019" max="11019" width="17.7109375" style="320" customWidth="1"/>
    <col min="11020" max="11020" width="7.140625" style="320" customWidth="1"/>
    <col min="11021" max="11021" width="15.5703125" style="320" customWidth="1"/>
    <col min="11022" max="11022" width="11.42578125" style="320" customWidth="1"/>
    <col min="11023" max="11023" width="9.140625" style="320"/>
    <col min="11024" max="11024" width="10.42578125" style="320" customWidth="1"/>
    <col min="11025" max="11265" width="9.140625" style="320"/>
    <col min="11266" max="11266" width="12" style="320" customWidth="1"/>
    <col min="11267" max="11267" width="9.5703125" style="320" customWidth="1"/>
    <col min="11268" max="11269" width="9.140625" style="320"/>
    <col min="11270" max="11270" width="11.42578125" style="320" customWidth="1"/>
    <col min="11271" max="11271" width="18.5703125" style="320" customWidth="1"/>
    <col min="11272" max="11272" width="21.28515625" style="320" bestFit="1" customWidth="1"/>
    <col min="11273" max="11273" width="9.140625" style="320"/>
    <col min="11274" max="11274" width="14.5703125" style="320" customWidth="1"/>
    <col min="11275" max="11275" width="17.7109375" style="320" customWidth="1"/>
    <col min="11276" max="11276" width="7.140625" style="320" customWidth="1"/>
    <col min="11277" max="11277" width="15.5703125" style="320" customWidth="1"/>
    <col min="11278" max="11278" width="11.42578125" style="320" customWidth="1"/>
    <col min="11279" max="11279" width="9.140625" style="320"/>
    <col min="11280" max="11280" width="10.42578125" style="320" customWidth="1"/>
    <col min="11281" max="11521" width="9.140625" style="320"/>
    <col min="11522" max="11522" width="12" style="320" customWidth="1"/>
    <col min="11523" max="11523" width="9.5703125" style="320" customWidth="1"/>
    <col min="11524" max="11525" width="9.140625" style="320"/>
    <col min="11526" max="11526" width="11.42578125" style="320" customWidth="1"/>
    <col min="11527" max="11527" width="18.5703125" style="320" customWidth="1"/>
    <col min="11528" max="11528" width="21.28515625" style="320" bestFit="1" customWidth="1"/>
    <col min="11529" max="11529" width="9.140625" style="320"/>
    <col min="11530" max="11530" width="14.5703125" style="320" customWidth="1"/>
    <col min="11531" max="11531" width="17.7109375" style="320" customWidth="1"/>
    <col min="11532" max="11532" width="7.140625" style="320" customWidth="1"/>
    <col min="11533" max="11533" width="15.5703125" style="320" customWidth="1"/>
    <col min="11534" max="11534" width="11.42578125" style="320" customWidth="1"/>
    <col min="11535" max="11535" width="9.140625" style="320"/>
    <col min="11536" max="11536" width="10.42578125" style="320" customWidth="1"/>
    <col min="11537" max="11777" width="9.140625" style="320"/>
    <col min="11778" max="11778" width="12" style="320" customWidth="1"/>
    <col min="11779" max="11779" width="9.5703125" style="320" customWidth="1"/>
    <col min="11780" max="11781" width="9.140625" style="320"/>
    <col min="11782" max="11782" width="11.42578125" style="320" customWidth="1"/>
    <col min="11783" max="11783" width="18.5703125" style="320" customWidth="1"/>
    <col min="11784" max="11784" width="21.28515625" style="320" bestFit="1" customWidth="1"/>
    <col min="11785" max="11785" width="9.140625" style="320"/>
    <col min="11786" max="11786" width="14.5703125" style="320" customWidth="1"/>
    <col min="11787" max="11787" width="17.7109375" style="320" customWidth="1"/>
    <col min="11788" max="11788" width="7.140625" style="320" customWidth="1"/>
    <col min="11789" max="11789" width="15.5703125" style="320" customWidth="1"/>
    <col min="11790" max="11790" width="11.42578125" style="320" customWidth="1"/>
    <col min="11791" max="11791" width="9.140625" style="320"/>
    <col min="11792" max="11792" width="10.42578125" style="320" customWidth="1"/>
    <col min="11793" max="12033" width="9.140625" style="320"/>
    <col min="12034" max="12034" width="12" style="320" customWidth="1"/>
    <col min="12035" max="12035" width="9.5703125" style="320" customWidth="1"/>
    <col min="12036" max="12037" width="9.140625" style="320"/>
    <col min="12038" max="12038" width="11.42578125" style="320" customWidth="1"/>
    <col min="12039" max="12039" width="18.5703125" style="320" customWidth="1"/>
    <col min="12040" max="12040" width="21.28515625" style="320" bestFit="1" customWidth="1"/>
    <col min="12041" max="12041" width="9.140625" style="320"/>
    <col min="12042" max="12042" width="14.5703125" style="320" customWidth="1"/>
    <col min="12043" max="12043" width="17.7109375" style="320" customWidth="1"/>
    <col min="12044" max="12044" width="7.140625" style="320" customWidth="1"/>
    <col min="12045" max="12045" width="15.5703125" style="320" customWidth="1"/>
    <col min="12046" max="12046" width="11.42578125" style="320" customWidth="1"/>
    <col min="12047" max="12047" width="9.140625" style="320"/>
    <col min="12048" max="12048" width="10.42578125" style="320" customWidth="1"/>
    <col min="12049" max="12289" width="9.140625" style="320"/>
    <col min="12290" max="12290" width="12" style="320" customWidth="1"/>
    <col min="12291" max="12291" width="9.5703125" style="320" customWidth="1"/>
    <col min="12292" max="12293" width="9.140625" style="320"/>
    <col min="12294" max="12294" width="11.42578125" style="320" customWidth="1"/>
    <col min="12295" max="12295" width="18.5703125" style="320" customWidth="1"/>
    <col min="12296" max="12296" width="21.28515625" style="320" bestFit="1" customWidth="1"/>
    <col min="12297" max="12297" width="9.140625" style="320"/>
    <col min="12298" max="12298" width="14.5703125" style="320" customWidth="1"/>
    <col min="12299" max="12299" width="17.7109375" style="320" customWidth="1"/>
    <col min="12300" max="12300" width="7.140625" style="320" customWidth="1"/>
    <col min="12301" max="12301" width="15.5703125" style="320" customWidth="1"/>
    <col min="12302" max="12302" width="11.42578125" style="320" customWidth="1"/>
    <col min="12303" max="12303" width="9.140625" style="320"/>
    <col min="12304" max="12304" width="10.42578125" style="320" customWidth="1"/>
    <col min="12305" max="12545" width="9.140625" style="320"/>
    <col min="12546" max="12546" width="12" style="320" customWidth="1"/>
    <col min="12547" max="12547" width="9.5703125" style="320" customWidth="1"/>
    <col min="12548" max="12549" width="9.140625" style="320"/>
    <col min="12550" max="12550" width="11.42578125" style="320" customWidth="1"/>
    <col min="12551" max="12551" width="18.5703125" style="320" customWidth="1"/>
    <col min="12552" max="12552" width="21.28515625" style="320" bestFit="1" customWidth="1"/>
    <col min="12553" max="12553" width="9.140625" style="320"/>
    <col min="12554" max="12554" width="14.5703125" style="320" customWidth="1"/>
    <col min="12555" max="12555" width="17.7109375" style="320" customWidth="1"/>
    <col min="12556" max="12556" width="7.140625" style="320" customWidth="1"/>
    <col min="12557" max="12557" width="15.5703125" style="320" customWidth="1"/>
    <col min="12558" max="12558" width="11.42578125" style="320" customWidth="1"/>
    <col min="12559" max="12559" width="9.140625" style="320"/>
    <col min="12560" max="12560" width="10.42578125" style="320" customWidth="1"/>
    <col min="12561" max="12801" width="9.140625" style="320"/>
    <col min="12802" max="12802" width="12" style="320" customWidth="1"/>
    <col min="12803" max="12803" width="9.5703125" style="320" customWidth="1"/>
    <col min="12804" max="12805" width="9.140625" style="320"/>
    <col min="12806" max="12806" width="11.42578125" style="320" customWidth="1"/>
    <col min="12807" max="12807" width="18.5703125" style="320" customWidth="1"/>
    <col min="12808" max="12808" width="21.28515625" style="320" bestFit="1" customWidth="1"/>
    <col min="12809" max="12809" width="9.140625" style="320"/>
    <col min="12810" max="12810" width="14.5703125" style="320" customWidth="1"/>
    <col min="12811" max="12811" width="17.7109375" style="320" customWidth="1"/>
    <col min="12812" max="12812" width="7.140625" style="320" customWidth="1"/>
    <col min="12813" max="12813" width="15.5703125" style="320" customWidth="1"/>
    <col min="12814" max="12814" width="11.42578125" style="320" customWidth="1"/>
    <col min="12815" max="12815" width="9.140625" style="320"/>
    <col min="12816" max="12816" width="10.42578125" style="320" customWidth="1"/>
    <col min="12817" max="13057" width="9.140625" style="320"/>
    <col min="13058" max="13058" width="12" style="320" customWidth="1"/>
    <col min="13059" max="13059" width="9.5703125" style="320" customWidth="1"/>
    <col min="13060" max="13061" width="9.140625" style="320"/>
    <col min="13062" max="13062" width="11.42578125" style="320" customWidth="1"/>
    <col min="13063" max="13063" width="18.5703125" style="320" customWidth="1"/>
    <col min="13064" max="13064" width="21.28515625" style="320" bestFit="1" customWidth="1"/>
    <col min="13065" max="13065" width="9.140625" style="320"/>
    <col min="13066" max="13066" width="14.5703125" style="320" customWidth="1"/>
    <col min="13067" max="13067" width="17.7109375" style="320" customWidth="1"/>
    <col min="13068" max="13068" width="7.140625" style="320" customWidth="1"/>
    <col min="13069" max="13069" width="15.5703125" style="320" customWidth="1"/>
    <col min="13070" max="13070" width="11.42578125" style="320" customWidth="1"/>
    <col min="13071" max="13071" width="9.140625" style="320"/>
    <col min="13072" max="13072" width="10.42578125" style="320" customWidth="1"/>
    <col min="13073" max="13313" width="9.140625" style="320"/>
    <col min="13314" max="13314" width="12" style="320" customWidth="1"/>
    <col min="13315" max="13315" width="9.5703125" style="320" customWidth="1"/>
    <col min="13316" max="13317" width="9.140625" style="320"/>
    <col min="13318" max="13318" width="11.42578125" style="320" customWidth="1"/>
    <col min="13319" max="13319" width="18.5703125" style="320" customWidth="1"/>
    <col min="13320" max="13320" width="21.28515625" style="320" bestFit="1" customWidth="1"/>
    <col min="13321" max="13321" width="9.140625" style="320"/>
    <col min="13322" max="13322" width="14.5703125" style="320" customWidth="1"/>
    <col min="13323" max="13323" width="17.7109375" style="320" customWidth="1"/>
    <col min="13324" max="13324" width="7.140625" style="320" customWidth="1"/>
    <col min="13325" max="13325" width="15.5703125" style="320" customWidth="1"/>
    <col min="13326" max="13326" width="11.42578125" style="320" customWidth="1"/>
    <col min="13327" max="13327" width="9.140625" style="320"/>
    <col min="13328" max="13328" width="10.42578125" style="320" customWidth="1"/>
    <col min="13329" max="13569" width="9.140625" style="320"/>
    <col min="13570" max="13570" width="12" style="320" customWidth="1"/>
    <col min="13571" max="13571" width="9.5703125" style="320" customWidth="1"/>
    <col min="13572" max="13573" width="9.140625" style="320"/>
    <col min="13574" max="13574" width="11.42578125" style="320" customWidth="1"/>
    <col min="13575" max="13575" width="18.5703125" style="320" customWidth="1"/>
    <col min="13576" max="13576" width="21.28515625" style="320" bestFit="1" customWidth="1"/>
    <col min="13577" max="13577" width="9.140625" style="320"/>
    <col min="13578" max="13578" width="14.5703125" style="320" customWidth="1"/>
    <col min="13579" max="13579" width="17.7109375" style="320" customWidth="1"/>
    <col min="13580" max="13580" width="7.140625" style="320" customWidth="1"/>
    <col min="13581" max="13581" width="15.5703125" style="320" customWidth="1"/>
    <col min="13582" max="13582" width="11.42578125" style="320" customWidth="1"/>
    <col min="13583" max="13583" width="9.140625" style="320"/>
    <col min="13584" max="13584" width="10.42578125" style="320" customWidth="1"/>
    <col min="13585" max="13825" width="9.140625" style="320"/>
    <col min="13826" max="13826" width="12" style="320" customWidth="1"/>
    <col min="13827" max="13827" width="9.5703125" style="320" customWidth="1"/>
    <col min="13828" max="13829" width="9.140625" style="320"/>
    <col min="13830" max="13830" width="11.42578125" style="320" customWidth="1"/>
    <col min="13831" max="13831" width="18.5703125" style="320" customWidth="1"/>
    <col min="13832" max="13832" width="21.28515625" style="320" bestFit="1" customWidth="1"/>
    <col min="13833" max="13833" width="9.140625" style="320"/>
    <col min="13834" max="13834" width="14.5703125" style="320" customWidth="1"/>
    <col min="13835" max="13835" width="17.7109375" style="320" customWidth="1"/>
    <col min="13836" max="13836" width="7.140625" style="320" customWidth="1"/>
    <col min="13837" max="13837" width="15.5703125" style="320" customWidth="1"/>
    <col min="13838" max="13838" width="11.42578125" style="320" customWidth="1"/>
    <col min="13839" max="13839" width="9.140625" style="320"/>
    <col min="13840" max="13840" width="10.42578125" style="320" customWidth="1"/>
    <col min="13841" max="14081" width="9.140625" style="320"/>
    <col min="14082" max="14082" width="12" style="320" customWidth="1"/>
    <col min="14083" max="14083" width="9.5703125" style="320" customWidth="1"/>
    <col min="14084" max="14085" width="9.140625" style="320"/>
    <col min="14086" max="14086" width="11.42578125" style="320" customWidth="1"/>
    <col min="14087" max="14087" width="18.5703125" style="320" customWidth="1"/>
    <col min="14088" max="14088" width="21.28515625" style="320" bestFit="1" customWidth="1"/>
    <col min="14089" max="14089" width="9.140625" style="320"/>
    <col min="14090" max="14090" width="14.5703125" style="320" customWidth="1"/>
    <col min="14091" max="14091" width="17.7109375" style="320" customWidth="1"/>
    <col min="14092" max="14092" width="7.140625" style="320" customWidth="1"/>
    <col min="14093" max="14093" width="15.5703125" style="320" customWidth="1"/>
    <col min="14094" max="14094" width="11.42578125" style="320" customWidth="1"/>
    <col min="14095" max="14095" width="9.140625" style="320"/>
    <col min="14096" max="14096" width="10.42578125" style="320" customWidth="1"/>
    <col min="14097" max="14337" width="9.140625" style="320"/>
    <col min="14338" max="14338" width="12" style="320" customWidth="1"/>
    <col min="14339" max="14339" width="9.5703125" style="320" customWidth="1"/>
    <col min="14340" max="14341" width="9.140625" style="320"/>
    <col min="14342" max="14342" width="11.42578125" style="320" customWidth="1"/>
    <col min="14343" max="14343" width="18.5703125" style="320" customWidth="1"/>
    <col min="14344" max="14344" width="21.28515625" style="320" bestFit="1" customWidth="1"/>
    <col min="14345" max="14345" width="9.140625" style="320"/>
    <col min="14346" max="14346" width="14.5703125" style="320" customWidth="1"/>
    <col min="14347" max="14347" width="17.7109375" style="320" customWidth="1"/>
    <col min="14348" max="14348" width="7.140625" style="320" customWidth="1"/>
    <col min="14349" max="14349" width="15.5703125" style="320" customWidth="1"/>
    <col min="14350" max="14350" width="11.42578125" style="320" customWidth="1"/>
    <col min="14351" max="14351" width="9.140625" style="320"/>
    <col min="14352" max="14352" width="10.42578125" style="320" customWidth="1"/>
    <col min="14353" max="14593" width="9.140625" style="320"/>
    <col min="14594" max="14594" width="12" style="320" customWidth="1"/>
    <col min="14595" max="14595" width="9.5703125" style="320" customWidth="1"/>
    <col min="14596" max="14597" width="9.140625" style="320"/>
    <col min="14598" max="14598" width="11.42578125" style="320" customWidth="1"/>
    <col min="14599" max="14599" width="18.5703125" style="320" customWidth="1"/>
    <col min="14600" max="14600" width="21.28515625" style="320" bestFit="1" customWidth="1"/>
    <col min="14601" max="14601" width="9.140625" style="320"/>
    <col min="14602" max="14602" width="14.5703125" style="320" customWidth="1"/>
    <col min="14603" max="14603" width="17.7109375" style="320" customWidth="1"/>
    <col min="14604" max="14604" width="7.140625" style="320" customWidth="1"/>
    <col min="14605" max="14605" width="15.5703125" style="320" customWidth="1"/>
    <col min="14606" max="14606" width="11.42578125" style="320" customWidth="1"/>
    <col min="14607" max="14607" width="9.140625" style="320"/>
    <col min="14608" max="14608" width="10.42578125" style="320" customWidth="1"/>
    <col min="14609" max="14849" width="9.140625" style="320"/>
    <col min="14850" max="14850" width="12" style="320" customWidth="1"/>
    <col min="14851" max="14851" width="9.5703125" style="320" customWidth="1"/>
    <col min="14852" max="14853" width="9.140625" style="320"/>
    <col min="14854" max="14854" width="11.42578125" style="320" customWidth="1"/>
    <col min="14855" max="14855" width="18.5703125" style="320" customWidth="1"/>
    <col min="14856" max="14856" width="21.28515625" style="320" bestFit="1" customWidth="1"/>
    <col min="14857" max="14857" width="9.140625" style="320"/>
    <col min="14858" max="14858" width="14.5703125" style="320" customWidth="1"/>
    <col min="14859" max="14859" width="17.7109375" style="320" customWidth="1"/>
    <col min="14860" max="14860" width="7.140625" style="320" customWidth="1"/>
    <col min="14861" max="14861" width="15.5703125" style="320" customWidth="1"/>
    <col min="14862" max="14862" width="11.42578125" style="320" customWidth="1"/>
    <col min="14863" max="14863" width="9.140625" style="320"/>
    <col min="14864" max="14864" width="10.42578125" style="320" customWidth="1"/>
    <col min="14865" max="15105" width="9.140625" style="320"/>
    <col min="15106" max="15106" width="12" style="320" customWidth="1"/>
    <col min="15107" max="15107" width="9.5703125" style="320" customWidth="1"/>
    <col min="15108" max="15109" width="9.140625" style="320"/>
    <col min="15110" max="15110" width="11.42578125" style="320" customWidth="1"/>
    <col min="15111" max="15111" width="18.5703125" style="320" customWidth="1"/>
    <col min="15112" max="15112" width="21.28515625" style="320" bestFit="1" customWidth="1"/>
    <col min="15113" max="15113" width="9.140625" style="320"/>
    <col min="15114" max="15114" width="14.5703125" style="320" customWidth="1"/>
    <col min="15115" max="15115" width="17.7109375" style="320" customWidth="1"/>
    <col min="15116" max="15116" width="7.140625" style="320" customWidth="1"/>
    <col min="15117" max="15117" width="15.5703125" style="320" customWidth="1"/>
    <col min="15118" max="15118" width="11.42578125" style="320" customWidth="1"/>
    <col min="15119" max="15119" width="9.140625" style="320"/>
    <col min="15120" max="15120" width="10.42578125" style="320" customWidth="1"/>
    <col min="15121" max="15361" width="9.140625" style="320"/>
    <col min="15362" max="15362" width="12" style="320" customWidth="1"/>
    <col min="15363" max="15363" width="9.5703125" style="320" customWidth="1"/>
    <col min="15364" max="15365" width="9.140625" style="320"/>
    <col min="15366" max="15366" width="11.42578125" style="320" customWidth="1"/>
    <col min="15367" max="15367" width="18.5703125" style="320" customWidth="1"/>
    <col min="15368" max="15368" width="21.28515625" style="320" bestFit="1" customWidth="1"/>
    <col min="15369" max="15369" width="9.140625" style="320"/>
    <col min="15370" max="15370" width="14.5703125" style="320" customWidth="1"/>
    <col min="15371" max="15371" width="17.7109375" style="320" customWidth="1"/>
    <col min="15372" max="15372" width="7.140625" style="320" customWidth="1"/>
    <col min="15373" max="15373" width="15.5703125" style="320" customWidth="1"/>
    <col min="15374" max="15374" width="11.42578125" style="320" customWidth="1"/>
    <col min="15375" max="15375" width="9.140625" style="320"/>
    <col min="15376" max="15376" width="10.42578125" style="320" customWidth="1"/>
    <col min="15377" max="15617" width="9.140625" style="320"/>
    <col min="15618" max="15618" width="12" style="320" customWidth="1"/>
    <col min="15619" max="15619" width="9.5703125" style="320" customWidth="1"/>
    <col min="15620" max="15621" width="9.140625" style="320"/>
    <col min="15622" max="15622" width="11.42578125" style="320" customWidth="1"/>
    <col min="15623" max="15623" width="18.5703125" style="320" customWidth="1"/>
    <col min="15624" max="15624" width="21.28515625" style="320" bestFit="1" customWidth="1"/>
    <col min="15625" max="15625" width="9.140625" style="320"/>
    <col min="15626" max="15626" width="14.5703125" style="320" customWidth="1"/>
    <col min="15627" max="15627" width="17.7109375" style="320" customWidth="1"/>
    <col min="15628" max="15628" width="7.140625" style="320" customWidth="1"/>
    <col min="15629" max="15629" width="15.5703125" style="320" customWidth="1"/>
    <col min="15630" max="15630" width="11.42578125" style="320" customWidth="1"/>
    <col min="15631" max="15631" width="9.140625" style="320"/>
    <col min="15632" max="15632" width="10.42578125" style="320" customWidth="1"/>
    <col min="15633" max="15873" width="9.140625" style="320"/>
    <col min="15874" max="15874" width="12" style="320" customWidth="1"/>
    <col min="15875" max="15875" width="9.5703125" style="320" customWidth="1"/>
    <col min="15876" max="15877" width="9.140625" style="320"/>
    <col min="15878" max="15878" width="11.42578125" style="320" customWidth="1"/>
    <col min="15879" max="15879" width="18.5703125" style="320" customWidth="1"/>
    <col min="15880" max="15880" width="21.28515625" style="320" bestFit="1" customWidth="1"/>
    <col min="15881" max="15881" width="9.140625" style="320"/>
    <col min="15882" max="15882" width="14.5703125" style="320" customWidth="1"/>
    <col min="15883" max="15883" width="17.7109375" style="320" customWidth="1"/>
    <col min="15884" max="15884" width="7.140625" style="320" customWidth="1"/>
    <col min="15885" max="15885" width="15.5703125" style="320" customWidth="1"/>
    <col min="15886" max="15886" width="11.42578125" style="320" customWidth="1"/>
    <col min="15887" max="15887" width="9.140625" style="320"/>
    <col min="15888" max="15888" width="10.42578125" style="320" customWidth="1"/>
    <col min="15889" max="16129" width="9.140625" style="320"/>
    <col min="16130" max="16130" width="12" style="320" customWidth="1"/>
    <col min="16131" max="16131" width="9.5703125" style="320" customWidth="1"/>
    <col min="16132" max="16133" width="9.140625" style="320"/>
    <col min="16134" max="16134" width="11.42578125" style="320" customWidth="1"/>
    <col min="16135" max="16135" width="18.5703125" style="320" customWidth="1"/>
    <col min="16136" max="16136" width="21.28515625" style="320" bestFit="1" customWidth="1"/>
    <col min="16137" max="16137" width="9.140625" style="320"/>
    <col min="16138" max="16138" width="14.5703125" style="320" customWidth="1"/>
    <col min="16139" max="16139" width="17.7109375" style="320" customWidth="1"/>
    <col min="16140" max="16140" width="7.140625" style="320" customWidth="1"/>
    <col min="16141" max="16141" width="15.5703125" style="320" customWidth="1"/>
    <col min="16142" max="16142" width="11.42578125" style="320" customWidth="1"/>
    <col min="16143" max="16143" width="9.140625" style="320"/>
    <col min="16144" max="16144" width="10.42578125" style="320" customWidth="1"/>
    <col min="16145" max="16384" width="9.140625" style="320"/>
  </cols>
  <sheetData>
    <row r="1" spans="1:16" ht="15" customHeight="1">
      <c r="A1" s="1227" t="s">
        <v>308</v>
      </c>
      <c r="B1" s="1310"/>
      <c r="C1" s="1310"/>
      <c r="D1" s="1310"/>
      <c r="E1" s="1310"/>
      <c r="F1" s="1310"/>
      <c r="G1" s="1310"/>
      <c r="H1" s="1310"/>
      <c r="I1" s="1311"/>
      <c r="J1" s="1312" t="s">
        <v>309</v>
      </c>
      <c r="K1" s="1313"/>
      <c r="L1" s="1313"/>
      <c r="M1" s="1314"/>
      <c r="N1" s="1312" t="s">
        <v>310</v>
      </c>
      <c r="O1" s="1313"/>
      <c r="P1" s="1318"/>
    </row>
    <row r="2" spans="1:16" ht="15" customHeight="1">
      <c r="A2" s="1329" t="s">
        <v>603</v>
      </c>
      <c r="B2" s="1330"/>
      <c r="C2" s="1331" t="str">
        <f>'F1 Forecast Consultant'!C3</f>
        <v>Western</v>
      </c>
      <c r="D2" s="1331"/>
      <c r="E2" s="708"/>
      <c r="F2" s="708"/>
      <c r="G2" s="708"/>
      <c r="H2" s="708"/>
      <c r="I2" s="709"/>
      <c r="J2" s="1315"/>
      <c r="K2" s="1316"/>
      <c r="L2" s="1316"/>
      <c r="M2" s="1317"/>
      <c r="N2" s="1315"/>
      <c r="O2" s="1316"/>
      <c r="P2" s="1319"/>
    </row>
    <row r="3" spans="1:16" ht="15" customHeight="1">
      <c r="A3" s="1275" t="s">
        <v>311</v>
      </c>
      <c r="B3" s="1276"/>
      <c r="C3" s="1320" t="str">
        <f>'F1 Forecast Combined'!B12</f>
        <v>PLEASE INSERT TENDERER NAME ON INPUT DATA SHEET</v>
      </c>
      <c r="D3" s="1276"/>
      <c r="E3" s="1276"/>
      <c r="F3" s="1276"/>
      <c r="G3" s="1276"/>
      <c r="H3" s="1276"/>
      <c r="I3" s="1321"/>
      <c r="J3" s="1323" t="s">
        <v>312</v>
      </c>
      <c r="K3" s="1234"/>
      <c r="L3" s="1325" t="str">
        <f>" W12/9/2 -  " &amp; K6</f>
        <v xml:space="preserve"> W12/9/2 -  NRA.N.011-050-2012/1F</v>
      </c>
      <c r="M3" s="1326"/>
      <c r="N3" s="1243"/>
      <c r="O3" s="1215"/>
      <c r="P3" s="1216"/>
    </row>
    <row r="4" spans="1:16" ht="15" customHeight="1">
      <c r="A4" s="1277"/>
      <c r="B4" s="1278"/>
      <c r="C4" s="1278"/>
      <c r="D4" s="1278"/>
      <c r="E4" s="1278"/>
      <c r="F4" s="1278"/>
      <c r="G4" s="1278"/>
      <c r="H4" s="1278"/>
      <c r="I4" s="1322"/>
      <c r="J4" s="1324"/>
      <c r="K4" s="1237"/>
      <c r="L4" s="1327"/>
      <c r="M4" s="1328"/>
      <c r="N4" s="1332"/>
      <c r="O4" s="1333"/>
      <c r="P4" s="1334"/>
    </row>
    <row r="5" spans="1:16" ht="14.25" customHeight="1">
      <c r="A5" s="1275" t="s">
        <v>313</v>
      </c>
      <c r="B5" s="1276"/>
      <c r="C5" s="1279"/>
      <c r="D5" s="1279"/>
      <c r="E5" s="1279"/>
      <c r="F5" s="1279"/>
      <c r="G5" s="1279"/>
      <c r="H5" s="1279"/>
      <c r="I5" s="1280"/>
      <c r="J5" s="362" t="s">
        <v>314</v>
      </c>
      <c r="K5" s="363"/>
      <c r="L5" s="1281"/>
      <c r="M5" s="1282"/>
      <c r="N5" s="1286" t="s">
        <v>315</v>
      </c>
      <c r="O5" s="1214"/>
      <c r="P5" s="1242"/>
    </row>
    <row r="6" spans="1:16" ht="15" customHeight="1">
      <c r="A6" s="1277"/>
      <c r="B6" s="1278"/>
      <c r="C6" s="1279"/>
      <c r="D6" s="1279"/>
      <c r="E6" s="1279"/>
      <c r="F6" s="1279"/>
      <c r="G6" s="1279"/>
      <c r="H6" s="1279"/>
      <c r="I6" s="1280"/>
      <c r="J6" s="1301" t="s">
        <v>316</v>
      </c>
      <c r="K6" s="1303" t="str">
        <f>'F1 Forecast Combined'!B8</f>
        <v>NRA.N.011-050-2012/1F</v>
      </c>
      <c r="L6" s="1303"/>
      <c r="M6" s="1304"/>
      <c r="N6" s="1287"/>
      <c r="O6" s="1288"/>
      <c r="P6" s="1289"/>
    </row>
    <row r="7" spans="1:16" ht="15" customHeight="1">
      <c r="A7" s="1275" t="s">
        <v>317</v>
      </c>
      <c r="B7" s="1276"/>
      <c r="C7" s="1294" t="str">
        <f>'F1 Forecast Combined'!B9</f>
        <v>CONSULTING ENGINEERING SERVICES FOR THE PRELIMINARY DESIGN REVIEW,DETAIL DESIGN, CONTRACT DOCUMENTATION AND CONSTRUCTION MONITORING OF THE ERMELO RING ROAD</v>
      </c>
      <c r="D7" s="1295"/>
      <c r="E7" s="1295"/>
      <c r="F7" s="1295"/>
      <c r="G7" s="1295"/>
      <c r="H7" s="1295"/>
      <c r="I7" s="1296"/>
      <c r="J7" s="1302"/>
      <c r="K7" s="1305"/>
      <c r="L7" s="1305"/>
      <c r="M7" s="1306"/>
      <c r="N7" s="1243" t="s">
        <v>318</v>
      </c>
      <c r="O7" s="1215"/>
      <c r="P7" s="1216"/>
    </row>
    <row r="8" spans="1:16" ht="15" customHeight="1">
      <c r="A8" s="1290"/>
      <c r="B8" s="1291"/>
      <c r="C8" s="1297"/>
      <c r="D8" s="1297"/>
      <c r="E8" s="1297"/>
      <c r="F8" s="1297"/>
      <c r="G8" s="1297"/>
      <c r="H8" s="1297"/>
      <c r="I8" s="1298"/>
      <c r="J8" s="1301" t="s">
        <v>319</v>
      </c>
      <c r="K8" s="1308">
        <v>1</v>
      </c>
      <c r="L8" s="1246">
        <v>44804</v>
      </c>
      <c r="M8" s="1247"/>
      <c r="N8" s="1250"/>
      <c r="O8" s="1251"/>
      <c r="P8" s="1252"/>
    </row>
    <row r="9" spans="1:16" ht="15" customHeight="1" thickBot="1">
      <c r="A9" s="1292"/>
      <c r="B9" s="1293"/>
      <c r="C9" s="1299"/>
      <c r="D9" s="1299"/>
      <c r="E9" s="1299"/>
      <c r="F9" s="1299"/>
      <c r="G9" s="1299"/>
      <c r="H9" s="1299"/>
      <c r="I9" s="1300"/>
      <c r="J9" s="1307"/>
      <c r="K9" s="1309"/>
      <c r="L9" s="1248"/>
      <c r="M9" s="1249"/>
      <c r="N9" s="1253"/>
      <c r="O9" s="1254"/>
      <c r="P9" s="1255"/>
    </row>
    <row r="10" spans="1:16" ht="15" customHeight="1">
      <c r="A10" s="1256" t="s">
        <v>320</v>
      </c>
      <c r="B10" s="1259" t="s">
        <v>288</v>
      </c>
      <c r="C10" s="1259"/>
      <c r="D10" s="1259"/>
      <c r="E10" s="1259"/>
      <c r="F10" s="1260"/>
      <c r="G10" s="1264" t="s">
        <v>321</v>
      </c>
      <c r="H10" s="1266" t="s">
        <v>322</v>
      </c>
      <c r="I10" s="1268" t="s">
        <v>323</v>
      </c>
      <c r="J10" s="1269"/>
      <c r="K10" s="1266" t="s">
        <v>324</v>
      </c>
      <c r="L10" s="365" t="s">
        <v>325</v>
      </c>
      <c r="M10" s="1283" t="s">
        <v>326</v>
      </c>
      <c r="N10" s="1284"/>
      <c r="O10" s="1284"/>
      <c r="P10" s="1285"/>
    </row>
    <row r="11" spans="1:16" ht="15" customHeight="1">
      <c r="A11" s="1257"/>
      <c r="B11" s="1251"/>
      <c r="C11" s="1251"/>
      <c r="D11" s="1251"/>
      <c r="E11" s="1251"/>
      <c r="F11" s="1261"/>
      <c r="G11" s="1264"/>
      <c r="H11" s="1266"/>
      <c r="I11" s="1270"/>
      <c r="J11" s="1269"/>
      <c r="K11" s="1273"/>
      <c r="L11" s="366"/>
      <c r="M11" s="1176"/>
      <c r="N11" s="1177"/>
      <c r="O11" s="1177"/>
      <c r="P11" s="1217"/>
    </row>
    <row r="12" spans="1:16" ht="15" customHeight="1">
      <c r="A12" s="1258"/>
      <c r="B12" s="1262"/>
      <c r="C12" s="1262"/>
      <c r="D12" s="1262"/>
      <c r="E12" s="1262"/>
      <c r="F12" s="1263"/>
      <c r="G12" s="1265"/>
      <c r="H12" s="1267"/>
      <c r="I12" s="1271"/>
      <c r="J12" s="1272"/>
      <c r="K12" s="1274"/>
      <c r="L12" s="365"/>
      <c r="M12" s="1176"/>
      <c r="N12" s="1177"/>
      <c r="O12" s="1177"/>
      <c r="P12" s="1217"/>
    </row>
    <row r="13" spans="1:16" ht="15" customHeight="1">
      <c r="A13" s="367"/>
      <c r="B13" s="1177"/>
      <c r="C13" s="1177"/>
      <c r="D13" s="1177"/>
      <c r="E13" s="1177"/>
      <c r="F13" s="1212"/>
      <c r="G13" s="711"/>
      <c r="H13" s="365"/>
      <c r="I13" s="1243"/>
      <c r="J13" s="1244"/>
      <c r="K13" s="365"/>
      <c r="L13" s="365"/>
      <c r="M13" s="368" t="s">
        <v>327</v>
      </c>
      <c r="N13" s="1245"/>
      <c r="O13" s="1214"/>
      <c r="P13" s="1242"/>
    </row>
    <row r="14" spans="1:16" ht="15" customHeight="1">
      <c r="A14" s="369">
        <f>'Pricing Schedule'!A392</f>
        <v>3.2</v>
      </c>
      <c r="B14" s="1177" t="str">
        <f>'Pricing Schedule'!B392</f>
        <v>PROJECT ASSESSMENT STAGE</v>
      </c>
      <c r="C14" s="1177"/>
      <c r="D14" s="1177"/>
      <c r="E14" s="1177"/>
      <c r="F14" s="1212"/>
      <c r="G14" s="712">
        <f>'Pg 2 Sum Scheduled'!E9</f>
        <v>0</v>
      </c>
      <c r="H14" s="370">
        <f>'Pg 2 Sum Scheduled'!I9</f>
        <v>0</v>
      </c>
      <c r="I14" s="1198">
        <f>'Pg 2 Sum Scheduled'!G9</f>
        <v>0</v>
      </c>
      <c r="J14" s="1199"/>
      <c r="K14" s="371">
        <f>+H14-I14</f>
        <v>0</v>
      </c>
      <c r="L14" s="365" t="str">
        <f>'C3.2'!$N$1</f>
        <v>C3.2</v>
      </c>
      <c r="M14" s="368"/>
      <c r="N14" s="1214"/>
      <c r="O14" s="1214"/>
      <c r="P14" s="372"/>
    </row>
    <row r="15" spans="1:16" ht="15" customHeight="1">
      <c r="A15" s="369"/>
      <c r="B15" s="1177"/>
      <c r="C15" s="1177"/>
      <c r="D15" s="1177"/>
      <c r="E15" s="1177"/>
      <c r="F15" s="1212"/>
      <c r="G15" s="712"/>
      <c r="H15" s="373"/>
      <c r="I15" s="1198"/>
      <c r="J15" s="1199"/>
      <c r="K15" s="374"/>
      <c r="L15" s="365"/>
      <c r="M15" s="368" t="s">
        <v>329</v>
      </c>
      <c r="N15" s="1241"/>
      <c r="O15" s="1214"/>
      <c r="P15" s="1242"/>
    </row>
    <row r="16" spans="1:16" ht="15" customHeight="1">
      <c r="A16" s="369">
        <f>'Pricing Schedule'!A393</f>
        <v>3.3</v>
      </c>
      <c r="B16" s="1177" t="str">
        <f>'Pricing Schedule'!B393</f>
        <v>INVESTIGATIONS FOR DESIGN DEVELOPMENT</v>
      </c>
      <c r="C16" s="1177"/>
      <c r="D16" s="1177"/>
      <c r="E16" s="1177"/>
      <c r="F16" s="1212"/>
      <c r="G16" s="712">
        <f>'Pg 2 Sum Scheduled'!E10</f>
        <v>19250000</v>
      </c>
      <c r="H16" s="370">
        <f>'Pg 2 Sum Scheduled'!I10</f>
        <v>0</v>
      </c>
      <c r="I16" s="1198">
        <f>'Pg 2 Sum Scheduled'!G10</f>
        <v>0</v>
      </c>
      <c r="J16" s="1199"/>
      <c r="K16" s="371">
        <f>H16-I16</f>
        <v>0</v>
      </c>
      <c r="L16" s="365" t="str">
        <f>'C3.3'!$N$1</f>
        <v>C3.3</v>
      </c>
      <c r="M16" s="1213"/>
      <c r="N16" s="1214"/>
      <c r="O16" s="1214"/>
      <c r="P16" s="372"/>
    </row>
    <row r="17" spans="1:16" ht="15" customHeight="1" thickBot="1">
      <c r="A17" s="369"/>
      <c r="B17" s="1177"/>
      <c r="C17" s="1177"/>
      <c r="D17" s="1177"/>
      <c r="E17" s="1177"/>
      <c r="F17" s="1212"/>
      <c r="G17" s="712"/>
      <c r="H17" s="370"/>
      <c r="I17" s="1198"/>
      <c r="J17" s="1199"/>
      <c r="K17" s="375"/>
      <c r="L17" s="365"/>
      <c r="M17" s="1239"/>
      <c r="N17" s="1240"/>
      <c r="O17" s="1240"/>
      <c r="P17" s="376"/>
    </row>
    <row r="18" spans="1:16" ht="15" customHeight="1">
      <c r="A18" s="369">
        <f>'Pricing Schedule'!A394</f>
        <v>3.4</v>
      </c>
      <c r="B18" s="1177" t="str">
        <f>'Pricing Schedule'!B394</f>
        <v>DESIGN DEVELOPMENT STAGE</v>
      </c>
      <c r="C18" s="1177"/>
      <c r="D18" s="1177"/>
      <c r="E18" s="1177"/>
      <c r="F18" s="1212"/>
      <c r="G18" s="712" t="e">
        <f>'Pg 2 Sum Scheduled'!E11</f>
        <v>#N/A</v>
      </c>
      <c r="H18" s="370" t="e">
        <f>'Pg 2 Sum Scheduled'!I11</f>
        <v>#N/A</v>
      </c>
      <c r="I18" s="1198">
        <f>'Pg 2 Sum Scheduled'!G11</f>
        <v>0</v>
      </c>
      <c r="J18" s="1199"/>
      <c r="K18" s="371" t="e">
        <f>H18-I18</f>
        <v>#N/A</v>
      </c>
      <c r="L18" s="365" t="str">
        <f>'C3.4'!$N$1</f>
        <v>C3.4</v>
      </c>
      <c r="M18" s="1227" t="s">
        <v>332</v>
      </c>
      <c r="N18" s="1228"/>
      <c r="O18" s="1228"/>
      <c r="P18" s="1229"/>
    </row>
    <row r="19" spans="1:16" ht="15" customHeight="1">
      <c r="A19" s="369"/>
      <c r="B19" s="1177"/>
      <c r="C19" s="1177"/>
      <c r="D19" s="1177"/>
      <c r="E19" s="1177"/>
      <c r="F19" s="1212"/>
      <c r="G19" s="712"/>
      <c r="H19" s="370"/>
      <c r="I19" s="1198"/>
      <c r="J19" s="1199"/>
      <c r="K19" s="371"/>
      <c r="L19" s="365"/>
      <c r="M19" s="1230"/>
      <c r="N19" s="1231"/>
      <c r="O19" s="1231"/>
      <c r="P19" s="1232"/>
    </row>
    <row r="20" spans="1:16" ht="15" customHeight="1">
      <c r="A20" s="369">
        <f>'Pricing Schedule'!A395</f>
        <v>3.5</v>
      </c>
      <c r="B20" s="1177" t="str">
        <f>'Pricing Schedule'!B395</f>
        <v>TENDER DOCUMENTATION</v>
      </c>
      <c r="C20" s="1177"/>
      <c r="D20" s="1177"/>
      <c r="E20" s="1177"/>
      <c r="F20" s="1212"/>
      <c r="G20" s="712">
        <f>'Pg 2 Sum Scheduled'!E12</f>
        <v>0</v>
      </c>
      <c r="H20" s="370">
        <f>'Pg 2 Sum Scheduled'!I12</f>
        <v>0</v>
      </c>
      <c r="I20" s="1198">
        <f>'Pg 2 Sum Scheduled'!G12</f>
        <v>0</v>
      </c>
      <c r="J20" s="1199"/>
      <c r="K20" s="371">
        <f t="shared" ref="K20:K30" si="0">H20-I20</f>
        <v>0</v>
      </c>
      <c r="L20" s="365" t="str">
        <f>'C3.5'!$N$1</f>
        <v>C3.5</v>
      </c>
      <c r="M20" s="1233" t="s">
        <v>601</v>
      </c>
      <c r="N20" s="1234"/>
      <c r="O20" s="1234"/>
      <c r="P20" s="1235"/>
    </row>
    <row r="21" spans="1:16" ht="15" customHeight="1">
      <c r="A21" s="369"/>
      <c r="B21" s="1177"/>
      <c r="C21" s="1177"/>
      <c r="D21" s="1177"/>
      <c r="E21" s="1177"/>
      <c r="F21" s="1212"/>
      <c r="G21" s="712"/>
      <c r="H21" s="370"/>
      <c r="I21" s="1198"/>
      <c r="J21" s="1199"/>
      <c r="K21" s="371"/>
      <c r="L21" s="365"/>
      <c r="M21" s="1236"/>
      <c r="N21" s="1237"/>
      <c r="O21" s="1237"/>
      <c r="P21" s="1238"/>
    </row>
    <row r="22" spans="1:16" ht="15" customHeight="1">
      <c r="A22" s="369">
        <f>'Pricing Schedule'!A396</f>
        <v>3.6</v>
      </c>
      <c r="B22" s="1177" t="str">
        <f>'Pricing Schedule'!B396</f>
        <v>CLARIFICATION MEETING, TENDER PERIOD AND TENDER EVALUATION</v>
      </c>
      <c r="C22" s="1177"/>
      <c r="D22" s="1177"/>
      <c r="E22" s="1177"/>
      <c r="F22" s="1212"/>
      <c r="G22" s="712">
        <f>'Pg 2 Sum Scheduled'!E13</f>
        <v>50000</v>
      </c>
      <c r="H22" s="370">
        <f>'Pg 2 Sum Scheduled'!I13</f>
        <v>0</v>
      </c>
      <c r="I22" s="1198">
        <f>'Pg 2 Sum Scheduled'!G13</f>
        <v>0</v>
      </c>
      <c r="J22" s="1199"/>
      <c r="K22" s="371">
        <f t="shared" si="0"/>
        <v>0</v>
      </c>
      <c r="L22" s="365" t="str">
        <f>'C3.6'!$N$1</f>
        <v>C3.6</v>
      </c>
      <c r="M22" s="1224"/>
      <c r="N22" s="1225"/>
      <c r="O22" s="1225"/>
      <c r="P22" s="1226"/>
    </row>
    <row r="23" spans="1:16" ht="15" customHeight="1">
      <c r="A23" s="369"/>
      <c r="B23" s="1177"/>
      <c r="C23" s="1177"/>
      <c r="D23" s="1177"/>
      <c r="E23" s="1177"/>
      <c r="F23" s="1212"/>
      <c r="G23" s="712"/>
      <c r="H23" s="370"/>
      <c r="I23" s="1198"/>
      <c r="J23" s="1199"/>
      <c r="K23" s="371"/>
      <c r="L23" s="365"/>
      <c r="M23" s="1176" t="s">
        <v>335</v>
      </c>
      <c r="N23" s="1177"/>
      <c r="O23" s="1177" t="s">
        <v>335</v>
      </c>
      <c r="P23" s="1217"/>
    </row>
    <row r="24" spans="1:16" ht="15" customHeight="1">
      <c r="A24" s="369">
        <f>'Pricing Schedule'!A397</f>
        <v>3.7</v>
      </c>
      <c r="B24" s="1177" t="str">
        <f>'Pricing Schedule'!B397</f>
        <v>ADMINISTRATION AND MONITORING OF THE WORKS CONTRACT</v>
      </c>
      <c r="C24" s="1177"/>
      <c r="D24" s="1177"/>
      <c r="E24" s="1177"/>
      <c r="F24" s="1212"/>
      <c r="G24" s="712" t="e">
        <f>'Pg 2 Sum Scheduled'!E14</f>
        <v>#N/A</v>
      </c>
      <c r="H24" s="370" t="e">
        <f>'Pg 2 Sum Scheduled'!I14</f>
        <v>#N/A</v>
      </c>
      <c r="I24" s="1198">
        <f>'Pg 2 Sum Scheduled'!G14</f>
        <v>0</v>
      </c>
      <c r="J24" s="1199"/>
      <c r="K24" s="371" t="e">
        <f t="shared" si="0"/>
        <v>#N/A</v>
      </c>
      <c r="L24" s="365" t="str">
        <f>'C3.7'!$N$1</f>
        <v>C3.7</v>
      </c>
      <c r="M24" s="1218" t="s">
        <v>337</v>
      </c>
      <c r="N24" s="1210"/>
      <c r="O24" s="1210" t="s">
        <v>338</v>
      </c>
      <c r="P24" s="1211"/>
    </row>
    <row r="25" spans="1:16" ht="15" customHeight="1">
      <c r="A25" s="369"/>
      <c r="B25" s="1177"/>
      <c r="C25" s="1177"/>
      <c r="D25" s="1177"/>
      <c r="E25" s="1177"/>
      <c r="F25" s="1212"/>
      <c r="G25" s="712"/>
      <c r="H25" s="370"/>
      <c r="I25" s="1198"/>
      <c r="J25" s="1199"/>
      <c r="K25" s="371"/>
      <c r="L25" s="365"/>
      <c r="M25" s="1202" t="s">
        <v>600</v>
      </c>
      <c r="N25" s="1219"/>
      <c r="O25" s="1219"/>
      <c r="P25" s="1220"/>
    </row>
    <row r="26" spans="1:16" ht="15" customHeight="1">
      <c r="A26" s="369">
        <f>'Pricing Schedule'!A398</f>
        <v>3.8</v>
      </c>
      <c r="B26" s="1177" t="str">
        <f>'Pricing Schedule'!B398</f>
        <v>ADDITIONAL DUTIES, SPECIAL SERVICES AND SPECIALIST ADVICE</v>
      </c>
      <c r="C26" s="1177"/>
      <c r="D26" s="1177"/>
      <c r="E26" s="1177"/>
      <c r="F26" s="1212"/>
      <c r="G26" s="712">
        <f>'Pg 2 Sum Scheduled'!E15</f>
        <v>9559220</v>
      </c>
      <c r="H26" s="370">
        <f>'Pg 2 Sum Scheduled'!I15</f>
        <v>0</v>
      </c>
      <c r="I26" s="1198">
        <f>'Pg 2 Sum Scheduled'!G15</f>
        <v>0</v>
      </c>
      <c r="J26" s="1199"/>
      <c r="K26" s="371">
        <f t="shared" si="0"/>
        <v>0</v>
      </c>
      <c r="L26" s="365" t="str">
        <f>'C3.8'!$N$1</f>
        <v>C3.8</v>
      </c>
      <c r="M26" s="1221"/>
      <c r="N26" s="1222"/>
      <c r="O26" s="1222"/>
      <c r="P26" s="1223"/>
    </row>
    <row r="27" spans="1:16" ht="15" customHeight="1">
      <c r="A27" s="369"/>
      <c r="B27" s="1177"/>
      <c r="C27" s="1177"/>
      <c r="D27" s="1177"/>
      <c r="E27" s="1177"/>
      <c r="F27" s="1212"/>
      <c r="G27" s="712"/>
      <c r="H27" s="370"/>
      <c r="I27" s="1198"/>
      <c r="J27" s="1199"/>
      <c r="K27" s="371"/>
      <c r="L27" s="365"/>
      <c r="M27" s="1213"/>
      <c r="N27" s="1214"/>
      <c r="O27" s="1215"/>
      <c r="P27" s="1216"/>
    </row>
    <row r="28" spans="1:16" ht="15" customHeight="1">
      <c r="A28" s="369">
        <f>'Pricing Schedule'!A399</f>
        <v>3.9</v>
      </c>
      <c r="B28" s="1177" t="str">
        <f>'Pricing Schedule'!B399</f>
        <v>QUALITY CONTROL: WORKS CONTRACT</v>
      </c>
      <c r="C28" s="1177"/>
      <c r="D28" s="1177"/>
      <c r="E28" s="1177"/>
      <c r="F28" s="1212"/>
      <c r="G28" s="712">
        <f>'Pg 2 Sum Scheduled'!E16</f>
        <v>28750000</v>
      </c>
      <c r="H28" s="370">
        <f>'Pg 2 Sum Scheduled'!I16</f>
        <v>0</v>
      </c>
      <c r="I28" s="1198">
        <f>'Pg 2 Sum Scheduled'!G16</f>
        <v>0</v>
      </c>
      <c r="J28" s="1199"/>
      <c r="K28" s="371">
        <f t="shared" si="0"/>
        <v>0</v>
      </c>
      <c r="L28" s="365" t="str">
        <f>'C3.9'!$N$1</f>
        <v>C3.9</v>
      </c>
      <c r="M28" s="1176" t="s">
        <v>335</v>
      </c>
      <c r="N28" s="1177"/>
      <c r="O28" s="1177" t="s">
        <v>335</v>
      </c>
      <c r="P28" s="1217"/>
    </row>
    <row r="29" spans="1:16" ht="15" customHeight="1">
      <c r="A29" s="369"/>
      <c r="B29" s="1195"/>
      <c r="C29" s="1169"/>
      <c r="D29" s="1169"/>
      <c r="E29" s="1169"/>
      <c r="F29" s="1170"/>
      <c r="G29" s="712"/>
      <c r="H29" s="370"/>
      <c r="I29" s="1198"/>
      <c r="J29" s="1199"/>
      <c r="K29" s="371"/>
      <c r="L29" s="365"/>
      <c r="M29" s="1208" t="s">
        <v>602</v>
      </c>
      <c r="N29" s="1209"/>
      <c r="O29" s="1210" t="s">
        <v>338</v>
      </c>
      <c r="P29" s="1211"/>
    </row>
    <row r="30" spans="1:16" ht="15" customHeight="1">
      <c r="A30" s="702">
        <f>'Pricing Schedule'!A400</f>
        <v>3.1</v>
      </c>
      <c r="B30" s="1177" t="str">
        <f>'Pricing Schedule'!B400</f>
        <v>CLOSE OUT</v>
      </c>
      <c r="C30" s="1177"/>
      <c r="D30" s="1177"/>
      <c r="E30" s="1177"/>
      <c r="F30" s="1212"/>
      <c r="G30" s="712" t="e">
        <f>'Pg 2 Sum Scheduled'!E17</f>
        <v>#N/A</v>
      </c>
      <c r="H30" s="370" t="e">
        <f>'Pg 2 Sum Scheduled'!I17</f>
        <v>#N/A</v>
      </c>
      <c r="I30" s="1198">
        <f>'Pg 2 Sum Scheduled'!G17</f>
        <v>0</v>
      </c>
      <c r="J30" s="1199"/>
      <c r="K30" s="371" t="e">
        <f t="shared" si="0"/>
        <v>#N/A</v>
      </c>
      <c r="L30" s="365" t="str">
        <f>'C3.10'!$N$1</f>
        <v>C3.10</v>
      </c>
      <c r="M30" s="377"/>
      <c r="N30" s="378"/>
      <c r="O30" s="378"/>
      <c r="P30" s="379"/>
    </row>
    <row r="31" spans="1:16" ht="15" customHeight="1">
      <c r="A31" s="369"/>
      <c r="B31" s="1195"/>
      <c r="C31" s="1169"/>
      <c r="D31" s="1169"/>
      <c r="E31" s="1169"/>
      <c r="F31" s="1170"/>
      <c r="G31" s="712"/>
      <c r="H31" s="370"/>
      <c r="I31" s="1198"/>
      <c r="J31" s="1199"/>
      <c r="K31" s="375"/>
      <c r="L31" s="365"/>
      <c r="M31" s="904" t="s">
        <v>335</v>
      </c>
      <c r="N31" s="711"/>
      <c r="O31" s="711" t="s">
        <v>344</v>
      </c>
      <c r="P31" s="907"/>
    </row>
    <row r="32" spans="1:16" ht="15" customHeight="1">
      <c r="A32" s="369" t="s">
        <v>341</v>
      </c>
      <c r="B32" s="1195" t="s">
        <v>342</v>
      </c>
      <c r="C32" s="1169"/>
      <c r="D32" s="1169"/>
      <c r="E32" s="1169"/>
      <c r="F32" s="1170"/>
      <c r="G32" s="712"/>
      <c r="H32" s="370">
        <f>'Pg 1 Payment'!L17</f>
        <v>0</v>
      </c>
      <c r="I32" s="1196">
        <f>DATA!O52</f>
        <v>0</v>
      </c>
      <c r="J32" s="1197"/>
      <c r="K32" s="371">
        <f t="shared" ref="K32:K34" si="1">H32-I32</f>
        <v>0</v>
      </c>
      <c r="L32" s="365" t="s">
        <v>343</v>
      </c>
      <c r="M32" s="380" t="s">
        <v>345</v>
      </c>
      <c r="N32" s="381"/>
      <c r="O32" s="381" t="s">
        <v>338</v>
      </c>
      <c r="P32" s="382"/>
    </row>
    <row r="33" spans="1:16" ht="15" customHeight="1">
      <c r="A33" s="369"/>
      <c r="B33" s="1195"/>
      <c r="C33" s="1169"/>
      <c r="D33" s="1169"/>
      <c r="E33" s="1169"/>
      <c r="F33" s="1170"/>
      <c r="G33" s="712"/>
      <c r="H33" s="370"/>
      <c r="I33" s="1198"/>
      <c r="J33" s="1199"/>
      <c r="K33" s="375"/>
      <c r="L33" s="365"/>
      <c r="M33" s="1202" t="s">
        <v>346</v>
      </c>
      <c r="N33" s="1203"/>
      <c r="O33" s="1203"/>
      <c r="P33" s="1204"/>
    </row>
    <row r="34" spans="1:16" ht="15" customHeight="1">
      <c r="A34" s="369" t="s">
        <v>845</v>
      </c>
      <c r="B34" s="1195" t="s">
        <v>845</v>
      </c>
      <c r="C34" s="1169"/>
      <c r="D34" s="1169"/>
      <c r="E34" s="1169"/>
      <c r="F34" s="1170"/>
      <c r="G34" s="712"/>
      <c r="H34" s="370">
        <f>SUM('Pg 1 Payment'!L13:L14)</f>
        <v>0</v>
      </c>
      <c r="I34" s="1196">
        <f>DATA!GN52</f>
        <v>0</v>
      </c>
      <c r="J34" s="1197"/>
      <c r="K34" s="371">
        <f t="shared" si="1"/>
        <v>0</v>
      </c>
      <c r="L34" s="366" t="s">
        <v>846</v>
      </c>
      <c r="M34" s="1205"/>
      <c r="N34" s="1206"/>
      <c r="O34" s="1206"/>
      <c r="P34" s="1207"/>
    </row>
    <row r="35" spans="1:16" ht="15" customHeight="1">
      <c r="A35" s="369"/>
      <c r="B35" s="1195"/>
      <c r="C35" s="1169"/>
      <c r="D35" s="1169"/>
      <c r="E35" s="1169"/>
      <c r="F35" s="1170"/>
      <c r="G35" s="712"/>
      <c r="H35" s="370"/>
      <c r="I35" s="1198"/>
      <c r="J35" s="1199"/>
      <c r="K35" s="371"/>
      <c r="L35" s="366"/>
      <c r="M35" s="905"/>
      <c r="N35" s="906"/>
      <c r="O35" s="906"/>
      <c r="P35" s="912"/>
    </row>
    <row r="36" spans="1:16" ht="15" customHeight="1">
      <c r="A36" s="369" t="s">
        <v>847</v>
      </c>
      <c r="B36" s="1195" t="s">
        <v>848</v>
      </c>
      <c r="C36" s="1169"/>
      <c r="D36" s="1169"/>
      <c r="E36" s="1169"/>
      <c r="F36" s="1170"/>
      <c r="G36" s="712"/>
      <c r="H36" s="370">
        <f>'Pg 1 Payment'!L23*-1</f>
        <v>0</v>
      </c>
      <c r="I36" s="1196">
        <f>DATA!GO52</f>
        <v>0</v>
      </c>
      <c r="J36" s="1197"/>
      <c r="K36" s="371">
        <f>(H36-I36)</f>
        <v>0</v>
      </c>
      <c r="L36" s="366" t="s">
        <v>849</v>
      </c>
      <c r="M36" s="905"/>
      <c r="N36" s="906"/>
      <c r="O36" s="906"/>
      <c r="P36" s="912"/>
    </row>
    <row r="37" spans="1:16" ht="15" customHeight="1">
      <c r="A37" s="369"/>
      <c r="B37" s="1195"/>
      <c r="C37" s="1169"/>
      <c r="D37" s="1169"/>
      <c r="E37" s="1169"/>
      <c r="F37" s="1170"/>
      <c r="G37" s="712"/>
      <c r="H37" s="373"/>
      <c r="I37" s="1198"/>
      <c r="J37" s="1199"/>
      <c r="K37" s="375"/>
      <c r="L37" s="366"/>
      <c r="M37" s="904" t="s">
        <v>335</v>
      </c>
      <c r="N37" s="711"/>
      <c r="O37" s="711" t="s">
        <v>344</v>
      </c>
      <c r="P37" s="907"/>
    </row>
    <row r="38" spans="1:16" ht="15" customHeight="1">
      <c r="A38" s="911" t="s">
        <v>850</v>
      </c>
      <c r="B38" s="1177" t="s">
        <v>347</v>
      </c>
      <c r="C38" s="1169"/>
      <c r="D38" s="1169"/>
      <c r="E38" s="1169"/>
      <c r="F38" s="1170"/>
      <c r="G38" s="713"/>
      <c r="H38" s="370" t="e">
        <f>'Pg 1 Payment'!L20*-1</f>
        <v>#N/A</v>
      </c>
      <c r="I38" s="1200">
        <f>DATA!P56</f>
        <v>0</v>
      </c>
      <c r="J38" s="1201"/>
      <c r="K38" s="371" t="e">
        <f>(H38-I38)</f>
        <v>#N/A</v>
      </c>
      <c r="L38" s="366" t="s">
        <v>846</v>
      </c>
      <c r="M38" s="380" t="s">
        <v>345</v>
      </c>
      <c r="N38" s="381"/>
      <c r="O38" s="381" t="s">
        <v>338</v>
      </c>
      <c r="P38" s="382"/>
    </row>
    <row r="39" spans="1:16" ht="15" customHeight="1">
      <c r="A39" s="383"/>
      <c r="B39" s="1191"/>
      <c r="C39" s="1191"/>
      <c r="D39" s="1191"/>
      <c r="E39" s="1191"/>
      <c r="F39" s="1192"/>
      <c r="G39" s="714"/>
      <c r="H39" s="384"/>
      <c r="I39" s="1193"/>
      <c r="J39" s="1194"/>
      <c r="K39" s="385"/>
      <c r="L39" s="366"/>
      <c r="M39" s="386"/>
      <c r="N39" s="387"/>
      <c r="O39" s="387"/>
      <c r="P39" s="388"/>
    </row>
    <row r="40" spans="1:16" ht="15" customHeight="1">
      <c r="A40" s="1168" t="s">
        <v>348</v>
      </c>
      <c r="B40" s="1169"/>
      <c r="C40" s="1169"/>
      <c r="D40" s="1169"/>
      <c r="E40" s="1169"/>
      <c r="F40" s="1170"/>
      <c r="G40" s="1179" t="e">
        <f>SUM(G14:G38)</f>
        <v>#N/A</v>
      </c>
      <c r="H40" s="1181" t="e">
        <f>SUM(H13:H39)</f>
        <v>#N/A</v>
      </c>
      <c r="I40" s="1183">
        <f>SUM(I13:J39)</f>
        <v>0</v>
      </c>
      <c r="J40" s="1184"/>
      <c r="K40" s="1181" t="e">
        <f>+H40-I40</f>
        <v>#N/A</v>
      </c>
      <c r="L40" s="366"/>
      <c r="M40" s="368"/>
      <c r="P40" s="372"/>
    </row>
    <row r="41" spans="1:16" ht="15" customHeight="1">
      <c r="A41" s="1178"/>
      <c r="B41" s="1169"/>
      <c r="C41" s="1169"/>
      <c r="D41" s="1169"/>
      <c r="E41" s="1169"/>
      <c r="F41" s="1170"/>
      <c r="G41" s="1180"/>
      <c r="H41" s="1182"/>
      <c r="I41" s="1185"/>
      <c r="J41" s="1186"/>
      <c r="K41" s="1182"/>
      <c r="L41" s="366"/>
      <c r="M41" s="904" t="s">
        <v>335</v>
      </c>
      <c r="N41" s="711"/>
      <c r="O41" s="711" t="s">
        <v>344</v>
      </c>
      <c r="P41" s="907"/>
    </row>
    <row r="42" spans="1:16" ht="15" customHeight="1" thickBot="1">
      <c r="A42" s="1168" t="str">
        <f>"VAT (" &amp; DATA!$C$1032*100 &amp;"%)"</f>
        <v>VAT (15%)</v>
      </c>
      <c r="B42" s="1169"/>
      <c r="C42" s="1169"/>
      <c r="D42" s="1169"/>
      <c r="E42" s="1169"/>
      <c r="F42" s="1170"/>
      <c r="G42" s="1179" t="e">
        <f>+G40*DATA!$C$1032</f>
        <v>#N/A</v>
      </c>
      <c r="H42" s="1181" t="e">
        <f>DATA!$C$1032*H40</f>
        <v>#N/A</v>
      </c>
      <c r="I42" s="1183">
        <f>DATA!$C$1032*I40</f>
        <v>0</v>
      </c>
      <c r="J42" s="1184"/>
      <c r="K42" s="1181" t="e">
        <f>DATA!$C$1032*K40</f>
        <v>#N/A</v>
      </c>
      <c r="L42" s="366"/>
      <c r="M42" s="704" t="s">
        <v>350</v>
      </c>
      <c r="N42" s="705"/>
      <c r="O42" s="705" t="s">
        <v>338</v>
      </c>
      <c r="P42" s="706"/>
    </row>
    <row r="43" spans="1:16" ht="15" customHeight="1" thickBot="1">
      <c r="A43" s="1178"/>
      <c r="B43" s="1169"/>
      <c r="C43" s="1169"/>
      <c r="D43" s="1169"/>
      <c r="E43" s="1169"/>
      <c r="F43" s="1170"/>
      <c r="G43" s="1180"/>
      <c r="H43" s="1182"/>
      <c r="I43" s="1185"/>
      <c r="J43" s="1186"/>
      <c r="K43" s="1182"/>
      <c r="L43" s="366"/>
    </row>
    <row r="44" spans="1:16" ht="15" customHeight="1">
      <c r="A44" s="1168" t="s">
        <v>349</v>
      </c>
      <c r="B44" s="1169"/>
      <c r="C44" s="1169"/>
      <c r="D44" s="1169"/>
      <c r="E44" s="1169"/>
      <c r="F44" s="1170"/>
      <c r="G44" s="1179" t="e">
        <f>+G42+G40</f>
        <v>#N/A</v>
      </c>
      <c r="H44" s="1181" t="e">
        <f>H40+H42</f>
        <v>#N/A</v>
      </c>
      <c r="I44" s="1183">
        <f>I40+I42</f>
        <v>0</v>
      </c>
      <c r="J44" s="1184"/>
      <c r="K44" s="1181" t="e">
        <f>ROUND((K40+K42),2)</f>
        <v>#N/A</v>
      </c>
      <c r="L44" s="366"/>
      <c r="M44" s="390"/>
      <c r="N44" s="391"/>
      <c r="O44" s="391"/>
      <c r="P44" s="392"/>
    </row>
    <row r="45" spans="1:16" ht="15" customHeight="1" thickBot="1">
      <c r="A45" s="1178"/>
      <c r="B45" s="1169"/>
      <c r="C45" s="1169"/>
      <c r="D45" s="1169"/>
      <c r="E45" s="1169"/>
      <c r="F45" s="1170"/>
      <c r="G45" s="1180"/>
      <c r="H45" s="1182"/>
      <c r="I45" s="1185"/>
      <c r="J45" s="1186"/>
      <c r="K45" s="1187"/>
      <c r="L45" s="366"/>
      <c r="M45" s="368"/>
      <c r="P45" s="372"/>
    </row>
    <row r="46" spans="1:16" ht="15" customHeight="1" thickTop="1">
      <c r="A46" s="1168" t="s">
        <v>351</v>
      </c>
      <c r="B46" s="1169"/>
      <c r="C46" s="1169"/>
      <c r="D46" s="1169"/>
      <c r="E46" s="1169"/>
      <c r="F46" s="1169"/>
      <c r="G46" s="1169"/>
      <c r="H46" s="1169"/>
      <c r="I46" s="1169"/>
      <c r="J46" s="1188"/>
      <c r="K46" s="1189" t="e">
        <f>K44</f>
        <v>#N/A</v>
      </c>
      <c r="L46" s="389"/>
      <c r="M46" s="368"/>
      <c r="P46" s="372"/>
    </row>
    <row r="47" spans="1:16" ht="15" customHeight="1" thickBot="1">
      <c r="A47" s="1178"/>
      <c r="B47" s="1169"/>
      <c r="C47" s="1169"/>
      <c r="D47" s="1169"/>
      <c r="E47" s="1169"/>
      <c r="F47" s="1169"/>
      <c r="G47" s="1169"/>
      <c r="H47" s="1169"/>
      <c r="I47" s="1169"/>
      <c r="J47" s="1188"/>
      <c r="K47" s="1190"/>
      <c r="M47" s="904"/>
      <c r="N47" s="711"/>
      <c r="O47" s="711"/>
      <c r="P47" s="907"/>
    </row>
    <row r="48" spans="1:16" ht="15" customHeight="1" thickTop="1">
      <c r="A48" s="1168" t="s">
        <v>352</v>
      </c>
      <c r="B48" s="1169"/>
      <c r="C48" s="1169"/>
      <c r="D48" s="1169"/>
      <c r="E48" s="1169"/>
      <c r="F48" s="1169"/>
      <c r="G48" s="1169"/>
      <c r="H48" s="1169"/>
      <c r="I48" s="1169"/>
      <c r="J48" s="1170"/>
      <c r="K48" s="1174" t="e">
        <f>VLOOKUP(DATA!C301,'F1 Forecast Consultant'!$A$20:$F$123,5,FALSE)</f>
        <v>#N/A</v>
      </c>
      <c r="M48" s="1176" t="s">
        <v>353</v>
      </c>
      <c r="N48" s="1177"/>
      <c r="O48" s="711" t="s">
        <v>354</v>
      </c>
      <c r="P48" s="372"/>
    </row>
    <row r="49" spans="1:16" ht="15" customHeight="1" thickBot="1">
      <c r="A49" s="1171"/>
      <c r="B49" s="1172"/>
      <c r="C49" s="1172"/>
      <c r="D49" s="1172"/>
      <c r="E49" s="1172"/>
      <c r="F49" s="1172"/>
      <c r="G49" s="1172"/>
      <c r="H49" s="1172"/>
      <c r="I49" s="1172"/>
      <c r="J49" s="1173"/>
      <c r="K49" s="1175"/>
      <c r="L49" s="393"/>
      <c r="M49" s="703" t="s">
        <v>355</v>
      </c>
      <c r="N49" s="394"/>
      <c r="O49" s="394" t="s">
        <v>356</v>
      </c>
      <c r="P49" s="395"/>
    </row>
    <row r="54" spans="1:16" ht="15" customHeight="1">
      <c r="K54" s="396"/>
    </row>
  </sheetData>
  <mergeCells count="129">
    <mergeCell ref="A1:I1"/>
    <mergeCell ref="J1:M2"/>
    <mergeCell ref="N1:P2"/>
    <mergeCell ref="A3:B4"/>
    <mergeCell ref="C3:I4"/>
    <mergeCell ref="J3:K4"/>
    <mergeCell ref="L3:M4"/>
    <mergeCell ref="A2:B2"/>
    <mergeCell ref="C2:D2"/>
    <mergeCell ref="N3:P4"/>
    <mergeCell ref="A10:A12"/>
    <mergeCell ref="B10:F12"/>
    <mergeCell ref="G10:G12"/>
    <mergeCell ref="H10:H12"/>
    <mergeCell ref="I10:J12"/>
    <mergeCell ref="K10:K12"/>
    <mergeCell ref="A5:B6"/>
    <mergeCell ref="C5:I5"/>
    <mergeCell ref="L5:M5"/>
    <mergeCell ref="M10:P10"/>
    <mergeCell ref="M11:P11"/>
    <mergeCell ref="M12:P12"/>
    <mergeCell ref="N5:P5"/>
    <mergeCell ref="C6:I6"/>
    <mergeCell ref="N6:P6"/>
    <mergeCell ref="A7:B9"/>
    <mergeCell ref="C7:I9"/>
    <mergeCell ref="J6:J7"/>
    <mergeCell ref="K6:M7"/>
    <mergeCell ref="J8:J9"/>
    <mergeCell ref="K8:K9"/>
    <mergeCell ref="B13:F13"/>
    <mergeCell ref="I13:J13"/>
    <mergeCell ref="N13:P13"/>
    <mergeCell ref="N7:P7"/>
    <mergeCell ref="L8:M9"/>
    <mergeCell ref="N8:P9"/>
    <mergeCell ref="B16:F16"/>
    <mergeCell ref="I16:J16"/>
    <mergeCell ref="M16:O16"/>
    <mergeCell ref="B17:F17"/>
    <mergeCell ref="I17:J17"/>
    <mergeCell ref="M17:O17"/>
    <mergeCell ref="B14:F14"/>
    <mergeCell ref="I14:J14"/>
    <mergeCell ref="N14:O14"/>
    <mergeCell ref="B15:F15"/>
    <mergeCell ref="I15:J15"/>
    <mergeCell ref="N15:P15"/>
    <mergeCell ref="B22:F22"/>
    <mergeCell ref="I22:J22"/>
    <mergeCell ref="M22:N22"/>
    <mergeCell ref="O22:P22"/>
    <mergeCell ref="B23:F23"/>
    <mergeCell ref="I23:J23"/>
    <mergeCell ref="M23:N23"/>
    <mergeCell ref="O23:P23"/>
    <mergeCell ref="B18:F18"/>
    <mergeCell ref="I18:J18"/>
    <mergeCell ref="M18:P19"/>
    <mergeCell ref="B19:F19"/>
    <mergeCell ref="I19:J19"/>
    <mergeCell ref="B20:F20"/>
    <mergeCell ref="I20:J20"/>
    <mergeCell ref="M20:P21"/>
    <mergeCell ref="B21:F21"/>
    <mergeCell ref="I21:J21"/>
    <mergeCell ref="B24:F24"/>
    <mergeCell ref="I24:J24"/>
    <mergeCell ref="M24:N24"/>
    <mergeCell ref="O24:P24"/>
    <mergeCell ref="B25:F25"/>
    <mergeCell ref="I25:J25"/>
    <mergeCell ref="M25:P26"/>
    <mergeCell ref="B26:F26"/>
    <mergeCell ref="I26:J26"/>
    <mergeCell ref="M33:P34"/>
    <mergeCell ref="B29:F29"/>
    <mergeCell ref="I29:J29"/>
    <mergeCell ref="M29:N29"/>
    <mergeCell ref="O29:P29"/>
    <mergeCell ref="B30:F30"/>
    <mergeCell ref="I30:J30"/>
    <mergeCell ref="B27:F27"/>
    <mergeCell ref="I27:J27"/>
    <mergeCell ref="M27:N27"/>
    <mergeCell ref="O27:P27"/>
    <mergeCell ref="B28:F28"/>
    <mergeCell ref="I28:J28"/>
    <mergeCell ref="M28:N28"/>
    <mergeCell ref="O28:P28"/>
    <mergeCell ref="B36:F36"/>
    <mergeCell ref="I36:J36"/>
    <mergeCell ref="B37:F37"/>
    <mergeCell ref="I37:J37"/>
    <mergeCell ref="B38:F38"/>
    <mergeCell ref="I38:J38"/>
    <mergeCell ref="B31:F31"/>
    <mergeCell ref="I31:J31"/>
    <mergeCell ref="B32:F32"/>
    <mergeCell ref="I32:J32"/>
    <mergeCell ref="B33:F33"/>
    <mergeCell ref="I33:J33"/>
    <mergeCell ref="B34:F34"/>
    <mergeCell ref="I34:J34"/>
    <mergeCell ref="B35:F35"/>
    <mergeCell ref="I35:J35"/>
    <mergeCell ref="K40:K41"/>
    <mergeCell ref="A42:F43"/>
    <mergeCell ref="G42:G43"/>
    <mergeCell ref="H42:H43"/>
    <mergeCell ref="I42:J43"/>
    <mergeCell ref="K42:K43"/>
    <mergeCell ref="B39:F39"/>
    <mergeCell ref="I39:J39"/>
    <mergeCell ref="A40:F41"/>
    <mergeCell ref="G40:G41"/>
    <mergeCell ref="H40:H41"/>
    <mergeCell ref="I40:J41"/>
    <mergeCell ref="A48:J49"/>
    <mergeCell ref="K48:K49"/>
    <mergeCell ref="M48:N48"/>
    <mergeCell ref="A44:F45"/>
    <mergeCell ref="G44:G45"/>
    <mergeCell ref="H44:H45"/>
    <mergeCell ref="I44:J45"/>
    <mergeCell ref="K44:K45"/>
    <mergeCell ref="A46:J47"/>
    <mergeCell ref="K46:K47"/>
  </mergeCells>
  <printOptions horizontalCentered="1"/>
  <pageMargins left="0.15748031496062992" right="0" top="0.35433070866141736" bottom="0.15748031496062992" header="0.19685039370078741" footer="0.27559055118110237"/>
  <pageSetup paperSize="9" scale="74" orientation="landscape" r:id="rId1"/>
  <headerFooter alignWithMargins="0">
    <oddHeader>&amp;L&amp;"Calibri"&amp;10&amp;K000000Sensitivity - General&amp;1#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runmonthlycopy">
                <anchor moveWithCells="1" sizeWithCells="1">
                  <from>
                    <xdr:col>16</xdr:col>
                    <xdr:colOff>180975</xdr:colOff>
                    <xdr:row>0</xdr:row>
                    <xdr:rowOff>152400</xdr:rowOff>
                  </from>
                  <to>
                    <xdr:col>20</xdr:col>
                    <xdr:colOff>219075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9"/>
    <pageSetUpPr fitToPage="1"/>
  </sheetPr>
  <dimension ref="A1:N39"/>
  <sheetViews>
    <sheetView workbookViewId="0"/>
  </sheetViews>
  <sheetFormatPr defaultColWidth="12.5703125" defaultRowHeight="15"/>
  <cols>
    <col min="1" max="1" width="8.42578125" style="397" customWidth="1"/>
    <col min="2" max="2" width="20.140625" style="397" customWidth="1"/>
    <col min="3" max="3" width="20" style="397" customWidth="1"/>
    <col min="4" max="4" width="10.85546875" style="397" customWidth="1"/>
    <col min="5" max="5" width="3.7109375" style="397" customWidth="1"/>
    <col min="6" max="6" width="7.7109375" style="397" customWidth="1"/>
    <col min="7" max="11" width="16.85546875" style="397" customWidth="1"/>
    <col min="12" max="12" width="18.28515625" style="397" customWidth="1"/>
    <col min="13" max="13" width="4.7109375" style="397" customWidth="1"/>
    <col min="14" max="14" width="26.5703125" style="397" customWidth="1"/>
    <col min="15" max="256" width="12.5703125" style="397"/>
    <col min="257" max="257" width="8.42578125" style="397" customWidth="1"/>
    <col min="258" max="258" width="20.140625" style="397" customWidth="1"/>
    <col min="259" max="259" width="20" style="397" customWidth="1"/>
    <col min="260" max="260" width="10.85546875" style="397" customWidth="1"/>
    <col min="261" max="261" width="3.7109375" style="397" customWidth="1"/>
    <col min="262" max="262" width="7.7109375" style="397" customWidth="1"/>
    <col min="263" max="267" width="16.85546875" style="397" customWidth="1"/>
    <col min="268" max="268" width="18.28515625" style="397" customWidth="1"/>
    <col min="269" max="269" width="4.7109375" style="397" customWidth="1"/>
    <col min="270" max="270" width="26.5703125" style="397" customWidth="1"/>
    <col min="271" max="512" width="12.5703125" style="397"/>
    <col min="513" max="513" width="8.42578125" style="397" customWidth="1"/>
    <col min="514" max="514" width="20.140625" style="397" customWidth="1"/>
    <col min="515" max="515" width="20" style="397" customWidth="1"/>
    <col min="516" max="516" width="10.85546875" style="397" customWidth="1"/>
    <col min="517" max="517" width="3.7109375" style="397" customWidth="1"/>
    <col min="518" max="518" width="7.7109375" style="397" customWidth="1"/>
    <col min="519" max="523" width="16.85546875" style="397" customWidth="1"/>
    <col min="524" max="524" width="18.28515625" style="397" customWidth="1"/>
    <col min="525" max="525" width="4.7109375" style="397" customWidth="1"/>
    <col min="526" max="526" width="26.5703125" style="397" customWidth="1"/>
    <col min="527" max="768" width="12.5703125" style="397"/>
    <col min="769" max="769" width="8.42578125" style="397" customWidth="1"/>
    <col min="770" max="770" width="20.140625" style="397" customWidth="1"/>
    <col min="771" max="771" width="20" style="397" customWidth="1"/>
    <col min="772" max="772" width="10.85546875" style="397" customWidth="1"/>
    <col min="773" max="773" width="3.7109375" style="397" customWidth="1"/>
    <col min="774" max="774" width="7.7109375" style="397" customWidth="1"/>
    <col min="775" max="779" width="16.85546875" style="397" customWidth="1"/>
    <col min="780" max="780" width="18.28515625" style="397" customWidth="1"/>
    <col min="781" max="781" width="4.7109375" style="397" customWidth="1"/>
    <col min="782" max="782" width="26.5703125" style="397" customWidth="1"/>
    <col min="783" max="1024" width="12.5703125" style="397"/>
    <col min="1025" max="1025" width="8.42578125" style="397" customWidth="1"/>
    <col min="1026" max="1026" width="20.140625" style="397" customWidth="1"/>
    <col min="1027" max="1027" width="20" style="397" customWidth="1"/>
    <col min="1028" max="1028" width="10.85546875" style="397" customWidth="1"/>
    <col min="1029" max="1029" width="3.7109375" style="397" customWidth="1"/>
    <col min="1030" max="1030" width="7.7109375" style="397" customWidth="1"/>
    <col min="1031" max="1035" width="16.85546875" style="397" customWidth="1"/>
    <col min="1036" max="1036" width="18.28515625" style="397" customWidth="1"/>
    <col min="1037" max="1037" width="4.7109375" style="397" customWidth="1"/>
    <col min="1038" max="1038" width="26.5703125" style="397" customWidth="1"/>
    <col min="1039" max="1280" width="12.5703125" style="397"/>
    <col min="1281" max="1281" width="8.42578125" style="397" customWidth="1"/>
    <col min="1282" max="1282" width="20.140625" style="397" customWidth="1"/>
    <col min="1283" max="1283" width="20" style="397" customWidth="1"/>
    <col min="1284" max="1284" width="10.85546875" style="397" customWidth="1"/>
    <col min="1285" max="1285" width="3.7109375" style="397" customWidth="1"/>
    <col min="1286" max="1286" width="7.7109375" style="397" customWidth="1"/>
    <col min="1287" max="1291" width="16.85546875" style="397" customWidth="1"/>
    <col min="1292" max="1292" width="18.28515625" style="397" customWidth="1"/>
    <col min="1293" max="1293" width="4.7109375" style="397" customWidth="1"/>
    <col min="1294" max="1294" width="26.5703125" style="397" customWidth="1"/>
    <col min="1295" max="1536" width="12.5703125" style="397"/>
    <col min="1537" max="1537" width="8.42578125" style="397" customWidth="1"/>
    <col min="1538" max="1538" width="20.140625" style="397" customWidth="1"/>
    <col min="1539" max="1539" width="20" style="397" customWidth="1"/>
    <col min="1540" max="1540" width="10.85546875" style="397" customWidth="1"/>
    <col min="1541" max="1541" width="3.7109375" style="397" customWidth="1"/>
    <col min="1542" max="1542" width="7.7109375" style="397" customWidth="1"/>
    <col min="1543" max="1547" width="16.85546875" style="397" customWidth="1"/>
    <col min="1548" max="1548" width="18.28515625" style="397" customWidth="1"/>
    <col min="1549" max="1549" width="4.7109375" style="397" customWidth="1"/>
    <col min="1550" max="1550" width="26.5703125" style="397" customWidth="1"/>
    <col min="1551" max="1792" width="12.5703125" style="397"/>
    <col min="1793" max="1793" width="8.42578125" style="397" customWidth="1"/>
    <col min="1794" max="1794" width="20.140625" style="397" customWidth="1"/>
    <col min="1795" max="1795" width="20" style="397" customWidth="1"/>
    <col min="1796" max="1796" width="10.85546875" style="397" customWidth="1"/>
    <col min="1797" max="1797" width="3.7109375" style="397" customWidth="1"/>
    <col min="1798" max="1798" width="7.7109375" style="397" customWidth="1"/>
    <col min="1799" max="1803" width="16.85546875" style="397" customWidth="1"/>
    <col min="1804" max="1804" width="18.28515625" style="397" customWidth="1"/>
    <col min="1805" max="1805" width="4.7109375" style="397" customWidth="1"/>
    <col min="1806" max="1806" width="26.5703125" style="397" customWidth="1"/>
    <col min="1807" max="2048" width="12.5703125" style="397"/>
    <col min="2049" max="2049" width="8.42578125" style="397" customWidth="1"/>
    <col min="2050" max="2050" width="20.140625" style="397" customWidth="1"/>
    <col min="2051" max="2051" width="20" style="397" customWidth="1"/>
    <col min="2052" max="2052" width="10.85546875" style="397" customWidth="1"/>
    <col min="2053" max="2053" width="3.7109375" style="397" customWidth="1"/>
    <col min="2054" max="2054" width="7.7109375" style="397" customWidth="1"/>
    <col min="2055" max="2059" width="16.85546875" style="397" customWidth="1"/>
    <col min="2060" max="2060" width="18.28515625" style="397" customWidth="1"/>
    <col min="2061" max="2061" width="4.7109375" style="397" customWidth="1"/>
    <col min="2062" max="2062" width="26.5703125" style="397" customWidth="1"/>
    <col min="2063" max="2304" width="12.5703125" style="397"/>
    <col min="2305" max="2305" width="8.42578125" style="397" customWidth="1"/>
    <col min="2306" max="2306" width="20.140625" style="397" customWidth="1"/>
    <col min="2307" max="2307" width="20" style="397" customWidth="1"/>
    <col min="2308" max="2308" width="10.85546875" style="397" customWidth="1"/>
    <col min="2309" max="2309" width="3.7109375" style="397" customWidth="1"/>
    <col min="2310" max="2310" width="7.7109375" style="397" customWidth="1"/>
    <col min="2311" max="2315" width="16.85546875" style="397" customWidth="1"/>
    <col min="2316" max="2316" width="18.28515625" style="397" customWidth="1"/>
    <col min="2317" max="2317" width="4.7109375" style="397" customWidth="1"/>
    <col min="2318" max="2318" width="26.5703125" style="397" customWidth="1"/>
    <col min="2319" max="2560" width="12.5703125" style="397"/>
    <col min="2561" max="2561" width="8.42578125" style="397" customWidth="1"/>
    <col min="2562" max="2562" width="20.140625" style="397" customWidth="1"/>
    <col min="2563" max="2563" width="20" style="397" customWidth="1"/>
    <col min="2564" max="2564" width="10.85546875" style="397" customWidth="1"/>
    <col min="2565" max="2565" width="3.7109375" style="397" customWidth="1"/>
    <col min="2566" max="2566" width="7.7109375" style="397" customWidth="1"/>
    <col min="2567" max="2571" width="16.85546875" style="397" customWidth="1"/>
    <col min="2572" max="2572" width="18.28515625" style="397" customWidth="1"/>
    <col min="2573" max="2573" width="4.7109375" style="397" customWidth="1"/>
    <col min="2574" max="2574" width="26.5703125" style="397" customWidth="1"/>
    <col min="2575" max="2816" width="12.5703125" style="397"/>
    <col min="2817" max="2817" width="8.42578125" style="397" customWidth="1"/>
    <col min="2818" max="2818" width="20.140625" style="397" customWidth="1"/>
    <col min="2819" max="2819" width="20" style="397" customWidth="1"/>
    <col min="2820" max="2820" width="10.85546875" style="397" customWidth="1"/>
    <col min="2821" max="2821" width="3.7109375" style="397" customWidth="1"/>
    <col min="2822" max="2822" width="7.7109375" style="397" customWidth="1"/>
    <col min="2823" max="2827" width="16.85546875" style="397" customWidth="1"/>
    <col min="2828" max="2828" width="18.28515625" style="397" customWidth="1"/>
    <col min="2829" max="2829" width="4.7109375" style="397" customWidth="1"/>
    <col min="2830" max="2830" width="26.5703125" style="397" customWidth="1"/>
    <col min="2831" max="3072" width="12.5703125" style="397"/>
    <col min="3073" max="3073" width="8.42578125" style="397" customWidth="1"/>
    <col min="3074" max="3074" width="20.140625" style="397" customWidth="1"/>
    <col min="3075" max="3075" width="20" style="397" customWidth="1"/>
    <col min="3076" max="3076" width="10.85546875" style="397" customWidth="1"/>
    <col min="3077" max="3077" width="3.7109375" style="397" customWidth="1"/>
    <col min="3078" max="3078" width="7.7109375" style="397" customWidth="1"/>
    <col min="3079" max="3083" width="16.85546875" style="397" customWidth="1"/>
    <col min="3084" max="3084" width="18.28515625" style="397" customWidth="1"/>
    <col min="3085" max="3085" width="4.7109375" style="397" customWidth="1"/>
    <col min="3086" max="3086" width="26.5703125" style="397" customWidth="1"/>
    <col min="3087" max="3328" width="12.5703125" style="397"/>
    <col min="3329" max="3329" width="8.42578125" style="397" customWidth="1"/>
    <col min="3330" max="3330" width="20.140625" style="397" customWidth="1"/>
    <col min="3331" max="3331" width="20" style="397" customWidth="1"/>
    <col min="3332" max="3332" width="10.85546875" style="397" customWidth="1"/>
    <col min="3333" max="3333" width="3.7109375" style="397" customWidth="1"/>
    <col min="3334" max="3334" width="7.7109375" style="397" customWidth="1"/>
    <col min="3335" max="3339" width="16.85546875" style="397" customWidth="1"/>
    <col min="3340" max="3340" width="18.28515625" style="397" customWidth="1"/>
    <col min="3341" max="3341" width="4.7109375" style="397" customWidth="1"/>
    <col min="3342" max="3342" width="26.5703125" style="397" customWidth="1"/>
    <col min="3343" max="3584" width="12.5703125" style="397"/>
    <col min="3585" max="3585" width="8.42578125" style="397" customWidth="1"/>
    <col min="3586" max="3586" width="20.140625" style="397" customWidth="1"/>
    <col min="3587" max="3587" width="20" style="397" customWidth="1"/>
    <col min="3588" max="3588" width="10.85546875" style="397" customWidth="1"/>
    <col min="3589" max="3589" width="3.7109375" style="397" customWidth="1"/>
    <col min="3590" max="3590" width="7.7109375" style="397" customWidth="1"/>
    <col min="3591" max="3595" width="16.85546875" style="397" customWidth="1"/>
    <col min="3596" max="3596" width="18.28515625" style="397" customWidth="1"/>
    <col min="3597" max="3597" width="4.7109375" style="397" customWidth="1"/>
    <col min="3598" max="3598" width="26.5703125" style="397" customWidth="1"/>
    <col min="3599" max="3840" width="12.5703125" style="397"/>
    <col min="3841" max="3841" width="8.42578125" style="397" customWidth="1"/>
    <col min="3842" max="3842" width="20.140625" style="397" customWidth="1"/>
    <col min="3843" max="3843" width="20" style="397" customWidth="1"/>
    <col min="3844" max="3844" width="10.85546875" style="397" customWidth="1"/>
    <col min="3845" max="3845" width="3.7109375" style="397" customWidth="1"/>
    <col min="3846" max="3846" width="7.7109375" style="397" customWidth="1"/>
    <col min="3847" max="3851" width="16.85546875" style="397" customWidth="1"/>
    <col min="3852" max="3852" width="18.28515625" style="397" customWidth="1"/>
    <col min="3853" max="3853" width="4.7109375" style="397" customWidth="1"/>
    <col min="3854" max="3854" width="26.5703125" style="397" customWidth="1"/>
    <col min="3855" max="4096" width="12.5703125" style="397"/>
    <col min="4097" max="4097" width="8.42578125" style="397" customWidth="1"/>
    <col min="4098" max="4098" width="20.140625" style="397" customWidth="1"/>
    <col min="4099" max="4099" width="20" style="397" customWidth="1"/>
    <col min="4100" max="4100" width="10.85546875" style="397" customWidth="1"/>
    <col min="4101" max="4101" width="3.7109375" style="397" customWidth="1"/>
    <col min="4102" max="4102" width="7.7109375" style="397" customWidth="1"/>
    <col min="4103" max="4107" width="16.85546875" style="397" customWidth="1"/>
    <col min="4108" max="4108" width="18.28515625" style="397" customWidth="1"/>
    <col min="4109" max="4109" width="4.7109375" style="397" customWidth="1"/>
    <col min="4110" max="4110" width="26.5703125" style="397" customWidth="1"/>
    <col min="4111" max="4352" width="12.5703125" style="397"/>
    <col min="4353" max="4353" width="8.42578125" style="397" customWidth="1"/>
    <col min="4354" max="4354" width="20.140625" style="397" customWidth="1"/>
    <col min="4355" max="4355" width="20" style="397" customWidth="1"/>
    <col min="4356" max="4356" width="10.85546875" style="397" customWidth="1"/>
    <col min="4357" max="4357" width="3.7109375" style="397" customWidth="1"/>
    <col min="4358" max="4358" width="7.7109375" style="397" customWidth="1"/>
    <col min="4359" max="4363" width="16.85546875" style="397" customWidth="1"/>
    <col min="4364" max="4364" width="18.28515625" style="397" customWidth="1"/>
    <col min="4365" max="4365" width="4.7109375" style="397" customWidth="1"/>
    <col min="4366" max="4366" width="26.5703125" style="397" customWidth="1"/>
    <col min="4367" max="4608" width="12.5703125" style="397"/>
    <col min="4609" max="4609" width="8.42578125" style="397" customWidth="1"/>
    <col min="4610" max="4610" width="20.140625" style="397" customWidth="1"/>
    <col min="4611" max="4611" width="20" style="397" customWidth="1"/>
    <col min="4612" max="4612" width="10.85546875" style="397" customWidth="1"/>
    <col min="4613" max="4613" width="3.7109375" style="397" customWidth="1"/>
    <col min="4614" max="4614" width="7.7109375" style="397" customWidth="1"/>
    <col min="4615" max="4619" width="16.85546875" style="397" customWidth="1"/>
    <col min="4620" max="4620" width="18.28515625" style="397" customWidth="1"/>
    <col min="4621" max="4621" width="4.7109375" style="397" customWidth="1"/>
    <col min="4622" max="4622" width="26.5703125" style="397" customWidth="1"/>
    <col min="4623" max="4864" width="12.5703125" style="397"/>
    <col min="4865" max="4865" width="8.42578125" style="397" customWidth="1"/>
    <col min="4866" max="4866" width="20.140625" style="397" customWidth="1"/>
    <col min="4867" max="4867" width="20" style="397" customWidth="1"/>
    <col min="4868" max="4868" width="10.85546875" style="397" customWidth="1"/>
    <col min="4869" max="4869" width="3.7109375" style="397" customWidth="1"/>
    <col min="4870" max="4870" width="7.7109375" style="397" customWidth="1"/>
    <col min="4871" max="4875" width="16.85546875" style="397" customWidth="1"/>
    <col min="4876" max="4876" width="18.28515625" style="397" customWidth="1"/>
    <col min="4877" max="4877" width="4.7109375" style="397" customWidth="1"/>
    <col min="4878" max="4878" width="26.5703125" style="397" customWidth="1"/>
    <col min="4879" max="5120" width="12.5703125" style="397"/>
    <col min="5121" max="5121" width="8.42578125" style="397" customWidth="1"/>
    <col min="5122" max="5122" width="20.140625" style="397" customWidth="1"/>
    <col min="5123" max="5123" width="20" style="397" customWidth="1"/>
    <col min="5124" max="5124" width="10.85546875" style="397" customWidth="1"/>
    <col min="5125" max="5125" width="3.7109375" style="397" customWidth="1"/>
    <col min="5126" max="5126" width="7.7109375" style="397" customWidth="1"/>
    <col min="5127" max="5131" width="16.85546875" style="397" customWidth="1"/>
    <col min="5132" max="5132" width="18.28515625" style="397" customWidth="1"/>
    <col min="5133" max="5133" width="4.7109375" style="397" customWidth="1"/>
    <col min="5134" max="5134" width="26.5703125" style="397" customWidth="1"/>
    <col min="5135" max="5376" width="12.5703125" style="397"/>
    <col min="5377" max="5377" width="8.42578125" style="397" customWidth="1"/>
    <col min="5378" max="5378" width="20.140625" style="397" customWidth="1"/>
    <col min="5379" max="5379" width="20" style="397" customWidth="1"/>
    <col min="5380" max="5380" width="10.85546875" style="397" customWidth="1"/>
    <col min="5381" max="5381" width="3.7109375" style="397" customWidth="1"/>
    <col min="5382" max="5382" width="7.7109375" style="397" customWidth="1"/>
    <col min="5383" max="5387" width="16.85546875" style="397" customWidth="1"/>
    <col min="5388" max="5388" width="18.28515625" style="397" customWidth="1"/>
    <col min="5389" max="5389" width="4.7109375" style="397" customWidth="1"/>
    <col min="5390" max="5390" width="26.5703125" style="397" customWidth="1"/>
    <col min="5391" max="5632" width="12.5703125" style="397"/>
    <col min="5633" max="5633" width="8.42578125" style="397" customWidth="1"/>
    <col min="5634" max="5634" width="20.140625" style="397" customWidth="1"/>
    <col min="5635" max="5635" width="20" style="397" customWidth="1"/>
    <col min="5636" max="5636" width="10.85546875" style="397" customWidth="1"/>
    <col min="5637" max="5637" width="3.7109375" style="397" customWidth="1"/>
    <col min="5638" max="5638" width="7.7109375" style="397" customWidth="1"/>
    <col min="5639" max="5643" width="16.85546875" style="397" customWidth="1"/>
    <col min="5644" max="5644" width="18.28515625" style="397" customWidth="1"/>
    <col min="5645" max="5645" width="4.7109375" style="397" customWidth="1"/>
    <col min="5646" max="5646" width="26.5703125" style="397" customWidth="1"/>
    <col min="5647" max="5888" width="12.5703125" style="397"/>
    <col min="5889" max="5889" width="8.42578125" style="397" customWidth="1"/>
    <col min="5890" max="5890" width="20.140625" style="397" customWidth="1"/>
    <col min="5891" max="5891" width="20" style="397" customWidth="1"/>
    <col min="5892" max="5892" width="10.85546875" style="397" customWidth="1"/>
    <col min="5893" max="5893" width="3.7109375" style="397" customWidth="1"/>
    <col min="5894" max="5894" width="7.7109375" style="397" customWidth="1"/>
    <col min="5895" max="5899" width="16.85546875" style="397" customWidth="1"/>
    <col min="5900" max="5900" width="18.28515625" style="397" customWidth="1"/>
    <col min="5901" max="5901" width="4.7109375" style="397" customWidth="1"/>
    <col min="5902" max="5902" width="26.5703125" style="397" customWidth="1"/>
    <col min="5903" max="6144" width="12.5703125" style="397"/>
    <col min="6145" max="6145" width="8.42578125" style="397" customWidth="1"/>
    <col min="6146" max="6146" width="20.140625" style="397" customWidth="1"/>
    <col min="6147" max="6147" width="20" style="397" customWidth="1"/>
    <col min="6148" max="6148" width="10.85546875" style="397" customWidth="1"/>
    <col min="6149" max="6149" width="3.7109375" style="397" customWidth="1"/>
    <col min="6150" max="6150" width="7.7109375" style="397" customWidth="1"/>
    <col min="6151" max="6155" width="16.85546875" style="397" customWidth="1"/>
    <col min="6156" max="6156" width="18.28515625" style="397" customWidth="1"/>
    <col min="6157" max="6157" width="4.7109375" style="397" customWidth="1"/>
    <col min="6158" max="6158" width="26.5703125" style="397" customWidth="1"/>
    <col min="6159" max="6400" width="12.5703125" style="397"/>
    <col min="6401" max="6401" width="8.42578125" style="397" customWidth="1"/>
    <col min="6402" max="6402" width="20.140625" style="397" customWidth="1"/>
    <col min="6403" max="6403" width="20" style="397" customWidth="1"/>
    <col min="6404" max="6404" width="10.85546875" style="397" customWidth="1"/>
    <col min="6405" max="6405" width="3.7109375" style="397" customWidth="1"/>
    <col min="6406" max="6406" width="7.7109375" style="397" customWidth="1"/>
    <col min="6407" max="6411" width="16.85546875" style="397" customWidth="1"/>
    <col min="6412" max="6412" width="18.28515625" style="397" customWidth="1"/>
    <col min="6413" max="6413" width="4.7109375" style="397" customWidth="1"/>
    <col min="6414" max="6414" width="26.5703125" style="397" customWidth="1"/>
    <col min="6415" max="6656" width="12.5703125" style="397"/>
    <col min="6657" max="6657" width="8.42578125" style="397" customWidth="1"/>
    <col min="6658" max="6658" width="20.140625" style="397" customWidth="1"/>
    <col min="6659" max="6659" width="20" style="397" customWidth="1"/>
    <col min="6660" max="6660" width="10.85546875" style="397" customWidth="1"/>
    <col min="6661" max="6661" width="3.7109375" style="397" customWidth="1"/>
    <col min="6662" max="6662" width="7.7109375" style="397" customWidth="1"/>
    <col min="6663" max="6667" width="16.85546875" style="397" customWidth="1"/>
    <col min="6668" max="6668" width="18.28515625" style="397" customWidth="1"/>
    <col min="6669" max="6669" width="4.7109375" style="397" customWidth="1"/>
    <col min="6670" max="6670" width="26.5703125" style="397" customWidth="1"/>
    <col min="6671" max="6912" width="12.5703125" style="397"/>
    <col min="6913" max="6913" width="8.42578125" style="397" customWidth="1"/>
    <col min="6914" max="6914" width="20.140625" style="397" customWidth="1"/>
    <col min="6915" max="6915" width="20" style="397" customWidth="1"/>
    <col min="6916" max="6916" width="10.85546875" style="397" customWidth="1"/>
    <col min="6917" max="6917" width="3.7109375" style="397" customWidth="1"/>
    <col min="6918" max="6918" width="7.7109375" style="397" customWidth="1"/>
    <col min="6919" max="6923" width="16.85546875" style="397" customWidth="1"/>
    <col min="6924" max="6924" width="18.28515625" style="397" customWidth="1"/>
    <col min="6925" max="6925" width="4.7109375" style="397" customWidth="1"/>
    <col min="6926" max="6926" width="26.5703125" style="397" customWidth="1"/>
    <col min="6927" max="7168" width="12.5703125" style="397"/>
    <col min="7169" max="7169" width="8.42578125" style="397" customWidth="1"/>
    <col min="7170" max="7170" width="20.140625" style="397" customWidth="1"/>
    <col min="7171" max="7171" width="20" style="397" customWidth="1"/>
    <col min="7172" max="7172" width="10.85546875" style="397" customWidth="1"/>
    <col min="7173" max="7173" width="3.7109375" style="397" customWidth="1"/>
    <col min="7174" max="7174" width="7.7109375" style="397" customWidth="1"/>
    <col min="7175" max="7179" width="16.85546875" style="397" customWidth="1"/>
    <col min="7180" max="7180" width="18.28515625" style="397" customWidth="1"/>
    <col min="7181" max="7181" width="4.7109375" style="397" customWidth="1"/>
    <col min="7182" max="7182" width="26.5703125" style="397" customWidth="1"/>
    <col min="7183" max="7424" width="12.5703125" style="397"/>
    <col min="7425" max="7425" width="8.42578125" style="397" customWidth="1"/>
    <col min="7426" max="7426" width="20.140625" style="397" customWidth="1"/>
    <col min="7427" max="7427" width="20" style="397" customWidth="1"/>
    <col min="7428" max="7428" width="10.85546875" style="397" customWidth="1"/>
    <col min="7429" max="7429" width="3.7109375" style="397" customWidth="1"/>
    <col min="7430" max="7430" width="7.7109375" style="397" customWidth="1"/>
    <col min="7431" max="7435" width="16.85546875" style="397" customWidth="1"/>
    <col min="7436" max="7436" width="18.28515625" style="397" customWidth="1"/>
    <col min="7437" max="7437" width="4.7109375" style="397" customWidth="1"/>
    <col min="7438" max="7438" width="26.5703125" style="397" customWidth="1"/>
    <col min="7439" max="7680" width="12.5703125" style="397"/>
    <col min="7681" max="7681" width="8.42578125" style="397" customWidth="1"/>
    <col min="7682" max="7682" width="20.140625" style="397" customWidth="1"/>
    <col min="7683" max="7683" width="20" style="397" customWidth="1"/>
    <col min="7684" max="7684" width="10.85546875" style="397" customWidth="1"/>
    <col min="7685" max="7685" width="3.7109375" style="397" customWidth="1"/>
    <col min="7686" max="7686" width="7.7109375" style="397" customWidth="1"/>
    <col min="7687" max="7691" width="16.85546875" style="397" customWidth="1"/>
    <col min="7692" max="7692" width="18.28515625" style="397" customWidth="1"/>
    <col min="7693" max="7693" width="4.7109375" style="397" customWidth="1"/>
    <col min="7694" max="7694" width="26.5703125" style="397" customWidth="1"/>
    <col min="7695" max="7936" width="12.5703125" style="397"/>
    <col min="7937" max="7937" width="8.42578125" style="397" customWidth="1"/>
    <col min="7938" max="7938" width="20.140625" style="397" customWidth="1"/>
    <col min="7939" max="7939" width="20" style="397" customWidth="1"/>
    <col min="7940" max="7940" width="10.85546875" style="397" customWidth="1"/>
    <col min="7941" max="7941" width="3.7109375" style="397" customWidth="1"/>
    <col min="7942" max="7942" width="7.7109375" style="397" customWidth="1"/>
    <col min="7943" max="7947" width="16.85546875" style="397" customWidth="1"/>
    <col min="7948" max="7948" width="18.28515625" style="397" customWidth="1"/>
    <col min="7949" max="7949" width="4.7109375" style="397" customWidth="1"/>
    <col min="7950" max="7950" width="26.5703125" style="397" customWidth="1"/>
    <col min="7951" max="8192" width="12.5703125" style="397"/>
    <col min="8193" max="8193" width="8.42578125" style="397" customWidth="1"/>
    <col min="8194" max="8194" width="20.140625" style="397" customWidth="1"/>
    <col min="8195" max="8195" width="20" style="397" customWidth="1"/>
    <col min="8196" max="8196" width="10.85546875" style="397" customWidth="1"/>
    <col min="8197" max="8197" width="3.7109375" style="397" customWidth="1"/>
    <col min="8198" max="8198" width="7.7109375" style="397" customWidth="1"/>
    <col min="8199" max="8203" width="16.85546875" style="397" customWidth="1"/>
    <col min="8204" max="8204" width="18.28515625" style="397" customWidth="1"/>
    <col min="8205" max="8205" width="4.7109375" style="397" customWidth="1"/>
    <col min="8206" max="8206" width="26.5703125" style="397" customWidth="1"/>
    <col min="8207" max="8448" width="12.5703125" style="397"/>
    <col min="8449" max="8449" width="8.42578125" style="397" customWidth="1"/>
    <col min="8450" max="8450" width="20.140625" style="397" customWidth="1"/>
    <col min="8451" max="8451" width="20" style="397" customWidth="1"/>
    <col min="8452" max="8452" width="10.85546875" style="397" customWidth="1"/>
    <col min="8453" max="8453" width="3.7109375" style="397" customWidth="1"/>
    <col min="8454" max="8454" width="7.7109375" style="397" customWidth="1"/>
    <col min="8455" max="8459" width="16.85546875" style="397" customWidth="1"/>
    <col min="8460" max="8460" width="18.28515625" style="397" customWidth="1"/>
    <col min="8461" max="8461" width="4.7109375" style="397" customWidth="1"/>
    <col min="8462" max="8462" width="26.5703125" style="397" customWidth="1"/>
    <col min="8463" max="8704" width="12.5703125" style="397"/>
    <col min="8705" max="8705" width="8.42578125" style="397" customWidth="1"/>
    <col min="8706" max="8706" width="20.140625" style="397" customWidth="1"/>
    <col min="8707" max="8707" width="20" style="397" customWidth="1"/>
    <col min="8708" max="8708" width="10.85546875" style="397" customWidth="1"/>
    <col min="8709" max="8709" width="3.7109375" style="397" customWidth="1"/>
    <col min="8710" max="8710" width="7.7109375" style="397" customWidth="1"/>
    <col min="8711" max="8715" width="16.85546875" style="397" customWidth="1"/>
    <col min="8716" max="8716" width="18.28515625" style="397" customWidth="1"/>
    <col min="8717" max="8717" width="4.7109375" style="397" customWidth="1"/>
    <col min="8718" max="8718" width="26.5703125" style="397" customWidth="1"/>
    <col min="8719" max="8960" width="12.5703125" style="397"/>
    <col min="8961" max="8961" width="8.42578125" style="397" customWidth="1"/>
    <col min="8962" max="8962" width="20.140625" style="397" customWidth="1"/>
    <col min="8963" max="8963" width="20" style="397" customWidth="1"/>
    <col min="8964" max="8964" width="10.85546875" style="397" customWidth="1"/>
    <col min="8965" max="8965" width="3.7109375" style="397" customWidth="1"/>
    <col min="8966" max="8966" width="7.7109375" style="397" customWidth="1"/>
    <col min="8967" max="8971" width="16.85546875" style="397" customWidth="1"/>
    <col min="8972" max="8972" width="18.28515625" style="397" customWidth="1"/>
    <col min="8973" max="8973" width="4.7109375" style="397" customWidth="1"/>
    <col min="8974" max="8974" width="26.5703125" style="397" customWidth="1"/>
    <col min="8975" max="9216" width="12.5703125" style="397"/>
    <col min="9217" max="9217" width="8.42578125" style="397" customWidth="1"/>
    <col min="9218" max="9218" width="20.140625" style="397" customWidth="1"/>
    <col min="9219" max="9219" width="20" style="397" customWidth="1"/>
    <col min="9220" max="9220" width="10.85546875" style="397" customWidth="1"/>
    <col min="9221" max="9221" width="3.7109375" style="397" customWidth="1"/>
    <col min="9222" max="9222" width="7.7109375" style="397" customWidth="1"/>
    <col min="9223" max="9227" width="16.85546875" style="397" customWidth="1"/>
    <col min="9228" max="9228" width="18.28515625" style="397" customWidth="1"/>
    <col min="9229" max="9229" width="4.7109375" style="397" customWidth="1"/>
    <col min="9230" max="9230" width="26.5703125" style="397" customWidth="1"/>
    <col min="9231" max="9472" width="12.5703125" style="397"/>
    <col min="9473" max="9473" width="8.42578125" style="397" customWidth="1"/>
    <col min="9474" max="9474" width="20.140625" style="397" customWidth="1"/>
    <col min="9475" max="9475" width="20" style="397" customWidth="1"/>
    <col min="9476" max="9476" width="10.85546875" style="397" customWidth="1"/>
    <col min="9477" max="9477" width="3.7109375" style="397" customWidth="1"/>
    <col min="9478" max="9478" width="7.7109375" style="397" customWidth="1"/>
    <col min="9479" max="9483" width="16.85546875" style="397" customWidth="1"/>
    <col min="9484" max="9484" width="18.28515625" style="397" customWidth="1"/>
    <col min="9485" max="9485" width="4.7109375" style="397" customWidth="1"/>
    <col min="9486" max="9486" width="26.5703125" style="397" customWidth="1"/>
    <col min="9487" max="9728" width="12.5703125" style="397"/>
    <col min="9729" max="9729" width="8.42578125" style="397" customWidth="1"/>
    <col min="9730" max="9730" width="20.140625" style="397" customWidth="1"/>
    <col min="9731" max="9731" width="20" style="397" customWidth="1"/>
    <col min="9732" max="9732" width="10.85546875" style="397" customWidth="1"/>
    <col min="9733" max="9733" width="3.7109375" style="397" customWidth="1"/>
    <col min="9734" max="9734" width="7.7109375" style="397" customWidth="1"/>
    <col min="9735" max="9739" width="16.85546875" style="397" customWidth="1"/>
    <col min="9740" max="9740" width="18.28515625" style="397" customWidth="1"/>
    <col min="9741" max="9741" width="4.7109375" style="397" customWidth="1"/>
    <col min="9742" max="9742" width="26.5703125" style="397" customWidth="1"/>
    <col min="9743" max="9984" width="12.5703125" style="397"/>
    <col min="9985" max="9985" width="8.42578125" style="397" customWidth="1"/>
    <col min="9986" max="9986" width="20.140625" style="397" customWidth="1"/>
    <col min="9987" max="9987" width="20" style="397" customWidth="1"/>
    <col min="9988" max="9988" width="10.85546875" style="397" customWidth="1"/>
    <col min="9989" max="9989" width="3.7109375" style="397" customWidth="1"/>
    <col min="9990" max="9990" width="7.7109375" style="397" customWidth="1"/>
    <col min="9991" max="9995" width="16.85546875" style="397" customWidth="1"/>
    <col min="9996" max="9996" width="18.28515625" style="397" customWidth="1"/>
    <col min="9997" max="9997" width="4.7109375" style="397" customWidth="1"/>
    <col min="9998" max="9998" width="26.5703125" style="397" customWidth="1"/>
    <col min="9999" max="10240" width="12.5703125" style="397"/>
    <col min="10241" max="10241" width="8.42578125" style="397" customWidth="1"/>
    <col min="10242" max="10242" width="20.140625" style="397" customWidth="1"/>
    <col min="10243" max="10243" width="20" style="397" customWidth="1"/>
    <col min="10244" max="10244" width="10.85546875" style="397" customWidth="1"/>
    <col min="10245" max="10245" width="3.7109375" style="397" customWidth="1"/>
    <col min="10246" max="10246" width="7.7109375" style="397" customWidth="1"/>
    <col min="10247" max="10251" width="16.85546875" style="397" customWidth="1"/>
    <col min="10252" max="10252" width="18.28515625" style="397" customWidth="1"/>
    <col min="10253" max="10253" width="4.7109375" style="397" customWidth="1"/>
    <col min="10254" max="10254" width="26.5703125" style="397" customWidth="1"/>
    <col min="10255" max="10496" width="12.5703125" style="397"/>
    <col min="10497" max="10497" width="8.42578125" style="397" customWidth="1"/>
    <col min="10498" max="10498" width="20.140625" style="397" customWidth="1"/>
    <col min="10499" max="10499" width="20" style="397" customWidth="1"/>
    <col min="10500" max="10500" width="10.85546875" style="397" customWidth="1"/>
    <col min="10501" max="10501" width="3.7109375" style="397" customWidth="1"/>
    <col min="10502" max="10502" width="7.7109375" style="397" customWidth="1"/>
    <col min="10503" max="10507" width="16.85546875" style="397" customWidth="1"/>
    <col min="10508" max="10508" width="18.28515625" style="397" customWidth="1"/>
    <col min="10509" max="10509" width="4.7109375" style="397" customWidth="1"/>
    <col min="10510" max="10510" width="26.5703125" style="397" customWidth="1"/>
    <col min="10511" max="10752" width="12.5703125" style="397"/>
    <col min="10753" max="10753" width="8.42578125" style="397" customWidth="1"/>
    <col min="10754" max="10754" width="20.140625" style="397" customWidth="1"/>
    <col min="10755" max="10755" width="20" style="397" customWidth="1"/>
    <col min="10756" max="10756" width="10.85546875" style="397" customWidth="1"/>
    <col min="10757" max="10757" width="3.7109375" style="397" customWidth="1"/>
    <col min="10758" max="10758" width="7.7109375" style="397" customWidth="1"/>
    <col min="10759" max="10763" width="16.85546875" style="397" customWidth="1"/>
    <col min="10764" max="10764" width="18.28515625" style="397" customWidth="1"/>
    <col min="10765" max="10765" width="4.7109375" style="397" customWidth="1"/>
    <col min="10766" max="10766" width="26.5703125" style="397" customWidth="1"/>
    <col min="10767" max="11008" width="12.5703125" style="397"/>
    <col min="11009" max="11009" width="8.42578125" style="397" customWidth="1"/>
    <col min="11010" max="11010" width="20.140625" style="397" customWidth="1"/>
    <col min="11011" max="11011" width="20" style="397" customWidth="1"/>
    <col min="11012" max="11012" width="10.85546875" style="397" customWidth="1"/>
    <col min="11013" max="11013" width="3.7109375" style="397" customWidth="1"/>
    <col min="11014" max="11014" width="7.7109375" style="397" customWidth="1"/>
    <col min="11015" max="11019" width="16.85546875" style="397" customWidth="1"/>
    <col min="11020" max="11020" width="18.28515625" style="397" customWidth="1"/>
    <col min="11021" max="11021" width="4.7109375" style="397" customWidth="1"/>
    <col min="11022" max="11022" width="26.5703125" style="397" customWidth="1"/>
    <col min="11023" max="11264" width="12.5703125" style="397"/>
    <col min="11265" max="11265" width="8.42578125" style="397" customWidth="1"/>
    <col min="11266" max="11266" width="20.140625" style="397" customWidth="1"/>
    <col min="11267" max="11267" width="20" style="397" customWidth="1"/>
    <col min="11268" max="11268" width="10.85546875" style="397" customWidth="1"/>
    <col min="11269" max="11269" width="3.7109375" style="397" customWidth="1"/>
    <col min="11270" max="11270" width="7.7109375" style="397" customWidth="1"/>
    <col min="11271" max="11275" width="16.85546875" style="397" customWidth="1"/>
    <col min="11276" max="11276" width="18.28515625" style="397" customWidth="1"/>
    <col min="11277" max="11277" width="4.7109375" style="397" customWidth="1"/>
    <col min="11278" max="11278" width="26.5703125" style="397" customWidth="1"/>
    <col min="11279" max="11520" width="12.5703125" style="397"/>
    <col min="11521" max="11521" width="8.42578125" style="397" customWidth="1"/>
    <col min="11522" max="11522" width="20.140625" style="397" customWidth="1"/>
    <col min="11523" max="11523" width="20" style="397" customWidth="1"/>
    <col min="11524" max="11524" width="10.85546875" style="397" customWidth="1"/>
    <col min="11525" max="11525" width="3.7109375" style="397" customWidth="1"/>
    <col min="11526" max="11526" width="7.7109375" style="397" customWidth="1"/>
    <col min="11527" max="11531" width="16.85546875" style="397" customWidth="1"/>
    <col min="11532" max="11532" width="18.28515625" style="397" customWidth="1"/>
    <col min="11533" max="11533" width="4.7109375" style="397" customWidth="1"/>
    <col min="11534" max="11534" width="26.5703125" style="397" customWidth="1"/>
    <col min="11535" max="11776" width="12.5703125" style="397"/>
    <col min="11777" max="11777" width="8.42578125" style="397" customWidth="1"/>
    <col min="11778" max="11778" width="20.140625" style="397" customWidth="1"/>
    <col min="11779" max="11779" width="20" style="397" customWidth="1"/>
    <col min="11780" max="11780" width="10.85546875" style="397" customWidth="1"/>
    <col min="11781" max="11781" width="3.7109375" style="397" customWidth="1"/>
    <col min="11782" max="11782" width="7.7109375" style="397" customWidth="1"/>
    <col min="11783" max="11787" width="16.85546875" style="397" customWidth="1"/>
    <col min="11788" max="11788" width="18.28515625" style="397" customWidth="1"/>
    <col min="11789" max="11789" width="4.7109375" style="397" customWidth="1"/>
    <col min="11790" max="11790" width="26.5703125" style="397" customWidth="1"/>
    <col min="11791" max="12032" width="12.5703125" style="397"/>
    <col min="12033" max="12033" width="8.42578125" style="397" customWidth="1"/>
    <col min="12034" max="12034" width="20.140625" style="397" customWidth="1"/>
    <col min="12035" max="12035" width="20" style="397" customWidth="1"/>
    <col min="12036" max="12036" width="10.85546875" style="397" customWidth="1"/>
    <col min="12037" max="12037" width="3.7109375" style="397" customWidth="1"/>
    <col min="12038" max="12038" width="7.7109375" style="397" customWidth="1"/>
    <col min="12039" max="12043" width="16.85546875" style="397" customWidth="1"/>
    <col min="12044" max="12044" width="18.28515625" style="397" customWidth="1"/>
    <col min="12045" max="12045" width="4.7109375" style="397" customWidth="1"/>
    <col min="12046" max="12046" width="26.5703125" style="397" customWidth="1"/>
    <col min="12047" max="12288" width="12.5703125" style="397"/>
    <col min="12289" max="12289" width="8.42578125" style="397" customWidth="1"/>
    <col min="12290" max="12290" width="20.140625" style="397" customWidth="1"/>
    <col min="12291" max="12291" width="20" style="397" customWidth="1"/>
    <col min="12292" max="12292" width="10.85546875" style="397" customWidth="1"/>
    <col min="12293" max="12293" width="3.7109375" style="397" customWidth="1"/>
    <col min="12294" max="12294" width="7.7109375" style="397" customWidth="1"/>
    <col min="12295" max="12299" width="16.85546875" style="397" customWidth="1"/>
    <col min="12300" max="12300" width="18.28515625" style="397" customWidth="1"/>
    <col min="12301" max="12301" width="4.7109375" style="397" customWidth="1"/>
    <col min="12302" max="12302" width="26.5703125" style="397" customWidth="1"/>
    <col min="12303" max="12544" width="12.5703125" style="397"/>
    <col min="12545" max="12545" width="8.42578125" style="397" customWidth="1"/>
    <col min="12546" max="12546" width="20.140625" style="397" customWidth="1"/>
    <col min="12547" max="12547" width="20" style="397" customWidth="1"/>
    <col min="12548" max="12548" width="10.85546875" style="397" customWidth="1"/>
    <col min="12549" max="12549" width="3.7109375" style="397" customWidth="1"/>
    <col min="12550" max="12550" width="7.7109375" style="397" customWidth="1"/>
    <col min="12551" max="12555" width="16.85546875" style="397" customWidth="1"/>
    <col min="12556" max="12556" width="18.28515625" style="397" customWidth="1"/>
    <col min="12557" max="12557" width="4.7109375" style="397" customWidth="1"/>
    <col min="12558" max="12558" width="26.5703125" style="397" customWidth="1"/>
    <col min="12559" max="12800" width="12.5703125" style="397"/>
    <col min="12801" max="12801" width="8.42578125" style="397" customWidth="1"/>
    <col min="12802" max="12802" width="20.140625" style="397" customWidth="1"/>
    <col min="12803" max="12803" width="20" style="397" customWidth="1"/>
    <col min="12804" max="12804" width="10.85546875" style="397" customWidth="1"/>
    <col min="12805" max="12805" width="3.7109375" style="397" customWidth="1"/>
    <col min="12806" max="12806" width="7.7109375" style="397" customWidth="1"/>
    <col min="12807" max="12811" width="16.85546875" style="397" customWidth="1"/>
    <col min="12812" max="12812" width="18.28515625" style="397" customWidth="1"/>
    <col min="12813" max="12813" width="4.7109375" style="397" customWidth="1"/>
    <col min="12814" max="12814" width="26.5703125" style="397" customWidth="1"/>
    <col min="12815" max="13056" width="12.5703125" style="397"/>
    <col min="13057" max="13057" width="8.42578125" style="397" customWidth="1"/>
    <col min="13058" max="13058" width="20.140625" style="397" customWidth="1"/>
    <col min="13059" max="13059" width="20" style="397" customWidth="1"/>
    <col min="13060" max="13060" width="10.85546875" style="397" customWidth="1"/>
    <col min="13061" max="13061" width="3.7109375" style="397" customWidth="1"/>
    <col min="13062" max="13062" width="7.7109375" style="397" customWidth="1"/>
    <col min="13063" max="13067" width="16.85546875" style="397" customWidth="1"/>
    <col min="13068" max="13068" width="18.28515625" style="397" customWidth="1"/>
    <col min="13069" max="13069" width="4.7109375" style="397" customWidth="1"/>
    <col min="13070" max="13070" width="26.5703125" style="397" customWidth="1"/>
    <col min="13071" max="13312" width="12.5703125" style="397"/>
    <col min="13313" max="13313" width="8.42578125" style="397" customWidth="1"/>
    <col min="13314" max="13314" width="20.140625" style="397" customWidth="1"/>
    <col min="13315" max="13315" width="20" style="397" customWidth="1"/>
    <col min="13316" max="13316" width="10.85546875" style="397" customWidth="1"/>
    <col min="13317" max="13317" width="3.7109375" style="397" customWidth="1"/>
    <col min="13318" max="13318" width="7.7109375" style="397" customWidth="1"/>
    <col min="13319" max="13323" width="16.85546875" style="397" customWidth="1"/>
    <col min="13324" max="13324" width="18.28515625" style="397" customWidth="1"/>
    <col min="13325" max="13325" width="4.7109375" style="397" customWidth="1"/>
    <col min="13326" max="13326" width="26.5703125" style="397" customWidth="1"/>
    <col min="13327" max="13568" width="12.5703125" style="397"/>
    <col min="13569" max="13569" width="8.42578125" style="397" customWidth="1"/>
    <col min="13570" max="13570" width="20.140625" style="397" customWidth="1"/>
    <col min="13571" max="13571" width="20" style="397" customWidth="1"/>
    <col min="13572" max="13572" width="10.85546875" style="397" customWidth="1"/>
    <col min="13573" max="13573" width="3.7109375" style="397" customWidth="1"/>
    <col min="13574" max="13574" width="7.7109375" style="397" customWidth="1"/>
    <col min="13575" max="13579" width="16.85546875" style="397" customWidth="1"/>
    <col min="13580" max="13580" width="18.28515625" style="397" customWidth="1"/>
    <col min="13581" max="13581" width="4.7109375" style="397" customWidth="1"/>
    <col min="13582" max="13582" width="26.5703125" style="397" customWidth="1"/>
    <col min="13583" max="13824" width="12.5703125" style="397"/>
    <col min="13825" max="13825" width="8.42578125" style="397" customWidth="1"/>
    <col min="13826" max="13826" width="20.140625" style="397" customWidth="1"/>
    <col min="13827" max="13827" width="20" style="397" customWidth="1"/>
    <col min="13828" max="13828" width="10.85546875" style="397" customWidth="1"/>
    <col min="13829" max="13829" width="3.7109375" style="397" customWidth="1"/>
    <col min="13830" max="13830" width="7.7109375" style="397" customWidth="1"/>
    <col min="13831" max="13835" width="16.85546875" style="397" customWidth="1"/>
    <col min="13836" max="13836" width="18.28515625" style="397" customWidth="1"/>
    <col min="13837" max="13837" width="4.7109375" style="397" customWidth="1"/>
    <col min="13838" max="13838" width="26.5703125" style="397" customWidth="1"/>
    <col min="13839" max="14080" width="12.5703125" style="397"/>
    <col min="14081" max="14081" width="8.42578125" style="397" customWidth="1"/>
    <col min="14082" max="14082" width="20.140625" style="397" customWidth="1"/>
    <col min="14083" max="14083" width="20" style="397" customWidth="1"/>
    <col min="14084" max="14084" width="10.85546875" style="397" customWidth="1"/>
    <col min="14085" max="14085" width="3.7109375" style="397" customWidth="1"/>
    <col min="14086" max="14086" width="7.7109375" style="397" customWidth="1"/>
    <col min="14087" max="14091" width="16.85546875" style="397" customWidth="1"/>
    <col min="14092" max="14092" width="18.28515625" style="397" customWidth="1"/>
    <col min="14093" max="14093" width="4.7109375" style="397" customWidth="1"/>
    <col min="14094" max="14094" width="26.5703125" style="397" customWidth="1"/>
    <col min="14095" max="14336" width="12.5703125" style="397"/>
    <col min="14337" max="14337" width="8.42578125" style="397" customWidth="1"/>
    <col min="14338" max="14338" width="20.140625" style="397" customWidth="1"/>
    <col min="14339" max="14339" width="20" style="397" customWidth="1"/>
    <col min="14340" max="14340" width="10.85546875" style="397" customWidth="1"/>
    <col min="14341" max="14341" width="3.7109375" style="397" customWidth="1"/>
    <col min="14342" max="14342" width="7.7109375" style="397" customWidth="1"/>
    <col min="14343" max="14347" width="16.85546875" style="397" customWidth="1"/>
    <col min="14348" max="14348" width="18.28515625" style="397" customWidth="1"/>
    <col min="14349" max="14349" width="4.7109375" style="397" customWidth="1"/>
    <col min="14350" max="14350" width="26.5703125" style="397" customWidth="1"/>
    <col min="14351" max="14592" width="12.5703125" style="397"/>
    <col min="14593" max="14593" width="8.42578125" style="397" customWidth="1"/>
    <col min="14594" max="14594" width="20.140625" style="397" customWidth="1"/>
    <col min="14595" max="14595" width="20" style="397" customWidth="1"/>
    <col min="14596" max="14596" width="10.85546875" style="397" customWidth="1"/>
    <col min="14597" max="14597" width="3.7109375" style="397" customWidth="1"/>
    <col min="14598" max="14598" width="7.7109375" style="397" customWidth="1"/>
    <col min="14599" max="14603" width="16.85546875" style="397" customWidth="1"/>
    <col min="14604" max="14604" width="18.28515625" style="397" customWidth="1"/>
    <col min="14605" max="14605" width="4.7109375" style="397" customWidth="1"/>
    <col min="14606" max="14606" width="26.5703125" style="397" customWidth="1"/>
    <col min="14607" max="14848" width="12.5703125" style="397"/>
    <col min="14849" max="14849" width="8.42578125" style="397" customWidth="1"/>
    <col min="14850" max="14850" width="20.140625" style="397" customWidth="1"/>
    <col min="14851" max="14851" width="20" style="397" customWidth="1"/>
    <col min="14852" max="14852" width="10.85546875" style="397" customWidth="1"/>
    <col min="14853" max="14853" width="3.7109375" style="397" customWidth="1"/>
    <col min="14854" max="14854" width="7.7109375" style="397" customWidth="1"/>
    <col min="14855" max="14859" width="16.85546875" style="397" customWidth="1"/>
    <col min="14860" max="14860" width="18.28515625" style="397" customWidth="1"/>
    <col min="14861" max="14861" width="4.7109375" style="397" customWidth="1"/>
    <col min="14862" max="14862" width="26.5703125" style="397" customWidth="1"/>
    <col min="14863" max="15104" width="12.5703125" style="397"/>
    <col min="15105" max="15105" width="8.42578125" style="397" customWidth="1"/>
    <col min="15106" max="15106" width="20.140625" style="397" customWidth="1"/>
    <col min="15107" max="15107" width="20" style="397" customWidth="1"/>
    <col min="15108" max="15108" width="10.85546875" style="397" customWidth="1"/>
    <col min="15109" max="15109" width="3.7109375" style="397" customWidth="1"/>
    <col min="15110" max="15110" width="7.7109375" style="397" customWidth="1"/>
    <col min="15111" max="15115" width="16.85546875" style="397" customWidth="1"/>
    <col min="15116" max="15116" width="18.28515625" style="397" customWidth="1"/>
    <col min="15117" max="15117" width="4.7109375" style="397" customWidth="1"/>
    <col min="15118" max="15118" width="26.5703125" style="397" customWidth="1"/>
    <col min="15119" max="15360" width="12.5703125" style="397"/>
    <col min="15361" max="15361" width="8.42578125" style="397" customWidth="1"/>
    <col min="15362" max="15362" width="20.140625" style="397" customWidth="1"/>
    <col min="15363" max="15363" width="20" style="397" customWidth="1"/>
    <col min="15364" max="15364" width="10.85546875" style="397" customWidth="1"/>
    <col min="15365" max="15365" width="3.7109375" style="397" customWidth="1"/>
    <col min="15366" max="15366" width="7.7109375" style="397" customWidth="1"/>
    <col min="15367" max="15371" width="16.85546875" style="397" customWidth="1"/>
    <col min="15372" max="15372" width="18.28515625" style="397" customWidth="1"/>
    <col min="15373" max="15373" width="4.7109375" style="397" customWidth="1"/>
    <col min="15374" max="15374" width="26.5703125" style="397" customWidth="1"/>
    <col min="15375" max="15616" width="12.5703125" style="397"/>
    <col min="15617" max="15617" width="8.42578125" style="397" customWidth="1"/>
    <col min="15618" max="15618" width="20.140625" style="397" customWidth="1"/>
    <col min="15619" max="15619" width="20" style="397" customWidth="1"/>
    <col min="15620" max="15620" width="10.85546875" style="397" customWidth="1"/>
    <col min="15621" max="15621" width="3.7109375" style="397" customWidth="1"/>
    <col min="15622" max="15622" width="7.7109375" style="397" customWidth="1"/>
    <col min="15623" max="15627" width="16.85546875" style="397" customWidth="1"/>
    <col min="15628" max="15628" width="18.28515625" style="397" customWidth="1"/>
    <col min="15629" max="15629" width="4.7109375" style="397" customWidth="1"/>
    <col min="15630" max="15630" width="26.5703125" style="397" customWidth="1"/>
    <col min="15631" max="15872" width="12.5703125" style="397"/>
    <col min="15873" max="15873" width="8.42578125" style="397" customWidth="1"/>
    <col min="15874" max="15874" width="20.140625" style="397" customWidth="1"/>
    <col min="15875" max="15875" width="20" style="397" customWidth="1"/>
    <col min="15876" max="15876" width="10.85546875" style="397" customWidth="1"/>
    <col min="15877" max="15877" width="3.7109375" style="397" customWidth="1"/>
    <col min="15878" max="15878" width="7.7109375" style="397" customWidth="1"/>
    <col min="15879" max="15883" width="16.85546875" style="397" customWidth="1"/>
    <col min="15884" max="15884" width="18.28515625" style="397" customWidth="1"/>
    <col min="15885" max="15885" width="4.7109375" style="397" customWidth="1"/>
    <col min="15886" max="15886" width="26.5703125" style="397" customWidth="1"/>
    <col min="15887" max="16128" width="12.5703125" style="397"/>
    <col min="16129" max="16129" width="8.42578125" style="397" customWidth="1"/>
    <col min="16130" max="16130" width="20.140625" style="397" customWidth="1"/>
    <col min="16131" max="16131" width="20" style="397" customWidth="1"/>
    <col min="16132" max="16132" width="10.85546875" style="397" customWidth="1"/>
    <col min="16133" max="16133" width="3.7109375" style="397" customWidth="1"/>
    <col min="16134" max="16134" width="7.7109375" style="397" customWidth="1"/>
    <col min="16135" max="16139" width="16.85546875" style="397" customWidth="1"/>
    <col min="16140" max="16140" width="18.28515625" style="397" customWidth="1"/>
    <col min="16141" max="16141" width="4.7109375" style="397" customWidth="1"/>
    <col min="16142" max="16142" width="26.5703125" style="397" customWidth="1"/>
    <col min="16143" max="16384" width="12.5703125" style="397"/>
  </cols>
  <sheetData>
    <row r="1" spans="1:14" ht="16.5" customHeight="1">
      <c r="L1" s="969" t="s">
        <v>357</v>
      </c>
    </row>
    <row r="2" spans="1:14" ht="7.5" customHeight="1">
      <c r="L2" s="858"/>
    </row>
    <row r="3" spans="1:14" ht="15.75" customHeight="1">
      <c r="A3" s="400"/>
      <c r="B3" s="401"/>
      <c r="C3" s="1338" t="str">
        <f>'F1  Cover'!K6</f>
        <v>NRA.N.011-050-2012/1F</v>
      </c>
      <c r="D3" s="1339"/>
      <c r="E3" s="402"/>
      <c r="F3" s="1340"/>
      <c r="G3" s="1340"/>
      <c r="H3" s="853">
        <f>'F1  Cover'!L8</f>
        <v>44804</v>
      </c>
      <c r="I3" s="403"/>
      <c r="J3" s="968" t="s">
        <v>358</v>
      </c>
      <c r="K3" s="1341">
        <f>'F1  Cover'!K8</f>
        <v>1</v>
      </c>
      <c r="L3" s="1342"/>
    </row>
    <row r="4" spans="1:14" ht="15.75" customHeight="1" thickBot="1">
      <c r="A4" s="970"/>
      <c r="B4" s="404"/>
      <c r="C4" s="404"/>
      <c r="D4" s="404"/>
      <c r="E4" s="404"/>
      <c r="F4" s="404"/>
      <c r="G4" s="404"/>
      <c r="H4" s="404"/>
      <c r="I4" s="404"/>
      <c r="J4" s="404"/>
      <c r="K4" s="971"/>
      <c r="L4" s="971"/>
      <c r="M4" s="404"/>
    </row>
    <row r="5" spans="1:14" ht="15.75" customHeight="1">
      <c r="A5" s="972"/>
      <c r="B5" s="973"/>
      <c r="C5" s="973"/>
      <c r="D5" s="973"/>
      <c r="E5" s="973"/>
      <c r="F5" s="973"/>
      <c r="G5" s="973"/>
      <c r="H5" s="973"/>
      <c r="I5" s="973"/>
      <c r="J5" s="973"/>
      <c r="K5" s="974"/>
      <c r="L5" s="975"/>
      <c r="M5" s="404"/>
    </row>
    <row r="6" spans="1:14" ht="15.75" customHeight="1">
      <c r="A6" s="1343" t="s">
        <v>359</v>
      </c>
      <c r="B6" s="1344"/>
      <c r="C6" s="1344"/>
      <c r="D6" s="1344"/>
      <c r="E6" s="1344"/>
      <c r="F6" s="1344"/>
      <c r="G6" s="1344"/>
      <c r="H6" s="1344"/>
      <c r="I6" s="1344"/>
      <c r="J6" s="1344"/>
      <c r="K6" s="1344"/>
      <c r="L6" s="1345"/>
      <c r="M6" s="404"/>
    </row>
    <row r="7" spans="1:14" ht="15.75" customHeight="1" thickBot="1">
      <c r="A7" s="976"/>
      <c r="B7" s="404"/>
      <c r="C7" s="404"/>
      <c r="D7" s="404"/>
      <c r="E7" s="404"/>
      <c r="F7" s="404"/>
      <c r="G7" s="404"/>
      <c r="H7" s="404"/>
      <c r="I7" s="404"/>
      <c r="J7" s="404"/>
      <c r="K7" s="404"/>
      <c r="L7" s="977"/>
      <c r="M7" s="404"/>
    </row>
    <row r="8" spans="1:14" ht="15.75" customHeight="1">
      <c r="A8" s="978"/>
      <c r="B8" s="979"/>
      <c r="C8" s="979"/>
      <c r="D8" s="979"/>
      <c r="E8" s="979"/>
      <c r="F8" s="980"/>
      <c r="G8" s="981"/>
      <c r="H8" s="981"/>
      <c r="I8" s="981"/>
      <c r="J8" s="981"/>
      <c r="K8" s="982"/>
      <c r="L8" s="983"/>
      <c r="M8" s="404"/>
    </row>
    <row r="9" spans="1:14" ht="15.75" customHeight="1">
      <c r="A9" s="984"/>
      <c r="B9" s="985" t="s">
        <v>288</v>
      </c>
      <c r="D9" s="985"/>
      <c r="E9" s="985"/>
      <c r="F9" s="986" t="s">
        <v>360</v>
      </c>
      <c r="G9" s="987"/>
      <c r="H9" s="987"/>
      <c r="I9" s="987"/>
      <c r="J9" s="987"/>
      <c r="K9" s="988"/>
      <c r="L9" s="989" t="s">
        <v>50</v>
      </c>
      <c r="M9" s="404"/>
    </row>
    <row r="10" spans="1:14" ht="15.75">
      <c r="A10" s="984"/>
      <c r="B10" s="985"/>
      <c r="C10" s="985"/>
      <c r="D10" s="985"/>
      <c r="E10" s="985"/>
      <c r="F10" s="990" t="s">
        <v>361</v>
      </c>
      <c r="G10" s="991"/>
      <c r="H10" s="992" t="s">
        <v>362</v>
      </c>
      <c r="I10" s="991"/>
      <c r="J10" s="992" t="s">
        <v>363</v>
      </c>
      <c r="K10" s="365"/>
      <c r="L10" s="989"/>
      <c r="M10" s="404"/>
    </row>
    <row r="11" spans="1:14" ht="15.75" customHeight="1" thickBot="1">
      <c r="A11" s="993"/>
      <c r="B11" s="994"/>
      <c r="C11" s="994"/>
      <c r="D11" s="994"/>
      <c r="E11" s="994"/>
      <c r="F11" s="995"/>
      <c r="G11" s="996"/>
      <c r="H11" s="997" t="s">
        <v>364</v>
      </c>
      <c r="I11" s="996"/>
      <c r="J11" s="997" t="s">
        <v>364</v>
      </c>
      <c r="K11" s="998"/>
      <c r="L11" s="999" t="s">
        <v>364</v>
      </c>
      <c r="M11" s="404"/>
    </row>
    <row r="12" spans="1:14" ht="15.75">
      <c r="A12" s="1000">
        <v>1</v>
      </c>
      <c r="B12" s="1001" t="s">
        <v>365</v>
      </c>
      <c r="C12" s="1001"/>
      <c r="D12" s="1001"/>
      <c r="E12" s="1001"/>
      <c r="F12" s="1002">
        <v>2</v>
      </c>
      <c r="G12" s="1003"/>
      <c r="H12" s="1004" t="e">
        <f>'Pg 2 Sum Scheduled'!$J$19</f>
        <v>#N/A</v>
      </c>
      <c r="I12" s="1003"/>
      <c r="J12" s="1004" t="e">
        <f>'Pg 2 Sum Scheduled'!$J$20</f>
        <v>#N/A</v>
      </c>
      <c r="K12" s="1005"/>
      <c r="L12" s="1006" t="e">
        <f>H12+J12</f>
        <v>#N/A</v>
      </c>
      <c r="M12" s="404"/>
      <c r="N12" s="406"/>
    </row>
    <row r="13" spans="1:14" ht="15.75">
      <c r="A13" s="1007">
        <v>2</v>
      </c>
      <c r="B13" s="1008" t="s">
        <v>366</v>
      </c>
      <c r="C13" s="1008"/>
      <c r="D13" s="1008"/>
      <c r="E13" s="1008"/>
      <c r="F13" s="1009">
        <v>6</v>
      </c>
      <c r="G13" s="1003"/>
      <c r="H13" s="1004">
        <f>'Pg 6 WAF with CPI'!$L$31</f>
        <v>0</v>
      </c>
      <c r="I13" s="1003"/>
      <c r="J13" s="1004">
        <f>'Pg 6 WAF with CPI'!$L$32</f>
        <v>0</v>
      </c>
      <c r="K13" s="1005"/>
      <c r="L13" s="1010">
        <f>H13+J13</f>
        <v>0</v>
      </c>
      <c r="M13" s="404"/>
      <c r="N13" s="406"/>
    </row>
    <row r="14" spans="1:14" ht="15.75">
      <c r="A14" s="1007">
        <v>2</v>
      </c>
      <c r="B14" s="1008" t="s">
        <v>367</v>
      </c>
      <c r="C14" s="1008"/>
      <c r="D14" s="1008"/>
      <c r="E14" s="1008"/>
      <c r="F14" s="1009">
        <v>7</v>
      </c>
      <c r="G14" s="1003"/>
      <c r="H14" s="1004">
        <f>'Pg 7 WAF No CPI'!$L$31</f>
        <v>0</v>
      </c>
      <c r="I14" s="1003"/>
      <c r="J14" s="1004">
        <f>'Pg 7 WAF No CPI'!$L$32</f>
        <v>0</v>
      </c>
      <c r="K14" s="1005"/>
      <c r="L14" s="1010">
        <f>H14+J14</f>
        <v>0</v>
      </c>
      <c r="M14" s="404"/>
      <c r="N14" s="406"/>
    </row>
    <row r="15" spans="1:14" ht="15.75">
      <c r="A15" s="1007">
        <v>3</v>
      </c>
      <c r="B15" s="1008"/>
      <c r="C15" s="1008" t="s">
        <v>368</v>
      </c>
      <c r="D15" s="1008"/>
      <c r="E15" s="1008"/>
      <c r="F15" s="1009"/>
      <c r="G15" s="1011"/>
      <c r="H15" s="1012" t="e">
        <f>SUM(H12:H14)</f>
        <v>#N/A</v>
      </c>
      <c r="I15" s="1013"/>
      <c r="J15" s="1012" t="e">
        <f>SUM(J12:J14)</f>
        <v>#N/A</v>
      </c>
      <c r="K15" s="1014"/>
      <c r="L15" s="1015" t="e">
        <f>SUM(L12:L14)</f>
        <v>#N/A</v>
      </c>
      <c r="M15" s="404"/>
      <c r="N15" s="406"/>
    </row>
    <row r="16" spans="1:14" ht="15.75">
      <c r="A16" s="1007"/>
      <c r="B16" s="1008"/>
      <c r="C16" s="1008"/>
      <c r="D16" s="1008"/>
      <c r="E16" s="1008"/>
      <c r="F16" s="1009"/>
      <c r="G16" s="1013"/>
      <c r="H16" s="1012"/>
      <c r="I16" s="1013"/>
      <c r="J16" s="1012"/>
      <c r="K16" s="1014"/>
      <c r="L16" s="1010"/>
      <c r="M16" s="404"/>
      <c r="N16" s="406"/>
    </row>
    <row r="17" spans="1:14" ht="15.75">
      <c r="A17" s="1007">
        <v>4</v>
      </c>
      <c r="B17" s="1008" t="s">
        <v>369</v>
      </c>
      <c r="C17" s="1008"/>
      <c r="D17" s="1008"/>
      <c r="E17" s="1008"/>
      <c r="F17" s="1009">
        <v>9</v>
      </c>
      <c r="G17" s="1013"/>
      <c r="H17" s="1012">
        <f>'Pg 9 CPI'!$G$35</f>
        <v>0</v>
      </c>
      <c r="I17" s="1016"/>
      <c r="J17" s="1012">
        <f>'Pg 9 CPI'!$N$53</f>
        <v>0</v>
      </c>
      <c r="K17" s="1017"/>
      <c r="L17" s="1010">
        <f>H17+J17</f>
        <v>0</v>
      </c>
      <c r="M17" s="404"/>
      <c r="N17" s="406"/>
    </row>
    <row r="18" spans="1:14" ht="15.75">
      <c r="A18" s="1007">
        <v>5</v>
      </c>
      <c r="B18" s="1008"/>
      <c r="C18" s="1008" t="s">
        <v>368</v>
      </c>
      <c r="D18" s="1008"/>
      <c r="E18" s="1008"/>
      <c r="F18" s="1009"/>
      <c r="G18" s="1016"/>
      <c r="H18" s="1012" t="e">
        <f>H15+H17</f>
        <v>#N/A</v>
      </c>
      <c r="I18" s="1018"/>
      <c r="J18" s="1012" t="e">
        <f>J15+J17</f>
        <v>#N/A</v>
      </c>
      <c r="K18" s="1019"/>
      <c r="L18" s="1015" t="e">
        <f>L15+L17</f>
        <v>#N/A</v>
      </c>
      <c r="M18" s="404"/>
      <c r="N18" s="406"/>
    </row>
    <row r="19" spans="1:14" ht="15.75">
      <c r="A19" s="1007"/>
      <c r="B19" s="1008"/>
      <c r="C19" s="1008"/>
      <c r="D19" s="1008"/>
      <c r="E19" s="1008"/>
      <c r="F19" s="1009"/>
      <c r="G19" s="1016"/>
      <c r="H19" s="1012"/>
      <c r="I19" s="1016"/>
      <c r="J19" s="1012"/>
      <c r="K19" s="1017"/>
      <c r="L19" s="1010"/>
      <c r="M19" s="404"/>
      <c r="N19" s="406"/>
    </row>
    <row r="20" spans="1:14" ht="15.75">
      <c r="A20" s="1007">
        <v>6</v>
      </c>
      <c r="B20" s="1008" t="str">
        <f>"Deduct: Retention - 10% of subtotal (R" &amp;DATA!D13 &amp; " maximum)"</f>
        <v>Deduct: Retention - 10% of subtotal (R300000 maximum)</v>
      </c>
      <c r="C20" s="1008"/>
      <c r="D20" s="1008"/>
      <c r="E20" s="1008"/>
      <c r="F20" s="1009"/>
      <c r="G20" s="1020">
        <f>DATA!D13</f>
        <v>300000</v>
      </c>
      <c r="H20" s="1012" t="e">
        <f>IF((H18*10%)&gt;G20,G20,(H18*10%))</f>
        <v>#N/A</v>
      </c>
      <c r="I20" s="1013"/>
      <c r="J20" s="1012" t="e">
        <f>IF(((J18*10%)+(H18*10%))&gt;G20,(G20-H20),(J18*10%))</f>
        <v>#N/A</v>
      </c>
      <c r="K20" s="931"/>
      <c r="L20" s="1010" t="e">
        <f>(H20+J20)+L21+L22</f>
        <v>#N/A</v>
      </c>
      <c r="M20" s="404"/>
      <c r="N20" s="406"/>
    </row>
    <row r="21" spans="1:14" ht="57" customHeight="1">
      <c r="A21" s="928"/>
      <c r="B21" s="1346" t="s">
        <v>875</v>
      </c>
      <c r="C21" s="1347"/>
      <c r="D21" s="1347"/>
      <c r="E21" s="1348"/>
      <c r="F21" s="929"/>
      <c r="G21" s="930"/>
      <c r="H21" s="934" t="e">
        <f>ROUND((H20*G21),2)</f>
        <v>#N/A</v>
      </c>
      <c r="I21" s="935"/>
      <c r="J21" s="934" t="e">
        <f>ROUND((J20*G21),2)</f>
        <v>#N/A</v>
      </c>
      <c r="K21" s="931"/>
      <c r="L21" s="932" t="e">
        <f>((H20+J20)*G21)*-1</f>
        <v>#N/A</v>
      </c>
      <c r="M21" s="404"/>
      <c r="N21" s="406"/>
    </row>
    <row r="22" spans="1:14" ht="57" customHeight="1">
      <c r="A22" s="928"/>
      <c r="B22" s="1335" t="s">
        <v>876</v>
      </c>
      <c r="C22" s="1336"/>
      <c r="D22" s="1336"/>
      <c r="E22" s="1337"/>
      <c r="F22" s="929"/>
      <c r="G22" s="933">
        <v>0</v>
      </c>
      <c r="H22" s="934" t="e">
        <f>ROUND((H21*G22),2)</f>
        <v>#N/A</v>
      </c>
      <c r="I22" s="935"/>
      <c r="J22" s="934" t="e">
        <f>ROUND((J21*G22),2)</f>
        <v>#N/A</v>
      </c>
      <c r="K22" s="931"/>
      <c r="L22" s="932" t="e">
        <f>((H20+J20)*G22)*-1</f>
        <v>#N/A</v>
      </c>
      <c r="M22" s="404"/>
      <c r="N22" s="406"/>
    </row>
    <row r="23" spans="1:14" ht="15.75">
      <c r="A23" s="928">
        <v>7</v>
      </c>
      <c r="B23" s="1021" t="s">
        <v>370</v>
      </c>
      <c r="C23" s="1021"/>
      <c r="D23" s="1021"/>
      <c r="E23" s="1021"/>
      <c r="F23" s="1022">
        <v>8</v>
      </c>
      <c r="G23" s="1023"/>
      <c r="H23" s="1024">
        <f>'Pg 8 Penalties'!$L$32</f>
        <v>0</v>
      </c>
      <c r="I23" s="1023"/>
      <c r="J23" s="1024">
        <f>'Pg 8 Penalties'!$L$33</f>
        <v>0</v>
      </c>
      <c r="K23" s="931"/>
      <c r="L23" s="1010">
        <f>H23+J23</f>
        <v>0</v>
      </c>
      <c r="M23" s="404"/>
      <c r="N23" s="406"/>
    </row>
    <row r="24" spans="1:14" ht="15.75">
      <c r="A24" s="1007">
        <v>8</v>
      </c>
      <c r="B24" s="1008"/>
      <c r="C24" s="1008" t="s">
        <v>371</v>
      </c>
      <c r="D24" s="1008"/>
      <c r="E24" s="1008"/>
      <c r="F24" s="1009"/>
      <c r="G24" s="1013"/>
      <c r="H24" s="1012" t="e">
        <f>H18-H20-H23+H21+H22</f>
        <v>#N/A</v>
      </c>
      <c r="I24" s="1013"/>
      <c r="J24" s="1012" t="e">
        <f>J18-J20-J23+J21+J22</f>
        <v>#N/A</v>
      </c>
      <c r="K24" s="1017"/>
      <c r="L24" s="1010" t="e">
        <f>L18-L20-L23</f>
        <v>#N/A</v>
      </c>
      <c r="M24" s="404"/>
      <c r="N24" s="406"/>
    </row>
    <row r="25" spans="1:14" ht="15.75">
      <c r="A25" s="1007"/>
      <c r="B25" s="1008"/>
      <c r="C25" s="1008"/>
      <c r="D25" s="1008"/>
      <c r="E25" s="1008"/>
      <c r="F25" s="1009"/>
      <c r="G25" s="1025"/>
      <c r="H25" s="1024"/>
      <c r="I25" s="1026"/>
      <c r="J25" s="1024"/>
      <c r="K25" s="1027"/>
      <c r="L25" s="1028"/>
      <c r="M25" s="404"/>
      <c r="N25" s="406"/>
    </row>
    <row r="26" spans="1:14" ht="16.5" thickBot="1">
      <c r="A26" s="928">
        <v>9</v>
      </c>
      <c r="B26" s="1021" t="s">
        <v>372</v>
      </c>
      <c r="C26" s="1021"/>
      <c r="D26" s="1021"/>
      <c r="E26" s="1021"/>
      <c r="F26" s="1022"/>
      <c r="G26" s="1025"/>
      <c r="H26" s="1029">
        <f>DATA!Q52</f>
        <v>0</v>
      </c>
      <c r="I26" s="1025"/>
      <c r="J26" s="1029">
        <f>DATA!R52</f>
        <v>0</v>
      </c>
      <c r="K26" s="1027"/>
      <c r="L26" s="1030">
        <f>H26+J26</f>
        <v>0</v>
      </c>
      <c r="M26" s="404"/>
      <c r="N26" s="406"/>
    </row>
    <row r="27" spans="1:14" ht="15.75">
      <c r="A27" s="1031">
        <v>10</v>
      </c>
      <c r="B27" s="1032"/>
      <c r="C27" s="1032" t="s">
        <v>373</v>
      </c>
      <c r="D27" s="1032"/>
      <c r="E27" s="1032"/>
      <c r="F27" s="1033"/>
      <c r="G27" s="1034"/>
      <c r="H27" s="1035" t="e">
        <f>ROUND((H24-H26),2)</f>
        <v>#N/A</v>
      </c>
      <c r="I27" s="1034"/>
      <c r="J27" s="1035" t="e">
        <f>ROUND((J24-J26),2)</f>
        <v>#N/A</v>
      </c>
      <c r="K27" s="1036"/>
      <c r="L27" s="1006" t="e">
        <f>ROUND((L24-L26),2)</f>
        <v>#N/A</v>
      </c>
      <c r="M27" s="404"/>
      <c r="N27" s="406"/>
    </row>
    <row r="28" spans="1:14" ht="17.25" customHeight="1" thickBot="1">
      <c r="A28" s="928">
        <v>11</v>
      </c>
      <c r="B28" s="1021" t="str">
        <f>"Add:  V.A.T. (" &amp; DATA!$C$1032*100 &amp; "%)"</f>
        <v>Add:  V.A.T. (15%)</v>
      </c>
      <c r="C28" s="1021"/>
      <c r="D28" s="1021"/>
      <c r="E28" s="1021"/>
      <c r="F28" s="1022"/>
      <c r="G28" s="1025"/>
      <c r="H28" s="1024" t="e">
        <f>ROUND((H27*DATA!$C$1032),2)</f>
        <v>#N/A</v>
      </c>
      <c r="I28" s="1025"/>
      <c r="J28" s="1024" t="e">
        <f>ROUND((J27*DATA!$C$1032),2)</f>
        <v>#N/A</v>
      </c>
      <c r="K28" s="1027"/>
      <c r="L28" s="1037" t="e">
        <f>ROUND((L27*DATA!$C$1032),2)</f>
        <v>#N/A</v>
      </c>
      <c r="M28" s="404"/>
      <c r="N28" s="406"/>
    </row>
    <row r="29" spans="1:14" ht="24" customHeight="1" thickBot="1">
      <c r="A29" s="1038">
        <v>12</v>
      </c>
      <c r="B29" s="1039" t="s">
        <v>374</v>
      </c>
      <c r="C29" s="1040"/>
      <c r="D29" s="1040"/>
      <c r="E29" s="1040"/>
      <c r="F29" s="1041"/>
      <c r="G29" s="1042"/>
      <c r="H29" s="1043" t="e">
        <f>H27+H28</f>
        <v>#N/A</v>
      </c>
      <c r="I29" s="1044"/>
      <c r="J29" s="1043" t="e">
        <f>J27+J28</f>
        <v>#N/A</v>
      </c>
      <c r="K29" s="1045"/>
      <c r="L29" s="1046" t="e">
        <f>L27+L28</f>
        <v>#N/A</v>
      </c>
      <c r="M29" s="404"/>
      <c r="N29" s="406"/>
    </row>
    <row r="30" spans="1:14" ht="16.5" customHeight="1">
      <c r="A30" s="1047"/>
      <c r="B30" s="1048"/>
      <c r="C30" s="1048"/>
      <c r="D30" s="1048"/>
      <c r="E30" s="1048"/>
      <c r="F30" s="1048"/>
      <c r="G30" s="1048"/>
      <c r="H30" s="1048"/>
      <c r="I30" s="1048"/>
      <c r="J30" s="1048"/>
      <c r="K30" s="1048"/>
      <c r="L30" s="1049"/>
      <c r="M30" s="404"/>
      <c r="N30" s="407"/>
    </row>
    <row r="31" spans="1:14" ht="16.5" customHeight="1">
      <c r="A31" s="1047"/>
      <c r="B31" s="1048"/>
      <c r="C31" s="1048"/>
      <c r="D31" s="1048"/>
      <c r="E31" s="1048"/>
      <c r="F31" s="1048"/>
      <c r="G31" s="1048"/>
      <c r="H31" s="1048"/>
      <c r="I31" s="1048"/>
      <c r="J31" s="1048"/>
      <c r="K31" s="1048"/>
      <c r="L31" s="1049"/>
    </row>
    <row r="32" spans="1:14" ht="16.5" customHeight="1">
      <c r="A32" s="1047"/>
      <c r="B32" s="1048"/>
      <c r="C32" s="1048"/>
      <c r="D32" s="1048"/>
      <c r="E32" s="1048"/>
      <c r="F32" s="1048"/>
      <c r="G32" s="1050"/>
      <c r="H32" s="1050"/>
      <c r="I32" s="1050"/>
      <c r="J32" s="1050"/>
      <c r="K32" s="1050"/>
      <c r="L32" s="1051"/>
    </row>
    <row r="33" spans="1:12">
      <c r="A33" s="1047"/>
      <c r="B33" s="1048"/>
      <c r="C33" s="1048"/>
      <c r="D33" s="1048"/>
      <c r="E33" s="1048"/>
      <c r="F33" s="1048"/>
      <c r="G33" s="1048"/>
      <c r="H33" s="1048"/>
      <c r="I33" s="1048"/>
      <c r="J33" s="1048"/>
      <c r="K33" s="1048"/>
      <c r="L33" s="1049"/>
    </row>
    <row r="34" spans="1:12">
      <c r="A34" s="1047"/>
      <c r="B34" s="1048"/>
      <c r="C34" s="1048"/>
      <c r="D34" s="1048"/>
      <c r="E34" s="1048"/>
      <c r="F34" s="1048"/>
      <c r="G34" s="1048"/>
      <c r="H34" s="1048"/>
      <c r="I34" s="1048"/>
      <c r="J34" s="1048"/>
      <c r="K34" s="1048"/>
      <c r="L34" s="1049"/>
    </row>
    <row r="35" spans="1:12">
      <c r="A35" s="1047"/>
      <c r="B35" s="1048"/>
      <c r="C35" s="1048"/>
      <c r="D35" s="1048"/>
      <c r="E35" s="1048"/>
      <c r="F35" s="1048"/>
      <c r="G35" s="1048"/>
      <c r="H35" s="1048"/>
      <c r="I35" s="1048"/>
      <c r="J35" s="1048"/>
      <c r="K35" s="1048"/>
      <c r="L35" s="1049"/>
    </row>
    <row r="36" spans="1:12">
      <c r="A36" s="1047"/>
      <c r="B36" s="1048"/>
      <c r="C36" s="1048"/>
      <c r="D36" s="1048"/>
      <c r="E36" s="1048"/>
      <c r="F36" s="1048"/>
      <c r="G36" s="1048"/>
      <c r="H36" s="1048"/>
      <c r="I36" s="1048"/>
      <c r="J36" s="1048"/>
      <c r="K36" s="1048"/>
      <c r="L36" s="1049"/>
    </row>
    <row r="37" spans="1:12">
      <c r="A37" s="1052"/>
      <c r="B37" s="1053"/>
      <c r="C37" s="1053"/>
      <c r="D37" s="1053"/>
      <c r="E37" s="1048"/>
      <c r="F37" s="1048"/>
      <c r="G37" s="1048"/>
      <c r="H37" s="1048"/>
      <c r="I37" s="1048"/>
      <c r="J37" s="1048"/>
      <c r="K37" s="1048"/>
      <c r="L37" s="1049"/>
    </row>
    <row r="38" spans="1:12">
      <c r="A38" s="1047" t="s">
        <v>375</v>
      </c>
      <c r="B38" s="1048"/>
      <c r="C38" s="1054" t="s">
        <v>376</v>
      </c>
      <c r="E38" s="1048"/>
      <c r="F38" s="1048"/>
      <c r="G38" s="1048"/>
      <c r="H38" s="1048"/>
      <c r="I38" s="1048"/>
      <c r="J38" s="1048" t="s">
        <v>377</v>
      </c>
      <c r="K38" s="1048"/>
      <c r="L38" s="1049" t="s">
        <v>376</v>
      </c>
    </row>
    <row r="39" spans="1:12" ht="15.75" thickBot="1">
      <c r="A39" s="1055"/>
      <c r="B39" s="1056"/>
      <c r="C39" s="1056"/>
      <c r="D39" s="1056"/>
      <c r="E39" s="1056"/>
      <c r="F39" s="1056"/>
      <c r="G39" s="1056"/>
      <c r="H39" s="1056"/>
      <c r="I39" s="1056"/>
      <c r="J39" s="1056"/>
      <c r="K39" s="1056"/>
      <c r="L39" s="1057"/>
    </row>
  </sheetData>
  <sheetProtection algorithmName="SHA-512" hashValue="D/4rnTMTmAI/DJ9TiKHRWDRkHdX737x0RHcPS2WWFTKubXtmWQjbmVPOIWGU5SgZoKXENMmPFKdCLfyapHq87g==" saltValue="O0w5tR7yBFgDQ9lAM/7Qsw==" spinCount="100000" sheet="1" objects="1" scenarios="1"/>
  <mergeCells count="6">
    <mergeCell ref="B22:E22"/>
    <mergeCell ref="C3:D3"/>
    <mergeCell ref="F3:G3"/>
    <mergeCell ref="K3:L3"/>
    <mergeCell ref="A6:L6"/>
    <mergeCell ref="B21:E21"/>
  </mergeCells>
  <pageMargins left="0.39" right="0.25" top="0.51181102362204722" bottom="0.51181102362204722" header="0.51181102362204722" footer="0.51181102362204722"/>
  <pageSetup paperSize="9" scale="77" orientation="landscape" blackAndWhite="1" r:id="rId1"/>
  <headerFooter alignWithMargins="0">
    <oddHeader>&amp;L&amp;"Calibri"&amp;10&amp;K000000Sensitivity - General&amp;1#</oddHeader>
  </headerFooter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8">
    <tabColor theme="9"/>
    <pageSetUpPr fitToPage="1"/>
  </sheetPr>
  <dimension ref="A1:K30"/>
  <sheetViews>
    <sheetView workbookViewId="0"/>
  </sheetViews>
  <sheetFormatPr defaultRowHeight="12.75"/>
  <cols>
    <col min="1" max="1" width="8.42578125" style="314" customWidth="1"/>
    <col min="2" max="2" width="11" style="314" customWidth="1"/>
    <col min="3" max="3" width="35.5703125" style="314" customWidth="1"/>
    <col min="4" max="4" width="7.28515625" style="314" customWidth="1"/>
    <col min="5" max="8" width="14.140625" style="314" customWidth="1"/>
    <col min="9" max="9" width="14.140625" style="464" customWidth="1"/>
    <col min="10" max="10" width="15.42578125" style="314" bestFit="1" customWidth="1"/>
    <col min="11" max="11" width="4.28515625" style="314" customWidth="1"/>
    <col min="12" max="256" width="9.140625" style="314"/>
    <col min="257" max="257" width="8.42578125" style="314" customWidth="1"/>
    <col min="258" max="258" width="11" style="314" customWidth="1"/>
    <col min="259" max="259" width="35.5703125" style="314" customWidth="1"/>
    <col min="260" max="260" width="7.28515625" style="314" customWidth="1"/>
    <col min="261" max="261" width="13.28515625" style="314" bestFit="1" customWidth="1"/>
    <col min="262" max="265" width="13.28515625" style="314" customWidth="1"/>
    <col min="266" max="266" width="15.42578125" style="314" bestFit="1" customWidth="1"/>
    <col min="267" max="267" width="4.28515625" style="314" customWidth="1"/>
    <col min="268" max="512" width="9.140625" style="314"/>
    <col min="513" max="513" width="8.42578125" style="314" customWidth="1"/>
    <col min="514" max="514" width="11" style="314" customWidth="1"/>
    <col min="515" max="515" width="35.5703125" style="314" customWidth="1"/>
    <col min="516" max="516" width="7.28515625" style="314" customWidth="1"/>
    <col min="517" max="517" width="13.28515625" style="314" bestFit="1" customWidth="1"/>
    <col min="518" max="521" width="13.28515625" style="314" customWidth="1"/>
    <col min="522" max="522" width="15.42578125" style="314" bestFit="1" customWidth="1"/>
    <col min="523" max="523" width="4.28515625" style="314" customWidth="1"/>
    <col min="524" max="768" width="9.140625" style="314"/>
    <col min="769" max="769" width="8.42578125" style="314" customWidth="1"/>
    <col min="770" max="770" width="11" style="314" customWidth="1"/>
    <col min="771" max="771" width="35.5703125" style="314" customWidth="1"/>
    <col min="772" max="772" width="7.28515625" style="314" customWidth="1"/>
    <col min="773" max="773" width="13.28515625" style="314" bestFit="1" customWidth="1"/>
    <col min="774" max="777" width="13.28515625" style="314" customWidth="1"/>
    <col min="778" max="778" width="15.42578125" style="314" bestFit="1" customWidth="1"/>
    <col min="779" max="779" width="4.28515625" style="314" customWidth="1"/>
    <col min="780" max="1024" width="9.140625" style="314"/>
    <col min="1025" max="1025" width="8.42578125" style="314" customWidth="1"/>
    <col min="1026" max="1026" width="11" style="314" customWidth="1"/>
    <col min="1027" max="1027" width="35.5703125" style="314" customWidth="1"/>
    <col min="1028" max="1028" width="7.28515625" style="314" customWidth="1"/>
    <col min="1029" max="1029" width="13.28515625" style="314" bestFit="1" customWidth="1"/>
    <col min="1030" max="1033" width="13.28515625" style="314" customWidth="1"/>
    <col min="1034" max="1034" width="15.42578125" style="314" bestFit="1" customWidth="1"/>
    <col min="1035" max="1035" width="4.28515625" style="314" customWidth="1"/>
    <col min="1036" max="1280" width="9.140625" style="314"/>
    <col min="1281" max="1281" width="8.42578125" style="314" customWidth="1"/>
    <col min="1282" max="1282" width="11" style="314" customWidth="1"/>
    <col min="1283" max="1283" width="35.5703125" style="314" customWidth="1"/>
    <col min="1284" max="1284" width="7.28515625" style="314" customWidth="1"/>
    <col min="1285" max="1285" width="13.28515625" style="314" bestFit="1" customWidth="1"/>
    <col min="1286" max="1289" width="13.28515625" style="314" customWidth="1"/>
    <col min="1290" max="1290" width="15.42578125" style="314" bestFit="1" customWidth="1"/>
    <col min="1291" max="1291" width="4.28515625" style="314" customWidth="1"/>
    <col min="1292" max="1536" width="9.140625" style="314"/>
    <col min="1537" max="1537" width="8.42578125" style="314" customWidth="1"/>
    <col min="1538" max="1538" width="11" style="314" customWidth="1"/>
    <col min="1539" max="1539" width="35.5703125" style="314" customWidth="1"/>
    <col min="1540" max="1540" width="7.28515625" style="314" customWidth="1"/>
    <col min="1541" max="1541" width="13.28515625" style="314" bestFit="1" customWidth="1"/>
    <col min="1542" max="1545" width="13.28515625" style="314" customWidth="1"/>
    <col min="1546" max="1546" width="15.42578125" style="314" bestFit="1" customWidth="1"/>
    <col min="1547" max="1547" width="4.28515625" style="314" customWidth="1"/>
    <col min="1548" max="1792" width="9.140625" style="314"/>
    <col min="1793" max="1793" width="8.42578125" style="314" customWidth="1"/>
    <col min="1794" max="1794" width="11" style="314" customWidth="1"/>
    <col min="1795" max="1795" width="35.5703125" style="314" customWidth="1"/>
    <col min="1796" max="1796" width="7.28515625" style="314" customWidth="1"/>
    <col min="1797" max="1797" width="13.28515625" style="314" bestFit="1" customWidth="1"/>
    <col min="1798" max="1801" width="13.28515625" style="314" customWidth="1"/>
    <col min="1802" max="1802" width="15.42578125" style="314" bestFit="1" customWidth="1"/>
    <col min="1803" max="1803" width="4.28515625" style="314" customWidth="1"/>
    <col min="1804" max="2048" width="9.140625" style="314"/>
    <col min="2049" max="2049" width="8.42578125" style="314" customWidth="1"/>
    <col min="2050" max="2050" width="11" style="314" customWidth="1"/>
    <col min="2051" max="2051" width="35.5703125" style="314" customWidth="1"/>
    <col min="2052" max="2052" width="7.28515625" style="314" customWidth="1"/>
    <col min="2053" max="2053" width="13.28515625" style="314" bestFit="1" customWidth="1"/>
    <col min="2054" max="2057" width="13.28515625" style="314" customWidth="1"/>
    <col min="2058" max="2058" width="15.42578125" style="314" bestFit="1" customWidth="1"/>
    <col min="2059" max="2059" width="4.28515625" style="314" customWidth="1"/>
    <col min="2060" max="2304" width="9.140625" style="314"/>
    <col min="2305" max="2305" width="8.42578125" style="314" customWidth="1"/>
    <col min="2306" max="2306" width="11" style="314" customWidth="1"/>
    <col min="2307" max="2307" width="35.5703125" style="314" customWidth="1"/>
    <col min="2308" max="2308" width="7.28515625" style="314" customWidth="1"/>
    <col min="2309" max="2309" width="13.28515625" style="314" bestFit="1" customWidth="1"/>
    <col min="2310" max="2313" width="13.28515625" style="314" customWidth="1"/>
    <col min="2314" max="2314" width="15.42578125" style="314" bestFit="1" customWidth="1"/>
    <col min="2315" max="2315" width="4.28515625" style="314" customWidth="1"/>
    <col min="2316" max="2560" width="9.140625" style="314"/>
    <col min="2561" max="2561" width="8.42578125" style="314" customWidth="1"/>
    <col min="2562" max="2562" width="11" style="314" customWidth="1"/>
    <col min="2563" max="2563" width="35.5703125" style="314" customWidth="1"/>
    <col min="2564" max="2564" width="7.28515625" style="314" customWidth="1"/>
    <col min="2565" max="2565" width="13.28515625" style="314" bestFit="1" customWidth="1"/>
    <col min="2566" max="2569" width="13.28515625" style="314" customWidth="1"/>
    <col min="2570" max="2570" width="15.42578125" style="314" bestFit="1" customWidth="1"/>
    <col min="2571" max="2571" width="4.28515625" style="314" customWidth="1"/>
    <col min="2572" max="2816" width="9.140625" style="314"/>
    <col min="2817" max="2817" width="8.42578125" style="314" customWidth="1"/>
    <col min="2818" max="2818" width="11" style="314" customWidth="1"/>
    <col min="2819" max="2819" width="35.5703125" style="314" customWidth="1"/>
    <col min="2820" max="2820" width="7.28515625" style="314" customWidth="1"/>
    <col min="2821" max="2821" width="13.28515625" style="314" bestFit="1" customWidth="1"/>
    <col min="2822" max="2825" width="13.28515625" style="314" customWidth="1"/>
    <col min="2826" max="2826" width="15.42578125" style="314" bestFit="1" customWidth="1"/>
    <col min="2827" max="2827" width="4.28515625" style="314" customWidth="1"/>
    <col min="2828" max="3072" width="9.140625" style="314"/>
    <col min="3073" max="3073" width="8.42578125" style="314" customWidth="1"/>
    <col min="3074" max="3074" width="11" style="314" customWidth="1"/>
    <col min="3075" max="3075" width="35.5703125" style="314" customWidth="1"/>
    <col min="3076" max="3076" width="7.28515625" style="314" customWidth="1"/>
    <col min="3077" max="3077" width="13.28515625" style="314" bestFit="1" customWidth="1"/>
    <col min="3078" max="3081" width="13.28515625" style="314" customWidth="1"/>
    <col min="3082" max="3082" width="15.42578125" style="314" bestFit="1" customWidth="1"/>
    <col min="3083" max="3083" width="4.28515625" style="314" customWidth="1"/>
    <col min="3084" max="3328" width="9.140625" style="314"/>
    <col min="3329" max="3329" width="8.42578125" style="314" customWidth="1"/>
    <col min="3330" max="3330" width="11" style="314" customWidth="1"/>
    <col min="3331" max="3331" width="35.5703125" style="314" customWidth="1"/>
    <col min="3332" max="3332" width="7.28515625" style="314" customWidth="1"/>
    <col min="3333" max="3333" width="13.28515625" style="314" bestFit="1" customWidth="1"/>
    <col min="3334" max="3337" width="13.28515625" style="314" customWidth="1"/>
    <col min="3338" max="3338" width="15.42578125" style="314" bestFit="1" customWidth="1"/>
    <col min="3339" max="3339" width="4.28515625" style="314" customWidth="1"/>
    <col min="3340" max="3584" width="9.140625" style="314"/>
    <col min="3585" max="3585" width="8.42578125" style="314" customWidth="1"/>
    <col min="3586" max="3586" width="11" style="314" customWidth="1"/>
    <col min="3587" max="3587" width="35.5703125" style="314" customWidth="1"/>
    <col min="3588" max="3588" width="7.28515625" style="314" customWidth="1"/>
    <col min="3589" max="3589" width="13.28515625" style="314" bestFit="1" customWidth="1"/>
    <col min="3590" max="3593" width="13.28515625" style="314" customWidth="1"/>
    <col min="3594" max="3594" width="15.42578125" style="314" bestFit="1" customWidth="1"/>
    <col min="3595" max="3595" width="4.28515625" style="314" customWidth="1"/>
    <col min="3596" max="3840" width="9.140625" style="314"/>
    <col min="3841" max="3841" width="8.42578125" style="314" customWidth="1"/>
    <col min="3842" max="3842" width="11" style="314" customWidth="1"/>
    <col min="3843" max="3843" width="35.5703125" style="314" customWidth="1"/>
    <col min="3844" max="3844" width="7.28515625" style="314" customWidth="1"/>
    <col min="3845" max="3845" width="13.28515625" style="314" bestFit="1" customWidth="1"/>
    <col min="3846" max="3849" width="13.28515625" style="314" customWidth="1"/>
    <col min="3850" max="3850" width="15.42578125" style="314" bestFit="1" customWidth="1"/>
    <col min="3851" max="3851" width="4.28515625" style="314" customWidth="1"/>
    <col min="3852" max="4096" width="9.140625" style="314"/>
    <col min="4097" max="4097" width="8.42578125" style="314" customWidth="1"/>
    <col min="4098" max="4098" width="11" style="314" customWidth="1"/>
    <col min="4099" max="4099" width="35.5703125" style="314" customWidth="1"/>
    <col min="4100" max="4100" width="7.28515625" style="314" customWidth="1"/>
    <col min="4101" max="4101" width="13.28515625" style="314" bestFit="1" customWidth="1"/>
    <col min="4102" max="4105" width="13.28515625" style="314" customWidth="1"/>
    <col min="4106" max="4106" width="15.42578125" style="314" bestFit="1" customWidth="1"/>
    <col min="4107" max="4107" width="4.28515625" style="314" customWidth="1"/>
    <col min="4108" max="4352" width="9.140625" style="314"/>
    <col min="4353" max="4353" width="8.42578125" style="314" customWidth="1"/>
    <col min="4354" max="4354" width="11" style="314" customWidth="1"/>
    <col min="4355" max="4355" width="35.5703125" style="314" customWidth="1"/>
    <col min="4356" max="4356" width="7.28515625" style="314" customWidth="1"/>
    <col min="4357" max="4357" width="13.28515625" style="314" bestFit="1" customWidth="1"/>
    <col min="4358" max="4361" width="13.28515625" style="314" customWidth="1"/>
    <col min="4362" max="4362" width="15.42578125" style="314" bestFit="1" customWidth="1"/>
    <col min="4363" max="4363" width="4.28515625" style="314" customWidth="1"/>
    <col min="4364" max="4608" width="9.140625" style="314"/>
    <col min="4609" max="4609" width="8.42578125" style="314" customWidth="1"/>
    <col min="4610" max="4610" width="11" style="314" customWidth="1"/>
    <col min="4611" max="4611" width="35.5703125" style="314" customWidth="1"/>
    <col min="4612" max="4612" width="7.28515625" style="314" customWidth="1"/>
    <col min="4613" max="4613" width="13.28515625" style="314" bestFit="1" customWidth="1"/>
    <col min="4614" max="4617" width="13.28515625" style="314" customWidth="1"/>
    <col min="4618" max="4618" width="15.42578125" style="314" bestFit="1" customWidth="1"/>
    <col min="4619" max="4619" width="4.28515625" style="314" customWidth="1"/>
    <col min="4620" max="4864" width="9.140625" style="314"/>
    <col min="4865" max="4865" width="8.42578125" style="314" customWidth="1"/>
    <col min="4866" max="4866" width="11" style="314" customWidth="1"/>
    <col min="4867" max="4867" width="35.5703125" style="314" customWidth="1"/>
    <col min="4868" max="4868" width="7.28515625" style="314" customWidth="1"/>
    <col min="4869" max="4869" width="13.28515625" style="314" bestFit="1" customWidth="1"/>
    <col min="4870" max="4873" width="13.28515625" style="314" customWidth="1"/>
    <col min="4874" max="4874" width="15.42578125" style="314" bestFit="1" customWidth="1"/>
    <col min="4875" max="4875" width="4.28515625" style="314" customWidth="1"/>
    <col min="4876" max="5120" width="9.140625" style="314"/>
    <col min="5121" max="5121" width="8.42578125" style="314" customWidth="1"/>
    <col min="5122" max="5122" width="11" style="314" customWidth="1"/>
    <col min="5123" max="5123" width="35.5703125" style="314" customWidth="1"/>
    <col min="5124" max="5124" width="7.28515625" style="314" customWidth="1"/>
    <col min="5125" max="5125" width="13.28515625" style="314" bestFit="1" customWidth="1"/>
    <col min="5126" max="5129" width="13.28515625" style="314" customWidth="1"/>
    <col min="5130" max="5130" width="15.42578125" style="314" bestFit="1" customWidth="1"/>
    <col min="5131" max="5131" width="4.28515625" style="314" customWidth="1"/>
    <col min="5132" max="5376" width="9.140625" style="314"/>
    <col min="5377" max="5377" width="8.42578125" style="314" customWidth="1"/>
    <col min="5378" max="5378" width="11" style="314" customWidth="1"/>
    <col min="5379" max="5379" width="35.5703125" style="314" customWidth="1"/>
    <col min="5380" max="5380" width="7.28515625" style="314" customWidth="1"/>
    <col min="5381" max="5381" width="13.28515625" style="314" bestFit="1" customWidth="1"/>
    <col min="5382" max="5385" width="13.28515625" style="314" customWidth="1"/>
    <col min="5386" max="5386" width="15.42578125" style="314" bestFit="1" customWidth="1"/>
    <col min="5387" max="5387" width="4.28515625" style="314" customWidth="1"/>
    <col min="5388" max="5632" width="9.140625" style="314"/>
    <col min="5633" max="5633" width="8.42578125" style="314" customWidth="1"/>
    <col min="5634" max="5634" width="11" style="314" customWidth="1"/>
    <col min="5635" max="5635" width="35.5703125" style="314" customWidth="1"/>
    <col min="5636" max="5636" width="7.28515625" style="314" customWidth="1"/>
    <col min="5637" max="5637" width="13.28515625" style="314" bestFit="1" customWidth="1"/>
    <col min="5638" max="5641" width="13.28515625" style="314" customWidth="1"/>
    <col min="5642" max="5642" width="15.42578125" style="314" bestFit="1" customWidth="1"/>
    <col min="5643" max="5643" width="4.28515625" style="314" customWidth="1"/>
    <col min="5644" max="5888" width="9.140625" style="314"/>
    <col min="5889" max="5889" width="8.42578125" style="314" customWidth="1"/>
    <col min="5890" max="5890" width="11" style="314" customWidth="1"/>
    <col min="5891" max="5891" width="35.5703125" style="314" customWidth="1"/>
    <col min="5892" max="5892" width="7.28515625" style="314" customWidth="1"/>
    <col min="5893" max="5893" width="13.28515625" style="314" bestFit="1" customWidth="1"/>
    <col min="5894" max="5897" width="13.28515625" style="314" customWidth="1"/>
    <col min="5898" max="5898" width="15.42578125" style="314" bestFit="1" customWidth="1"/>
    <col min="5899" max="5899" width="4.28515625" style="314" customWidth="1"/>
    <col min="5900" max="6144" width="9.140625" style="314"/>
    <col min="6145" max="6145" width="8.42578125" style="314" customWidth="1"/>
    <col min="6146" max="6146" width="11" style="314" customWidth="1"/>
    <col min="6147" max="6147" width="35.5703125" style="314" customWidth="1"/>
    <col min="6148" max="6148" width="7.28515625" style="314" customWidth="1"/>
    <col min="6149" max="6149" width="13.28515625" style="314" bestFit="1" customWidth="1"/>
    <col min="6150" max="6153" width="13.28515625" style="314" customWidth="1"/>
    <col min="6154" max="6154" width="15.42578125" style="314" bestFit="1" customWidth="1"/>
    <col min="6155" max="6155" width="4.28515625" style="314" customWidth="1"/>
    <col min="6156" max="6400" width="9.140625" style="314"/>
    <col min="6401" max="6401" width="8.42578125" style="314" customWidth="1"/>
    <col min="6402" max="6402" width="11" style="314" customWidth="1"/>
    <col min="6403" max="6403" width="35.5703125" style="314" customWidth="1"/>
    <col min="6404" max="6404" width="7.28515625" style="314" customWidth="1"/>
    <col min="6405" max="6405" width="13.28515625" style="314" bestFit="1" customWidth="1"/>
    <col min="6406" max="6409" width="13.28515625" style="314" customWidth="1"/>
    <col min="6410" max="6410" width="15.42578125" style="314" bestFit="1" customWidth="1"/>
    <col min="6411" max="6411" width="4.28515625" style="314" customWidth="1"/>
    <col min="6412" max="6656" width="9.140625" style="314"/>
    <col min="6657" max="6657" width="8.42578125" style="314" customWidth="1"/>
    <col min="6658" max="6658" width="11" style="314" customWidth="1"/>
    <col min="6659" max="6659" width="35.5703125" style="314" customWidth="1"/>
    <col min="6660" max="6660" width="7.28515625" style="314" customWidth="1"/>
    <col min="6661" max="6661" width="13.28515625" style="314" bestFit="1" customWidth="1"/>
    <col min="6662" max="6665" width="13.28515625" style="314" customWidth="1"/>
    <col min="6666" max="6666" width="15.42578125" style="314" bestFit="1" customWidth="1"/>
    <col min="6667" max="6667" width="4.28515625" style="314" customWidth="1"/>
    <col min="6668" max="6912" width="9.140625" style="314"/>
    <col min="6913" max="6913" width="8.42578125" style="314" customWidth="1"/>
    <col min="6914" max="6914" width="11" style="314" customWidth="1"/>
    <col min="6915" max="6915" width="35.5703125" style="314" customWidth="1"/>
    <col min="6916" max="6916" width="7.28515625" style="314" customWidth="1"/>
    <col min="6917" max="6917" width="13.28515625" style="314" bestFit="1" customWidth="1"/>
    <col min="6918" max="6921" width="13.28515625" style="314" customWidth="1"/>
    <col min="6922" max="6922" width="15.42578125" style="314" bestFit="1" customWidth="1"/>
    <col min="6923" max="6923" width="4.28515625" style="314" customWidth="1"/>
    <col min="6924" max="7168" width="9.140625" style="314"/>
    <col min="7169" max="7169" width="8.42578125" style="314" customWidth="1"/>
    <col min="7170" max="7170" width="11" style="314" customWidth="1"/>
    <col min="7171" max="7171" width="35.5703125" style="314" customWidth="1"/>
    <col min="7172" max="7172" width="7.28515625" style="314" customWidth="1"/>
    <col min="7173" max="7173" width="13.28515625" style="314" bestFit="1" customWidth="1"/>
    <col min="7174" max="7177" width="13.28515625" style="314" customWidth="1"/>
    <col min="7178" max="7178" width="15.42578125" style="314" bestFit="1" customWidth="1"/>
    <col min="7179" max="7179" width="4.28515625" style="314" customWidth="1"/>
    <col min="7180" max="7424" width="9.140625" style="314"/>
    <col min="7425" max="7425" width="8.42578125" style="314" customWidth="1"/>
    <col min="7426" max="7426" width="11" style="314" customWidth="1"/>
    <col min="7427" max="7427" width="35.5703125" style="314" customWidth="1"/>
    <col min="7428" max="7428" width="7.28515625" style="314" customWidth="1"/>
    <col min="7429" max="7429" width="13.28515625" style="314" bestFit="1" customWidth="1"/>
    <col min="7430" max="7433" width="13.28515625" style="314" customWidth="1"/>
    <col min="7434" max="7434" width="15.42578125" style="314" bestFit="1" customWidth="1"/>
    <col min="7435" max="7435" width="4.28515625" style="314" customWidth="1"/>
    <col min="7436" max="7680" width="9.140625" style="314"/>
    <col min="7681" max="7681" width="8.42578125" style="314" customWidth="1"/>
    <col min="7682" max="7682" width="11" style="314" customWidth="1"/>
    <col min="7683" max="7683" width="35.5703125" style="314" customWidth="1"/>
    <col min="7684" max="7684" width="7.28515625" style="314" customWidth="1"/>
    <col min="7685" max="7685" width="13.28515625" style="314" bestFit="1" customWidth="1"/>
    <col min="7686" max="7689" width="13.28515625" style="314" customWidth="1"/>
    <col min="7690" max="7690" width="15.42578125" style="314" bestFit="1" customWidth="1"/>
    <col min="7691" max="7691" width="4.28515625" style="314" customWidth="1"/>
    <col min="7692" max="7936" width="9.140625" style="314"/>
    <col min="7937" max="7937" width="8.42578125" style="314" customWidth="1"/>
    <col min="7938" max="7938" width="11" style="314" customWidth="1"/>
    <col min="7939" max="7939" width="35.5703125" style="314" customWidth="1"/>
    <col min="7940" max="7940" width="7.28515625" style="314" customWidth="1"/>
    <col min="7941" max="7941" width="13.28515625" style="314" bestFit="1" customWidth="1"/>
    <col min="7942" max="7945" width="13.28515625" style="314" customWidth="1"/>
    <col min="7946" max="7946" width="15.42578125" style="314" bestFit="1" customWidth="1"/>
    <col min="7947" max="7947" width="4.28515625" style="314" customWidth="1"/>
    <col min="7948" max="8192" width="9.140625" style="314"/>
    <col min="8193" max="8193" width="8.42578125" style="314" customWidth="1"/>
    <col min="8194" max="8194" width="11" style="314" customWidth="1"/>
    <col min="8195" max="8195" width="35.5703125" style="314" customWidth="1"/>
    <col min="8196" max="8196" width="7.28515625" style="314" customWidth="1"/>
    <col min="8197" max="8197" width="13.28515625" style="314" bestFit="1" customWidth="1"/>
    <col min="8198" max="8201" width="13.28515625" style="314" customWidth="1"/>
    <col min="8202" max="8202" width="15.42578125" style="314" bestFit="1" customWidth="1"/>
    <col min="8203" max="8203" width="4.28515625" style="314" customWidth="1"/>
    <col min="8204" max="8448" width="9.140625" style="314"/>
    <col min="8449" max="8449" width="8.42578125" style="314" customWidth="1"/>
    <col min="8450" max="8450" width="11" style="314" customWidth="1"/>
    <col min="8451" max="8451" width="35.5703125" style="314" customWidth="1"/>
    <col min="8452" max="8452" width="7.28515625" style="314" customWidth="1"/>
    <col min="8453" max="8453" width="13.28515625" style="314" bestFit="1" customWidth="1"/>
    <col min="8454" max="8457" width="13.28515625" style="314" customWidth="1"/>
    <col min="8458" max="8458" width="15.42578125" style="314" bestFit="1" customWidth="1"/>
    <col min="8459" max="8459" width="4.28515625" style="314" customWidth="1"/>
    <col min="8460" max="8704" width="9.140625" style="314"/>
    <col min="8705" max="8705" width="8.42578125" style="314" customWidth="1"/>
    <col min="8706" max="8706" width="11" style="314" customWidth="1"/>
    <col min="8707" max="8707" width="35.5703125" style="314" customWidth="1"/>
    <col min="8708" max="8708" width="7.28515625" style="314" customWidth="1"/>
    <col min="8709" max="8709" width="13.28515625" style="314" bestFit="1" customWidth="1"/>
    <col min="8710" max="8713" width="13.28515625" style="314" customWidth="1"/>
    <col min="8714" max="8714" width="15.42578125" style="314" bestFit="1" customWidth="1"/>
    <col min="8715" max="8715" width="4.28515625" style="314" customWidth="1"/>
    <col min="8716" max="8960" width="9.140625" style="314"/>
    <col min="8961" max="8961" width="8.42578125" style="314" customWidth="1"/>
    <col min="8962" max="8962" width="11" style="314" customWidth="1"/>
    <col min="8963" max="8963" width="35.5703125" style="314" customWidth="1"/>
    <col min="8964" max="8964" width="7.28515625" style="314" customWidth="1"/>
    <col min="8965" max="8965" width="13.28515625" style="314" bestFit="1" customWidth="1"/>
    <col min="8966" max="8969" width="13.28515625" style="314" customWidth="1"/>
    <col min="8970" max="8970" width="15.42578125" style="314" bestFit="1" customWidth="1"/>
    <col min="8971" max="8971" width="4.28515625" style="314" customWidth="1"/>
    <col min="8972" max="9216" width="9.140625" style="314"/>
    <col min="9217" max="9217" width="8.42578125" style="314" customWidth="1"/>
    <col min="9218" max="9218" width="11" style="314" customWidth="1"/>
    <col min="9219" max="9219" width="35.5703125" style="314" customWidth="1"/>
    <col min="9220" max="9220" width="7.28515625" style="314" customWidth="1"/>
    <col min="9221" max="9221" width="13.28515625" style="314" bestFit="1" customWidth="1"/>
    <col min="9222" max="9225" width="13.28515625" style="314" customWidth="1"/>
    <col min="9226" max="9226" width="15.42578125" style="314" bestFit="1" customWidth="1"/>
    <col min="9227" max="9227" width="4.28515625" style="314" customWidth="1"/>
    <col min="9228" max="9472" width="9.140625" style="314"/>
    <col min="9473" max="9473" width="8.42578125" style="314" customWidth="1"/>
    <col min="9474" max="9474" width="11" style="314" customWidth="1"/>
    <col min="9475" max="9475" width="35.5703125" style="314" customWidth="1"/>
    <col min="9476" max="9476" width="7.28515625" style="314" customWidth="1"/>
    <col min="9477" max="9477" width="13.28515625" style="314" bestFit="1" customWidth="1"/>
    <col min="9478" max="9481" width="13.28515625" style="314" customWidth="1"/>
    <col min="9482" max="9482" width="15.42578125" style="314" bestFit="1" customWidth="1"/>
    <col min="9483" max="9483" width="4.28515625" style="314" customWidth="1"/>
    <col min="9484" max="9728" width="9.140625" style="314"/>
    <col min="9729" max="9729" width="8.42578125" style="314" customWidth="1"/>
    <col min="9730" max="9730" width="11" style="314" customWidth="1"/>
    <col min="9731" max="9731" width="35.5703125" style="314" customWidth="1"/>
    <col min="9732" max="9732" width="7.28515625" style="314" customWidth="1"/>
    <col min="9733" max="9733" width="13.28515625" style="314" bestFit="1" customWidth="1"/>
    <col min="9734" max="9737" width="13.28515625" style="314" customWidth="1"/>
    <col min="9738" max="9738" width="15.42578125" style="314" bestFit="1" customWidth="1"/>
    <col min="9739" max="9739" width="4.28515625" style="314" customWidth="1"/>
    <col min="9740" max="9984" width="9.140625" style="314"/>
    <col min="9985" max="9985" width="8.42578125" style="314" customWidth="1"/>
    <col min="9986" max="9986" width="11" style="314" customWidth="1"/>
    <col min="9987" max="9987" width="35.5703125" style="314" customWidth="1"/>
    <col min="9988" max="9988" width="7.28515625" style="314" customWidth="1"/>
    <col min="9989" max="9989" width="13.28515625" style="314" bestFit="1" customWidth="1"/>
    <col min="9990" max="9993" width="13.28515625" style="314" customWidth="1"/>
    <col min="9994" max="9994" width="15.42578125" style="314" bestFit="1" customWidth="1"/>
    <col min="9995" max="9995" width="4.28515625" style="314" customWidth="1"/>
    <col min="9996" max="10240" width="9.140625" style="314"/>
    <col min="10241" max="10241" width="8.42578125" style="314" customWidth="1"/>
    <col min="10242" max="10242" width="11" style="314" customWidth="1"/>
    <col min="10243" max="10243" width="35.5703125" style="314" customWidth="1"/>
    <col min="10244" max="10244" width="7.28515625" style="314" customWidth="1"/>
    <col min="10245" max="10245" width="13.28515625" style="314" bestFit="1" customWidth="1"/>
    <col min="10246" max="10249" width="13.28515625" style="314" customWidth="1"/>
    <col min="10250" max="10250" width="15.42578125" style="314" bestFit="1" customWidth="1"/>
    <col min="10251" max="10251" width="4.28515625" style="314" customWidth="1"/>
    <col min="10252" max="10496" width="9.140625" style="314"/>
    <col min="10497" max="10497" width="8.42578125" style="314" customWidth="1"/>
    <col min="10498" max="10498" width="11" style="314" customWidth="1"/>
    <col min="10499" max="10499" width="35.5703125" style="314" customWidth="1"/>
    <col min="10500" max="10500" width="7.28515625" style="314" customWidth="1"/>
    <col min="10501" max="10501" width="13.28515625" style="314" bestFit="1" customWidth="1"/>
    <col min="10502" max="10505" width="13.28515625" style="314" customWidth="1"/>
    <col min="10506" max="10506" width="15.42578125" style="314" bestFit="1" customWidth="1"/>
    <col min="10507" max="10507" width="4.28515625" style="314" customWidth="1"/>
    <col min="10508" max="10752" width="9.140625" style="314"/>
    <col min="10753" max="10753" width="8.42578125" style="314" customWidth="1"/>
    <col min="10754" max="10754" width="11" style="314" customWidth="1"/>
    <col min="10755" max="10755" width="35.5703125" style="314" customWidth="1"/>
    <col min="10756" max="10756" width="7.28515625" style="314" customWidth="1"/>
    <col min="10757" max="10757" width="13.28515625" style="314" bestFit="1" customWidth="1"/>
    <col min="10758" max="10761" width="13.28515625" style="314" customWidth="1"/>
    <col min="10762" max="10762" width="15.42578125" style="314" bestFit="1" customWidth="1"/>
    <col min="10763" max="10763" width="4.28515625" style="314" customWidth="1"/>
    <col min="10764" max="11008" width="9.140625" style="314"/>
    <col min="11009" max="11009" width="8.42578125" style="314" customWidth="1"/>
    <col min="11010" max="11010" width="11" style="314" customWidth="1"/>
    <col min="11011" max="11011" width="35.5703125" style="314" customWidth="1"/>
    <col min="11012" max="11012" width="7.28515625" style="314" customWidth="1"/>
    <col min="11013" max="11013" width="13.28515625" style="314" bestFit="1" customWidth="1"/>
    <col min="11014" max="11017" width="13.28515625" style="314" customWidth="1"/>
    <col min="11018" max="11018" width="15.42578125" style="314" bestFit="1" customWidth="1"/>
    <col min="11019" max="11019" width="4.28515625" style="314" customWidth="1"/>
    <col min="11020" max="11264" width="9.140625" style="314"/>
    <col min="11265" max="11265" width="8.42578125" style="314" customWidth="1"/>
    <col min="11266" max="11266" width="11" style="314" customWidth="1"/>
    <col min="11267" max="11267" width="35.5703125" style="314" customWidth="1"/>
    <col min="11268" max="11268" width="7.28515625" style="314" customWidth="1"/>
    <col min="11269" max="11269" width="13.28515625" style="314" bestFit="1" customWidth="1"/>
    <col min="11270" max="11273" width="13.28515625" style="314" customWidth="1"/>
    <col min="11274" max="11274" width="15.42578125" style="314" bestFit="1" customWidth="1"/>
    <col min="11275" max="11275" width="4.28515625" style="314" customWidth="1"/>
    <col min="11276" max="11520" width="9.140625" style="314"/>
    <col min="11521" max="11521" width="8.42578125" style="314" customWidth="1"/>
    <col min="11522" max="11522" width="11" style="314" customWidth="1"/>
    <col min="11523" max="11523" width="35.5703125" style="314" customWidth="1"/>
    <col min="11524" max="11524" width="7.28515625" style="314" customWidth="1"/>
    <col min="11525" max="11525" width="13.28515625" style="314" bestFit="1" customWidth="1"/>
    <col min="11526" max="11529" width="13.28515625" style="314" customWidth="1"/>
    <col min="11530" max="11530" width="15.42578125" style="314" bestFit="1" customWidth="1"/>
    <col min="11531" max="11531" width="4.28515625" style="314" customWidth="1"/>
    <col min="11532" max="11776" width="9.140625" style="314"/>
    <col min="11777" max="11777" width="8.42578125" style="314" customWidth="1"/>
    <col min="11778" max="11778" width="11" style="314" customWidth="1"/>
    <col min="11779" max="11779" width="35.5703125" style="314" customWidth="1"/>
    <col min="11780" max="11780" width="7.28515625" style="314" customWidth="1"/>
    <col min="11781" max="11781" width="13.28515625" style="314" bestFit="1" customWidth="1"/>
    <col min="11782" max="11785" width="13.28515625" style="314" customWidth="1"/>
    <col min="11786" max="11786" width="15.42578125" style="314" bestFit="1" customWidth="1"/>
    <col min="11787" max="11787" width="4.28515625" style="314" customWidth="1"/>
    <col min="11788" max="12032" width="9.140625" style="314"/>
    <col min="12033" max="12033" width="8.42578125" style="314" customWidth="1"/>
    <col min="12034" max="12034" width="11" style="314" customWidth="1"/>
    <col min="12035" max="12035" width="35.5703125" style="314" customWidth="1"/>
    <col min="12036" max="12036" width="7.28515625" style="314" customWidth="1"/>
    <col min="12037" max="12037" width="13.28515625" style="314" bestFit="1" customWidth="1"/>
    <col min="12038" max="12041" width="13.28515625" style="314" customWidth="1"/>
    <col min="12042" max="12042" width="15.42578125" style="314" bestFit="1" customWidth="1"/>
    <col min="12043" max="12043" width="4.28515625" style="314" customWidth="1"/>
    <col min="12044" max="12288" width="9.140625" style="314"/>
    <col min="12289" max="12289" width="8.42578125" style="314" customWidth="1"/>
    <col min="12290" max="12290" width="11" style="314" customWidth="1"/>
    <col min="12291" max="12291" width="35.5703125" style="314" customWidth="1"/>
    <col min="12292" max="12292" width="7.28515625" style="314" customWidth="1"/>
    <col min="12293" max="12293" width="13.28515625" style="314" bestFit="1" customWidth="1"/>
    <col min="12294" max="12297" width="13.28515625" style="314" customWidth="1"/>
    <col min="12298" max="12298" width="15.42578125" style="314" bestFit="1" customWidth="1"/>
    <col min="12299" max="12299" width="4.28515625" style="314" customWidth="1"/>
    <col min="12300" max="12544" width="9.140625" style="314"/>
    <col min="12545" max="12545" width="8.42578125" style="314" customWidth="1"/>
    <col min="12546" max="12546" width="11" style="314" customWidth="1"/>
    <col min="12547" max="12547" width="35.5703125" style="314" customWidth="1"/>
    <col min="12548" max="12548" width="7.28515625" style="314" customWidth="1"/>
    <col min="12549" max="12549" width="13.28515625" style="314" bestFit="1" customWidth="1"/>
    <col min="12550" max="12553" width="13.28515625" style="314" customWidth="1"/>
    <col min="12554" max="12554" width="15.42578125" style="314" bestFit="1" customWidth="1"/>
    <col min="12555" max="12555" width="4.28515625" style="314" customWidth="1"/>
    <col min="12556" max="12800" width="9.140625" style="314"/>
    <col min="12801" max="12801" width="8.42578125" style="314" customWidth="1"/>
    <col min="12802" max="12802" width="11" style="314" customWidth="1"/>
    <col min="12803" max="12803" width="35.5703125" style="314" customWidth="1"/>
    <col min="12804" max="12804" width="7.28515625" style="314" customWidth="1"/>
    <col min="12805" max="12805" width="13.28515625" style="314" bestFit="1" customWidth="1"/>
    <col min="12806" max="12809" width="13.28515625" style="314" customWidth="1"/>
    <col min="12810" max="12810" width="15.42578125" style="314" bestFit="1" customWidth="1"/>
    <col min="12811" max="12811" width="4.28515625" style="314" customWidth="1"/>
    <col min="12812" max="13056" width="9.140625" style="314"/>
    <col min="13057" max="13057" width="8.42578125" style="314" customWidth="1"/>
    <col min="13058" max="13058" width="11" style="314" customWidth="1"/>
    <col min="13059" max="13059" width="35.5703125" style="314" customWidth="1"/>
    <col min="13060" max="13060" width="7.28515625" style="314" customWidth="1"/>
    <col min="13061" max="13061" width="13.28515625" style="314" bestFit="1" customWidth="1"/>
    <col min="13062" max="13065" width="13.28515625" style="314" customWidth="1"/>
    <col min="13066" max="13066" width="15.42578125" style="314" bestFit="1" customWidth="1"/>
    <col min="13067" max="13067" width="4.28515625" style="314" customWidth="1"/>
    <col min="13068" max="13312" width="9.140625" style="314"/>
    <col min="13313" max="13313" width="8.42578125" style="314" customWidth="1"/>
    <col min="13314" max="13314" width="11" style="314" customWidth="1"/>
    <col min="13315" max="13315" width="35.5703125" style="314" customWidth="1"/>
    <col min="13316" max="13316" width="7.28515625" style="314" customWidth="1"/>
    <col min="13317" max="13317" width="13.28515625" style="314" bestFit="1" customWidth="1"/>
    <col min="13318" max="13321" width="13.28515625" style="314" customWidth="1"/>
    <col min="13322" max="13322" width="15.42578125" style="314" bestFit="1" customWidth="1"/>
    <col min="13323" max="13323" width="4.28515625" style="314" customWidth="1"/>
    <col min="13324" max="13568" width="9.140625" style="314"/>
    <col min="13569" max="13569" width="8.42578125" style="314" customWidth="1"/>
    <col min="13570" max="13570" width="11" style="314" customWidth="1"/>
    <col min="13571" max="13571" width="35.5703125" style="314" customWidth="1"/>
    <col min="13572" max="13572" width="7.28515625" style="314" customWidth="1"/>
    <col min="13573" max="13573" width="13.28515625" style="314" bestFit="1" customWidth="1"/>
    <col min="13574" max="13577" width="13.28515625" style="314" customWidth="1"/>
    <col min="13578" max="13578" width="15.42578125" style="314" bestFit="1" customWidth="1"/>
    <col min="13579" max="13579" width="4.28515625" style="314" customWidth="1"/>
    <col min="13580" max="13824" width="9.140625" style="314"/>
    <col min="13825" max="13825" width="8.42578125" style="314" customWidth="1"/>
    <col min="13826" max="13826" width="11" style="314" customWidth="1"/>
    <col min="13827" max="13827" width="35.5703125" style="314" customWidth="1"/>
    <col min="13828" max="13828" width="7.28515625" style="314" customWidth="1"/>
    <col min="13829" max="13829" width="13.28515625" style="314" bestFit="1" customWidth="1"/>
    <col min="13830" max="13833" width="13.28515625" style="314" customWidth="1"/>
    <col min="13834" max="13834" width="15.42578125" style="314" bestFit="1" customWidth="1"/>
    <col min="13835" max="13835" width="4.28515625" style="314" customWidth="1"/>
    <col min="13836" max="14080" width="9.140625" style="314"/>
    <col min="14081" max="14081" width="8.42578125" style="314" customWidth="1"/>
    <col min="14082" max="14082" width="11" style="314" customWidth="1"/>
    <col min="14083" max="14083" width="35.5703125" style="314" customWidth="1"/>
    <col min="14084" max="14084" width="7.28515625" style="314" customWidth="1"/>
    <col min="14085" max="14085" width="13.28515625" style="314" bestFit="1" customWidth="1"/>
    <col min="14086" max="14089" width="13.28515625" style="314" customWidth="1"/>
    <col min="14090" max="14090" width="15.42578125" style="314" bestFit="1" customWidth="1"/>
    <col min="14091" max="14091" width="4.28515625" style="314" customWidth="1"/>
    <col min="14092" max="14336" width="9.140625" style="314"/>
    <col min="14337" max="14337" width="8.42578125" style="314" customWidth="1"/>
    <col min="14338" max="14338" width="11" style="314" customWidth="1"/>
    <col min="14339" max="14339" width="35.5703125" style="314" customWidth="1"/>
    <col min="14340" max="14340" width="7.28515625" style="314" customWidth="1"/>
    <col min="14341" max="14341" width="13.28515625" style="314" bestFit="1" customWidth="1"/>
    <col min="14342" max="14345" width="13.28515625" style="314" customWidth="1"/>
    <col min="14346" max="14346" width="15.42578125" style="314" bestFit="1" customWidth="1"/>
    <col min="14347" max="14347" width="4.28515625" style="314" customWidth="1"/>
    <col min="14348" max="14592" width="9.140625" style="314"/>
    <col min="14593" max="14593" width="8.42578125" style="314" customWidth="1"/>
    <col min="14594" max="14594" width="11" style="314" customWidth="1"/>
    <col min="14595" max="14595" width="35.5703125" style="314" customWidth="1"/>
    <col min="14596" max="14596" width="7.28515625" style="314" customWidth="1"/>
    <col min="14597" max="14597" width="13.28515625" style="314" bestFit="1" customWidth="1"/>
    <col min="14598" max="14601" width="13.28515625" style="314" customWidth="1"/>
    <col min="14602" max="14602" width="15.42578125" style="314" bestFit="1" customWidth="1"/>
    <col min="14603" max="14603" width="4.28515625" style="314" customWidth="1"/>
    <col min="14604" max="14848" width="9.140625" style="314"/>
    <col min="14849" max="14849" width="8.42578125" style="314" customWidth="1"/>
    <col min="14850" max="14850" width="11" style="314" customWidth="1"/>
    <col min="14851" max="14851" width="35.5703125" style="314" customWidth="1"/>
    <col min="14852" max="14852" width="7.28515625" style="314" customWidth="1"/>
    <col min="14853" max="14853" width="13.28515625" style="314" bestFit="1" customWidth="1"/>
    <col min="14854" max="14857" width="13.28515625" style="314" customWidth="1"/>
    <col min="14858" max="14858" width="15.42578125" style="314" bestFit="1" customWidth="1"/>
    <col min="14859" max="14859" width="4.28515625" style="314" customWidth="1"/>
    <col min="14860" max="15104" width="9.140625" style="314"/>
    <col min="15105" max="15105" width="8.42578125" style="314" customWidth="1"/>
    <col min="15106" max="15106" width="11" style="314" customWidth="1"/>
    <col min="15107" max="15107" width="35.5703125" style="314" customWidth="1"/>
    <col min="15108" max="15108" width="7.28515625" style="314" customWidth="1"/>
    <col min="15109" max="15109" width="13.28515625" style="314" bestFit="1" customWidth="1"/>
    <col min="15110" max="15113" width="13.28515625" style="314" customWidth="1"/>
    <col min="15114" max="15114" width="15.42578125" style="314" bestFit="1" customWidth="1"/>
    <col min="15115" max="15115" width="4.28515625" style="314" customWidth="1"/>
    <col min="15116" max="15360" width="9.140625" style="314"/>
    <col min="15361" max="15361" width="8.42578125" style="314" customWidth="1"/>
    <col min="15362" max="15362" width="11" style="314" customWidth="1"/>
    <col min="15363" max="15363" width="35.5703125" style="314" customWidth="1"/>
    <col min="15364" max="15364" width="7.28515625" style="314" customWidth="1"/>
    <col min="15365" max="15365" width="13.28515625" style="314" bestFit="1" customWidth="1"/>
    <col min="15366" max="15369" width="13.28515625" style="314" customWidth="1"/>
    <col min="15370" max="15370" width="15.42578125" style="314" bestFit="1" customWidth="1"/>
    <col min="15371" max="15371" width="4.28515625" style="314" customWidth="1"/>
    <col min="15372" max="15616" width="9.140625" style="314"/>
    <col min="15617" max="15617" width="8.42578125" style="314" customWidth="1"/>
    <col min="15618" max="15618" width="11" style="314" customWidth="1"/>
    <col min="15619" max="15619" width="35.5703125" style="314" customWidth="1"/>
    <col min="15620" max="15620" width="7.28515625" style="314" customWidth="1"/>
    <col min="15621" max="15621" width="13.28515625" style="314" bestFit="1" customWidth="1"/>
    <col min="15622" max="15625" width="13.28515625" style="314" customWidth="1"/>
    <col min="15626" max="15626" width="15.42578125" style="314" bestFit="1" customWidth="1"/>
    <col min="15627" max="15627" width="4.28515625" style="314" customWidth="1"/>
    <col min="15628" max="15872" width="9.140625" style="314"/>
    <col min="15873" max="15873" width="8.42578125" style="314" customWidth="1"/>
    <col min="15874" max="15874" width="11" style="314" customWidth="1"/>
    <col min="15875" max="15875" width="35.5703125" style="314" customWidth="1"/>
    <col min="15876" max="15876" width="7.28515625" style="314" customWidth="1"/>
    <col min="15877" max="15877" width="13.28515625" style="314" bestFit="1" customWidth="1"/>
    <col min="15878" max="15881" width="13.28515625" style="314" customWidth="1"/>
    <col min="15882" max="15882" width="15.42578125" style="314" bestFit="1" customWidth="1"/>
    <col min="15883" max="15883" width="4.28515625" style="314" customWidth="1"/>
    <col min="15884" max="16128" width="9.140625" style="314"/>
    <col min="16129" max="16129" width="8.42578125" style="314" customWidth="1"/>
    <col min="16130" max="16130" width="11" style="314" customWidth="1"/>
    <col min="16131" max="16131" width="35.5703125" style="314" customWidth="1"/>
    <col min="16132" max="16132" width="7.28515625" style="314" customWidth="1"/>
    <col min="16133" max="16133" width="13.28515625" style="314" bestFit="1" customWidth="1"/>
    <col min="16134" max="16137" width="13.28515625" style="314" customWidth="1"/>
    <col min="16138" max="16138" width="15.42578125" style="314" bestFit="1" customWidth="1"/>
    <col min="16139" max="16139" width="4.28515625" style="314" customWidth="1"/>
    <col min="16140" max="16384" width="9.140625" style="314"/>
  </cols>
  <sheetData>
    <row r="1" spans="1:11" ht="15.75">
      <c r="I1" s="408"/>
      <c r="J1" s="409" t="s">
        <v>378</v>
      </c>
    </row>
    <row r="2" spans="1:11" ht="8.25" customHeight="1">
      <c r="A2" s="1361"/>
      <c r="B2" s="1362"/>
      <c r="C2" s="1362"/>
      <c r="D2" s="1362"/>
      <c r="E2" s="1362"/>
      <c r="F2" s="1362"/>
      <c r="G2" s="1362"/>
      <c r="H2" s="1362"/>
      <c r="I2" s="1362"/>
      <c r="J2" s="1362"/>
    </row>
    <row r="3" spans="1:11" ht="15.75" customHeight="1">
      <c r="A3" s="1363" t="str">
        <f>'Pg 1 Payment'!C3</f>
        <v>NRA.N.011-050-2012/1F</v>
      </c>
      <c r="B3" s="1364"/>
      <c r="C3" s="1364"/>
      <c r="D3" s="403"/>
      <c r="E3" s="853">
        <f>'F1  Cover'!L8</f>
        <v>44804</v>
      </c>
      <c r="F3" s="410"/>
      <c r="G3" s="1365" t="s">
        <v>379</v>
      </c>
      <c r="H3" s="1365"/>
      <c r="I3" s="1341">
        <f>'F1  Cover'!K8</f>
        <v>1</v>
      </c>
      <c r="J3" s="1366"/>
    </row>
    <row r="4" spans="1:11" ht="15.75" customHeight="1" thickBot="1">
      <c r="A4" s="1367"/>
      <c r="B4" s="1368"/>
      <c r="C4" s="1368"/>
      <c r="D4" s="1368"/>
      <c r="E4" s="1368"/>
      <c r="F4" s="1368"/>
      <c r="G4" s="1368"/>
      <c r="H4" s="1368"/>
      <c r="I4" s="1368"/>
      <c r="J4" s="1368"/>
      <c r="K4" s="411"/>
    </row>
    <row r="5" spans="1:11" ht="15.75" customHeight="1">
      <c r="A5" s="412"/>
      <c r="B5" s="413"/>
      <c r="C5" s="413"/>
      <c r="D5" s="413"/>
      <c r="E5" s="413"/>
      <c r="F5" s="413"/>
      <c r="G5" s="413"/>
      <c r="H5" s="413"/>
      <c r="I5" s="413"/>
      <c r="J5" s="414"/>
      <c r="K5" s="411"/>
    </row>
    <row r="6" spans="1:11" ht="15.75" customHeight="1">
      <c r="A6" s="1358" t="s">
        <v>380</v>
      </c>
      <c r="B6" s="1359"/>
      <c r="C6" s="1359"/>
      <c r="D6" s="1359"/>
      <c r="E6" s="1359"/>
      <c r="F6" s="1359"/>
      <c r="G6" s="1359"/>
      <c r="H6" s="1359"/>
      <c r="I6" s="1359"/>
      <c r="J6" s="1360"/>
      <c r="K6" s="411"/>
    </row>
    <row r="7" spans="1:11" ht="15.75" customHeight="1" thickBot="1">
      <c r="A7" s="415"/>
      <c r="B7" s="416"/>
      <c r="C7" s="416"/>
      <c r="D7" s="416"/>
      <c r="E7" s="416"/>
      <c r="F7" s="416"/>
      <c r="G7" s="416"/>
      <c r="H7" s="416"/>
      <c r="I7" s="416"/>
      <c r="J7" s="417"/>
      <c r="K7" s="411"/>
    </row>
    <row r="8" spans="1:11" ht="36" customHeight="1">
      <c r="A8" s="418" t="s">
        <v>381</v>
      </c>
      <c r="B8" s="1356" t="s">
        <v>0</v>
      </c>
      <c r="C8" s="1357"/>
      <c r="D8" s="419" t="s">
        <v>382</v>
      </c>
      <c r="E8" s="420" t="s">
        <v>383</v>
      </c>
      <c r="F8" s="420" t="s">
        <v>384</v>
      </c>
      <c r="G8" s="420" t="s">
        <v>385</v>
      </c>
      <c r="H8" s="420" t="s">
        <v>386</v>
      </c>
      <c r="I8" s="421" t="s">
        <v>387</v>
      </c>
      <c r="J8" s="422" t="s">
        <v>388</v>
      </c>
    </row>
    <row r="9" spans="1:11" ht="16.5" customHeight="1">
      <c r="A9" s="707">
        <f>'F1  Cover'!A14</f>
        <v>3.2</v>
      </c>
      <c r="B9" s="1349" t="str">
        <f>'F1  Cover'!B14</f>
        <v>PROJECT ASSESSMENT STAGE</v>
      </c>
      <c r="C9" s="1350"/>
      <c r="D9" s="423" t="str">
        <f>'F1  Cover'!L14</f>
        <v>C3.2</v>
      </c>
      <c r="E9" s="424">
        <f>'C3.2'!J17</f>
        <v>0</v>
      </c>
      <c r="F9" s="424">
        <f>'C3.2'!K17</f>
        <v>0</v>
      </c>
      <c r="G9" s="424">
        <f>'C3.2'!L17</f>
        <v>0</v>
      </c>
      <c r="H9" s="424">
        <f>'C3.2'!M17</f>
        <v>0</v>
      </c>
      <c r="I9" s="425">
        <f>'C3.2'!N17</f>
        <v>0</v>
      </c>
      <c r="J9" s="426">
        <f>IF(I9=0,1,((F9-I9)/F9))</f>
        <v>1</v>
      </c>
    </row>
    <row r="10" spans="1:11" ht="16.5" customHeight="1">
      <c r="A10" s="707">
        <f>'F1  Cover'!A16</f>
        <v>3.3</v>
      </c>
      <c r="B10" s="1349" t="str">
        <f>'F1  Cover'!B16</f>
        <v>INVESTIGATIONS FOR DESIGN DEVELOPMENT</v>
      </c>
      <c r="C10" s="1350"/>
      <c r="D10" s="423" t="str">
        <f>'F1  Cover'!L16</f>
        <v>C3.3</v>
      </c>
      <c r="E10" s="424">
        <f>'C3.3'!J72</f>
        <v>19250000</v>
      </c>
      <c r="F10" s="424">
        <f>'C3.3'!K72</f>
        <v>19250000</v>
      </c>
      <c r="G10" s="424">
        <f>'C3.3'!L72</f>
        <v>0</v>
      </c>
      <c r="H10" s="424">
        <f>'C3.3'!M72</f>
        <v>0</v>
      </c>
      <c r="I10" s="424">
        <f>'C3.3'!N72</f>
        <v>0</v>
      </c>
      <c r="J10" s="426">
        <f t="shared" ref="J10:J18" si="0">IF(I10=0,1,((F10-I10)/F10))</f>
        <v>1</v>
      </c>
    </row>
    <row r="11" spans="1:11" ht="16.5" customHeight="1">
      <c r="A11" s="707">
        <f>'F1  Cover'!A18</f>
        <v>3.4</v>
      </c>
      <c r="B11" s="1349" t="str">
        <f>'F1  Cover'!B18</f>
        <v>DESIGN DEVELOPMENT STAGE</v>
      </c>
      <c r="C11" s="1350"/>
      <c r="D11" s="423" t="str">
        <f>'F1  Cover'!L18</f>
        <v>C3.4</v>
      </c>
      <c r="E11" s="424" t="e">
        <f>'C3.4'!J155</f>
        <v>#N/A</v>
      </c>
      <c r="F11" s="424" t="e">
        <f>'C3.4'!K155</f>
        <v>#N/A</v>
      </c>
      <c r="G11" s="424">
        <f>'C3.4'!L155</f>
        <v>0</v>
      </c>
      <c r="H11" s="424" t="e">
        <f>'C3.4'!M155</f>
        <v>#N/A</v>
      </c>
      <c r="I11" s="425" t="e">
        <f>'C3.4'!N155</f>
        <v>#N/A</v>
      </c>
      <c r="J11" s="426" t="e">
        <f t="shared" si="0"/>
        <v>#N/A</v>
      </c>
    </row>
    <row r="12" spans="1:11" ht="16.5" customHeight="1">
      <c r="A12" s="707">
        <f>'F1  Cover'!A20</f>
        <v>3.5</v>
      </c>
      <c r="B12" s="1349" t="str">
        <f>'F1  Cover'!B20</f>
        <v>TENDER DOCUMENTATION</v>
      </c>
      <c r="C12" s="1350"/>
      <c r="D12" s="423" t="str">
        <f>'F1  Cover'!L20</f>
        <v>C3.5</v>
      </c>
      <c r="E12" s="424">
        <f>'C3.5'!J12</f>
        <v>0</v>
      </c>
      <c r="F12" s="424">
        <f>'C3.5'!K12</f>
        <v>0</v>
      </c>
      <c r="G12" s="424">
        <f>'C3.5'!L12</f>
        <v>0</v>
      </c>
      <c r="H12" s="424">
        <f>'C3.5'!M12</f>
        <v>0</v>
      </c>
      <c r="I12" s="425">
        <f>'C3.5'!N12</f>
        <v>0</v>
      </c>
      <c r="J12" s="426">
        <f t="shared" si="0"/>
        <v>1</v>
      </c>
    </row>
    <row r="13" spans="1:11" ht="16.5" customHeight="1">
      <c r="A13" s="707">
        <f>'F1  Cover'!A22</f>
        <v>3.6</v>
      </c>
      <c r="B13" s="1349" t="str">
        <f>'F1  Cover'!B22</f>
        <v>CLARIFICATION MEETING, TENDER PERIOD AND TENDER EVALUATION</v>
      </c>
      <c r="C13" s="1350"/>
      <c r="D13" s="423" t="str">
        <f>'F1  Cover'!L22</f>
        <v>C3.6</v>
      </c>
      <c r="E13" s="424">
        <f>'C3.6'!J16</f>
        <v>50000</v>
      </c>
      <c r="F13" s="424">
        <f>'C3.6'!K16</f>
        <v>50000</v>
      </c>
      <c r="G13" s="424">
        <f>'C3.6'!L16</f>
        <v>0</v>
      </c>
      <c r="H13" s="424">
        <f>'C3.6'!M16</f>
        <v>0</v>
      </c>
      <c r="I13" s="425">
        <f>'C3.6'!N16</f>
        <v>0</v>
      </c>
      <c r="J13" s="426">
        <f t="shared" si="0"/>
        <v>1</v>
      </c>
    </row>
    <row r="14" spans="1:11" ht="16.5" customHeight="1">
      <c r="A14" s="707">
        <f>'F1  Cover'!A24</f>
        <v>3.7</v>
      </c>
      <c r="B14" s="1349" t="str">
        <f>'F1  Cover'!B24</f>
        <v>ADMINISTRATION AND MONITORING OF THE WORKS CONTRACT</v>
      </c>
      <c r="C14" s="1350"/>
      <c r="D14" s="423" t="str">
        <f>'F1  Cover'!L24</f>
        <v>C3.7</v>
      </c>
      <c r="E14" s="424" t="e">
        <f>'C3.7'!J69</f>
        <v>#N/A</v>
      </c>
      <c r="F14" s="424" t="e">
        <f>'C3.7'!K69</f>
        <v>#N/A</v>
      </c>
      <c r="G14" s="424">
        <f>'C3.7'!L69</f>
        <v>0</v>
      </c>
      <c r="H14" s="424" t="e">
        <f>'C3.7'!M69</f>
        <v>#N/A</v>
      </c>
      <c r="I14" s="425" t="e">
        <f>'C3.7'!N69</f>
        <v>#N/A</v>
      </c>
      <c r="J14" s="426" t="e">
        <f t="shared" si="0"/>
        <v>#N/A</v>
      </c>
    </row>
    <row r="15" spans="1:11" ht="16.5" customHeight="1">
      <c r="A15" s="707">
        <f>'F1  Cover'!A26</f>
        <v>3.8</v>
      </c>
      <c r="B15" s="1349" t="str">
        <f>'F1  Cover'!B26</f>
        <v>ADDITIONAL DUTIES, SPECIAL SERVICES AND SPECIALIST ADVICE</v>
      </c>
      <c r="C15" s="1350"/>
      <c r="D15" s="423" t="str">
        <f>'F1  Cover'!L26</f>
        <v>C3.8</v>
      </c>
      <c r="E15" s="424">
        <f>'C3.8'!J41</f>
        <v>9559220</v>
      </c>
      <c r="F15" s="424">
        <f>'C3.8'!K41</f>
        <v>9559220</v>
      </c>
      <c r="G15" s="424">
        <f>'C3.8'!L41</f>
        <v>0</v>
      </c>
      <c r="H15" s="424">
        <f>'C3.8'!M41</f>
        <v>0</v>
      </c>
      <c r="I15" s="428">
        <f>'C3.8'!N41</f>
        <v>0</v>
      </c>
      <c r="J15" s="426">
        <f t="shared" si="0"/>
        <v>1</v>
      </c>
    </row>
    <row r="16" spans="1:11" ht="16.5" customHeight="1">
      <c r="A16" s="707">
        <f>'F1  Cover'!A28</f>
        <v>3.9</v>
      </c>
      <c r="B16" s="1349" t="str">
        <f>'F1  Cover'!B28</f>
        <v>QUALITY CONTROL: WORKS CONTRACT</v>
      </c>
      <c r="C16" s="1350"/>
      <c r="D16" s="423" t="str">
        <f>'F1  Cover'!L28</f>
        <v>C3.9</v>
      </c>
      <c r="E16" s="424">
        <f>'C3.9'!J13</f>
        <v>28750000</v>
      </c>
      <c r="F16" s="424">
        <f>'C3.9'!K13</f>
        <v>28750000</v>
      </c>
      <c r="G16" s="424">
        <f>'C3.9'!L13</f>
        <v>0</v>
      </c>
      <c r="H16" s="424">
        <f>'C3.9'!M13</f>
        <v>0</v>
      </c>
      <c r="I16" s="428">
        <f>'C3.9'!N13</f>
        <v>0</v>
      </c>
      <c r="J16" s="426">
        <f t="shared" si="0"/>
        <v>1</v>
      </c>
    </row>
    <row r="17" spans="1:10" ht="16.5" customHeight="1">
      <c r="A17" s="715">
        <f>'F1  Cover'!A30</f>
        <v>3.1</v>
      </c>
      <c r="B17" s="1349" t="str">
        <f>'F1  Cover'!B30</f>
        <v>CLOSE OUT</v>
      </c>
      <c r="C17" s="1350"/>
      <c r="D17" s="423" t="str">
        <f>'F1  Cover'!L30</f>
        <v>C3.10</v>
      </c>
      <c r="E17" s="424" t="e">
        <f>'C3.10'!J30</f>
        <v>#N/A</v>
      </c>
      <c r="F17" s="424" t="e">
        <f>'C3.10'!K30</f>
        <v>#N/A</v>
      </c>
      <c r="G17" s="424">
        <f>'C3.10'!L30</f>
        <v>0</v>
      </c>
      <c r="H17" s="424" t="e">
        <f>'C3.10'!M30</f>
        <v>#N/A</v>
      </c>
      <c r="I17" s="424" t="e">
        <f>'C3.10'!N30</f>
        <v>#N/A</v>
      </c>
      <c r="J17" s="426" t="e">
        <f t="shared" si="0"/>
        <v>#N/A</v>
      </c>
    </row>
    <row r="18" spans="1:10" ht="16.5" customHeight="1">
      <c r="A18" s="429"/>
      <c r="B18" s="1351" t="s">
        <v>389</v>
      </c>
      <c r="C18" s="1351"/>
      <c r="D18" s="423"/>
      <c r="E18" s="430" t="e">
        <f>SUM(E9:E17)</f>
        <v>#N/A</v>
      </c>
      <c r="F18" s="430" t="e">
        <f>SUM(F9:F17)</f>
        <v>#N/A</v>
      </c>
      <c r="G18" s="430">
        <f>SUM(G9:G17)</f>
        <v>0</v>
      </c>
      <c r="H18" s="430" t="e">
        <f>SUM(H9:H17)</f>
        <v>#N/A</v>
      </c>
      <c r="I18" s="430" t="e">
        <f>SUM(I9:I17)</f>
        <v>#N/A</v>
      </c>
      <c r="J18" s="426" t="e">
        <f t="shared" si="0"/>
        <v>#N/A</v>
      </c>
    </row>
    <row r="19" spans="1:10" ht="24" customHeight="1">
      <c r="A19" s="431"/>
      <c r="B19" s="1352" t="s">
        <v>390</v>
      </c>
      <c r="C19" s="1352"/>
      <c r="D19" s="1353"/>
      <c r="E19" s="432"/>
      <c r="F19" s="432"/>
      <c r="G19" s="432"/>
      <c r="H19" s="432"/>
      <c r="I19" s="433"/>
      <c r="J19" s="434" t="e">
        <f>I9+I10+I11+I12+I13+I15</f>
        <v>#N/A</v>
      </c>
    </row>
    <row r="20" spans="1:10" ht="24" customHeight="1" thickBot="1">
      <c r="A20" s="435"/>
      <c r="B20" s="1354" t="s">
        <v>391</v>
      </c>
      <c r="C20" s="1354"/>
      <c r="D20" s="1355"/>
      <c r="E20" s="436"/>
      <c r="F20" s="436"/>
      <c r="G20" s="436"/>
      <c r="H20" s="436"/>
      <c r="I20" s="437"/>
      <c r="J20" s="438" t="e">
        <f>I14+I16+I17</f>
        <v>#N/A</v>
      </c>
    </row>
    <row r="21" spans="1:10">
      <c r="A21" s="439"/>
      <c r="B21" s="440"/>
      <c r="C21" s="440"/>
      <c r="D21" s="440"/>
      <c r="E21" s="440"/>
      <c r="F21" s="440"/>
      <c r="G21" s="440"/>
      <c r="H21" s="440"/>
      <c r="I21" s="441"/>
      <c r="J21" s="442"/>
    </row>
    <row r="22" spans="1:10" ht="15.75" customHeight="1">
      <c r="A22" s="443" t="s">
        <v>392</v>
      </c>
      <c r="B22" s="444"/>
      <c r="C22" s="444"/>
      <c r="D22" s="444"/>
      <c r="E22" s="444"/>
      <c r="F22" s="444"/>
      <c r="G22" s="444"/>
      <c r="H22" s="444"/>
      <c r="I22" s="445"/>
      <c r="J22" s="446"/>
    </row>
    <row r="23" spans="1:10" ht="16.5" customHeight="1" thickBot="1">
      <c r="A23" s="447"/>
      <c r="B23" s="448"/>
      <c r="C23" s="448"/>
      <c r="D23" s="448"/>
      <c r="E23" s="448"/>
      <c r="F23" s="448"/>
      <c r="G23" s="448"/>
      <c r="H23" s="449" t="s">
        <v>362</v>
      </c>
      <c r="I23" s="450" t="s">
        <v>363</v>
      </c>
      <c r="J23" s="451" t="s">
        <v>393</v>
      </c>
    </row>
    <row r="24" spans="1:10" ht="16.5" customHeight="1">
      <c r="A24" s="452"/>
      <c r="B24" s="453" t="s">
        <v>389</v>
      </c>
      <c r="C24" s="453"/>
      <c r="D24" s="453"/>
      <c r="E24" s="453"/>
      <c r="F24" s="453"/>
      <c r="G24" s="453"/>
      <c r="H24" s="454" t="e">
        <f>J19</f>
        <v>#N/A</v>
      </c>
      <c r="I24" s="454" t="e">
        <f>J20</f>
        <v>#N/A</v>
      </c>
      <c r="J24" s="455" t="e">
        <f>I18</f>
        <v>#N/A</v>
      </c>
    </row>
    <row r="25" spans="1:10" ht="16.5" customHeight="1">
      <c r="A25" s="452"/>
      <c r="B25" s="453" t="s">
        <v>656</v>
      </c>
      <c r="C25" s="453"/>
      <c r="D25" s="453"/>
      <c r="E25" s="453"/>
      <c r="F25" s="453"/>
      <c r="G25" s="453"/>
      <c r="H25" s="456">
        <f>'Pg 6 WAF with CPI'!$L$31</f>
        <v>0</v>
      </c>
      <c r="I25" s="456">
        <f>'Pg 6 WAF with CPI'!$L$32</f>
        <v>0</v>
      </c>
      <c r="J25" s="455">
        <f>H25+I25</f>
        <v>0</v>
      </c>
    </row>
    <row r="26" spans="1:10" ht="16.5" customHeight="1">
      <c r="A26" s="452"/>
      <c r="B26" s="453" t="s">
        <v>394</v>
      </c>
      <c r="C26" s="453"/>
      <c r="D26" s="453"/>
      <c r="E26" s="453"/>
      <c r="F26" s="453"/>
      <c r="G26" s="453"/>
      <c r="H26" s="456">
        <f>'Pg 4 P Sums'!$L$444</f>
        <v>0</v>
      </c>
      <c r="I26" s="456">
        <f>'Pg 4 P Sums'!$L$445</f>
        <v>0</v>
      </c>
      <c r="J26" s="455">
        <f>H26+I26</f>
        <v>0</v>
      </c>
    </row>
    <row r="27" spans="1:10" ht="16.5" hidden="1" customHeight="1">
      <c r="A27" s="452"/>
      <c r="B27" s="453" t="s">
        <v>880</v>
      </c>
      <c r="C27" s="453"/>
      <c r="D27" s="453"/>
      <c r="E27" s="453"/>
      <c r="F27" s="453"/>
      <c r="G27" s="453"/>
      <c r="H27" s="456">
        <v>0</v>
      </c>
      <c r="I27" s="456">
        <v>0</v>
      </c>
      <c r="J27" s="455">
        <f>H27+I27</f>
        <v>0</v>
      </c>
    </row>
    <row r="28" spans="1:10" ht="16.5" customHeight="1">
      <c r="A28" s="452"/>
      <c r="B28" s="453"/>
      <c r="C28" s="453" t="s">
        <v>395</v>
      </c>
      <c r="D28" s="453"/>
      <c r="E28" s="453"/>
      <c r="F28" s="453"/>
      <c r="G28" s="453"/>
      <c r="H28" s="456" t="e">
        <f>H24+H25-H26-H27</f>
        <v>#N/A</v>
      </c>
      <c r="I28" s="456" t="e">
        <f>I24+I25-I26-I27</f>
        <v>#N/A</v>
      </c>
      <c r="J28" s="457" t="e">
        <f>J24+J25-J26-J27</f>
        <v>#N/A</v>
      </c>
    </row>
    <row r="29" spans="1:10" ht="16.5" customHeight="1">
      <c r="A29" s="458"/>
      <c r="B29" s="427" t="s">
        <v>396</v>
      </c>
      <c r="C29" s="427"/>
      <c r="D29" s="427"/>
      <c r="E29" s="427"/>
      <c r="F29" s="427"/>
      <c r="G29" s="427"/>
      <c r="H29" s="852">
        <f>DATA!S52</f>
        <v>0</v>
      </c>
      <c r="I29" s="852">
        <f>DATA!T52</f>
        <v>0</v>
      </c>
      <c r="J29" s="457">
        <f>H29+I29</f>
        <v>0</v>
      </c>
    </row>
    <row r="30" spans="1:10" ht="16.5" customHeight="1" thickBot="1">
      <c r="A30" s="459"/>
      <c r="B30" s="460" t="s">
        <v>397</v>
      </c>
      <c r="C30" s="461"/>
      <c r="D30" s="461"/>
      <c r="E30" s="461"/>
      <c r="F30" s="461"/>
      <c r="G30" s="461"/>
      <c r="H30" s="462" t="e">
        <f>H28-H29</f>
        <v>#N/A</v>
      </c>
      <c r="I30" s="462" t="e">
        <f>I28-I29</f>
        <v>#N/A</v>
      </c>
      <c r="J30" s="463" t="e">
        <f>J28-J29</f>
        <v>#N/A</v>
      </c>
    </row>
  </sheetData>
  <sheetProtection algorithmName="SHA-512" hashValue="MB9tfHtkdv5+bhHdlwygPRc8Iky28y0XAv0mcjobvbByiLTDfBhV55ZgtC3AMvVfpB1kpVJ9jx2ZaLD9TvzoeQ==" saltValue="qb2AHUKHnCECnWpDKwNT9Q==" spinCount="100000" sheet="1" objects="1" scenarios="1"/>
  <mergeCells count="19">
    <mergeCell ref="A6:J6"/>
    <mergeCell ref="A2:J2"/>
    <mergeCell ref="A3:C3"/>
    <mergeCell ref="G3:H3"/>
    <mergeCell ref="I3:J3"/>
    <mergeCell ref="A4:J4"/>
    <mergeCell ref="B14:C14"/>
    <mergeCell ref="B18:C18"/>
    <mergeCell ref="B19:D19"/>
    <mergeCell ref="B20:D20"/>
    <mergeCell ref="B8:C8"/>
    <mergeCell ref="B9:C9"/>
    <mergeCell ref="B10:C10"/>
    <mergeCell ref="B11:C11"/>
    <mergeCell ref="B12:C12"/>
    <mergeCell ref="B13:C13"/>
    <mergeCell ref="B15:C15"/>
    <mergeCell ref="B16:C16"/>
    <mergeCell ref="B17:C17"/>
  </mergeCells>
  <printOptions horizontalCentered="1"/>
  <pageMargins left="3.937007874015748E-2" right="0.19685039370078741" top="0.55000000000000004" bottom="3.937007874015748E-2" header="0.32" footer="0.39370078740157483"/>
  <pageSetup paperSize="9" scale="97" fitToHeight="0" orientation="landscape" blackAndWhite="1" horizontalDpi="4294967292" r:id="rId1"/>
  <headerFooter alignWithMargins="0">
    <oddHeader>&amp;L&amp;"Calibri"&amp;10&amp;K000000Sensitivity - General&amp;1#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9">
    <tabColor theme="9"/>
    <pageSetUpPr fitToPage="1"/>
  </sheetPr>
  <dimension ref="A1:Q130"/>
  <sheetViews>
    <sheetView workbookViewId="0"/>
  </sheetViews>
  <sheetFormatPr defaultRowHeight="12.75"/>
  <cols>
    <col min="1" max="1" width="19.140625" style="314" customWidth="1"/>
    <col min="2" max="2" width="10.5703125" style="314" customWidth="1"/>
    <col min="3" max="3" width="9.7109375" style="314" customWidth="1"/>
    <col min="4" max="4" width="11.28515625" style="314" customWidth="1"/>
    <col min="5" max="6" width="7" style="314" customWidth="1"/>
    <col min="7" max="7" width="6.7109375" style="314" customWidth="1"/>
    <col min="8" max="8" width="9.85546875" style="314" customWidth="1"/>
    <col min="9" max="9" width="7" style="314" customWidth="1"/>
    <col min="10" max="10" width="9.42578125" style="465" customWidth="1"/>
    <col min="11" max="12" width="11.5703125" style="314" customWidth="1"/>
    <col min="13" max="13" width="13.85546875" style="314" customWidth="1"/>
    <col min="14" max="14" width="13.7109375" style="314" customWidth="1"/>
    <col min="15" max="17" width="13.42578125" style="314" bestFit="1" customWidth="1"/>
    <col min="18" max="256" width="9.140625" style="314"/>
    <col min="257" max="257" width="19.140625" style="314" customWidth="1"/>
    <col min="258" max="258" width="10.5703125" style="314" customWidth="1"/>
    <col min="259" max="259" width="9.7109375" style="314" customWidth="1"/>
    <col min="260" max="260" width="11.28515625" style="314" customWidth="1"/>
    <col min="261" max="262" width="7" style="314" customWidth="1"/>
    <col min="263" max="263" width="6.7109375" style="314" customWidth="1"/>
    <col min="264" max="264" width="9.85546875" style="314" customWidth="1"/>
    <col min="265" max="265" width="7" style="314" customWidth="1"/>
    <col min="266" max="266" width="9.42578125" style="314" customWidth="1"/>
    <col min="267" max="268" width="11.5703125" style="314" customWidth="1"/>
    <col min="269" max="269" width="13.85546875" style="314" customWidth="1"/>
    <col min="270" max="270" width="13.7109375" style="314" customWidth="1"/>
    <col min="271" max="273" width="13.42578125" style="314" bestFit="1" customWidth="1"/>
    <col min="274" max="512" width="9.140625" style="314"/>
    <col min="513" max="513" width="19.140625" style="314" customWidth="1"/>
    <col min="514" max="514" width="10.5703125" style="314" customWidth="1"/>
    <col min="515" max="515" width="9.7109375" style="314" customWidth="1"/>
    <col min="516" max="516" width="11.28515625" style="314" customWidth="1"/>
    <col min="517" max="518" width="7" style="314" customWidth="1"/>
    <col min="519" max="519" width="6.7109375" style="314" customWidth="1"/>
    <col min="520" max="520" width="9.85546875" style="314" customWidth="1"/>
    <col min="521" max="521" width="7" style="314" customWidth="1"/>
    <col min="522" max="522" width="9.42578125" style="314" customWidth="1"/>
    <col min="523" max="524" width="11.5703125" style="314" customWidth="1"/>
    <col min="525" max="525" width="13.85546875" style="314" customWidth="1"/>
    <col min="526" max="526" width="13.7109375" style="314" customWidth="1"/>
    <col min="527" max="529" width="13.42578125" style="314" bestFit="1" customWidth="1"/>
    <col min="530" max="768" width="9.140625" style="314"/>
    <col min="769" max="769" width="19.140625" style="314" customWidth="1"/>
    <col min="770" max="770" width="10.5703125" style="314" customWidth="1"/>
    <col min="771" max="771" width="9.7109375" style="314" customWidth="1"/>
    <col min="772" max="772" width="11.28515625" style="314" customWidth="1"/>
    <col min="773" max="774" width="7" style="314" customWidth="1"/>
    <col min="775" max="775" width="6.7109375" style="314" customWidth="1"/>
    <col min="776" max="776" width="9.85546875" style="314" customWidth="1"/>
    <col min="777" max="777" width="7" style="314" customWidth="1"/>
    <col min="778" max="778" width="9.42578125" style="314" customWidth="1"/>
    <col min="779" max="780" width="11.5703125" style="314" customWidth="1"/>
    <col min="781" max="781" width="13.85546875" style="314" customWidth="1"/>
    <col min="782" max="782" width="13.7109375" style="314" customWidth="1"/>
    <col min="783" max="785" width="13.42578125" style="314" bestFit="1" customWidth="1"/>
    <col min="786" max="1024" width="9.140625" style="314"/>
    <col min="1025" max="1025" width="19.140625" style="314" customWidth="1"/>
    <col min="1026" max="1026" width="10.5703125" style="314" customWidth="1"/>
    <col min="1027" max="1027" width="9.7109375" style="314" customWidth="1"/>
    <col min="1028" max="1028" width="11.28515625" style="314" customWidth="1"/>
    <col min="1029" max="1030" width="7" style="314" customWidth="1"/>
    <col min="1031" max="1031" width="6.7109375" style="314" customWidth="1"/>
    <col min="1032" max="1032" width="9.85546875" style="314" customWidth="1"/>
    <col min="1033" max="1033" width="7" style="314" customWidth="1"/>
    <col min="1034" max="1034" width="9.42578125" style="314" customWidth="1"/>
    <col min="1035" max="1036" width="11.5703125" style="314" customWidth="1"/>
    <col min="1037" max="1037" width="13.85546875" style="314" customWidth="1"/>
    <col min="1038" max="1038" width="13.7109375" style="314" customWidth="1"/>
    <col min="1039" max="1041" width="13.42578125" style="314" bestFit="1" customWidth="1"/>
    <col min="1042" max="1280" width="9.140625" style="314"/>
    <col min="1281" max="1281" width="19.140625" style="314" customWidth="1"/>
    <col min="1282" max="1282" width="10.5703125" style="314" customWidth="1"/>
    <col min="1283" max="1283" width="9.7109375" style="314" customWidth="1"/>
    <col min="1284" max="1284" width="11.28515625" style="314" customWidth="1"/>
    <col min="1285" max="1286" width="7" style="314" customWidth="1"/>
    <col min="1287" max="1287" width="6.7109375" style="314" customWidth="1"/>
    <col min="1288" max="1288" width="9.85546875" style="314" customWidth="1"/>
    <col min="1289" max="1289" width="7" style="314" customWidth="1"/>
    <col min="1290" max="1290" width="9.42578125" style="314" customWidth="1"/>
    <col min="1291" max="1292" width="11.5703125" style="314" customWidth="1"/>
    <col min="1293" max="1293" width="13.85546875" style="314" customWidth="1"/>
    <col min="1294" max="1294" width="13.7109375" style="314" customWidth="1"/>
    <col min="1295" max="1297" width="13.42578125" style="314" bestFit="1" customWidth="1"/>
    <col min="1298" max="1536" width="9.140625" style="314"/>
    <col min="1537" max="1537" width="19.140625" style="314" customWidth="1"/>
    <col min="1538" max="1538" width="10.5703125" style="314" customWidth="1"/>
    <col min="1539" max="1539" width="9.7109375" style="314" customWidth="1"/>
    <col min="1540" max="1540" width="11.28515625" style="314" customWidth="1"/>
    <col min="1541" max="1542" width="7" style="314" customWidth="1"/>
    <col min="1543" max="1543" width="6.7109375" style="314" customWidth="1"/>
    <col min="1544" max="1544" width="9.85546875" style="314" customWidth="1"/>
    <col min="1545" max="1545" width="7" style="314" customWidth="1"/>
    <col min="1546" max="1546" width="9.42578125" style="314" customWidth="1"/>
    <col min="1547" max="1548" width="11.5703125" style="314" customWidth="1"/>
    <col min="1549" max="1549" width="13.85546875" style="314" customWidth="1"/>
    <col min="1550" max="1550" width="13.7109375" style="314" customWidth="1"/>
    <col min="1551" max="1553" width="13.42578125" style="314" bestFit="1" customWidth="1"/>
    <col min="1554" max="1792" width="9.140625" style="314"/>
    <col min="1793" max="1793" width="19.140625" style="314" customWidth="1"/>
    <col min="1794" max="1794" width="10.5703125" style="314" customWidth="1"/>
    <col min="1795" max="1795" width="9.7109375" style="314" customWidth="1"/>
    <col min="1796" max="1796" width="11.28515625" style="314" customWidth="1"/>
    <col min="1797" max="1798" width="7" style="314" customWidth="1"/>
    <col min="1799" max="1799" width="6.7109375" style="314" customWidth="1"/>
    <col min="1800" max="1800" width="9.85546875" style="314" customWidth="1"/>
    <col min="1801" max="1801" width="7" style="314" customWidth="1"/>
    <col min="1802" max="1802" width="9.42578125" style="314" customWidth="1"/>
    <col min="1803" max="1804" width="11.5703125" style="314" customWidth="1"/>
    <col min="1805" max="1805" width="13.85546875" style="314" customWidth="1"/>
    <col min="1806" max="1806" width="13.7109375" style="314" customWidth="1"/>
    <col min="1807" max="1809" width="13.42578125" style="314" bestFit="1" customWidth="1"/>
    <col min="1810" max="2048" width="9.140625" style="314"/>
    <col min="2049" max="2049" width="19.140625" style="314" customWidth="1"/>
    <col min="2050" max="2050" width="10.5703125" style="314" customWidth="1"/>
    <col min="2051" max="2051" width="9.7109375" style="314" customWidth="1"/>
    <col min="2052" max="2052" width="11.28515625" style="314" customWidth="1"/>
    <col min="2053" max="2054" width="7" style="314" customWidth="1"/>
    <col min="2055" max="2055" width="6.7109375" style="314" customWidth="1"/>
    <col min="2056" max="2056" width="9.85546875" style="314" customWidth="1"/>
    <col min="2057" max="2057" width="7" style="314" customWidth="1"/>
    <col min="2058" max="2058" width="9.42578125" style="314" customWidth="1"/>
    <col min="2059" max="2060" width="11.5703125" style="314" customWidth="1"/>
    <col min="2061" max="2061" width="13.85546875" style="314" customWidth="1"/>
    <col min="2062" max="2062" width="13.7109375" style="314" customWidth="1"/>
    <col min="2063" max="2065" width="13.42578125" style="314" bestFit="1" customWidth="1"/>
    <col min="2066" max="2304" width="9.140625" style="314"/>
    <col min="2305" max="2305" width="19.140625" style="314" customWidth="1"/>
    <col min="2306" max="2306" width="10.5703125" style="314" customWidth="1"/>
    <col min="2307" max="2307" width="9.7109375" style="314" customWidth="1"/>
    <col min="2308" max="2308" width="11.28515625" style="314" customWidth="1"/>
    <col min="2309" max="2310" width="7" style="314" customWidth="1"/>
    <col min="2311" max="2311" width="6.7109375" style="314" customWidth="1"/>
    <col min="2312" max="2312" width="9.85546875" style="314" customWidth="1"/>
    <col min="2313" max="2313" width="7" style="314" customWidth="1"/>
    <col min="2314" max="2314" width="9.42578125" style="314" customWidth="1"/>
    <col min="2315" max="2316" width="11.5703125" style="314" customWidth="1"/>
    <col min="2317" max="2317" width="13.85546875" style="314" customWidth="1"/>
    <col min="2318" max="2318" width="13.7109375" style="314" customWidth="1"/>
    <col min="2319" max="2321" width="13.42578125" style="314" bestFit="1" customWidth="1"/>
    <col min="2322" max="2560" width="9.140625" style="314"/>
    <col min="2561" max="2561" width="19.140625" style="314" customWidth="1"/>
    <col min="2562" max="2562" width="10.5703125" style="314" customWidth="1"/>
    <col min="2563" max="2563" width="9.7109375" style="314" customWidth="1"/>
    <col min="2564" max="2564" width="11.28515625" style="314" customWidth="1"/>
    <col min="2565" max="2566" width="7" style="314" customWidth="1"/>
    <col min="2567" max="2567" width="6.7109375" style="314" customWidth="1"/>
    <col min="2568" max="2568" width="9.85546875" style="314" customWidth="1"/>
    <col min="2569" max="2569" width="7" style="314" customWidth="1"/>
    <col min="2570" max="2570" width="9.42578125" style="314" customWidth="1"/>
    <col min="2571" max="2572" width="11.5703125" style="314" customWidth="1"/>
    <col min="2573" max="2573" width="13.85546875" style="314" customWidth="1"/>
    <col min="2574" max="2574" width="13.7109375" style="314" customWidth="1"/>
    <col min="2575" max="2577" width="13.42578125" style="314" bestFit="1" customWidth="1"/>
    <col min="2578" max="2816" width="9.140625" style="314"/>
    <col min="2817" max="2817" width="19.140625" style="314" customWidth="1"/>
    <col min="2818" max="2818" width="10.5703125" style="314" customWidth="1"/>
    <col min="2819" max="2819" width="9.7109375" style="314" customWidth="1"/>
    <col min="2820" max="2820" width="11.28515625" style="314" customWidth="1"/>
    <col min="2821" max="2822" width="7" style="314" customWidth="1"/>
    <col min="2823" max="2823" width="6.7109375" style="314" customWidth="1"/>
    <col min="2824" max="2824" width="9.85546875" style="314" customWidth="1"/>
    <col min="2825" max="2825" width="7" style="314" customWidth="1"/>
    <col min="2826" max="2826" width="9.42578125" style="314" customWidth="1"/>
    <col min="2827" max="2828" width="11.5703125" style="314" customWidth="1"/>
    <col min="2829" max="2829" width="13.85546875" style="314" customWidth="1"/>
    <col min="2830" max="2830" width="13.7109375" style="314" customWidth="1"/>
    <col min="2831" max="2833" width="13.42578125" style="314" bestFit="1" customWidth="1"/>
    <col min="2834" max="3072" width="9.140625" style="314"/>
    <col min="3073" max="3073" width="19.140625" style="314" customWidth="1"/>
    <col min="3074" max="3074" width="10.5703125" style="314" customWidth="1"/>
    <col min="3075" max="3075" width="9.7109375" style="314" customWidth="1"/>
    <col min="3076" max="3076" width="11.28515625" style="314" customWidth="1"/>
    <col min="3077" max="3078" width="7" style="314" customWidth="1"/>
    <col min="3079" max="3079" width="6.7109375" style="314" customWidth="1"/>
    <col min="3080" max="3080" width="9.85546875" style="314" customWidth="1"/>
    <col min="3081" max="3081" width="7" style="314" customWidth="1"/>
    <col min="3082" max="3082" width="9.42578125" style="314" customWidth="1"/>
    <col min="3083" max="3084" width="11.5703125" style="314" customWidth="1"/>
    <col min="3085" max="3085" width="13.85546875" style="314" customWidth="1"/>
    <col min="3086" max="3086" width="13.7109375" style="314" customWidth="1"/>
    <col min="3087" max="3089" width="13.42578125" style="314" bestFit="1" customWidth="1"/>
    <col min="3090" max="3328" width="9.140625" style="314"/>
    <col min="3329" max="3329" width="19.140625" style="314" customWidth="1"/>
    <col min="3330" max="3330" width="10.5703125" style="314" customWidth="1"/>
    <col min="3331" max="3331" width="9.7109375" style="314" customWidth="1"/>
    <col min="3332" max="3332" width="11.28515625" style="314" customWidth="1"/>
    <col min="3333" max="3334" width="7" style="314" customWidth="1"/>
    <col min="3335" max="3335" width="6.7109375" style="314" customWidth="1"/>
    <col min="3336" max="3336" width="9.85546875" style="314" customWidth="1"/>
    <col min="3337" max="3337" width="7" style="314" customWidth="1"/>
    <col min="3338" max="3338" width="9.42578125" style="314" customWidth="1"/>
    <col min="3339" max="3340" width="11.5703125" style="314" customWidth="1"/>
    <col min="3341" max="3341" width="13.85546875" style="314" customWidth="1"/>
    <col min="3342" max="3342" width="13.7109375" style="314" customWidth="1"/>
    <col min="3343" max="3345" width="13.42578125" style="314" bestFit="1" customWidth="1"/>
    <col min="3346" max="3584" width="9.140625" style="314"/>
    <col min="3585" max="3585" width="19.140625" style="314" customWidth="1"/>
    <col min="3586" max="3586" width="10.5703125" style="314" customWidth="1"/>
    <col min="3587" max="3587" width="9.7109375" style="314" customWidth="1"/>
    <col min="3588" max="3588" width="11.28515625" style="314" customWidth="1"/>
    <col min="3589" max="3590" width="7" style="314" customWidth="1"/>
    <col min="3591" max="3591" width="6.7109375" style="314" customWidth="1"/>
    <col min="3592" max="3592" width="9.85546875" style="314" customWidth="1"/>
    <col min="3593" max="3593" width="7" style="314" customWidth="1"/>
    <col min="3594" max="3594" width="9.42578125" style="314" customWidth="1"/>
    <col min="3595" max="3596" width="11.5703125" style="314" customWidth="1"/>
    <col min="3597" max="3597" width="13.85546875" style="314" customWidth="1"/>
    <col min="3598" max="3598" width="13.7109375" style="314" customWidth="1"/>
    <col min="3599" max="3601" width="13.42578125" style="314" bestFit="1" customWidth="1"/>
    <col min="3602" max="3840" width="9.140625" style="314"/>
    <col min="3841" max="3841" width="19.140625" style="314" customWidth="1"/>
    <col min="3842" max="3842" width="10.5703125" style="314" customWidth="1"/>
    <col min="3843" max="3843" width="9.7109375" style="314" customWidth="1"/>
    <col min="3844" max="3844" width="11.28515625" style="314" customWidth="1"/>
    <col min="3845" max="3846" width="7" style="314" customWidth="1"/>
    <col min="3847" max="3847" width="6.7109375" style="314" customWidth="1"/>
    <col min="3848" max="3848" width="9.85546875" style="314" customWidth="1"/>
    <col min="3849" max="3849" width="7" style="314" customWidth="1"/>
    <col min="3850" max="3850" width="9.42578125" style="314" customWidth="1"/>
    <col min="3851" max="3852" width="11.5703125" style="314" customWidth="1"/>
    <col min="3853" max="3853" width="13.85546875" style="314" customWidth="1"/>
    <col min="3854" max="3854" width="13.7109375" style="314" customWidth="1"/>
    <col min="3855" max="3857" width="13.42578125" style="314" bestFit="1" customWidth="1"/>
    <col min="3858" max="4096" width="9.140625" style="314"/>
    <col min="4097" max="4097" width="19.140625" style="314" customWidth="1"/>
    <col min="4098" max="4098" width="10.5703125" style="314" customWidth="1"/>
    <col min="4099" max="4099" width="9.7109375" style="314" customWidth="1"/>
    <col min="4100" max="4100" width="11.28515625" style="314" customWidth="1"/>
    <col min="4101" max="4102" width="7" style="314" customWidth="1"/>
    <col min="4103" max="4103" width="6.7109375" style="314" customWidth="1"/>
    <col min="4104" max="4104" width="9.85546875" style="314" customWidth="1"/>
    <col min="4105" max="4105" width="7" style="314" customWidth="1"/>
    <col min="4106" max="4106" width="9.42578125" style="314" customWidth="1"/>
    <col min="4107" max="4108" width="11.5703125" style="314" customWidth="1"/>
    <col min="4109" max="4109" width="13.85546875" style="314" customWidth="1"/>
    <col min="4110" max="4110" width="13.7109375" style="314" customWidth="1"/>
    <col min="4111" max="4113" width="13.42578125" style="314" bestFit="1" customWidth="1"/>
    <col min="4114" max="4352" width="9.140625" style="314"/>
    <col min="4353" max="4353" width="19.140625" style="314" customWidth="1"/>
    <col min="4354" max="4354" width="10.5703125" style="314" customWidth="1"/>
    <col min="4355" max="4355" width="9.7109375" style="314" customWidth="1"/>
    <col min="4356" max="4356" width="11.28515625" style="314" customWidth="1"/>
    <col min="4357" max="4358" width="7" style="314" customWidth="1"/>
    <col min="4359" max="4359" width="6.7109375" style="314" customWidth="1"/>
    <col min="4360" max="4360" width="9.85546875" style="314" customWidth="1"/>
    <col min="4361" max="4361" width="7" style="314" customWidth="1"/>
    <col min="4362" max="4362" width="9.42578125" style="314" customWidth="1"/>
    <col min="4363" max="4364" width="11.5703125" style="314" customWidth="1"/>
    <col min="4365" max="4365" width="13.85546875" style="314" customWidth="1"/>
    <col min="4366" max="4366" width="13.7109375" style="314" customWidth="1"/>
    <col min="4367" max="4369" width="13.42578125" style="314" bestFit="1" customWidth="1"/>
    <col min="4370" max="4608" width="9.140625" style="314"/>
    <col min="4609" max="4609" width="19.140625" style="314" customWidth="1"/>
    <col min="4610" max="4610" width="10.5703125" style="314" customWidth="1"/>
    <col min="4611" max="4611" width="9.7109375" style="314" customWidth="1"/>
    <col min="4612" max="4612" width="11.28515625" style="314" customWidth="1"/>
    <col min="4613" max="4614" width="7" style="314" customWidth="1"/>
    <col min="4615" max="4615" width="6.7109375" style="314" customWidth="1"/>
    <col min="4616" max="4616" width="9.85546875" style="314" customWidth="1"/>
    <col min="4617" max="4617" width="7" style="314" customWidth="1"/>
    <col min="4618" max="4618" width="9.42578125" style="314" customWidth="1"/>
    <col min="4619" max="4620" width="11.5703125" style="314" customWidth="1"/>
    <col min="4621" max="4621" width="13.85546875" style="314" customWidth="1"/>
    <col min="4622" max="4622" width="13.7109375" style="314" customWidth="1"/>
    <col min="4623" max="4625" width="13.42578125" style="314" bestFit="1" customWidth="1"/>
    <col min="4626" max="4864" width="9.140625" style="314"/>
    <col min="4865" max="4865" width="19.140625" style="314" customWidth="1"/>
    <col min="4866" max="4866" width="10.5703125" style="314" customWidth="1"/>
    <col min="4867" max="4867" width="9.7109375" style="314" customWidth="1"/>
    <col min="4868" max="4868" width="11.28515625" style="314" customWidth="1"/>
    <col min="4869" max="4870" width="7" style="314" customWidth="1"/>
    <col min="4871" max="4871" width="6.7109375" style="314" customWidth="1"/>
    <col min="4872" max="4872" width="9.85546875" style="314" customWidth="1"/>
    <col min="4873" max="4873" width="7" style="314" customWidth="1"/>
    <col min="4874" max="4874" width="9.42578125" style="314" customWidth="1"/>
    <col min="4875" max="4876" width="11.5703125" style="314" customWidth="1"/>
    <col min="4877" max="4877" width="13.85546875" style="314" customWidth="1"/>
    <col min="4878" max="4878" width="13.7109375" style="314" customWidth="1"/>
    <col min="4879" max="4881" width="13.42578125" style="314" bestFit="1" customWidth="1"/>
    <col min="4882" max="5120" width="9.140625" style="314"/>
    <col min="5121" max="5121" width="19.140625" style="314" customWidth="1"/>
    <col min="5122" max="5122" width="10.5703125" style="314" customWidth="1"/>
    <col min="5123" max="5123" width="9.7109375" style="314" customWidth="1"/>
    <col min="5124" max="5124" width="11.28515625" style="314" customWidth="1"/>
    <col min="5125" max="5126" width="7" style="314" customWidth="1"/>
    <col min="5127" max="5127" width="6.7109375" style="314" customWidth="1"/>
    <col min="5128" max="5128" width="9.85546875" style="314" customWidth="1"/>
    <col min="5129" max="5129" width="7" style="314" customWidth="1"/>
    <col min="5130" max="5130" width="9.42578125" style="314" customWidth="1"/>
    <col min="5131" max="5132" width="11.5703125" style="314" customWidth="1"/>
    <col min="5133" max="5133" width="13.85546875" style="314" customWidth="1"/>
    <col min="5134" max="5134" width="13.7109375" style="314" customWidth="1"/>
    <col min="5135" max="5137" width="13.42578125" style="314" bestFit="1" customWidth="1"/>
    <col min="5138" max="5376" width="9.140625" style="314"/>
    <col min="5377" max="5377" width="19.140625" style="314" customWidth="1"/>
    <col min="5378" max="5378" width="10.5703125" style="314" customWidth="1"/>
    <col min="5379" max="5379" width="9.7109375" style="314" customWidth="1"/>
    <col min="5380" max="5380" width="11.28515625" style="314" customWidth="1"/>
    <col min="5381" max="5382" width="7" style="314" customWidth="1"/>
    <col min="5383" max="5383" width="6.7109375" style="314" customWidth="1"/>
    <col min="5384" max="5384" width="9.85546875" style="314" customWidth="1"/>
    <col min="5385" max="5385" width="7" style="314" customWidth="1"/>
    <col min="5386" max="5386" width="9.42578125" style="314" customWidth="1"/>
    <col min="5387" max="5388" width="11.5703125" style="314" customWidth="1"/>
    <col min="5389" max="5389" width="13.85546875" style="314" customWidth="1"/>
    <col min="5390" max="5390" width="13.7109375" style="314" customWidth="1"/>
    <col min="5391" max="5393" width="13.42578125" style="314" bestFit="1" customWidth="1"/>
    <col min="5394" max="5632" width="9.140625" style="314"/>
    <col min="5633" max="5633" width="19.140625" style="314" customWidth="1"/>
    <col min="5634" max="5634" width="10.5703125" style="314" customWidth="1"/>
    <col min="5635" max="5635" width="9.7109375" style="314" customWidth="1"/>
    <col min="5636" max="5636" width="11.28515625" style="314" customWidth="1"/>
    <col min="5637" max="5638" width="7" style="314" customWidth="1"/>
    <col min="5639" max="5639" width="6.7109375" style="314" customWidth="1"/>
    <col min="5640" max="5640" width="9.85546875" style="314" customWidth="1"/>
    <col min="5641" max="5641" width="7" style="314" customWidth="1"/>
    <col min="5642" max="5642" width="9.42578125" style="314" customWidth="1"/>
    <col min="5643" max="5644" width="11.5703125" style="314" customWidth="1"/>
    <col min="5645" max="5645" width="13.85546875" style="314" customWidth="1"/>
    <col min="5646" max="5646" width="13.7109375" style="314" customWidth="1"/>
    <col min="5647" max="5649" width="13.42578125" style="314" bestFit="1" customWidth="1"/>
    <col min="5650" max="5888" width="9.140625" style="314"/>
    <col min="5889" max="5889" width="19.140625" style="314" customWidth="1"/>
    <col min="5890" max="5890" width="10.5703125" style="314" customWidth="1"/>
    <col min="5891" max="5891" width="9.7109375" style="314" customWidth="1"/>
    <col min="5892" max="5892" width="11.28515625" style="314" customWidth="1"/>
    <col min="5893" max="5894" width="7" style="314" customWidth="1"/>
    <col min="5895" max="5895" width="6.7109375" style="314" customWidth="1"/>
    <col min="5896" max="5896" width="9.85546875" style="314" customWidth="1"/>
    <col min="5897" max="5897" width="7" style="314" customWidth="1"/>
    <col min="5898" max="5898" width="9.42578125" style="314" customWidth="1"/>
    <col min="5899" max="5900" width="11.5703125" style="314" customWidth="1"/>
    <col min="5901" max="5901" width="13.85546875" style="314" customWidth="1"/>
    <col min="5902" max="5902" width="13.7109375" style="314" customWidth="1"/>
    <col min="5903" max="5905" width="13.42578125" style="314" bestFit="1" customWidth="1"/>
    <col min="5906" max="6144" width="9.140625" style="314"/>
    <col min="6145" max="6145" width="19.140625" style="314" customWidth="1"/>
    <col min="6146" max="6146" width="10.5703125" style="314" customWidth="1"/>
    <col min="6147" max="6147" width="9.7109375" style="314" customWidth="1"/>
    <col min="6148" max="6148" width="11.28515625" style="314" customWidth="1"/>
    <col min="6149" max="6150" width="7" style="314" customWidth="1"/>
    <col min="6151" max="6151" width="6.7109375" style="314" customWidth="1"/>
    <col min="6152" max="6152" width="9.85546875" style="314" customWidth="1"/>
    <col min="6153" max="6153" width="7" style="314" customWidth="1"/>
    <col min="6154" max="6154" width="9.42578125" style="314" customWidth="1"/>
    <col min="6155" max="6156" width="11.5703125" style="314" customWidth="1"/>
    <col min="6157" max="6157" width="13.85546875" style="314" customWidth="1"/>
    <col min="6158" max="6158" width="13.7109375" style="314" customWidth="1"/>
    <col min="6159" max="6161" width="13.42578125" style="314" bestFit="1" customWidth="1"/>
    <col min="6162" max="6400" width="9.140625" style="314"/>
    <col min="6401" max="6401" width="19.140625" style="314" customWidth="1"/>
    <col min="6402" max="6402" width="10.5703125" style="314" customWidth="1"/>
    <col min="6403" max="6403" width="9.7109375" style="314" customWidth="1"/>
    <col min="6404" max="6404" width="11.28515625" style="314" customWidth="1"/>
    <col min="6405" max="6406" width="7" style="314" customWidth="1"/>
    <col min="6407" max="6407" width="6.7109375" style="314" customWidth="1"/>
    <col min="6408" max="6408" width="9.85546875" style="314" customWidth="1"/>
    <col min="6409" max="6409" width="7" style="314" customWidth="1"/>
    <col min="6410" max="6410" width="9.42578125" style="314" customWidth="1"/>
    <col min="6411" max="6412" width="11.5703125" style="314" customWidth="1"/>
    <col min="6413" max="6413" width="13.85546875" style="314" customWidth="1"/>
    <col min="6414" max="6414" width="13.7109375" style="314" customWidth="1"/>
    <col min="6415" max="6417" width="13.42578125" style="314" bestFit="1" customWidth="1"/>
    <col min="6418" max="6656" width="9.140625" style="314"/>
    <col min="6657" max="6657" width="19.140625" style="314" customWidth="1"/>
    <col min="6658" max="6658" width="10.5703125" style="314" customWidth="1"/>
    <col min="6659" max="6659" width="9.7109375" style="314" customWidth="1"/>
    <col min="6660" max="6660" width="11.28515625" style="314" customWidth="1"/>
    <col min="6661" max="6662" width="7" style="314" customWidth="1"/>
    <col min="6663" max="6663" width="6.7109375" style="314" customWidth="1"/>
    <col min="6664" max="6664" width="9.85546875" style="314" customWidth="1"/>
    <col min="6665" max="6665" width="7" style="314" customWidth="1"/>
    <col min="6666" max="6666" width="9.42578125" style="314" customWidth="1"/>
    <col min="6667" max="6668" width="11.5703125" style="314" customWidth="1"/>
    <col min="6669" max="6669" width="13.85546875" style="314" customWidth="1"/>
    <col min="6670" max="6670" width="13.7109375" style="314" customWidth="1"/>
    <col min="6671" max="6673" width="13.42578125" style="314" bestFit="1" customWidth="1"/>
    <col min="6674" max="6912" width="9.140625" style="314"/>
    <col min="6913" max="6913" width="19.140625" style="314" customWidth="1"/>
    <col min="6914" max="6914" width="10.5703125" style="314" customWidth="1"/>
    <col min="6915" max="6915" width="9.7109375" style="314" customWidth="1"/>
    <col min="6916" max="6916" width="11.28515625" style="314" customWidth="1"/>
    <col min="6917" max="6918" width="7" style="314" customWidth="1"/>
    <col min="6919" max="6919" width="6.7109375" style="314" customWidth="1"/>
    <col min="6920" max="6920" width="9.85546875" style="314" customWidth="1"/>
    <col min="6921" max="6921" width="7" style="314" customWidth="1"/>
    <col min="6922" max="6922" width="9.42578125" style="314" customWidth="1"/>
    <col min="6923" max="6924" width="11.5703125" style="314" customWidth="1"/>
    <col min="6925" max="6925" width="13.85546875" style="314" customWidth="1"/>
    <col min="6926" max="6926" width="13.7109375" style="314" customWidth="1"/>
    <col min="6927" max="6929" width="13.42578125" style="314" bestFit="1" customWidth="1"/>
    <col min="6930" max="7168" width="9.140625" style="314"/>
    <col min="7169" max="7169" width="19.140625" style="314" customWidth="1"/>
    <col min="7170" max="7170" width="10.5703125" style="314" customWidth="1"/>
    <col min="7171" max="7171" width="9.7109375" style="314" customWidth="1"/>
    <col min="7172" max="7172" width="11.28515625" style="314" customWidth="1"/>
    <col min="7173" max="7174" width="7" style="314" customWidth="1"/>
    <col min="7175" max="7175" width="6.7109375" style="314" customWidth="1"/>
    <col min="7176" max="7176" width="9.85546875" style="314" customWidth="1"/>
    <col min="7177" max="7177" width="7" style="314" customWidth="1"/>
    <col min="7178" max="7178" width="9.42578125" style="314" customWidth="1"/>
    <col min="7179" max="7180" width="11.5703125" style="314" customWidth="1"/>
    <col min="7181" max="7181" width="13.85546875" style="314" customWidth="1"/>
    <col min="7182" max="7182" width="13.7109375" style="314" customWidth="1"/>
    <col min="7183" max="7185" width="13.42578125" style="314" bestFit="1" customWidth="1"/>
    <col min="7186" max="7424" width="9.140625" style="314"/>
    <col min="7425" max="7425" width="19.140625" style="314" customWidth="1"/>
    <col min="7426" max="7426" width="10.5703125" style="314" customWidth="1"/>
    <col min="7427" max="7427" width="9.7109375" style="314" customWidth="1"/>
    <col min="7428" max="7428" width="11.28515625" style="314" customWidth="1"/>
    <col min="7429" max="7430" width="7" style="314" customWidth="1"/>
    <col min="7431" max="7431" width="6.7109375" style="314" customWidth="1"/>
    <col min="7432" max="7432" width="9.85546875" style="314" customWidth="1"/>
    <col min="7433" max="7433" width="7" style="314" customWidth="1"/>
    <col min="7434" max="7434" width="9.42578125" style="314" customWidth="1"/>
    <col min="7435" max="7436" width="11.5703125" style="314" customWidth="1"/>
    <col min="7437" max="7437" width="13.85546875" style="314" customWidth="1"/>
    <col min="7438" max="7438" width="13.7109375" style="314" customWidth="1"/>
    <col min="7439" max="7441" width="13.42578125" style="314" bestFit="1" customWidth="1"/>
    <col min="7442" max="7680" width="9.140625" style="314"/>
    <col min="7681" max="7681" width="19.140625" style="314" customWidth="1"/>
    <col min="7682" max="7682" width="10.5703125" style="314" customWidth="1"/>
    <col min="7683" max="7683" width="9.7109375" style="314" customWidth="1"/>
    <col min="7684" max="7684" width="11.28515625" style="314" customWidth="1"/>
    <col min="7685" max="7686" width="7" style="314" customWidth="1"/>
    <col min="7687" max="7687" width="6.7109375" style="314" customWidth="1"/>
    <col min="7688" max="7688" width="9.85546875" style="314" customWidth="1"/>
    <col min="7689" max="7689" width="7" style="314" customWidth="1"/>
    <col min="7690" max="7690" width="9.42578125" style="314" customWidth="1"/>
    <col min="7691" max="7692" width="11.5703125" style="314" customWidth="1"/>
    <col min="7693" max="7693" width="13.85546875" style="314" customWidth="1"/>
    <col min="7694" max="7694" width="13.7109375" style="314" customWidth="1"/>
    <col min="7695" max="7697" width="13.42578125" style="314" bestFit="1" customWidth="1"/>
    <col min="7698" max="7936" width="9.140625" style="314"/>
    <col min="7937" max="7937" width="19.140625" style="314" customWidth="1"/>
    <col min="7938" max="7938" width="10.5703125" style="314" customWidth="1"/>
    <col min="7939" max="7939" width="9.7109375" style="314" customWidth="1"/>
    <col min="7940" max="7940" width="11.28515625" style="314" customWidth="1"/>
    <col min="7941" max="7942" width="7" style="314" customWidth="1"/>
    <col min="7943" max="7943" width="6.7109375" style="314" customWidth="1"/>
    <col min="7944" max="7944" width="9.85546875" style="314" customWidth="1"/>
    <col min="7945" max="7945" width="7" style="314" customWidth="1"/>
    <col min="7946" max="7946" width="9.42578125" style="314" customWidth="1"/>
    <col min="7947" max="7948" width="11.5703125" style="314" customWidth="1"/>
    <col min="7949" max="7949" width="13.85546875" style="314" customWidth="1"/>
    <col min="7950" max="7950" width="13.7109375" style="314" customWidth="1"/>
    <col min="7951" max="7953" width="13.42578125" style="314" bestFit="1" customWidth="1"/>
    <col min="7954" max="8192" width="9.140625" style="314"/>
    <col min="8193" max="8193" width="19.140625" style="314" customWidth="1"/>
    <col min="8194" max="8194" width="10.5703125" style="314" customWidth="1"/>
    <col min="8195" max="8195" width="9.7109375" style="314" customWidth="1"/>
    <col min="8196" max="8196" width="11.28515625" style="314" customWidth="1"/>
    <col min="8197" max="8198" width="7" style="314" customWidth="1"/>
    <col min="8199" max="8199" width="6.7109375" style="314" customWidth="1"/>
    <col min="8200" max="8200" width="9.85546875" style="314" customWidth="1"/>
    <col min="8201" max="8201" width="7" style="314" customWidth="1"/>
    <col min="8202" max="8202" width="9.42578125" style="314" customWidth="1"/>
    <col min="8203" max="8204" width="11.5703125" style="314" customWidth="1"/>
    <col min="8205" max="8205" width="13.85546875" style="314" customWidth="1"/>
    <col min="8206" max="8206" width="13.7109375" style="314" customWidth="1"/>
    <col min="8207" max="8209" width="13.42578125" style="314" bestFit="1" customWidth="1"/>
    <col min="8210" max="8448" width="9.140625" style="314"/>
    <col min="8449" max="8449" width="19.140625" style="314" customWidth="1"/>
    <col min="8450" max="8450" width="10.5703125" style="314" customWidth="1"/>
    <col min="8451" max="8451" width="9.7109375" style="314" customWidth="1"/>
    <col min="8452" max="8452" width="11.28515625" style="314" customWidth="1"/>
    <col min="8453" max="8454" width="7" style="314" customWidth="1"/>
    <col min="8455" max="8455" width="6.7109375" style="314" customWidth="1"/>
    <col min="8456" max="8456" width="9.85546875" style="314" customWidth="1"/>
    <col min="8457" max="8457" width="7" style="314" customWidth="1"/>
    <col min="8458" max="8458" width="9.42578125" style="314" customWidth="1"/>
    <col min="8459" max="8460" width="11.5703125" style="314" customWidth="1"/>
    <col min="8461" max="8461" width="13.85546875" style="314" customWidth="1"/>
    <col min="8462" max="8462" width="13.7109375" style="314" customWidth="1"/>
    <col min="8463" max="8465" width="13.42578125" style="314" bestFit="1" customWidth="1"/>
    <col min="8466" max="8704" width="9.140625" style="314"/>
    <col min="8705" max="8705" width="19.140625" style="314" customWidth="1"/>
    <col min="8706" max="8706" width="10.5703125" style="314" customWidth="1"/>
    <col min="8707" max="8707" width="9.7109375" style="314" customWidth="1"/>
    <col min="8708" max="8708" width="11.28515625" style="314" customWidth="1"/>
    <col min="8709" max="8710" width="7" style="314" customWidth="1"/>
    <col min="8711" max="8711" width="6.7109375" style="314" customWidth="1"/>
    <col min="8712" max="8712" width="9.85546875" style="314" customWidth="1"/>
    <col min="8713" max="8713" width="7" style="314" customWidth="1"/>
    <col min="8714" max="8714" width="9.42578125" style="314" customWidth="1"/>
    <col min="8715" max="8716" width="11.5703125" style="314" customWidth="1"/>
    <col min="8717" max="8717" width="13.85546875" style="314" customWidth="1"/>
    <col min="8718" max="8718" width="13.7109375" style="314" customWidth="1"/>
    <col min="8719" max="8721" width="13.42578125" style="314" bestFit="1" customWidth="1"/>
    <col min="8722" max="8960" width="9.140625" style="314"/>
    <col min="8961" max="8961" width="19.140625" style="314" customWidth="1"/>
    <col min="8962" max="8962" width="10.5703125" style="314" customWidth="1"/>
    <col min="8963" max="8963" width="9.7109375" style="314" customWidth="1"/>
    <col min="8964" max="8964" width="11.28515625" style="314" customWidth="1"/>
    <col min="8965" max="8966" width="7" style="314" customWidth="1"/>
    <col min="8967" max="8967" width="6.7109375" style="314" customWidth="1"/>
    <col min="8968" max="8968" width="9.85546875" style="314" customWidth="1"/>
    <col min="8969" max="8969" width="7" style="314" customWidth="1"/>
    <col min="8970" max="8970" width="9.42578125" style="314" customWidth="1"/>
    <col min="8971" max="8972" width="11.5703125" style="314" customWidth="1"/>
    <col min="8973" max="8973" width="13.85546875" style="314" customWidth="1"/>
    <col min="8974" max="8974" width="13.7109375" style="314" customWidth="1"/>
    <col min="8975" max="8977" width="13.42578125" style="314" bestFit="1" customWidth="1"/>
    <col min="8978" max="9216" width="9.140625" style="314"/>
    <col min="9217" max="9217" width="19.140625" style="314" customWidth="1"/>
    <col min="9218" max="9218" width="10.5703125" style="314" customWidth="1"/>
    <col min="9219" max="9219" width="9.7109375" style="314" customWidth="1"/>
    <col min="9220" max="9220" width="11.28515625" style="314" customWidth="1"/>
    <col min="9221" max="9222" width="7" style="314" customWidth="1"/>
    <col min="9223" max="9223" width="6.7109375" style="314" customWidth="1"/>
    <col min="9224" max="9224" width="9.85546875" style="314" customWidth="1"/>
    <col min="9225" max="9225" width="7" style="314" customWidth="1"/>
    <col min="9226" max="9226" width="9.42578125" style="314" customWidth="1"/>
    <col min="9227" max="9228" width="11.5703125" style="314" customWidth="1"/>
    <col min="9229" max="9229" width="13.85546875" style="314" customWidth="1"/>
    <col min="9230" max="9230" width="13.7109375" style="314" customWidth="1"/>
    <col min="9231" max="9233" width="13.42578125" style="314" bestFit="1" customWidth="1"/>
    <col min="9234" max="9472" width="9.140625" style="314"/>
    <col min="9473" max="9473" width="19.140625" style="314" customWidth="1"/>
    <col min="9474" max="9474" width="10.5703125" style="314" customWidth="1"/>
    <col min="9475" max="9475" width="9.7109375" style="314" customWidth="1"/>
    <col min="9476" max="9476" width="11.28515625" style="314" customWidth="1"/>
    <col min="9477" max="9478" width="7" style="314" customWidth="1"/>
    <col min="9479" max="9479" width="6.7109375" style="314" customWidth="1"/>
    <col min="9480" max="9480" width="9.85546875" style="314" customWidth="1"/>
    <col min="9481" max="9481" width="7" style="314" customWidth="1"/>
    <col min="9482" max="9482" width="9.42578125" style="314" customWidth="1"/>
    <col min="9483" max="9484" width="11.5703125" style="314" customWidth="1"/>
    <col min="9485" max="9485" width="13.85546875" style="314" customWidth="1"/>
    <col min="9486" max="9486" width="13.7109375" style="314" customWidth="1"/>
    <col min="9487" max="9489" width="13.42578125" style="314" bestFit="1" customWidth="1"/>
    <col min="9490" max="9728" width="9.140625" style="314"/>
    <col min="9729" max="9729" width="19.140625" style="314" customWidth="1"/>
    <col min="9730" max="9730" width="10.5703125" style="314" customWidth="1"/>
    <col min="9731" max="9731" width="9.7109375" style="314" customWidth="1"/>
    <col min="9732" max="9732" width="11.28515625" style="314" customWidth="1"/>
    <col min="9733" max="9734" width="7" style="314" customWidth="1"/>
    <col min="9735" max="9735" width="6.7109375" style="314" customWidth="1"/>
    <col min="9736" max="9736" width="9.85546875" style="314" customWidth="1"/>
    <col min="9737" max="9737" width="7" style="314" customWidth="1"/>
    <col min="9738" max="9738" width="9.42578125" style="314" customWidth="1"/>
    <col min="9739" max="9740" width="11.5703125" style="314" customWidth="1"/>
    <col min="9741" max="9741" width="13.85546875" style="314" customWidth="1"/>
    <col min="9742" max="9742" width="13.7109375" style="314" customWidth="1"/>
    <col min="9743" max="9745" width="13.42578125" style="314" bestFit="1" customWidth="1"/>
    <col min="9746" max="9984" width="9.140625" style="314"/>
    <col min="9985" max="9985" width="19.140625" style="314" customWidth="1"/>
    <col min="9986" max="9986" width="10.5703125" style="314" customWidth="1"/>
    <col min="9987" max="9987" width="9.7109375" style="314" customWidth="1"/>
    <col min="9988" max="9988" width="11.28515625" style="314" customWidth="1"/>
    <col min="9989" max="9990" width="7" style="314" customWidth="1"/>
    <col min="9991" max="9991" width="6.7109375" style="314" customWidth="1"/>
    <col min="9992" max="9992" width="9.85546875" style="314" customWidth="1"/>
    <col min="9993" max="9993" width="7" style="314" customWidth="1"/>
    <col min="9994" max="9994" width="9.42578125" style="314" customWidth="1"/>
    <col min="9995" max="9996" width="11.5703125" style="314" customWidth="1"/>
    <col min="9997" max="9997" width="13.85546875" style="314" customWidth="1"/>
    <col min="9998" max="9998" width="13.7109375" style="314" customWidth="1"/>
    <col min="9999" max="10001" width="13.42578125" style="314" bestFit="1" customWidth="1"/>
    <col min="10002" max="10240" width="9.140625" style="314"/>
    <col min="10241" max="10241" width="19.140625" style="314" customWidth="1"/>
    <col min="10242" max="10242" width="10.5703125" style="314" customWidth="1"/>
    <col min="10243" max="10243" width="9.7109375" style="314" customWidth="1"/>
    <col min="10244" max="10244" width="11.28515625" style="314" customWidth="1"/>
    <col min="10245" max="10246" width="7" style="314" customWidth="1"/>
    <col min="10247" max="10247" width="6.7109375" style="314" customWidth="1"/>
    <col min="10248" max="10248" width="9.85546875" style="314" customWidth="1"/>
    <col min="10249" max="10249" width="7" style="314" customWidth="1"/>
    <col min="10250" max="10250" width="9.42578125" style="314" customWidth="1"/>
    <col min="10251" max="10252" width="11.5703125" style="314" customWidth="1"/>
    <col min="10253" max="10253" width="13.85546875" style="314" customWidth="1"/>
    <col min="10254" max="10254" width="13.7109375" style="314" customWidth="1"/>
    <col min="10255" max="10257" width="13.42578125" style="314" bestFit="1" customWidth="1"/>
    <col min="10258" max="10496" width="9.140625" style="314"/>
    <col min="10497" max="10497" width="19.140625" style="314" customWidth="1"/>
    <col min="10498" max="10498" width="10.5703125" style="314" customWidth="1"/>
    <col min="10499" max="10499" width="9.7109375" style="314" customWidth="1"/>
    <col min="10500" max="10500" width="11.28515625" style="314" customWidth="1"/>
    <col min="10501" max="10502" width="7" style="314" customWidth="1"/>
    <col min="10503" max="10503" width="6.7109375" style="314" customWidth="1"/>
    <col min="10504" max="10504" width="9.85546875" style="314" customWidth="1"/>
    <col min="10505" max="10505" width="7" style="314" customWidth="1"/>
    <col min="10506" max="10506" width="9.42578125" style="314" customWidth="1"/>
    <col min="10507" max="10508" width="11.5703125" style="314" customWidth="1"/>
    <col min="10509" max="10509" width="13.85546875" style="314" customWidth="1"/>
    <col min="10510" max="10510" width="13.7109375" style="314" customWidth="1"/>
    <col min="10511" max="10513" width="13.42578125" style="314" bestFit="1" customWidth="1"/>
    <col min="10514" max="10752" width="9.140625" style="314"/>
    <col min="10753" max="10753" width="19.140625" style="314" customWidth="1"/>
    <col min="10754" max="10754" width="10.5703125" style="314" customWidth="1"/>
    <col min="10755" max="10755" width="9.7109375" style="314" customWidth="1"/>
    <col min="10756" max="10756" width="11.28515625" style="314" customWidth="1"/>
    <col min="10757" max="10758" width="7" style="314" customWidth="1"/>
    <col min="10759" max="10759" width="6.7109375" style="314" customWidth="1"/>
    <col min="10760" max="10760" width="9.85546875" style="314" customWidth="1"/>
    <col min="10761" max="10761" width="7" style="314" customWidth="1"/>
    <col min="10762" max="10762" width="9.42578125" style="314" customWidth="1"/>
    <col min="10763" max="10764" width="11.5703125" style="314" customWidth="1"/>
    <col min="10765" max="10765" width="13.85546875" style="314" customWidth="1"/>
    <col min="10766" max="10766" width="13.7109375" style="314" customWidth="1"/>
    <col min="10767" max="10769" width="13.42578125" style="314" bestFit="1" customWidth="1"/>
    <col min="10770" max="11008" width="9.140625" style="314"/>
    <col min="11009" max="11009" width="19.140625" style="314" customWidth="1"/>
    <col min="11010" max="11010" width="10.5703125" style="314" customWidth="1"/>
    <col min="11011" max="11011" width="9.7109375" style="314" customWidth="1"/>
    <col min="11012" max="11012" width="11.28515625" style="314" customWidth="1"/>
    <col min="11013" max="11014" width="7" style="314" customWidth="1"/>
    <col min="11015" max="11015" width="6.7109375" style="314" customWidth="1"/>
    <col min="11016" max="11016" width="9.85546875" style="314" customWidth="1"/>
    <col min="11017" max="11017" width="7" style="314" customWidth="1"/>
    <col min="11018" max="11018" width="9.42578125" style="314" customWidth="1"/>
    <col min="11019" max="11020" width="11.5703125" style="314" customWidth="1"/>
    <col min="11021" max="11021" width="13.85546875" style="314" customWidth="1"/>
    <col min="11022" max="11022" width="13.7109375" style="314" customWidth="1"/>
    <col min="11023" max="11025" width="13.42578125" style="314" bestFit="1" customWidth="1"/>
    <col min="11026" max="11264" width="9.140625" style="314"/>
    <col min="11265" max="11265" width="19.140625" style="314" customWidth="1"/>
    <col min="11266" max="11266" width="10.5703125" style="314" customWidth="1"/>
    <col min="11267" max="11267" width="9.7109375" style="314" customWidth="1"/>
    <col min="11268" max="11268" width="11.28515625" style="314" customWidth="1"/>
    <col min="11269" max="11270" width="7" style="314" customWidth="1"/>
    <col min="11271" max="11271" width="6.7109375" style="314" customWidth="1"/>
    <col min="11272" max="11272" width="9.85546875" style="314" customWidth="1"/>
    <col min="11273" max="11273" width="7" style="314" customWidth="1"/>
    <col min="11274" max="11274" width="9.42578125" style="314" customWidth="1"/>
    <col min="11275" max="11276" width="11.5703125" style="314" customWidth="1"/>
    <col min="11277" max="11277" width="13.85546875" style="314" customWidth="1"/>
    <col min="11278" max="11278" width="13.7109375" style="314" customWidth="1"/>
    <col min="11279" max="11281" width="13.42578125" style="314" bestFit="1" customWidth="1"/>
    <col min="11282" max="11520" width="9.140625" style="314"/>
    <col min="11521" max="11521" width="19.140625" style="314" customWidth="1"/>
    <col min="11522" max="11522" width="10.5703125" style="314" customWidth="1"/>
    <col min="11523" max="11523" width="9.7109375" style="314" customWidth="1"/>
    <col min="11524" max="11524" width="11.28515625" style="314" customWidth="1"/>
    <col min="11525" max="11526" width="7" style="314" customWidth="1"/>
    <col min="11527" max="11527" width="6.7109375" style="314" customWidth="1"/>
    <col min="11528" max="11528" width="9.85546875" style="314" customWidth="1"/>
    <col min="11529" max="11529" width="7" style="314" customWidth="1"/>
    <col min="11530" max="11530" width="9.42578125" style="314" customWidth="1"/>
    <col min="11531" max="11532" width="11.5703125" style="314" customWidth="1"/>
    <col min="11533" max="11533" width="13.85546875" style="314" customWidth="1"/>
    <col min="11534" max="11534" width="13.7109375" style="314" customWidth="1"/>
    <col min="11535" max="11537" width="13.42578125" style="314" bestFit="1" customWidth="1"/>
    <col min="11538" max="11776" width="9.140625" style="314"/>
    <col min="11777" max="11777" width="19.140625" style="314" customWidth="1"/>
    <col min="11778" max="11778" width="10.5703125" style="314" customWidth="1"/>
    <col min="11779" max="11779" width="9.7109375" style="314" customWidth="1"/>
    <col min="11780" max="11780" width="11.28515625" style="314" customWidth="1"/>
    <col min="11781" max="11782" width="7" style="314" customWidth="1"/>
    <col min="11783" max="11783" width="6.7109375" style="314" customWidth="1"/>
    <col min="11784" max="11784" width="9.85546875" style="314" customWidth="1"/>
    <col min="11785" max="11785" width="7" style="314" customWidth="1"/>
    <col min="11786" max="11786" width="9.42578125" style="314" customWidth="1"/>
    <col min="11787" max="11788" width="11.5703125" style="314" customWidth="1"/>
    <col min="11789" max="11789" width="13.85546875" style="314" customWidth="1"/>
    <col min="11790" max="11790" width="13.7109375" style="314" customWidth="1"/>
    <col min="11791" max="11793" width="13.42578125" style="314" bestFit="1" customWidth="1"/>
    <col min="11794" max="12032" width="9.140625" style="314"/>
    <col min="12033" max="12033" width="19.140625" style="314" customWidth="1"/>
    <col min="12034" max="12034" width="10.5703125" style="314" customWidth="1"/>
    <col min="12035" max="12035" width="9.7109375" style="314" customWidth="1"/>
    <col min="12036" max="12036" width="11.28515625" style="314" customWidth="1"/>
    <col min="12037" max="12038" width="7" style="314" customWidth="1"/>
    <col min="12039" max="12039" width="6.7109375" style="314" customWidth="1"/>
    <col min="12040" max="12040" width="9.85546875" style="314" customWidth="1"/>
    <col min="12041" max="12041" width="7" style="314" customWidth="1"/>
    <col min="12042" max="12042" width="9.42578125" style="314" customWidth="1"/>
    <col min="12043" max="12044" width="11.5703125" style="314" customWidth="1"/>
    <col min="12045" max="12045" width="13.85546875" style="314" customWidth="1"/>
    <col min="12046" max="12046" width="13.7109375" style="314" customWidth="1"/>
    <col min="12047" max="12049" width="13.42578125" style="314" bestFit="1" customWidth="1"/>
    <col min="12050" max="12288" width="9.140625" style="314"/>
    <col min="12289" max="12289" width="19.140625" style="314" customWidth="1"/>
    <col min="12290" max="12290" width="10.5703125" style="314" customWidth="1"/>
    <col min="12291" max="12291" width="9.7109375" style="314" customWidth="1"/>
    <col min="12292" max="12292" width="11.28515625" style="314" customWidth="1"/>
    <col min="12293" max="12294" width="7" style="314" customWidth="1"/>
    <col min="12295" max="12295" width="6.7109375" style="314" customWidth="1"/>
    <col min="12296" max="12296" width="9.85546875" style="314" customWidth="1"/>
    <col min="12297" max="12297" width="7" style="314" customWidth="1"/>
    <col min="12298" max="12298" width="9.42578125" style="314" customWidth="1"/>
    <col min="12299" max="12300" width="11.5703125" style="314" customWidth="1"/>
    <col min="12301" max="12301" width="13.85546875" style="314" customWidth="1"/>
    <col min="12302" max="12302" width="13.7109375" style="314" customWidth="1"/>
    <col min="12303" max="12305" width="13.42578125" style="314" bestFit="1" customWidth="1"/>
    <col min="12306" max="12544" width="9.140625" style="314"/>
    <col min="12545" max="12545" width="19.140625" style="314" customWidth="1"/>
    <col min="12546" max="12546" width="10.5703125" style="314" customWidth="1"/>
    <col min="12547" max="12547" width="9.7109375" style="314" customWidth="1"/>
    <col min="12548" max="12548" width="11.28515625" style="314" customWidth="1"/>
    <col min="12549" max="12550" width="7" style="314" customWidth="1"/>
    <col min="12551" max="12551" width="6.7109375" style="314" customWidth="1"/>
    <col min="12552" max="12552" width="9.85546875" style="314" customWidth="1"/>
    <col min="12553" max="12553" width="7" style="314" customWidth="1"/>
    <col min="12554" max="12554" width="9.42578125" style="314" customWidth="1"/>
    <col min="12555" max="12556" width="11.5703125" style="314" customWidth="1"/>
    <col min="12557" max="12557" width="13.85546875" style="314" customWidth="1"/>
    <col min="12558" max="12558" width="13.7109375" style="314" customWidth="1"/>
    <col min="12559" max="12561" width="13.42578125" style="314" bestFit="1" customWidth="1"/>
    <col min="12562" max="12800" width="9.140625" style="314"/>
    <col min="12801" max="12801" width="19.140625" style="314" customWidth="1"/>
    <col min="12802" max="12802" width="10.5703125" style="314" customWidth="1"/>
    <col min="12803" max="12803" width="9.7109375" style="314" customWidth="1"/>
    <col min="12804" max="12804" width="11.28515625" style="314" customWidth="1"/>
    <col min="12805" max="12806" width="7" style="314" customWidth="1"/>
    <col min="12807" max="12807" width="6.7109375" style="314" customWidth="1"/>
    <col min="12808" max="12808" width="9.85546875" style="314" customWidth="1"/>
    <col min="12809" max="12809" width="7" style="314" customWidth="1"/>
    <col min="12810" max="12810" width="9.42578125" style="314" customWidth="1"/>
    <col min="12811" max="12812" width="11.5703125" style="314" customWidth="1"/>
    <col min="12813" max="12813" width="13.85546875" style="314" customWidth="1"/>
    <col min="12814" max="12814" width="13.7109375" style="314" customWidth="1"/>
    <col min="12815" max="12817" width="13.42578125" style="314" bestFit="1" customWidth="1"/>
    <col min="12818" max="13056" width="9.140625" style="314"/>
    <col min="13057" max="13057" width="19.140625" style="314" customWidth="1"/>
    <col min="13058" max="13058" width="10.5703125" style="314" customWidth="1"/>
    <col min="13059" max="13059" width="9.7109375" style="314" customWidth="1"/>
    <col min="13060" max="13060" width="11.28515625" style="314" customWidth="1"/>
    <col min="13061" max="13062" width="7" style="314" customWidth="1"/>
    <col min="13063" max="13063" width="6.7109375" style="314" customWidth="1"/>
    <col min="13064" max="13064" width="9.85546875" style="314" customWidth="1"/>
    <col min="13065" max="13065" width="7" style="314" customWidth="1"/>
    <col min="13066" max="13066" width="9.42578125" style="314" customWidth="1"/>
    <col min="13067" max="13068" width="11.5703125" style="314" customWidth="1"/>
    <col min="13069" max="13069" width="13.85546875" style="314" customWidth="1"/>
    <col min="13070" max="13070" width="13.7109375" style="314" customWidth="1"/>
    <col min="13071" max="13073" width="13.42578125" style="314" bestFit="1" customWidth="1"/>
    <col min="13074" max="13312" width="9.140625" style="314"/>
    <col min="13313" max="13313" width="19.140625" style="314" customWidth="1"/>
    <col min="13314" max="13314" width="10.5703125" style="314" customWidth="1"/>
    <col min="13315" max="13315" width="9.7109375" style="314" customWidth="1"/>
    <col min="13316" max="13316" width="11.28515625" style="314" customWidth="1"/>
    <col min="13317" max="13318" width="7" style="314" customWidth="1"/>
    <col min="13319" max="13319" width="6.7109375" style="314" customWidth="1"/>
    <col min="13320" max="13320" width="9.85546875" style="314" customWidth="1"/>
    <col min="13321" max="13321" width="7" style="314" customWidth="1"/>
    <col min="13322" max="13322" width="9.42578125" style="314" customWidth="1"/>
    <col min="13323" max="13324" width="11.5703125" style="314" customWidth="1"/>
    <col min="13325" max="13325" width="13.85546875" style="314" customWidth="1"/>
    <col min="13326" max="13326" width="13.7109375" style="314" customWidth="1"/>
    <col min="13327" max="13329" width="13.42578125" style="314" bestFit="1" customWidth="1"/>
    <col min="13330" max="13568" width="9.140625" style="314"/>
    <col min="13569" max="13569" width="19.140625" style="314" customWidth="1"/>
    <col min="13570" max="13570" width="10.5703125" style="314" customWidth="1"/>
    <col min="13571" max="13571" width="9.7109375" style="314" customWidth="1"/>
    <col min="13572" max="13572" width="11.28515625" style="314" customWidth="1"/>
    <col min="13573" max="13574" width="7" style="314" customWidth="1"/>
    <col min="13575" max="13575" width="6.7109375" style="314" customWidth="1"/>
    <col min="13576" max="13576" width="9.85546875" style="314" customWidth="1"/>
    <col min="13577" max="13577" width="7" style="314" customWidth="1"/>
    <col min="13578" max="13578" width="9.42578125" style="314" customWidth="1"/>
    <col min="13579" max="13580" width="11.5703125" style="314" customWidth="1"/>
    <col min="13581" max="13581" width="13.85546875" style="314" customWidth="1"/>
    <col min="13582" max="13582" width="13.7109375" style="314" customWidth="1"/>
    <col min="13583" max="13585" width="13.42578125" style="314" bestFit="1" customWidth="1"/>
    <col min="13586" max="13824" width="9.140625" style="314"/>
    <col min="13825" max="13825" width="19.140625" style="314" customWidth="1"/>
    <col min="13826" max="13826" width="10.5703125" style="314" customWidth="1"/>
    <col min="13827" max="13827" width="9.7109375" style="314" customWidth="1"/>
    <col min="13828" max="13828" width="11.28515625" style="314" customWidth="1"/>
    <col min="13829" max="13830" width="7" style="314" customWidth="1"/>
    <col min="13831" max="13831" width="6.7109375" style="314" customWidth="1"/>
    <col min="13832" max="13832" width="9.85546875" style="314" customWidth="1"/>
    <col min="13833" max="13833" width="7" style="314" customWidth="1"/>
    <col min="13834" max="13834" width="9.42578125" style="314" customWidth="1"/>
    <col min="13835" max="13836" width="11.5703125" style="314" customWidth="1"/>
    <col min="13837" max="13837" width="13.85546875" style="314" customWidth="1"/>
    <col min="13838" max="13838" width="13.7109375" style="314" customWidth="1"/>
    <col min="13839" max="13841" width="13.42578125" style="314" bestFit="1" customWidth="1"/>
    <col min="13842" max="14080" width="9.140625" style="314"/>
    <col min="14081" max="14081" width="19.140625" style="314" customWidth="1"/>
    <col min="14082" max="14082" width="10.5703125" style="314" customWidth="1"/>
    <col min="14083" max="14083" width="9.7109375" style="314" customWidth="1"/>
    <col min="14084" max="14084" width="11.28515625" style="314" customWidth="1"/>
    <col min="14085" max="14086" width="7" style="314" customWidth="1"/>
    <col min="14087" max="14087" width="6.7109375" style="314" customWidth="1"/>
    <col min="14088" max="14088" width="9.85546875" style="314" customWidth="1"/>
    <col min="14089" max="14089" width="7" style="314" customWidth="1"/>
    <col min="14090" max="14090" width="9.42578125" style="314" customWidth="1"/>
    <col min="14091" max="14092" width="11.5703125" style="314" customWidth="1"/>
    <col min="14093" max="14093" width="13.85546875" style="314" customWidth="1"/>
    <col min="14094" max="14094" width="13.7109375" style="314" customWidth="1"/>
    <col min="14095" max="14097" width="13.42578125" style="314" bestFit="1" customWidth="1"/>
    <col min="14098" max="14336" width="9.140625" style="314"/>
    <col min="14337" max="14337" width="19.140625" style="314" customWidth="1"/>
    <col min="14338" max="14338" width="10.5703125" style="314" customWidth="1"/>
    <col min="14339" max="14339" width="9.7109375" style="314" customWidth="1"/>
    <col min="14340" max="14340" width="11.28515625" style="314" customWidth="1"/>
    <col min="14341" max="14342" width="7" style="314" customWidth="1"/>
    <col min="14343" max="14343" width="6.7109375" style="314" customWidth="1"/>
    <col min="14344" max="14344" width="9.85546875" style="314" customWidth="1"/>
    <col min="14345" max="14345" width="7" style="314" customWidth="1"/>
    <col min="14346" max="14346" width="9.42578125" style="314" customWidth="1"/>
    <col min="14347" max="14348" width="11.5703125" style="314" customWidth="1"/>
    <col min="14349" max="14349" width="13.85546875" style="314" customWidth="1"/>
    <col min="14350" max="14350" width="13.7109375" style="314" customWidth="1"/>
    <col min="14351" max="14353" width="13.42578125" style="314" bestFit="1" customWidth="1"/>
    <col min="14354" max="14592" width="9.140625" style="314"/>
    <col min="14593" max="14593" width="19.140625" style="314" customWidth="1"/>
    <col min="14594" max="14594" width="10.5703125" style="314" customWidth="1"/>
    <col min="14595" max="14595" width="9.7109375" style="314" customWidth="1"/>
    <col min="14596" max="14596" width="11.28515625" style="314" customWidth="1"/>
    <col min="14597" max="14598" width="7" style="314" customWidth="1"/>
    <col min="14599" max="14599" width="6.7109375" style="314" customWidth="1"/>
    <col min="14600" max="14600" width="9.85546875" style="314" customWidth="1"/>
    <col min="14601" max="14601" width="7" style="314" customWidth="1"/>
    <col min="14602" max="14602" width="9.42578125" style="314" customWidth="1"/>
    <col min="14603" max="14604" width="11.5703125" style="314" customWidth="1"/>
    <col min="14605" max="14605" width="13.85546875" style="314" customWidth="1"/>
    <col min="14606" max="14606" width="13.7109375" style="314" customWidth="1"/>
    <col min="14607" max="14609" width="13.42578125" style="314" bestFit="1" customWidth="1"/>
    <col min="14610" max="14848" width="9.140625" style="314"/>
    <col min="14849" max="14849" width="19.140625" style="314" customWidth="1"/>
    <col min="14850" max="14850" width="10.5703125" style="314" customWidth="1"/>
    <col min="14851" max="14851" width="9.7109375" style="314" customWidth="1"/>
    <col min="14852" max="14852" width="11.28515625" style="314" customWidth="1"/>
    <col min="14853" max="14854" width="7" style="314" customWidth="1"/>
    <col min="14855" max="14855" width="6.7109375" style="314" customWidth="1"/>
    <col min="14856" max="14856" width="9.85546875" style="314" customWidth="1"/>
    <col min="14857" max="14857" width="7" style="314" customWidth="1"/>
    <col min="14858" max="14858" width="9.42578125" style="314" customWidth="1"/>
    <col min="14859" max="14860" width="11.5703125" style="314" customWidth="1"/>
    <col min="14861" max="14861" width="13.85546875" style="314" customWidth="1"/>
    <col min="14862" max="14862" width="13.7109375" style="314" customWidth="1"/>
    <col min="14863" max="14865" width="13.42578125" style="314" bestFit="1" customWidth="1"/>
    <col min="14866" max="15104" width="9.140625" style="314"/>
    <col min="15105" max="15105" width="19.140625" style="314" customWidth="1"/>
    <col min="15106" max="15106" width="10.5703125" style="314" customWidth="1"/>
    <col min="15107" max="15107" width="9.7109375" style="314" customWidth="1"/>
    <col min="15108" max="15108" width="11.28515625" style="314" customWidth="1"/>
    <col min="15109" max="15110" width="7" style="314" customWidth="1"/>
    <col min="15111" max="15111" width="6.7109375" style="314" customWidth="1"/>
    <col min="15112" max="15112" width="9.85546875" style="314" customWidth="1"/>
    <col min="15113" max="15113" width="7" style="314" customWidth="1"/>
    <col min="15114" max="15114" width="9.42578125" style="314" customWidth="1"/>
    <col min="15115" max="15116" width="11.5703125" style="314" customWidth="1"/>
    <col min="15117" max="15117" width="13.85546875" style="314" customWidth="1"/>
    <col min="15118" max="15118" width="13.7109375" style="314" customWidth="1"/>
    <col min="15119" max="15121" width="13.42578125" style="314" bestFit="1" customWidth="1"/>
    <col min="15122" max="15360" width="9.140625" style="314"/>
    <col min="15361" max="15361" width="19.140625" style="314" customWidth="1"/>
    <col min="15362" max="15362" width="10.5703125" style="314" customWidth="1"/>
    <col min="15363" max="15363" width="9.7109375" style="314" customWidth="1"/>
    <col min="15364" max="15364" width="11.28515625" style="314" customWidth="1"/>
    <col min="15365" max="15366" width="7" style="314" customWidth="1"/>
    <col min="15367" max="15367" width="6.7109375" style="314" customWidth="1"/>
    <col min="15368" max="15368" width="9.85546875" style="314" customWidth="1"/>
    <col min="15369" max="15369" width="7" style="314" customWidth="1"/>
    <col min="15370" max="15370" width="9.42578125" style="314" customWidth="1"/>
    <col min="15371" max="15372" width="11.5703125" style="314" customWidth="1"/>
    <col min="15373" max="15373" width="13.85546875" style="314" customWidth="1"/>
    <col min="15374" max="15374" width="13.7109375" style="314" customWidth="1"/>
    <col min="15375" max="15377" width="13.42578125" style="314" bestFit="1" customWidth="1"/>
    <col min="15378" max="15616" width="9.140625" style="314"/>
    <col min="15617" max="15617" width="19.140625" style="314" customWidth="1"/>
    <col min="15618" max="15618" width="10.5703125" style="314" customWidth="1"/>
    <col min="15619" max="15619" width="9.7109375" style="314" customWidth="1"/>
    <col min="15620" max="15620" width="11.28515625" style="314" customWidth="1"/>
    <col min="15621" max="15622" width="7" style="314" customWidth="1"/>
    <col min="15623" max="15623" width="6.7109375" style="314" customWidth="1"/>
    <col min="15624" max="15624" width="9.85546875" style="314" customWidth="1"/>
    <col min="15625" max="15625" width="7" style="314" customWidth="1"/>
    <col min="15626" max="15626" width="9.42578125" style="314" customWidth="1"/>
    <col min="15627" max="15628" width="11.5703125" style="314" customWidth="1"/>
    <col min="15629" max="15629" width="13.85546875" style="314" customWidth="1"/>
    <col min="15630" max="15630" width="13.7109375" style="314" customWidth="1"/>
    <col min="15631" max="15633" width="13.42578125" style="314" bestFit="1" customWidth="1"/>
    <col min="15634" max="15872" width="9.140625" style="314"/>
    <col min="15873" max="15873" width="19.140625" style="314" customWidth="1"/>
    <col min="15874" max="15874" width="10.5703125" style="314" customWidth="1"/>
    <col min="15875" max="15875" width="9.7109375" style="314" customWidth="1"/>
    <col min="15876" max="15876" width="11.28515625" style="314" customWidth="1"/>
    <col min="15877" max="15878" width="7" style="314" customWidth="1"/>
    <col min="15879" max="15879" width="6.7109375" style="314" customWidth="1"/>
    <col min="15880" max="15880" width="9.85546875" style="314" customWidth="1"/>
    <col min="15881" max="15881" width="7" style="314" customWidth="1"/>
    <col min="15882" max="15882" width="9.42578125" style="314" customWidth="1"/>
    <col min="15883" max="15884" width="11.5703125" style="314" customWidth="1"/>
    <col min="15885" max="15885" width="13.85546875" style="314" customWidth="1"/>
    <col min="15886" max="15886" width="13.7109375" style="314" customWidth="1"/>
    <col min="15887" max="15889" width="13.42578125" style="314" bestFit="1" customWidth="1"/>
    <col min="15890" max="16128" width="9.140625" style="314"/>
    <col min="16129" max="16129" width="19.140625" style="314" customWidth="1"/>
    <col min="16130" max="16130" width="10.5703125" style="314" customWidth="1"/>
    <col min="16131" max="16131" width="9.7109375" style="314" customWidth="1"/>
    <col min="16132" max="16132" width="11.28515625" style="314" customWidth="1"/>
    <col min="16133" max="16134" width="7" style="314" customWidth="1"/>
    <col min="16135" max="16135" width="6.7109375" style="314" customWidth="1"/>
    <col min="16136" max="16136" width="9.85546875" style="314" customWidth="1"/>
    <col min="16137" max="16137" width="7" style="314" customWidth="1"/>
    <col min="16138" max="16138" width="9.42578125" style="314" customWidth="1"/>
    <col min="16139" max="16140" width="11.5703125" style="314" customWidth="1"/>
    <col min="16141" max="16141" width="13.85546875" style="314" customWidth="1"/>
    <col min="16142" max="16142" width="13.7109375" style="314" customWidth="1"/>
    <col min="16143" max="16145" width="13.42578125" style="314" bestFit="1" customWidth="1"/>
    <col min="16146" max="16384" width="9.140625" style="314"/>
  </cols>
  <sheetData>
    <row r="1" spans="1:17" ht="15.75">
      <c r="Q1" s="398" t="s">
        <v>398</v>
      </c>
    </row>
    <row r="2" spans="1:17" ht="14.25" customHeight="1">
      <c r="Q2" s="399"/>
    </row>
    <row r="3" spans="1:17" ht="15.75" customHeight="1">
      <c r="A3" s="466" t="str">
        <f>'Pg 2 Sum Scheduled'!A3:C3</f>
        <v>NRA.N.011-050-2012/1F</v>
      </c>
      <c r="B3" s="401"/>
      <c r="C3" s="401"/>
      <c r="D3" s="401"/>
      <c r="E3" s="401"/>
      <c r="F3" s="403"/>
      <c r="G3" s="403"/>
      <c r="H3" s="1401">
        <f>'F1  Cover'!L8</f>
        <v>44804</v>
      </c>
      <c r="I3" s="1401"/>
      <c r="J3" s="467"/>
      <c r="K3" s="1365" t="s">
        <v>379</v>
      </c>
      <c r="L3" s="1365"/>
      <c r="M3" s="468"/>
      <c r="N3" s="1341">
        <f>'F1  Cover'!K8</f>
        <v>1</v>
      </c>
      <c r="O3" s="1339"/>
      <c r="P3" s="1339"/>
      <c r="Q3" s="1342"/>
    </row>
    <row r="4" spans="1:17" ht="7.5" customHeight="1" thickBot="1">
      <c r="A4" s="469"/>
      <c r="B4" s="469"/>
      <c r="C4" s="469"/>
      <c r="D4" s="470"/>
      <c r="E4" s="470"/>
      <c r="F4" s="470"/>
      <c r="G4" s="470"/>
      <c r="H4" s="470"/>
      <c r="I4" s="470"/>
      <c r="J4" s="471"/>
      <c r="K4" s="472"/>
      <c r="L4" s="473"/>
      <c r="M4" s="473"/>
      <c r="N4" s="473"/>
      <c r="O4" s="473"/>
      <c r="P4" s="473"/>
      <c r="Q4" s="473"/>
    </row>
    <row r="5" spans="1:17" ht="9.75" customHeight="1">
      <c r="A5" s="474"/>
      <c r="B5" s="475"/>
      <c r="C5" s="475"/>
      <c r="D5" s="476"/>
      <c r="E5" s="476"/>
      <c r="F5" s="476"/>
      <c r="G5" s="476"/>
      <c r="H5" s="476"/>
      <c r="I5" s="476"/>
      <c r="J5" s="477"/>
      <c r="K5" s="478"/>
      <c r="L5" s="479"/>
      <c r="M5" s="479"/>
      <c r="N5" s="479"/>
      <c r="O5" s="479"/>
      <c r="P5" s="479"/>
      <c r="Q5" s="480"/>
    </row>
    <row r="6" spans="1:17" ht="15.75" customHeight="1">
      <c r="A6" s="1396" t="s">
        <v>399</v>
      </c>
      <c r="B6" s="1259"/>
      <c r="C6" s="1259"/>
      <c r="D6" s="1259"/>
      <c r="E6" s="1259"/>
      <c r="F6" s="1259"/>
      <c r="G6" s="1259"/>
      <c r="H6" s="1259"/>
      <c r="I6" s="1259"/>
      <c r="J6" s="1259"/>
      <c r="K6" s="1259"/>
      <c r="L6" s="1259"/>
      <c r="M6" s="1259"/>
      <c r="N6" s="1259"/>
      <c r="O6" s="1259"/>
      <c r="P6" s="1259"/>
      <c r="Q6" s="1397"/>
    </row>
    <row r="7" spans="1:17" ht="6.75" customHeight="1" thickBot="1">
      <c r="A7" s="737"/>
      <c r="B7" s="482"/>
      <c r="C7" s="482"/>
      <c r="D7" s="482"/>
      <c r="E7" s="482"/>
      <c r="F7" s="482"/>
      <c r="G7" s="482"/>
      <c r="H7" s="482"/>
      <c r="I7" s="482"/>
      <c r="J7" s="481"/>
      <c r="K7" s="482"/>
      <c r="L7" s="482"/>
      <c r="M7" s="482"/>
      <c r="N7" s="482"/>
      <c r="O7" s="482"/>
      <c r="P7" s="482"/>
      <c r="Q7" s="738"/>
    </row>
    <row r="8" spans="1:17">
      <c r="A8" s="483" t="s">
        <v>400</v>
      </c>
      <c r="B8" s="1384" t="s">
        <v>401</v>
      </c>
      <c r="C8" s="1386"/>
      <c r="D8" s="1384" t="s">
        <v>402</v>
      </c>
      <c r="E8" s="1386"/>
      <c r="F8" s="1398" t="s">
        <v>3</v>
      </c>
      <c r="G8" s="1398"/>
      <c r="H8" s="1398"/>
      <c r="I8" s="1398"/>
      <c r="J8" s="1398"/>
      <c r="K8" s="484" t="s">
        <v>403</v>
      </c>
      <c r="L8" s="739" t="s">
        <v>404</v>
      </c>
      <c r="M8" s="1399"/>
      <c r="N8" s="1399"/>
      <c r="O8" s="1399"/>
      <c r="P8" s="1385" t="s">
        <v>405</v>
      </c>
      <c r="Q8" s="1400"/>
    </row>
    <row r="9" spans="1:17" s="495" customFormat="1" ht="26.25" thickBot="1">
      <c r="A9" s="485"/>
      <c r="B9" s="486" t="s">
        <v>406</v>
      </c>
      <c r="C9" s="487" t="s">
        <v>407</v>
      </c>
      <c r="D9" s="487" t="s">
        <v>408</v>
      </c>
      <c r="E9" s="487" t="s">
        <v>409</v>
      </c>
      <c r="F9" s="488" t="s">
        <v>403</v>
      </c>
      <c r="G9" s="488"/>
      <c r="H9" s="488"/>
      <c r="I9" s="488"/>
      <c r="J9" s="489" t="s">
        <v>410</v>
      </c>
      <c r="K9" s="490" t="s">
        <v>411</v>
      </c>
      <c r="L9" s="491"/>
      <c r="M9" s="492" t="s">
        <v>403</v>
      </c>
      <c r="N9" s="492" t="s">
        <v>412</v>
      </c>
      <c r="O9" s="493" t="s">
        <v>404</v>
      </c>
      <c r="P9" s="493" t="s">
        <v>403</v>
      </c>
      <c r="Q9" s="494" t="s">
        <v>404</v>
      </c>
    </row>
    <row r="10" spans="1:17">
      <c r="A10" s="496"/>
      <c r="B10" s="497"/>
      <c r="C10" s="498"/>
      <c r="D10" s="498"/>
      <c r="E10" s="499"/>
      <c r="F10" s="499"/>
      <c r="G10" s="500" t="s">
        <v>413</v>
      </c>
      <c r="H10" s="500" t="s">
        <v>414</v>
      </c>
      <c r="I10" s="500" t="s">
        <v>415</v>
      </c>
      <c r="J10" s="501"/>
      <c r="K10" s="502"/>
      <c r="L10" s="503"/>
      <c r="M10" s="1402" t="s">
        <v>385</v>
      </c>
      <c r="N10" s="1403"/>
      <c r="O10" s="1404"/>
      <c r="P10" s="504"/>
      <c r="Q10" s="505"/>
    </row>
    <row r="11" spans="1:17" ht="12.75" customHeight="1">
      <c r="A11" s="506"/>
      <c r="B11" s="507"/>
      <c r="C11" s="507"/>
      <c r="D11" s="789"/>
      <c r="E11" s="508"/>
      <c r="F11" s="423">
        <v>3000</v>
      </c>
      <c r="G11" s="790"/>
      <c r="H11" s="790"/>
      <c r="I11" s="790"/>
      <c r="J11" s="516">
        <f t="shared" ref="J11:J17" si="0">1/100*(G11+(H11*I11))</f>
        <v>0</v>
      </c>
      <c r="K11" s="509"/>
      <c r="L11" s="510">
        <f>ROUND(J11*K11,2)</f>
        <v>0</v>
      </c>
      <c r="M11" s="801"/>
      <c r="N11" s="510">
        <f>+M11</f>
        <v>0</v>
      </c>
      <c r="O11" s="511">
        <f t="shared" ref="O11:O28" si="1">N11*J11</f>
        <v>0</v>
      </c>
      <c r="P11" s="511">
        <f t="shared" ref="P11:Q28" si="2">K11+N11</f>
        <v>0</v>
      </c>
      <c r="Q11" s="799">
        <f t="shared" si="2"/>
        <v>0</v>
      </c>
    </row>
    <row r="12" spans="1:17" ht="12.75" customHeight="1">
      <c r="A12" s="506"/>
      <c r="B12" s="507"/>
      <c r="C12" s="507"/>
      <c r="D12" s="789"/>
      <c r="E12" s="508"/>
      <c r="F12" s="423" t="s">
        <v>416</v>
      </c>
      <c r="G12" s="790"/>
      <c r="H12" s="790"/>
      <c r="I12" s="790"/>
      <c r="J12" s="516">
        <f t="shared" si="0"/>
        <v>0</v>
      </c>
      <c r="K12" s="512"/>
      <c r="L12" s="510">
        <f>ROUND(J12*K12,2)</f>
        <v>0</v>
      </c>
      <c r="M12" s="802"/>
      <c r="N12" s="510">
        <f t="shared" ref="N12:N28" si="3">+M12</f>
        <v>0</v>
      </c>
      <c r="O12" s="511">
        <f t="shared" si="1"/>
        <v>0</v>
      </c>
      <c r="P12" s="511">
        <f t="shared" si="2"/>
        <v>0</v>
      </c>
      <c r="Q12" s="799">
        <f t="shared" si="2"/>
        <v>0</v>
      </c>
    </row>
    <row r="13" spans="1:17" ht="12.75" customHeight="1">
      <c r="A13" s="506"/>
      <c r="B13" s="507"/>
      <c r="C13" s="507"/>
      <c r="D13" s="789"/>
      <c r="E13" s="508"/>
      <c r="F13" s="423">
        <v>3000</v>
      </c>
      <c r="G13" s="790"/>
      <c r="H13" s="790"/>
      <c r="I13" s="790"/>
      <c r="J13" s="516">
        <f t="shared" si="0"/>
        <v>0</v>
      </c>
      <c r="K13" s="512"/>
      <c r="L13" s="510">
        <f>ROUND(J13*K13,2)</f>
        <v>0</v>
      </c>
      <c r="M13" s="802"/>
      <c r="N13" s="510">
        <f t="shared" si="3"/>
        <v>0</v>
      </c>
      <c r="O13" s="511">
        <f t="shared" si="1"/>
        <v>0</v>
      </c>
      <c r="P13" s="511">
        <f t="shared" si="2"/>
        <v>0</v>
      </c>
      <c r="Q13" s="799">
        <f t="shared" si="2"/>
        <v>0</v>
      </c>
    </row>
    <row r="14" spans="1:17" ht="12.75" customHeight="1">
      <c r="A14" s="506"/>
      <c r="B14" s="507"/>
      <c r="C14" s="507"/>
      <c r="D14" s="789"/>
      <c r="E14" s="508"/>
      <c r="F14" s="423" t="s">
        <v>416</v>
      </c>
      <c r="G14" s="790"/>
      <c r="H14" s="790"/>
      <c r="I14" s="790"/>
      <c r="J14" s="516">
        <f t="shared" si="0"/>
        <v>0</v>
      </c>
      <c r="K14" s="512"/>
      <c r="L14" s="510">
        <f>ROUND(J14*K14,2)</f>
        <v>0</v>
      </c>
      <c r="M14" s="802"/>
      <c r="N14" s="510">
        <f t="shared" si="3"/>
        <v>0</v>
      </c>
      <c r="O14" s="511">
        <f t="shared" si="1"/>
        <v>0</v>
      </c>
      <c r="P14" s="511">
        <f t="shared" si="2"/>
        <v>0</v>
      </c>
      <c r="Q14" s="799">
        <f t="shared" si="2"/>
        <v>0</v>
      </c>
    </row>
    <row r="15" spans="1:17" ht="12.75" customHeight="1">
      <c r="A15" s="506"/>
      <c r="B15" s="507"/>
      <c r="C15" s="507"/>
      <c r="D15" s="789"/>
      <c r="E15" s="508"/>
      <c r="F15" s="423">
        <v>3000</v>
      </c>
      <c r="G15" s="790"/>
      <c r="H15" s="790"/>
      <c r="I15" s="790"/>
      <c r="J15" s="516">
        <f t="shared" si="0"/>
        <v>0</v>
      </c>
      <c r="K15" s="512"/>
      <c r="L15" s="510">
        <f>ROUND(J15*K15,2)</f>
        <v>0</v>
      </c>
      <c r="M15" s="802"/>
      <c r="N15" s="510">
        <f t="shared" si="3"/>
        <v>0</v>
      </c>
      <c r="O15" s="511">
        <f t="shared" si="1"/>
        <v>0</v>
      </c>
      <c r="P15" s="511">
        <f t="shared" si="2"/>
        <v>0</v>
      </c>
      <c r="Q15" s="799">
        <f t="shared" si="2"/>
        <v>0</v>
      </c>
    </row>
    <row r="16" spans="1:17" ht="12.75" customHeight="1">
      <c r="A16" s="506"/>
      <c r="B16" s="507"/>
      <c r="C16" s="507"/>
      <c r="D16" s="789"/>
      <c r="E16" s="508"/>
      <c r="F16" s="423" t="s">
        <v>416</v>
      </c>
      <c r="G16" s="790"/>
      <c r="H16" s="790"/>
      <c r="I16" s="790"/>
      <c r="J16" s="516">
        <f t="shared" si="0"/>
        <v>0</v>
      </c>
      <c r="K16" s="512"/>
      <c r="L16" s="510">
        <f t="shared" ref="L16:L28" si="4">ROUND(J16*K16,2)</f>
        <v>0</v>
      </c>
      <c r="M16" s="802"/>
      <c r="N16" s="510">
        <f t="shared" si="3"/>
        <v>0</v>
      </c>
      <c r="O16" s="511">
        <f t="shared" si="1"/>
        <v>0</v>
      </c>
      <c r="P16" s="511">
        <f t="shared" si="2"/>
        <v>0</v>
      </c>
      <c r="Q16" s="799">
        <f t="shared" si="2"/>
        <v>0</v>
      </c>
    </row>
    <row r="17" spans="1:17" ht="12.75" customHeight="1">
      <c r="A17" s="506"/>
      <c r="B17" s="507"/>
      <c r="C17" s="507"/>
      <c r="D17" s="789"/>
      <c r="E17" s="508"/>
      <c r="F17" s="423">
        <v>3000</v>
      </c>
      <c r="G17" s="790"/>
      <c r="H17" s="790"/>
      <c r="I17" s="790"/>
      <c r="J17" s="516">
        <f t="shared" si="0"/>
        <v>0</v>
      </c>
      <c r="K17" s="512"/>
      <c r="L17" s="510">
        <f t="shared" si="4"/>
        <v>0</v>
      </c>
      <c r="M17" s="802"/>
      <c r="N17" s="510">
        <f t="shared" si="3"/>
        <v>0</v>
      </c>
      <c r="O17" s="511">
        <f t="shared" si="1"/>
        <v>0</v>
      </c>
      <c r="P17" s="511">
        <f t="shared" si="2"/>
        <v>0</v>
      </c>
      <c r="Q17" s="799">
        <f t="shared" si="2"/>
        <v>0</v>
      </c>
    </row>
    <row r="18" spans="1:17" ht="12.75" customHeight="1">
      <c r="A18" s="506"/>
      <c r="B18" s="507"/>
      <c r="C18" s="507"/>
      <c r="D18" s="789"/>
      <c r="E18" s="508"/>
      <c r="F18" s="423" t="s">
        <v>416</v>
      </c>
      <c r="G18" s="790"/>
      <c r="H18" s="790"/>
      <c r="I18" s="790"/>
      <c r="J18" s="516">
        <f>1/100*(G18+(H18*I18))</f>
        <v>0</v>
      </c>
      <c r="K18" s="512"/>
      <c r="L18" s="510">
        <f t="shared" si="4"/>
        <v>0</v>
      </c>
      <c r="M18" s="802"/>
      <c r="N18" s="510">
        <f t="shared" si="3"/>
        <v>0</v>
      </c>
      <c r="O18" s="511">
        <f t="shared" si="1"/>
        <v>0</v>
      </c>
      <c r="P18" s="511">
        <f t="shared" si="2"/>
        <v>0</v>
      </c>
      <c r="Q18" s="799">
        <f t="shared" si="2"/>
        <v>0</v>
      </c>
    </row>
    <row r="19" spans="1:17" ht="12.75" customHeight="1">
      <c r="A19" s="506"/>
      <c r="B19" s="507"/>
      <c r="C19" s="507"/>
      <c r="D19" s="789"/>
      <c r="E19" s="508"/>
      <c r="F19" s="423">
        <v>3000</v>
      </c>
      <c r="G19" s="790"/>
      <c r="H19" s="790"/>
      <c r="I19" s="790"/>
      <c r="J19" s="516">
        <f>1/100*(G19+(H19*I19))</f>
        <v>0</v>
      </c>
      <c r="K19" s="512"/>
      <c r="L19" s="510">
        <f t="shared" si="4"/>
        <v>0</v>
      </c>
      <c r="M19" s="802"/>
      <c r="N19" s="510">
        <f t="shared" si="3"/>
        <v>0</v>
      </c>
      <c r="O19" s="511">
        <f t="shared" si="1"/>
        <v>0</v>
      </c>
      <c r="P19" s="511">
        <f t="shared" si="2"/>
        <v>0</v>
      </c>
      <c r="Q19" s="799">
        <f t="shared" si="2"/>
        <v>0</v>
      </c>
    </row>
    <row r="20" spans="1:17" ht="12.75" customHeight="1">
      <c r="A20" s="506"/>
      <c r="B20" s="507"/>
      <c r="C20" s="507"/>
      <c r="D20" s="789"/>
      <c r="E20" s="508"/>
      <c r="F20" s="423" t="s">
        <v>416</v>
      </c>
      <c r="G20" s="790"/>
      <c r="H20" s="790"/>
      <c r="I20" s="790"/>
      <c r="J20" s="516">
        <f>1/100*(G20+(H20*I20))</f>
        <v>0</v>
      </c>
      <c r="K20" s="512"/>
      <c r="L20" s="510">
        <f t="shared" si="4"/>
        <v>0</v>
      </c>
      <c r="M20" s="802"/>
      <c r="N20" s="510">
        <f t="shared" si="3"/>
        <v>0</v>
      </c>
      <c r="O20" s="511">
        <f t="shared" si="1"/>
        <v>0</v>
      </c>
      <c r="P20" s="511">
        <f t="shared" si="2"/>
        <v>0</v>
      </c>
      <c r="Q20" s="799">
        <f t="shared" si="2"/>
        <v>0</v>
      </c>
    </row>
    <row r="21" spans="1:17" ht="12.75" customHeight="1">
      <c r="A21" s="506"/>
      <c r="B21" s="507"/>
      <c r="C21" s="507"/>
      <c r="D21" s="789"/>
      <c r="E21" s="508"/>
      <c r="F21" s="423">
        <v>3000</v>
      </c>
      <c r="G21" s="790"/>
      <c r="H21" s="790"/>
      <c r="I21" s="790"/>
      <c r="J21" s="516">
        <f>1/100*(G21+(H21*I21))</f>
        <v>0</v>
      </c>
      <c r="K21" s="512"/>
      <c r="L21" s="510">
        <f t="shared" si="4"/>
        <v>0</v>
      </c>
      <c r="M21" s="802"/>
      <c r="N21" s="510">
        <f t="shared" si="3"/>
        <v>0</v>
      </c>
      <c r="O21" s="511">
        <f t="shared" si="1"/>
        <v>0</v>
      </c>
      <c r="P21" s="511">
        <f t="shared" si="2"/>
        <v>0</v>
      </c>
      <c r="Q21" s="799">
        <f t="shared" si="2"/>
        <v>0</v>
      </c>
    </row>
    <row r="22" spans="1:17" ht="12.75" customHeight="1">
      <c r="A22" s="506"/>
      <c r="B22" s="507"/>
      <c r="C22" s="507"/>
      <c r="D22" s="789"/>
      <c r="E22" s="508"/>
      <c r="F22" s="423" t="s">
        <v>416</v>
      </c>
      <c r="G22" s="790"/>
      <c r="H22" s="790"/>
      <c r="I22" s="790"/>
      <c r="J22" s="516">
        <f t="shared" ref="J22:J28" si="5">1/100*(G22+(H22*I22))</f>
        <v>0</v>
      </c>
      <c r="K22" s="512"/>
      <c r="L22" s="510">
        <f t="shared" si="4"/>
        <v>0</v>
      </c>
      <c r="M22" s="802"/>
      <c r="N22" s="510">
        <f t="shared" si="3"/>
        <v>0</v>
      </c>
      <c r="O22" s="511">
        <f t="shared" si="1"/>
        <v>0</v>
      </c>
      <c r="P22" s="511">
        <f t="shared" si="2"/>
        <v>0</v>
      </c>
      <c r="Q22" s="799">
        <f t="shared" si="2"/>
        <v>0</v>
      </c>
    </row>
    <row r="23" spans="1:17" ht="12.75" customHeight="1">
      <c r="A23" s="506"/>
      <c r="B23" s="507"/>
      <c r="C23" s="507"/>
      <c r="D23" s="789"/>
      <c r="E23" s="508"/>
      <c r="F23" s="423">
        <v>3000</v>
      </c>
      <c r="G23" s="790"/>
      <c r="H23" s="790"/>
      <c r="I23" s="790"/>
      <c r="J23" s="516">
        <f t="shared" si="5"/>
        <v>0</v>
      </c>
      <c r="K23" s="512"/>
      <c r="L23" s="510">
        <f t="shared" si="4"/>
        <v>0</v>
      </c>
      <c r="M23" s="802"/>
      <c r="N23" s="510">
        <f t="shared" si="3"/>
        <v>0</v>
      </c>
      <c r="O23" s="511">
        <f t="shared" si="1"/>
        <v>0</v>
      </c>
      <c r="P23" s="511">
        <f t="shared" si="2"/>
        <v>0</v>
      </c>
      <c r="Q23" s="799">
        <f t="shared" si="2"/>
        <v>0</v>
      </c>
    </row>
    <row r="24" spans="1:17" ht="12.75" customHeight="1">
      <c r="A24" s="506"/>
      <c r="B24" s="507"/>
      <c r="C24" s="507"/>
      <c r="D24" s="789"/>
      <c r="E24" s="508"/>
      <c r="F24" s="423" t="s">
        <v>416</v>
      </c>
      <c r="G24" s="790"/>
      <c r="H24" s="790"/>
      <c r="I24" s="790"/>
      <c r="J24" s="516">
        <f t="shared" si="5"/>
        <v>0</v>
      </c>
      <c r="K24" s="512"/>
      <c r="L24" s="510">
        <f t="shared" si="4"/>
        <v>0</v>
      </c>
      <c r="M24" s="802"/>
      <c r="N24" s="510">
        <f t="shared" si="3"/>
        <v>0</v>
      </c>
      <c r="O24" s="511">
        <f t="shared" si="1"/>
        <v>0</v>
      </c>
      <c r="P24" s="511">
        <f t="shared" si="2"/>
        <v>0</v>
      </c>
      <c r="Q24" s="799">
        <f t="shared" si="2"/>
        <v>0</v>
      </c>
    </row>
    <row r="25" spans="1:17" ht="12.75" customHeight="1">
      <c r="A25" s="506"/>
      <c r="B25" s="507"/>
      <c r="C25" s="507"/>
      <c r="D25" s="789"/>
      <c r="E25" s="508"/>
      <c r="F25" s="423">
        <v>3000</v>
      </c>
      <c r="G25" s="790"/>
      <c r="H25" s="790"/>
      <c r="I25" s="790"/>
      <c r="J25" s="516">
        <f t="shared" si="5"/>
        <v>0</v>
      </c>
      <c r="K25" s="512"/>
      <c r="L25" s="510">
        <f t="shared" si="4"/>
        <v>0</v>
      </c>
      <c r="M25" s="802"/>
      <c r="N25" s="510">
        <f t="shared" si="3"/>
        <v>0</v>
      </c>
      <c r="O25" s="511">
        <f t="shared" si="1"/>
        <v>0</v>
      </c>
      <c r="P25" s="511">
        <f t="shared" si="2"/>
        <v>0</v>
      </c>
      <c r="Q25" s="799">
        <f t="shared" si="2"/>
        <v>0</v>
      </c>
    </row>
    <row r="26" spans="1:17" ht="12.75" customHeight="1">
      <c r="A26" s="506"/>
      <c r="B26" s="507"/>
      <c r="C26" s="507"/>
      <c r="D26" s="789"/>
      <c r="E26" s="508"/>
      <c r="F26" s="423" t="s">
        <v>416</v>
      </c>
      <c r="G26" s="790"/>
      <c r="H26" s="790"/>
      <c r="I26" s="790"/>
      <c r="J26" s="516">
        <f t="shared" si="5"/>
        <v>0</v>
      </c>
      <c r="K26" s="512"/>
      <c r="L26" s="510">
        <f t="shared" si="4"/>
        <v>0</v>
      </c>
      <c r="M26" s="802"/>
      <c r="N26" s="510">
        <f t="shared" si="3"/>
        <v>0</v>
      </c>
      <c r="O26" s="511">
        <f t="shared" si="1"/>
        <v>0</v>
      </c>
      <c r="P26" s="511">
        <f t="shared" si="2"/>
        <v>0</v>
      </c>
      <c r="Q26" s="799">
        <f t="shared" si="2"/>
        <v>0</v>
      </c>
    </row>
    <row r="27" spans="1:17" ht="12.75" customHeight="1">
      <c r="A27" s="506"/>
      <c r="B27" s="507"/>
      <c r="C27" s="507"/>
      <c r="D27" s="789"/>
      <c r="E27" s="508"/>
      <c r="F27" s="423">
        <v>3000</v>
      </c>
      <c r="G27" s="790"/>
      <c r="H27" s="790"/>
      <c r="I27" s="790"/>
      <c r="J27" s="516">
        <f t="shared" si="5"/>
        <v>0</v>
      </c>
      <c r="K27" s="512"/>
      <c r="L27" s="510">
        <f t="shared" si="4"/>
        <v>0</v>
      </c>
      <c r="M27" s="802"/>
      <c r="N27" s="510">
        <f t="shared" si="3"/>
        <v>0</v>
      </c>
      <c r="O27" s="511">
        <f t="shared" si="1"/>
        <v>0</v>
      </c>
      <c r="P27" s="511">
        <f t="shared" si="2"/>
        <v>0</v>
      </c>
      <c r="Q27" s="799">
        <f t="shared" si="2"/>
        <v>0</v>
      </c>
    </row>
    <row r="28" spans="1:17" ht="12.75" customHeight="1" thickBot="1">
      <c r="A28" s="791"/>
      <c r="B28" s="792"/>
      <c r="C28" s="792"/>
      <c r="D28" s="793"/>
      <c r="E28" s="794"/>
      <c r="F28" s="795" t="s">
        <v>416</v>
      </c>
      <c r="G28" s="796"/>
      <c r="H28" s="796"/>
      <c r="I28" s="796"/>
      <c r="J28" s="583">
        <f t="shared" si="5"/>
        <v>0</v>
      </c>
      <c r="K28" s="797"/>
      <c r="L28" s="513">
        <f t="shared" si="4"/>
        <v>0</v>
      </c>
      <c r="M28" s="803"/>
      <c r="N28" s="513">
        <f t="shared" si="3"/>
        <v>0</v>
      </c>
      <c r="O28" s="798">
        <f t="shared" si="1"/>
        <v>0</v>
      </c>
      <c r="P28" s="798">
        <f t="shared" si="2"/>
        <v>0</v>
      </c>
      <c r="Q28" s="800">
        <f t="shared" si="2"/>
        <v>0</v>
      </c>
    </row>
    <row r="29" spans="1:17" ht="18.75" customHeight="1">
      <c r="A29" s="1378" t="s">
        <v>417</v>
      </c>
      <c r="B29" s="1379"/>
      <c r="C29" s="1379"/>
      <c r="D29" s="1379"/>
      <c r="E29" s="1380"/>
      <c r="F29" s="1384">
        <v>3000</v>
      </c>
      <c r="G29" s="1385"/>
      <c r="H29" s="1385"/>
      <c r="I29" s="1385"/>
      <c r="J29" s="1386"/>
      <c r="K29" s="514">
        <f>K11+K13+K15+K17+K19+K21+K23+K25+K27</f>
        <v>0</v>
      </c>
      <c r="L29" s="514">
        <f t="shared" ref="L29:Q30" si="6">L11+L13+L15+L17+L19+L21+L23+L25+L27</f>
        <v>0</v>
      </c>
      <c r="M29" s="514">
        <f t="shared" si="6"/>
        <v>0</v>
      </c>
      <c r="N29" s="514">
        <f t="shared" si="6"/>
        <v>0</v>
      </c>
      <c r="O29" s="514">
        <f t="shared" si="6"/>
        <v>0</v>
      </c>
      <c r="P29" s="514">
        <f t="shared" si="6"/>
        <v>0</v>
      </c>
      <c r="Q29" s="515">
        <f t="shared" si="6"/>
        <v>0</v>
      </c>
    </row>
    <row r="30" spans="1:17" ht="18.75" customHeight="1" thickBot="1">
      <c r="A30" s="1381"/>
      <c r="B30" s="1382"/>
      <c r="C30" s="1382"/>
      <c r="D30" s="1382"/>
      <c r="E30" s="1383"/>
      <c r="F30" s="1387" t="s">
        <v>416</v>
      </c>
      <c r="G30" s="1388"/>
      <c r="H30" s="1388"/>
      <c r="I30" s="1388"/>
      <c r="J30" s="1389"/>
      <c r="K30" s="807">
        <f>K12+K14+K16+K18+K20+K22+K24+K26+K28</f>
        <v>0</v>
      </c>
      <c r="L30" s="807">
        <f t="shared" si="6"/>
        <v>0</v>
      </c>
      <c r="M30" s="807">
        <f t="shared" si="6"/>
        <v>0</v>
      </c>
      <c r="N30" s="807">
        <f t="shared" si="6"/>
        <v>0</v>
      </c>
      <c r="O30" s="807">
        <f t="shared" si="6"/>
        <v>0</v>
      </c>
      <c r="P30" s="807">
        <f t="shared" si="6"/>
        <v>0</v>
      </c>
      <c r="Q30" s="808">
        <f t="shared" si="6"/>
        <v>0</v>
      </c>
    </row>
    <row r="31" spans="1:17" ht="18.75" customHeight="1" thickBot="1">
      <c r="A31" s="811"/>
      <c r="B31" s="811"/>
      <c r="C31" s="811"/>
      <c r="D31" s="811"/>
      <c r="E31" s="811"/>
      <c r="F31" s="741"/>
      <c r="G31" s="741"/>
      <c r="H31" s="741"/>
      <c r="I31" s="741"/>
      <c r="J31" s="741"/>
      <c r="K31" s="812"/>
      <c r="L31" s="812"/>
      <c r="M31" s="812"/>
      <c r="N31" s="812"/>
      <c r="O31" s="812"/>
      <c r="P31" s="812"/>
      <c r="Q31" s="812"/>
    </row>
    <row r="32" spans="1:17" ht="18.75" customHeight="1">
      <c r="A32" s="483" t="s">
        <v>400</v>
      </c>
      <c r="B32" s="1384" t="s">
        <v>401</v>
      </c>
      <c r="C32" s="1386"/>
      <c r="D32" s="1384" t="s">
        <v>402</v>
      </c>
      <c r="E32" s="1386"/>
      <c r="F32" s="1398" t="s">
        <v>3</v>
      </c>
      <c r="G32" s="1398"/>
      <c r="H32" s="1398"/>
      <c r="I32" s="1398"/>
      <c r="J32" s="1398"/>
      <c r="K32" s="484" t="s">
        <v>403</v>
      </c>
      <c r="L32" s="739" t="s">
        <v>404</v>
      </c>
      <c r="M32" s="1399"/>
      <c r="N32" s="1399"/>
      <c r="O32" s="1399"/>
      <c r="P32" s="1385" t="s">
        <v>405</v>
      </c>
      <c r="Q32" s="1400"/>
    </row>
    <row r="33" spans="1:17" ht="27" customHeight="1" thickBot="1">
      <c r="A33" s="485"/>
      <c r="B33" s="486" t="s">
        <v>406</v>
      </c>
      <c r="C33" s="487" t="s">
        <v>407</v>
      </c>
      <c r="D33" s="487" t="s">
        <v>408</v>
      </c>
      <c r="E33" s="487" t="s">
        <v>409</v>
      </c>
      <c r="F33" s="488" t="s">
        <v>403</v>
      </c>
      <c r="G33" s="488"/>
      <c r="H33" s="488"/>
      <c r="I33" s="488"/>
      <c r="J33" s="489" t="s">
        <v>410</v>
      </c>
      <c r="K33" s="490" t="s">
        <v>411</v>
      </c>
      <c r="L33" s="491"/>
      <c r="M33" s="492" t="s">
        <v>403</v>
      </c>
      <c r="N33" s="492" t="s">
        <v>412</v>
      </c>
      <c r="O33" s="493" t="s">
        <v>404</v>
      </c>
      <c r="P33" s="493" t="s">
        <v>403</v>
      </c>
      <c r="Q33" s="494" t="s">
        <v>404</v>
      </c>
    </row>
    <row r="34" spans="1:17">
      <c r="A34" s="496"/>
      <c r="B34" s="497"/>
      <c r="C34" s="498"/>
      <c r="D34" s="498"/>
      <c r="E34" s="499"/>
      <c r="F34" s="499"/>
      <c r="G34" s="500" t="s">
        <v>413</v>
      </c>
      <c r="H34" s="500" t="s">
        <v>414</v>
      </c>
      <c r="I34" s="500" t="s">
        <v>415</v>
      </c>
      <c r="J34" s="501"/>
      <c r="K34" s="502"/>
      <c r="L34" s="503"/>
      <c r="M34" s="1375" t="s">
        <v>385</v>
      </c>
      <c r="N34" s="1376"/>
      <c r="O34" s="1377"/>
      <c r="P34" s="504"/>
      <c r="Q34" s="505"/>
    </row>
    <row r="35" spans="1:17" ht="12.75" customHeight="1">
      <c r="A35" s="506"/>
      <c r="B35" s="507"/>
      <c r="C35" s="507"/>
      <c r="D35" s="789"/>
      <c r="E35" s="508"/>
      <c r="F35" s="423">
        <v>3000</v>
      </c>
      <c r="G35" s="790"/>
      <c r="H35" s="790"/>
      <c r="I35" s="790"/>
      <c r="J35" s="516">
        <f t="shared" ref="J35:J41" si="7">1/100*(G35+(H35*I35))</f>
        <v>0</v>
      </c>
      <c r="K35" s="509"/>
      <c r="L35" s="510">
        <f>ROUND(J35*K35,2)</f>
        <v>0</v>
      </c>
      <c r="M35" s="801"/>
      <c r="N35" s="510">
        <f>+M35</f>
        <v>0</v>
      </c>
      <c r="O35" s="511">
        <f t="shared" ref="O35:O52" si="8">N35*J35</f>
        <v>0</v>
      </c>
      <c r="P35" s="511">
        <f t="shared" ref="P35:P52" si="9">K35+N35</f>
        <v>0</v>
      </c>
      <c r="Q35" s="799">
        <f t="shared" ref="Q35:Q52" si="10">L35+O35</f>
        <v>0</v>
      </c>
    </row>
    <row r="36" spans="1:17" ht="12.75" customHeight="1">
      <c r="A36" s="506"/>
      <c r="B36" s="507"/>
      <c r="C36" s="507"/>
      <c r="D36" s="789"/>
      <c r="E36" s="508"/>
      <c r="F36" s="423" t="s">
        <v>416</v>
      </c>
      <c r="G36" s="790"/>
      <c r="H36" s="790"/>
      <c r="I36" s="790"/>
      <c r="J36" s="516">
        <f t="shared" si="7"/>
        <v>0</v>
      </c>
      <c r="K36" s="512"/>
      <c r="L36" s="510">
        <f>ROUND(J36*K36,2)</f>
        <v>0</v>
      </c>
      <c r="M36" s="802"/>
      <c r="N36" s="510">
        <f t="shared" ref="N36:N52" si="11">+M36</f>
        <v>0</v>
      </c>
      <c r="O36" s="511">
        <f t="shared" si="8"/>
        <v>0</v>
      </c>
      <c r="P36" s="511">
        <f t="shared" si="9"/>
        <v>0</v>
      </c>
      <c r="Q36" s="799">
        <f t="shared" si="10"/>
        <v>0</v>
      </c>
    </row>
    <row r="37" spans="1:17" ht="12.75" customHeight="1">
      <c r="A37" s="506"/>
      <c r="B37" s="507"/>
      <c r="C37" s="507"/>
      <c r="D37" s="789"/>
      <c r="E37" s="508"/>
      <c r="F37" s="423">
        <v>3000</v>
      </c>
      <c r="G37" s="790"/>
      <c r="H37" s="790"/>
      <c r="I37" s="790"/>
      <c r="J37" s="516">
        <f t="shared" si="7"/>
        <v>0</v>
      </c>
      <c r="K37" s="512"/>
      <c r="L37" s="510">
        <f>ROUND(J37*K37,2)</f>
        <v>0</v>
      </c>
      <c r="M37" s="802"/>
      <c r="N37" s="510">
        <f t="shared" si="11"/>
        <v>0</v>
      </c>
      <c r="O37" s="511">
        <f t="shared" si="8"/>
        <v>0</v>
      </c>
      <c r="P37" s="511">
        <f t="shared" si="9"/>
        <v>0</v>
      </c>
      <c r="Q37" s="799">
        <f t="shared" si="10"/>
        <v>0</v>
      </c>
    </row>
    <row r="38" spans="1:17" ht="12.75" customHeight="1">
      <c r="A38" s="506"/>
      <c r="B38" s="507"/>
      <c r="C38" s="507"/>
      <c r="D38" s="789"/>
      <c r="E38" s="508"/>
      <c r="F38" s="423" t="s">
        <v>416</v>
      </c>
      <c r="G38" s="790"/>
      <c r="H38" s="790"/>
      <c r="I38" s="790"/>
      <c r="J38" s="516">
        <f t="shared" si="7"/>
        <v>0</v>
      </c>
      <c r="K38" s="512"/>
      <c r="L38" s="510">
        <f>ROUND(J38*K38,2)</f>
        <v>0</v>
      </c>
      <c r="M38" s="802"/>
      <c r="N38" s="510">
        <f t="shared" si="11"/>
        <v>0</v>
      </c>
      <c r="O38" s="511">
        <f t="shared" si="8"/>
        <v>0</v>
      </c>
      <c r="P38" s="511">
        <f t="shared" si="9"/>
        <v>0</v>
      </c>
      <c r="Q38" s="799">
        <f t="shared" si="10"/>
        <v>0</v>
      </c>
    </row>
    <row r="39" spans="1:17" ht="12.75" customHeight="1">
      <c r="A39" s="506"/>
      <c r="B39" s="507"/>
      <c r="C39" s="507"/>
      <c r="D39" s="789"/>
      <c r="E39" s="508"/>
      <c r="F39" s="423">
        <v>3000</v>
      </c>
      <c r="G39" s="790"/>
      <c r="H39" s="790"/>
      <c r="I39" s="790"/>
      <c r="J39" s="516">
        <f t="shared" si="7"/>
        <v>0</v>
      </c>
      <c r="K39" s="512"/>
      <c r="L39" s="510">
        <f>ROUND(J39*K39,2)</f>
        <v>0</v>
      </c>
      <c r="M39" s="802"/>
      <c r="N39" s="510">
        <f t="shared" si="11"/>
        <v>0</v>
      </c>
      <c r="O39" s="511">
        <f t="shared" si="8"/>
        <v>0</v>
      </c>
      <c r="P39" s="511">
        <f t="shared" si="9"/>
        <v>0</v>
      </c>
      <c r="Q39" s="799">
        <f t="shared" si="10"/>
        <v>0</v>
      </c>
    </row>
    <row r="40" spans="1:17" ht="12.75" customHeight="1">
      <c r="A40" s="506"/>
      <c r="B40" s="507"/>
      <c r="C40" s="507"/>
      <c r="D40" s="789"/>
      <c r="E40" s="508"/>
      <c r="F40" s="423" t="s">
        <v>416</v>
      </c>
      <c r="G40" s="790"/>
      <c r="H40" s="790"/>
      <c r="I40" s="790"/>
      <c r="J40" s="516">
        <f t="shared" si="7"/>
        <v>0</v>
      </c>
      <c r="K40" s="512"/>
      <c r="L40" s="510">
        <f t="shared" ref="L40:L52" si="12">ROUND(J40*K40,2)</f>
        <v>0</v>
      </c>
      <c r="M40" s="802"/>
      <c r="N40" s="510">
        <f t="shared" si="11"/>
        <v>0</v>
      </c>
      <c r="O40" s="511">
        <f t="shared" si="8"/>
        <v>0</v>
      </c>
      <c r="P40" s="511">
        <f t="shared" si="9"/>
        <v>0</v>
      </c>
      <c r="Q40" s="799">
        <f t="shared" si="10"/>
        <v>0</v>
      </c>
    </row>
    <row r="41" spans="1:17" ht="12.75" customHeight="1">
      <c r="A41" s="506"/>
      <c r="B41" s="507"/>
      <c r="C41" s="507"/>
      <c r="D41" s="789"/>
      <c r="E41" s="508"/>
      <c r="F41" s="423">
        <v>3000</v>
      </c>
      <c r="G41" s="790"/>
      <c r="H41" s="790"/>
      <c r="I41" s="790"/>
      <c r="J41" s="516">
        <f t="shared" si="7"/>
        <v>0</v>
      </c>
      <c r="K41" s="512"/>
      <c r="L41" s="510">
        <f t="shared" si="12"/>
        <v>0</v>
      </c>
      <c r="M41" s="802"/>
      <c r="N41" s="510">
        <f t="shared" si="11"/>
        <v>0</v>
      </c>
      <c r="O41" s="511">
        <f t="shared" si="8"/>
        <v>0</v>
      </c>
      <c r="P41" s="511">
        <f t="shared" si="9"/>
        <v>0</v>
      </c>
      <c r="Q41" s="799">
        <f t="shared" si="10"/>
        <v>0</v>
      </c>
    </row>
    <row r="42" spans="1:17" ht="12.75" customHeight="1">
      <c r="A42" s="506"/>
      <c r="B42" s="507"/>
      <c r="C42" s="507"/>
      <c r="D42" s="789"/>
      <c r="E42" s="508"/>
      <c r="F42" s="423" t="s">
        <v>416</v>
      </c>
      <c r="G42" s="790"/>
      <c r="H42" s="790"/>
      <c r="I42" s="790"/>
      <c r="J42" s="516">
        <f>1/100*(G42+(H42*I42))</f>
        <v>0</v>
      </c>
      <c r="K42" s="512"/>
      <c r="L42" s="510">
        <f t="shared" si="12"/>
        <v>0</v>
      </c>
      <c r="M42" s="802"/>
      <c r="N42" s="510">
        <f t="shared" si="11"/>
        <v>0</v>
      </c>
      <c r="O42" s="511">
        <f t="shared" si="8"/>
        <v>0</v>
      </c>
      <c r="P42" s="511">
        <f t="shared" si="9"/>
        <v>0</v>
      </c>
      <c r="Q42" s="799">
        <f t="shared" si="10"/>
        <v>0</v>
      </c>
    </row>
    <row r="43" spans="1:17" ht="12.75" customHeight="1">
      <c r="A43" s="506"/>
      <c r="B43" s="507"/>
      <c r="C43" s="507"/>
      <c r="D43" s="789"/>
      <c r="E43" s="508"/>
      <c r="F43" s="423">
        <v>3000</v>
      </c>
      <c r="G43" s="790"/>
      <c r="H43" s="790"/>
      <c r="I43" s="790"/>
      <c r="J43" s="516">
        <f>1/100*(G43+(H43*I43))</f>
        <v>0</v>
      </c>
      <c r="K43" s="512"/>
      <c r="L43" s="510">
        <f t="shared" si="12"/>
        <v>0</v>
      </c>
      <c r="M43" s="802"/>
      <c r="N43" s="510">
        <f t="shared" si="11"/>
        <v>0</v>
      </c>
      <c r="O43" s="511">
        <f t="shared" si="8"/>
        <v>0</v>
      </c>
      <c r="P43" s="511">
        <f t="shared" si="9"/>
        <v>0</v>
      </c>
      <c r="Q43" s="799">
        <f t="shared" si="10"/>
        <v>0</v>
      </c>
    </row>
    <row r="44" spans="1:17" ht="12.75" customHeight="1">
      <c r="A44" s="506"/>
      <c r="B44" s="507"/>
      <c r="C44" s="507"/>
      <c r="D44" s="789"/>
      <c r="E44" s="508"/>
      <c r="F44" s="423" t="s">
        <v>416</v>
      </c>
      <c r="G44" s="790"/>
      <c r="H44" s="790"/>
      <c r="I44" s="790"/>
      <c r="J44" s="516">
        <f>1/100*(G44+(H44*I44))</f>
        <v>0</v>
      </c>
      <c r="K44" s="512"/>
      <c r="L44" s="510">
        <f t="shared" si="12"/>
        <v>0</v>
      </c>
      <c r="M44" s="802"/>
      <c r="N44" s="510">
        <f t="shared" si="11"/>
        <v>0</v>
      </c>
      <c r="O44" s="511">
        <f t="shared" si="8"/>
        <v>0</v>
      </c>
      <c r="P44" s="511">
        <f t="shared" si="9"/>
        <v>0</v>
      </c>
      <c r="Q44" s="799">
        <f t="shared" si="10"/>
        <v>0</v>
      </c>
    </row>
    <row r="45" spans="1:17" ht="12.75" customHeight="1">
      <c r="A45" s="506"/>
      <c r="B45" s="507"/>
      <c r="C45" s="507"/>
      <c r="D45" s="789"/>
      <c r="E45" s="508"/>
      <c r="F45" s="423">
        <v>3000</v>
      </c>
      <c r="G45" s="790"/>
      <c r="H45" s="790"/>
      <c r="I45" s="790"/>
      <c r="J45" s="516">
        <f>1/100*(G45+(H45*I45))</f>
        <v>0</v>
      </c>
      <c r="K45" s="512"/>
      <c r="L45" s="510">
        <f t="shared" si="12"/>
        <v>0</v>
      </c>
      <c r="M45" s="802"/>
      <c r="N45" s="510">
        <f t="shared" si="11"/>
        <v>0</v>
      </c>
      <c r="O45" s="511">
        <f t="shared" si="8"/>
        <v>0</v>
      </c>
      <c r="P45" s="511">
        <f t="shared" si="9"/>
        <v>0</v>
      </c>
      <c r="Q45" s="799">
        <f t="shared" si="10"/>
        <v>0</v>
      </c>
    </row>
    <row r="46" spans="1:17" ht="12.75" customHeight="1">
      <c r="A46" s="506"/>
      <c r="B46" s="507"/>
      <c r="C46" s="507"/>
      <c r="D46" s="789"/>
      <c r="E46" s="508"/>
      <c r="F46" s="423" t="s">
        <v>416</v>
      </c>
      <c r="G46" s="790"/>
      <c r="H46" s="790"/>
      <c r="I46" s="790"/>
      <c r="J46" s="516">
        <f t="shared" ref="J46:J52" si="13">1/100*(G46+(H46*I46))</f>
        <v>0</v>
      </c>
      <c r="K46" s="512"/>
      <c r="L46" s="510">
        <f t="shared" si="12"/>
        <v>0</v>
      </c>
      <c r="M46" s="802"/>
      <c r="N46" s="510">
        <f t="shared" si="11"/>
        <v>0</v>
      </c>
      <c r="O46" s="511">
        <f t="shared" si="8"/>
        <v>0</v>
      </c>
      <c r="P46" s="511">
        <f t="shared" si="9"/>
        <v>0</v>
      </c>
      <c r="Q46" s="799">
        <f t="shared" si="10"/>
        <v>0</v>
      </c>
    </row>
    <row r="47" spans="1:17" ht="12.75" customHeight="1">
      <c r="A47" s="506"/>
      <c r="B47" s="507"/>
      <c r="C47" s="507"/>
      <c r="D47" s="789"/>
      <c r="E47" s="508"/>
      <c r="F47" s="423">
        <v>3000</v>
      </c>
      <c r="G47" s="790"/>
      <c r="H47" s="790"/>
      <c r="I47" s="790"/>
      <c r="J47" s="516">
        <f t="shared" si="13"/>
        <v>0</v>
      </c>
      <c r="K47" s="512"/>
      <c r="L47" s="510">
        <f t="shared" si="12"/>
        <v>0</v>
      </c>
      <c r="M47" s="802"/>
      <c r="N47" s="510">
        <f t="shared" si="11"/>
        <v>0</v>
      </c>
      <c r="O47" s="511">
        <f t="shared" si="8"/>
        <v>0</v>
      </c>
      <c r="P47" s="511">
        <f t="shared" si="9"/>
        <v>0</v>
      </c>
      <c r="Q47" s="799">
        <f t="shared" si="10"/>
        <v>0</v>
      </c>
    </row>
    <row r="48" spans="1:17" ht="12.75" customHeight="1">
      <c r="A48" s="506"/>
      <c r="B48" s="507"/>
      <c r="C48" s="507"/>
      <c r="D48" s="789"/>
      <c r="E48" s="508"/>
      <c r="F48" s="423" t="s">
        <v>416</v>
      </c>
      <c r="G48" s="790"/>
      <c r="H48" s="790"/>
      <c r="I48" s="790"/>
      <c r="J48" s="516">
        <f t="shared" si="13"/>
        <v>0</v>
      </c>
      <c r="K48" s="512"/>
      <c r="L48" s="510">
        <f t="shared" si="12"/>
        <v>0</v>
      </c>
      <c r="M48" s="802"/>
      <c r="N48" s="510">
        <f t="shared" si="11"/>
        <v>0</v>
      </c>
      <c r="O48" s="511">
        <f t="shared" si="8"/>
        <v>0</v>
      </c>
      <c r="P48" s="511">
        <f t="shared" si="9"/>
        <v>0</v>
      </c>
      <c r="Q48" s="799">
        <f t="shared" si="10"/>
        <v>0</v>
      </c>
    </row>
    <row r="49" spans="1:17" ht="12.75" customHeight="1">
      <c r="A49" s="506"/>
      <c r="B49" s="507"/>
      <c r="C49" s="507"/>
      <c r="D49" s="789"/>
      <c r="E49" s="508"/>
      <c r="F49" s="423">
        <v>3000</v>
      </c>
      <c r="G49" s="790"/>
      <c r="H49" s="790"/>
      <c r="I49" s="790"/>
      <c r="J49" s="516">
        <f t="shared" si="13"/>
        <v>0</v>
      </c>
      <c r="K49" s="512"/>
      <c r="L49" s="510">
        <f t="shared" si="12"/>
        <v>0</v>
      </c>
      <c r="M49" s="802"/>
      <c r="N49" s="510">
        <f t="shared" si="11"/>
        <v>0</v>
      </c>
      <c r="O49" s="511">
        <f t="shared" si="8"/>
        <v>0</v>
      </c>
      <c r="P49" s="511">
        <f t="shared" si="9"/>
        <v>0</v>
      </c>
      <c r="Q49" s="799">
        <f t="shared" si="10"/>
        <v>0</v>
      </c>
    </row>
    <row r="50" spans="1:17" ht="12.75" customHeight="1">
      <c r="A50" s="506"/>
      <c r="B50" s="507"/>
      <c r="C50" s="507"/>
      <c r="D50" s="789"/>
      <c r="E50" s="508"/>
      <c r="F50" s="423" t="s">
        <v>416</v>
      </c>
      <c r="G50" s="790"/>
      <c r="H50" s="790"/>
      <c r="I50" s="790"/>
      <c r="J50" s="516">
        <f t="shared" si="13"/>
        <v>0</v>
      </c>
      <c r="K50" s="512"/>
      <c r="L50" s="510">
        <f t="shared" si="12"/>
        <v>0</v>
      </c>
      <c r="M50" s="802"/>
      <c r="N50" s="510">
        <f t="shared" si="11"/>
        <v>0</v>
      </c>
      <c r="O50" s="511">
        <f t="shared" si="8"/>
        <v>0</v>
      </c>
      <c r="P50" s="511">
        <f t="shared" si="9"/>
        <v>0</v>
      </c>
      <c r="Q50" s="799">
        <f t="shared" si="10"/>
        <v>0</v>
      </c>
    </row>
    <row r="51" spans="1:17" ht="12.75" customHeight="1">
      <c r="A51" s="506"/>
      <c r="B51" s="507"/>
      <c r="C51" s="507"/>
      <c r="D51" s="789"/>
      <c r="E51" s="508"/>
      <c r="F51" s="423">
        <v>3000</v>
      </c>
      <c r="G51" s="790"/>
      <c r="H51" s="790"/>
      <c r="I51" s="790"/>
      <c r="J51" s="516">
        <f t="shared" si="13"/>
        <v>0</v>
      </c>
      <c r="K51" s="512"/>
      <c r="L51" s="510">
        <f t="shared" si="12"/>
        <v>0</v>
      </c>
      <c r="M51" s="802"/>
      <c r="N51" s="510">
        <f t="shared" si="11"/>
        <v>0</v>
      </c>
      <c r="O51" s="511">
        <f t="shared" si="8"/>
        <v>0</v>
      </c>
      <c r="P51" s="511">
        <f t="shared" si="9"/>
        <v>0</v>
      </c>
      <c r="Q51" s="799">
        <f t="shared" si="10"/>
        <v>0</v>
      </c>
    </row>
    <row r="52" spans="1:17" ht="12.75" customHeight="1" thickBot="1">
      <c r="A52" s="791"/>
      <c r="B52" s="792"/>
      <c r="C52" s="792"/>
      <c r="D52" s="793"/>
      <c r="E52" s="794"/>
      <c r="F52" s="795" t="s">
        <v>416</v>
      </c>
      <c r="G52" s="796"/>
      <c r="H52" s="796"/>
      <c r="I52" s="796"/>
      <c r="J52" s="583">
        <f t="shared" si="13"/>
        <v>0</v>
      </c>
      <c r="K52" s="797"/>
      <c r="L52" s="513">
        <f t="shared" si="12"/>
        <v>0</v>
      </c>
      <c r="M52" s="803"/>
      <c r="N52" s="513">
        <f t="shared" si="11"/>
        <v>0</v>
      </c>
      <c r="O52" s="798">
        <f t="shared" si="8"/>
        <v>0</v>
      </c>
      <c r="P52" s="798">
        <f t="shared" si="9"/>
        <v>0</v>
      </c>
      <c r="Q52" s="800">
        <f t="shared" si="10"/>
        <v>0</v>
      </c>
    </row>
    <row r="53" spans="1:17" ht="18.75" customHeight="1">
      <c r="A53" s="1378" t="s">
        <v>417</v>
      </c>
      <c r="B53" s="1379"/>
      <c r="C53" s="1379"/>
      <c r="D53" s="1379"/>
      <c r="E53" s="1380"/>
      <c r="F53" s="1384">
        <v>3000</v>
      </c>
      <c r="G53" s="1385"/>
      <c r="H53" s="1385"/>
      <c r="I53" s="1385"/>
      <c r="J53" s="1386"/>
      <c r="K53" s="514">
        <f>K35+K37+K39+K41+K43+K45+K47+K49+K51</f>
        <v>0</v>
      </c>
      <c r="L53" s="514">
        <f t="shared" ref="L53:Q53" si="14">L35+L37+L39+L41+L43+L45+L47+L49+L51</f>
        <v>0</v>
      </c>
      <c r="M53" s="514">
        <f t="shared" si="14"/>
        <v>0</v>
      </c>
      <c r="N53" s="514">
        <f t="shared" si="14"/>
        <v>0</v>
      </c>
      <c r="O53" s="514">
        <f t="shared" si="14"/>
        <v>0</v>
      </c>
      <c r="P53" s="514">
        <f t="shared" si="14"/>
        <v>0</v>
      </c>
      <c r="Q53" s="515">
        <f t="shared" si="14"/>
        <v>0</v>
      </c>
    </row>
    <row r="54" spans="1:17" ht="18.75" customHeight="1" thickBot="1">
      <c r="A54" s="1381"/>
      <c r="B54" s="1382"/>
      <c r="C54" s="1382"/>
      <c r="D54" s="1382"/>
      <c r="E54" s="1383"/>
      <c r="F54" s="1387" t="s">
        <v>416</v>
      </c>
      <c r="G54" s="1388"/>
      <c r="H54" s="1388"/>
      <c r="I54" s="1388"/>
      <c r="J54" s="1389"/>
      <c r="K54" s="807">
        <f>K36+K38+K40+K42+K44+K46+K48+K50+K52</f>
        <v>0</v>
      </c>
      <c r="L54" s="807">
        <f t="shared" ref="L54:Q54" si="15">L36+L38+L40+L42+L44+L46+L48+L50+L52</f>
        <v>0</v>
      </c>
      <c r="M54" s="807">
        <f t="shared" si="15"/>
        <v>0</v>
      </c>
      <c r="N54" s="807">
        <f t="shared" si="15"/>
        <v>0</v>
      </c>
      <c r="O54" s="807">
        <f t="shared" si="15"/>
        <v>0</v>
      </c>
      <c r="P54" s="807">
        <f t="shared" si="15"/>
        <v>0</v>
      </c>
      <c r="Q54" s="808">
        <f t="shared" si="15"/>
        <v>0</v>
      </c>
    </row>
    <row r="55" spans="1:17" ht="18.75" customHeight="1" thickBot="1">
      <c r="A55" s="811"/>
      <c r="B55" s="811"/>
      <c r="C55" s="811"/>
      <c r="D55" s="811"/>
      <c r="E55" s="811"/>
      <c r="F55" s="741"/>
      <c r="G55" s="741"/>
      <c r="H55" s="741"/>
      <c r="I55" s="741"/>
      <c r="J55" s="741"/>
      <c r="K55" s="812"/>
      <c r="L55" s="812"/>
      <c r="M55" s="812"/>
      <c r="N55" s="812"/>
      <c r="O55" s="812"/>
      <c r="P55" s="812"/>
      <c r="Q55" s="812"/>
    </row>
    <row r="56" spans="1:17" ht="18.75" customHeight="1">
      <c r="A56" s="483" t="s">
        <v>400</v>
      </c>
      <c r="B56" s="1384" t="s">
        <v>401</v>
      </c>
      <c r="C56" s="1386"/>
      <c r="D56" s="1384" t="s">
        <v>402</v>
      </c>
      <c r="E56" s="1386"/>
      <c r="F56" s="1398" t="s">
        <v>3</v>
      </c>
      <c r="G56" s="1398"/>
      <c r="H56" s="1398"/>
      <c r="I56" s="1398"/>
      <c r="J56" s="1398"/>
      <c r="K56" s="484" t="s">
        <v>403</v>
      </c>
      <c r="L56" s="739" t="s">
        <v>404</v>
      </c>
      <c r="M56" s="1399"/>
      <c r="N56" s="1399"/>
      <c r="O56" s="1399"/>
      <c r="P56" s="1385" t="s">
        <v>405</v>
      </c>
      <c r="Q56" s="1400"/>
    </row>
    <row r="57" spans="1:17" ht="29.25" customHeight="1" thickBot="1">
      <c r="A57" s="485"/>
      <c r="B57" s="486" t="s">
        <v>406</v>
      </c>
      <c r="C57" s="487" t="s">
        <v>407</v>
      </c>
      <c r="D57" s="487" t="s">
        <v>408</v>
      </c>
      <c r="E57" s="487" t="s">
        <v>409</v>
      </c>
      <c r="F57" s="488" t="s">
        <v>403</v>
      </c>
      <c r="G57" s="488"/>
      <c r="H57" s="488"/>
      <c r="I57" s="488"/>
      <c r="J57" s="489" t="s">
        <v>410</v>
      </c>
      <c r="K57" s="490" t="s">
        <v>411</v>
      </c>
      <c r="L57" s="491"/>
      <c r="M57" s="492" t="s">
        <v>403</v>
      </c>
      <c r="N57" s="492" t="s">
        <v>412</v>
      </c>
      <c r="O57" s="493" t="s">
        <v>404</v>
      </c>
      <c r="P57" s="493" t="s">
        <v>403</v>
      </c>
      <c r="Q57" s="494" t="s">
        <v>404</v>
      </c>
    </row>
    <row r="58" spans="1:17">
      <c r="A58" s="496"/>
      <c r="B58" s="497"/>
      <c r="C58" s="498"/>
      <c r="D58" s="498"/>
      <c r="E58" s="499"/>
      <c r="F58" s="499"/>
      <c r="G58" s="500" t="s">
        <v>413</v>
      </c>
      <c r="H58" s="500" t="s">
        <v>414</v>
      </c>
      <c r="I58" s="500" t="s">
        <v>415</v>
      </c>
      <c r="J58" s="501"/>
      <c r="K58" s="502"/>
      <c r="L58" s="503"/>
      <c r="M58" s="1375" t="s">
        <v>385</v>
      </c>
      <c r="N58" s="1376"/>
      <c r="O58" s="1377"/>
      <c r="P58" s="504"/>
      <c r="Q58" s="505"/>
    </row>
    <row r="59" spans="1:17" ht="12.75" customHeight="1">
      <c r="A59" s="506"/>
      <c r="B59" s="507"/>
      <c r="C59" s="507"/>
      <c r="D59" s="789"/>
      <c r="E59" s="508"/>
      <c r="F59" s="423">
        <v>3000</v>
      </c>
      <c r="G59" s="790"/>
      <c r="H59" s="790"/>
      <c r="I59" s="790"/>
      <c r="J59" s="516">
        <f t="shared" ref="J59:J65" si="16">1/100*(G59+(H59*I59))</f>
        <v>0</v>
      </c>
      <c r="K59" s="509"/>
      <c r="L59" s="510">
        <f>ROUND(J59*K59,2)</f>
        <v>0</v>
      </c>
      <c r="M59" s="801"/>
      <c r="N59" s="510">
        <f>+M59</f>
        <v>0</v>
      </c>
      <c r="O59" s="511">
        <f t="shared" ref="O59:O76" si="17">N59*J59</f>
        <v>0</v>
      </c>
      <c r="P59" s="511">
        <f t="shared" ref="P59:P76" si="18">K59+N59</f>
        <v>0</v>
      </c>
      <c r="Q59" s="799">
        <f t="shared" ref="Q59:Q76" si="19">L59+O59</f>
        <v>0</v>
      </c>
    </row>
    <row r="60" spans="1:17" ht="12.75" customHeight="1">
      <c r="A60" s="506"/>
      <c r="B60" s="507"/>
      <c r="C60" s="507"/>
      <c r="D60" s="789"/>
      <c r="E60" s="508"/>
      <c r="F60" s="423" t="s">
        <v>416</v>
      </c>
      <c r="G60" s="790"/>
      <c r="H60" s="790"/>
      <c r="I60" s="790"/>
      <c r="J60" s="516">
        <f t="shared" si="16"/>
        <v>0</v>
      </c>
      <c r="K60" s="512"/>
      <c r="L60" s="510">
        <f>ROUND(J60*K60,2)</f>
        <v>0</v>
      </c>
      <c r="M60" s="802"/>
      <c r="N60" s="510">
        <f t="shared" ref="N60:N76" si="20">+M60</f>
        <v>0</v>
      </c>
      <c r="O60" s="511">
        <f t="shared" si="17"/>
        <v>0</v>
      </c>
      <c r="P60" s="511">
        <f t="shared" si="18"/>
        <v>0</v>
      </c>
      <c r="Q60" s="799">
        <f t="shared" si="19"/>
        <v>0</v>
      </c>
    </row>
    <row r="61" spans="1:17" ht="12.75" customHeight="1">
      <c r="A61" s="506"/>
      <c r="B61" s="507"/>
      <c r="C61" s="507"/>
      <c r="D61" s="789"/>
      <c r="E61" s="508"/>
      <c r="F61" s="423">
        <v>3000</v>
      </c>
      <c r="G61" s="790"/>
      <c r="H61" s="790"/>
      <c r="I61" s="790"/>
      <c r="J61" s="516">
        <f t="shared" si="16"/>
        <v>0</v>
      </c>
      <c r="K61" s="512"/>
      <c r="L61" s="510">
        <f>ROUND(J61*K61,2)</f>
        <v>0</v>
      </c>
      <c r="M61" s="802"/>
      <c r="N61" s="510">
        <f t="shared" si="20"/>
        <v>0</v>
      </c>
      <c r="O61" s="511">
        <f t="shared" si="17"/>
        <v>0</v>
      </c>
      <c r="P61" s="511">
        <f t="shared" si="18"/>
        <v>0</v>
      </c>
      <c r="Q61" s="799">
        <f t="shared" si="19"/>
        <v>0</v>
      </c>
    </row>
    <row r="62" spans="1:17" ht="12.75" customHeight="1">
      <c r="A62" s="506"/>
      <c r="B62" s="507"/>
      <c r="C62" s="507"/>
      <c r="D62" s="789"/>
      <c r="E62" s="508"/>
      <c r="F62" s="423" t="s">
        <v>416</v>
      </c>
      <c r="G62" s="790"/>
      <c r="H62" s="790"/>
      <c r="I62" s="790"/>
      <c r="J62" s="516">
        <f t="shared" si="16"/>
        <v>0</v>
      </c>
      <c r="K62" s="512"/>
      <c r="L62" s="510">
        <f>ROUND(J62*K62,2)</f>
        <v>0</v>
      </c>
      <c r="M62" s="802"/>
      <c r="N62" s="510">
        <f t="shared" si="20"/>
        <v>0</v>
      </c>
      <c r="O62" s="511">
        <f t="shared" si="17"/>
        <v>0</v>
      </c>
      <c r="P62" s="511">
        <f t="shared" si="18"/>
        <v>0</v>
      </c>
      <c r="Q62" s="799">
        <f t="shared" si="19"/>
        <v>0</v>
      </c>
    </row>
    <row r="63" spans="1:17" ht="12.75" customHeight="1">
      <c r="A63" s="506"/>
      <c r="B63" s="507"/>
      <c r="C63" s="507"/>
      <c r="D63" s="789"/>
      <c r="E63" s="508"/>
      <c r="F63" s="423">
        <v>3000</v>
      </c>
      <c r="G63" s="790"/>
      <c r="H63" s="790"/>
      <c r="I63" s="790"/>
      <c r="J63" s="516">
        <f t="shared" si="16"/>
        <v>0</v>
      </c>
      <c r="K63" s="512"/>
      <c r="L63" s="510">
        <f>ROUND(J63*K63,2)</f>
        <v>0</v>
      </c>
      <c r="M63" s="802"/>
      <c r="N63" s="510">
        <f t="shared" si="20"/>
        <v>0</v>
      </c>
      <c r="O63" s="511">
        <f t="shared" si="17"/>
        <v>0</v>
      </c>
      <c r="P63" s="511">
        <f t="shared" si="18"/>
        <v>0</v>
      </c>
      <c r="Q63" s="799">
        <f t="shared" si="19"/>
        <v>0</v>
      </c>
    </row>
    <row r="64" spans="1:17" ht="12.75" customHeight="1">
      <c r="A64" s="506"/>
      <c r="B64" s="507"/>
      <c r="C64" s="507"/>
      <c r="D64" s="789"/>
      <c r="E64" s="508"/>
      <c r="F64" s="423" t="s">
        <v>416</v>
      </c>
      <c r="G64" s="790"/>
      <c r="H64" s="790"/>
      <c r="I64" s="790"/>
      <c r="J64" s="516">
        <f t="shared" si="16"/>
        <v>0</v>
      </c>
      <c r="K64" s="512"/>
      <c r="L64" s="510">
        <f t="shared" ref="L64:L76" si="21">ROUND(J64*K64,2)</f>
        <v>0</v>
      </c>
      <c r="M64" s="802"/>
      <c r="N64" s="510">
        <f t="shared" si="20"/>
        <v>0</v>
      </c>
      <c r="O64" s="511">
        <f t="shared" si="17"/>
        <v>0</v>
      </c>
      <c r="P64" s="511">
        <f t="shared" si="18"/>
        <v>0</v>
      </c>
      <c r="Q64" s="799">
        <f t="shared" si="19"/>
        <v>0</v>
      </c>
    </row>
    <row r="65" spans="1:17" ht="12.75" customHeight="1">
      <c r="A65" s="506"/>
      <c r="B65" s="507"/>
      <c r="C65" s="507"/>
      <c r="D65" s="789"/>
      <c r="E65" s="508"/>
      <c r="F65" s="423">
        <v>3000</v>
      </c>
      <c r="G65" s="790"/>
      <c r="H65" s="790"/>
      <c r="I65" s="790"/>
      <c r="J65" s="516">
        <f t="shared" si="16"/>
        <v>0</v>
      </c>
      <c r="K65" s="512"/>
      <c r="L65" s="510">
        <f t="shared" si="21"/>
        <v>0</v>
      </c>
      <c r="M65" s="802"/>
      <c r="N65" s="510">
        <f t="shared" si="20"/>
        <v>0</v>
      </c>
      <c r="O65" s="511">
        <f t="shared" si="17"/>
        <v>0</v>
      </c>
      <c r="P65" s="511">
        <f t="shared" si="18"/>
        <v>0</v>
      </c>
      <c r="Q65" s="799">
        <f t="shared" si="19"/>
        <v>0</v>
      </c>
    </row>
    <row r="66" spans="1:17" ht="12.75" customHeight="1">
      <c r="A66" s="506"/>
      <c r="B66" s="507"/>
      <c r="C66" s="507"/>
      <c r="D66" s="789"/>
      <c r="E66" s="508"/>
      <c r="F66" s="423" t="s">
        <v>416</v>
      </c>
      <c r="G66" s="790"/>
      <c r="H66" s="790"/>
      <c r="I66" s="790"/>
      <c r="J66" s="516">
        <f>1/100*(G66+(H66*I66))</f>
        <v>0</v>
      </c>
      <c r="K66" s="512"/>
      <c r="L66" s="510">
        <f t="shared" si="21"/>
        <v>0</v>
      </c>
      <c r="M66" s="802"/>
      <c r="N66" s="510">
        <f t="shared" si="20"/>
        <v>0</v>
      </c>
      <c r="O66" s="511">
        <f t="shared" si="17"/>
        <v>0</v>
      </c>
      <c r="P66" s="511">
        <f t="shared" si="18"/>
        <v>0</v>
      </c>
      <c r="Q66" s="799">
        <f t="shared" si="19"/>
        <v>0</v>
      </c>
    </row>
    <row r="67" spans="1:17" ht="12.75" customHeight="1">
      <c r="A67" s="506"/>
      <c r="B67" s="507"/>
      <c r="C67" s="507"/>
      <c r="D67" s="789"/>
      <c r="E67" s="508"/>
      <c r="F67" s="423">
        <v>3000</v>
      </c>
      <c r="G67" s="790"/>
      <c r="H67" s="790"/>
      <c r="I67" s="790"/>
      <c r="J67" s="516">
        <f>1/100*(G67+(H67*I67))</f>
        <v>0</v>
      </c>
      <c r="K67" s="512"/>
      <c r="L67" s="510">
        <f t="shared" si="21"/>
        <v>0</v>
      </c>
      <c r="M67" s="802"/>
      <c r="N67" s="510">
        <f t="shared" si="20"/>
        <v>0</v>
      </c>
      <c r="O67" s="511">
        <f t="shared" si="17"/>
        <v>0</v>
      </c>
      <c r="P67" s="511">
        <f t="shared" si="18"/>
        <v>0</v>
      </c>
      <c r="Q67" s="799">
        <f t="shared" si="19"/>
        <v>0</v>
      </c>
    </row>
    <row r="68" spans="1:17" ht="12.75" customHeight="1">
      <c r="A68" s="506"/>
      <c r="B68" s="507"/>
      <c r="C68" s="507"/>
      <c r="D68" s="789"/>
      <c r="E68" s="508"/>
      <c r="F68" s="423" t="s">
        <v>416</v>
      </c>
      <c r="G68" s="790"/>
      <c r="H68" s="790"/>
      <c r="I68" s="790"/>
      <c r="J68" s="516">
        <f>1/100*(G68+(H68*I68))</f>
        <v>0</v>
      </c>
      <c r="K68" s="512"/>
      <c r="L68" s="510">
        <f t="shared" si="21"/>
        <v>0</v>
      </c>
      <c r="M68" s="802"/>
      <c r="N68" s="510">
        <f t="shared" si="20"/>
        <v>0</v>
      </c>
      <c r="O68" s="511">
        <f t="shared" si="17"/>
        <v>0</v>
      </c>
      <c r="P68" s="511">
        <f t="shared" si="18"/>
        <v>0</v>
      </c>
      <c r="Q68" s="799">
        <f t="shared" si="19"/>
        <v>0</v>
      </c>
    </row>
    <row r="69" spans="1:17" ht="12.75" customHeight="1">
      <c r="A69" s="506"/>
      <c r="B69" s="507"/>
      <c r="C69" s="507"/>
      <c r="D69" s="789"/>
      <c r="E69" s="508"/>
      <c r="F69" s="423">
        <v>3000</v>
      </c>
      <c r="G69" s="790"/>
      <c r="H69" s="790"/>
      <c r="I69" s="790"/>
      <c r="J69" s="516">
        <f>1/100*(G69+(H69*I69))</f>
        <v>0</v>
      </c>
      <c r="K69" s="512"/>
      <c r="L69" s="510">
        <f t="shared" si="21"/>
        <v>0</v>
      </c>
      <c r="M69" s="802"/>
      <c r="N69" s="510">
        <f t="shared" si="20"/>
        <v>0</v>
      </c>
      <c r="O69" s="511">
        <f t="shared" si="17"/>
        <v>0</v>
      </c>
      <c r="P69" s="511">
        <f t="shared" si="18"/>
        <v>0</v>
      </c>
      <c r="Q69" s="799">
        <f t="shared" si="19"/>
        <v>0</v>
      </c>
    </row>
    <row r="70" spans="1:17" ht="12.75" customHeight="1">
      <c r="A70" s="506"/>
      <c r="B70" s="507"/>
      <c r="C70" s="507"/>
      <c r="D70" s="789"/>
      <c r="E70" s="508"/>
      <c r="F70" s="423" t="s">
        <v>416</v>
      </c>
      <c r="G70" s="790"/>
      <c r="H70" s="790"/>
      <c r="I70" s="790"/>
      <c r="J70" s="516">
        <f t="shared" ref="J70:J76" si="22">1/100*(G70+(H70*I70))</f>
        <v>0</v>
      </c>
      <c r="K70" s="512"/>
      <c r="L70" s="510">
        <f t="shared" si="21"/>
        <v>0</v>
      </c>
      <c r="M70" s="802"/>
      <c r="N70" s="510">
        <f t="shared" si="20"/>
        <v>0</v>
      </c>
      <c r="O70" s="511">
        <f t="shared" si="17"/>
        <v>0</v>
      </c>
      <c r="P70" s="511">
        <f t="shared" si="18"/>
        <v>0</v>
      </c>
      <c r="Q70" s="799">
        <f t="shared" si="19"/>
        <v>0</v>
      </c>
    </row>
    <row r="71" spans="1:17" ht="12.75" customHeight="1">
      <c r="A71" s="506"/>
      <c r="B71" s="507"/>
      <c r="C71" s="507"/>
      <c r="D71" s="789"/>
      <c r="E71" s="508"/>
      <c r="F71" s="423">
        <v>3000</v>
      </c>
      <c r="G71" s="790"/>
      <c r="H71" s="790"/>
      <c r="I71" s="790"/>
      <c r="J71" s="516">
        <f t="shared" si="22"/>
        <v>0</v>
      </c>
      <c r="K71" s="512"/>
      <c r="L71" s="510">
        <f t="shared" si="21"/>
        <v>0</v>
      </c>
      <c r="M71" s="802"/>
      <c r="N71" s="510">
        <f t="shared" si="20"/>
        <v>0</v>
      </c>
      <c r="O71" s="511">
        <f t="shared" si="17"/>
        <v>0</v>
      </c>
      <c r="P71" s="511">
        <f t="shared" si="18"/>
        <v>0</v>
      </c>
      <c r="Q71" s="799">
        <f t="shared" si="19"/>
        <v>0</v>
      </c>
    </row>
    <row r="72" spans="1:17" ht="12.75" customHeight="1">
      <c r="A72" s="506"/>
      <c r="B72" s="507"/>
      <c r="C72" s="507"/>
      <c r="D72" s="789"/>
      <c r="E72" s="508"/>
      <c r="F72" s="423" t="s">
        <v>416</v>
      </c>
      <c r="G72" s="790"/>
      <c r="H72" s="790"/>
      <c r="I72" s="790"/>
      <c r="J72" s="516">
        <f t="shared" si="22"/>
        <v>0</v>
      </c>
      <c r="K72" s="512"/>
      <c r="L72" s="510">
        <f t="shared" si="21"/>
        <v>0</v>
      </c>
      <c r="M72" s="802"/>
      <c r="N72" s="510">
        <f t="shared" si="20"/>
        <v>0</v>
      </c>
      <c r="O72" s="511">
        <f t="shared" si="17"/>
        <v>0</v>
      </c>
      <c r="P72" s="511">
        <f t="shared" si="18"/>
        <v>0</v>
      </c>
      <c r="Q72" s="799">
        <f t="shared" si="19"/>
        <v>0</v>
      </c>
    </row>
    <row r="73" spans="1:17" ht="12.75" customHeight="1">
      <c r="A73" s="506"/>
      <c r="B73" s="507"/>
      <c r="C73" s="507"/>
      <c r="D73" s="789"/>
      <c r="E73" s="508"/>
      <c r="F73" s="423">
        <v>3000</v>
      </c>
      <c r="G73" s="790"/>
      <c r="H73" s="790"/>
      <c r="I73" s="790"/>
      <c r="J73" s="516">
        <f t="shared" si="22"/>
        <v>0</v>
      </c>
      <c r="K73" s="512"/>
      <c r="L73" s="510">
        <f t="shared" si="21"/>
        <v>0</v>
      </c>
      <c r="M73" s="802"/>
      <c r="N73" s="510">
        <f t="shared" si="20"/>
        <v>0</v>
      </c>
      <c r="O73" s="511">
        <f t="shared" si="17"/>
        <v>0</v>
      </c>
      <c r="P73" s="511">
        <f t="shared" si="18"/>
        <v>0</v>
      </c>
      <c r="Q73" s="799">
        <f t="shared" si="19"/>
        <v>0</v>
      </c>
    </row>
    <row r="74" spans="1:17" ht="12.75" customHeight="1">
      <c r="A74" s="506"/>
      <c r="B74" s="507"/>
      <c r="C74" s="507"/>
      <c r="D74" s="789"/>
      <c r="E74" s="508"/>
      <c r="F74" s="423" t="s">
        <v>416</v>
      </c>
      <c r="G74" s="790"/>
      <c r="H74" s="790"/>
      <c r="I74" s="790"/>
      <c r="J74" s="516">
        <f t="shared" si="22"/>
        <v>0</v>
      </c>
      <c r="K74" s="512"/>
      <c r="L74" s="510">
        <f t="shared" si="21"/>
        <v>0</v>
      </c>
      <c r="M74" s="802"/>
      <c r="N74" s="510">
        <f t="shared" si="20"/>
        <v>0</v>
      </c>
      <c r="O74" s="511">
        <f t="shared" si="17"/>
        <v>0</v>
      </c>
      <c r="P74" s="511">
        <f t="shared" si="18"/>
        <v>0</v>
      </c>
      <c r="Q74" s="799">
        <f t="shared" si="19"/>
        <v>0</v>
      </c>
    </row>
    <row r="75" spans="1:17" ht="12.75" customHeight="1">
      <c r="A75" s="506"/>
      <c r="B75" s="507"/>
      <c r="C75" s="507"/>
      <c r="D75" s="789"/>
      <c r="E75" s="508"/>
      <c r="F75" s="423">
        <v>3000</v>
      </c>
      <c r="G75" s="790"/>
      <c r="H75" s="790"/>
      <c r="I75" s="790"/>
      <c r="J75" s="516">
        <f t="shared" si="22"/>
        <v>0</v>
      </c>
      <c r="K75" s="512"/>
      <c r="L75" s="510">
        <f t="shared" si="21"/>
        <v>0</v>
      </c>
      <c r="M75" s="802"/>
      <c r="N75" s="510">
        <f t="shared" si="20"/>
        <v>0</v>
      </c>
      <c r="O75" s="511">
        <f t="shared" si="17"/>
        <v>0</v>
      </c>
      <c r="P75" s="511">
        <f t="shared" si="18"/>
        <v>0</v>
      </c>
      <c r="Q75" s="799">
        <f t="shared" si="19"/>
        <v>0</v>
      </c>
    </row>
    <row r="76" spans="1:17" ht="12.75" customHeight="1" thickBot="1">
      <c r="A76" s="791"/>
      <c r="B76" s="792"/>
      <c r="C76" s="792"/>
      <c r="D76" s="793"/>
      <c r="E76" s="794"/>
      <c r="F76" s="795" t="s">
        <v>416</v>
      </c>
      <c r="G76" s="796"/>
      <c r="H76" s="796"/>
      <c r="I76" s="796"/>
      <c r="J76" s="583">
        <f t="shared" si="22"/>
        <v>0</v>
      </c>
      <c r="K76" s="797"/>
      <c r="L76" s="513">
        <f t="shared" si="21"/>
        <v>0</v>
      </c>
      <c r="M76" s="803"/>
      <c r="N76" s="513">
        <f t="shared" si="20"/>
        <v>0</v>
      </c>
      <c r="O76" s="798">
        <f t="shared" si="17"/>
        <v>0</v>
      </c>
      <c r="P76" s="798">
        <f t="shared" si="18"/>
        <v>0</v>
      </c>
      <c r="Q76" s="800">
        <f t="shared" si="19"/>
        <v>0</v>
      </c>
    </row>
    <row r="77" spans="1:17" ht="12.75" customHeight="1">
      <c r="A77" s="1378" t="s">
        <v>417</v>
      </c>
      <c r="B77" s="1379"/>
      <c r="C77" s="1379"/>
      <c r="D77" s="1379"/>
      <c r="E77" s="1380"/>
      <c r="F77" s="1384">
        <v>3000</v>
      </c>
      <c r="G77" s="1385"/>
      <c r="H77" s="1385"/>
      <c r="I77" s="1385"/>
      <c r="J77" s="1386"/>
      <c r="K77" s="514">
        <f>K59+K61+K63+K65+K67+K69+K71+K73+K75</f>
        <v>0</v>
      </c>
      <c r="L77" s="514">
        <f t="shared" ref="L77:Q77" si="23">L59+L61+L63+L65+L67+L69+L71+L73+L75</f>
        <v>0</v>
      </c>
      <c r="M77" s="514">
        <f t="shared" si="23"/>
        <v>0</v>
      </c>
      <c r="N77" s="514">
        <f t="shared" si="23"/>
        <v>0</v>
      </c>
      <c r="O77" s="514">
        <f t="shared" si="23"/>
        <v>0</v>
      </c>
      <c r="P77" s="514">
        <f t="shared" si="23"/>
        <v>0</v>
      </c>
      <c r="Q77" s="515">
        <f t="shared" si="23"/>
        <v>0</v>
      </c>
    </row>
    <row r="78" spans="1:17" ht="12.75" customHeight="1" thickBot="1">
      <c r="A78" s="1381"/>
      <c r="B78" s="1382"/>
      <c r="C78" s="1382"/>
      <c r="D78" s="1382"/>
      <c r="E78" s="1383"/>
      <c r="F78" s="1387" t="s">
        <v>416</v>
      </c>
      <c r="G78" s="1388"/>
      <c r="H78" s="1388"/>
      <c r="I78" s="1388"/>
      <c r="J78" s="1389"/>
      <c r="K78" s="807">
        <f>K60+K62+K64+K66++K68+K70+K72+K74+K76</f>
        <v>0</v>
      </c>
      <c r="L78" s="807">
        <f t="shared" ref="L78:Q78" si="24">L60+L62+L64+L66++L68+L70+L72+L74+L76</f>
        <v>0</v>
      </c>
      <c r="M78" s="807">
        <f t="shared" si="24"/>
        <v>0</v>
      </c>
      <c r="N78" s="807">
        <f t="shared" si="24"/>
        <v>0</v>
      </c>
      <c r="O78" s="807">
        <f t="shared" si="24"/>
        <v>0</v>
      </c>
      <c r="P78" s="807">
        <f t="shared" si="24"/>
        <v>0</v>
      </c>
      <c r="Q78" s="808">
        <f t="shared" si="24"/>
        <v>0</v>
      </c>
    </row>
    <row r="79" spans="1:17" ht="12.75" customHeight="1" thickBot="1">
      <c r="A79" s="811"/>
      <c r="B79" s="811"/>
      <c r="C79" s="811"/>
      <c r="D79" s="811"/>
      <c r="E79" s="811"/>
      <c r="F79" s="741"/>
      <c r="G79" s="741"/>
      <c r="H79" s="741"/>
      <c r="I79" s="741"/>
      <c r="J79" s="741"/>
      <c r="K79" s="812"/>
      <c r="L79" s="812"/>
      <c r="M79" s="812"/>
      <c r="N79" s="812"/>
      <c r="O79" s="812"/>
      <c r="P79" s="812"/>
      <c r="Q79" s="812"/>
    </row>
    <row r="80" spans="1:17" ht="12.75" customHeight="1">
      <c r="A80" s="483" t="s">
        <v>400</v>
      </c>
      <c r="B80" s="1384" t="s">
        <v>401</v>
      </c>
      <c r="C80" s="1386"/>
      <c r="D80" s="1384" t="s">
        <v>402</v>
      </c>
      <c r="E80" s="1386"/>
      <c r="F80" s="1398" t="s">
        <v>3</v>
      </c>
      <c r="G80" s="1398"/>
      <c r="H80" s="1398"/>
      <c r="I80" s="1398"/>
      <c r="J80" s="1398"/>
      <c r="K80" s="484" t="s">
        <v>403</v>
      </c>
      <c r="L80" s="739" t="s">
        <v>404</v>
      </c>
      <c r="M80" s="1399"/>
      <c r="N80" s="1399"/>
      <c r="O80" s="1399"/>
      <c r="P80" s="1385" t="s">
        <v>405</v>
      </c>
      <c r="Q80" s="1400"/>
    </row>
    <row r="81" spans="1:17" ht="25.5" customHeight="1" thickBot="1">
      <c r="A81" s="485"/>
      <c r="B81" s="486" t="s">
        <v>406</v>
      </c>
      <c r="C81" s="487" t="s">
        <v>407</v>
      </c>
      <c r="D81" s="487" t="s">
        <v>408</v>
      </c>
      <c r="E81" s="487" t="s">
        <v>409</v>
      </c>
      <c r="F81" s="488" t="s">
        <v>403</v>
      </c>
      <c r="G81" s="488"/>
      <c r="H81" s="488"/>
      <c r="I81" s="488"/>
      <c r="J81" s="489" t="s">
        <v>410</v>
      </c>
      <c r="K81" s="490" t="s">
        <v>411</v>
      </c>
      <c r="L81" s="491"/>
      <c r="M81" s="492" t="s">
        <v>403</v>
      </c>
      <c r="N81" s="492" t="s">
        <v>412</v>
      </c>
      <c r="O81" s="493" t="s">
        <v>404</v>
      </c>
      <c r="P81" s="493" t="s">
        <v>403</v>
      </c>
      <c r="Q81" s="494" t="s">
        <v>404</v>
      </c>
    </row>
    <row r="82" spans="1:17">
      <c r="A82" s="496"/>
      <c r="B82" s="497"/>
      <c r="C82" s="498"/>
      <c r="D82" s="498"/>
      <c r="E82" s="499"/>
      <c r="F82" s="499"/>
      <c r="G82" s="500" t="s">
        <v>413</v>
      </c>
      <c r="H82" s="500" t="s">
        <v>414</v>
      </c>
      <c r="I82" s="500" t="s">
        <v>415</v>
      </c>
      <c r="J82" s="501"/>
      <c r="K82" s="502"/>
      <c r="L82" s="503"/>
      <c r="M82" s="1375" t="s">
        <v>385</v>
      </c>
      <c r="N82" s="1376"/>
      <c r="O82" s="1377"/>
      <c r="P82" s="504"/>
      <c r="Q82" s="505"/>
    </row>
    <row r="83" spans="1:17">
      <c r="A83" s="506"/>
      <c r="B83" s="507"/>
      <c r="C83" s="507"/>
      <c r="D83" s="789"/>
      <c r="E83" s="508"/>
      <c r="F83" s="423">
        <v>3000</v>
      </c>
      <c r="G83" s="790"/>
      <c r="H83" s="790"/>
      <c r="I83" s="790"/>
      <c r="J83" s="516">
        <f t="shared" ref="J83:J89" si="25">1/100*(G83+(H83*I83))</f>
        <v>0</v>
      </c>
      <c r="K83" s="509"/>
      <c r="L83" s="510">
        <f>ROUND(J83*K83,2)</f>
        <v>0</v>
      </c>
      <c r="M83" s="801"/>
      <c r="N83" s="510">
        <f>+M83</f>
        <v>0</v>
      </c>
      <c r="O83" s="511">
        <f t="shared" ref="O83:O100" si="26">N83*J83</f>
        <v>0</v>
      </c>
      <c r="P83" s="511">
        <f t="shared" ref="P83:P100" si="27">K83+N83</f>
        <v>0</v>
      </c>
      <c r="Q83" s="799">
        <f t="shared" ref="Q83:Q100" si="28">L83+O83</f>
        <v>0</v>
      </c>
    </row>
    <row r="84" spans="1:17">
      <c r="A84" s="506"/>
      <c r="B84" s="507"/>
      <c r="C84" s="507"/>
      <c r="D84" s="789"/>
      <c r="E84" s="508"/>
      <c r="F84" s="423" t="s">
        <v>416</v>
      </c>
      <c r="G84" s="790"/>
      <c r="H84" s="790"/>
      <c r="I84" s="790"/>
      <c r="J84" s="516">
        <f t="shared" si="25"/>
        <v>0</v>
      </c>
      <c r="K84" s="512"/>
      <c r="L84" s="510">
        <f>ROUND(J84*K84,2)</f>
        <v>0</v>
      </c>
      <c r="M84" s="802"/>
      <c r="N84" s="510">
        <f t="shared" ref="N84:N100" si="29">+M84</f>
        <v>0</v>
      </c>
      <c r="O84" s="511">
        <f t="shared" si="26"/>
        <v>0</v>
      </c>
      <c r="P84" s="511">
        <f t="shared" si="27"/>
        <v>0</v>
      </c>
      <c r="Q84" s="799">
        <f t="shared" si="28"/>
        <v>0</v>
      </c>
    </row>
    <row r="85" spans="1:17">
      <c r="A85" s="506"/>
      <c r="B85" s="507"/>
      <c r="C85" s="507"/>
      <c r="D85" s="789"/>
      <c r="E85" s="508"/>
      <c r="F85" s="423">
        <v>3000</v>
      </c>
      <c r="G85" s="790"/>
      <c r="H85" s="790"/>
      <c r="I85" s="790"/>
      <c r="J85" s="516">
        <f t="shared" si="25"/>
        <v>0</v>
      </c>
      <c r="K85" s="512"/>
      <c r="L85" s="510">
        <f>ROUND(J85*K85,2)</f>
        <v>0</v>
      </c>
      <c r="M85" s="802"/>
      <c r="N85" s="510">
        <f t="shared" si="29"/>
        <v>0</v>
      </c>
      <c r="O85" s="511">
        <f t="shared" si="26"/>
        <v>0</v>
      </c>
      <c r="P85" s="511">
        <f t="shared" si="27"/>
        <v>0</v>
      </c>
      <c r="Q85" s="799">
        <f t="shared" si="28"/>
        <v>0</v>
      </c>
    </row>
    <row r="86" spans="1:17">
      <c r="A86" s="506"/>
      <c r="B86" s="507"/>
      <c r="C86" s="507"/>
      <c r="D86" s="789"/>
      <c r="E86" s="508"/>
      <c r="F86" s="423" t="s">
        <v>416</v>
      </c>
      <c r="G86" s="790"/>
      <c r="H86" s="790"/>
      <c r="I86" s="790"/>
      <c r="J86" s="516">
        <f t="shared" si="25"/>
        <v>0</v>
      </c>
      <c r="K86" s="512"/>
      <c r="L86" s="510">
        <f>ROUND(J86*K86,2)</f>
        <v>0</v>
      </c>
      <c r="M86" s="802"/>
      <c r="N86" s="510">
        <f t="shared" si="29"/>
        <v>0</v>
      </c>
      <c r="O86" s="511">
        <f t="shared" si="26"/>
        <v>0</v>
      </c>
      <c r="P86" s="511">
        <f t="shared" si="27"/>
        <v>0</v>
      </c>
      <c r="Q86" s="799">
        <f t="shared" si="28"/>
        <v>0</v>
      </c>
    </row>
    <row r="87" spans="1:17">
      <c r="A87" s="506"/>
      <c r="B87" s="507"/>
      <c r="C87" s="507"/>
      <c r="D87" s="789"/>
      <c r="E87" s="508"/>
      <c r="F87" s="423">
        <v>3000</v>
      </c>
      <c r="G87" s="790"/>
      <c r="H87" s="790"/>
      <c r="I87" s="790"/>
      <c r="J87" s="516">
        <f t="shared" si="25"/>
        <v>0</v>
      </c>
      <c r="K87" s="512"/>
      <c r="L87" s="510">
        <f>ROUND(J87*K87,2)</f>
        <v>0</v>
      </c>
      <c r="M87" s="802"/>
      <c r="N87" s="510">
        <f t="shared" si="29"/>
        <v>0</v>
      </c>
      <c r="O87" s="511">
        <f t="shared" si="26"/>
        <v>0</v>
      </c>
      <c r="P87" s="511">
        <f t="shared" si="27"/>
        <v>0</v>
      </c>
      <c r="Q87" s="799">
        <f t="shared" si="28"/>
        <v>0</v>
      </c>
    </row>
    <row r="88" spans="1:17">
      <c r="A88" s="506"/>
      <c r="B88" s="507"/>
      <c r="C88" s="507"/>
      <c r="D88" s="789"/>
      <c r="E88" s="508"/>
      <c r="F88" s="423" t="s">
        <v>416</v>
      </c>
      <c r="G88" s="790"/>
      <c r="H88" s="790"/>
      <c r="I88" s="790"/>
      <c r="J88" s="516">
        <f t="shared" si="25"/>
        <v>0</v>
      </c>
      <c r="K88" s="512"/>
      <c r="L88" s="510">
        <f t="shared" ref="L88:L100" si="30">ROUND(J88*K88,2)</f>
        <v>0</v>
      </c>
      <c r="M88" s="802"/>
      <c r="N88" s="510">
        <f t="shared" si="29"/>
        <v>0</v>
      </c>
      <c r="O88" s="511">
        <f t="shared" si="26"/>
        <v>0</v>
      </c>
      <c r="P88" s="511">
        <f t="shared" si="27"/>
        <v>0</v>
      </c>
      <c r="Q88" s="799">
        <f t="shared" si="28"/>
        <v>0</v>
      </c>
    </row>
    <row r="89" spans="1:17">
      <c r="A89" s="506"/>
      <c r="B89" s="507"/>
      <c r="C89" s="507"/>
      <c r="D89" s="789"/>
      <c r="E89" s="508"/>
      <c r="F89" s="423">
        <v>3000</v>
      </c>
      <c r="G89" s="790"/>
      <c r="H89" s="790"/>
      <c r="I89" s="790"/>
      <c r="J89" s="516">
        <f t="shared" si="25"/>
        <v>0</v>
      </c>
      <c r="K89" s="512"/>
      <c r="L89" s="510">
        <f t="shared" si="30"/>
        <v>0</v>
      </c>
      <c r="M89" s="802"/>
      <c r="N89" s="510">
        <f t="shared" si="29"/>
        <v>0</v>
      </c>
      <c r="O89" s="511">
        <f t="shared" si="26"/>
        <v>0</v>
      </c>
      <c r="P89" s="511">
        <f t="shared" si="27"/>
        <v>0</v>
      </c>
      <c r="Q89" s="799">
        <f t="shared" si="28"/>
        <v>0</v>
      </c>
    </row>
    <row r="90" spans="1:17">
      <c r="A90" s="506"/>
      <c r="B90" s="507"/>
      <c r="C90" s="507"/>
      <c r="D90" s="789"/>
      <c r="E90" s="508"/>
      <c r="F90" s="423" t="s">
        <v>416</v>
      </c>
      <c r="G90" s="790"/>
      <c r="H90" s="790"/>
      <c r="I90" s="790"/>
      <c r="J90" s="516">
        <f>1/100*(G90+(H90*I90))</f>
        <v>0</v>
      </c>
      <c r="K90" s="512"/>
      <c r="L90" s="510">
        <f t="shared" si="30"/>
        <v>0</v>
      </c>
      <c r="M90" s="802"/>
      <c r="N90" s="510">
        <f t="shared" si="29"/>
        <v>0</v>
      </c>
      <c r="O90" s="511">
        <f t="shared" si="26"/>
        <v>0</v>
      </c>
      <c r="P90" s="511">
        <f t="shared" si="27"/>
        <v>0</v>
      </c>
      <c r="Q90" s="799">
        <f t="shared" si="28"/>
        <v>0</v>
      </c>
    </row>
    <row r="91" spans="1:17">
      <c r="A91" s="506"/>
      <c r="B91" s="507"/>
      <c r="C91" s="507"/>
      <c r="D91" s="789"/>
      <c r="E91" s="508"/>
      <c r="F91" s="423">
        <v>3000</v>
      </c>
      <c r="G91" s="790"/>
      <c r="H91" s="790"/>
      <c r="I91" s="790"/>
      <c r="J91" s="516">
        <f>1/100*(G91+(H91*I91))</f>
        <v>0</v>
      </c>
      <c r="K91" s="512"/>
      <c r="L91" s="510">
        <f t="shared" si="30"/>
        <v>0</v>
      </c>
      <c r="M91" s="802"/>
      <c r="N91" s="510">
        <f t="shared" si="29"/>
        <v>0</v>
      </c>
      <c r="O91" s="511">
        <f t="shared" si="26"/>
        <v>0</v>
      </c>
      <c r="P91" s="511">
        <f t="shared" si="27"/>
        <v>0</v>
      </c>
      <c r="Q91" s="799">
        <f t="shared" si="28"/>
        <v>0</v>
      </c>
    </row>
    <row r="92" spans="1:17">
      <c r="A92" s="506"/>
      <c r="B92" s="507"/>
      <c r="C92" s="507"/>
      <c r="D92" s="789"/>
      <c r="E92" s="508"/>
      <c r="F92" s="423" t="s">
        <v>416</v>
      </c>
      <c r="G92" s="790"/>
      <c r="H92" s="790"/>
      <c r="I92" s="790"/>
      <c r="J92" s="516">
        <f>1/100*(G92+(H92*I92))</f>
        <v>0</v>
      </c>
      <c r="K92" s="512"/>
      <c r="L92" s="510">
        <f t="shared" si="30"/>
        <v>0</v>
      </c>
      <c r="M92" s="802"/>
      <c r="N92" s="510">
        <f t="shared" si="29"/>
        <v>0</v>
      </c>
      <c r="O92" s="511">
        <f t="shared" si="26"/>
        <v>0</v>
      </c>
      <c r="P92" s="511">
        <f t="shared" si="27"/>
        <v>0</v>
      </c>
      <c r="Q92" s="799">
        <f t="shared" si="28"/>
        <v>0</v>
      </c>
    </row>
    <row r="93" spans="1:17">
      <c r="A93" s="506"/>
      <c r="B93" s="507"/>
      <c r="C93" s="507"/>
      <c r="D93" s="789"/>
      <c r="E93" s="508"/>
      <c r="F93" s="423">
        <v>3000</v>
      </c>
      <c r="G93" s="790"/>
      <c r="H93" s="790"/>
      <c r="I93" s="790"/>
      <c r="J93" s="516">
        <f>1/100*(G93+(H93*I93))</f>
        <v>0</v>
      </c>
      <c r="K93" s="512"/>
      <c r="L93" s="510">
        <f t="shared" si="30"/>
        <v>0</v>
      </c>
      <c r="M93" s="802"/>
      <c r="N93" s="510">
        <f t="shared" si="29"/>
        <v>0</v>
      </c>
      <c r="O93" s="511">
        <f t="shared" si="26"/>
        <v>0</v>
      </c>
      <c r="P93" s="511">
        <f t="shared" si="27"/>
        <v>0</v>
      </c>
      <c r="Q93" s="799">
        <f t="shared" si="28"/>
        <v>0</v>
      </c>
    </row>
    <row r="94" spans="1:17">
      <c r="A94" s="506"/>
      <c r="B94" s="507"/>
      <c r="C94" s="507"/>
      <c r="D94" s="789"/>
      <c r="E94" s="508"/>
      <c r="F94" s="423" t="s">
        <v>416</v>
      </c>
      <c r="G94" s="790"/>
      <c r="H94" s="790"/>
      <c r="I94" s="790"/>
      <c r="J94" s="516">
        <f t="shared" ref="J94:J100" si="31">1/100*(G94+(H94*I94))</f>
        <v>0</v>
      </c>
      <c r="K94" s="512"/>
      <c r="L94" s="510">
        <f t="shared" si="30"/>
        <v>0</v>
      </c>
      <c r="M94" s="802"/>
      <c r="N94" s="510">
        <f t="shared" si="29"/>
        <v>0</v>
      </c>
      <c r="O94" s="511">
        <f t="shared" si="26"/>
        <v>0</v>
      </c>
      <c r="P94" s="511">
        <f t="shared" si="27"/>
        <v>0</v>
      </c>
      <c r="Q94" s="799">
        <f t="shared" si="28"/>
        <v>0</v>
      </c>
    </row>
    <row r="95" spans="1:17">
      <c r="A95" s="506"/>
      <c r="B95" s="507"/>
      <c r="C95" s="507"/>
      <c r="D95" s="789"/>
      <c r="E95" s="508"/>
      <c r="F95" s="423">
        <v>3000</v>
      </c>
      <c r="G95" s="790"/>
      <c r="H95" s="790"/>
      <c r="I95" s="790"/>
      <c r="J95" s="516">
        <f t="shared" si="31"/>
        <v>0</v>
      </c>
      <c r="K95" s="512"/>
      <c r="L95" s="510">
        <f t="shared" si="30"/>
        <v>0</v>
      </c>
      <c r="M95" s="802"/>
      <c r="N95" s="510">
        <f t="shared" si="29"/>
        <v>0</v>
      </c>
      <c r="O95" s="511">
        <f t="shared" si="26"/>
        <v>0</v>
      </c>
      <c r="P95" s="511">
        <f t="shared" si="27"/>
        <v>0</v>
      </c>
      <c r="Q95" s="799">
        <f t="shared" si="28"/>
        <v>0</v>
      </c>
    </row>
    <row r="96" spans="1:17">
      <c r="A96" s="506"/>
      <c r="B96" s="507"/>
      <c r="C96" s="507"/>
      <c r="D96" s="789"/>
      <c r="E96" s="508"/>
      <c r="F96" s="423" t="s">
        <v>416</v>
      </c>
      <c r="G96" s="790"/>
      <c r="H96" s="790"/>
      <c r="I96" s="790"/>
      <c r="J96" s="516">
        <f t="shared" si="31"/>
        <v>0</v>
      </c>
      <c r="K96" s="512"/>
      <c r="L96" s="510">
        <f t="shared" si="30"/>
        <v>0</v>
      </c>
      <c r="M96" s="802"/>
      <c r="N96" s="510">
        <f t="shared" si="29"/>
        <v>0</v>
      </c>
      <c r="O96" s="511">
        <f t="shared" si="26"/>
        <v>0</v>
      </c>
      <c r="P96" s="511">
        <f t="shared" si="27"/>
        <v>0</v>
      </c>
      <c r="Q96" s="799">
        <f t="shared" si="28"/>
        <v>0</v>
      </c>
    </row>
    <row r="97" spans="1:17">
      <c r="A97" s="506"/>
      <c r="B97" s="507"/>
      <c r="C97" s="507"/>
      <c r="D97" s="789"/>
      <c r="E97" s="508"/>
      <c r="F97" s="423">
        <v>3000</v>
      </c>
      <c r="G97" s="790"/>
      <c r="H97" s="790"/>
      <c r="I97" s="790"/>
      <c r="J97" s="516">
        <f t="shared" si="31"/>
        <v>0</v>
      </c>
      <c r="K97" s="512"/>
      <c r="L97" s="510">
        <f t="shared" si="30"/>
        <v>0</v>
      </c>
      <c r="M97" s="802"/>
      <c r="N97" s="510">
        <f t="shared" si="29"/>
        <v>0</v>
      </c>
      <c r="O97" s="511">
        <f t="shared" si="26"/>
        <v>0</v>
      </c>
      <c r="P97" s="511">
        <f t="shared" si="27"/>
        <v>0</v>
      </c>
      <c r="Q97" s="799">
        <f t="shared" si="28"/>
        <v>0</v>
      </c>
    </row>
    <row r="98" spans="1:17">
      <c r="A98" s="506"/>
      <c r="B98" s="507"/>
      <c r="C98" s="507"/>
      <c r="D98" s="789"/>
      <c r="E98" s="508"/>
      <c r="F98" s="423" t="s">
        <v>416</v>
      </c>
      <c r="G98" s="790"/>
      <c r="H98" s="790"/>
      <c r="I98" s="790"/>
      <c r="J98" s="516">
        <f t="shared" si="31"/>
        <v>0</v>
      </c>
      <c r="K98" s="512"/>
      <c r="L98" s="510">
        <f t="shared" si="30"/>
        <v>0</v>
      </c>
      <c r="M98" s="802"/>
      <c r="N98" s="510">
        <f t="shared" si="29"/>
        <v>0</v>
      </c>
      <c r="O98" s="511">
        <f t="shared" si="26"/>
        <v>0</v>
      </c>
      <c r="P98" s="511">
        <f t="shared" si="27"/>
        <v>0</v>
      </c>
      <c r="Q98" s="799">
        <f t="shared" si="28"/>
        <v>0</v>
      </c>
    </row>
    <row r="99" spans="1:17">
      <c r="A99" s="506"/>
      <c r="B99" s="507"/>
      <c r="C99" s="507"/>
      <c r="D99" s="789"/>
      <c r="E99" s="508"/>
      <c r="F99" s="423">
        <v>3000</v>
      </c>
      <c r="G99" s="790"/>
      <c r="H99" s="790"/>
      <c r="I99" s="790"/>
      <c r="J99" s="516">
        <f t="shared" si="31"/>
        <v>0</v>
      </c>
      <c r="K99" s="512"/>
      <c r="L99" s="510">
        <f t="shared" si="30"/>
        <v>0</v>
      </c>
      <c r="M99" s="802"/>
      <c r="N99" s="510">
        <f t="shared" si="29"/>
        <v>0</v>
      </c>
      <c r="O99" s="511">
        <f t="shared" si="26"/>
        <v>0</v>
      </c>
      <c r="P99" s="511">
        <f t="shared" si="27"/>
        <v>0</v>
      </c>
      <c r="Q99" s="799">
        <f t="shared" si="28"/>
        <v>0</v>
      </c>
    </row>
    <row r="100" spans="1:17" ht="13.5" thickBot="1">
      <c r="A100" s="791"/>
      <c r="B100" s="792"/>
      <c r="C100" s="792"/>
      <c r="D100" s="793"/>
      <c r="E100" s="794"/>
      <c r="F100" s="795" t="s">
        <v>416</v>
      </c>
      <c r="G100" s="796"/>
      <c r="H100" s="796"/>
      <c r="I100" s="796"/>
      <c r="J100" s="583">
        <f t="shared" si="31"/>
        <v>0</v>
      </c>
      <c r="K100" s="797"/>
      <c r="L100" s="513">
        <f t="shared" si="30"/>
        <v>0</v>
      </c>
      <c r="M100" s="803"/>
      <c r="N100" s="513">
        <f t="shared" si="29"/>
        <v>0</v>
      </c>
      <c r="O100" s="798">
        <f t="shared" si="26"/>
        <v>0</v>
      </c>
      <c r="P100" s="798">
        <f t="shared" si="27"/>
        <v>0</v>
      </c>
      <c r="Q100" s="800">
        <f t="shared" si="28"/>
        <v>0</v>
      </c>
    </row>
    <row r="101" spans="1:17">
      <c r="A101" s="1378" t="s">
        <v>417</v>
      </c>
      <c r="B101" s="1379"/>
      <c r="C101" s="1379"/>
      <c r="D101" s="1379"/>
      <c r="E101" s="1380"/>
      <c r="F101" s="1384">
        <v>3000</v>
      </c>
      <c r="G101" s="1385"/>
      <c r="H101" s="1385"/>
      <c r="I101" s="1385"/>
      <c r="J101" s="1386"/>
      <c r="K101" s="517">
        <f>K83+K85+K87+K89+K91+K93+K95+K97+K99</f>
        <v>0</v>
      </c>
      <c r="L101" s="517">
        <f t="shared" ref="L101:Q101" si="32">L83+L85+L87+L89+L91+L93+L95+L97+L99</f>
        <v>0</v>
      </c>
      <c r="M101" s="517">
        <f t="shared" si="32"/>
        <v>0</v>
      </c>
      <c r="N101" s="517">
        <f t="shared" si="32"/>
        <v>0</v>
      </c>
      <c r="O101" s="517">
        <f t="shared" si="32"/>
        <v>0</v>
      </c>
      <c r="P101" s="517">
        <f t="shared" si="32"/>
        <v>0</v>
      </c>
      <c r="Q101" s="518">
        <f t="shared" si="32"/>
        <v>0</v>
      </c>
    </row>
    <row r="102" spans="1:17" ht="13.5" thickBot="1">
      <c r="A102" s="1381"/>
      <c r="B102" s="1382"/>
      <c r="C102" s="1382"/>
      <c r="D102" s="1382"/>
      <c r="E102" s="1383"/>
      <c r="F102" s="1387" t="s">
        <v>416</v>
      </c>
      <c r="G102" s="1388"/>
      <c r="H102" s="1388"/>
      <c r="I102" s="1388"/>
      <c r="J102" s="1389"/>
      <c r="K102" s="809">
        <f>K84+K86+K88+K90++K92+K94+K96+K98+K100</f>
        <v>0</v>
      </c>
      <c r="L102" s="809">
        <f t="shared" ref="L102:Q102" si="33">L84+L86+L88+L90++L92+L94+L96+L98+L100</f>
        <v>0</v>
      </c>
      <c r="M102" s="809">
        <f t="shared" si="33"/>
        <v>0</v>
      </c>
      <c r="N102" s="809">
        <f t="shared" si="33"/>
        <v>0</v>
      </c>
      <c r="O102" s="809">
        <f t="shared" si="33"/>
        <v>0</v>
      </c>
      <c r="P102" s="809">
        <f t="shared" si="33"/>
        <v>0</v>
      </c>
      <c r="Q102" s="810">
        <f t="shared" si="33"/>
        <v>0</v>
      </c>
    </row>
    <row r="103" spans="1:17" ht="13.5" thickBot="1">
      <c r="A103" s="811"/>
      <c r="B103" s="811"/>
      <c r="C103" s="811"/>
      <c r="D103" s="811"/>
      <c r="E103" s="811"/>
      <c r="F103" s="741"/>
      <c r="G103" s="741"/>
      <c r="H103" s="741"/>
      <c r="I103" s="741"/>
      <c r="J103" s="741"/>
      <c r="K103" s="812"/>
      <c r="L103" s="812"/>
      <c r="M103" s="812"/>
      <c r="N103" s="812"/>
      <c r="O103" s="812"/>
      <c r="P103" s="812"/>
      <c r="Q103" s="812"/>
    </row>
    <row r="104" spans="1:17">
      <c r="A104" s="483" t="s">
        <v>400</v>
      </c>
      <c r="B104" s="1384" t="s">
        <v>401</v>
      </c>
      <c r="C104" s="1386"/>
      <c r="D104" s="1384" t="s">
        <v>402</v>
      </c>
      <c r="E104" s="1386"/>
      <c r="F104" s="1398" t="s">
        <v>3</v>
      </c>
      <c r="G104" s="1398"/>
      <c r="H104" s="1398"/>
      <c r="I104" s="1398"/>
      <c r="J104" s="1398"/>
      <c r="K104" s="484" t="s">
        <v>403</v>
      </c>
      <c r="L104" s="739" t="s">
        <v>404</v>
      </c>
      <c r="M104" s="1399"/>
      <c r="N104" s="1399"/>
      <c r="O104" s="1399"/>
      <c r="P104" s="1385" t="s">
        <v>405</v>
      </c>
      <c r="Q104" s="1400"/>
    </row>
    <row r="105" spans="1:17" ht="26.25" thickBot="1">
      <c r="A105" s="485"/>
      <c r="B105" s="486" t="s">
        <v>406</v>
      </c>
      <c r="C105" s="487" t="s">
        <v>407</v>
      </c>
      <c r="D105" s="487" t="s">
        <v>408</v>
      </c>
      <c r="E105" s="487" t="s">
        <v>409</v>
      </c>
      <c r="F105" s="488" t="s">
        <v>403</v>
      </c>
      <c r="G105" s="488"/>
      <c r="H105" s="488"/>
      <c r="I105" s="488"/>
      <c r="J105" s="489" t="s">
        <v>410</v>
      </c>
      <c r="K105" s="490" t="s">
        <v>411</v>
      </c>
      <c r="L105" s="491"/>
      <c r="M105" s="492" t="s">
        <v>403</v>
      </c>
      <c r="N105" s="492" t="s">
        <v>412</v>
      </c>
      <c r="O105" s="493" t="s">
        <v>404</v>
      </c>
      <c r="P105" s="493" t="s">
        <v>403</v>
      </c>
      <c r="Q105" s="494" t="s">
        <v>404</v>
      </c>
    </row>
    <row r="106" spans="1:17">
      <c r="A106" s="496"/>
      <c r="B106" s="497"/>
      <c r="C106" s="498"/>
      <c r="D106" s="498"/>
      <c r="E106" s="499"/>
      <c r="F106" s="499"/>
      <c r="G106" s="500" t="s">
        <v>413</v>
      </c>
      <c r="H106" s="500" t="s">
        <v>414</v>
      </c>
      <c r="I106" s="500" t="s">
        <v>415</v>
      </c>
      <c r="J106" s="501"/>
      <c r="K106" s="502"/>
      <c r="L106" s="503"/>
      <c r="M106" s="1375" t="s">
        <v>385</v>
      </c>
      <c r="N106" s="1376"/>
      <c r="O106" s="1377"/>
      <c r="P106" s="504"/>
      <c r="Q106" s="505"/>
    </row>
    <row r="107" spans="1:17">
      <c r="A107" s="506"/>
      <c r="B107" s="507"/>
      <c r="C107" s="507"/>
      <c r="D107" s="789"/>
      <c r="E107" s="508"/>
      <c r="F107" s="423">
        <v>3000</v>
      </c>
      <c r="G107" s="790"/>
      <c r="H107" s="790"/>
      <c r="I107" s="790"/>
      <c r="J107" s="516">
        <f t="shared" ref="J107:J113" si="34">1/100*(G107+(H107*I107))</f>
        <v>0</v>
      </c>
      <c r="K107" s="509"/>
      <c r="L107" s="510">
        <f>ROUND(J107*K107,2)</f>
        <v>0</v>
      </c>
      <c r="M107" s="801"/>
      <c r="N107" s="510">
        <f>+M107</f>
        <v>0</v>
      </c>
      <c r="O107" s="511">
        <f t="shared" ref="O107:O124" si="35">N107*J107</f>
        <v>0</v>
      </c>
      <c r="P107" s="511">
        <f t="shared" ref="P107:P124" si="36">K107+N107</f>
        <v>0</v>
      </c>
      <c r="Q107" s="799">
        <f t="shared" ref="Q107:Q124" si="37">L107+O107</f>
        <v>0</v>
      </c>
    </row>
    <row r="108" spans="1:17">
      <c r="A108" s="506"/>
      <c r="B108" s="507"/>
      <c r="C108" s="507"/>
      <c r="D108" s="789"/>
      <c r="E108" s="508"/>
      <c r="F108" s="423" t="s">
        <v>416</v>
      </c>
      <c r="G108" s="790"/>
      <c r="H108" s="790"/>
      <c r="I108" s="790"/>
      <c r="J108" s="516">
        <f t="shared" si="34"/>
        <v>0</v>
      </c>
      <c r="K108" s="512"/>
      <c r="L108" s="510">
        <f>ROUND(J108*K108,2)</f>
        <v>0</v>
      </c>
      <c r="M108" s="802"/>
      <c r="N108" s="510">
        <f t="shared" ref="N108:N124" si="38">+M108</f>
        <v>0</v>
      </c>
      <c r="O108" s="511">
        <f t="shared" si="35"/>
        <v>0</v>
      </c>
      <c r="P108" s="511">
        <f t="shared" si="36"/>
        <v>0</v>
      </c>
      <c r="Q108" s="799">
        <f t="shared" si="37"/>
        <v>0</v>
      </c>
    </row>
    <row r="109" spans="1:17">
      <c r="A109" s="506"/>
      <c r="B109" s="507"/>
      <c r="C109" s="507"/>
      <c r="D109" s="789"/>
      <c r="E109" s="508"/>
      <c r="F109" s="423">
        <v>3000</v>
      </c>
      <c r="G109" s="790"/>
      <c r="H109" s="790"/>
      <c r="I109" s="790"/>
      <c r="J109" s="516">
        <f t="shared" si="34"/>
        <v>0</v>
      </c>
      <c r="K109" s="512"/>
      <c r="L109" s="510">
        <f>ROUND(J109*K109,2)</f>
        <v>0</v>
      </c>
      <c r="M109" s="802"/>
      <c r="N109" s="510">
        <f t="shared" si="38"/>
        <v>0</v>
      </c>
      <c r="O109" s="511">
        <f t="shared" si="35"/>
        <v>0</v>
      </c>
      <c r="P109" s="511">
        <f t="shared" si="36"/>
        <v>0</v>
      </c>
      <c r="Q109" s="799">
        <f t="shared" si="37"/>
        <v>0</v>
      </c>
    </row>
    <row r="110" spans="1:17">
      <c r="A110" s="506"/>
      <c r="B110" s="507"/>
      <c r="C110" s="507"/>
      <c r="D110" s="789"/>
      <c r="E110" s="508"/>
      <c r="F110" s="423" t="s">
        <v>416</v>
      </c>
      <c r="G110" s="790"/>
      <c r="H110" s="790"/>
      <c r="I110" s="790"/>
      <c r="J110" s="516">
        <f t="shared" si="34"/>
        <v>0</v>
      </c>
      <c r="K110" s="512"/>
      <c r="L110" s="510">
        <f>ROUND(J110*K110,2)</f>
        <v>0</v>
      </c>
      <c r="M110" s="802"/>
      <c r="N110" s="510">
        <f t="shared" si="38"/>
        <v>0</v>
      </c>
      <c r="O110" s="511">
        <f t="shared" si="35"/>
        <v>0</v>
      </c>
      <c r="P110" s="511">
        <f t="shared" si="36"/>
        <v>0</v>
      </c>
      <c r="Q110" s="799">
        <f t="shared" si="37"/>
        <v>0</v>
      </c>
    </row>
    <row r="111" spans="1:17">
      <c r="A111" s="506"/>
      <c r="B111" s="507"/>
      <c r="C111" s="507"/>
      <c r="D111" s="789"/>
      <c r="E111" s="508"/>
      <c r="F111" s="423">
        <v>3000</v>
      </c>
      <c r="G111" s="790"/>
      <c r="H111" s="790"/>
      <c r="I111" s="790"/>
      <c r="J111" s="516">
        <f t="shared" si="34"/>
        <v>0</v>
      </c>
      <c r="K111" s="512"/>
      <c r="L111" s="510">
        <f>ROUND(J111*K111,2)</f>
        <v>0</v>
      </c>
      <c r="M111" s="802"/>
      <c r="N111" s="510">
        <f t="shared" si="38"/>
        <v>0</v>
      </c>
      <c r="O111" s="511">
        <f t="shared" si="35"/>
        <v>0</v>
      </c>
      <c r="P111" s="511">
        <f t="shared" si="36"/>
        <v>0</v>
      </c>
      <c r="Q111" s="799">
        <f t="shared" si="37"/>
        <v>0</v>
      </c>
    </row>
    <row r="112" spans="1:17">
      <c r="A112" s="506"/>
      <c r="B112" s="507"/>
      <c r="C112" s="507"/>
      <c r="D112" s="789"/>
      <c r="E112" s="508"/>
      <c r="F112" s="423" t="s">
        <v>416</v>
      </c>
      <c r="G112" s="790"/>
      <c r="H112" s="790"/>
      <c r="I112" s="790"/>
      <c r="J112" s="516">
        <f t="shared" si="34"/>
        <v>0</v>
      </c>
      <c r="K112" s="512"/>
      <c r="L112" s="510">
        <f t="shared" ref="L112:L124" si="39">ROUND(J112*K112,2)</f>
        <v>0</v>
      </c>
      <c r="M112" s="802"/>
      <c r="N112" s="510">
        <f t="shared" si="38"/>
        <v>0</v>
      </c>
      <c r="O112" s="511">
        <f t="shared" si="35"/>
        <v>0</v>
      </c>
      <c r="P112" s="511">
        <f t="shared" si="36"/>
        <v>0</v>
      </c>
      <c r="Q112" s="799">
        <f t="shared" si="37"/>
        <v>0</v>
      </c>
    </row>
    <row r="113" spans="1:17">
      <c r="A113" s="506"/>
      <c r="B113" s="507"/>
      <c r="C113" s="507"/>
      <c r="D113" s="789"/>
      <c r="E113" s="508"/>
      <c r="F113" s="423">
        <v>3000</v>
      </c>
      <c r="G113" s="790"/>
      <c r="H113" s="790"/>
      <c r="I113" s="790"/>
      <c r="J113" s="516">
        <f t="shared" si="34"/>
        <v>0</v>
      </c>
      <c r="K113" s="512"/>
      <c r="L113" s="510">
        <f t="shared" si="39"/>
        <v>0</v>
      </c>
      <c r="M113" s="802"/>
      <c r="N113" s="510">
        <f t="shared" si="38"/>
        <v>0</v>
      </c>
      <c r="O113" s="511">
        <f t="shared" si="35"/>
        <v>0</v>
      </c>
      <c r="P113" s="511">
        <f t="shared" si="36"/>
        <v>0</v>
      </c>
      <c r="Q113" s="799">
        <f t="shared" si="37"/>
        <v>0</v>
      </c>
    </row>
    <row r="114" spans="1:17">
      <c r="A114" s="506"/>
      <c r="B114" s="507"/>
      <c r="C114" s="507"/>
      <c r="D114" s="789"/>
      <c r="E114" s="508"/>
      <c r="F114" s="423" t="s">
        <v>416</v>
      </c>
      <c r="G114" s="790"/>
      <c r="H114" s="790"/>
      <c r="I114" s="790"/>
      <c r="J114" s="516">
        <f>1/100*(G114+(H114*I114))</f>
        <v>0</v>
      </c>
      <c r="K114" s="512"/>
      <c r="L114" s="510">
        <f t="shared" si="39"/>
        <v>0</v>
      </c>
      <c r="M114" s="802"/>
      <c r="N114" s="510">
        <f t="shared" si="38"/>
        <v>0</v>
      </c>
      <c r="O114" s="511">
        <f t="shared" si="35"/>
        <v>0</v>
      </c>
      <c r="P114" s="511">
        <f t="shared" si="36"/>
        <v>0</v>
      </c>
      <c r="Q114" s="799">
        <f t="shared" si="37"/>
        <v>0</v>
      </c>
    </row>
    <row r="115" spans="1:17">
      <c r="A115" s="506"/>
      <c r="B115" s="507"/>
      <c r="C115" s="507"/>
      <c r="D115" s="789"/>
      <c r="E115" s="508"/>
      <c r="F115" s="423">
        <v>3000</v>
      </c>
      <c r="G115" s="790"/>
      <c r="H115" s="790"/>
      <c r="I115" s="790"/>
      <c r="J115" s="516">
        <f>1/100*(G115+(H115*I115))</f>
        <v>0</v>
      </c>
      <c r="K115" s="512"/>
      <c r="L115" s="510">
        <f t="shared" si="39"/>
        <v>0</v>
      </c>
      <c r="M115" s="802"/>
      <c r="N115" s="510">
        <f t="shared" si="38"/>
        <v>0</v>
      </c>
      <c r="O115" s="511">
        <f t="shared" si="35"/>
        <v>0</v>
      </c>
      <c r="P115" s="511">
        <f t="shared" si="36"/>
        <v>0</v>
      </c>
      <c r="Q115" s="799">
        <f t="shared" si="37"/>
        <v>0</v>
      </c>
    </row>
    <row r="116" spans="1:17">
      <c r="A116" s="506"/>
      <c r="B116" s="507"/>
      <c r="C116" s="507"/>
      <c r="D116" s="789"/>
      <c r="E116" s="508"/>
      <c r="F116" s="423" t="s">
        <v>416</v>
      </c>
      <c r="G116" s="790"/>
      <c r="H116" s="790"/>
      <c r="I116" s="790"/>
      <c r="J116" s="516">
        <f>1/100*(G116+(H116*I116))</f>
        <v>0</v>
      </c>
      <c r="K116" s="512"/>
      <c r="L116" s="510">
        <f t="shared" si="39"/>
        <v>0</v>
      </c>
      <c r="M116" s="802"/>
      <c r="N116" s="510">
        <f t="shared" si="38"/>
        <v>0</v>
      </c>
      <c r="O116" s="511">
        <f t="shared" si="35"/>
        <v>0</v>
      </c>
      <c r="P116" s="511">
        <f t="shared" si="36"/>
        <v>0</v>
      </c>
      <c r="Q116" s="799">
        <f t="shared" si="37"/>
        <v>0</v>
      </c>
    </row>
    <row r="117" spans="1:17">
      <c r="A117" s="506"/>
      <c r="B117" s="507"/>
      <c r="C117" s="507"/>
      <c r="D117" s="789"/>
      <c r="E117" s="508"/>
      <c r="F117" s="423">
        <v>3000</v>
      </c>
      <c r="G117" s="790"/>
      <c r="H117" s="790"/>
      <c r="I117" s="790"/>
      <c r="J117" s="516">
        <f>1/100*(G117+(H117*I117))</f>
        <v>0</v>
      </c>
      <c r="K117" s="512"/>
      <c r="L117" s="510">
        <f t="shared" si="39"/>
        <v>0</v>
      </c>
      <c r="M117" s="802"/>
      <c r="N117" s="510">
        <f t="shared" si="38"/>
        <v>0</v>
      </c>
      <c r="O117" s="511">
        <f t="shared" si="35"/>
        <v>0</v>
      </c>
      <c r="P117" s="511">
        <f t="shared" si="36"/>
        <v>0</v>
      </c>
      <c r="Q117" s="799">
        <f t="shared" si="37"/>
        <v>0</v>
      </c>
    </row>
    <row r="118" spans="1:17">
      <c r="A118" s="506"/>
      <c r="B118" s="507"/>
      <c r="C118" s="507"/>
      <c r="D118" s="789"/>
      <c r="E118" s="508"/>
      <c r="F118" s="423" t="s">
        <v>416</v>
      </c>
      <c r="G118" s="790"/>
      <c r="H118" s="790"/>
      <c r="I118" s="790"/>
      <c r="J118" s="516">
        <f t="shared" ref="J118:J124" si="40">1/100*(G118+(H118*I118))</f>
        <v>0</v>
      </c>
      <c r="K118" s="512"/>
      <c r="L118" s="510">
        <f t="shared" si="39"/>
        <v>0</v>
      </c>
      <c r="M118" s="802"/>
      <c r="N118" s="510">
        <f t="shared" si="38"/>
        <v>0</v>
      </c>
      <c r="O118" s="511">
        <f t="shared" si="35"/>
        <v>0</v>
      </c>
      <c r="P118" s="511">
        <f t="shared" si="36"/>
        <v>0</v>
      </c>
      <c r="Q118" s="799">
        <f t="shared" si="37"/>
        <v>0</v>
      </c>
    </row>
    <row r="119" spans="1:17">
      <c r="A119" s="506"/>
      <c r="B119" s="507"/>
      <c r="C119" s="507"/>
      <c r="D119" s="789"/>
      <c r="E119" s="508"/>
      <c r="F119" s="423">
        <v>3000</v>
      </c>
      <c r="G119" s="790"/>
      <c r="H119" s="790"/>
      <c r="I119" s="790"/>
      <c r="J119" s="516">
        <f t="shared" si="40"/>
        <v>0</v>
      </c>
      <c r="K119" s="512"/>
      <c r="L119" s="510">
        <f t="shared" si="39"/>
        <v>0</v>
      </c>
      <c r="M119" s="802"/>
      <c r="N119" s="510">
        <f t="shared" si="38"/>
        <v>0</v>
      </c>
      <c r="O119" s="511">
        <f t="shared" si="35"/>
        <v>0</v>
      </c>
      <c r="P119" s="511">
        <f t="shared" si="36"/>
        <v>0</v>
      </c>
      <c r="Q119" s="799">
        <f t="shared" si="37"/>
        <v>0</v>
      </c>
    </row>
    <row r="120" spans="1:17">
      <c r="A120" s="506"/>
      <c r="B120" s="507"/>
      <c r="C120" s="507"/>
      <c r="D120" s="789"/>
      <c r="E120" s="508"/>
      <c r="F120" s="423" t="s">
        <v>416</v>
      </c>
      <c r="G120" s="790"/>
      <c r="H120" s="790"/>
      <c r="I120" s="790"/>
      <c r="J120" s="516">
        <f t="shared" si="40"/>
        <v>0</v>
      </c>
      <c r="K120" s="512"/>
      <c r="L120" s="510">
        <f t="shared" si="39"/>
        <v>0</v>
      </c>
      <c r="M120" s="802"/>
      <c r="N120" s="510">
        <f t="shared" si="38"/>
        <v>0</v>
      </c>
      <c r="O120" s="511">
        <f t="shared" si="35"/>
        <v>0</v>
      </c>
      <c r="P120" s="511">
        <f t="shared" si="36"/>
        <v>0</v>
      </c>
      <c r="Q120" s="799">
        <f t="shared" si="37"/>
        <v>0</v>
      </c>
    </row>
    <row r="121" spans="1:17">
      <c r="A121" s="506"/>
      <c r="B121" s="507"/>
      <c r="C121" s="507"/>
      <c r="D121" s="789"/>
      <c r="E121" s="508"/>
      <c r="F121" s="423">
        <v>3000</v>
      </c>
      <c r="G121" s="790"/>
      <c r="H121" s="790"/>
      <c r="I121" s="790"/>
      <c r="J121" s="516">
        <f t="shared" si="40"/>
        <v>0</v>
      </c>
      <c r="K121" s="512"/>
      <c r="L121" s="510">
        <f t="shared" si="39"/>
        <v>0</v>
      </c>
      <c r="M121" s="802"/>
      <c r="N121" s="510">
        <f t="shared" si="38"/>
        <v>0</v>
      </c>
      <c r="O121" s="511">
        <f t="shared" si="35"/>
        <v>0</v>
      </c>
      <c r="P121" s="511">
        <f t="shared" si="36"/>
        <v>0</v>
      </c>
      <c r="Q121" s="799">
        <f t="shared" si="37"/>
        <v>0</v>
      </c>
    </row>
    <row r="122" spans="1:17">
      <c r="A122" s="506"/>
      <c r="B122" s="507"/>
      <c r="C122" s="507"/>
      <c r="D122" s="789"/>
      <c r="E122" s="508"/>
      <c r="F122" s="423" t="s">
        <v>416</v>
      </c>
      <c r="G122" s="790"/>
      <c r="H122" s="790"/>
      <c r="I122" s="790"/>
      <c r="J122" s="516">
        <f t="shared" si="40"/>
        <v>0</v>
      </c>
      <c r="K122" s="512"/>
      <c r="L122" s="510">
        <f t="shared" si="39"/>
        <v>0</v>
      </c>
      <c r="M122" s="802"/>
      <c r="N122" s="510">
        <f t="shared" si="38"/>
        <v>0</v>
      </c>
      <c r="O122" s="511">
        <f t="shared" si="35"/>
        <v>0</v>
      </c>
      <c r="P122" s="511">
        <f t="shared" si="36"/>
        <v>0</v>
      </c>
      <c r="Q122" s="799">
        <f t="shared" si="37"/>
        <v>0</v>
      </c>
    </row>
    <row r="123" spans="1:17">
      <c r="A123" s="506"/>
      <c r="B123" s="507"/>
      <c r="C123" s="507"/>
      <c r="D123" s="789"/>
      <c r="E123" s="508"/>
      <c r="F123" s="423">
        <v>3000</v>
      </c>
      <c r="G123" s="790"/>
      <c r="H123" s="790"/>
      <c r="I123" s="790"/>
      <c r="J123" s="516">
        <f t="shared" si="40"/>
        <v>0</v>
      </c>
      <c r="K123" s="512"/>
      <c r="L123" s="510">
        <f t="shared" si="39"/>
        <v>0</v>
      </c>
      <c r="M123" s="802"/>
      <c r="N123" s="510">
        <f t="shared" si="38"/>
        <v>0</v>
      </c>
      <c r="O123" s="511">
        <f t="shared" si="35"/>
        <v>0</v>
      </c>
      <c r="P123" s="511">
        <f t="shared" si="36"/>
        <v>0</v>
      </c>
      <c r="Q123" s="799">
        <f t="shared" si="37"/>
        <v>0</v>
      </c>
    </row>
    <row r="124" spans="1:17" ht="13.5" thickBot="1">
      <c r="A124" s="791"/>
      <c r="B124" s="792"/>
      <c r="C124" s="792"/>
      <c r="D124" s="793"/>
      <c r="E124" s="794"/>
      <c r="F124" s="795" t="s">
        <v>416</v>
      </c>
      <c r="G124" s="796"/>
      <c r="H124" s="796"/>
      <c r="I124" s="796"/>
      <c r="J124" s="583">
        <f t="shared" si="40"/>
        <v>0</v>
      </c>
      <c r="K124" s="797"/>
      <c r="L124" s="513">
        <f t="shared" si="39"/>
        <v>0</v>
      </c>
      <c r="M124" s="803"/>
      <c r="N124" s="513">
        <f t="shared" si="38"/>
        <v>0</v>
      </c>
      <c r="O124" s="798">
        <f t="shared" si="35"/>
        <v>0</v>
      </c>
      <c r="P124" s="798">
        <f t="shared" si="36"/>
        <v>0</v>
      </c>
      <c r="Q124" s="800">
        <f t="shared" si="37"/>
        <v>0</v>
      </c>
    </row>
    <row r="125" spans="1:17">
      <c r="A125" s="1378" t="s">
        <v>417</v>
      </c>
      <c r="B125" s="1379"/>
      <c r="C125" s="1379"/>
      <c r="D125" s="1379"/>
      <c r="E125" s="1380"/>
      <c r="F125" s="1384">
        <v>3000</v>
      </c>
      <c r="G125" s="1385"/>
      <c r="H125" s="1385"/>
      <c r="I125" s="1385"/>
      <c r="J125" s="1386"/>
      <c r="K125" s="514">
        <f>K107+K109+K111+K113+K115+K117+K119+K121+K123</f>
        <v>0</v>
      </c>
      <c r="L125" s="514">
        <f t="shared" ref="L125:Q126" si="41">L107+L109+L111+L113+L115+L117+L119+L121+L123</f>
        <v>0</v>
      </c>
      <c r="M125" s="514">
        <f t="shared" si="41"/>
        <v>0</v>
      </c>
      <c r="N125" s="514">
        <f t="shared" si="41"/>
        <v>0</v>
      </c>
      <c r="O125" s="514">
        <f t="shared" si="41"/>
        <v>0</v>
      </c>
      <c r="P125" s="514">
        <f t="shared" si="41"/>
        <v>0</v>
      </c>
      <c r="Q125" s="515">
        <f t="shared" si="41"/>
        <v>0</v>
      </c>
    </row>
    <row r="126" spans="1:17" ht="13.5" thickBot="1">
      <c r="A126" s="1381"/>
      <c r="B126" s="1382"/>
      <c r="C126" s="1382"/>
      <c r="D126" s="1382"/>
      <c r="E126" s="1383"/>
      <c r="F126" s="1387" t="s">
        <v>416</v>
      </c>
      <c r="G126" s="1388"/>
      <c r="H126" s="1388"/>
      <c r="I126" s="1388"/>
      <c r="J126" s="1389"/>
      <c r="K126" s="807">
        <f>K108+K110+K112+K114+K116+K118+K120+K122+K124</f>
        <v>0</v>
      </c>
      <c r="L126" s="807">
        <f t="shared" si="41"/>
        <v>0</v>
      </c>
      <c r="M126" s="807">
        <f t="shared" si="41"/>
        <v>0</v>
      </c>
      <c r="N126" s="807">
        <f t="shared" si="41"/>
        <v>0</v>
      </c>
      <c r="O126" s="807">
        <f t="shared" si="41"/>
        <v>0</v>
      </c>
      <c r="P126" s="807">
        <f t="shared" si="41"/>
        <v>0</v>
      </c>
      <c r="Q126" s="808">
        <f t="shared" si="41"/>
        <v>0</v>
      </c>
    </row>
    <row r="127" spans="1:17" ht="13.5" thickBot="1">
      <c r="C127" s="742"/>
      <c r="D127" s="742"/>
      <c r="E127" s="804"/>
      <c r="F127" s="742"/>
      <c r="G127" s="742"/>
      <c r="H127" s="742"/>
      <c r="I127" s="742"/>
      <c r="J127" s="805"/>
      <c r="K127" s="806"/>
      <c r="L127" s="806"/>
      <c r="M127" s="806"/>
      <c r="N127" s="806"/>
      <c r="O127" s="806"/>
      <c r="P127" s="806"/>
      <c r="Q127" s="806"/>
    </row>
    <row r="128" spans="1:17" ht="31.5" customHeight="1">
      <c r="A128" s="1393" t="s">
        <v>699</v>
      </c>
      <c r="B128" s="1394"/>
      <c r="C128" s="1394"/>
      <c r="D128" s="1394"/>
      <c r="E128" s="1395"/>
      <c r="F128" s="1390">
        <v>3000</v>
      </c>
      <c r="G128" s="1391"/>
      <c r="H128" s="1391"/>
      <c r="I128" s="1391"/>
      <c r="J128" s="1392"/>
      <c r="K128" s="813">
        <f t="shared" ref="K128:Q128" si="42">SUM(K29+K53+K77+K101+K125)</f>
        <v>0</v>
      </c>
      <c r="L128" s="813">
        <f t="shared" si="42"/>
        <v>0</v>
      </c>
      <c r="M128" s="813">
        <f t="shared" si="42"/>
        <v>0</v>
      </c>
      <c r="N128" s="813">
        <f t="shared" si="42"/>
        <v>0</v>
      </c>
      <c r="O128" s="813">
        <f t="shared" si="42"/>
        <v>0</v>
      </c>
      <c r="P128" s="813">
        <f t="shared" si="42"/>
        <v>0</v>
      </c>
      <c r="Q128" s="814">
        <f t="shared" si="42"/>
        <v>0</v>
      </c>
    </row>
    <row r="129" spans="1:17" ht="31.5" customHeight="1" thickBot="1">
      <c r="A129" s="1369" t="s">
        <v>699</v>
      </c>
      <c r="B129" s="1370"/>
      <c r="C129" s="1370"/>
      <c r="D129" s="1370"/>
      <c r="E129" s="1371"/>
      <c r="F129" s="1372" t="s">
        <v>416</v>
      </c>
      <c r="G129" s="1373"/>
      <c r="H129" s="1373"/>
      <c r="I129" s="1373"/>
      <c r="J129" s="1374"/>
      <c r="K129" s="815">
        <f t="shared" ref="K129:Q129" si="43">K30+K54+K78+K102+K126</f>
        <v>0</v>
      </c>
      <c r="L129" s="815">
        <f t="shared" si="43"/>
        <v>0</v>
      </c>
      <c r="M129" s="815">
        <f t="shared" si="43"/>
        <v>0</v>
      </c>
      <c r="N129" s="815">
        <f t="shared" si="43"/>
        <v>0</v>
      </c>
      <c r="O129" s="815">
        <f t="shared" si="43"/>
        <v>0</v>
      </c>
      <c r="P129" s="815">
        <f t="shared" si="43"/>
        <v>0</v>
      </c>
      <c r="Q129" s="816">
        <f t="shared" si="43"/>
        <v>0</v>
      </c>
    </row>
    <row r="130" spans="1:17">
      <c r="A130" s="519"/>
      <c r="B130" s="520"/>
      <c r="C130" s="520"/>
      <c r="D130" s="520"/>
      <c r="E130" s="520"/>
      <c r="F130" s="520"/>
      <c r="G130" s="520"/>
      <c r="H130" s="520"/>
      <c r="I130" s="520"/>
      <c r="J130" s="521"/>
      <c r="K130" s="522"/>
      <c r="L130" s="522"/>
      <c r="M130" s="522"/>
      <c r="N130" s="522"/>
      <c r="O130" s="522"/>
      <c r="P130" s="522"/>
      <c r="Q130" s="522"/>
    </row>
  </sheetData>
  <mergeCells count="53">
    <mergeCell ref="M80:O80"/>
    <mergeCell ref="P80:Q80"/>
    <mergeCell ref="B104:C104"/>
    <mergeCell ref="D104:E104"/>
    <mergeCell ref="F104:J104"/>
    <mergeCell ref="M104:O104"/>
    <mergeCell ref="P104:Q104"/>
    <mergeCell ref="B80:C80"/>
    <mergeCell ref="D80:E80"/>
    <mergeCell ref="F80:J80"/>
    <mergeCell ref="P32:Q32"/>
    <mergeCell ref="B56:C56"/>
    <mergeCell ref="D56:E56"/>
    <mergeCell ref="F56:J56"/>
    <mergeCell ref="M56:O56"/>
    <mergeCell ref="P56:Q56"/>
    <mergeCell ref="A53:E54"/>
    <mergeCell ref="F53:J53"/>
    <mergeCell ref="F54:J54"/>
    <mergeCell ref="M10:O10"/>
    <mergeCell ref="A29:E30"/>
    <mergeCell ref="F29:J29"/>
    <mergeCell ref="F30:J30"/>
    <mergeCell ref="M34:O34"/>
    <mergeCell ref="B32:C32"/>
    <mergeCell ref="D32:E32"/>
    <mergeCell ref="F32:J32"/>
    <mergeCell ref="M32:O32"/>
    <mergeCell ref="N3:Q3"/>
    <mergeCell ref="A6:Q6"/>
    <mergeCell ref="B8:C8"/>
    <mergeCell ref="D8:E8"/>
    <mergeCell ref="F8:J8"/>
    <mergeCell ref="M8:O8"/>
    <mergeCell ref="P8:Q8"/>
    <mergeCell ref="K3:L3"/>
    <mergeCell ref="H3:I3"/>
    <mergeCell ref="A129:E129"/>
    <mergeCell ref="F129:J129"/>
    <mergeCell ref="M58:O58"/>
    <mergeCell ref="A77:E78"/>
    <mergeCell ref="F77:J77"/>
    <mergeCell ref="F78:J78"/>
    <mergeCell ref="M82:O82"/>
    <mergeCell ref="A101:E102"/>
    <mergeCell ref="F101:J101"/>
    <mergeCell ref="F102:J102"/>
    <mergeCell ref="M106:O106"/>
    <mergeCell ref="A125:E126"/>
    <mergeCell ref="F125:J125"/>
    <mergeCell ref="F126:J126"/>
    <mergeCell ref="F128:J128"/>
    <mergeCell ref="A128:E128"/>
  </mergeCells>
  <pageMargins left="0.23622047244094491" right="0" top="0.27559055118110237" bottom="0.27559055118110237" header="0.11811023622047245" footer="0.11811023622047245"/>
  <pageSetup paperSize="9" scale="76" fitToHeight="0" orientation="landscape" blackAndWhite="1" horizontalDpi="300" verticalDpi="300" r:id="rId1"/>
  <headerFooter alignWithMargins="0">
    <oddHeader>&amp;L&amp;"Calibri"&amp;10&amp;K000000Sensitivity - General&amp;1#</oddHeader>
  </headerFooter>
  <rowBreaks count="1" manualBreakCount="1">
    <brk id="10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0">
    <tabColor theme="9"/>
    <pageSetUpPr fitToPage="1"/>
  </sheetPr>
  <dimension ref="A1:L446"/>
  <sheetViews>
    <sheetView workbookViewId="0"/>
  </sheetViews>
  <sheetFormatPr defaultRowHeight="12.75"/>
  <cols>
    <col min="1" max="1" width="9.42578125" style="314" bestFit="1" customWidth="1"/>
    <col min="2" max="2" width="9.140625" style="314"/>
    <col min="3" max="3" width="12" style="314" bestFit="1" customWidth="1"/>
    <col min="4" max="7" width="9.140625" style="314"/>
    <col min="8" max="8" width="17.28515625" style="314" customWidth="1"/>
    <col min="9" max="9" width="9.7109375" style="314" customWidth="1"/>
    <col min="10" max="10" width="12.7109375" style="314" customWidth="1"/>
    <col min="11" max="11" width="19.5703125" style="314" bestFit="1" customWidth="1"/>
    <col min="12" max="12" width="16.5703125" style="314" bestFit="1" customWidth="1"/>
    <col min="13" max="256" width="9.140625" style="314"/>
    <col min="257" max="257" width="9.42578125" style="314" bestFit="1" customWidth="1"/>
    <col min="258" max="258" width="9.140625" style="314"/>
    <col min="259" max="259" width="12" style="314" bestFit="1" customWidth="1"/>
    <col min="260" max="263" width="9.140625" style="314"/>
    <col min="264" max="264" width="17.28515625" style="314" customWidth="1"/>
    <col min="265" max="265" width="9.7109375" style="314" customWidth="1"/>
    <col min="266" max="266" width="12.7109375" style="314" customWidth="1"/>
    <col min="267" max="267" width="13.42578125" style="314" bestFit="1" customWidth="1"/>
    <col min="268" max="268" width="16.5703125" style="314" bestFit="1" customWidth="1"/>
    <col min="269" max="512" width="9.140625" style="314"/>
    <col min="513" max="513" width="9.42578125" style="314" bestFit="1" customWidth="1"/>
    <col min="514" max="514" width="9.140625" style="314"/>
    <col min="515" max="515" width="12" style="314" bestFit="1" customWidth="1"/>
    <col min="516" max="519" width="9.140625" style="314"/>
    <col min="520" max="520" width="17.28515625" style="314" customWidth="1"/>
    <col min="521" max="521" width="9.7109375" style="314" customWidth="1"/>
    <col min="522" max="522" width="12.7109375" style="314" customWidth="1"/>
    <col min="523" max="523" width="13.42578125" style="314" bestFit="1" customWidth="1"/>
    <col min="524" max="524" width="16.5703125" style="314" bestFit="1" customWidth="1"/>
    <col min="525" max="768" width="9.140625" style="314"/>
    <col min="769" max="769" width="9.42578125" style="314" bestFit="1" customWidth="1"/>
    <col min="770" max="770" width="9.140625" style="314"/>
    <col min="771" max="771" width="12" style="314" bestFit="1" customWidth="1"/>
    <col min="772" max="775" width="9.140625" style="314"/>
    <col min="776" max="776" width="17.28515625" style="314" customWidth="1"/>
    <col min="777" max="777" width="9.7109375" style="314" customWidth="1"/>
    <col min="778" max="778" width="12.7109375" style="314" customWidth="1"/>
    <col min="779" max="779" width="13.42578125" style="314" bestFit="1" customWidth="1"/>
    <col min="780" max="780" width="16.5703125" style="314" bestFit="1" customWidth="1"/>
    <col min="781" max="1024" width="9.140625" style="314"/>
    <col min="1025" max="1025" width="9.42578125" style="314" bestFit="1" customWidth="1"/>
    <col min="1026" max="1026" width="9.140625" style="314"/>
    <col min="1027" max="1027" width="12" style="314" bestFit="1" customWidth="1"/>
    <col min="1028" max="1031" width="9.140625" style="314"/>
    <col min="1032" max="1032" width="17.28515625" style="314" customWidth="1"/>
    <col min="1033" max="1033" width="9.7109375" style="314" customWidth="1"/>
    <col min="1034" max="1034" width="12.7109375" style="314" customWidth="1"/>
    <col min="1035" max="1035" width="13.42578125" style="314" bestFit="1" customWidth="1"/>
    <col min="1036" max="1036" width="16.5703125" style="314" bestFit="1" customWidth="1"/>
    <col min="1037" max="1280" width="9.140625" style="314"/>
    <col min="1281" max="1281" width="9.42578125" style="314" bestFit="1" customWidth="1"/>
    <col min="1282" max="1282" width="9.140625" style="314"/>
    <col min="1283" max="1283" width="12" style="314" bestFit="1" customWidth="1"/>
    <col min="1284" max="1287" width="9.140625" style="314"/>
    <col min="1288" max="1288" width="17.28515625" style="314" customWidth="1"/>
    <col min="1289" max="1289" width="9.7109375" style="314" customWidth="1"/>
    <col min="1290" max="1290" width="12.7109375" style="314" customWidth="1"/>
    <col min="1291" max="1291" width="13.42578125" style="314" bestFit="1" customWidth="1"/>
    <col min="1292" max="1292" width="16.5703125" style="314" bestFit="1" customWidth="1"/>
    <col min="1293" max="1536" width="9.140625" style="314"/>
    <col min="1537" max="1537" width="9.42578125" style="314" bestFit="1" customWidth="1"/>
    <col min="1538" max="1538" width="9.140625" style="314"/>
    <col min="1539" max="1539" width="12" style="314" bestFit="1" customWidth="1"/>
    <col min="1540" max="1543" width="9.140625" style="314"/>
    <col min="1544" max="1544" width="17.28515625" style="314" customWidth="1"/>
    <col min="1545" max="1545" width="9.7109375" style="314" customWidth="1"/>
    <col min="1546" max="1546" width="12.7109375" style="314" customWidth="1"/>
    <col min="1547" max="1547" width="13.42578125" style="314" bestFit="1" customWidth="1"/>
    <col min="1548" max="1548" width="16.5703125" style="314" bestFit="1" customWidth="1"/>
    <col min="1549" max="1792" width="9.140625" style="314"/>
    <col min="1793" max="1793" width="9.42578125" style="314" bestFit="1" customWidth="1"/>
    <col min="1794" max="1794" width="9.140625" style="314"/>
    <col min="1795" max="1795" width="12" style="314" bestFit="1" customWidth="1"/>
    <col min="1796" max="1799" width="9.140625" style="314"/>
    <col min="1800" max="1800" width="17.28515625" style="314" customWidth="1"/>
    <col min="1801" max="1801" width="9.7109375" style="314" customWidth="1"/>
    <col min="1802" max="1802" width="12.7109375" style="314" customWidth="1"/>
    <col min="1803" max="1803" width="13.42578125" style="314" bestFit="1" customWidth="1"/>
    <col min="1804" max="1804" width="16.5703125" style="314" bestFit="1" customWidth="1"/>
    <col min="1805" max="2048" width="9.140625" style="314"/>
    <col min="2049" max="2049" width="9.42578125" style="314" bestFit="1" customWidth="1"/>
    <col min="2050" max="2050" width="9.140625" style="314"/>
    <col min="2051" max="2051" width="12" style="314" bestFit="1" customWidth="1"/>
    <col min="2052" max="2055" width="9.140625" style="314"/>
    <col min="2056" max="2056" width="17.28515625" style="314" customWidth="1"/>
    <col min="2057" max="2057" width="9.7109375" style="314" customWidth="1"/>
    <col min="2058" max="2058" width="12.7109375" style="314" customWidth="1"/>
    <col min="2059" max="2059" width="13.42578125" style="314" bestFit="1" customWidth="1"/>
    <col min="2060" max="2060" width="16.5703125" style="314" bestFit="1" customWidth="1"/>
    <col min="2061" max="2304" width="9.140625" style="314"/>
    <col min="2305" max="2305" width="9.42578125" style="314" bestFit="1" customWidth="1"/>
    <col min="2306" max="2306" width="9.140625" style="314"/>
    <col min="2307" max="2307" width="12" style="314" bestFit="1" customWidth="1"/>
    <col min="2308" max="2311" width="9.140625" style="314"/>
    <col min="2312" max="2312" width="17.28515625" style="314" customWidth="1"/>
    <col min="2313" max="2313" width="9.7109375" style="314" customWidth="1"/>
    <col min="2314" max="2314" width="12.7109375" style="314" customWidth="1"/>
    <col min="2315" max="2315" width="13.42578125" style="314" bestFit="1" customWidth="1"/>
    <col min="2316" max="2316" width="16.5703125" style="314" bestFit="1" customWidth="1"/>
    <col min="2317" max="2560" width="9.140625" style="314"/>
    <col min="2561" max="2561" width="9.42578125" style="314" bestFit="1" customWidth="1"/>
    <col min="2562" max="2562" width="9.140625" style="314"/>
    <col min="2563" max="2563" width="12" style="314" bestFit="1" customWidth="1"/>
    <col min="2564" max="2567" width="9.140625" style="314"/>
    <col min="2568" max="2568" width="17.28515625" style="314" customWidth="1"/>
    <col min="2569" max="2569" width="9.7109375" style="314" customWidth="1"/>
    <col min="2570" max="2570" width="12.7109375" style="314" customWidth="1"/>
    <col min="2571" max="2571" width="13.42578125" style="314" bestFit="1" customWidth="1"/>
    <col min="2572" max="2572" width="16.5703125" style="314" bestFit="1" customWidth="1"/>
    <col min="2573" max="2816" width="9.140625" style="314"/>
    <col min="2817" max="2817" width="9.42578125" style="314" bestFit="1" customWidth="1"/>
    <col min="2818" max="2818" width="9.140625" style="314"/>
    <col min="2819" max="2819" width="12" style="314" bestFit="1" customWidth="1"/>
    <col min="2820" max="2823" width="9.140625" style="314"/>
    <col min="2824" max="2824" width="17.28515625" style="314" customWidth="1"/>
    <col min="2825" max="2825" width="9.7109375" style="314" customWidth="1"/>
    <col min="2826" max="2826" width="12.7109375" style="314" customWidth="1"/>
    <col min="2827" max="2827" width="13.42578125" style="314" bestFit="1" customWidth="1"/>
    <col min="2828" max="2828" width="16.5703125" style="314" bestFit="1" customWidth="1"/>
    <col min="2829" max="3072" width="9.140625" style="314"/>
    <col min="3073" max="3073" width="9.42578125" style="314" bestFit="1" customWidth="1"/>
    <col min="3074" max="3074" width="9.140625" style="314"/>
    <col min="3075" max="3075" width="12" style="314" bestFit="1" customWidth="1"/>
    <col min="3076" max="3079" width="9.140625" style="314"/>
    <col min="3080" max="3080" width="17.28515625" style="314" customWidth="1"/>
    <col min="3081" max="3081" width="9.7109375" style="314" customWidth="1"/>
    <col min="3082" max="3082" width="12.7109375" style="314" customWidth="1"/>
    <col min="3083" max="3083" width="13.42578125" style="314" bestFit="1" customWidth="1"/>
    <col min="3084" max="3084" width="16.5703125" style="314" bestFit="1" customWidth="1"/>
    <col min="3085" max="3328" width="9.140625" style="314"/>
    <col min="3329" max="3329" width="9.42578125" style="314" bestFit="1" customWidth="1"/>
    <col min="3330" max="3330" width="9.140625" style="314"/>
    <col min="3331" max="3331" width="12" style="314" bestFit="1" customWidth="1"/>
    <col min="3332" max="3335" width="9.140625" style="314"/>
    <col min="3336" max="3336" width="17.28515625" style="314" customWidth="1"/>
    <col min="3337" max="3337" width="9.7109375" style="314" customWidth="1"/>
    <col min="3338" max="3338" width="12.7109375" style="314" customWidth="1"/>
    <col min="3339" max="3339" width="13.42578125" style="314" bestFit="1" customWidth="1"/>
    <col min="3340" max="3340" width="16.5703125" style="314" bestFit="1" customWidth="1"/>
    <col min="3341" max="3584" width="9.140625" style="314"/>
    <col min="3585" max="3585" width="9.42578125" style="314" bestFit="1" customWidth="1"/>
    <col min="3586" max="3586" width="9.140625" style="314"/>
    <col min="3587" max="3587" width="12" style="314" bestFit="1" customWidth="1"/>
    <col min="3588" max="3591" width="9.140625" style="314"/>
    <col min="3592" max="3592" width="17.28515625" style="314" customWidth="1"/>
    <col min="3593" max="3593" width="9.7109375" style="314" customWidth="1"/>
    <col min="3594" max="3594" width="12.7109375" style="314" customWidth="1"/>
    <col min="3595" max="3595" width="13.42578125" style="314" bestFit="1" customWidth="1"/>
    <col min="3596" max="3596" width="16.5703125" style="314" bestFit="1" customWidth="1"/>
    <col min="3597" max="3840" width="9.140625" style="314"/>
    <col min="3841" max="3841" width="9.42578125" style="314" bestFit="1" customWidth="1"/>
    <col min="3842" max="3842" width="9.140625" style="314"/>
    <col min="3843" max="3843" width="12" style="314" bestFit="1" customWidth="1"/>
    <col min="3844" max="3847" width="9.140625" style="314"/>
    <col min="3848" max="3848" width="17.28515625" style="314" customWidth="1"/>
    <col min="3849" max="3849" width="9.7109375" style="314" customWidth="1"/>
    <col min="3850" max="3850" width="12.7109375" style="314" customWidth="1"/>
    <col min="3851" max="3851" width="13.42578125" style="314" bestFit="1" customWidth="1"/>
    <col min="3852" max="3852" width="16.5703125" style="314" bestFit="1" customWidth="1"/>
    <col min="3853" max="4096" width="9.140625" style="314"/>
    <col min="4097" max="4097" width="9.42578125" style="314" bestFit="1" customWidth="1"/>
    <col min="4098" max="4098" width="9.140625" style="314"/>
    <col min="4099" max="4099" width="12" style="314" bestFit="1" customWidth="1"/>
    <col min="4100" max="4103" width="9.140625" style="314"/>
    <col min="4104" max="4104" width="17.28515625" style="314" customWidth="1"/>
    <col min="4105" max="4105" width="9.7109375" style="314" customWidth="1"/>
    <col min="4106" max="4106" width="12.7109375" style="314" customWidth="1"/>
    <col min="4107" max="4107" width="13.42578125" style="314" bestFit="1" customWidth="1"/>
    <col min="4108" max="4108" width="16.5703125" style="314" bestFit="1" customWidth="1"/>
    <col min="4109" max="4352" width="9.140625" style="314"/>
    <col min="4353" max="4353" width="9.42578125" style="314" bestFit="1" customWidth="1"/>
    <col min="4354" max="4354" width="9.140625" style="314"/>
    <col min="4355" max="4355" width="12" style="314" bestFit="1" customWidth="1"/>
    <col min="4356" max="4359" width="9.140625" style="314"/>
    <col min="4360" max="4360" width="17.28515625" style="314" customWidth="1"/>
    <col min="4361" max="4361" width="9.7109375" style="314" customWidth="1"/>
    <col min="4362" max="4362" width="12.7109375" style="314" customWidth="1"/>
    <col min="4363" max="4363" width="13.42578125" style="314" bestFit="1" customWidth="1"/>
    <col min="4364" max="4364" width="16.5703125" style="314" bestFit="1" customWidth="1"/>
    <col min="4365" max="4608" width="9.140625" style="314"/>
    <col min="4609" max="4609" width="9.42578125" style="314" bestFit="1" customWidth="1"/>
    <col min="4610" max="4610" width="9.140625" style="314"/>
    <col min="4611" max="4611" width="12" style="314" bestFit="1" customWidth="1"/>
    <col min="4612" max="4615" width="9.140625" style="314"/>
    <col min="4616" max="4616" width="17.28515625" style="314" customWidth="1"/>
    <col min="4617" max="4617" width="9.7109375" style="314" customWidth="1"/>
    <col min="4618" max="4618" width="12.7109375" style="314" customWidth="1"/>
    <col min="4619" max="4619" width="13.42578125" style="314" bestFit="1" customWidth="1"/>
    <col min="4620" max="4620" width="16.5703125" style="314" bestFit="1" customWidth="1"/>
    <col min="4621" max="4864" width="9.140625" style="314"/>
    <col min="4865" max="4865" width="9.42578125" style="314" bestFit="1" customWidth="1"/>
    <col min="4866" max="4866" width="9.140625" style="314"/>
    <col min="4867" max="4867" width="12" style="314" bestFit="1" customWidth="1"/>
    <col min="4868" max="4871" width="9.140625" style="314"/>
    <col min="4872" max="4872" width="17.28515625" style="314" customWidth="1"/>
    <col min="4873" max="4873" width="9.7109375" style="314" customWidth="1"/>
    <col min="4874" max="4874" width="12.7109375" style="314" customWidth="1"/>
    <col min="4875" max="4875" width="13.42578125" style="314" bestFit="1" customWidth="1"/>
    <col min="4876" max="4876" width="16.5703125" style="314" bestFit="1" customWidth="1"/>
    <col min="4877" max="5120" width="9.140625" style="314"/>
    <col min="5121" max="5121" width="9.42578125" style="314" bestFit="1" customWidth="1"/>
    <col min="5122" max="5122" width="9.140625" style="314"/>
    <col min="5123" max="5123" width="12" style="314" bestFit="1" customWidth="1"/>
    <col min="5124" max="5127" width="9.140625" style="314"/>
    <col min="5128" max="5128" width="17.28515625" style="314" customWidth="1"/>
    <col min="5129" max="5129" width="9.7109375" style="314" customWidth="1"/>
    <col min="5130" max="5130" width="12.7109375" style="314" customWidth="1"/>
    <col min="5131" max="5131" width="13.42578125" style="314" bestFit="1" customWidth="1"/>
    <col min="5132" max="5132" width="16.5703125" style="314" bestFit="1" customWidth="1"/>
    <col min="5133" max="5376" width="9.140625" style="314"/>
    <col min="5377" max="5377" width="9.42578125" style="314" bestFit="1" customWidth="1"/>
    <col min="5378" max="5378" width="9.140625" style="314"/>
    <col min="5379" max="5379" width="12" style="314" bestFit="1" customWidth="1"/>
    <col min="5380" max="5383" width="9.140625" style="314"/>
    <col min="5384" max="5384" width="17.28515625" style="314" customWidth="1"/>
    <col min="5385" max="5385" width="9.7109375" style="314" customWidth="1"/>
    <col min="5386" max="5386" width="12.7109375" style="314" customWidth="1"/>
    <col min="5387" max="5387" width="13.42578125" style="314" bestFit="1" customWidth="1"/>
    <col min="5388" max="5388" width="16.5703125" style="314" bestFit="1" customWidth="1"/>
    <col min="5389" max="5632" width="9.140625" style="314"/>
    <col min="5633" max="5633" width="9.42578125" style="314" bestFit="1" customWidth="1"/>
    <col min="5634" max="5634" width="9.140625" style="314"/>
    <col min="5635" max="5635" width="12" style="314" bestFit="1" customWidth="1"/>
    <col min="5636" max="5639" width="9.140625" style="314"/>
    <col min="5640" max="5640" width="17.28515625" style="314" customWidth="1"/>
    <col min="5641" max="5641" width="9.7109375" style="314" customWidth="1"/>
    <col min="5642" max="5642" width="12.7109375" style="314" customWidth="1"/>
    <col min="5643" max="5643" width="13.42578125" style="314" bestFit="1" customWidth="1"/>
    <col min="5644" max="5644" width="16.5703125" style="314" bestFit="1" customWidth="1"/>
    <col min="5645" max="5888" width="9.140625" style="314"/>
    <col min="5889" max="5889" width="9.42578125" style="314" bestFit="1" customWidth="1"/>
    <col min="5890" max="5890" width="9.140625" style="314"/>
    <col min="5891" max="5891" width="12" style="314" bestFit="1" customWidth="1"/>
    <col min="5892" max="5895" width="9.140625" style="314"/>
    <col min="5896" max="5896" width="17.28515625" style="314" customWidth="1"/>
    <col min="5897" max="5897" width="9.7109375" style="314" customWidth="1"/>
    <col min="5898" max="5898" width="12.7109375" style="314" customWidth="1"/>
    <col min="5899" max="5899" width="13.42578125" style="314" bestFit="1" customWidth="1"/>
    <col min="5900" max="5900" width="16.5703125" style="314" bestFit="1" customWidth="1"/>
    <col min="5901" max="6144" width="9.140625" style="314"/>
    <col min="6145" max="6145" width="9.42578125" style="314" bestFit="1" customWidth="1"/>
    <col min="6146" max="6146" width="9.140625" style="314"/>
    <col min="6147" max="6147" width="12" style="314" bestFit="1" customWidth="1"/>
    <col min="6148" max="6151" width="9.140625" style="314"/>
    <col min="6152" max="6152" width="17.28515625" style="314" customWidth="1"/>
    <col min="6153" max="6153" width="9.7109375" style="314" customWidth="1"/>
    <col min="6154" max="6154" width="12.7109375" style="314" customWidth="1"/>
    <col min="6155" max="6155" width="13.42578125" style="314" bestFit="1" customWidth="1"/>
    <col min="6156" max="6156" width="16.5703125" style="314" bestFit="1" customWidth="1"/>
    <col min="6157" max="6400" width="9.140625" style="314"/>
    <col min="6401" max="6401" width="9.42578125" style="314" bestFit="1" customWidth="1"/>
    <col min="6402" max="6402" width="9.140625" style="314"/>
    <col min="6403" max="6403" width="12" style="314" bestFit="1" customWidth="1"/>
    <col min="6404" max="6407" width="9.140625" style="314"/>
    <col min="6408" max="6408" width="17.28515625" style="314" customWidth="1"/>
    <col min="6409" max="6409" width="9.7109375" style="314" customWidth="1"/>
    <col min="6410" max="6410" width="12.7109375" style="314" customWidth="1"/>
    <col min="6411" max="6411" width="13.42578125" style="314" bestFit="1" customWidth="1"/>
    <col min="6412" max="6412" width="16.5703125" style="314" bestFit="1" customWidth="1"/>
    <col min="6413" max="6656" width="9.140625" style="314"/>
    <col min="6657" max="6657" width="9.42578125" style="314" bestFit="1" customWidth="1"/>
    <col min="6658" max="6658" width="9.140625" style="314"/>
    <col min="6659" max="6659" width="12" style="314" bestFit="1" customWidth="1"/>
    <col min="6660" max="6663" width="9.140625" style="314"/>
    <col min="6664" max="6664" width="17.28515625" style="314" customWidth="1"/>
    <col min="6665" max="6665" width="9.7109375" style="314" customWidth="1"/>
    <col min="6666" max="6666" width="12.7109375" style="314" customWidth="1"/>
    <col min="6667" max="6667" width="13.42578125" style="314" bestFit="1" customWidth="1"/>
    <col min="6668" max="6668" width="16.5703125" style="314" bestFit="1" customWidth="1"/>
    <col min="6669" max="6912" width="9.140625" style="314"/>
    <col min="6913" max="6913" width="9.42578125" style="314" bestFit="1" customWidth="1"/>
    <col min="6914" max="6914" width="9.140625" style="314"/>
    <col min="6915" max="6915" width="12" style="314" bestFit="1" customWidth="1"/>
    <col min="6916" max="6919" width="9.140625" style="314"/>
    <col min="6920" max="6920" width="17.28515625" style="314" customWidth="1"/>
    <col min="6921" max="6921" width="9.7109375" style="314" customWidth="1"/>
    <col min="6922" max="6922" width="12.7109375" style="314" customWidth="1"/>
    <col min="6923" max="6923" width="13.42578125" style="314" bestFit="1" customWidth="1"/>
    <col min="6924" max="6924" width="16.5703125" style="314" bestFit="1" customWidth="1"/>
    <col min="6925" max="7168" width="9.140625" style="314"/>
    <col min="7169" max="7169" width="9.42578125" style="314" bestFit="1" customWidth="1"/>
    <col min="7170" max="7170" width="9.140625" style="314"/>
    <col min="7171" max="7171" width="12" style="314" bestFit="1" customWidth="1"/>
    <col min="7172" max="7175" width="9.140625" style="314"/>
    <col min="7176" max="7176" width="17.28515625" style="314" customWidth="1"/>
    <col min="7177" max="7177" width="9.7109375" style="314" customWidth="1"/>
    <col min="7178" max="7178" width="12.7109375" style="314" customWidth="1"/>
    <col min="7179" max="7179" width="13.42578125" style="314" bestFit="1" customWidth="1"/>
    <col min="7180" max="7180" width="16.5703125" style="314" bestFit="1" customWidth="1"/>
    <col min="7181" max="7424" width="9.140625" style="314"/>
    <col min="7425" max="7425" width="9.42578125" style="314" bestFit="1" customWidth="1"/>
    <col min="7426" max="7426" width="9.140625" style="314"/>
    <col min="7427" max="7427" width="12" style="314" bestFit="1" customWidth="1"/>
    <col min="7428" max="7431" width="9.140625" style="314"/>
    <col min="7432" max="7432" width="17.28515625" style="314" customWidth="1"/>
    <col min="7433" max="7433" width="9.7109375" style="314" customWidth="1"/>
    <col min="7434" max="7434" width="12.7109375" style="314" customWidth="1"/>
    <col min="7435" max="7435" width="13.42578125" style="314" bestFit="1" customWidth="1"/>
    <col min="7436" max="7436" width="16.5703125" style="314" bestFit="1" customWidth="1"/>
    <col min="7437" max="7680" width="9.140625" style="314"/>
    <col min="7681" max="7681" width="9.42578125" style="314" bestFit="1" customWidth="1"/>
    <col min="7682" max="7682" width="9.140625" style="314"/>
    <col min="7683" max="7683" width="12" style="314" bestFit="1" customWidth="1"/>
    <col min="7684" max="7687" width="9.140625" style="314"/>
    <col min="7688" max="7688" width="17.28515625" style="314" customWidth="1"/>
    <col min="7689" max="7689" width="9.7109375" style="314" customWidth="1"/>
    <col min="7690" max="7690" width="12.7109375" style="314" customWidth="1"/>
    <col min="7691" max="7691" width="13.42578125" style="314" bestFit="1" customWidth="1"/>
    <col min="7692" max="7692" width="16.5703125" style="314" bestFit="1" customWidth="1"/>
    <col min="7693" max="7936" width="9.140625" style="314"/>
    <col min="7937" max="7937" width="9.42578125" style="314" bestFit="1" customWidth="1"/>
    <col min="7938" max="7938" width="9.140625" style="314"/>
    <col min="7939" max="7939" width="12" style="314" bestFit="1" customWidth="1"/>
    <col min="7940" max="7943" width="9.140625" style="314"/>
    <col min="7944" max="7944" width="17.28515625" style="314" customWidth="1"/>
    <col min="7945" max="7945" width="9.7109375" style="314" customWidth="1"/>
    <col min="7946" max="7946" width="12.7109375" style="314" customWidth="1"/>
    <col min="7947" max="7947" width="13.42578125" style="314" bestFit="1" customWidth="1"/>
    <col min="7948" max="7948" width="16.5703125" style="314" bestFit="1" customWidth="1"/>
    <col min="7949" max="8192" width="9.140625" style="314"/>
    <col min="8193" max="8193" width="9.42578125" style="314" bestFit="1" customWidth="1"/>
    <col min="8194" max="8194" width="9.140625" style="314"/>
    <col min="8195" max="8195" width="12" style="314" bestFit="1" customWidth="1"/>
    <col min="8196" max="8199" width="9.140625" style="314"/>
    <col min="8200" max="8200" width="17.28515625" style="314" customWidth="1"/>
    <col min="8201" max="8201" width="9.7109375" style="314" customWidth="1"/>
    <col min="8202" max="8202" width="12.7109375" style="314" customWidth="1"/>
    <col min="8203" max="8203" width="13.42578125" style="314" bestFit="1" customWidth="1"/>
    <col min="8204" max="8204" width="16.5703125" style="314" bestFit="1" customWidth="1"/>
    <col min="8205" max="8448" width="9.140625" style="314"/>
    <col min="8449" max="8449" width="9.42578125" style="314" bestFit="1" customWidth="1"/>
    <col min="8450" max="8450" width="9.140625" style="314"/>
    <col min="8451" max="8451" width="12" style="314" bestFit="1" customWidth="1"/>
    <col min="8452" max="8455" width="9.140625" style="314"/>
    <col min="8456" max="8456" width="17.28515625" style="314" customWidth="1"/>
    <col min="8457" max="8457" width="9.7109375" style="314" customWidth="1"/>
    <col min="8458" max="8458" width="12.7109375" style="314" customWidth="1"/>
    <col min="8459" max="8459" width="13.42578125" style="314" bestFit="1" customWidth="1"/>
    <col min="8460" max="8460" width="16.5703125" style="314" bestFit="1" customWidth="1"/>
    <col min="8461" max="8704" width="9.140625" style="314"/>
    <col min="8705" max="8705" width="9.42578125" style="314" bestFit="1" customWidth="1"/>
    <col min="8706" max="8706" width="9.140625" style="314"/>
    <col min="8707" max="8707" width="12" style="314" bestFit="1" customWidth="1"/>
    <col min="8708" max="8711" width="9.140625" style="314"/>
    <col min="8712" max="8712" width="17.28515625" style="314" customWidth="1"/>
    <col min="8713" max="8713" width="9.7109375" style="314" customWidth="1"/>
    <col min="8714" max="8714" width="12.7109375" style="314" customWidth="1"/>
    <col min="8715" max="8715" width="13.42578125" style="314" bestFit="1" customWidth="1"/>
    <col min="8716" max="8716" width="16.5703125" style="314" bestFit="1" customWidth="1"/>
    <col min="8717" max="8960" width="9.140625" style="314"/>
    <col min="8961" max="8961" width="9.42578125" style="314" bestFit="1" customWidth="1"/>
    <col min="8962" max="8962" width="9.140625" style="314"/>
    <col min="8963" max="8963" width="12" style="314" bestFit="1" customWidth="1"/>
    <col min="8964" max="8967" width="9.140625" style="314"/>
    <col min="8968" max="8968" width="17.28515625" style="314" customWidth="1"/>
    <col min="8969" max="8969" width="9.7109375" style="314" customWidth="1"/>
    <col min="8970" max="8970" width="12.7109375" style="314" customWidth="1"/>
    <col min="8971" max="8971" width="13.42578125" style="314" bestFit="1" customWidth="1"/>
    <col min="8972" max="8972" width="16.5703125" style="314" bestFit="1" customWidth="1"/>
    <col min="8973" max="9216" width="9.140625" style="314"/>
    <col min="9217" max="9217" width="9.42578125" style="314" bestFit="1" customWidth="1"/>
    <col min="9218" max="9218" width="9.140625" style="314"/>
    <col min="9219" max="9219" width="12" style="314" bestFit="1" customWidth="1"/>
    <col min="9220" max="9223" width="9.140625" style="314"/>
    <col min="9224" max="9224" width="17.28515625" style="314" customWidth="1"/>
    <col min="9225" max="9225" width="9.7109375" style="314" customWidth="1"/>
    <col min="9226" max="9226" width="12.7109375" style="314" customWidth="1"/>
    <col min="9227" max="9227" width="13.42578125" style="314" bestFit="1" customWidth="1"/>
    <col min="9228" max="9228" width="16.5703125" style="314" bestFit="1" customWidth="1"/>
    <col min="9229" max="9472" width="9.140625" style="314"/>
    <col min="9473" max="9473" width="9.42578125" style="314" bestFit="1" customWidth="1"/>
    <col min="9474" max="9474" width="9.140625" style="314"/>
    <col min="9475" max="9475" width="12" style="314" bestFit="1" customWidth="1"/>
    <col min="9476" max="9479" width="9.140625" style="314"/>
    <col min="9480" max="9480" width="17.28515625" style="314" customWidth="1"/>
    <col min="9481" max="9481" width="9.7109375" style="314" customWidth="1"/>
    <col min="9482" max="9482" width="12.7109375" style="314" customWidth="1"/>
    <col min="9483" max="9483" width="13.42578125" style="314" bestFit="1" customWidth="1"/>
    <col min="9484" max="9484" width="16.5703125" style="314" bestFit="1" customWidth="1"/>
    <col min="9485" max="9728" width="9.140625" style="314"/>
    <col min="9729" max="9729" width="9.42578125" style="314" bestFit="1" customWidth="1"/>
    <col min="9730" max="9730" width="9.140625" style="314"/>
    <col min="9731" max="9731" width="12" style="314" bestFit="1" customWidth="1"/>
    <col min="9732" max="9735" width="9.140625" style="314"/>
    <col min="9736" max="9736" width="17.28515625" style="314" customWidth="1"/>
    <col min="9737" max="9737" width="9.7109375" style="314" customWidth="1"/>
    <col min="9738" max="9738" width="12.7109375" style="314" customWidth="1"/>
    <col min="9739" max="9739" width="13.42578125" style="314" bestFit="1" customWidth="1"/>
    <col min="9740" max="9740" width="16.5703125" style="314" bestFit="1" customWidth="1"/>
    <col min="9741" max="9984" width="9.140625" style="314"/>
    <col min="9985" max="9985" width="9.42578125" style="314" bestFit="1" customWidth="1"/>
    <col min="9986" max="9986" width="9.140625" style="314"/>
    <col min="9987" max="9987" width="12" style="314" bestFit="1" customWidth="1"/>
    <col min="9988" max="9991" width="9.140625" style="314"/>
    <col min="9992" max="9992" width="17.28515625" style="314" customWidth="1"/>
    <col min="9993" max="9993" width="9.7109375" style="314" customWidth="1"/>
    <col min="9994" max="9994" width="12.7109375" style="314" customWidth="1"/>
    <col min="9995" max="9995" width="13.42578125" style="314" bestFit="1" customWidth="1"/>
    <col min="9996" max="9996" width="16.5703125" style="314" bestFit="1" customWidth="1"/>
    <col min="9997" max="10240" width="9.140625" style="314"/>
    <col min="10241" max="10241" width="9.42578125" style="314" bestFit="1" customWidth="1"/>
    <col min="10242" max="10242" width="9.140625" style="314"/>
    <col min="10243" max="10243" width="12" style="314" bestFit="1" customWidth="1"/>
    <col min="10244" max="10247" width="9.140625" style="314"/>
    <col min="10248" max="10248" width="17.28515625" style="314" customWidth="1"/>
    <col min="10249" max="10249" width="9.7109375" style="314" customWidth="1"/>
    <col min="10250" max="10250" width="12.7109375" style="314" customWidth="1"/>
    <col min="10251" max="10251" width="13.42578125" style="314" bestFit="1" customWidth="1"/>
    <col min="10252" max="10252" width="16.5703125" style="314" bestFit="1" customWidth="1"/>
    <col min="10253" max="10496" width="9.140625" style="314"/>
    <col min="10497" max="10497" width="9.42578125" style="314" bestFit="1" customWidth="1"/>
    <col min="10498" max="10498" width="9.140625" style="314"/>
    <col min="10499" max="10499" width="12" style="314" bestFit="1" customWidth="1"/>
    <col min="10500" max="10503" width="9.140625" style="314"/>
    <col min="10504" max="10504" width="17.28515625" style="314" customWidth="1"/>
    <col min="10505" max="10505" width="9.7109375" style="314" customWidth="1"/>
    <col min="10506" max="10506" width="12.7109375" style="314" customWidth="1"/>
    <col min="10507" max="10507" width="13.42578125" style="314" bestFit="1" customWidth="1"/>
    <col min="10508" max="10508" width="16.5703125" style="314" bestFit="1" customWidth="1"/>
    <col min="10509" max="10752" width="9.140625" style="314"/>
    <col min="10753" max="10753" width="9.42578125" style="314" bestFit="1" customWidth="1"/>
    <col min="10754" max="10754" width="9.140625" style="314"/>
    <col min="10755" max="10755" width="12" style="314" bestFit="1" customWidth="1"/>
    <col min="10756" max="10759" width="9.140625" style="314"/>
    <col min="10760" max="10760" width="17.28515625" style="314" customWidth="1"/>
    <col min="10761" max="10761" width="9.7109375" style="314" customWidth="1"/>
    <col min="10762" max="10762" width="12.7109375" style="314" customWidth="1"/>
    <col min="10763" max="10763" width="13.42578125" style="314" bestFit="1" customWidth="1"/>
    <col min="10764" max="10764" width="16.5703125" style="314" bestFit="1" customWidth="1"/>
    <col min="10765" max="11008" width="9.140625" style="314"/>
    <col min="11009" max="11009" width="9.42578125" style="314" bestFit="1" customWidth="1"/>
    <col min="11010" max="11010" width="9.140625" style="314"/>
    <col min="11011" max="11011" width="12" style="314" bestFit="1" customWidth="1"/>
    <col min="11012" max="11015" width="9.140625" style="314"/>
    <col min="11016" max="11016" width="17.28515625" style="314" customWidth="1"/>
    <col min="11017" max="11017" width="9.7109375" style="314" customWidth="1"/>
    <col min="11018" max="11018" width="12.7109375" style="314" customWidth="1"/>
    <col min="11019" max="11019" width="13.42578125" style="314" bestFit="1" customWidth="1"/>
    <col min="11020" max="11020" width="16.5703125" style="314" bestFit="1" customWidth="1"/>
    <col min="11021" max="11264" width="9.140625" style="314"/>
    <col min="11265" max="11265" width="9.42578125" style="314" bestFit="1" customWidth="1"/>
    <col min="11266" max="11266" width="9.140625" style="314"/>
    <col min="11267" max="11267" width="12" style="314" bestFit="1" customWidth="1"/>
    <col min="11268" max="11271" width="9.140625" style="314"/>
    <col min="11272" max="11272" width="17.28515625" style="314" customWidth="1"/>
    <col min="11273" max="11273" width="9.7109375" style="314" customWidth="1"/>
    <col min="11274" max="11274" width="12.7109375" style="314" customWidth="1"/>
    <col min="11275" max="11275" width="13.42578125" style="314" bestFit="1" customWidth="1"/>
    <col min="11276" max="11276" width="16.5703125" style="314" bestFit="1" customWidth="1"/>
    <col min="11277" max="11520" width="9.140625" style="314"/>
    <col min="11521" max="11521" width="9.42578125" style="314" bestFit="1" customWidth="1"/>
    <col min="11522" max="11522" width="9.140625" style="314"/>
    <col min="11523" max="11523" width="12" style="314" bestFit="1" customWidth="1"/>
    <col min="11524" max="11527" width="9.140625" style="314"/>
    <col min="11528" max="11528" width="17.28515625" style="314" customWidth="1"/>
    <col min="11529" max="11529" width="9.7109375" style="314" customWidth="1"/>
    <col min="11530" max="11530" width="12.7109375" style="314" customWidth="1"/>
    <col min="11531" max="11531" width="13.42578125" style="314" bestFit="1" customWidth="1"/>
    <col min="11532" max="11532" width="16.5703125" style="314" bestFit="1" customWidth="1"/>
    <col min="11533" max="11776" width="9.140625" style="314"/>
    <col min="11777" max="11777" width="9.42578125" style="314" bestFit="1" customWidth="1"/>
    <col min="11778" max="11778" width="9.140625" style="314"/>
    <col min="11779" max="11779" width="12" style="314" bestFit="1" customWidth="1"/>
    <col min="11780" max="11783" width="9.140625" style="314"/>
    <col min="11784" max="11784" width="17.28515625" style="314" customWidth="1"/>
    <col min="11785" max="11785" width="9.7109375" style="314" customWidth="1"/>
    <col min="11786" max="11786" width="12.7109375" style="314" customWidth="1"/>
    <col min="11787" max="11787" width="13.42578125" style="314" bestFit="1" customWidth="1"/>
    <col min="11788" max="11788" width="16.5703125" style="314" bestFit="1" customWidth="1"/>
    <col min="11789" max="12032" width="9.140625" style="314"/>
    <col min="12033" max="12033" width="9.42578125" style="314" bestFit="1" customWidth="1"/>
    <col min="12034" max="12034" width="9.140625" style="314"/>
    <col min="12035" max="12035" width="12" style="314" bestFit="1" customWidth="1"/>
    <col min="12036" max="12039" width="9.140625" style="314"/>
    <col min="12040" max="12040" width="17.28515625" style="314" customWidth="1"/>
    <col min="12041" max="12041" width="9.7109375" style="314" customWidth="1"/>
    <col min="12042" max="12042" width="12.7109375" style="314" customWidth="1"/>
    <col min="12043" max="12043" width="13.42578125" style="314" bestFit="1" customWidth="1"/>
    <col min="12044" max="12044" width="16.5703125" style="314" bestFit="1" customWidth="1"/>
    <col min="12045" max="12288" width="9.140625" style="314"/>
    <col min="12289" max="12289" width="9.42578125" style="314" bestFit="1" customWidth="1"/>
    <col min="12290" max="12290" width="9.140625" style="314"/>
    <col min="12291" max="12291" width="12" style="314" bestFit="1" customWidth="1"/>
    <col min="12292" max="12295" width="9.140625" style="314"/>
    <col min="12296" max="12296" width="17.28515625" style="314" customWidth="1"/>
    <col min="12297" max="12297" width="9.7109375" style="314" customWidth="1"/>
    <col min="12298" max="12298" width="12.7109375" style="314" customWidth="1"/>
    <col min="12299" max="12299" width="13.42578125" style="314" bestFit="1" customWidth="1"/>
    <col min="12300" max="12300" width="16.5703125" style="314" bestFit="1" customWidth="1"/>
    <col min="12301" max="12544" width="9.140625" style="314"/>
    <col min="12545" max="12545" width="9.42578125" style="314" bestFit="1" customWidth="1"/>
    <col min="12546" max="12546" width="9.140625" style="314"/>
    <col min="12547" max="12547" width="12" style="314" bestFit="1" customWidth="1"/>
    <col min="12548" max="12551" width="9.140625" style="314"/>
    <col min="12552" max="12552" width="17.28515625" style="314" customWidth="1"/>
    <col min="12553" max="12553" width="9.7109375" style="314" customWidth="1"/>
    <col min="12554" max="12554" width="12.7109375" style="314" customWidth="1"/>
    <col min="12555" max="12555" width="13.42578125" style="314" bestFit="1" customWidth="1"/>
    <col min="12556" max="12556" width="16.5703125" style="314" bestFit="1" customWidth="1"/>
    <col min="12557" max="12800" width="9.140625" style="314"/>
    <col min="12801" max="12801" width="9.42578125" style="314" bestFit="1" customWidth="1"/>
    <col min="12802" max="12802" width="9.140625" style="314"/>
    <col min="12803" max="12803" width="12" style="314" bestFit="1" customWidth="1"/>
    <col min="12804" max="12807" width="9.140625" style="314"/>
    <col min="12808" max="12808" width="17.28515625" style="314" customWidth="1"/>
    <col min="12809" max="12809" width="9.7109375" style="314" customWidth="1"/>
    <col min="12810" max="12810" width="12.7109375" style="314" customWidth="1"/>
    <col min="12811" max="12811" width="13.42578125" style="314" bestFit="1" customWidth="1"/>
    <col min="12812" max="12812" width="16.5703125" style="314" bestFit="1" customWidth="1"/>
    <col min="12813" max="13056" width="9.140625" style="314"/>
    <col min="13057" max="13057" width="9.42578125" style="314" bestFit="1" customWidth="1"/>
    <col min="13058" max="13058" width="9.140625" style="314"/>
    <col min="13059" max="13059" width="12" style="314" bestFit="1" customWidth="1"/>
    <col min="13060" max="13063" width="9.140625" style="314"/>
    <col min="13064" max="13064" width="17.28515625" style="314" customWidth="1"/>
    <col min="13065" max="13065" width="9.7109375" style="314" customWidth="1"/>
    <col min="13066" max="13066" width="12.7109375" style="314" customWidth="1"/>
    <col min="13067" max="13067" width="13.42578125" style="314" bestFit="1" customWidth="1"/>
    <col min="13068" max="13068" width="16.5703125" style="314" bestFit="1" customWidth="1"/>
    <col min="13069" max="13312" width="9.140625" style="314"/>
    <col min="13313" max="13313" width="9.42578125" style="314" bestFit="1" customWidth="1"/>
    <col min="13314" max="13314" width="9.140625" style="314"/>
    <col min="13315" max="13315" width="12" style="314" bestFit="1" customWidth="1"/>
    <col min="13316" max="13319" width="9.140625" style="314"/>
    <col min="13320" max="13320" width="17.28515625" style="314" customWidth="1"/>
    <col min="13321" max="13321" width="9.7109375" style="314" customWidth="1"/>
    <col min="13322" max="13322" width="12.7109375" style="314" customWidth="1"/>
    <col min="13323" max="13323" width="13.42578125" style="314" bestFit="1" customWidth="1"/>
    <col min="13324" max="13324" width="16.5703125" style="314" bestFit="1" customWidth="1"/>
    <col min="13325" max="13568" width="9.140625" style="314"/>
    <col min="13569" max="13569" width="9.42578125" style="314" bestFit="1" customWidth="1"/>
    <col min="13570" max="13570" width="9.140625" style="314"/>
    <col min="13571" max="13571" width="12" style="314" bestFit="1" customWidth="1"/>
    <col min="13572" max="13575" width="9.140625" style="314"/>
    <col min="13576" max="13576" width="17.28515625" style="314" customWidth="1"/>
    <col min="13577" max="13577" width="9.7109375" style="314" customWidth="1"/>
    <col min="13578" max="13578" width="12.7109375" style="314" customWidth="1"/>
    <col min="13579" max="13579" width="13.42578125" style="314" bestFit="1" customWidth="1"/>
    <col min="13580" max="13580" width="16.5703125" style="314" bestFit="1" customWidth="1"/>
    <col min="13581" max="13824" width="9.140625" style="314"/>
    <col min="13825" max="13825" width="9.42578125" style="314" bestFit="1" customWidth="1"/>
    <col min="13826" max="13826" width="9.140625" style="314"/>
    <col min="13827" max="13827" width="12" style="314" bestFit="1" customWidth="1"/>
    <col min="13828" max="13831" width="9.140625" style="314"/>
    <col min="13832" max="13832" width="17.28515625" style="314" customWidth="1"/>
    <col min="13833" max="13833" width="9.7109375" style="314" customWidth="1"/>
    <col min="13834" max="13834" width="12.7109375" style="314" customWidth="1"/>
    <col min="13835" max="13835" width="13.42578125" style="314" bestFit="1" customWidth="1"/>
    <col min="13836" max="13836" width="16.5703125" style="314" bestFit="1" customWidth="1"/>
    <col min="13837" max="14080" width="9.140625" style="314"/>
    <col min="14081" max="14081" width="9.42578125" style="314" bestFit="1" customWidth="1"/>
    <col min="14082" max="14082" width="9.140625" style="314"/>
    <col min="14083" max="14083" width="12" style="314" bestFit="1" customWidth="1"/>
    <col min="14084" max="14087" width="9.140625" style="314"/>
    <col min="14088" max="14088" width="17.28515625" style="314" customWidth="1"/>
    <col min="14089" max="14089" width="9.7109375" style="314" customWidth="1"/>
    <col min="14090" max="14090" width="12.7109375" style="314" customWidth="1"/>
    <col min="14091" max="14091" width="13.42578125" style="314" bestFit="1" customWidth="1"/>
    <col min="14092" max="14092" width="16.5703125" style="314" bestFit="1" customWidth="1"/>
    <col min="14093" max="14336" width="9.140625" style="314"/>
    <col min="14337" max="14337" width="9.42578125" style="314" bestFit="1" customWidth="1"/>
    <col min="14338" max="14338" width="9.140625" style="314"/>
    <col min="14339" max="14339" width="12" style="314" bestFit="1" customWidth="1"/>
    <col min="14340" max="14343" width="9.140625" style="314"/>
    <col min="14344" max="14344" width="17.28515625" style="314" customWidth="1"/>
    <col min="14345" max="14345" width="9.7109375" style="314" customWidth="1"/>
    <col min="14346" max="14346" width="12.7109375" style="314" customWidth="1"/>
    <col min="14347" max="14347" width="13.42578125" style="314" bestFit="1" customWidth="1"/>
    <col min="14348" max="14348" width="16.5703125" style="314" bestFit="1" customWidth="1"/>
    <col min="14349" max="14592" width="9.140625" style="314"/>
    <col min="14593" max="14593" width="9.42578125" style="314" bestFit="1" customWidth="1"/>
    <col min="14594" max="14594" width="9.140625" style="314"/>
    <col min="14595" max="14595" width="12" style="314" bestFit="1" customWidth="1"/>
    <col min="14596" max="14599" width="9.140625" style="314"/>
    <col min="14600" max="14600" width="17.28515625" style="314" customWidth="1"/>
    <col min="14601" max="14601" width="9.7109375" style="314" customWidth="1"/>
    <col min="14602" max="14602" width="12.7109375" style="314" customWidth="1"/>
    <col min="14603" max="14603" width="13.42578125" style="314" bestFit="1" customWidth="1"/>
    <col min="14604" max="14604" width="16.5703125" style="314" bestFit="1" customWidth="1"/>
    <col min="14605" max="14848" width="9.140625" style="314"/>
    <col min="14849" max="14849" width="9.42578125" style="314" bestFit="1" customWidth="1"/>
    <col min="14850" max="14850" width="9.140625" style="314"/>
    <col min="14851" max="14851" width="12" style="314" bestFit="1" customWidth="1"/>
    <col min="14852" max="14855" width="9.140625" style="314"/>
    <col min="14856" max="14856" width="17.28515625" style="314" customWidth="1"/>
    <col min="14857" max="14857" width="9.7109375" style="314" customWidth="1"/>
    <col min="14858" max="14858" width="12.7109375" style="314" customWidth="1"/>
    <col min="14859" max="14859" width="13.42578125" style="314" bestFit="1" customWidth="1"/>
    <col min="14860" max="14860" width="16.5703125" style="314" bestFit="1" customWidth="1"/>
    <col min="14861" max="15104" width="9.140625" style="314"/>
    <col min="15105" max="15105" width="9.42578125" style="314" bestFit="1" customWidth="1"/>
    <col min="15106" max="15106" width="9.140625" style="314"/>
    <col min="15107" max="15107" width="12" style="314" bestFit="1" customWidth="1"/>
    <col min="15108" max="15111" width="9.140625" style="314"/>
    <col min="15112" max="15112" width="17.28515625" style="314" customWidth="1"/>
    <col min="15113" max="15113" width="9.7109375" style="314" customWidth="1"/>
    <col min="15114" max="15114" width="12.7109375" style="314" customWidth="1"/>
    <col min="15115" max="15115" width="13.42578125" style="314" bestFit="1" customWidth="1"/>
    <col min="15116" max="15116" width="16.5703125" style="314" bestFit="1" customWidth="1"/>
    <col min="15117" max="15360" width="9.140625" style="314"/>
    <col min="15361" max="15361" width="9.42578125" style="314" bestFit="1" customWidth="1"/>
    <col min="15362" max="15362" width="9.140625" style="314"/>
    <col min="15363" max="15363" width="12" style="314" bestFit="1" customWidth="1"/>
    <col min="15364" max="15367" width="9.140625" style="314"/>
    <col min="15368" max="15368" width="17.28515625" style="314" customWidth="1"/>
    <col min="15369" max="15369" width="9.7109375" style="314" customWidth="1"/>
    <col min="15370" max="15370" width="12.7109375" style="314" customWidth="1"/>
    <col min="15371" max="15371" width="13.42578125" style="314" bestFit="1" customWidth="1"/>
    <col min="15372" max="15372" width="16.5703125" style="314" bestFit="1" customWidth="1"/>
    <col min="15373" max="15616" width="9.140625" style="314"/>
    <col min="15617" max="15617" width="9.42578125" style="314" bestFit="1" customWidth="1"/>
    <col min="15618" max="15618" width="9.140625" style="314"/>
    <col min="15619" max="15619" width="12" style="314" bestFit="1" customWidth="1"/>
    <col min="15620" max="15623" width="9.140625" style="314"/>
    <col min="15624" max="15624" width="17.28515625" style="314" customWidth="1"/>
    <col min="15625" max="15625" width="9.7109375" style="314" customWidth="1"/>
    <col min="15626" max="15626" width="12.7109375" style="314" customWidth="1"/>
    <col min="15627" max="15627" width="13.42578125" style="314" bestFit="1" customWidth="1"/>
    <col min="15628" max="15628" width="16.5703125" style="314" bestFit="1" customWidth="1"/>
    <col min="15629" max="15872" width="9.140625" style="314"/>
    <col min="15873" max="15873" width="9.42578125" style="314" bestFit="1" customWidth="1"/>
    <col min="15874" max="15874" width="9.140625" style="314"/>
    <col min="15875" max="15875" width="12" style="314" bestFit="1" customWidth="1"/>
    <col min="15876" max="15879" width="9.140625" style="314"/>
    <col min="15880" max="15880" width="17.28515625" style="314" customWidth="1"/>
    <col min="15881" max="15881" width="9.7109375" style="314" customWidth="1"/>
    <col min="15882" max="15882" width="12.7109375" style="314" customWidth="1"/>
    <col min="15883" max="15883" width="13.42578125" style="314" bestFit="1" customWidth="1"/>
    <col min="15884" max="15884" width="16.5703125" style="314" bestFit="1" customWidth="1"/>
    <col min="15885" max="16128" width="9.140625" style="314"/>
    <col min="16129" max="16129" width="9.42578125" style="314" bestFit="1" customWidth="1"/>
    <col min="16130" max="16130" width="9.140625" style="314"/>
    <col min="16131" max="16131" width="12" style="314" bestFit="1" customWidth="1"/>
    <col min="16132" max="16135" width="9.140625" style="314"/>
    <col min="16136" max="16136" width="17.28515625" style="314" customWidth="1"/>
    <col min="16137" max="16137" width="9.7109375" style="314" customWidth="1"/>
    <col min="16138" max="16138" width="12.7109375" style="314" customWidth="1"/>
    <col min="16139" max="16139" width="13.42578125" style="314" bestFit="1" customWidth="1"/>
    <col min="16140" max="16140" width="16.5703125" style="314" bestFit="1" customWidth="1"/>
    <col min="16141" max="16384" width="9.140625" style="314"/>
  </cols>
  <sheetData>
    <row r="1" spans="1:12" ht="15.75">
      <c r="L1" s="857" t="s">
        <v>418</v>
      </c>
    </row>
    <row r="2" spans="1:12" ht="8.25" customHeight="1">
      <c r="L2" s="858"/>
    </row>
    <row r="3" spans="1:12" ht="15.75" customHeight="1">
      <c r="A3" s="1432" t="s">
        <v>422</v>
      </c>
      <c r="B3" s="1364"/>
      <c r="C3" s="401" t="str">
        <f>'Pg 3 Travel'!A3</f>
        <v>NRA.N.011-050-2012/1F</v>
      </c>
      <c r="D3" s="403"/>
      <c r="E3" s="859"/>
      <c r="F3" s="1401">
        <f>'F1  Cover'!L8</f>
        <v>44804</v>
      </c>
      <c r="G3" s="1401"/>
      <c r="H3" s="1424" t="s">
        <v>379</v>
      </c>
      <c r="I3" s="1424"/>
      <c r="J3" s="1424"/>
      <c r="K3" s="1423">
        <f>'F1  Cover'!K8</f>
        <v>1</v>
      </c>
      <c r="L3" s="1366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58" t="s">
        <v>419</v>
      </c>
      <c r="B6" s="1359"/>
      <c r="C6" s="1359"/>
      <c r="D6" s="1359"/>
      <c r="E6" s="1359"/>
      <c r="F6" s="1359"/>
      <c r="G6" s="1359"/>
      <c r="H6" s="1359"/>
      <c r="I6" s="1359"/>
      <c r="J6" s="1359"/>
      <c r="K6" s="1359"/>
      <c r="L6" s="1360"/>
    </row>
    <row r="7" spans="1:12" ht="15.75" customHeight="1" thickBot="1">
      <c r="A7" s="526"/>
      <c r="L7" s="527"/>
    </row>
    <row r="8" spans="1:12" ht="29.25" customHeight="1" thickBot="1">
      <c r="A8" s="1409" t="s">
        <v>0</v>
      </c>
      <c r="B8" s="1410"/>
      <c r="C8" s="1410"/>
      <c r="D8" s="1410"/>
      <c r="E8" s="1410"/>
      <c r="F8" s="1410"/>
      <c r="G8" s="1410"/>
      <c r="H8" s="717" t="s">
        <v>706</v>
      </c>
      <c r="I8" s="528" t="s">
        <v>1</v>
      </c>
      <c r="J8" s="528" t="s">
        <v>2</v>
      </c>
      <c r="K8" s="528" t="s">
        <v>3</v>
      </c>
      <c r="L8" s="529" t="s">
        <v>404</v>
      </c>
    </row>
    <row r="9" spans="1:12" ht="12.75" customHeight="1">
      <c r="A9" s="1433" t="str">
        <f>'Pricing Schedule'!A22&amp;" " &amp;'Pricing Schedule'!B22</f>
        <v>3.3 INVESTIGATIONS FOR DESIGN DEVELOPMENT</v>
      </c>
      <c r="B9" s="1434"/>
      <c r="C9" s="1434"/>
      <c r="D9" s="1434"/>
      <c r="E9" s="1434"/>
      <c r="F9" s="1434"/>
      <c r="G9" s="1434"/>
      <c r="H9" s="860"/>
      <c r="I9" s="535"/>
      <c r="J9" s="535"/>
      <c r="K9" s="535"/>
      <c r="L9" s="536"/>
    </row>
    <row r="10" spans="1:12" ht="15">
      <c r="A10" s="1407" t="str">
        <f>'Pricing Schedule'!A23&amp;" " &amp;'Pricing Schedule'!B23</f>
        <v>3.3.1 Survey Services</v>
      </c>
      <c r="B10" s="1408"/>
      <c r="C10" s="1408"/>
      <c r="D10" s="1408"/>
      <c r="E10" s="1408"/>
      <c r="F10" s="1408"/>
      <c r="G10" s="1408"/>
      <c r="H10" s="861"/>
      <c r="I10" s="532"/>
      <c r="J10" s="862"/>
      <c r="K10" s="532"/>
      <c r="L10" s="863"/>
    </row>
    <row r="11" spans="1:12">
      <c r="A11" s="1407" t="str">
        <f>'Pricing Schedule'!A24&amp;" " &amp;'Pricing Schedule'!B24</f>
        <v xml:space="preserve"> (a) Survey Services when procured by service provider</v>
      </c>
      <c r="B11" s="1408"/>
      <c r="C11" s="1408"/>
      <c r="D11" s="1408"/>
      <c r="E11" s="1408"/>
      <c r="F11" s="1408"/>
      <c r="G11" s="1408"/>
      <c r="H11" s="861">
        <f>'Pricing Schedule'!F24</f>
        <v>0</v>
      </c>
      <c r="I11" s="532"/>
      <c r="J11" s="532"/>
      <c r="K11" s="864">
        <f>IF(H11=0,L11/100,(L11/H11))</f>
        <v>0</v>
      </c>
      <c r="L11" s="863">
        <f>SUM(L12:L18)</f>
        <v>0</v>
      </c>
    </row>
    <row r="12" spans="1:12">
      <c r="A12" s="1405"/>
      <c r="B12" s="1406"/>
      <c r="C12" s="1406"/>
      <c r="D12" s="1406"/>
      <c r="E12" s="1406"/>
      <c r="F12" s="1406"/>
      <c r="G12" s="1406"/>
      <c r="H12" s="877"/>
      <c r="I12" s="878"/>
      <c r="J12" s="879"/>
      <c r="K12" s="880"/>
      <c r="L12" s="865">
        <f>K12*J12</f>
        <v>0</v>
      </c>
    </row>
    <row r="13" spans="1:12">
      <c r="A13" s="1405"/>
      <c r="B13" s="1406"/>
      <c r="C13" s="1406"/>
      <c r="D13" s="1406"/>
      <c r="E13" s="1406"/>
      <c r="F13" s="1406"/>
      <c r="G13" s="1406"/>
      <c r="H13" s="877"/>
      <c r="I13" s="878"/>
      <c r="J13" s="879"/>
      <c r="K13" s="880"/>
      <c r="L13" s="863">
        <f t="shared" ref="L13:L27" si="0">K13*J13</f>
        <v>0</v>
      </c>
    </row>
    <row r="14" spans="1:12">
      <c r="A14" s="1405"/>
      <c r="B14" s="1406"/>
      <c r="C14" s="1406"/>
      <c r="D14" s="1406"/>
      <c r="E14" s="1406"/>
      <c r="F14" s="1406"/>
      <c r="G14" s="1406"/>
      <c r="H14" s="877"/>
      <c r="I14" s="878"/>
      <c r="J14" s="879"/>
      <c r="K14" s="880"/>
      <c r="L14" s="863">
        <f t="shared" si="0"/>
        <v>0</v>
      </c>
    </row>
    <row r="15" spans="1:12">
      <c r="A15" s="1405"/>
      <c r="B15" s="1406"/>
      <c r="C15" s="1406"/>
      <c r="D15" s="1406"/>
      <c r="E15" s="1406"/>
      <c r="F15" s="1406"/>
      <c r="G15" s="1406"/>
      <c r="H15" s="877"/>
      <c r="I15" s="878"/>
      <c r="J15" s="879"/>
      <c r="K15" s="880"/>
      <c r="L15" s="863">
        <f t="shared" si="0"/>
        <v>0</v>
      </c>
    </row>
    <row r="16" spans="1:12">
      <c r="A16" s="1405"/>
      <c r="B16" s="1406"/>
      <c r="C16" s="1406"/>
      <c r="D16" s="1406"/>
      <c r="E16" s="1406"/>
      <c r="F16" s="1406"/>
      <c r="G16" s="1406"/>
      <c r="H16" s="877"/>
      <c r="I16" s="878"/>
      <c r="J16" s="879"/>
      <c r="K16" s="880"/>
      <c r="L16" s="863">
        <f t="shared" si="0"/>
        <v>0</v>
      </c>
    </row>
    <row r="17" spans="1:12">
      <c r="A17" s="1405"/>
      <c r="B17" s="1406"/>
      <c r="C17" s="1406"/>
      <c r="D17" s="1406"/>
      <c r="E17" s="1406"/>
      <c r="F17" s="1406"/>
      <c r="G17" s="1406"/>
      <c r="H17" s="877"/>
      <c r="I17" s="878"/>
      <c r="J17" s="879"/>
      <c r="K17" s="880"/>
      <c r="L17" s="863">
        <f t="shared" si="0"/>
        <v>0</v>
      </c>
    </row>
    <row r="18" spans="1:12">
      <c r="A18" s="1405"/>
      <c r="B18" s="1406"/>
      <c r="C18" s="1406"/>
      <c r="D18" s="1406"/>
      <c r="E18" s="1406"/>
      <c r="F18" s="1406"/>
      <c r="G18" s="1406"/>
      <c r="H18" s="877"/>
      <c r="I18" s="878"/>
      <c r="J18" s="879"/>
      <c r="K18" s="880"/>
      <c r="L18" s="863">
        <f t="shared" si="0"/>
        <v>0</v>
      </c>
    </row>
    <row r="19" spans="1:12" ht="15">
      <c r="A19" s="1407" t="str">
        <f>'Pricing Schedule'!A27&amp;" " &amp;'Pricing Schedule'!B27</f>
        <v>3.3.2 Traffic Monitoring Services</v>
      </c>
      <c r="B19" s="1408"/>
      <c r="C19" s="1408"/>
      <c r="D19" s="1408"/>
      <c r="E19" s="1408"/>
      <c r="F19" s="1408"/>
      <c r="G19" s="1408"/>
      <c r="H19" s="861"/>
      <c r="I19" s="532"/>
      <c r="J19" s="862"/>
      <c r="K19" s="532"/>
      <c r="L19" s="863"/>
    </row>
    <row r="20" spans="1:12">
      <c r="A20" s="1407" t="str">
        <f>'Pricing Schedule'!A28&amp;" " &amp;'Pricing Schedule'!B28</f>
        <v xml:space="preserve"> (a) Traffic Monitoring Services when procured by Service Provider</v>
      </c>
      <c r="B20" s="1408"/>
      <c r="C20" s="1408"/>
      <c r="D20" s="1408"/>
      <c r="E20" s="1408"/>
      <c r="F20" s="1408"/>
      <c r="G20" s="1408"/>
      <c r="H20" s="861">
        <f>'Pricing Schedule'!F28</f>
        <v>500000</v>
      </c>
      <c r="I20" s="532"/>
      <c r="J20" s="532"/>
      <c r="K20" s="864">
        <f>IF(H20=0,L20/100,(L20/H20))</f>
        <v>0</v>
      </c>
      <c r="L20" s="863">
        <f>SUM(L21:L27)</f>
        <v>0</v>
      </c>
    </row>
    <row r="21" spans="1:12">
      <c r="A21" s="1405"/>
      <c r="B21" s="1406"/>
      <c r="C21" s="1406"/>
      <c r="D21" s="1406"/>
      <c r="E21" s="1406"/>
      <c r="F21" s="1406"/>
      <c r="G21" s="1406"/>
      <c r="H21" s="877"/>
      <c r="I21" s="878"/>
      <c r="J21" s="879"/>
      <c r="K21" s="880"/>
      <c r="L21" s="863">
        <f t="shared" si="0"/>
        <v>0</v>
      </c>
    </row>
    <row r="22" spans="1:12">
      <c r="A22" s="1405"/>
      <c r="B22" s="1406"/>
      <c r="C22" s="1406"/>
      <c r="D22" s="1406"/>
      <c r="E22" s="1406"/>
      <c r="F22" s="1406"/>
      <c r="G22" s="1406"/>
      <c r="H22" s="877"/>
      <c r="I22" s="878"/>
      <c r="J22" s="879"/>
      <c r="K22" s="880"/>
      <c r="L22" s="863">
        <f t="shared" si="0"/>
        <v>0</v>
      </c>
    </row>
    <row r="23" spans="1:12">
      <c r="A23" s="1405"/>
      <c r="B23" s="1406"/>
      <c r="C23" s="1406"/>
      <c r="D23" s="1406"/>
      <c r="E23" s="1406"/>
      <c r="F23" s="1406"/>
      <c r="G23" s="1406"/>
      <c r="H23" s="877"/>
      <c r="I23" s="878"/>
      <c r="J23" s="879"/>
      <c r="K23" s="880"/>
      <c r="L23" s="863">
        <f t="shared" si="0"/>
        <v>0</v>
      </c>
    </row>
    <row r="24" spans="1:12">
      <c r="A24" s="1405"/>
      <c r="B24" s="1406"/>
      <c r="C24" s="1406"/>
      <c r="D24" s="1406"/>
      <c r="E24" s="1406"/>
      <c r="F24" s="1406"/>
      <c r="G24" s="1406"/>
      <c r="H24" s="877"/>
      <c r="I24" s="878"/>
      <c r="J24" s="879"/>
      <c r="K24" s="880"/>
      <c r="L24" s="863">
        <f t="shared" si="0"/>
        <v>0</v>
      </c>
    </row>
    <row r="25" spans="1:12">
      <c r="A25" s="1405"/>
      <c r="B25" s="1406"/>
      <c r="C25" s="1406"/>
      <c r="D25" s="1406"/>
      <c r="E25" s="1406"/>
      <c r="F25" s="1406"/>
      <c r="G25" s="1406"/>
      <c r="H25" s="877"/>
      <c r="I25" s="878"/>
      <c r="J25" s="879"/>
      <c r="K25" s="880"/>
      <c r="L25" s="863">
        <f t="shared" si="0"/>
        <v>0</v>
      </c>
    </row>
    <row r="26" spans="1:12">
      <c r="A26" s="1405"/>
      <c r="B26" s="1406"/>
      <c r="C26" s="1406"/>
      <c r="D26" s="1406"/>
      <c r="E26" s="1406"/>
      <c r="F26" s="1406"/>
      <c r="G26" s="1406"/>
      <c r="H26" s="877"/>
      <c r="I26" s="878"/>
      <c r="J26" s="879"/>
      <c r="K26" s="880"/>
      <c r="L26" s="863">
        <f t="shared" si="0"/>
        <v>0</v>
      </c>
    </row>
    <row r="27" spans="1:12">
      <c r="A27" s="1405"/>
      <c r="B27" s="1406"/>
      <c r="C27" s="1406"/>
      <c r="D27" s="1406"/>
      <c r="E27" s="1406"/>
      <c r="F27" s="1406"/>
      <c r="G27" s="1406"/>
      <c r="H27" s="877"/>
      <c r="I27" s="878"/>
      <c r="J27" s="879"/>
      <c r="K27" s="880"/>
      <c r="L27" s="863">
        <f t="shared" si="0"/>
        <v>0</v>
      </c>
    </row>
    <row r="28" spans="1:12" ht="15">
      <c r="A28" s="1407" t="str">
        <f>'Pricing Schedule'!A31&amp;" " &amp;'Pricing Schedule'!B31</f>
        <v>3.3.3 Environmental  Services</v>
      </c>
      <c r="B28" s="1408"/>
      <c r="C28" s="1408"/>
      <c r="D28" s="1408"/>
      <c r="E28" s="1408"/>
      <c r="F28" s="1408"/>
      <c r="G28" s="1408"/>
      <c r="H28" s="861"/>
      <c r="I28" s="532"/>
      <c r="J28" s="862"/>
      <c r="K28" s="532"/>
      <c r="L28" s="863"/>
    </row>
    <row r="29" spans="1:12">
      <c r="A29" s="1407" t="str">
        <f>'Pricing Schedule'!A32&amp;" " &amp;'Pricing Schedule'!B32</f>
        <v xml:space="preserve"> (a) Environmental services during design stage</v>
      </c>
      <c r="B29" s="1408"/>
      <c r="C29" s="1408"/>
      <c r="D29" s="1408"/>
      <c r="E29" s="1408"/>
      <c r="F29" s="1408"/>
      <c r="G29" s="1408"/>
      <c r="H29" s="861">
        <f>'Pricing Schedule'!F32</f>
        <v>3500000</v>
      </c>
      <c r="I29" s="532"/>
      <c r="J29" s="532"/>
      <c r="K29" s="864">
        <f>IF(H29=0,L29/100,(L29/H29))</f>
        <v>0</v>
      </c>
      <c r="L29" s="863">
        <f>SUM(L30:L36)</f>
        <v>0</v>
      </c>
    </row>
    <row r="30" spans="1:12">
      <c r="A30" s="1405"/>
      <c r="B30" s="1406"/>
      <c r="C30" s="1406"/>
      <c r="D30" s="1406"/>
      <c r="E30" s="1406"/>
      <c r="F30" s="1406"/>
      <c r="G30" s="1406"/>
      <c r="H30" s="877"/>
      <c r="I30" s="878"/>
      <c r="J30" s="879"/>
      <c r="K30" s="880"/>
      <c r="L30" s="865">
        <f>K30*J30</f>
        <v>0</v>
      </c>
    </row>
    <row r="31" spans="1:12">
      <c r="A31" s="1405"/>
      <c r="B31" s="1406"/>
      <c r="C31" s="1406"/>
      <c r="D31" s="1406"/>
      <c r="E31" s="1406"/>
      <c r="F31" s="1406"/>
      <c r="G31" s="1406"/>
      <c r="H31" s="877"/>
      <c r="I31" s="878"/>
      <c r="J31" s="879"/>
      <c r="K31" s="880"/>
      <c r="L31" s="865">
        <f t="shared" ref="L31:L36" si="1">K31*J31</f>
        <v>0</v>
      </c>
    </row>
    <row r="32" spans="1:12">
      <c r="A32" s="1405"/>
      <c r="B32" s="1406"/>
      <c r="C32" s="1406"/>
      <c r="D32" s="1406"/>
      <c r="E32" s="1406"/>
      <c r="F32" s="1406"/>
      <c r="G32" s="1406"/>
      <c r="H32" s="877"/>
      <c r="I32" s="878"/>
      <c r="J32" s="879"/>
      <c r="K32" s="880"/>
      <c r="L32" s="865">
        <f t="shared" si="1"/>
        <v>0</v>
      </c>
    </row>
    <row r="33" spans="1:12">
      <c r="A33" s="1405"/>
      <c r="B33" s="1406"/>
      <c r="C33" s="1406"/>
      <c r="D33" s="1406"/>
      <c r="E33" s="1406"/>
      <c r="F33" s="1406"/>
      <c r="G33" s="1406"/>
      <c r="H33" s="877"/>
      <c r="I33" s="878"/>
      <c r="J33" s="879"/>
      <c r="K33" s="880"/>
      <c r="L33" s="865">
        <f t="shared" si="1"/>
        <v>0</v>
      </c>
    </row>
    <row r="34" spans="1:12">
      <c r="A34" s="1405"/>
      <c r="B34" s="1406"/>
      <c r="C34" s="1406"/>
      <c r="D34" s="1406"/>
      <c r="E34" s="1406"/>
      <c r="F34" s="1406"/>
      <c r="G34" s="1406"/>
      <c r="H34" s="877"/>
      <c r="I34" s="878"/>
      <c r="J34" s="879"/>
      <c r="K34" s="880"/>
      <c r="L34" s="865">
        <f t="shared" si="1"/>
        <v>0</v>
      </c>
    </row>
    <row r="35" spans="1:12">
      <c r="A35" s="1405"/>
      <c r="B35" s="1406"/>
      <c r="C35" s="1406"/>
      <c r="D35" s="1406"/>
      <c r="E35" s="1406"/>
      <c r="F35" s="1406"/>
      <c r="G35" s="1406"/>
      <c r="H35" s="877"/>
      <c r="I35" s="878"/>
      <c r="J35" s="879"/>
      <c r="K35" s="880"/>
      <c r="L35" s="865">
        <f t="shared" si="1"/>
        <v>0</v>
      </c>
    </row>
    <row r="36" spans="1:12">
      <c r="A36" s="1405"/>
      <c r="B36" s="1406"/>
      <c r="C36" s="1406"/>
      <c r="D36" s="1406"/>
      <c r="E36" s="1406"/>
      <c r="F36" s="1406"/>
      <c r="G36" s="1406"/>
      <c r="H36" s="877"/>
      <c r="I36" s="878"/>
      <c r="J36" s="879"/>
      <c r="K36" s="880"/>
      <c r="L36" s="865">
        <f t="shared" si="1"/>
        <v>0</v>
      </c>
    </row>
    <row r="37" spans="1:12" ht="15">
      <c r="A37" s="1407" t="str">
        <f>'Pricing Schedule'!A34&amp;" " &amp;'Pricing Schedule'!B34</f>
        <v>3.3.4 Geotechnical and Drilling Services</v>
      </c>
      <c r="B37" s="1408"/>
      <c r="C37" s="1408"/>
      <c r="D37" s="1408"/>
      <c r="E37" s="1408"/>
      <c r="F37" s="1408"/>
      <c r="G37" s="1408"/>
      <c r="H37" s="861"/>
      <c r="I37" s="532"/>
      <c r="J37" s="862"/>
      <c r="K37" s="532"/>
      <c r="L37" s="863"/>
    </row>
    <row r="38" spans="1:12">
      <c r="A38" s="1407" t="str">
        <f>'Pricing Schedule'!A35&amp;" " &amp;'Pricing Schedule'!B35</f>
        <v xml:space="preserve"> (a) Professional Service for Geotechnical and/or Drilling services investigations</v>
      </c>
      <c r="B38" s="1408"/>
      <c r="C38" s="1408"/>
      <c r="D38" s="1408"/>
      <c r="E38" s="1408"/>
      <c r="F38" s="1408"/>
      <c r="G38" s="1408"/>
      <c r="H38" s="861">
        <f>'Pricing Schedule'!F35</f>
        <v>750000</v>
      </c>
      <c r="I38" s="532"/>
      <c r="J38" s="532"/>
      <c r="K38" s="864">
        <f>IF(H38=0,L38/100,(L38/H38))</f>
        <v>0</v>
      </c>
      <c r="L38" s="863">
        <f>SUM(L39:L45)</f>
        <v>0</v>
      </c>
    </row>
    <row r="39" spans="1:12">
      <c r="A39" s="1405"/>
      <c r="B39" s="1406"/>
      <c r="C39" s="1406"/>
      <c r="D39" s="1406"/>
      <c r="E39" s="1406"/>
      <c r="F39" s="1406"/>
      <c r="G39" s="1406"/>
      <c r="H39" s="877"/>
      <c r="I39" s="878"/>
      <c r="J39" s="879"/>
      <c r="K39" s="880"/>
      <c r="L39" s="865">
        <f>K39*J39</f>
        <v>0</v>
      </c>
    </row>
    <row r="40" spans="1:12">
      <c r="A40" s="1405"/>
      <c r="B40" s="1406"/>
      <c r="C40" s="1406"/>
      <c r="D40" s="1406"/>
      <c r="E40" s="1406"/>
      <c r="F40" s="1406"/>
      <c r="G40" s="1406"/>
      <c r="H40" s="877"/>
      <c r="I40" s="878"/>
      <c r="J40" s="879"/>
      <c r="K40" s="880"/>
      <c r="L40" s="865">
        <f t="shared" ref="L40:L45" si="2">K40*J40</f>
        <v>0</v>
      </c>
    </row>
    <row r="41" spans="1:12">
      <c r="A41" s="1405"/>
      <c r="B41" s="1406"/>
      <c r="C41" s="1406"/>
      <c r="D41" s="1406"/>
      <c r="E41" s="1406"/>
      <c r="F41" s="1406"/>
      <c r="G41" s="1406"/>
      <c r="H41" s="877"/>
      <c r="I41" s="878"/>
      <c r="J41" s="879"/>
      <c r="K41" s="880"/>
      <c r="L41" s="865">
        <f t="shared" si="2"/>
        <v>0</v>
      </c>
    </row>
    <row r="42" spans="1:12">
      <c r="A42" s="1405"/>
      <c r="B42" s="1406"/>
      <c r="C42" s="1406"/>
      <c r="D42" s="1406"/>
      <c r="E42" s="1406"/>
      <c r="F42" s="1406"/>
      <c r="G42" s="1406"/>
      <c r="H42" s="877"/>
      <c r="I42" s="878"/>
      <c r="J42" s="879"/>
      <c r="K42" s="880"/>
      <c r="L42" s="865">
        <f t="shared" si="2"/>
        <v>0</v>
      </c>
    </row>
    <row r="43" spans="1:12">
      <c r="A43" s="1405"/>
      <c r="B43" s="1406"/>
      <c r="C43" s="1406"/>
      <c r="D43" s="1406"/>
      <c r="E43" s="1406"/>
      <c r="F43" s="1406"/>
      <c r="G43" s="1406"/>
      <c r="H43" s="877"/>
      <c r="I43" s="878"/>
      <c r="J43" s="879"/>
      <c r="K43" s="880"/>
      <c r="L43" s="865">
        <f t="shared" si="2"/>
        <v>0</v>
      </c>
    </row>
    <row r="44" spans="1:12">
      <c r="A44" s="1405"/>
      <c r="B44" s="1406"/>
      <c r="C44" s="1406"/>
      <c r="D44" s="1406"/>
      <c r="E44" s="1406"/>
      <c r="F44" s="1406"/>
      <c r="G44" s="1406"/>
      <c r="H44" s="877"/>
      <c r="I44" s="878"/>
      <c r="J44" s="879"/>
      <c r="K44" s="880"/>
      <c r="L44" s="865">
        <f t="shared" si="2"/>
        <v>0</v>
      </c>
    </row>
    <row r="45" spans="1:12">
      <c r="A45" s="1405"/>
      <c r="B45" s="1406"/>
      <c r="C45" s="1406"/>
      <c r="D45" s="1406"/>
      <c r="E45" s="1406"/>
      <c r="F45" s="1406"/>
      <c r="G45" s="1406"/>
      <c r="H45" s="877"/>
      <c r="I45" s="878"/>
      <c r="J45" s="879"/>
      <c r="K45" s="880"/>
      <c r="L45" s="865">
        <f t="shared" si="2"/>
        <v>0</v>
      </c>
    </row>
    <row r="46" spans="1:12" ht="15">
      <c r="A46" s="1407" t="str">
        <f>'Pricing Schedule'!A38&amp;" " &amp;'Pricing Schedule'!B38</f>
        <v xml:space="preserve"> (d)  Supervision of the work:</v>
      </c>
      <c r="B46" s="1408"/>
      <c r="C46" s="1408"/>
      <c r="D46" s="1408"/>
      <c r="E46" s="1408"/>
      <c r="F46" s="1408"/>
      <c r="G46" s="1408"/>
      <c r="H46" s="861"/>
      <c r="I46" s="532"/>
      <c r="J46" s="862"/>
      <c r="K46" s="532"/>
      <c r="L46" s="863"/>
    </row>
    <row r="47" spans="1:12">
      <c r="A47" s="1407" t="str">
        <f>'Pricing Schedule'!A39&amp;" " &amp;'Pricing Schedule'!B39</f>
        <v xml:space="preserve">     (i)   Full time</v>
      </c>
      <c r="B47" s="1408"/>
      <c r="C47" s="1408"/>
      <c r="D47" s="1408"/>
      <c r="E47" s="1408"/>
      <c r="F47" s="1408"/>
      <c r="G47" s="1408"/>
      <c r="H47" s="861">
        <f>'Pricing Schedule'!F39</f>
        <v>1000000</v>
      </c>
      <c r="I47" s="532"/>
      <c r="J47" s="532"/>
      <c r="K47" s="864">
        <f>IF(H47=0,L47/100,(L47/H47))</f>
        <v>0</v>
      </c>
      <c r="L47" s="863">
        <f>SUM(L48:L54)</f>
        <v>0</v>
      </c>
    </row>
    <row r="48" spans="1:12">
      <c r="A48" s="1405"/>
      <c r="B48" s="1406"/>
      <c r="C48" s="1406"/>
      <c r="D48" s="1406"/>
      <c r="E48" s="1406"/>
      <c r="F48" s="1406"/>
      <c r="G48" s="1406"/>
      <c r="H48" s="877"/>
      <c r="I48" s="878"/>
      <c r="J48" s="879"/>
      <c r="K48" s="880"/>
      <c r="L48" s="865">
        <f t="shared" ref="L48:L79" si="3">K48*J48</f>
        <v>0</v>
      </c>
    </row>
    <row r="49" spans="1:12">
      <c r="A49" s="1405"/>
      <c r="B49" s="1406"/>
      <c r="C49" s="1406"/>
      <c r="D49" s="1406"/>
      <c r="E49" s="1406"/>
      <c r="F49" s="1406"/>
      <c r="G49" s="1406"/>
      <c r="H49" s="877"/>
      <c r="I49" s="878"/>
      <c r="J49" s="879"/>
      <c r="K49" s="880"/>
      <c r="L49" s="865">
        <f t="shared" si="3"/>
        <v>0</v>
      </c>
    </row>
    <row r="50" spans="1:12">
      <c r="A50" s="1405"/>
      <c r="B50" s="1406"/>
      <c r="C50" s="1406"/>
      <c r="D50" s="1406"/>
      <c r="E50" s="1406"/>
      <c r="F50" s="1406"/>
      <c r="G50" s="1406"/>
      <c r="H50" s="877"/>
      <c r="I50" s="878"/>
      <c r="J50" s="879"/>
      <c r="K50" s="880"/>
      <c r="L50" s="865">
        <f t="shared" si="3"/>
        <v>0</v>
      </c>
    </row>
    <row r="51" spans="1:12">
      <c r="A51" s="1405"/>
      <c r="B51" s="1406"/>
      <c r="C51" s="1406"/>
      <c r="D51" s="1406"/>
      <c r="E51" s="1406"/>
      <c r="F51" s="1406"/>
      <c r="G51" s="1406"/>
      <c r="H51" s="877"/>
      <c r="I51" s="878"/>
      <c r="J51" s="879"/>
      <c r="K51" s="880"/>
      <c r="L51" s="865">
        <f t="shared" si="3"/>
        <v>0</v>
      </c>
    </row>
    <row r="52" spans="1:12">
      <c r="A52" s="1405"/>
      <c r="B52" s="1406"/>
      <c r="C52" s="1406"/>
      <c r="D52" s="1406"/>
      <c r="E52" s="1406"/>
      <c r="F52" s="1406"/>
      <c r="G52" s="1406"/>
      <c r="H52" s="877"/>
      <c r="I52" s="878"/>
      <c r="J52" s="879"/>
      <c r="K52" s="880"/>
      <c r="L52" s="865">
        <f t="shared" si="3"/>
        <v>0</v>
      </c>
    </row>
    <row r="53" spans="1:12">
      <c r="A53" s="1405"/>
      <c r="B53" s="1406"/>
      <c r="C53" s="1406"/>
      <c r="D53" s="1406"/>
      <c r="E53" s="1406"/>
      <c r="F53" s="1406"/>
      <c r="G53" s="1406"/>
      <c r="H53" s="877"/>
      <c r="I53" s="878"/>
      <c r="J53" s="879"/>
      <c r="K53" s="880"/>
      <c r="L53" s="865">
        <f t="shared" si="3"/>
        <v>0</v>
      </c>
    </row>
    <row r="54" spans="1:12">
      <c r="A54" s="1405"/>
      <c r="B54" s="1406"/>
      <c r="C54" s="1406"/>
      <c r="D54" s="1406"/>
      <c r="E54" s="1406"/>
      <c r="F54" s="1406"/>
      <c r="G54" s="1406"/>
      <c r="H54" s="877"/>
      <c r="I54" s="878"/>
      <c r="J54" s="879"/>
      <c r="K54" s="880"/>
      <c r="L54" s="865">
        <f t="shared" si="3"/>
        <v>0</v>
      </c>
    </row>
    <row r="55" spans="1:12">
      <c r="A55" s="1407" t="str">
        <f>'Pricing Schedule'!A40&amp;" " &amp;'Pricing Schedule'!B40</f>
        <v xml:space="preserve"> (ii)  Engineering Geologist for logging of cores and Profiling of test pits</v>
      </c>
      <c r="B55" s="1408"/>
      <c r="C55" s="1408"/>
      <c r="D55" s="1408"/>
      <c r="E55" s="1408"/>
      <c r="F55" s="1408"/>
      <c r="G55" s="1408"/>
      <c r="H55" s="861">
        <f>'Pricing Schedule'!F40</f>
        <v>500000</v>
      </c>
      <c r="I55" s="532"/>
      <c r="J55" s="532"/>
      <c r="K55" s="864">
        <f>IF(H55=0,L55/100,(L55/H55))</f>
        <v>0</v>
      </c>
      <c r="L55" s="863">
        <f>SUM(L56:L62)</f>
        <v>0</v>
      </c>
    </row>
    <row r="56" spans="1:12">
      <c r="A56" s="1405"/>
      <c r="B56" s="1406"/>
      <c r="C56" s="1406"/>
      <c r="D56" s="1406"/>
      <c r="E56" s="1406"/>
      <c r="F56" s="1406"/>
      <c r="G56" s="1406"/>
      <c r="H56" s="877"/>
      <c r="I56" s="878"/>
      <c r="J56" s="879"/>
      <c r="K56" s="880"/>
      <c r="L56" s="865">
        <f t="shared" si="3"/>
        <v>0</v>
      </c>
    </row>
    <row r="57" spans="1:12">
      <c r="A57" s="1405"/>
      <c r="B57" s="1406"/>
      <c r="C57" s="1406"/>
      <c r="D57" s="1406"/>
      <c r="E57" s="1406"/>
      <c r="F57" s="1406"/>
      <c r="G57" s="1406"/>
      <c r="H57" s="877"/>
      <c r="I57" s="878"/>
      <c r="J57" s="879"/>
      <c r="K57" s="880"/>
      <c r="L57" s="865">
        <f t="shared" si="3"/>
        <v>0</v>
      </c>
    </row>
    <row r="58" spans="1:12">
      <c r="A58" s="1405"/>
      <c r="B58" s="1406"/>
      <c r="C58" s="1406"/>
      <c r="D58" s="1406"/>
      <c r="E58" s="1406"/>
      <c r="F58" s="1406"/>
      <c r="G58" s="1406"/>
      <c r="H58" s="877"/>
      <c r="I58" s="878"/>
      <c r="J58" s="879"/>
      <c r="K58" s="880"/>
      <c r="L58" s="865">
        <f t="shared" si="3"/>
        <v>0</v>
      </c>
    </row>
    <row r="59" spans="1:12">
      <c r="A59" s="1405"/>
      <c r="B59" s="1406"/>
      <c r="C59" s="1406"/>
      <c r="D59" s="1406"/>
      <c r="E59" s="1406"/>
      <c r="F59" s="1406"/>
      <c r="G59" s="1406"/>
      <c r="H59" s="877"/>
      <c r="I59" s="878"/>
      <c r="J59" s="879"/>
      <c r="K59" s="880"/>
      <c r="L59" s="865">
        <f t="shared" si="3"/>
        <v>0</v>
      </c>
    </row>
    <row r="60" spans="1:12">
      <c r="A60" s="1405"/>
      <c r="B60" s="1406"/>
      <c r="C60" s="1406"/>
      <c r="D60" s="1406"/>
      <c r="E60" s="1406"/>
      <c r="F60" s="1406"/>
      <c r="G60" s="1406"/>
      <c r="H60" s="877"/>
      <c r="I60" s="878"/>
      <c r="J60" s="879"/>
      <c r="K60" s="880"/>
      <c r="L60" s="865">
        <f t="shared" si="3"/>
        <v>0</v>
      </c>
    </row>
    <row r="61" spans="1:12">
      <c r="A61" s="1405"/>
      <c r="B61" s="1406"/>
      <c r="C61" s="1406"/>
      <c r="D61" s="1406"/>
      <c r="E61" s="1406"/>
      <c r="F61" s="1406"/>
      <c r="G61" s="1406"/>
      <c r="H61" s="877"/>
      <c r="I61" s="878"/>
      <c r="J61" s="879"/>
      <c r="K61" s="880"/>
      <c r="L61" s="865">
        <f t="shared" si="3"/>
        <v>0</v>
      </c>
    </row>
    <row r="62" spans="1:12">
      <c r="A62" s="1405"/>
      <c r="B62" s="1406"/>
      <c r="C62" s="1406"/>
      <c r="D62" s="1406"/>
      <c r="E62" s="1406"/>
      <c r="F62" s="1406"/>
      <c r="G62" s="1406"/>
      <c r="H62" s="877"/>
      <c r="I62" s="878"/>
      <c r="J62" s="879"/>
      <c r="K62" s="880"/>
      <c r="L62" s="865">
        <f t="shared" si="3"/>
        <v>0</v>
      </c>
    </row>
    <row r="63" spans="1:12">
      <c r="A63" s="1407" t="str">
        <f>'Pricing Schedule'!A41&amp;" " &amp;'Pricing Schedule'!B41</f>
        <v xml:space="preserve">    (iii)  Accommodation costs</v>
      </c>
      <c r="B63" s="1408"/>
      <c r="C63" s="1408"/>
      <c r="D63" s="1408"/>
      <c r="E63" s="1408"/>
      <c r="F63" s="1408"/>
      <c r="G63" s="1408"/>
      <c r="H63" s="861">
        <f>'Pricing Schedule'!F41</f>
        <v>150000</v>
      </c>
      <c r="I63" s="532"/>
      <c r="J63" s="532"/>
      <c r="K63" s="864">
        <f>IF(H63=0,L63/100,(L63/H63))</f>
        <v>0</v>
      </c>
      <c r="L63" s="863">
        <f>SUM(L64:L70)</f>
        <v>0</v>
      </c>
    </row>
    <row r="64" spans="1:12">
      <c r="A64" s="1405"/>
      <c r="B64" s="1406"/>
      <c r="C64" s="1406"/>
      <c r="D64" s="1406"/>
      <c r="E64" s="1406"/>
      <c r="F64" s="1406"/>
      <c r="G64" s="1406"/>
      <c r="H64" s="877"/>
      <c r="I64" s="878"/>
      <c r="J64" s="879"/>
      <c r="K64" s="880"/>
      <c r="L64" s="865">
        <f t="shared" si="3"/>
        <v>0</v>
      </c>
    </row>
    <row r="65" spans="1:12">
      <c r="A65" s="1405"/>
      <c r="B65" s="1406"/>
      <c r="C65" s="1406"/>
      <c r="D65" s="1406"/>
      <c r="E65" s="1406"/>
      <c r="F65" s="1406"/>
      <c r="G65" s="1406"/>
      <c r="H65" s="877"/>
      <c r="I65" s="878"/>
      <c r="J65" s="879"/>
      <c r="K65" s="880"/>
      <c r="L65" s="865">
        <f t="shared" si="3"/>
        <v>0</v>
      </c>
    </row>
    <row r="66" spans="1:12">
      <c r="A66" s="1405"/>
      <c r="B66" s="1406"/>
      <c r="C66" s="1406"/>
      <c r="D66" s="1406"/>
      <c r="E66" s="1406"/>
      <c r="F66" s="1406"/>
      <c r="G66" s="1406"/>
      <c r="H66" s="877"/>
      <c r="I66" s="878"/>
      <c r="J66" s="879"/>
      <c r="K66" s="880"/>
      <c r="L66" s="865">
        <f t="shared" si="3"/>
        <v>0</v>
      </c>
    </row>
    <row r="67" spans="1:12">
      <c r="A67" s="1405"/>
      <c r="B67" s="1406"/>
      <c r="C67" s="1406"/>
      <c r="D67" s="1406"/>
      <c r="E67" s="1406"/>
      <c r="F67" s="1406"/>
      <c r="G67" s="1406"/>
      <c r="H67" s="877"/>
      <c r="I67" s="878"/>
      <c r="J67" s="879"/>
      <c r="K67" s="880"/>
      <c r="L67" s="865">
        <f t="shared" si="3"/>
        <v>0</v>
      </c>
    </row>
    <row r="68" spans="1:12">
      <c r="A68" s="1405"/>
      <c r="B68" s="1406"/>
      <c r="C68" s="1406"/>
      <c r="D68" s="1406"/>
      <c r="E68" s="1406"/>
      <c r="F68" s="1406"/>
      <c r="G68" s="1406"/>
      <c r="H68" s="877"/>
      <c r="I68" s="878"/>
      <c r="J68" s="879"/>
      <c r="K68" s="880"/>
      <c r="L68" s="865">
        <f t="shared" si="3"/>
        <v>0</v>
      </c>
    </row>
    <row r="69" spans="1:12">
      <c r="A69" s="1405"/>
      <c r="B69" s="1406"/>
      <c r="C69" s="1406"/>
      <c r="D69" s="1406"/>
      <c r="E69" s="1406"/>
      <c r="F69" s="1406"/>
      <c r="G69" s="1406"/>
      <c r="H69" s="877"/>
      <c r="I69" s="878"/>
      <c r="J69" s="879"/>
      <c r="K69" s="880"/>
      <c r="L69" s="865">
        <f t="shared" si="3"/>
        <v>0</v>
      </c>
    </row>
    <row r="70" spans="1:12">
      <c r="A70" s="1405"/>
      <c r="B70" s="1406"/>
      <c r="C70" s="1406"/>
      <c r="D70" s="1406"/>
      <c r="E70" s="1406"/>
      <c r="F70" s="1406"/>
      <c r="G70" s="1406"/>
      <c r="H70" s="877"/>
      <c r="I70" s="878"/>
      <c r="J70" s="879"/>
      <c r="K70" s="880"/>
      <c r="L70" s="865">
        <f t="shared" si="3"/>
        <v>0</v>
      </c>
    </row>
    <row r="71" spans="1:12" ht="15">
      <c r="A71" s="1407" t="str">
        <f>'Pricing Schedule'!A43&amp;" " &amp;'Pricing Schedule'!B43</f>
        <v xml:space="preserve"> (e)  Contracting Services for Geotechnical and Drilling Works:</v>
      </c>
      <c r="B71" s="1408"/>
      <c r="C71" s="1408"/>
      <c r="D71" s="1408"/>
      <c r="E71" s="1408"/>
      <c r="F71" s="1408"/>
      <c r="G71" s="1408"/>
      <c r="H71" s="861"/>
      <c r="I71" s="532"/>
      <c r="J71" s="862"/>
      <c r="K71" s="532"/>
      <c r="L71" s="863"/>
    </row>
    <row r="72" spans="1:12">
      <c r="A72" s="1407" t="str">
        <f>'Pricing Schedule'!A44&amp;" " &amp;'Pricing Schedule'!B44</f>
        <v xml:space="preserve"> (i)  Geotechnical and Drilling contractor</v>
      </c>
      <c r="B72" s="1408"/>
      <c r="C72" s="1408"/>
      <c r="D72" s="1408"/>
      <c r="E72" s="1408"/>
      <c r="F72" s="1408"/>
      <c r="G72" s="1408"/>
      <c r="H72" s="861">
        <f>'Pricing Schedule'!F44</f>
        <v>12000000</v>
      </c>
      <c r="I72" s="532"/>
      <c r="J72" s="532"/>
      <c r="K72" s="864">
        <f>IF(H72=0,L72/100,(L72/H72))</f>
        <v>0</v>
      </c>
      <c r="L72" s="863">
        <f>SUM(L73:L79)</f>
        <v>0</v>
      </c>
    </row>
    <row r="73" spans="1:12">
      <c r="A73" s="1405"/>
      <c r="B73" s="1406"/>
      <c r="C73" s="1406"/>
      <c r="D73" s="1406"/>
      <c r="E73" s="1406"/>
      <c r="F73" s="1406"/>
      <c r="G73" s="1406"/>
      <c r="H73" s="877"/>
      <c r="I73" s="878"/>
      <c r="J73" s="879"/>
      <c r="K73" s="880"/>
      <c r="L73" s="865">
        <f t="shared" si="3"/>
        <v>0</v>
      </c>
    </row>
    <row r="74" spans="1:12">
      <c r="A74" s="1405"/>
      <c r="B74" s="1406"/>
      <c r="C74" s="1406"/>
      <c r="D74" s="1406"/>
      <c r="E74" s="1406"/>
      <c r="F74" s="1406"/>
      <c r="G74" s="1406"/>
      <c r="H74" s="877"/>
      <c r="I74" s="878"/>
      <c r="J74" s="879"/>
      <c r="K74" s="880"/>
      <c r="L74" s="865">
        <f t="shared" si="3"/>
        <v>0</v>
      </c>
    </row>
    <row r="75" spans="1:12">
      <c r="A75" s="1405"/>
      <c r="B75" s="1406"/>
      <c r="C75" s="1406"/>
      <c r="D75" s="1406"/>
      <c r="E75" s="1406"/>
      <c r="F75" s="1406"/>
      <c r="G75" s="1406"/>
      <c r="H75" s="877"/>
      <c r="I75" s="878"/>
      <c r="J75" s="879"/>
      <c r="K75" s="880"/>
      <c r="L75" s="865">
        <f t="shared" si="3"/>
        <v>0</v>
      </c>
    </row>
    <row r="76" spans="1:12">
      <c r="A76" s="1405"/>
      <c r="B76" s="1406"/>
      <c r="C76" s="1406"/>
      <c r="D76" s="1406"/>
      <c r="E76" s="1406"/>
      <c r="F76" s="1406"/>
      <c r="G76" s="1406"/>
      <c r="H76" s="877"/>
      <c r="I76" s="878"/>
      <c r="J76" s="879"/>
      <c r="K76" s="880"/>
      <c r="L76" s="865">
        <f t="shared" si="3"/>
        <v>0</v>
      </c>
    </row>
    <row r="77" spans="1:12">
      <c r="A77" s="1405"/>
      <c r="B77" s="1406"/>
      <c r="C77" s="1406"/>
      <c r="D77" s="1406"/>
      <c r="E77" s="1406"/>
      <c r="F77" s="1406"/>
      <c r="G77" s="1406"/>
      <c r="H77" s="877"/>
      <c r="I77" s="878"/>
      <c r="J77" s="879"/>
      <c r="K77" s="880"/>
      <c r="L77" s="865">
        <f t="shared" si="3"/>
        <v>0</v>
      </c>
    </row>
    <row r="78" spans="1:12">
      <c r="A78" s="1405"/>
      <c r="B78" s="1406"/>
      <c r="C78" s="1406"/>
      <c r="D78" s="1406"/>
      <c r="E78" s="1406"/>
      <c r="F78" s="1406"/>
      <c r="G78" s="1406"/>
      <c r="H78" s="877"/>
      <c r="I78" s="878"/>
      <c r="J78" s="879"/>
      <c r="K78" s="880"/>
      <c r="L78" s="865">
        <f t="shared" si="3"/>
        <v>0</v>
      </c>
    </row>
    <row r="79" spans="1:12">
      <c r="A79" s="1405"/>
      <c r="B79" s="1406"/>
      <c r="C79" s="1406"/>
      <c r="D79" s="1406"/>
      <c r="E79" s="1406"/>
      <c r="F79" s="1406"/>
      <c r="G79" s="1406"/>
      <c r="H79" s="877"/>
      <c r="I79" s="878"/>
      <c r="J79" s="879"/>
      <c r="K79" s="880"/>
      <c r="L79" s="865">
        <f t="shared" si="3"/>
        <v>0</v>
      </c>
    </row>
    <row r="80" spans="1:12" ht="15">
      <c r="A80" s="1407" t="str">
        <f>'Pricing Schedule'!A55&amp;" " &amp;'Pricing Schedule'!B55</f>
        <v>3.3.6 Laboratory testing and reporting</v>
      </c>
      <c r="B80" s="1408"/>
      <c r="C80" s="1408"/>
      <c r="D80" s="1408"/>
      <c r="E80" s="1408"/>
      <c r="F80" s="1408"/>
      <c r="G80" s="1408"/>
      <c r="H80" s="861"/>
      <c r="I80" s="532"/>
      <c r="J80" s="862"/>
      <c r="K80" s="532"/>
      <c r="L80" s="863"/>
    </row>
    <row r="81" spans="1:12" ht="15">
      <c r="A81" s="1429" t="str">
        <f>'Pricing Schedule'!A85&amp;" " &amp;'Pricing Schedule'!B85</f>
        <v xml:space="preserve"> (b) Laboratory Testing where no schedule is available, or specialised testing</v>
      </c>
      <c r="B81" s="1430"/>
      <c r="C81" s="1430"/>
      <c r="D81" s="1430"/>
      <c r="E81" s="1430"/>
      <c r="F81" s="1430"/>
      <c r="G81" s="1431"/>
      <c r="H81" s="861">
        <f>'Pricing Schedule'!F85</f>
        <v>850000</v>
      </c>
      <c r="I81" s="532"/>
      <c r="J81" s="532"/>
      <c r="K81" s="864">
        <f>IF(H81=0,L81/100,(L81/H81))</f>
        <v>0</v>
      </c>
      <c r="L81" s="863">
        <f>SUM(L82:L88)</f>
        <v>0</v>
      </c>
    </row>
    <row r="82" spans="1:12">
      <c r="A82" s="1405"/>
      <c r="B82" s="1406"/>
      <c r="C82" s="1406"/>
      <c r="D82" s="1406"/>
      <c r="E82" s="1406"/>
      <c r="F82" s="1406"/>
      <c r="G82" s="1406"/>
      <c r="H82" s="877"/>
      <c r="I82" s="878"/>
      <c r="J82" s="879"/>
      <c r="K82" s="880"/>
      <c r="L82" s="865">
        <f>K82*J82</f>
        <v>0</v>
      </c>
    </row>
    <row r="83" spans="1:12">
      <c r="A83" s="1405"/>
      <c r="B83" s="1406"/>
      <c r="C83" s="1406"/>
      <c r="D83" s="1406"/>
      <c r="E83" s="1406"/>
      <c r="F83" s="1406"/>
      <c r="G83" s="1406"/>
      <c r="H83" s="877"/>
      <c r="I83" s="878"/>
      <c r="J83" s="879"/>
      <c r="K83" s="880"/>
      <c r="L83" s="865">
        <f t="shared" ref="L83:L88" si="4">K83*J83</f>
        <v>0</v>
      </c>
    </row>
    <row r="84" spans="1:12">
      <c r="A84" s="1405"/>
      <c r="B84" s="1406"/>
      <c r="C84" s="1406"/>
      <c r="D84" s="1406"/>
      <c r="E84" s="1406"/>
      <c r="F84" s="1406"/>
      <c r="G84" s="1406"/>
      <c r="H84" s="877"/>
      <c r="I84" s="878"/>
      <c r="J84" s="879"/>
      <c r="K84" s="880"/>
      <c r="L84" s="865">
        <f t="shared" si="4"/>
        <v>0</v>
      </c>
    </row>
    <row r="85" spans="1:12">
      <c r="A85" s="1405"/>
      <c r="B85" s="1406"/>
      <c r="C85" s="1406"/>
      <c r="D85" s="1406"/>
      <c r="E85" s="1406"/>
      <c r="F85" s="1406"/>
      <c r="G85" s="1406"/>
      <c r="H85" s="877"/>
      <c r="I85" s="878"/>
      <c r="J85" s="879"/>
      <c r="K85" s="880"/>
      <c r="L85" s="865">
        <f t="shared" si="4"/>
        <v>0</v>
      </c>
    </row>
    <row r="86" spans="1:12">
      <c r="A86" s="1405"/>
      <c r="B86" s="1406"/>
      <c r="C86" s="1406"/>
      <c r="D86" s="1406"/>
      <c r="E86" s="1406"/>
      <c r="F86" s="1406"/>
      <c r="G86" s="1406"/>
      <c r="H86" s="877"/>
      <c r="I86" s="878"/>
      <c r="J86" s="879"/>
      <c r="K86" s="880"/>
      <c r="L86" s="865">
        <f t="shared" si="4"/>
        <v>0</v>
      </c>
    </row>
    <row r="87" spans="1:12">
      <c r="A87" s="1405"/>
      <c r="B87" s="1406"/>
      <c r="C87" s="1406"/>
      <c r="D87" s="1406"/>
      <c r="E87" s="1406"/>
      <c r="F87" s="1406"/>
      <c r="G87" s="1406"/>
      <c r="H87" s="877"/>
      <c r="I87" s="878"/>
      <c r="J87" s="879"/>
      <c r="K87" s="880"/>
      <c r="L87" s="865">
        <f t="shared" si="4"/>
        <v>0</v>
      </c>
    </row>
    <row r="88" spans="1:12" ht="13.5" thickBot="1">
      <c r="A88" s="1405"/>
      <c r="B88" s="1406"/>
      <c r="C88" s="1406"/>
      <c r="D88" s="1406"/>
      <c r="E88" s="1406"/>
      <c r="F88" s="1406"/>
      <c r="G88" s="1406"/>
      <c r="H88" s="877"/>
      <c r="I88" s="878"/>
      <c r="J88" s="879"/>
      <c r="K88" s="880"/>
      <c r="L88" s="865">
        <f t="shared" si="4"/>
        <v>0</v>
      </c>
    </row>
    <row r="89" spans="1:12">
      <c r="A89" s="1412"/>
      <c r="B89" s="1413"/>
      <c r="C89" s="1413"/>
      <c r="D89" s="1413"/>
      <c r="E89" s="1413"/>
      <c r="F89" s="1413"/>
      <c r="G89" s="1413"/>
      <c r="H89" s="1414"/>
      <c r="I89" s="866"/>
      <c r="J89" s="867" t="s">
        <v>368</v>
      </c>
      <c r="K89" s="868">
        <f>'C3.3'!A7</f>
        <v>3.3</v>
      </c>
      <c r="L89" s="534">
        <f>L11+L20+L29+L38+L47+L55+L63+L72+L81</f>
        <v>0</v>
      </c>
    </row>
    <row r="90" spans="1:12" ht="13.5" thickBot="1">
      <c r="A90" s="1420"/>
      <c r="B90" s="1421"/>
      <c r="C90" s="1421"/>
      <c r="D90" s="1421"/>
      <c r="E90" s="1421"/>
      <c r="F90" s="1421"/>
      <c r="G90" s="1421"/>
      <c r="H90" s="1422"/>
      <c r="I90" s="869"/>
      <c r="J90" s="869"/>
      <c r="K90" s="870"/>
      <c r="L90" s="871"/>
    </row>
    <row r="91" spans="1:12" ht="13.5" thickBot="1">
      <c r="A91" s="1409" t="s">
        <v>420</v>
      </c>
      <c r="B91" s="1410"/>
      <c r="C91" s="1410"/>
      <c r="D91" s="1410"/>
      <c r="E91" s="1410"/>
      <c r="F91" s="1410"/>
      <c r="G91" s="1410"/>
      <c r="H91" s="1410"/>
      <c r="I91" s="1410"/>
      <c r="J91" s="1410"/>
      <c r="K91" s="1411"/>
      <c r="L91" s="872">
        <f>L89</f>
        <v>0</v>
      </c>
    </row>
    <row r="92" spans="1:12" ht="15.75">
      <c r="L92" s="857" t="s">
        <v>421</v>
      </c>
    </row>
    <row r="93" spans="1:12" ht="8.25" customHeight="1">
      <c r="L93" s="858"/>
    </row>
    <row r="94" spans="1:12" ht="15.75" customHeight="1">
      <c r="A94" s="1432" t="s">
        <v>422</v>
      </c>
      <c r="B94" s="1364"/>
      <c r="C94" s="524" t="str">
        <f>$C$3</f>
        <v>NRA.N.011-050-2012/1F</v>
      </c>
      <c r="D94" s="403"/>
      <c r="E94" s="403"/>
      <c r="F94" s="1428">
        <f>$F$3</f>
        <v>44804</v>
      </c>
      <c r="G94" s="1428"/>
      <c r="H94" s="1424" t="s">
        <v>379</v>
      </c>
      <c r="I94" s="1424"/>
      <c r="J94" s="1424"/>
      <c r="K94" s="1423">
        <f>$K$3</f>
        <v>1</v>
      </c>
      <c r="L94" s="1366"/>
    </row>
    <row r="95" spans="1:12" ht="15.75" customHeight="1" thickBot="1"/>
    <row r="96" spans="1:12" ht="15.75" customHeight="1">
      <c r="A96" s="439"/>
      <c r="B96" s="440"/>
      <c r="C96" s="440"/>
      <c r="D96" s="440"/>
      <c r="E96" s="440"/>
      <c r="F96" s="440"/>
      <c r="G96" s="440"/>
      <c r="H96" s="440"/>
      <c r="I96" s="440"/>
      <c r="J96" s="440"/>
      <c r="K96" s="440"/>
      <c r="L96" s="525"/>
    </row>
    <row r="97" spans="1:12" ht="15.75" customHeight="1">
      <c r="A97" s="1358" t="s">
        <v>419</v>
      </c>
      <c r="B97" s="1359"/>
      <c r="C97" s="1359"/>
      <c r="D97" s="1359"/>
      <c r="E97" s="1359"/>
      <c r="F97" s="1359"/>
      <c r="G97" s="1359"/>
      <c r="H97" s="1359"/>
      <c r="I97" s="1359"/>
      <c r="J97" s="1359"/>
      <c r="K97" s="1359"/>
      <c r="L97" s="1360"/>
    </row>
    <row r="98" spans="1:12" ht="15.75" customHeight="1" thickBot="1">
      <c r="A98" s="526"/>
      <c r="L98" s="527"/>
    </row>
    <row r="99" spans="1:12" ht="15.75" customHeight="1" thickBot="1">
      <c r="A99" s="1425" t="s">
        <v>0</v>
      </c>
      <c r="B99" s="1426"/>
      <c r="C99" s="1426"/>
      <c r="D99" s="1426"/>
      <c r="E99" s="1426"/>
      <c r="F99" s="1426"/>
      <c r="G99" s="1426"/>
      <c r="H99" s="1427"/>
      <c r="I99" s="528" t="s">
        <v>1</v>
      </c>
      <c r="J99" s="528" t="s">
        <v>2</v>
      </c>
      <c r="K99" s="528" t="s">
        <v>3</v>
      </c>
      <c r="L99" s="529" t="s">
        <v>404</v>
      </c>
    </row>
    <row r="100" spans="1:12" ht="12.75" customHeight="1" thickBot="1">
      <c r="A100" s="1409" t="s">
        <v>423</v>
      </c>
      <c r="B100" s="1410"/>
      <c r="C100" s="1410"/>
      <c r="D100" s="1410"/>
      <c r="E100" s="1410"/>
      <c r="F100" s="1410"/>
      <c r="G100" s="1410"/>
      <c r="H100" s="1410"/>
      <c r="I100" s="1410"/>
      <c r="J100" s="1410"/>
      <c r="K100" s="1411"/>
      <c r="L100" s="545">
        <f>L91</f>
        <v>0</v>
      </c>
    </row>
    <row r="101" spans="1:12" ht="12.75" customHeight="1">
      <c r="A101" s="1433" t="str">
        <f>'Pricing Schedule'!A88&amp;" " &amp;'Pricing Schedule'!B88</f>
        <v>3.4 DESIGN DEVELOPMENT STAGE</v>
      </c>
      <c r="B101" s="1434"/>
      <c r="C101" s="1434"/>
      <c r="D101" s="1434"/>
      <c r="E101" s="1434"/>
      <c r="F101" s="1434"/>
      <c r="G101" s="1434"/>
      <c r="H101" s="860"/>
      <c r="I101" s="535"/>
      <c r="J101" s="535"/>
      <c r="K101" s="535"/>
      <c r="L101" s="536"/>
    </row>
    <row r="102" spans="1:12" ht="15">
      <c r="A102" s="1407" t="str">
        <f>'Pricing Schedule'!A164&amp;" " &amp;'Pricing Schedule'!B164</f>
        <v>3.4.6 Road Safety Audit:  Feasibility/Preliminary/Detail</v>
      </c>
      <c r="B102" s="1408"/>
      <c r="C102" s="1408"/>
      <c r="D102" s="1408"/>
      <c r="E102" s="1408"/>
      <c r="F102" s="1408"/>
      <c r="G102" s="1408"/>
      <c r="H102" s="861"/>
      <c r="I102" s="532"/>
      <c r="J102" s="862"/>
      <c r="K102" s="532"/>
      <c r="L102" s="863"/>
    </row>
    <row r="103" spans="1:12">
      <c r="A103" s="1407" t="str">
        <f>'Pricing Schedule'!A165&amp;" " &amp;'Pricing Schedule'!B165</f>
        <v xml:space="preserve"> (a) Road Safety Audit</v>
      </c>
      <c r="B103" s="1408"/>
      <c r="C103" s="1408"/>
      <c r="D103" s="1408"/>
      <c r="E103" s="1408"/>
      <c r="F103" s="1408"/>
      <c r="G103" s="1408"/>
      <c r="H103" s="861">
        <f>'Pricing Schedule'!F165</f>
        <v>1000000</v>
      </c>
      <c r="I103" s="532"/>
      <c r="J103" s="532"/>
      <c r="K103" s="864">
        <f>IF(H103=0,L103/100,(L103/H103))</f>
        <v>0</v>
      </c>
      <c r="L103" s="863">
        <f>SUM(L104:L110)</f>
        <v>0</v>
      </c>
    </row>
    <row r="104" spans="1:12">
      <c r="A104" s="1405"/>
      <c r="B104" s="1406"/>
      <c r="C104" s="1406"/>
      <c r="D104" s="1406"/>
      <c r="E104" s="1406"/>
      <c r="F104" s="1406"/>
      <c r="G104" s="1406"/>
      <c r="H104" s="877"/>
      <c r="I104" s="878"/>
      <c r="J104" s="879"/>
      <c r="K104" s="880"/>
      <c r="L104" s="865">
        <f>K104*J104</f>
        <v>0</v>
      </c>
    </row>
    <row r="105" spans="1:12">
      <c r="A105" s="1405"/>
      <c r="B105" s="1406"/>
      <c r="C105" s="1406"/>
      <c r="D105" s="1406"/>
      <c r="E105" s="1406"/>
      <c r="F105" s="1406"/>
      <c r="G105" s="1406"/>
      <c r="H105" s="877"/>
      <c r="I105" s="878"/>
      <c r="J105" s="879"/>
      <c r="K105" s="880"/>
      <c r="L105" s="865">
        <f t="shared" ref="L105:L110" si="5">K105*J105</f>
        <v>0</v>
      </c>
    </row>
    <row r="106" spans="1:12">
      <c r="A106" s="1405"/>
      <c r="B106" s="1406"/>
      <c r="C106" s="1406"/>
      <c r="D106" s="1406"/>
      <c r="E106" s="1406"/>
      <c r="F106" s="1406"/>
      <c r="G106" s="1406"/>
      <c r="H106" s="877"/>
      <c r="I106" s="878"/>
      <c r="J106" s="879"/>
      <c r="K106" s="880"/>
      <c r="L106" s="865">
        <f t="shared" si="5"/>
        <v>0</v>
      </c>
    </row>
    <row r="107" spans="1:12">
      <c r="A107" s="1405"/>
      <c r="B107" s="1406"/>
      <c r="C107" s="1406"/>
      <c r="D107" s="1406"/>
      <c r="E107" s="1406"/>
      <c r="F107" s="1406"/>
      <c r="G107" s="1406"/>
      <c r="H107" s="877"/>
      <c r="I107" s="878"/>
      <c r="J107" s="879"/>
      <c r="K107" s="880"/>
      <c r="L107" s="865">
        <f t="shared" si="5"/>
        <v>0</v>
      </c>
    </row>
    <row r="108" spans="1:12">
      <c r="A108" s="1405"/>
      <c r="B108" s="1406"/>
      <c r="C108" s="1406"/>
      <c r="D108" s="1406"/>
      <c r="E108" s="1406"/>
      <c r="F108" s="1406"/>
      <c r="G108" s="1406"/>
      <c r="H108" s="877"/>
      <c r="I108" s="878"/>
      <c r="J108" s="879"/>
      <c r="K108" s="880"/>
      <c r="L108" s="865">
        <f t="shared" si="5"/>
        <v>0</v>
      </c>
    </row>
    <row r="109" spans="1:12">
      <c r="A109" s="1405"/>
      <c r="B109" s="1406"/>
      <c r="C109" s="1406"/>
      <c r="D109" s="1406"/>
      <c r="E109" s="1406"/>
      <c r="F109" s="1406"/>
      <c r="G109" s="1406"/>
      <c r="H109" s="877"/>
      <c r="I109" s="878"/>
      <c r="J109" s="879"/>
      <c r="K109" s="880"/>
      <c r="L109" s="865">
        <f t="shared" si="5"/>
        <v>0</v>
      </c>
    </row>
    <row r="110" spans="1:12">
      <c r="A110" s="1405"/>
      <c r="B110" s="1406"/>
      <c r="C110" s="1406"/>
      <c r="D110" s="1406"/>
      <c r="E110" s="1406"/>
      <c r="F110" s="1406"/>
      <c r="G110" s="1406"/>
      <c r="H110" s="877"/>
      <c r="I110" s="878"/>
      <c r="J110" s="879"/>
      <c r="K110" s="880"/>
      <c r="L110" s="865">
        <f t="shared" si="5"/>
        <v>0</v>
      </c>
    </row>
    <row r="111" spans="1:12" ht="15">
      <c r="A111" s="1407" t="str">
        <f>'Pricing Schedule'!A167&amp;" " &amp;'Pricing Schedule'!B167</f>
        <v>3.4.7 Road Safety Audit:  Construction/Pre-opening</v>
      </c>
      <c r="B111" s="1408"/>
      <c r="C111" s="1408"/>
      <c r="D111" s="1408"/>
      <c r="E111" s="1408"/>
      <c r="F111" s="1408"/>
      <c r="G111" s="1408"/>
      <c r="H111" s="861"/>
      <c r="I111" s="532"/>
      <c r="J111" s="862"/>
      <c r="K111" s="532"/>
      <c r="L111" s="863"/>
    </row>
    <row r="112" spans="1:12">
      <c r="A112" s="1407" t="str">
        <f>'Pricing Schedule'!A168&amp;" " &amp;'Pricing Schedule'!B168</f>
        <v xml:space="preserve"> (a)  Road Safety Audit</v>
      </c>
      <c r="B112" s="1408"/>
      <c r="C112" s="1408"/>
      <c r="D112" s="1408"/>
      <c r="E112" s="1408"/>
      <c r="F112" s="1408"/>
      <c r="G112" s="1408"/>
      <c r="H112" s="861">
        <f>'Pricing Schedule'!F168</f>
        <v>500000</v>
      </c>
      <c r="I112" s="532"/>
      <c r="J112" s="532"/>
      <c r="K112" s="864">
        <f>IF(H112=0,L112/100,(L112/H112))</f>
        <v>0</v>
      </c>
      <c r="L112" s="863">
        <f>SUM(L113:L119)</f>
        <v>0</v>
      </c>
    </row>
    <row r="113" spans="1:12">
      <c r="A113" s="1405"/>
      <c r="B113" s="1406"/>
      <c r="C113" s="1406"/>
      <c r="D113" s="1406"/>
      <c r="E113" s="1406"/>
      <c r="F113" s="1406"/>
      <c r="G113" s="1406"/>
      <c r="H113" s="877"/>
      <c r="I113" s="878"/>
      <c r="J113" s="879"/>
      <c r="K113" s="880"/>
      <c r="L113" s="865">
        <f>K113*J113</f>
        <v>0</v>
      </c>
    </row>
    <row r="114" spans="1:12">
      <c r="A114" s="1405"/>
      <c r="B114" s="1406"/>
      <c r="C114" s="1406"/>
      <c r="D114" s="1406"/>
      <c r="E114" s="1406"/>
      <c r="F114" s="1406"/>
      <c r="G114" s="1406"/>
      <c r="H114" s="877"/>
      <c r="I114" s="878"/>
      <c r="J114" s="879"/>
      <c r="K114" s="880"/>
      <c r="L114" s="865">
        <f t="shared" ref="L114:L119" si="6">K114*J114</f>
        <v>0</v>
      </c>
    </row>
    <row r="115" spans="1:12">
      <c r="A115" s="1405"/>
      <c r="B115" s="1406"/>
      <c r="C115" s="1406"/>
      <c r="D115" s="1406"/>
      <c r="E115" s="1406"/>
      <c r="F115" s="1406"/>
      <c r="G115" s="1406"/>
      <c r="H115" s="877"/>
      <c r="I115" s="878"/>
      <c r="J115" s="879"/>
      <c r="K115" s="880"/>
      <c r="L115" s="865">
        <f t="shared" si="6"/>
        <v>0</v>
      </c>
    </row>
    <row r="116" spans="1:12">
      <c r="A116" s="1405"/>
      <c r="B116" s="1406"/>
      <c r="C116" s="1406"/>
      <c r="D116" s="1406"/>
      <c r="E116" s="1406"/>
      <c r="F116" s="1406"/>
      <c r="G116" s="1406"/>
      <c r="H116" s="877"/>
      <c r="I116" s="878"/>
      <c r="J116" s="879"/>
      <c r="K116" s="880"/>
      <c r="L116" s="865">
        <f t="shared" si="6"/>
        <v>0</v>
      </c>
    </row>
    <row r="117" spans="1:12">
      <c r="A117" s="1405"/>
      <c r="B117" s="1406"/>
      <c r="C117" s="1406"/>
      <c r="D117" s="1406"/>
      <c r="E117" s="1406"/>
      <c r="F117" s="1406"/>
      <c r="G117" s="1406"/>
      <c r="H117" s="877"/>
      <c r="I117" s="878"/>
      <c r="J117" s="879"/>
      <c r="K117" s="880"/>
      <c r="L117" s="865">
        <f t="shared" si="6"/>
        <v>0</v>
      </c>
    </row>
    <row r="118" spans="1:12">
      <c r="A118" s="1405"/>
      <c r="B118" s="1406"/>
      <c r="C118" s="1406"/>
      <c r="D118" s="1406"/>
      <c r="E118" s="1406"/>
      <c r="F118" s="1406"/>
      <c r="G118" s="1406"/>
      <c r="H118" s="877"/>
      <c r="I118" s="878"/>
      <c r="J118" s="879"/>
      <c r="K118" s="880"/>
      <c r="L118" s="865">
        <f t="shared" si="6"/>
        <v>0</v>
      </c>
    </row>
    <row r="119" spans="1:12">
      <c r="A119" s="1405"/>
      <c r="B119" s="1406"/>
      <c r="C119" s="1406"/>
      <c r="D119" s="1406"/>
      <c r="E119" s="1406"/>
      <c r="F119" s="1406"/>
      <c r="G119" s="1406"/>
      <c r="H119" s="877"/>
      <c r="I119" s="878"/>
      <c r="J119" s="879"/>
      <c r="K119" s="880"/>
      <c r="L119" s="865">
        <f t="shared" si="6"/>
        <v>0</v>
      </c>
    </row>
    <row r="120" spans="1:12" ht="15">
      <c r="A120" s="1407" t="str">
        <f>'Pricing Schedule'!A171&amp;" " &amp;'Pricing Schedule'!B171</f>
        <v>3.4.9 Training</v>
      </c>
      <c r="B120" s="1408"/>
      <c r="C120" s="1408"/>
      <c r="D120" s="1408"/>
      <c r="E120" s="1408"/>
      <c r="F120" s="1408"/>
      <c r="G120" s="1408"/>
      <c r="H120" s="861"/>
      <c r="I120" s="532"/>
      <c r="J120" s="862"/>
      <c r="K120" s="532"/>
      <c r="L120" s="863"/>
    </row>
    <row r="121" spans="1:12" ht="15">
      <c r="A121" s="1407" t="str">
        <f>'Pricing Schedule'!A172&amp;" " &amp;'Pricing Schedule'!B172</f>
        <v xml:space="preserve"> (a)   Service Provider’s staff and Targeted Enterprises:</v>
      </c>
      <c r="B121" s="1408"/>
      <c r="C121" s="1408"/>
      <c r="D121" s="1408"/>
      <c r="E121" s="1408"/>
      <c r="F121" s="1408"/>
      <c r="G121" s="1408"/>
      <c r="H121" s="861"/>
      <c r="I121" s="532"/>
      <c r="J121" s="862"/>
      <c r="K121" s="532"/>
      <c r="L121" s="863"/>
    </row>
    <row r="122" spans="1:12">
      <c r="A122" s="1407" t="str">
        <f>'Pricing Schedule'!A175&amp;" " &amp;'Pricing Schedule'!B175</f>
        <v xml:space="preserve"> (iii)  Disbursements</v>
      </c>
      <c r="B122" s="1408"/>
      <c r="C122" s="1408"/>
      <c r="D122" s="1408"/>
      <c r="E122" s="1408"/>
      <c r="F122" s="1408"/>
      <c r="G122" s="1408"/>
      <c r="H122" s="861">
        <f>'Pricing Schedule'!F175</f>
        <v>150000</v>
      </c>
      <c r="I122" s="532"/>
      <c r="J122" s="532"/>
      <c r="K122" s="864">
        <f>IF(H122=0,L122/100,(L122/H122))</f>
        <v>0</v>
      </c>
      <c r="L122" s="863">
        <f>SUM(L123:L129)</f>
        <v>0</v>
      </c>
    </row>
    <row r="123" spans="1:12">
      <c r="A123" s="1405"/>
      <c r="B123" s="1406"/>
      <c r="C123" s="1406"/>
      <c r="D123" s="1406"/>
      <c r="E123" s="1406"/>
      <c r="F123" s="1406"/>
      <c r="G123" s="1406"/>
      <c r="H123" s="877"/>
      <c r="I123" s="878"/>
      <c r="J123" s="879"/>
      <c r="K123" s="880"/>
      <c r="L123" s="865">
        <f>K123*J123</f>
        <v>0</v>
      </c>
    </row>
    <row r="124" spans="1:12">
      <c r="A124" s="1405"/>
      <c r="B124" s="1406"/>
      <c r="C124" s="1406"/>
      <c r="D124" s="1406"/>
      <c r="E124" s="1406"/>
      <c r="F124" s="1406"/>
      <c r="G124" s="1406"/>
      <c r="H124" s="877"/>
      <c r="I124" s="878"/>
      <c r="J124" s="879"/>
      <c r="K124" s="880"/>
      <c r="L124" s="865">
        <f t="shared" ref="L124:L129" si="7">K124*J124</f>
        <v>0</v>
      </c>
    </row>
    <row r="125" spans="1:12">
      <c r="A125" s="1405"/>
      <c r="B125" s="1406"/>
      <c r="C125" s="1406"/>
      <c r="D125" s="1406"/>
      <c r="E125" s="1406"/>
      <c r="F125" s="1406"/>
      <c r="G125" s="1406"/>
      <c r="H125" s="877"/>
      <c r="I125" s="878"/>
      <c r="J125" s="879"/>
      <c r="K125" s="880"/>
      <c r="L125" s="865">
        <f t="shared" si="7"/>
        <v>0</v>
      </c>
    </row>
    <row r="126" spans="1:12">
      <c r="A126" s="1405"/>
      <c r="B126" s="1406"/>
      <c r="C126" s="1406"/>
      <c r="D126" s="1406"/>
      <c r="E126" s="1406"/>
      <c r="F126" s="1406"/>
      <c r="G126" s="1406"/>
      <c r="H126" s="877"/>
      <c r="I126" s="878"/>
      <c r="J126" s="879"/>
      <c r="K126" s="880"/>
      <c r="L126" s="865">
        <f t="shared" si="7"/>
        <v>0</v>
      </c>
    </row>
    <row r="127" spans="1:12">
      <c r="A127" s="1405"/>
      <c r="B127" s="1406"/>
      <c r="C127" s="1406"/>
      <c r="D127" s="1406"/>
      <c r="E127" s="1406"/>
      <c r="F127" s="1406"/>
      <c r="G127" s="1406"/>
      <c r="H127" s="877"/>
      <c r="I127" s="878"/>
      <c r="J127" s="879"/>
      <c r="K127" s="880"/>
      <c r="L127" s="865">
        <f t="shared" si="7"/>
        <v>0</v>
      </c>
    </row>
    <row r="128" spans="1:12">
      <c r="A128" s="1405"/>
      <c r="B128" s="1406"/>
      <c r="C128" s="1406"/>
      <c r="D128" s="1406"/>
      <c r="E128" s="1406"/>
      <c r="F128" s="1406"/>
      <c r="G128" s="1406"/>
      <c r="H128" s="877"/>
      <c r="I128" s="878"/>
      <c r="J128" s="879"/>
      <c r="K128" s="880"/>
      <c r="L128" s="865">
        <f t="shared" si="7"/>
        <v>0</v>
      </c>
    </row>
    <row r="129" spans="1:12">
      <c r="A129" s="1405"/>
      <c r="B129" s="1406"/>
      <c r="C129" s="1406"/>
      <c r="D129" s="1406"/>
      <c r="E129" s="1406"/>
      <c r="F129" s="1406"/>
      <c r="G129" s="1406"/>
      <c r="H129" s="877"/>
      <c r="I129" s="878"/>
      <c r="J129" s="879"/>
      <c r="K129" s="880"/>
      <c r="L129" s="865">
        <f t="shared" si="7"/>
        <v>0</v>
      </c>
    </row>
    <row r="130" spans="1:12" ht="15">
      <c r="A130" s="1407" t="str">
        <f>'Pricing Schedule'!A176&amp;" " &amp;'Pricing Schedule'!B176</f>
        <v xml:space="preserve"> (b)   Employer’s Trainees:</v>
      </c>
      <c r="B130" s="1408"/>
      <c r="C130" s="1408"/>
      <c r="D130" s="1408"/>
      <c r="E130" s="1408"/>
      <c r="F130" s="1408"/>
      <c r="G130" s="1408"/>
      <c r="H130" s="861"/>
      <c r="I130" s="532"/>
      <c r="J130" s="862"/>
      <c r="K130" s="532"/>
      <c r="L130" s="863"/>
    </row>
    <row r="131" spans="1:12">
      <c r="A131" s="1407" t="str">
        <f>'Pricing Schedule'!A179&amp;" " &amp;'Pricing Schedule'!B179</f>
        <v xml:space="preserve"> (iii)  Student stipend</v>
      </c>
      <c r="B131" s="1408"/>
      <c r="C131" s="1408"/>
      <c r="D131" s="1408"/>
      <c r="E131" s="1408"/>
      <c r="F131" s="1408"/>
      <c r="G131" s="1408"/>
      <c r="H131" s="861">
        <f>'Pricing Schedule'!F179</f>
        <v>500000</v>
      </c>
      <c r="I131" s="532"/>
      <c r="J131" s="532"/>
      <c r="K131" s="864">
        <f>IF(H131=0,L131/100,(L131/H131))</f>
        <v>0</v>
      </c>
      <c r="L131" s="863">
        <f>SUM(L132:L138)</f>
        <v>0</v>
      </c>
    </row>
    <row r="132" spans="1:12">
      <c r="A132" s="1405"/>
      <c r="B132" s="1406"/>
      <c r="C132" s="1406"/>
      <c r="D132" s="1406"/>
      <c r="E132" s="1406"/>
      <c r="F132" s="1406"/>
      <c r="G132" s="1406"/>
      <c r="H132" s="877"/>
      <c r="I132" s="878"/>
      <c r="J132" s="879"/>
      <c r="K132" s="880"/>
      <c r="L132" s="865">
        <f t="shared" ref="L132:L138" si="8">K132*J132</f>
        <v>0</v>
      </c>
    </row>
    <row r="133" spans="1:12">
      <c r="A133" s="1405"/>
      <c r="B133" s="1406"/>
      <c r="C133" s="1406"/>
      <c r="D133" s="1406"/>
      <c r="E133" s="1406"/>
      <c r="F133" s="1406"/>
      <c r="G133" s="1406"/>
      <c r="H133" s="877"/>
      <c r="I133" s="878"/>
      <c r="J133" s="879"/>
      <c r="K133" s="880"/>
      <c r="L133" s="865">
        <f t="shared" si="8"/>
        <v>0</v>
      </c>
    </row>
    <row r="134" spans="1:12">
      <c r="A134" s="1405"/>
      <c r="B134" s="1406"/>
      <c r="C134" s="1406"/>
      <c r="D134" s="1406"/>
      <c r="E134" s="1406"/>
      <c r="F134" s="1406"/>
      <c r="G134" s="1406"/>
      <c r="H134" s="877"/>
      <c r="I134" s="878"/>
      <c r="J134" s="879"/>
      <c r="K134" s="880"/>
      <c r="L134" s="865">
        <f t="shared" si="8"/>
        <v>0</v>
      </c>
    </row>
    <row r="135" spans="1:12">
      <c r="A135" s="1405"/>
      <c r="B135" s="1406"/>
      <c r="C135" s="1406"/>
      <c r="D135" s="1406"/>
      <c r="E135" s="1406"/>
      <c r="F135" s="1406"/>
      <c r="G135" s="1406"/>
      <c r="H135" s="877"/>
      <c r="I135" s="878"/>
      <c r="J135" s="879"/>
      <c r="K135" s="880"/>
      <c r="L135" s="865">
        <f t="shared" si="8"/>
        <v>0</v>
      </c>
    </row>
    <row r="136" spans="1:12">
      <c r="A136" s="1405"/>
      <c r="B136" s="1406"/>
      <c r="C136" s="1406"/>
      <c r="D136" s="1406"/>
      <c r="E136" s="1406"/>
      <c r="F136" s="1406"/>
      <c r="G136" s="1406"/>
      <c r="H136" s="877"/>
      <c r="I136" s="878"/>
      <c r="J136" s="879"/>
      <c r="K136" s="880"/>
      <c r="L136" s="865">
        <f t="shared" si="8"/>
        <v>0</v>
      </c>
    </row>
    <row r="137" spans="1:12">
      <c r="A137" s="1405"/>
      <c r="B137" s="1406"/>
      <c r="C137" s="1406"/>
      <c r="D137" s="1406"/>
      <c r="E137" s="1406"/>
      <c r="F137" s="1406"/>
      <c r="G137" s="1406"/>
      <c r="H137" s="877"/>
      <c r="I137" s="878"/>
      <c r="J137" s="879"/>
      <c r="K137" s="880"/>
      <c r="L137" s="865">
        <f t="shared" si="8"/>
        <v>0</v>
      </c>
    </row>
    <row r="138" spans="1:12">
      <c r="A138" s="1405"/>
      <c r="B138" s="1406"/>
      <c r="C138" s="1406"/>
      <c r="D138" s="1406"/>
      <c r="E138" s="1406"/>
      <c r="F138" s="1406"/>
      <c r="G138" s="1406"/>
      <c r="H138" s="877"/>
      <c r="I138" s="878"/>
      <c r="J138" s="879"/>
      <c r="K138" s="880"/>
      <c r="L138" s="865">
        <f t="shared" si="8"/>
        <v>0</v>
      </c>
    </row>
    <row r="139" spans="1:12" ht="15">
      <c r="A139" s="1407" t="str">
        <f>'Pricing Schedule'!A180&amp;" " &amp;'Pricing Schedule'!B180</f>
        <v>3.4.10 Phase / Stage discontinuity</v>
      </c>
      <c r="B139" s="1408"/>
      <c r="C139" s="1408"/>
      <c r="D139" s="1408"/>
      <c r="E139" s="1408"/>
      <c r="F139" s="1408"/>
      <c r="G139" s="1408"/>
      <c r="H139" s="861"/>
      <c r="I139" s="532"/>
      <c r="J139" s="862"/>
      <c r="K139" s="532"/>
      <c r="L139" s="863"/>
    </row>
    <row r="140" spans="1:12">
      <c r="A140" s="1407" t="str">
        <f>'Pricing Schedule'!A182&amp;" " &amp;'Pricing Schedule'!B182</f>
        <v xml:space="preserve"> (b)   Review of tender documentation by original designer</v>
      </c>
      <c r="B140" s="1408"/>
      <c r="C140" s="1408"/>
      <c r="D140" s="1408"/>
      <c r="E140" s="1408"/>
      <c r="F140" s="1408"/>
      <c r="G140" s="1408"/>
      <c r="H140" s="861">
        <f>'Pricing Schedule'!F182</f>
        <v>0</v>
      </c>
      <c r="I140" s="532"/>
      <c r="J140" s="532"/>
      <c r="K140" s="864">
        <f>IF(H140=0,L140/100,(L140/H140))</f>
        <v>0</v>
      </c>
      <c r="L140" s="863">
        <f>SUM(L141:L147)</f>
        <v>0</v>
      </c>
    </row>
    <row r="141" spans="1:12">
      <c r="A141" s="1405"/>
      <c r="B141" s="1406"/>
      <c r="C141" s="1406"/>
      <c r="D141" s="1406"/>
      <c r="E141" s="1406"/>
      <c r="F141" s="1406"/>
      <c r="G141" s="1406"/>
      <c r="H141" s="877"/>
      <c r="I141" s="878"/>
      <c r="J141" s="879"/>
      <c r="K141" s="880"/>
      <c r="L141" s="865">
        <f>K141*J141</f>
        <v>0</v>
      </c>
    </row>
    <row r="142" spans="1:12">
      <c r="A142" s="1405"/>
      <c r="B142" s="1406"/>
      <c r="C142" s="1406"/>
      <c r="D142" s="1406"/>
      <c r="E142" s="1406"/>
      <c r="F142" s="1406"/>
      <c r="G142" s="1406"/>
      <c r="H142" s="877"/>
      <c r="I142" s="878"/>
      <c r="J142" s="879"/>
      <c r="K142" s="880"/>
      <c r="L142" s="865">
        <f t="shared" ref="L142:L147" si="9">K142*J142</f>
        <v>0</v>
      </c>
    </row>
    <row r="143" spans="1:12">
      <c r="A143" s="1405"/>
      <c r="B143" s="1406"/>
      <c r="C143" s="1406"/>
      <c r="D143" s="1406"/>
      <c r="E143" s="1406"/>
      <c r="F143" s="1406"/>
      <c r="G143" s="1406"/>
      <c r="H143" s="877"/>
      <c r="I143" s="878"/>
      <c r="J143" s="879"/>
      <c r="K143" s="880"/>
      <c r="L143" s="865">
        <f t="shared" si="9"/>
        <v>0</v>
      </c>
    </row>
    <row r="144" spans="1:12">
      <c r="A144" s="1405"/>
      <c r="B144" s="1406"/>
      <c r="C144" s="1406"/>
      <c r="D144" s="1406"/>
      <c r="E144" s="1406"/>
      <c r="F144" s="1406"/>
      <c r="G144" s="1406"/>
      <c r="H144" s="877"/>
      <c r="I144" s="878"/>
      <c r="J144" s="879"/>
      <c r="K144" s="880"/>
      <c r="L144" s="865">
        <f t="shared" si="9"/>
        <v>0</v>
      </c>
    </row>
    <row r="145" spans="1:12">
      <c r="A145" s="1405"/>
      <c r="B145" s="1406"/>
      <c r="C145" s="1406"/>
      <c r="D145" s="1406"/>
      <c r="E145" s="1406"/>
      <c r="F145" s="1406"/>
      <c r="G145" s="1406"/>
      <c r="H145" s="877"/>
      <c r="I145" s="878"/>
      <c r="J145" s="879"/>
      <c r="K145" s="880"/>
      <c r="L145" s="865">
        <f t="shared" si="9"/>
        <v>0</v>
      </c>
    </row>
    <row r="146" spans="1:12">
      <c r="A146" s="1405"/>
      <c r="B146" s="1406"/>
      <c r="C146" s="1406"/>
      <c r="D146" s="1406"/>
      <c r="E146" s="1406"/>
      <c r="F146" s="1406"/>
      <c r="G146" s="1406"/>
      <c r="H146" s="877"/>
      <c r="I146" s="878"/>
      <c r="J146" s="879"/>
      <c r="K146" s="880"/>
      <c r="L146" s="865">
        <f t="shared" si="9"/>
        <v>0</v>
      </c>
    </row>
    <row r="147" spans="1:12">
      <c r="A147" s="1405"/>
      <c r="B147" s="1406"/>
      <c r="C147" s="1406"/>
      <c r="D147" s="1406"/>
      <c r="E147" s="1406"/>
      <c r="F147" s="1406"/>
      <c r="G147" s="1406"/>
      <c r="H147" s="877"/>
      <c r="I147" s="878"/>
      <c r="J147" s="879"/>
      <c r="K147" s="880"/>
      <c r="L147" s="865">
        <f t="shared" si="9"/>
        <v>0</v>
      </c>
    </row>
    <row r="148" spans="1:12">
      <c r="A148" s="1407" t="str">
        <f>'Pricing Schedule'!A183&amp;" " &amp;'Pricing Schedule'!B183</f>
        <v xml:space="preserve"> (c)   Visit to construction site by original designer</v>
      </c>
      <c r="B148" s="1408"/>
      <c r="C148" s="1408"/>
      <c r="D148" s="1408"/>
      <c r="E148" s="1408"/>
      <c r="F148" s="1408"/>
      <c r="G148" s="1408"/>
      <c r="H148" s="861">
        <f>'Pricing Schedule'!F182</f>
        <v>0</v>
      </c>
      <c r="I148" s="532"/>
      <c r="J148" s="532"/>
      <c r="K148" s="864">
        <f>IF(H148=0,L148/100,(L148/H148))</f>
        <v>0</v>
      </c>
      <c r="L148" s="863">
        <f>SUM(L149:L155)</f>
        <v>0</v>
      </c>
    </row>
    <row r="149" spans="1:12">
      <c r="A149" s="1405"/>
      <c r="B149" s="1406"/>
      <c r="C149" s="1406"/>
      <c r="D149" s="1406"/>
      <c r="E149" s="1406"/>
      <c r="F149" s="1406"/>
      <c r="G149" s="1406"/>
      <c r="H149" s="877"/>
      <c r="I149" s="878"/>
      <c r="J149" s="879"/>
      <c r="K149" s="880"/>
      <c r="L149" s="865">
        <f>K149*J149</f>
        <v>0</v>
      </c>
    </row>
    <row r="150" spans="1:12">
      <c r="A150" s="1405"/>
      <c r="B150" s="1406"/>
      <c r="C150" s="1406"/>
      <c r="D150" s="1406"/>
      <c r="E150" s="1406"/>
      <c r="F150" s="1406"/>
      <c r="G150" s="1406"/>
      <c r="H150" s="877"/>
      <c r="I150" s="878"/>
      <c r="J150" s="879"/>
      <c r="K150" s="880"/>
      <c r="L150" s="865">
        <f t="shared" ref="L150:L155" si="10">K150*J150</f>
        <v>0</v>
      </c>
    </row>
    <row r="151" spans="1:12">
      <c r="A151" s="1405"/>
      <c r="B151" s="1406"/>
      <c r="C151" s="1406"/>
      <c r="D151" s="1406"/>
      <c r="E151" s="1406"/>
      <c r="F151" s="1406"/>
      <c r="G151" s="1406"/>
      <c r="H151" s="877"/>
      <c r="I151" s="878"/>
      <c r="J151" s="879"/>
      <c r="K151" s="880"/>
      <c r="L151" s="865">
        <f t="shared" si="10"/>
        <v>0</v>
      </c>
    </row>
    <row r="152" spans="1:12">
      <c r="A152" s="1405"/>
      <c r="B152" s="1406"/>
      <c r="C152" s="1406"/>
      <c r="D152" s="1406"/>
      <c r="E152" s="1406"/>
      <c r="F152" s="1406"/>
      <c r="G152" s="1406"/>
      <c r="H152" s="877"/>
      <c r="I152" s="878"/>
      <c r="J152" s="879"/>
      <c r="K152" s="880"/>
      <c r="L152" s="865">
        <f t="shared" si="10"/>
        <v>0</v>
      </c>
    </row>
    <row r="153" spans="1:12">
      <c r="A153" s="1405"/>
      <c r="B153" s="1406"/>
      <c r="C153" s="1406"/>
      <c r="D153" s="1406"/>
      <c r="E153" s="1406"/>
      <c r="F153" s="1406"/>
      <c r="G153" s="1406"/>
      <c r="H153" s="877"/>
      <c r="I153" s="878"/>
      <c r="J153" s="879"/>
      <c r="K153" s="880"/>
      <c r="L153" s="865">
        <f t="shared" si="10"/>
        <v>0</v>
      </c>
    </row>
    <row r="154" spans="1:12">
      <c r="A154" s="1405"/>
      <c r="B154" s="1406"/>
      <c r="C154" s="1406"/>
      <c r="D154" s="1406"/>
      <c r="E154" s="1406"/>
      <c r="F154" s="1406"/>
      <c r="G154" s="1406"/>
      <c r="H154" s="877"/>
      <c r="I154" s="878"/>
      <c r="J154" s="879"/>
      <c r="K154" s="880"/>
      <c r="L154" s="865">
        <f t="shared" si="10"/>
        <v>0</v>
      </c>
    </row>
    <row r="155" spans="1:12">
      <c r="A155" s="1405"/>
      <c r="B155" s="1406"/>
      <c r="C155" s="1406"/>
      <c r="D155" s="1406"/>
      <c r="E155" s="1406"/>
      <c r="F155" s="1406"/>
      <c r="G155" s="1406"/>
      <c r="H155" s="877"/>
      <c r="I155" s="878"/>
      <c r="J155" s="879"/>
      <c r="K155" s="880"/>
      <c r="L155" s="865">
        <f t="shared" si="10"/>
        <v>0</v>
      </c>
    </row>
    <row r="156" spans="1:12" ht="15">
      <c r="A156" s="1407" t="str">
        <f>'Pricing Schedule'!A185&amp;" " &amp;'Pricing Schedule'!B185</f>
        <v>3.4.11 Field work for identification of material sources by service provider</v>
      </c>
      <c r="B156" s="1408"/>
      <c r="C156" s="1408"/>
      <c r="D156" s="1408"/>
      <c r="E156" s="1408"/>
      <c r="F156" s="1408"/>
      <c r="G156" s="1408"/>
      <c r="H156" s="861"/>
      <c r="I156" s="532"/>
      <c r="J156" s="862"/>
      <c r="K156" s="532"/>
      <c r="L156" s="863"/>
    </row>
    <row r="157" spans="1:12">
      <c r="A157" s="1407" t="str">
        <f>'Pricing Schedule'!A186&amp;" " &amp;'Pricing Schedule'!B186</f>
        <v xml:space="preserve"> (a)  Personnel cost</v>
      </c>
      <c r="B157" s="1408"/>
      <c r="C157" s="1408"/>
      <c r="D157" s="1408"/>
      <c r="E157" s="1408"/>
      <c r="F157" s="1408"/>
      <c r="G157" s="1408"/>
      <c r="H157" s="861">
        <f>'Pricing Schedule'!F186</f>
        <v>873432</v>
      </c>
      <c r="I157" s="532"/>
      <c r="J157" s="532"/>
      <c r="K157" s="864">
        <f>IF(H157=0,L157/100,(L157/H157))</f>
        <v>0</v>
      </c>
      <c r="L157" s="863">
        <f>SUM(L158:L164)</f>
        <v>0</v>
      </c>
    </row>
    <row r="158" spans="1:12">
      <c r="A158" s="1405"/>
      <c r="B158" s="1406"/>
      <c r="C158" s="1406"/>
      <c r="D158" s="1406"/>
      <c r="E158" s="1406"/>
      <c r="F158" s="1406"/>
      <c r="G158" s="1406"/>
      <c r="H158" s="877"/>
      <c r="I158" s="878"/>
      <c r="J158" s="879"/>
      <c r="K158" s="880"/>
      <c r="L158" s="865">
        <f>K158*J158</f>
        <v>0</v>
      </c>
    </row>
    <row r="159" spans="1:12">
      <c r="A159" s="1405"/>
      <c r="B159" s="1406"/>
      <c r="C159" s="1406"/>
      <c r="D159" s="1406"/>
      <c r="E159" s="1406"/>
      <c r="F159" s="1406"/>
      <c r="G159" s="1406"/>
      <c r="H159" s="877"/>
      <c r="I159" s="878"/>
      <c r="J159" s="879"/>
      <c r="K159" s="880"/>
      <c r="L159" s="865">
        <f t="shared" ref="L159:L164" si="11">K159*J159</f>
        <v>0</v>
      </c>
    </row>
    <row r="160" spans="1:12">
      <c r="A160" s="1405"/>
      <c r="B160" s="1406"/>
      <c r="C160" s="1406"/>
      <c r="D160" s="1406"/>
      <c r="E160" s="1406"/>
      <c r="F160" s="1406"/>
      <c r="G160" s="1406"/>
      <c r="H160" s="877"/>
      <c r="I160" s="878"/>
      <c r="J160" s="879"/>
      <c r="K160" s="880"/>
      <c r="L160" s="865">
        <f t="shared" si="11"/>
        <v>0</v>
      </c>
    </row>
    <row r="161" spans="1:12">
      <c r="A161" s="1405"/>
      <c r="B161" s="1406"/>
      <c r="C161" s="1406"/>
      <c r="D161" s="1406"/>
      <c r="E161" s="1406"/>
      <c r="F161" s="1406"/>
      <c r="G161" s="1406"/>
      <c r="H161" s="877"/>
      <c r="I161" s="878"/>
      <c r="J161" s="879"/>
      <c r="K161" s="880"/>
      <c r="L161" s="865">
        <f t="shared" si="11"/>
        <v>0</v>
      </c>
    </row>
    <row r="162" spans="1:12">
      <c r="A162" s="1405"/>
      <c r="B162" s="1406"/>
      <c r="C162" s="1406"/>
      <c r="D162" s="1406"/>
      <c r="E162" s="1406"/>
      <c r="F162" s="1406"/>
      <c r="G162" s="1406"/>
      <c r="H162" s="877"/>
      <c r="I162" s="878"/>
      <c r="J162" s="879"/>
      <c r="K162" s="880"/>
      <c r="L162" s="865">
        <f t="shared" si="11"/>
        <v>0</v>
      </c>
    </row>
    <row r="163" spans="1:12">
      <c r="A163" s="1405"/>
      <c r="B163" s="1406"/>
      <c r="C163" s="1406"/>
      <c r="D163" s="1406"/>
      <c r="E163" s="1406"/>
      <c r="F163" s="1406"/>
      <c r="G163" s="1406"/>
      <c r="H163" s="877"/>
      <c r="I163" s="878"/>
      <c r="J163" s="879"/>
      <c r="K163" s="880"/>
      <c r="L163" s="865">
        <f t="shared" si="11"/>
        <v>0</v>
      </c>
    </row>
    <row r="164" spans="1:12">
      <c r="A164" s="1405"/>
      <c r="B164" s="1406"/>
      <c r="C164" s="1406"/>
      <c r="D164" s="1406"/>
      <c r="E164" s="1406"/>
      <c r="F164" s="1406"/>
      <c r="G164" s="1406"/>
      <c r="H164" s="877"/>
      <c r="I164" s="878"/>
      <c r="J164" s="879"/>
      <c r="K164" s="880"/>
      <c r="L164" s="865">
        <f t="shared" si="11"/>
        <v>0</v>
      </c>
    </row>
    <row r="165" spans="1:12">
      <c r="A165" s="1407" t="str">
        <f>'Pricing Schedule'!A187&amp;" " &amp;'Pricing Schedule'!B187</f>
        <v xml:space="preserve"> (b)  Disbursements</v>
      </c>
      <c r="B165" s="1408"/>
      <c r="C165" s="1408"/>
      <c r="D165" s="1408"/>
      <c r="E165" s="1408"/>
      <c r="F165" s="1408"/>
      <c r="G165" s="1408"/>
      <c r="H165" s="861">
        <f>'Pricing Schedule'!F187</f>
        <v>100000</v>
      </c>
      <c r="I165" s="532"/>
      <c r="J165" s="532"/>
      <c r="K165" s="864">
        <f>IF(H165=0,L165/100,(L165/H165))</f>
        <v>0</v>
      </c>
      <c r="L165" s="863">
        <f>SUM(L166:L172)</f>
        <v>0</v>
      </c>
    </row>
    <row r="166" spans="1:12">
      <c r="A166" s="1405"/>
      <c r="B166" s="1406"/>
      <c r="C166" s="1406"/>
      <c r="D166" s="1406"/>
      <c r="E166" s="1406"/>
      <c r="F166" s="1406"/>
      <c r="G166" s="1406"/>
      <c r="H166" s="877"/>
      <c r="I166" s="878"/>
      <c r="J166" s="879"/>
      <c r="K166" s="880"/>
      <c r="L166" s="863">
        <f t="shared" ref="L166:L172" si="12">K166*J166</f>
        <v>0</v>
      </c>
    </row>
    <row r="167" spans="1:12">
      <c r="A167" s="1405"/>
      <c r="B167" s="1406"/>
      <c r="C167" s="1406"/>
      <c r="D167" s="1406"/>
      <c r="E167" s="1406"/>
      <c r="F167" s="1406"/>
      <c r="G167" s="1406"/>
      <c r="H167" s="877"/>
      <c r="I167" s="878"/>
      <c r="J167" s="879"/>
      <c r="K167" s="880"/>
      <c r="L167" s="863">
        <f t="shared" si="12"/>
        <v>0</v>
      </c>
    </row>
    <row r="168" spans="1:12">
      <c r="A168" s="1405"/>
      <c r="B168" s="1406"/>
      <c r="C168" s="1406"/>
      <c r="D168" s="1406"/>
      <c r="E168" s="1406"/>
      <c r="F168" s="1406"/>
      <c r="G168" s="1406"/>
      <c r="H168" s="877"/>
      <c r="I168" s="878"/>
      <c r="J168" s="879"/>
      <c r="K168" s="880"/>
      <c r="L168" s="863">
        <f t="shared" si="12"/>
        <v>0</v>
      </c>
    </row>
    <row r="169" spans="1:12">
      <c r="A169" s="1405"/>
      <c r="B169" s="1406"/>
      <c r="C169" s="1406"/>
      <c r="D169" s="1406"/>
      <c r="E169" s="1406"/>
      <c r="F169" s="1406"/>
      <c r="G169" s="1406"/>
      <c r="H169" s="877"/>
      <c r="I169" s="878"/>
      <c r="J169" s="879"/>
      <c r="K169" s="880"/>
      <c r="L169" s="863">
        <f t="shared" si="12"/>
        <v>0</v>
      </c>
    </row>
    <row r="170" spans="1:12">
      <c r="A170" s="1405"/>
      <c r="B170" s="1406"/>
      <c r="C170" s="1406"/>
      <c r="D170" s="1406"/>
      <c r="E170" s="1406"/>
      <c r="F170" s="1406"/>
      <c r="G170" s="1406"/>
      <c r="H170" s="877"/>
      <c r="I170" s="878"/>
      <c r="J170" s="879"/>
      <c r="K170" s="880"/>
      <c r="L170" s="863">
        <f t="shared" si="12"/>
        <v>0</v>
      </c>
    </row>
    <row r="171" spans="1:12">
      <c r="A171" s="1405"/>
      <c r="B171" s="1406"/>
      <c r="C171" s="1406"/>
      <c r="D171" s="1406"/>
      <c r="E171" s="1406"/>
      <c r="F171" s="1406"/>
      <c r="G171" s="1406"/>
      <c r="H171" s="877"/>
      <c r="I171" s="878"/>
      <c r="J171" s="879"/>
      <c r="K171" s="880"/>
      <c r="L171" s="863">
        <f t="shared" si="12"/>
        <v>0</v>
      </c>
    </row>
    <row r="172" spans="1:12">
      <c r="A172" s="1405"/>
      <c r="B172" s="1406"/>
      <c r="C172" s="1406"/>
      <c r="D172" s="1406"/>
      <c r="E172" s="1406"/>
      <c r="F172" s="1406"/>
      <c r="G172" s="1406"/>
      <c r="H172" s="877"/>
      <c r="I172" s="878"/>
      <c r="J172" s="879"/>
      <c r="K172" s="880"/>
      <c r="L172" s="863">
        <f t="shared" si="12"/>
        <v>0</v>
      </c>
    </row>
    <row r="173" spans="1:12" ht="15">
      <c r="A173" s="1407" t="str">
        <f>'Pricing Schedule'!A189&amp;" " &amp;'Pricing Schedule'!B189</f>
        <v>3.4.12 Investigation and sampling for roadbed, borrow pits, quarries, structure founding materials and other areas, e.g. Cuttings</v>
      </c>
      <c r="B173" s="1408"/>
      <c r="C173" s="1408"/>
      <c r="D173" s="1408"/>
      <c r="E173" s="1408"/>
      <c r="F173" s="1408"/>
      <c r="G173" s="1408"/>
      <c r="H173" s="861"/>
      <c r="I173" s="532"/>
      <c r="J173" s="862"/>
      <c r="K173" s="532"/>
      <c r="L173" s="863"/>
    </row>
    <row r="174" spans="1:12">
      <c r="A174" s="1407" t="str">
        <f>'Pricing Schedule'!A191&amp;" " &amp;'Pricing Schedule'!B191</f>
        <v xml:space="preserve"> (b)   Hire and operation of excavator</v>
      </c>
      <c r="B174" s="1408"/>
      <c r="C174" s="1408"/>
      <c r="D174" s="1408"/>
      <c r="E174" s="1408"/>
      <c r="F174" s="1408"/>
      <c r="G174" s="1408"/>
      <c r="H174" s="861">
        <f>'Pricing Schedule'!F191</f>
        <v>250000</v>
      </c>
      <c r="I174" s="532"/>
      <c r="J174" s="532"/>
      <c r="K174" s="864">
        <f>IF(H174=0,L174/100,(L174/H174))</f>
        <v>0</v>
      </c>
      <c r="L174" s="863">
        <f>SUM(L175:L181)</f>
        <v>0</v>
      </c>
    </row>
    <row r="175" spans="1:12">
      <c r="A175" s="1405"/>
      <c r="B175" s="1406"/>
      <c r="C175" s="1406"/>
      <c r="D175" s="1406"/>
      <c r="E175" s="1406"/>
      <c r="F175" s="1406"/>
      <c r="G175" s="1406"/>
      <c r="H175" s="877"/>
      <c r="I175" s="878"/>
      <c r="J175" s="879"/>
      <c r="K175" s="880"/>
      <c r="L175" s="865">
        <f>K175*J175</f>
        <v>0</v>
      </c>
    </row>
    <row r="176" spans="1:12">
      <c r="A176" s="1405"/>
      <c r="B176" s="1406"/>
      <c r="C176" s="1406"/>
      <c r="D176" s="1406"/>
      <c r="E176" s="1406"/>
      <c r="F176" s="1406"/>
      <c r="G176" s="1406"/>
      <c r="H176" s="877"/>
      <c r="I176" s="878"/>
      <c r="J176" s="879"/>
      <c r="K176" s="880"/>
      <c r="L176" s="865">
        <f t="shared" ref="L176:L181" si="13">K176*J176</f>
        <v>0</v>
      </c>
    </row>
    <row r="177" spans="1:12">
      <c r="A177" s="1405"/>
      <c r="B177" s="1406"/>
      <c r="C177" s="1406"/>
      <c r="D177" s="1406"/>
      <c r="E177" s="1406"/>
      <c r="F177" s="1406"/>
      <c r="G177" s="1406"/>
      <c r="H177" s="877"/>
      <c r="I177" s="878"/>
      <c r="J177" s="879"/>
      <c r="K177" s="880"/>
      <c r="L177" s="865">
        <f t="shared" si="13"/>
        <v>0</v>
      </c>
    </row>
    <row r="178" spans="1:12">
      <c r="A178" s="1405"/>
      <c r="B178" s="1406"/>
      <c r="C178" s="1406"/>
      <c r="D178" s="1406"/>
      <c r="E178" s="1406"/>
      <c r="F178" s="1406"/>
      <c r="G178" s="1406"/>
      <c r="H178" s="877"/>
      <c r="I178" s="878"/>
      <c r="J178" s="879"/>
      <c r="K178" s="880"/>
      <c r="L178" s="865">
        <f t="shared" si="13"/>
        <v>0</v>
      </c>
    </row>
    <row r="179" spans="1:12">
      <c r="A179" s="1405"/>
      <c r="B179" s="1406"/>
      <c r="C179" s="1406"/>
      <c r="D179" s="1406"/>
      <c r="E179" s="1406"/>
      <c r="F179" s="1406"/>
      <c r="G179" s="1406"/>
      <c r="H179" s="877"/>
      <c r="I179" s="878"/>
      <c r="J179" s="879"/>
      <c r="K179" s="880"/>
      <c r="L179" s="865">
        <f t="shared" si="13"/>
        <v>0</v>
      </c>
    </row>
    <row r="180" spans="1:12">
      <c r="A180" s="1405"/>
      <c r="B180" s="1406"/>
      <c r="C180" s="1406"/>
      <c r="D180" s="1406"/>
      <c r="E180" s="1406"/>
      <c r="F180" s="1406"/>
      <c r="G180" s="1406"/>
      <c r="H180" s="877"/>
      <c r="I180" s="878"/>
      <c r="J180" s="879"/>
      <c r="K180" s="880"/>
      <c r="L180" s="865">
        <f t="shared" si="13"/>
        <v>0</v>
      </c>
    </row>
    <row r="181" spans="1:12">
      <c r="A181" s="1405"/>
      <c r="B181" s="1406"/>
      <c r="C181" s="1406"/>
      <c r="D181" s="1406"/>
      <c r="E181" s="1406"/>
      <c r="F181" s="1406"/>
      <c r="G181" s="1406"/>
      <c r="H181" s="877"/>
      <c r="I181" s="878"/>
      <c r="J181" s="879"/>
      <c r="K181" s="880"/>
      <c r="L181" s="865">
        <f t="shared" si="13"/>
        <v>0</v>
      </c>
    </row>
    <row r="182" spans="1:12" ht="15">
      <c r="A182" s="1407" t="str">
        <f>'Pricing Schedule'!A199&amp;" " &amp;'Pricing Schedule'!B199</f>
        <v>3.4.13 Laboratory testing and reporting</v>
      </c>
      <c r="B182" s="1408"/>
      <c r="C182" s="1408"/>
      <c r="D182" s="1408"/>
      <c r="E182" s="1408"/>
      <c r="F182" s="1408"/>
      <c r="G182" s="1408"/>
      <c r="H182" s="861"/>
      <c r="I182" s="532"/>
      <c r="J182" s="862"/>
      <c r="K182" s="532"/>
      <c r="L182" s="863"/>
    </row>
    <row r="183" spans="1:12">
      <c r="A183" s="1407" t="str">
        <f>'Pricing Schedule'!A229&amp;" " &amp;'Pricing Schedule'!B229</f>
        <v xml:space="preserve"> (b)   Laboratory Testing where no schedule is available, or specialised testing</v>
      </c>
      <c r="B183" s="1408"/>
      <c r="C183" s="1408"/>
      <c r="D183" s="1408"/>
      <c r="E183" s="1408"/>
      <c r="F183" s="1408"/>
      <c r="G183" s="1408"/>
      <c r="H183" s="861">
        <f>'Pricing Schedule'!F229</f>
        <v>850000</v>
      </c>
      <c r="I183" s="532"/>
      <c r="J183" s="532"/>
      <c r="K183" s="864">
        <f>IF(H183=0,L183/100,(L183/H183))</f>
        <v>0</v>
      </c>
      <c r="L183" s="863">
        <f>SUM(L184:L190)</f>
        <v>0</v>
      </c>
    </row>
    <row r="184" spans="1:12">
      <c r="A184" s="1405"/>
      <c r="B184" s="1406"/>
      <c r="C184" s="1406"/>
      <c r="D184" s="1406"/>
      <c r="E184" s="1406"/>
      <c r="F184" s="1406"/>
      <c r="G184" s="1406"/>
      <c r="H184" s="877"/>
      <c r="I184" s="878"/>
      <c r="J184" s="879"/>
      <c r="K184" s="880"/>
      <c r="L184" s="865">
        <f>K184*J184</f>
        <v>0</v>
      </c>
    </row>
    <row r="185" spans="1:12">
      <c r="A185" s="1405"/>
      <c r="B185" s="1406"/>
      <c r="C185" s="1406"/>
      <c r="D185" s="1406"/>
      <c r="E185" s="1406"/>
      <c r="F185" s="1406"/>
      <c r="G185" s="1406"/>
      <c r="H185" s="877"/>
      <c r="I185" s="878"/>
      <c r="J185" s="879"/>
      <c r="K185" s="880"/>
      <c r="L185" s="865">
        <f t="shared" ref="L185:L190" si="14">K185*J185</f>
        <v>0</v>
      </c>
    </row>
    <row r="186" spans="1:12">
      <c r="A186" s="1405"/>
      <c r="B186" s="1406"/>
      <c r="C186" s="1406"/>
      <c r="D186" s="1406"/>
      <c r="E186" s="1406"/>
      <c r="F186" s="1406"/>
      <c r="G186" s="1406"/>
      <c r="H186" s="877"/>
      <c r="I186" s="878"/>
      <c r="J186" s="879"/>
      <c r="K186" s="880"/>
      <c r="L186" s="865">
        <f t="shared" si="14"/>
        <v>0</v>
      </c>
    </row>
    <row r="187" spans="1:12">
      <c r="A187" s="1405"/>
      <c r="B187" s="1406"/>
      <c r="C187" s="1406"/>
      <c r="D187" s="1406"/>
      <c r="E187" s="1406"/>
      <c r="F187" s="1406"/>
      <c r="G187" s="1406"/>
      <c r="H187" s="877"/>
      <c r="I187" s="878"/>
      <c r="J187" s="879"/>
      <c r="K187" s="880"/>
      <c r="L187" s="865">
        <f t="shared" si="14"/>
        <v>0</v>
      </c>
    </row>
    <row r="188" spans="1:12">
      <c r="A188" s="1405"/>
      <c r="B188" s="1406"/>
      <c r="C188" s="1406"/>
      <c r="D188" s="1406"/>
      <c r="E188" s="1406"/>
      <c r="F188" s="1406"/>
      <c r="G188" s="1406"/>
      <c r="H188" s="877"/>
      <c r="I188" s="878"/>
      <c r="J188" s="879"/>
      <c r="K188" s="880"/>
      <c r="L188" s="865">
        <f t="shared" si="14"/>
        <v>0</v>
      </c>
    </row>
    <row r="189" spans="1:12">
      <c r="A189" s="1405"/>
      <c r="B189" s="1406"/>
      <c r="C189" s="1406"/>
      <c r="D189" s="1406"/>
      <c r="E189" s="1406"/>
      <c r="F189" s="1406"/>
      <c r="G189" s="1406"/>
      <c r="H189" s="877"/>
      <c r="I189" s="878"/>
      <c r="J189" s="879"/>
      <c r="K189" s="880"/>
      <c r="L189" s="865">
        <f t="shared" si="14"/>
        <v>0</v>
      </c>
    </row>
    <row r="190" spans="1:12">
      <c r="A190" s="1405"/>
      <c r="B190" s="1406"/>
      <c r="C190" s="1406"/>
      <c r="D190" s="1406"/>
      <c r="E190" s="1406"/>
      <c r="F190" s="1406"/>
      <c r="G190" s="1406"/>
      <c r="H190" s="877"/>
      <c r="I190" s="878"/>
      <c r="J190" s="879"/>
      <c r="K190" s="880"/>
      <c r="L190" s="865">
        <f t="shared" si="14"/>
        <v>0</v>
      </c>
    </row>
    <row r="191" spans="1:12" ht="15">
      <c r="A191" s="1407" t="str">
        <f>'Pricing Schedule'!A231&amp;" " &amp;'Pricing Schedule'!B231</f>
        <v>3.4.14 Protection, removal, realignment and replacement of services prior to construction phase</v>
      </c>
      <c r="B191" s="1408"/>
      <c r="C191" s="1408"/>
      <c r="D191" s="1408"/>
      <c r="E191" s="1408"/>
      <c r="F191" s="1408"/>
      <c r="G191" s="1408"/>
      <c r="H191" s="861"/>
      <c r="I191" s="532"/>
      <c r="J191" s="862"/>
      <c r="K191" s="532"/>
      <c r="L191" s="863"/>
    </row>
    <row r="192" spans="1:12">
      <c r="A192" s="1407" t="str">
        <f>'Pricing Schedule'!A232&amp;" " &amp;'Pricing Schedule'!B232</f>
        <v xml:space="preserve"> (a)  Services</v>
      </c>
      <c r="B192" s="1408"/>
      <c r="C192" s="1408"/>
      <c r="D192" s="1408"/>
      <c r="E192" s="1408"/>
      <c r="F192" s="1408"/>
      <c r="G192" s="1408"/>
      <c r="H192" s="861">
        <f>'Pricing Schedule'!F232</f>
        <v>4500000</v>
      </c>
      <c r="I192" s="532"/>
      <c r="J192" s="532"/>
      <c r="K192" s="864">
        <f>IF(H192=0,L192/100,(L192/H192))</f>
        <v>0</v>
      </c>
      <c r="L192" s="863">
        <f>SUM(L193:L199)</f>
        <v>0</v>
      </c>
    </row>
    <row r="193" spans="1:12">
      <c r="A193" s="1405"/>
      <c r="B193" s="1406"/>
      <c r="C193" s="1406"/>
      <c r="D193" s="1406"/>
      <c r="E193" s="1406"/>
      <c r="F193" s="1406"/>
      <c r="G193" s="1406"/>
      <c r="H193" s="877"/>
      <c r="I193" s="878"/>
      <c r="J193" s="879"/>
      <c r="K193" s="880"/>
      <c r="L193" s="865">
        <f>K193*J193</f>
        <v>0</v>
      </c>
    </row>
    <row r="194" spans="1:12">
      <c r="A194" s="1405"/>
      <c r="B194" s="1406"/>
      <c r="C194" s="1406"/>
      <c r="D194" s="1406"/>
      <c r="E194" s="1406"/>
      <c r="F194" s="1406"/>
      <c r="G194" s="1406"/>
      <c r="H194" s="877"/>
      <c r="I194" s="878"/>
      <c r="J194" s="879"/>
      <c r="K194" s="880"/>
      <c r="L194" s="865">
        <f t="shared" ref="L194:L199" si="15">K194*J194</f>
        <v>0</v>
      </c>
    </row>
    <row r="195" spans="1:12">
      <c r="A195" s="1405"/>
      <c r="B195" s="1406"/>
      <c r="C195" s="1406"/>
      <c r="D195" s="1406"/>
      <c r="E195" s="1406"/>
      <c r="F195" s="1406"/>
      <c r="G195" s="1406"/>
      <c r="H195" s="877"/>
      <c r="I195" s="878"/>
      <c r="J195" s="879"/>
      <c r="K195" s="880"/>
      <c r="L195" s="865">
        <f t="shared" si="15"/>
        <v>0</v>
      </c>
    </row>
    <row r="196" spans="1:12">
      <c r="A196" s="1405"/>
      <c r="B196" s="1406"/>
      <c r="C196" s="1406"/>
      <c r="D196" s="1406"/>
      <c r="E196" s="1406"/>
      <c r="F196" s="1406"/>
      <c r="G196" s="1406"/>
      <c r="H196" s="877"/>
      <c r="I196" s="878"/>
      <c r="J196" s="879"/>
      <c r="K196" s="880"/>
      <c r="L196" s="865">
        <f t="shared" si="15"/>
        <v>0</v>
      </c>
    </row>
    <row r="197" spans="1:12">
      <c r="A197" s="1405"/>
      <c r="B197" s="1406"/>
      <c r="C197" s="1406"/>
      <c r="D197" s="1406"/>
      <c r="E197" s="1406"/>
      <c r="F197" s="1406"/>
      <c r="G197" s="1406"/>
      <c r="H197" s="877"/>
      <c r="I197" s="878"/>
      <c r="J197" s="879"/>
      <c r="K197" s="880"/>
      <c r="L197" s="865">
        <f t="shared" si="15"/>
        <v>0</v>
      </c>
    </row>
    <row r="198" spans="1:12">
      <c r="A198" s="1405"/>
      <c r="B198" s="1406"/>
      <c r="C198" s="1406"/>
      <c r="D198" s="1406"/>
      <c r="E198" s="1406"/>
      <c r="F198" s="1406"/>
      <c r="G198" s="1406"/>
      <c r="H198" s="877"/>
      <c r="I198" s="878"/>
      <c r="J198" s="879"/>
      <c r="K198" s="880"/>
      <c r="L198" s="865">
        <f t="shared" si="15"/>
        <v>0</v>
      </c>
    </row>
    <row r="199" spans="1:12" ht="13.5" thickBot="1">
      <c r="A199" s="1405"/>
      <c r="B199" s="1406"/>
      <c r="C199" s="1406"/>
      <c r="D199" s="1406"/>
      <c r="E199" s="1406"/>
      <c r="F199" s="1406"/>
      <c r="G199" s="1406"/>
      <c r="H199" s="877"/>
      <c r="I199" s="878"/>
      <c r="J199" s="879"/>
      <c r="K199" s="880"/>
      <c r="L199" s="865">
        <f t="shared" si="15"/>
        <v>0</v>
      </c>
    </row>
    <row r="200" spans="1:12">
      <c r="A200" s="1412"/>
      <c r="B200" s="1413"/>
      <c r="C200" s="1413"/>
      <c r="D200" s="1413"/>
      <c r="E200" s="1413"/>
      <c r="F200" s="1413"/>
      <c r="G200" s="1413"/>
      <c r="H200" s="1414"/>
      <c r="I200" s="866"/>
      <c r="J200" s="867" t="s">
        <v>368</v>
      </c>
      <c r="K200" s="868">
        <f>'C3.4'!A7</f>
        <v>3.4</v>
      </c>
      <c r="L200" s="534">
        <f>L103+L112+L122+L131+L140+L148+L157+L165+L174+L183+L192</f>
        <v>0</v>
      </c>
    </row>
    <row r="201" spans="1:12" ht="13.5" thickBot="1">
      <c r="A201" s="1420"/>
      <c r="B201" s="1421"/>
      <c r="C201" s="1421"/>
      <c r="D201" s="1421"/>
      <c r="E201" s="1421"/>
      <c r="F201" s="1421"/>
      <c r="G201" s="1421"/>
      <c r="H201" s="1422"/>
      <c r="I201" s="869"/>
      <c r="J201" s="869"/>
      <c r="K201" s="870"/>
      <c r="L201" s="871"/>
    </row>
    <row r="202" spans="1:12" ht="13.5" thickBot="1">
      <c r="A202" s="1409" t="s">
        <v>424</v>
      </c>
      <c r="B202" s="1410"/>
      <c r="C202" s="1410"/>
      <c r="D202" s="1410"/>
      <c r="E202" s="1410"/>
      <c r="F202" s="1410"/>
      <c r="G202" s="1410"/>
      <c r="H202" s="1410"/>
      <c r="I202" s="1410"/>
      <c r="J202" s="1410"/>
      <c r="K202" s="1411"/>
      <c r="L202" s="873">
        <f>L100+L200</f>
        <v>0</v>
      </c>
    </row>
    <row r="203" spans="1:12" ht="15.75">
      <c r="L203" s="857" t="s">
        <v>425</v>
      </c>
    </row>
    <row r="204" spans="1:12" ht="8.25" customHeight="1">
      <c r="L204" s="858"/>
    </row>
    <row r="205" spans="1:12" ht="15.75" customHeight="1">
      <c r="A205" s="1432" t="s">
        <v>422</v>
      </c>
      <c r="B205" s="1364"/>
      <c r="C205" s="524" t="str">
        <f>$C$3</f>
        <v>NRA.N.011-050-2012/1F</v>
      </c>
      <c r="D205" s="403"/>
      <c r="E205" s="403"/>
      <c r="F205" s="1428">
        <f>$F$3</f>
        <v>44804</v>
      </c>
      <c r="G205" s="1428"/>
      <c r="H205" s="1424" t="s">
        <v>379</v>
      </c>
      <c r="I205" s="1424"/>
      <c r="J205" s="1424"/>
      <c r="K205" s="1423">
        <f>$K$3</f>
        <v>1</v>
      </c>
      <c r="L205" s="1366"/>
    </row>
    <row r="206" spans="1:12" ht="15.75" customHeight="1" thickBot="1"/>
    <row r="207" spans="1:12" ht="15.75" customHeight="1">
      <c r="A207" s="439"/>
      <c r="B207" s="440"/>
      <c r="C207" s="440"/>
      <c r="D207" s="440"/>
      <c r="E207" s="440"/>
      <c r="F207" s="440"/>
      <c r="G207" s="440"/>
      <c r="H207" s="440"/>
      <c r="I207" s="440"/>
      <c r="J207" s="440"/>
      <c r="K207" s="440"/>
      <c r="L207" s="525"/>
    </row>
    <row r="208" spans="1:12" ht="15.75" customHeight="1">
      <c r="A208" s="1358" t="s">
        <v>419</v>
      </c>
      <c r="B208" s="1359"/>
      <c r="C208" s="1359"/>
      <c r="D208" s="1359"/>
      <c r="E208" s="1359"/>
      <c r="F208" s="1359"/>
      <c r="G208" s="1359"/>
      <c r="H208" s="1359"/>
      <c r="I208" s="1359"/>
      <c r="J208" s="1359"/>
      <c r="K208" s="1359"/>
      <c r="L208" s="1360"/>
    </row>
    <row r="209" spans="1:12" ht="15.75" customHeight="1" thickBot="1">
      <c r="A209" s="526"/>
      <c r="L209" s="527"/>
    </row>
    <row r="210" spans="1:12" ht="15.75" customHeight="1" thickBot="1">
      <c r="A210" s="1425" t="s">
        <v>0</v>
      </c>
      <c r="B210" s="1426"/>
      <c r="C210" s="1426"/>
      <c r="D210" s="1426"/>
      <c r="E210" s="1426"/>
      <c r="F210" s="1426"/>
      <c r="G210" s="1426"/>
      <c r="H210" s="1427"/>
      <c r="I210" s="528" t="s">
        <v>1</v>
      </c>
      <c r="J210" s="528" t="s">
        <v>2</v>
      </c>
      <c r="K210" s="528" t="s">
        <v>3</v>
      </c>
      <c r="L210" s="529" t="s">
        <v>404</v>
      </c>
    </row>
    <row r="211" spans="1:12" ht="12.75" customHeight="1" thickBot="1">
      <c r="A211" s="1409" t="s">
        <v>426</v>
      </c>
      <c r="B211" s="1410"/>
      <c r="C211" s="1410"/>
      <c r="D211" s="1410"/>
      <c r="E211" s="1410"/>
      <c r="F211" s="1410"/>
      <c r="G211" s="1410"/>
      <c r="H211" s="1410"/>
      <c r="I211" s="1410"/>
      <c r="J211" s="1410"/>
      <c r="K211" s="1411"/>
      <c r="L211" s="545">
        <f>L202</f>
        <v>0</v>
      </c>
    </row>
    <row r="212" spans="1:12" ht="12.75" customHeight="1">
      <c r="A212" s="1418" t="str">
        <f>'Pricing Schedule'!A244&amp;" " &amp;'Pricing Schedule'!B244</f>
        <v>3.6 CLARIFICATION MEETING, TENDER PERIOD AND TENDER EVALUATION</v>
      </c>
      <c r="B212" s="1419"/>
      <c r="C212" s="1419"/>
      <c r="D212" s="1419"/>
      <c r="E212" s="1419"/>
      <c r="F212" s="1419"/>
      <c r="G212" s="1419"/>
      <c r="H212" s="1419"/>
      <c r="I212" s="1419"/>
      <c r="J212" s="1419"/>
      <c r="K212" s="1357"/>
      <c r="L212" s="536"/>
    </row>
    <row r="213" spans="1:12" ht="15">
      <c r="A213" s="1407" t="str">
        <f>'Pricing Schedule'!A245&amp;" " &amp;'Pricing Schedule'!B245</f>
        <v>3.6.1 Clarification meeting and tender period</v>
      </c>
      <c r="B213" s="1408"/>
      <c r="C213" s="1408"/>
      <c r="D213" s="1408"/>
      <c r="E213" s="1408"/>
      <c r="F213" s="1408"/>
      <c r="G213" s="1408"/>
      <c r="H213" s="861"/>
      <c r="I213" s="532"/>
      <c r="J213" s="862"/>
      <c r="K213" s="532"/>
      <c r="L213" s="863"/>
    </row>
    <row r="214" spans="1:12">
      <c r="A214" s="1407" t="str">
        <f>'Pricing Schedule'!A247&amp;" " &amp;'Pricing Schedule'!B247</f>
        <v xml:space="preserve"> (b)  Provision for pre-recorded video</v>
      </c>
      <c r="B214" s="1408"/>
      <c r="C214" s="1408"/>
      <c r="D214" s="1408"/>
      <c r="E214" s="1408"/>
      <c r="F214" s="1408"/>
      <c r="G214" s="1408"/>
      <c r="H214" s="861">
        <f>'Pricing Schedule'!F247</f>
        <v>50000</v>
      </c>
      <c r="I214" s="532"/>
      <c r="J214" s="532"/>
      <c r="K214" s="864">
        <f>IF(H214=0,L214/100,(L214/H214))</f>
        <v>0</v>
      </c>
      <c r="L214" s="863">
        <f>SUM(L215:L221)</f>
        <v>0</v>
      </c>
    </row>
    <row r="215" spans="1:12">
      <c r="A215" s="1405"/>
      <c r="B215" s="1406"/>
      <c r="C215" s="1406"/>
      <c r="D215" s="1406"/>
      <c r="E215" s="1406"/>
      <c r="F215" s="1406"/>
      <c r="G215" s="1406"/>
      <c r="H215" s="877"/>
      <c r="I215" s="878"/>
      <c r="J215" s="879"/>
      <c r="K215" s="880"/>
      <c r="L215" s="865">
        <f>K215*J215</f>
        <v>0</v>
      </c>
    </row>
    <row r="216" spans="1:12">
      <c r="A216" s="1405"/>
      <c r="B216" s="1406"/>
      <c r="C216" s="1406"/>
      <c r="D216" s="1406"/>
      <c r="E216" s="1406"/>
      <c r="F216" s="1406"/>
      <c r="G216" s="1406"/>
      <c r="H216" s="877"/>
      <c r="I216" s="878"/>
      <c r="J216" s="879"/>
      <c r="K216" s="880"/>
      <c r="L216" s="865">
        <f t="shared" ref="L216:L221" si="16">K216*J216</f>
        <v>0</v>
      </c>
    </row>
    <row r="217" spans="1:12">
      <c r="A217" s="1405"/>
      <c r="B217" s="1406"/>
      <c r="C217" s="1406"/>
      <c r="D217" s="1406"/>
      <c r="E217" s="1406"/>
      <c r="F217" s="1406"/>
      <c r="G217" s="1406"/>
      <c r="H217" s="877"/>
      <c r="I217" s="878"/>
      <c r="J217" s="879"/>
      <c r="K217" s="880"/>
      <c r="L217" s="865">
        <f t="shared" si="16"/>
        <v>0</v>
      </c>
    </row>
    <row r="218" spans="1:12">
      <c r="A218" s="1405"/>
      <c r="B218" s="1406"/>
      <c r="C218" s="1406"/>
      <c r="D218" s="1406"/>
      <c r="E218" s="1406"/>
      <c r="F218" s="1406"/>
      <c r="G218" s="1406"/>
      <c r="H218" s="877"/>
      <c r="I218" s="878"/>
      <c r="J218" s="879"/>
      <c r="K218" s="880"/>
      <c r="L218" s="865">
        <f t="shared" si="16"/>
        <v>0</v>
      </c>
    </row>
    <row r="219" spans="1:12">
      <c r="A219" s="1405"/>
      <c r="B219" s="1406"/>
      <c r="C219" s="1406"/>
      <c r="D219" s="1406"/>
      <c r="E219" s="1406"/>
      <c r="F219" s="1406"/>
      <c r="G219" s="1406"/>
      <c r="H219" s="877"/>
      <c r="I219" s="878"/>
      <c r="J219" s="879"/>
      <c r="K219" s="880"/>
      <c r="L219" s="865">
        <f t="shared" si="16"/>
        <v>0</v>
      </c>
    </row>
    <row r="220" spans="1:12">
      <c r="A220" s="1405"/>
      <c r="B220" s="1406"/>
      <c r="C220" s="1406"/>
      <c r="D220" s="1406"/>
      <c r="E220" s="1406"/>
      <c r="F220" s="1406"/>
      <c r="G220" s="1406"/>
      <c r="H220" s="877"/>
      <c r="I220" s="878"/>
      <c r="J220" s="879"/>
      <c r="K220" s="880"/>
      <c r="L220" s="865">
        <f t="shared" si="16"/>
        <v>0</v>
      </c>
    </row>
    <row r="221" spans="1:12" ht="13.5" thickBot="1">
      <c r="A221" s="1405"/>
      <c r="B221" s="1406"/>
      <c r="C221" s="1406"/>
      <c r="D221" s="1406"/>
      <c r="E221" s="1406"/>
      <c r="F221" s="1406"/>
      <c r="G221" s="1406"/>
      <c r="H221" s="877"/>
      <c r="I221" s="878"/>
      <c r="J221" s="879"/>
      <c r="K221" s="880"/>
      <c r="L221" s="865">
        <f t="shared" si="16"/>
        <v>0</v>
      </c>
    </row>
    <row r="222" spans="1:12">
      <c r="A222" s="1412"/>
      <c r="B222" s="1413"/>
      <c r="C222" s="1413"/>
      <c r="D222" s="1413"/>
      <c r="E222" s="1413"/>
      <c r="F222" s="1413"/>
      <c r="G222" s="1413"/>
      <c r="H222" s="1414"/>
      <c r="I222" s="866"/>
      <c r="J222" s="867" t="s">
        <v>368</v>
      </c>
      <c r="K222" s="868">
        <f>'C3.6'!A7</f>
        <v>3.6</v>
      </c>
      <c r="L222" s="534">
        <f>L214</f>
        <v>0</v>
      </c>
    </row>
    <row r="223" spans="1:12" ht="13.5" thickBot="1">
      <c r="A223" s="1420"/>
      <c r="B223" s="1421"/>
      <c r="C223" s="1421"/>
      <c r="D223" s="1421"/>
      <c r="E223" s="1421"/>
      <c r="F223" s="1421"/>
      <c r="G223" s="1421"/>
      <c r="H223" s="1422"/>
      <c r="I223" s="869"/>
      <c r="J223" s="869"/>
      <c r="K223" s="870"/>
      <c r="L223" s="871"/>
    </row>
    <row r="224" spans="1:12" ht="13.5" thickBot="1">
      <c r="A224" s="1409" t="s">
        <v>796</v>
      </c>
      <c r="B224" s="1410"/>
      <c r="C224" s="1410"/>
      <c r="D224" s="1410"/>
      <c r="E224" s="1410"/>
      <c r="F224" s="1410"/>
      <c r="G224" s="1410"/>
      <c r="H224" s="1410"/>
      <c r="I224" s="1410"/>
      <c r="J224" s="1410"/>
      <c r="K224" s="1411"/>
      <c r="L224" s="873">
        <f>L211+L222</f>
        <v>0</v>
      </c>
    </row>
    <row r="225" spans="1:12" ht="15.75">
      <c r="L225" s="857" t="s">
        <v>427</v>
      </c>
    </row>
    <row r="226" spans="1:12" ht="15.75">
      <c r="L226" s="858"/>
    </row>
    <row r="227" spans="1:12">
      <c r="A227" s="1432" t="s">
        <v>422</v>
      </c>
      <c r="B227" s="1364"/>
      <c r="C227" s="524" t="str">
        <f>$C$3</f>
        <v>NRA.N.011-050-2012/1F</v>
      </c>
      <c r="D227" s="403"/>
      <c r="E227" s="403"/>
      <c r="F227" s="1428">
        <f>$F$3</f>
        <v>44804</v>
      </c>
      <c r="G227" s="1428"/>
      <c r="H227" s="1424" t="s">
        <v>379</v>
      </c>
      <c r="I227" s="1424"/>
      <c r="J227" s="1424"/>
      <c r="K227" s="1423">
        <f>$K$3</f>
        <v>1</v>
      </c>
      <c r="L227" s="1366"/>
    </row>
    <row r="228" spans="1:12" ht="13.5" thickBot="1"/>
    <row r="229" spans="1:12">
      <c r="A229" s="439"/>
      <c r="B229" s="440"/>
      <c r="C229" s="440"/>
      <c r="D229" s="440"/>
      <c r="E229" s="440"/>
      <c r="F229" s="440"/>
      <c r="G229" s="440"/>
      <c r="H229" s="440"/>
      <c r="I229" s="440"/>
      <c r="J229" s="440"/>
      <c r="K229" s="440"/>
      <c r="L229" s="525"/>
    </row>
    <row r="230" spans="1:12" ht="15">
      <c r="A230" s="1358" t="s">
        <v>419</v>
      </c>
      <c r="B230" s="1359"/>
      <c r="C230" s="1359"/>
      <c r="D230" s="1359"/>
      <c r="E230" s="1359"/>
      <c r="F230" s="1359"/>
      <c r="G230" s="1359"/>
      <c r="H230" s="1359"/>
      <c r="I230" s="1359"/>
      <c r="J230" s="1359"/>
      <c r="K230" s="1359"/>
      <c r="L230" s="1360"/>
    </row>
    <row r="231" spans="1:12" ht="13.5" thickBot="1">
      <c r="A231" s="526"/>
      <c r="L231" s="527"/>
    </row>
    <row r="232" spans="1:12" ht="13.5" thickBot="1">
      <c r="A232" s="1425" t="s">
        <v>0</v>
      </c>
      <c r="B232" s="1426"/>
      <c r="C232" s="1426"/>
      <c r="D232" s="1426"/>
      <c r="E232" s="1426"/>
      <c r="F232" s="1426"/>
      <c r="G232" s="1426"/>
      <c r="H232" s="1427"/>
      <c r="I232" s="528" t="s">
        <v>1</v>
      </c>
      <c r="J232" s="528" t="s">
        <v>2</v>
      </c>
      <c r="K232" s="528" t="s">
        <v>3</v>
      </c>
      <c r="L232" s="529" t="s">
        <v>404</v>
      </c>
    </row>
    <row r="233" spans="1:12" ht="13.5" thickBot="1">
      <c r="A233" s="1409" t="s">
        <v>428</v>
      </c>
      <c r="B233" s="1410"/>
      <c r="C233" s="1410"/>
      <c r="D233" s="1410"/>
      <c r="E233" s="1410"/>
      <c r="F233" s="1410"/>
      <c r="G233" s="1410"/>
      <c r="H233" s="1410"/>
      <c r="I233" s="1410"/>
      <c r="J233" s="1410"/>
      <c r="K233" s="1411"/>
      <c r="L233" s="545">
        <f>L224</f>
        <v>0</v>
      </c>
    </row>
    <row r="234" spans="1:12">
      <c r="A234" s="1418" t="str">
        <f>'Pricing Schedule'!A254&amp;" " &amp;'Pricing Schedule'!B254</f>
        <v>3.7 ADMINISTRATION AND MONITORING OF THE WORKS CONTRACT</v>
      </c>
      <c r="B234" s="1419"/>
      <c r="C234" s="1419"/>
      <c r="D234" s="1419"/>
      <c r="E234" s="1419"/>
      <c r="F234" s="1419"/>
      <c r="G234" s="1419"/>
      <c r="H234" s="1419"/>
      <c r="I234" s="1419"/>
      <c r="J234" s="1419"/>
      <c r="K234" s="1357"/>
      <c r="L234" s="536"/>
    </row>
    <row r="235" spans="1:12" ht="15">
      <c r="A235" s="1407" t="str">
        <f>'Pricing Schedule'!A255&amp;" " &amp;'Pricing Schedule'!B255</f>
        <v>3.7.1 ADMINISTRATION AND MONITORING OF THE WORKS CONTRACT</v>
      </c>
      <c r="B235" s="1408"/>
      <c r="C235" s="1408"/>
      <c r="D235" s="1408"/>
      <c r="E235" s="1408"/>
      <c r="F235" s="1408"/>
      <c r="G235" s="1408"/>
      <c r="H235" s="861"/>
      <c r="I235" s="532"/>
      <c r="J235" s="862"/>
      <c r="K235" s="532"/>
      <c r="L235" s="863"/>
    </row>
    <row r="236" spans="1:12" ht="15">
      <c r="A236" s="1407" t="str">
        <f>'Pricing Schedule'!A280&amp;" " &amp;'Pricing Schedule'!B280</f>
        <v xml:space="preserve"> (k)  Training of Service Provider’s staff and Targeted Enterprises:</v>
      </c>
      <c r="B236" s="1408"/>
      <c r="C236" s="1408"/>
      <c r="D236" s="1408"/>
      <c r="E236" s="1408"/>
      <c r="F236" s="1408"/>
      <c r="G236" s="1408"/>
      <c r="H236" s="861"/>
      <c r="I236" s="532"/>
      <c r="J236" s="862"/>
      <c r="K236" s="532"/>
      <c r="L236" s="863"/>
    </row>
    <row r="237" spans="1:12">
      <c r="A237" s="1407" t="str">
        <f>'Pricing Schedule'!A281&amp;" " &amp;'Pricing Schedule'!B281</f>
        <v xml:space="preserve"> (i)   Assistant Contract Engineer</v>
      </c>
      <c r="B237" s="1408"/>
      <c r="C237" s="1408"/>
      <c r="D237" s="1408"/>
      <c r="E237" s="1408"/>
      <c r="F237" s="1408"/>
      <c r="G237" s="1408"/>
      <c r="H237" s="861">
        <f>'Pricing Schedule'!F281</f>
        <v>800000</v>
      </c>
      <c r="I237" s="532"/>
      <c r="J237" s="532"/>
      <c r="K237" s="864">
        <f>IF(H237=0,L237/100,(L237/H237))</f>
        <v>0</v>
      </c>
      <c r="L237" s="863">
        <f>SUM(L238:L244)</f>
        <v>0</v>
      </c>
    </row>
    <row r="238" spans="1:12">
      <c r="A238" s="1405"/>
      <c r="B238" s="1406"/>
      <c r="C238" s="1406"/>
      <c r="D238" s="1406"/>
      <c r="E238" s="1406"/>
      <c r="F238" s="1406"/>
      <c r="G238" s="1406"/>
      <c r="H238" s="877"/>
      <c r="I238" s="878"/>
      <c r="J238" s="879"/>
      <c r="K238" s="880"/>
      <c r="L238" s="865">
        <f>K238*J238</f>
        <v>0</v>
      </c>
    </row>
    <row r="239" spans="1:12">
      <c r="A239" s="1405"/>
      <c r="B239" s="1406"/>
      <c r="C239" s="1406"/>
      <c r="D239" s="1406"/>
      <c r="E239" s="1406"/>
      <c r="F239" s="1406"/>
      <c r="G239" s="1406"/>
      <c r="H239" s="877"/>
      <c r="I239" s="878"/>
      <c r="J239" s="879"/>
      <c r="K239" s="880"/>
      <c r="L239" s="865">
        <f t="shared" ref="L239:L244" si="17">K239*J239</f>
        <v>0</v>
      </c>
    </row>
    <row r="240" spans="1:12">
      <c r="A240" s="1405"/>
      <c r="B240" s="1406"/>
      <c r="C240" s="1406"/>
      <c r="D240" s="1406"/>
      <c r="E240" s="1406"/>
      <c r="F240" s="1406"/>
      <c r="G240" s="1406"/>
      <c r="H240" s="877"/>
      <c r="I240" s="878"/>
      <c r="J240" s="879"/>
      <c r="K240" s="880"/>
      <c r="L240" s="865">
        <f t="shared" si="17"/>
        <v>0</v>
      </c>
    </row>
    <row r="241" spans="1:12">
      <c r="A241" s="1405"/>
      <c r="B241" s="1406"/>
      <c r="C241" s="1406"/>
      <c r="D241" s="1406"/>
      <c r="E241" s="1406"/>
      <c r="F241" s="1406"/>
      <c r="G241" s="1406"/>
      <c r="H241" s="877"/>
      <c r="I241" s="878"/>
      <c r="J241" s="879"/>
      <c r="K241" s="880"/>
      <c r="L241" s="865">
        <f t="shared" si="17"/>
        <v>0</v>
      </c>
    </row>
    <row r="242" spans="1:12">
      <c r="A242" s="1405"/>
      <c r="B242" s="1406"/>
      <c r="C242" s="1406"/>
      <c r="D242" s="1406"/>
      <c r="E242" s="1406"/>
      <c r="F242" s="1406"/>
      <c r="G242" s="1406"/>
      <c r="H242" s="877"/>
      <c r="I242" s="878"/>
      <c r="J242" s="879"/>
      <c r="K242" s="880"/>
      <c r="L242" s="865">
        <f t="shared" si="17"/>
        <v>0</v>
      </c>
    </row>
    <row r="243" spans="1:12">
      <c r="A243" s="1405"/>
      <c r="B243" s="1406"/>
      <c r="C243" s="1406"/>
      <c r="D243" s="1406"/>
      <c r="E243" s="1406"/>
      <c r="F243" s="1406"/>
      <c r="G243" s="1406"/>
      <c r="H243" s="877"/>
      <c r="I243" s="878"/>
      <c r="J243" s="879"/>
      <c r="K243" s="880"/>
      <c r="L243" s="865">
        <f t="shared" si="17"/>
        <v>0</v>
      </c>
    </row>
    <row r="244" spans="1:12">
      <c r="A244" s="1405"/>
      <c r="B244" s="1406"/>
      <c r="C244" s="1406"/>
      <c r="D244" s="1406"/>
      <c r="E244" s="1406"/>
      <c r="F244" s="1406"/>
      <c r="G244" s="1406"/>
      <c r="H244" s="877"/>
      <c r="I244" s="878"/>
      <c r="J244" s="879"/>
      <c r="K244" s="880"/>
      <c r="L244" s="865">
        <f t="shared" si="17"/>
        <v>0</v>
      </c>
    </row>
    <row r="245" spans="1:12">
      <c r="A245" s="1407" t="str">
        <f>'Pricing Schedule'!A282&amp;" " &amp;'Pricing Schedule'!B282</f>
        <v xml:space="preserve"> (ii)  Disbursements</v>
      </c>
      <c r="B245" s="1408"/>
      <c r="C245" s="1408"/>
      <c r="D245" s="1408"/>
      <c r="E245" s="1408"/>
      <c r="F245" s="1408"/>
      <c r="G245" s="1408"/>
      <c r="H245" s="861">
        <f>'Pricing Schedule'!F282</f>
        <v>100000</v>
      </c>
      <c r="I245" s="532"/>
      <c r="J245" s="532"/>
      <c r="K245" s="864">
        <f>IF(H245=0,L245/100,(L245/H245))</f>
        <v>0</v>
      </c>
      <c r="L245" s="863">
        <f>SUM(L246:L252)</f>
        <v>0</v>
      </c>
    </row>
    <row r="246" spans="1:12">
      <c r="A246" s="1405"/>
      <c r="B246" s="1406"/>
      <c r="C246" s="1406"/>
      <c r="D246" s="1406"/>
      <c r="E246" s="1406"/>
      <c r="F246" s="1406"/>
      <c r="G246" s="1406"/>
      <c r="H246" s="877"/>
      <c r="I246" s="878"/>
      <c r="J246" s="879"/>
      <c r="K246" s="880"/>
      <c r="L246" s="865">
        <f>K246*J246</f>
        <v>0</v>
      </c>
    </row>
    <row r="247" spans="1:12">
      <c r="A247" s="1405"/>
      <c r="B247" s="1406"/>
      <c r="C247" s="1406"/>
      <c r="D247" s="1406"/>
      <c r="E247" s="1406"/>
      <c r="F247" s="1406"/>
      <c r="G247" s="1406"/>
      <c r="H247" s="877"/>
      <c r="I247" s="878"/>
      <c r="J247" s="879"/>
      <c r="K247" s="880"/>
      <c r="L247" s="865">
        <f t="shared" ref="L247:L252" si="18">K247*J247</f>
        <v>0</v>
      </c>
    </row>
    <row r="248" spans="1:12">
      <c r="A248" s="1405"/>
      <c r="B248" s="1406"/>
      <c r="C248" s="1406"/>
      <c r="D248" s="1406"/>
      <c r="E248" s="1406"/>
      <c r="F248" s="1406"/>
      <c r="G248" s="1406"/>
      <c r="H248" s="877"/>
      <c r="I248" s="878"/>
      <c r="J248" s="879"/>
      <c r="K248" s="880"/>
      <c r="L248" s="865">
        <f t="shared" si="18"/>
        <v>0</v>
      </c>
    </row>
    <row r="249" spans="1:12">
      <c r="A249" s="1405"/>
      <c r="B249" s="1406"/>
      <c r="C249" s="1406"/>
      <c r="D249" s="1406"/>
      <c r="E249" s="1406"/>
      <c r="F249" s="1406"/>
      <c r="G249" s="1406"/>
      <c r="H249" s="877"/>
      <c r="I249" s="878"/>
      <c r="J249" s="879"/>
      <c r="K249" s="880"/>
      <c r="L249" s="865">
        <f t="shared" si="18"/>
        <v>0</v>
      </c>
    </row>
    <row r="250" spans="1:12">
      <c r="A250" s="1405"/>
      <c r="B250" s="1406"/>
      <c r="C250" s="1406"/>
      <c r="D250" s="1406"/>
      <c r="E250" s="1406"/>
      <c r="F250" s="1406"/>
      <c r="G250" s="1406"/>
      <c r="H250" s="877"/>
      <c r="I250" s="878"/>
      <c r="J250" s="879"/>
      <c r="K250" s="880"/>
      <c r="L250" s="865">
        <f t="shared" si="18"/>
        <v>0</v>
      </c>
    </row>
    <row r="251" spans="1:12">
      <c r="A251" s="1405"/>
      <c r="B251" s="1406"/>
      <c r="C251" s="1406"/>
      <c r="D251" s="1406"/>
      <c r="E251" s="1406"/>
      <c r="F251" s="1406"/>
      <c r="G251" s="1406"/>
      <c r="H251" s="877"/>
      <c r="I251" s="878"/>
      <c r="J251" s="879"/>
      <c r="K251" s="880"/>
      <c r="L251" s="865">
        <f t="shared" si="18"/>
        <v>0</v>
      </c>
    </row>
    <row r="252" spans="1:12">
      <c r="A252" s="1405"/>
      <c r="B252" s="1406"/>
      <c r="C252" s="1406"/>
      <c r="D252" s="1406"/>
      <c r="E252" s="1406"/>
      <c r="F252" s="1406"/>
      <c r="G252" s="1406"/>
      <c r="H252" s="877"/>
      <c r="I252" s="878"/>
      <c r="J252" s="879"/>
      <c r="K252" s="880"/>
      <c r="L252" s="865">
        <f t="shared" si="18"/>
        <v>0</v>
      </c>
    </row>
    <row r="253" spans="1:12" ht="15">
      <c r="A253" s="1407" t="str">
        <f>'Pricing Schedule'!A283&amp;" " &amp;'Pricing Schedule'!B283</f>
        <v>3.7.2 Occupational Health and Safety obligations</v>
      </c>
      <c r="B253" s="1408"/>
      <c r="C253" s="1408"/>
      <c r="D253" s="1408"/>
      <c r="E253" s="1408"/>
      <c r="F253" s="1408"/>
      <c r="G253" s="1408"/>
      <c r="H253" s="861"/>
      <c r="I253" s="532"/>
      <c r="J253" s="862"/>
      <c r="K253" s="532"/>
      <c r="L253" s="863"/>
    </row>
    <row r="254" spans="1:12">
      <c r="A254" s="1407" t="str">
        <f>'Pricing Schedule'!A285&amp;" " &amp;'Pricing Schedule'!B285</f>
        <v xml:space="preserve"> (b) external site audits</v>
      </c>
      <c r="B254" s="1408"/>
      <c r="C254" s="1408"/>
      <c r="D254" s="1408"/>
      <c r="E254" s="1408"/>
      <c r="F254" s="1408"/>
      <c r="G254" s="1408"/>
      <c r="H254" s="861">
        <f>'Pricing Schedule'!F285</f>
        <v>250000</v>
      </c>
      <c r="I254" s="532"/>
      <c r="J254" s="532"/>
      <c r="K254" s="864">
        <f>IF(H254=0,L254/100,(L254/H254))</f>
        <v>0</v>
      </c>
      <c r="L254" s="863">
        <f>SUM(L255:L261)</f>
        <v>0</v>
      </c>
    </row>
    <row r="255" spans="1:12">
      <c r="A255" s="1405"/>
      <c r="B255" s="1406"/>
      <c r="C255" s="1406"/>
      <c r="D255" s="1406"/>
      <c r="E255" s="1406"/>
      <c r="F255" s="1406"/>
      <c r="G255" s="1406"/>
      <c r="H255" s="877"/>
      <c r="I255" s="878"/>
      <c r="J255" s="879"/>
      <c r="K255" s="880"/>
      <c r="L255" s="865">
        <f>K255*J255</f>
        <v>0</v>
      </c>
    </row>
    <row r="256" spans="1:12">
      <c r="A256" s="1405"/>
      <c r="B256" s="1406"/>
      <c r="C256" s="1406"/>
      <c r="D256" s="1406"/>
      <c r="E256" s="1406"/>
      <c r="F256" s="1406"/>
      <c r="G256" s="1406"/>
      <c r="H256" s="877"/>
      <c r="I256" s="878"/>
      <c r="J256" s="879"/>
      <c r="K256" s="880"/>
      <c r="L256" s="865">
        <f t="shared" ref="L256:L261" si="19">K256*J256</f>
        <v>0</v>
      </c>
    </row>
    <row r="257" spans="1:12">
      <c r="A257" s="1405"/>
      <c r="B257" s="1406"/>
      <c r="C257" s="1406"/>
      <c r="D257" s="1406"/>
      <c r="E257" s="1406"/>
      <c r="F257" s="1406"/>
      <c r="G257" s="1406"/>
      <c r="H257" s="877"/>
      <c r="I257" s="878"/>
      <c r="J257" s="879"/>
      <c r="K257" s="880"/>
      <c r="L257" s="865">
        <f t="shared" si="19"/>
        <v>0</v>
      </c>
    </row>
    <row r="258" spans="1:12">
      <c r="A258" s="1405"/>
      <c r="B258" s="1406"/>
      <c r="C258" s="1406"/>
      <c r="D258" s="1406"/>
      <c r="E258" s="1406"/>
      <c r="F258" s="1406"/>
      <c r="G258" s="1406"/>
      <c r="H258" s="877"/>
      <c r="I258" s="878"/>
      <c r="J258" s="879"/>
      <c r="K258" s="880"/>
      <c r="L258" s="865">
        <f t="shared" si="19"/>
        <v>0</v>
      </c>
    </row>
    <row r="259" spans="1:12">
      <c r="A259" s="1405"/>
      <c r="B259" s="1406"/>
      <c r="C259" s="1406"/>
      <c r="D259" s="1406"/>
      <c r="E259" s="1406"/>
      <c r="F259" s="1406"/>
      <c r="G259" s="1406"/>
      <c r="H259" s="877"/>
      <c r="I259" s="878"/>
      <c r="J259" s="879"/>
      <c r="K259" s="880"/>
      <c r="L259" s="865">
        <f t="shared" si="19"/>
        <v>0</v>
      </c>
    </row>
    <row r="260" spans="1:12">
      <c r="A260" s="1405"/>
      <c r="B260" s="1406"/>
      <c r="C260" s="1406"/>
      <c r="D260" s="1406"/>
      <c r="E260" s="1406"/>
      <c r="F260" s="1406"/>
      <c r="G260" s="1406"/>
      <c r="H260" s="877"/>
      <c r="I260" s="878"/>
      <c r="J260" s="879"/>
      <c r="K260" s="880"/>
      <c r="L260" s="865">
        <f t="shared" si="19"/>
        <v>0</v>
      </c>
    </row>
    <row r="261" spans="1:12">
      <c r="A261" s="1405"/>
      <c r="B261" s="1406"/>
      <c r="C261" s="1406"/>
      <c r="D261" s="1406"/>
      <c r="E261" s="1406"/>
      <c r="F261" s="1406"/>
      <c r="G261" s="1406"/>
      <c r="H261" s="877"/>
      <c r="I261" s="878"/>
      <c r="J261" s="879"/>
      <c r="K261" s="880"/>
      <c r="L261" s="865">
        <f t="shared" si="19"/>
        <v>0</v>
      </c>
    </row>
    <row r="262" spans="1:12" ht="15">
      <c r="A262" s="1407" t="str">
        <f>'Pricing Schedule'!A287&amp;" " &amp;'Pricing Schedule'!B287</f>
        <v>3.7.3 Establishment of supervisory personnel on site</v>
      </c>
      <c r="B262" s="1408"/>
      <c r="C262" s="1408"/>
      <c r="D262" s="1408"/>
      <c r="E262" s="1408"/>
      <c r="F262" s="1408"/>
      <c r="G262" s="1408"/>
      <c r="H262" s="861"/>
      <c r="I262" s="532"/>
      <c r="J262" s="862"/>
      <c r="K262" s="532"/>
      <c r="L262" s="863"/>
    </row>
    <row r="263" spans="1:12">
      <c r="A263" s="1407" t="str">
        <f>'Pricing Schedule'!A288&amp;" " &amp;'Pricing Schedule'!B288</f>
        <v xml:space="preserve"> (a) Relocation costs of individual site personnel</v>
      </c>
      <c r="B263" s="1408"/>
      <c r="C263" s="1408"/>
      <c r="D263" s="1408"/>
      <c r="E263" s="1408"/>
      <c r="F263" s="1408"/>
      <c r="G263" s="1408"/>
      <c r="H263" s="861">
        <f>'Pricing Schedule'!F288</f>
        <v>250000</v>
      </c>
      <c r="I263" s="532"/>
      <c r="J263" s="532"/>
      <c r="K263" s="864">
        <f>IF(H263=0,L263/100,(L263/H263))</f>
        <v>0</v>
      </c>
      <c r="L263" s="863">
        <f>SUM(L264:L270)</f>
        <v>0</v>
      </c>
    </row>
    <row r="264" spans="1:12">
      <c r="A264" s="1405"/>
      <c r="B264" s="1406"/>
      <c r="C264" s="1406"/>
      <c r="D264" s="1406"/>
      <c r="E264" s="1406"/>
      <c r="F264" s="1406"/>
      <c r="G264" s="1406"/>
      <c r="H264" s="877"/>
      <c r="I264" s="878"/>
      <c r="J264" s="879"/>
      <c r="K264" s="880"/>
      <c r="L264" s="865">
        <f>K264*J264</f>
        <v>0</v>
      </c>
    </row>
    <row r="265" spans="1:12">
      <c r="A265" s="1405"/>
      <c r="B265" s="1406"/>
      <c r="C265" s="1406"/>
      <c r="D265" s="1406"/>
      <c r="E265" s="1406"/>
      <c r="F265" s="1406"/>
      <c r="G265" s="1406"/>
      <c r="H265" s="877"/>
      <c r="I265" s="878"/>
      <c r="J265" s="879"/>
      <c r="K265" s="880"/>
      <c r="L265" s="865">
        <f t="shared" ref="L265:L270" si="20">K265*J265</f>
        <v>0</v>
      </c>
    </row>
    <row r="266" spans="1:12">
      <c r="A266" s="1405"/>
      <c r="B266" s="1406"/>
      <c r="C266" s="1406"/>
      <c r="D266" s="1406"/>
      <c r="E266" s="1406"/>
      <c r="F266" s="1406"/>
      <c r="G266" s="1406"/>
      <c r="H266" s="877"/>
      <c r="I266" s="878"/>
      <c r="J266" s="879"/>
      <c r="K266" s="880"/>
      <c r="L266" s="865">
        <f t="shared" si="20"/>
        <v>0</v>
      </c>
    </row>
    <row r="267" spans="1:12">
      <c r="A267" s="1405"/>
      <c r="B267" s="1406"/>
      <c r="C267" s="1406"/>
      <c r="D267" s="1406"/>
      <c r="E267" s="1406"/>
      <c r="F267" s="1406"/>
      <c r="G267" s="1406"/>
      <c r="H267" s="877"/>
      <c r="I267" s="878"/>
      <c r="J267" s="879"/>
      <c r="K267" s="880"/>
      <c r="L267" s="865">
        <f t="shared" si="20"/>
        <v>0</v>
      </c>
    </row>
    <row r="268" spans="1:12">
      <c r="A268" s="1405"/>
      <c r="B268" s="1406"/>
      <c r="C268" s="1406"/>
      <c r="D268" s="1406"/>
      <c r="E268" s="1406"/>
      <c r="F268" s="1406"/>
      <c r="G268" s="1406"/>
      <c r="H268" s="877"/>
      <c r="I268" s="878"/>
      <c r="J268" s="879"/>
      <c r="K268" s="880"/>
      <c r="L268" s="865">
        <f t="shared" si="20"/>
        <v>0</v>
      </c>
    </row>
    <row r="269" spans="1:12">
      <c r="A269" s="1405"/>
      <c r="B269" s="1406"/>
      <c r="C269" s="1406"/>
      <c r="D269" s="1406"/>
      <c r="E269" s="1406"/>
      <c r="F269" s="1406"/>
      <c r="G269" s="1406"/>
      <c r="H269" s="877"/>
      <c r="I269" s="878"/>
      <c r="J269" s="879"/>
      <c r="K269" s="880"/>
      <c r="L269" s="865">
        <f t="shared" si="20"/>
        <v>0</v>
      </c>
    </row>
    <row r="270" spans="1:12">
      <c r="A270" s="1405"/>
      <c r="B270" s="1406"/>
      <c r="C270" s="1406"/>
      <c r="D270" s="1406"/>
      <c r="E270" s="1406"/>
      <c r="F270" s="1406"/>
      <c r="G270" s="1406"/>
      <c r="H270" s="877"/>
      <c r="I270" s="878"/>
      <c r="J270" s="879"/>
      <c r="K270" s="880"/>
      <c r="L270" s="865">
        <f t="shared" si="20"/>
        <v>0</v>
      </c>
    </row>
    <row r="271" spans="1:12" ht="15">
      <c r="A271" s="1407" t="str">
        <f>'Pricing Schedule'!A291&amp;" " &amp;'Pricing Schedule'!B291</f>
        <v>3.7.4 Provision of Supervisory Staff and Equipment</v>
      </c>
      <c r="B271" s="1408"/>
      <c r="C271" s="1408"/>
      <c r="D271" s="1408"/>
      <c r="E271" s="1408"/>
      <c r="F271" s="1408"/>
      <c r="G271" s="1408"/>
      <c r="H271" s="861"/>
      <c r="I271" s="532"/>
      <c r="J271" s="862"/>
      <c r="K271" s="532"/>
      <c r="L271" s="863"/>
    </row>
    <row r="272" spans="1:12">
      <c r="A272" s="1407" t="str">
        <f>'Pricing Schedule'!A292&amp;" " &amp;'Pricing Schedule'!B292</f>
        <v xml:space="preserve"> (a) Site supervision staff</v>
      </c>
      <c r="B272" s="1408"/>
      <c r="C272" s="1408"/>
      <c r="D272" s="1408"/>
      <c r="E272" s="1408"/>
      <c r="F272" s="1408"/>
      <c r="G272" s="1408"/>
      <c r="H272" s="861">
        <f>'Pricing Schedule'!F292</f>
        <v>30240000</v>
      </c>
      <c r="I272" s="532"/>
      <c r="J272" s="532"/>
      <c r="K272" s="864">
        <f>IF(H272=0,L272/100,(L272/H272))</f>
        <v>0</v>
      </c>
      <c r="L272" s="863">
        <f>SUM(L273:L279)</f>
        <v>0</v>
      </c>
    </row>
    <row r="273" spans="1:12">
      <c r="A273" s="1405"/>
      <c r="B273" s="1406"/>
      <c r="C273" s="1406"/>
      <c r="D273" s="1406"/>
      <c r="E273" s="1406"/>
      <c r="F273" s="1406"/>
      <c r="G273" s="1406"/>
      <c r="H273" s="877"/>
      <c r="I273" s="878"/>
      <c r="J273" s="879"/>
      <c r="K273" s="880"/>
      <c r="L273" s="865">
        <f>K273*J273</f>
        <v>0</v>
      </c>
    </row>
    <row r="274" spans="1:12">
      <c r="A274" s="1405"/>
      <c r="B274" s="1406"/>
      <c r="C274" s="1406"/>
      <c r="D274" s="1406"/>
      <c r="E274" s="1406"/>
      <c r="F274" s="1406"/>
      <c r="G274" s="1406"/>
      <c r="H274" s="877"/>
      <c r="I274" s="878"/>
      <c r="J274" s="879"/>
      <c r="K274" s="880"/>
      <c r="L274" s="865">
        <f t="shared" ref="L274:L279" si="21">K274*J274</f>
        <v>0</v>
      </c>
    </row>
    <row r="275" spans="1:12">
      <c r="A275" s="1405"/>
      <c r="B275" s="1406"/>
      <c r="C275" s="1406"/>
      <c r="D275" s="1406"/>
      <c r="E275" s="1406"/>
      <c r="F275" s="1406"/>
      <c r="G275" s="1406"/>
      <c r="H275" s="877"/>
      <c r="I275" s="878"/>
      <c r="J275" s="879"/>
      <c r="K275" s="880"/>
      <c r="L275" s="865">
        <f t="shared" si="21"/>
        <v>0</v>
      </c>
    </row>
    <row r="276" spans="1:12">
      <c r="A276" s="1405"/>
      <c r="B276" s="1406"/>
      <c r="C276" s="1406"/>
      <c r="D276" s="1406"/>
      <c r="E276" s="1406"/>
      <c r="F276" s="1406"/>
      <c r="G276" s="1406"/>
      <c r="H276" s="877"/>
      <c r="I276" s="878"/>
      <c r="J276" s="879"/>
      <c r="K276" s="880"/>
      <c r="L276" s="865">
        <f t="shared" si="21"/>
        <v>0</v>
      </c>
    </row>
    <row r="277" spans="1:12">
      <c r="A277" s="1405"/>
      <c r="B277" s="1406"/>
      <c r="C277" s="1406"/>
      <c r="D277" s="1406"/>
      <c r="E277" s="1406"/>
      <c r="F277" s="1406"/>
      <c r="G277" s="1406"/>
      <c r="H277" s="877"/>
      <c r="I277" s="878"/>
      <c r="J277" s="879"/>
      <c r="K277" s="880"/>
      <c r="L277" s="865">
        <f t="shared" si="21"/>
        <v>0</v>
      </c>
    </row>
    <row r="278" spans="1:12">
      <c r="A278" s="1405"/>
      <c r="B278" s="1406"/>
      <c r="C278" s="1406"/>
      <c r="D278" s="1406"/>
      <c r="E278" s="1406"/>
      <c r="F278" s="1406"/>
      <c r="G278" s="1406"/>
      <c r="H278" s="877"/>
      <c r="I278" s="878"/>
      <c r="J278" s="879"/>
      <c r="K278" s="880"/>
      <c r="L278" s="865">
        <f t="shared" si="21"/>
        <v>0</v>
      </c>
    </row>
    <row r="279" spans="1:12">
      <c r="A279" s="1405"/>
      <c r="B279" s="1406"/>
      <c r="C279" s="1406"/>
      <c r="D279" s="1406"/>
      <c r="E279" s="1406"/>
      <c r="F279" s="1406"/>
      <c r="G279" s="1406"/>
      <c r="H279" s="877"/>
      <c r="I279" s="878"/>
      <c r="J279" s="879"/>
      <c r="K279" s="880"/>
      <c r="L279" s="865">
        <f t="shared" si="21"/>
        <v>0</v>
      </c>
    </row>
    <row r="280" spans="1:12">
      <c r="A280" s="1407" t="str">
        <f>'Pricing Schedule'!A294&amp;" " &amp;'Pricing Schedule'!B294</f>
        <v xml:space="preserve"> (c) Surveyor and assistants</v>
      </c>
      <c r="B280" s="1408"/>
      <c r="C280" s="1408"/>
      <c r="D280" s="1408"/>
      <c r="E280" s="1408"/>
      <c r="F280" s="1408"/>
      <c r="G280" s="1408"/>
      <c r="H280" s="861">
        <f>'Pricing Schedule'!F294</f>
        <v>1200000</v>
      </c>
      <c r="I280" s="532"/>
      <c r="J280" s="532"/>
      <c r="K280" s="864">
        <f>IF(H280=0,L280/100,(L280/H280))</f>
        <v>0</v>
      </c>
      <c r="L280" s="863">
        <f>SUM(L281:L287)</f>
        <v>0</v>
      </c>
    </row>
    <row r="281" spans="1:12">
      <c r="A281" s="1405"/>
      <c r="B281" s="1406"/>
      <c r="C281" s="1406"/>
      <c r="D281" s="1406"/>
      <c r="E281" s="1406"/>
      <c r="F281" s="1406"/>
      <c r="G281" s="1406"/>
      <c r="H281" s="877"/>
      <c r="I281" s="878"/>
      <c r="J281" s="879"/>
      <c r="K281" s="880"/>
      <c r="L281" s="865">
        <f>K281*J281</f>
        <v>0</v>
      </c>
    </row>
    <row r="282" spans="1:12">
      <c r="A282" s="1405"/>
      <c r="B282" s="1406"/>
      <c r="C282" s="1406"/>
      <c r="D282" s="1406"/>
      <c r="E282" s="1406"/>
      <c r="F282" s="1406"/>
      <c r="G282" s="1406"/>
      <c r="H282" s="877"/>
      <c r="I282" s="878"/>
      <c r="J282" s="879"/>
      <c r="K282" s="880"/>
      <c r="L282" s="865">
        <f t="shared" ref="L282:L287" si="22">K282*J282</f>
        <v>0</v>
      </c>
    </row>
    <row r="283" spans="1:12">
      <c r="A283" s="1405"/>
      <c r="B283" s="1406"/>
      <c r="C283" s="1406"/>
      <c r="D283" s="1406"/>
      <c r="E283" s="1406"/>
      <c r="F283" s="1406"/>
      <c r="G283" s="1406"/>
      <c r="H283" s="877"/>
      <c r="I283" s="878"/>
      <c r="J283" s="879"/>
      <c r="K283" s="880"/>
      <c r="L283" s="865">
        <f t="shared" si="22"/>
        <v>0</v>
      </c>
    </row>
    <row r="284" spans="1:12">
      <c r="A284" s="1405"/>
      <c r="B284" s="1406"/>
      <c r="C284" s="1406"/>
      <c r="D284" s="1406"/>
      <c r="E284" s="1406"/>
      <c r="F284" s="1406"/>
      <c r="G284" s="1406"/>
      <c r="H284" s="877"/>
      <c r="I284" s="878"/>
      <c r="J284" s="879"/>
      <c r="K284" s="880"/>
      <c r="L284" s="865">
        <f t="shared" si="22"/>
        <v>0</v>
      </c>
    </row>
    <row r="285" spans="1:12">
      <c r="A285" s="1405"/>
      <c r="B285" s="1406"/>
      <c r="C285" s="1406"/>
      <c r="D285" s="1406"/>
      <c r="E285" s="1406"/>
      <c r="F285" s="1406"/>
      <c r="G285" s="1406"/>
      <c r="H285" s="877"/>
      <c r="I285" s="878"/>
      <c r="J285" s="879"/>
      <c r="K285" s="880"/>
      <c r="L285" s="865">
        <f t="shared" si="22"/>
        <v>0</v>
      </c>
    </row>
    <row r="286" spans="1:12">
      <c r="A286" s="1405"/>
      <c r="B286" s="1406"/>
      <c r="C286" s="1406"/>
      <c r="D286" s="1406"/>
      <c r="E286" s="1406"/>
      <c r="F286" s="1406"/>
      <c r="G286" s="1406"/>
      <c r="H286" s="877"/>
      <c r="I286" s="878"/>
      <c r="J286" s="879"/>
      <c r="K286" s="880"/>
      <c r="L286" s="865">
        <f t="shared" si="22"/>
        <v>0</v>
      </c>
    </row>
    <row r="287" spans="1:12">
      <c r="A287" s="1405"/>
      <c r="B287" s="1406"/>
      <c r="C287" s="1406"/>
      <c r="D287" s="1406"/>
      <c r="E287" s="1406"/>
      <c r="F287" s="1406"/>
      <c r="G287" s="1406"/>
      <c r="H287" s="877"/>
      <c r="I287" s="878"/>
      <c r="J287" s="879"/>
      <c r="K287" s="880"/>
      <c r="L287" s="865">
        <f t="shared" si="22"/>
        <v>0</v>
      </c>
    </row>
    <row r="288" spans="1:12">
      <c r="A288" s="1407" t="str">
        <f>'Pricing Schedule'!A297&amp;" " &amp;'Pricing Schedule'!B297</f>
        <v xml:space="preserve"> (f) Project Liaison Officer (PLO)</v>
      </c>
      <c r="B288" s="1408"/>
      <c r="C288" s="1408"/>
      <c r="D288" s="1408"/>
      <c r="E288" s="1408"/>
      <c r="F288" s="1408"/>
      <c r="G288" s="1408"/>
      <c r="H288" s="861">
        <f>'Pricing Schedule'!F297</f>
        <v>540000</v>
      </c>
      <c r="I288" s="532"/>
      <c r="J288" s="532"/>
      <c r="K288" s="864">
        <f>IF(H288=0,L288/100,(L288/H288))</f>
        <v>0</v>
      </c>
      <c r="L288" s="863">
        <f>SUM(L289:L295)</f>
        <v>0</v>
      </c>
    </row>
    <row r="289" spans="1:12">
      <c r="A289" s="1405"/>
      <c r="B289" s="1406"/>
      <c r="C289" s="1406"/>
      <c r="D289" s="1406"/>
      <c r="E289" s="1406"/>
      <c r="F289" s="1406"/>
      <c r="G289" s="1406"/>
      <c r="H289" s="877"/>
      <c r="I289" s="878"/>
      <c r="J289" s="879"/>
      <c r="K289" s="880"/>
      <c r="L289" s="865">
        <f>K289*J289</f>
        <v>0</v>
      </c>
    </row>
    <row r="290" spans="1:12">
      <c r="A290" s="1405"/>
      <c r="B290" s="1406"/>
      <c r="C290" s="1406"/>
      <c r="D290" s="1406"/>
      <c r="E290" s="1406"/>
      <c r="F290" s="1406"/>
      <c r="G290" s="1406"/>
      <c r="H290" s="877"/>
      <c r="I290" s="878"/>
      <c r="J290" s="879"/>
      <c r="K290" s="880"/>
      <c r="L290" s="865">
        <f t="shared" ref="L290:L295" si="23">K290*J290</f>
        <v>0</v>
      </c>
    </row>
    <row r="291" spans="1:12">
      <c r="A291" s="1405"/>
      <c r="B291" s="1406"/>
      <c r="C291" s="1406"/>
      <c r="D291" s="1406"/>
      <c r="E291" s="1406"/>
      <c r="F291" s="1406"/>
      <c r="G291" s="1406"/>
      <c r="H291" s="877"/>
      <c r="I291" s="878"/>
      <c r="J291" s="879"/>
      <c r="K291" s="880"/>
      <c r="L291" s="865">
        <f t="shared" si="23"/>
        <v>0</v>
      </c>
    </row>
    <row r="292" spans="1:12">
      <c r="A292" s="1405"/>
      <c r="B292" s="1406"/>
      <c r="C292" s="1406"/>
      <c r="D292" s="1406"/>
      <c r="E292" s="1406"/>
      <c r="F292" s="1406"/>
      <c r="G292" s="1406"/>
      <c r="H292" s="877"/>
      <c r="I292" s="878"/>
      <c r="J292" s="879"/>
      <c r="K292" s="880"/>
      <c r="L292" s="865">
        <f t="shared" si="23"/>
        <v>0</v>
      </c>
    </row>
    <row r="293" spans="1:12">
      <c r="A293" s="1405"/>
      <c r="B293" s="1406"/>
      <c r="C293" s="1406"/>
      <c r="D293" s="1406"/>
      <c r="E293" s="1406"/>
      <c r="F293" s="1406"/>
      <c r="G293" s="1406"/>
      <c r="H293" s="877"/>
      <c r="I293" s="878"/>
      <c r="J293" s="879"/>
      <c r="K293" s="880"/>
      <c r="L293" s="865">
        <f t="shared" si="23"/>
        <v>0</v>
      </c>
    </row>
    <row r="294" spans="1:12">
      <c r="A294" s="1405"/>
      <c r="B294" s="1406"/>
      <c r="C294" s="1406"/>
      <c r="D294" s="1406"/>
      <c r="E294" s="1406"/>
      <c r="F294" s="1406"/>
      <c r="G294" s="1406"/>
      <c r="H294" s="877"/>
      <c r="I294" s="878"/>
      <c r="J294" s="879"/>
      <c r="K294" s="880"/>
      <c r="L294" s="865">
        <f t="shared" si="23"/>
        <v>0</v>
      </c>
    </row>
    <row r="295" spans="1:12">
      <c r="A295" s="1405"/>
      <c r="B295" s="1406"/>
      <c r="C295" s="1406"/>
      <c r="D295" s="1406"/>
      <c r="E295" s="1406"/>
      <c r="F295" s="1406"/>
      <c r="G295" s="1406"/>
      <c r="H295" s="877"/>
      <c r="I295" s="878"/>
      <c r="J295" s="879"/>
      <c r="K295" s="880"/>
      <c r="L295" s="865">
        <f t="shared" si="23"/>
        <v>0</v>
      </c>
    </row>
    <row r="296" spans="1:12">
      <c r="A296" s="1407" t="str">
        <f>'Pricing Schedule'!A299&amp;" " &amp;'Pricing Schedule'!B299</f>
        <v xml:space="preserve"> (h) Accommodation for supervisory staff</v>
      </c>
      <c r="B296" s="1408"/>
      <c r="C296" s="1408"/>
      <c r="D296" s="1408"/>
      <c r="E296" s="1408"/>
      <c r="F296" s="1408"/>
      <c r="G296" s="1408"/>
      <c r="H296" s="861">
        <f>'Pricing Schedule'!F299</f>
        <v>2916000</v>
      </c>
      <c r="I296" s="532"/>
      <c r="J296" s="532"/>
      <c r="K296" s="864">
        <f>IF(H296=0,L296/100,(L296/H296))</f>
        <v>0</v>
      </c>
      <c r="L296" s="863">
        <f>SUM(L297:L303)</f>
        <v>0</v>
      </c>
    </row>
    <row r="297" spans="1:12">
      <c r="A297" s="1405"/>
      <c r="B297" s="1406"/>
      <c r="C297" s="1406"/>
      <c r="D297" s="1406"/>
      <c r="E297" s="1406"/>
      <c r="F297" s="1406"/>
      <c r="G297" s="1406"/>
      <c r="H297" s="877"/>
      <c r="I297" s="878"/>
      <c r="J297" s="879"/>
      <c r="K297" s="880"/>
      <c r="L297" s="865">
        <f>K297*J297</f>
        <v>0</v>
      </c>
    </row>
    <row r="298" spans="1:12">
      <c r="A298" s="1405"/>
      <c r="B298" s="1406"/>
      <c r="C298" s="1406"/>
      <c r="D298" s="1406"/>
      <c r="E298" s="1406"/>
      <c r="F298" s="1406"/>
      <c r="G298" s="1406"/>
      <c r="H298" s="877"/>
      <c r="I298" s="878"/>
      <c r="J298" s="879"/>
      <c r="K298" s="880"/>
      <c r="L298" s="865">
        <f t="shared" ref="L298:L303" si="24">K298*J298</f>
        <v>0</v>
      </c>
    </row>
    <row r="299" spans="1:12">
      <c r="A299" s="1405"/>
      <c r="B299" s="1406"/>
      <c r="C299" s="1406"/>
      <c r="D299" s="1406"/>
      <c r="E299" s="1406"/>
      <c r="F299" s="1406"/>
      <c r="G299" s="1406"/>
      <c r="H299" s="877"/>
      <c r="I299" s="878"/>
      <c r="J299" s="879"/>
      <c r="K299" s="880"/>
      <c r="L299" s="865">
        <f t="shared" si="24"/>
        <v>0</v>
      </c>
    </row>
    <row r="300" spans="1:12">
      <c r="A300" s="1405"/>
      <c r="B300" s="1406"/>
      <c r="C300" s="1406"/>
      <c r="D300" s="1406"/>
      <c r="E300" s="1406"/>
      <c r="F300" s="1406"/>
      <c r="G300" s="1406"/>
      <c r="H300" s="877"/>
      <c r="I300" s="878"/>
      <c r="J300" s="879"/>
      <c r="K300" s="880"/>
      <c r="L300" s="865">
        <f t="shared" si="24"/>
        <v>0</v>
      </c>
    </row>
    <row r="301" spans="1:12">
      <c r="A301" s="1405"/>
      <c r="B301" s="1406"/>
      <c r="C301" s="1406"/>
      <c r="D301" s="1406"/>
      <c r="E301" s="1406"/>
      <c r="F301" s="1406"/>
      <c r="G301" s="1406"/>
      <c r="H301" s="877"/>
      <c r="I301" s="878"/>
      <c r="J301" s="879"/>
      <c r="K301" s="880"/>
      <c r="L301" s="865">
        <f t="shared" si="24"/>
        <v>0</v>
      </c>
    </row>
    <row r="302" spans="1:12">
      <c r="A302" s="1405"/>
      <c r="B302" s="1406"/>
      <c r="C302" s="1406"/>
      <c r="D302" s="1406"/>
      <c r="E302" s="1406"/>
      <c r="F302" s="1406"/>
      <c r="G302" s="1406"/>
      <c r="H302" s="877"/>
      <c r="I302" s="878"/>
      <c r="J302" s="879"/>
      <c r="K302" s="880"/>
      <c r="L302" s="865">
        <f t="shared" si="24"/>
        <v>0</v>
      </c>
    </row>
    <row r="303" spans="1:12">
      <c r="A303" s="1405"/>
      <c r="B303" s="1406"/>
      <c r="C303" s="1406"/>
      <c r="D303" s="1406"/>
      <c r="E303" s="1406"/>
      <c r="F303" s="1406"/>
      <c r="G303" s="1406"/>
      <c r="H303" s="877"/>
      <c r="I303" s="878"/>
      <c r="J303" s="879"/>
      <c r="K303" s="880"/>
      <c r="L303" s="865">
        <f t="shared" si="24"/>
        <v>0</v>
      </c>
    </row>
    <row r="304" spans="1:12" ht="15">
      <c r="A304" s="1407" t="str">
        <f>'Pricing Schedule'!A301&amp;" " &amp;'Pricing Schedule'!B301</f>
        <v>3.7.5 Training</v>
      </c>
      <c r="B304" s="1408"/>
      <c r="C304" s="1408"/>
      <c r="D304" s="1408"/>
      <c r="E304" s="1408"/>
      <c r="F304" s="1408"/>
      <c r="G304" s="1408"/>
      <c r="H304" s="861"/>
      <c r="I304" s="532"/>
      <c r="J304" s="862"/>
      <c r="K304" s="532"/>
      <c r="L304" s="863"/>
    </row>
    <row r="305" spans="1:12">
      <c r="A305" s="1407" t="str">
        <f>'Pricing Schedule'!A304&amp;" " &amp;'Pricing Schedule'!B304</f>
        <v xml:space="preserve"> (c)   Student stipend</v>
      </c>
      <c r="B305" s="1408"/>
      <c r="C305" s="1408"/>
      <c r="D305" s="1408"/>
      <c r="E305" s="1408"/>
      <c r="F305" s="1408"/>
      <c r="G305" s="1408"/>
      <c r="H305" s="861">
        <f>'Pricing Schedule'!F304</f>
        <v>720000</v>
      </c>
      <c r="I305" s="532"/>
      <c r="J305" s="532"/>
      <c r="K305" s="864">
        <f>IF(H305=0,L305/100,(L305/H305))</f>
        <v>0</v>
      </c>
      <c r="L305" s="863">
        <f>SUM(L306:L312)</f>
        <v>0</v>
      </c>
    </row>
    <row r="306" spans="1:12">
      <c r="A306" s="1405"/>
      <c r="B306" s="1406"/>
      <c r="C306" s="1406"/>
      <c r="D306" s="1406"/>
      <c r="E306" s="1406"/>
      <c r="F306" s="1406"/>
      <c r="G306" s="1406"/>
      <c r="H306" s="877"/>
      <c r="I306" s="878"/>
      <c r="J306" s="879"/>
      <c r="K306" s="880"/>
      <c r="L306" s="865">
        <f>K306*J306</f>
        <v>0</v>
      </c>
    </row>
    <row r="307" spans="1:12">
      <c r="A307" s="1405"/>
      <c r="B307" s="1406"/>
      <c r="C307" s="1406"/>
      <c r="D307" s="1406"/>
      <c r="E307" s="1406"/>
      <c r="F307" s="1406"/>
      <c r="G307" s="1406"/>
      <c r="H307" s="877"/>
      <c r="I307" s="878"/>
      <c r="J307" s="879"/>
      <c r="K307" s="880"/>
      <c r="L307" s="865">
        <f t="shared" ref="L307:L312" si="25">K307*J307</f>
        <v>0</v>
      </c>
    </row>
    <row r="308" spans="1:12">
      <c r="A308" s="1405"/>
      <c r="B308" s="1406"/>
      <c r="C308" s="1406"/>
      <c r="D308" s="1406"/>
      <c r="E308" s="1406"/>
      <c r="F308" s="1406"/>
      <c r="G308" s="1406"/>
      <c r="H308" s="877"/>
      <c r="I308" s="878"/>
      <c r="J308" s="879"/>
      <c r="K308" s="880"/>
      <c r="L308" s="865">
        <f t="shared" si="25"/>
        <v>0</v>
      </c>
    </row>
    <row r="309" spans="1:12">
      <c r="A309" s="1405"/>
      <c r="B309" s="1406"/>
      <c r="C309" s="1406"/>
      <c r="D309" s="1406"/>
      <c r="E309" s="1406"/>
      <c r="F309" s="1406"/>
      <c r="G309" s="1406"/>
      <c r="H309" s="877"/>
      <c r="I309" s="878"/>
      <c r="J309" s="879"/>
      <c r="K309" s="880"/>
      <c r="L309" s="865">
        <f t="shared" si="25"/>
        <v>0</v>
      </c>
    </row>
    <row r="310" spans="1:12">
      <c r="A310" s="1405"/>
      <c r="B310" s="1406"/>
      <c r="C310" s="1406"/>
      <c r="D310" s="1406"/>
      <c r="E310" s="1406"/>
      <c r="F310" s="1406"/>
      <c r="G310" s="1406"/>
      <c r="H310" s="877"/>
      <c r="I310" s="878"/>
      <c r="J310" s="879"/>
      <c r="K310" s="880"/>
      <c r="L310" s="865">
        <f t="shared" si="25"/>
        <v>0</v>
      </c>
    </row>
    <row r="311" spans="1:12">
      <c r="A311" s="1405"/>
      <c r="B311" s="1406"/>
      <c r="C311" s="1406"/>
      <c r="D311" s="1406"/>
      <c r="E311" s="1406"/>
      <c r="F311" s="1406"/>
      <c r="G311" s="1406"/>
      <c r="H311" s="877"/>
      <c r="I311" s="878"/>
      <c r="J311" s="879"/>
      <c r="K311" s="880"/>
      <c r="L311" s="865">
        <f t="shared" si="25"/>
        <v>0</v>
      </c>
    </row>
    <row r="312" spans="1:12">
      <c r="A312" s="1405"/>
      <c r="B312" s="1406"/>
      <c r="C312" s="1406"/>
      <c r="D312" s="1406"/>
      <c r="E312" s="1406"/>
      <c r="F312" s="1406"/>
      <c r="G312" s="1406"/>
      <c r="H312" s="877"/>
      <c r="I312" s="878"/>
      <c r="J312" s="879"/>
      <c r="K312" s="880"/>
      <c r="L312" s="865">
        <f t="shared" si="25"/>
        <v>0</v>
      </c>
    </row>
    <row r="313" spans="1:12" ht="15">
      <c r="A313" s="1407" t="str">
        <f>'Pricing Schedule'!A305&amp;" " &amp;'Pricing Schedule'!B305</f>
        <v>3.7.6 Transport for site supervisory staff and for additional services</v>
      </c>
      <c r="B313" s="1408"/>
      <c r="C313" s="1408"/>
      <c r="D313" s="1408"/>
      <c r="E313" s="1408"/>
      <c r="F313" s="1408"/>
      <c r="G313" s="1408"/>
      <c r="H313" s="861"/>
      <c r="I313" s="532"/>
      <c r="J313" s="862"/>
      <c r="K313" s="532"/>
      <c r="L313" s="863"/>
    </row>
    <row r="314" spans="1:12">
      <c r="A314" s="1407" t="str">
        <f>'Pricing Schedule'!A306&amp;" " &amp;'Pricing Schedule'!B306</f>
        <v xml:space="preserve"> (a) Travelling to perform duties</v>
      </c>
      <c r="B314" s="1408"/>
      <c r="C314" s="1408"/>
      <c r="D314" s="1408"/>
      <c r="E314" s="1408"/>
      <c r="F314" s="1408"/>
      <c r="G314" s="1408"/>
      <c r="H314" s="861">
        <f>'Pricing Schedule'!F306</f>
        <v>4500000</v>
      </c>
      <c r="I314" s="532"/>
      <c r="J314" s="532"/>
      <c r="K314" s="864">
        <f>IF(H314=0,L314/100,(L314/H314))</f>
        <v>0</v>
      </c>
      <c r="L314" s="863">
        <f>SUM(L315:L321)</f>
        <v>0</v>
      </c>
    </row>
    <row r="315" spans="1:12">
      <c r="A315" s="1405"/>
      <c r="B315" s="1406"/>
      <c r="C315" s="1406"/>
      <c r="D315" s="1406"/>
      <c r="E315" s="1406"/>
      <c r="F315" s="1406"/>
      <c r="G315" s="1406"/>
      <c r="H315" s="877"/>
      <c r="I315" s="878"/>
      <c r="J315" s="879"/>
      <c r="K315" s="880"/>
      <c r="L315" s="865">
        <f>K315*J315</f>
        <v>0</v>
      </c>
    </row>
    <row r="316" spans="1:12">
      <c r="A316" s="1405"/>
      <c r="B316" s="1406"/>
      <c r="C316" s="1406"/>
      <c r="D316" s="1406"/>
      <c r="E316" s="1406"/>
      <c r="F316" s="1406"/>
      <c r="G316" s="1406"/>
      <c r="H316" s="877"/>
      <c r="I316" s="878"/>
      <c r="J316" s="879"/>
      <c r="K316" s="880"/>
      <c r="L316" s="865">
        <f t="shared" ref="L316:L338" si="26">K316*J316</f>
        <v>0</v>
      </c>
    </row>
    <row r="317" spans="1:12">
      <c r="A317" s="1405"/>
      <c r="B317" s="1406"/>
      <c r="C317" s="1406"/>
      <c r="D317" s="1406"/>
      <c r="E317" s="1406"/>
      <c r="F317" s="1406"/>
      <c r="G317" s="1406"/>
      <c r="H317" s="877"/>
      <c r="I317" s="878"/>
      <c r="J317" s="879"/>
      <c r="K317" s="880"/>
      <c r="L317" s="865">
        <f t="shared" si="26"/>
        <v>0</v>
      </c>
    </row>
    <row r="318" spans="1:12">
      <c r="A318" s="1405"/>
      <c r="B318" s="1406"/>
      <c r="C318" s="1406"/>
      <c r="D318" s="1406"/>
      <c r="E318" s="1406"/>
      <c r="F318" s="1406"/>
      <c r="G318" s="1406"/>
      <c r="H318" s="877"/>
      <c r="I318" s="878"/>
      <c r="J318" s="879"/>
      <c r="K318" s="880"/>
      <c r="L318" s="865">
        <f t="shared" si="26"/>
        <v>0</v>
      </c>
    </row>
    <row r="319" spans="1:12">
      <c r="A319" s="1405"/>
      <c r="B319" s="1406"/>
      <c r="C319" s="1406"/>
      <c r="D319" s="1406"/>
      <c r="E319" s="1406"/>
      <c r="F319" s="1406"/>
      <c r="G319" s="1406"/>
      <c r="H319" s="877"/>
      <c r="I319" s="878"/>
      <c r="J319" s="879"/>
      <c r="K319" s="880"/>
      <c r="L319" s="865">
        <f t="shared" si="26"/>
        <v>0</v>
      </c>
    </row>
    <row r="320" spans="1:12">
      <c r="A320" s="1405"/>
      <c r="B320" s="1406"/>
      <c r="C320" s="1406"/>
      <c r="D320" s="1406"/>
      <c r="E320" s="1406"/>
      <c r="F320" s="1406"/>
      <c r="G320" s="1406"/>
      <c r="H320" s="877"/>
      <c r="I320" s="878"/>
      <c r="J320" s="879"/>
      <c r="K320" s="880"/>
      <c r="L320" s="865">
        <f t="shared" si="26"/>
        <v>0</v>
      </c>
    </row>
    <row r="321" spans="1:12">
      <c r="A321" s="1405"/>
      <c r="B321" s="1406"/>
      <c r="C321" s="1406"/>
      <c r="D321" s="1406"/>
      <c r="E321" s="1406"/>
      <c r="F321" s="1406"/>
      <c r="G321" s="1406"/>
      <c r="H321" s="877"/>
      <c r="I321" s="878"/>
      <c r="J321" s="879"/>
      <c r="K321" s="880"/>
      <c r="L321" s="865">
        <f t="shared" si="26"/>
        <v>0</v>
      </c>
    </row>
    <row r="322" spans="1:12">
      <c r="A322" s="1407" t="str">
        <f>'Pricing Schedule'!A308&amp;" " &amp;'Pricing Schedule'!B308</f>
        <v xml:space="preserve"> (c) Toll fees</v>
      </c>
      <c r="B322" s="1408"/>
      <c r="C322" s="1408"/>
      <c r="D322" s="1408"/>
      <c r="E322" s="1408"/>
      <c r="F322" s="1408"/>
      <c r="G322" s="1408"/>
      <c r="H322" s="861">
        <f>'Pricing Schedule'!F308</f>
        <v>50000</v>
      </c>
      <c r="I322" s="532"/>
      <c r="J322" s="532"/>
      <c r="K322" s="864">
        <f>IF(H322=0,L322/100,(L322/H322))</f>
        <v>0</v>
      </c>
      <c r="L322" s="863">
        <f>SUM(L323:L329)</f>
        <v>0</v>
      </c>
    </row>
    <row r="323" spans="1:12">
      <c r="A323" s="1405"/>
      <c r="B323" s="1406"/>
      <c r="C323" s="1406"/>
      <c r="D323" s="1406"/>
      <c r="E323" s="1406"/>
      <c r="F323" s="1406"/>
      <c r="G323" s="1406"/>
      <c r="H323" s="877"/>
      <c r="I323" s="878"/>
      <c r="J323" s="879"/>
      <c r="K323" s="880"/>
      <c r="L323" s="865">
        <f t="shared" si="26"/>
        <v>0</v>
      </c>
    </row>
    <row r="324" spans="1:12">
      <c r="A324" s="1405"/>
      <c r="B324" s="1406"/>
      <c r="C324" s="1406"/>
      <c r="D324" s="1406"/>
      <c r="E324" s="1406"/>
      <c r="F324" s="1406"/>
      <c r="G324" s="1406"/>
      <c r="H324" s="877"/>
      <c r="I324" s="878"/>
      <c r="J324" s="879"/>
      <c r="K324" s="880"/>
      <c r="L324" s="865">
        <f t="shared" si="26"/>
        <v>0</v>
      </c>
    </row>
    <row r="325" spans="1:12">
      <c r="A325" s="1405"/>
      <c r="B325" s="1406"/>
      <c r="C325" s="1406"/>
      <c r="D325" s="1406"/>
      <c r="E325" s="1406"/>
      <c r="F325" s="1406"/>
      <c r="G325" s="1406"/>
      <c r="H325" s="877"/>
      <c r="I325" s="878"/>
      <c r="J325" s="879"/>
      <c r="K325" s="880"/>
      <c r="L325" s="865">
        <f t="shared" si="26"/>
        <v>0</v>
      </c>
    </row>
    <row r="326" spans="1:12">
      <c r="A326" s="1405"/>
      <c r="B326" s="1406"/>
      <c r="C326" s="1406"/>
      <c r="D326" s="1406"/>
      <c r="E326" s="1406"/>
      <c r="F326" s="1406"/>
      <c r="G326" s="1406"/>
      <c r="H326" s="877"/>
      <c r="I326" s="878"/>
      <c r="J326" s="879"/>
      <c r="K326" s="880"/>
      <c r="L326" s="865">
        <f t="shared" si="26"/>
        <v>0</v>
      </c>
    </row>
    <row r="327" spans="1:12">
      <c r="A327" s="1405"/>
      <c r="B327" s="1406"/>
      <c r="C327" s="1406"/>
      <c r="D327" s="1406"/>
      <c r="E327" s="1406"/>
      <c r="F327" s="1406"/>
      <c r="G327" s="1406"/>
      <c r="H327" s="877"/>
      <c r="I327" s="878"/>
      <c r="J327" s="879"/>
      <c r="K327" s="880"/>
      <c r="L327" s="865">
        <f t="shared" si="26"/>
        <v>0</v>
      </c>
    </row>
    <row r="328" spans="1:12">
      <c r="A328" s="1405"/>
      <c r="B328" s="1406"/>
      <c r="C328" s="1406"/>
      <c r="D328" s="1406"/>
      <c r="E328" s="1406"/>
      <c r="F328" s="1406"/>
      <c r="G328" s="1406"/>
      <c r="H328" s="877"/>
      <c r="I328" s="878"/>
      <c r="J328" s="879"/>
      <c r="K328" s="880"/>
      <c r="L328" s="865">
        <f t="shared" si="26"/>
        <v>0</v>
      </c>
    </row>
    <row r="329" spans="1:12">
      <c r="A329" s="1405"/>
      <c r="B329" s="1406"/>
      <c r="C329" s="1406"/>
      <c r="D329" s="1406"/>
      <c r="E329" s="1406"/>
      <c r="F329" s="1406"/>
      <c r="G329" s="1406"/>
      <c r="H329" s="877"/>
      <c r="I329" s="878"/>
      <c r="J329" s="879"/>
      <c r="K329" s="880"/>
      <c r="L329" s="865">
        <f t="shared" si="26"/>
        <v>0</v>
      </c>
    </row>
    <row r="330" spans="1:12" ht="15">
      <c r="A330" s="1407" t="str">
        <f>'Pricing Schedule'!A313&amp;" " &amp;'Pricing Schedule'!B313</f>
        <v>3.7.8 Environmental Services during Construction Phase</v>
      </c>
      <c r="B330" s="1408"/>
      <c r="C330" s="1408"/>
      <c r="D330" s="1408"/>
      <c r="E330" s="1408"/>
      <c r="F330" s="1408"/>
      <c r="G330" s="1408"/>
      <c r="H330" s="861"/>
      <c r="I330" s="532"/>
      <c r="J330" s="862"/>
      <c r="K330" s="532"/>
      <c r="L330" s="863"/>
    </row>
    <row r="331" spans="1:12">
      <c r="A331" s="1407" t="str">
        <f>'Pricing Schedule'!A314&amp;" " &amp;'Pricing Schedule'!B314</f>
        <v xml:space="preserve"> (a)  Environmental services</v>
      </c>
      <c r="B331" s="1408"/>
      <c r="C331" s="1408"/>
      <c r="D331" s="1408"/>
      <c r="E331" s="1408"/>
      <c r="F331" s="1408"/>
      <c r="G331" s="1408"/>
      <c r="H331" s="861">
        <f>'Pricing Schedule'!F314</f>
        <v>1500000</v>
      </c>
      <c r="I331" s="532"/>
      <c r="J331" s="532"/>
      <c r="K331" s="864">
        <f>IF(H331=0,L331/100,(L331/H331))</f>
        <v>0</v>
      </c>
      <c r="L331" s="863">
        <f>SUM(L332:L338)</f>
        <v>0</v>
      </c>
    </row>
    <row r="332" spans="1:12">
      <c r="A332" s="1405"/>
      <c r="B332" s="1406"/>
      <c r="C332" s="1406"/>
      <c r="D332" s="1406"/>
      <c r="E332" s="1406"/>
      <c r="F332" s="1406"/>
      <c r="G332" s="1406"/>
      <c r="H332" s="877"/>
      <c r="I332" s="878"/>
      <c r="J332" s="879"/>
      <c r="K332" s="880"/>
      <c r="L332" s="865">
        <f t="shared" si="26"/>
        <v>0</v>
      </c>
    </row>
    <row r="333" spans="1:12">
      <c r="A333" s="1405"/>
      <c r="B333" s="1406"/>
      <c r="C333" s="1406"/>
      <c r="D333" s="1406"/>
      <c r="E333" s="1406"/>
      <c r="F333" s="1406"/>
      <c r="G333" s="1406"/>
      <c r="H333" s="877"/>
      <c r="I333" s="878"/>
      <c r="J333" s="879"/>
      <c r="K333" s="880"/>
      <c r="L333" s="865">
        <f t="shared" si="26"/>
        <v>0</v>
      </c>
    </row>
    <row r="334" spans="1:12">
      <c r="A334" s="1405"/>
      <c r="B334" s="1406"/>
      <c r="C334" s="1406"/>
      <c r="D334" s="1406"/>
      <c r="E334" s="1406"/>
      <c r="F334" s="1406"/>
      <c r="G334" s="1406"/>
      <c r="H334" s="877"/>
      <c r="I334" s="878"/>
      <c r="J334" s="879"/>
      <c r="K334" s="880"/>
      <c r="L334" s="865">
        <f t="shared" si="26"/>
        <v>0</v>
      </c>
    </row>
    <row r="335" spans="1:12">
      <c r="A335" s="1405"/>
      <c r="B335" s="1406"/>
      <c r="C335" s="1406"/>
      <c r="D335" s="1406"/>
      <c r="E335" s="1406"/>
      <c r="F335" s="1406"/>
      <c r="G335" s="1406"/>
      <c r="H335" s="877"/>
      <c r="I335" s="878"/>
      <c r="J335" s="879"/>
      <c r="K335" s="880"/>
      <c r="L335" s="865">
        <f t="shared" si="26"/>
        <v>0</v>
      </c>
    </row>
    <row r="336" spans="1:12">
      <c r="A336" s="1405"/>
      <c r="B336" s="1406"/>
      <c r="C336" s="1406"/>
      <c r="D336" s="1406"/>
      <c r="E336" s="1406"/>
      <c r="F336" s="1406"/>
      <c r="G336" s="1406"/>
      <c r="H336" s="877"/>
      <c r="I336" s="878"/>
      <c r="J336" s="879"/>
      <c r="K336" s="880"/>
      <c r="L336" s="865">
        <f t="shared" si="26"/>
        <v>0</v>
      </c>
    </row>
    <row r="337" spans="1:12">
      <c r="A337" s="1405"/>
      <c r="B337" s="1406"/>
      <c r="C337" s="1406"/>
      <c r="D337" s="1406"/>
      <c r="E337" s="1406"/>
      <c r="F337" s="1406"/>
      <c r="G337" s="1406"/>
      <c r="H337" s="877"/>
      <c r="I337" s="878"/>
      <c r="J337" s="879"/>
      <c r="K337" s="880"/>
      <c r="L337" s="865">
        <f t="shared" si="26"/>
        <v>0</v>
      </c>
    </row>
    <row r="338" spans="1:12" ht="13.5" thickBot="1">
      <c r="A338" s="1405"/>
      <c r="B338" s="1406"/>
      <c r="C338" s="1406"/>
      <c r="D338" s="1406"/>
      <c r="E338" s="1406"/>
      <c r="F338" s="1406"/>
      <c r="G338" s="1406"/>
      <c r="H338" s="877"/>
      <c r="I338" s="878"/>
      <c r="J338" s="879"/>
      <c r="K338" s="880"/>
      <c r="L338" s="865">
        <f t="shared" si="26"/>
        <v>0</v>
      </c>
    </row>
    <row r="339" spans="1:12">
      <c r="A339" s="1412"/>
      <c r="B339" s="1413"/>
      <c r="C339" s="1413"/>
      <c r="D339" s="1413"/>
      <c r="E339" s="1413"/>
      <c r="F339" s="1413"/>
      <c r="G339" s="1413"/>
      <c r="H339" s="1414"/>
      <c r="I339" s="866"/>
      <c r="J339" s="867" t="s">
        <v>368</v>
      </c>
      <c r="K339" s="868">
        <f>'C3.7'!$A$7</f>
        <v>3.7</v>
      </c>
      <c r="L339" s="534">
        <f>L254+L263+L272+L280+L288+L296+L305+L314+L322+L331+L237+L245</f>
        <v>0</v>
      </c>
    </row>
    <row r="340" spans="1:12" ht="13.5" thickBot="1">
      <c r="A340" s="1420"/>
      <c r="B340" s="1421"/>
      <c r="C340" s="1421"/>
      <c r="D340" s="1421"/>
      <c r="E340" s="1421"/>
      <c r="F340" s="1421"/>
      <c r="G340" s="1421"/>
      <c r="H340" s="1422"/>
      <c r="I340" s="869"/>
      <c r="J340" s="869"/>
      <c r="K340" s="870"/>
      <c r="L340" s="871"/>
    </row>
    <row r="341" spans="1:12" ht="18.75" customHeight="1" thickBot="1">
      <c r="A341" s="1409" t="s">
        <v>797</v>
      </c>
      <c r="B341" s="1410"/>
      <c r="C341" s="1410"/>
      <c r="D341" s="1410"/>
      <c r="E341" s="1410"/>
      <c r="F341" s="1410"/>
      <c r="G341" s="1410"/>
      <c r="H341" s="1410"/>
      <c r="I341" s="1410"/>
      <c r="J341" s="1410"/>
      <c r="K341" s="1411"/>
      <c r="L341" s="873">
        <f>L339+L233</f>
        <v>0</v>
      </c>
    </row>
    <row r="342" spans="1:12" ht="15.75">
      <c r="L342" s="857" t="s">
        <v>798</v>
      </c>
    </row>
    <row r="343" spans="1:12" ht="8.25" customHeight="1">
      <c r="L343" s="858"/>
    </row>
    <row r="344" spans="1:12" ht="15.75" customHeight="1">
      <c r="A344" s="1432" t="s">
        <v>422</v>
      </c>
      <c r="B344" s="1364"/>
      <c r="C344" s="524" t="str">
        <f>$C$3</f>
        <v>NRA.N.011-050-2012/1F</v>
      </c>
      <c r="D344" s="403"/>
      <c r="E344" s="403"/>
      <c r="F344" s="1428">
        <f>$F$3</f>
        <v>44804</v>
      </c>
      <c r="G344" s="1428"/>
      <c r="H344" s="1424" t="s">
        <v>379</v>
      </c>
      <c r="I344" s="1424"/>
      <c r="J344" s="1424"/>
      <c r="K344" s="1423">
        <f>$K$3</f>
        <v>1</v>
      </c>
      <c r="L344" s="1366"/>
    </row>
    <row r="345" spans="1:12" ht="15.75" customHeight="1" thickBot="1"/>
    <row r="346" spans="1:12" ht="15.75" customHeight="1">
      <c r="A346" s="439"/>
      <c r="B346" s="440"/>
      <c r="C346" s="440"/>
      <c r="D346" s="440"/>
      <c r="E346" s="440"/>
      <c r="F346" s="440"/>
      <c r="G346" s="440"/>
      <c r="H346" s="440"/>
      <c r="I346" s="440"/>
      <c r="J346" s="440"/>
      <c r="K346" s="440"/>
      <c r="L346" s="525"/>
    </row>
    <row r="347" spans="1:12" ht="15.75" customHeight="1">
      <c r="A347" s="1358" t="s">
        <v>419</v>
      </c>
      <c r="B347" s="1359"/>
      <c r="C347" s="1359"/>
      <c r="D347" s="1359"/>
      <c r="E347" s="1359"/>
      <c r="F347" s="1359"/>
      <c r="G347" s="1359"/>
      <c r="H347" s="1359"/>
      <c r="I347" s="1359"/>
      <c r="J347" s="1359"/>
      <c r="K347" s="1359"/>
      <c r="L347" s="1360"/>
    </row>
    <row r="348" spans="1:12" ht="15.75" customHeight="1" thickBot="1">
      <c r="A348" s="526"/>
      <c r="L348" s="527"/>
    </row>
    <row r="349" spans="1:12" ht="15.75" customHeight="1" thickBot="1">
      <c r="A349" s="1425" t="s">
        <v>0</v>
      </c>
      <c r="B349" s="1426"/>
      <c r="C349" s="1426"/>
      <c r="D349" s="1426"/>
      <c r="E349" s="1426"/>
      <c r="F349" s="1426"/>
      <c r="G349" s="1426"/>
      <c r="H349" s="1427"/>
      <c r="I349" s="528" t="s">
        <v>1</v>
      </c>
      <c r="J349" s="528" t="s">
        <v>2</v>
      </c>
      <c r="K349" s="528" t="s">
        <v>3</v>
      </c>
      <c r="L349" s="529" t="s">
        <v>404</v>
      </c>
    </row>
    <row r="350" spans="1:12" ht="12.75" customHeight="1" thickBot="1">
      <c r="A350" s="1409" t="s">
        <v>799</v>
      </c>
      <c r="B350" s="1410"/>
      <c r="C350" s="1410"/>
      <c r="D350" s="1410"/>
      <c r="E350" s="1410"/>
      <c r="F350" s="1410"/>
      <c r="G350" s="1410"/>
      <c r="H350" s="1410"/>
      <c r="I350" s="1410"/>
      <c r="J350" s="1410"/>
      <c r="K350" s="1411"/>
      <c r="L350" s="545">
        <f>L341</f>
        <v>0</v>
      </c>
    </row>
    <row r="351" spans="1:12">
      <c r="A351" s="1418" t="str">
        <f>'Pricing Schedule'!A317&amp;" " &amp;'Pricing Schedule'!B317</f>
        <v>3.8 ADDITIONAL DUTIES, SPECIAL SERVICES AND SPECIALIST ADVICE</v>
      </c>
      <c r="B351" s="1419"/>
      <c r="C351" s="1419"/>
      <c r="D351" s="1419"/>
      <c r="E351" s="1419"/>
      <c r="F351" s="1419"/>
      <c r="G351" s="1419"/>
      <c r="H351" s="1419"/>
      <c r="I351" s="1419"/>
      <c r="J351" s="1419"/>
      <c r="K351" s="1357"/>
      <c r="L351" s="536"/>
    </row>
    <row r="352" spans="1:12" ht="15">
      <c r="A352" s="1407" t="str">
        <f>'Pricing Schedule'!A318&amp;" " &amp;'Pricing Schedule'!B318</f>
        <v>3.8.1 Additional duties by Service Provider</v>
      </c>
      <c r="B352" s="1408"/>
      <c r="C352" s="1408"/>
      <c r="D352" s="1408"/>
      <c r="E352" s="1408"/>
      <c r="F352" s="1408"/>
      <c r="G352" s="1408"/>
      <c r="H352" s="861"/>
      <c r="I352" s="532"/>
      <c r="J352" s="862"/>
      <c r="K352" s="532"/>
      <c r="L352" s="863"/>
    </row>
    <row r="353" spans="1:12">
      <c r="A353" s="1407" t="str">
        <f>'Pricing Schedule'!A324&amp;" " &amp;'Pricing Schedule'!B324</f>
        <v xml:space="preserve"> (b)  Disbursements</v>
      </c>
      <c r="B353" s="1408"/>
      <c r="C353" s="1408"/>
      <c r="D353" s="1408"/>
      <c r="E353" s="1408"/>
      <c r="F353" s="1408"/>
      <c r="G353" s="1408"/>
      <c r="H353" s="861">
        <f>'Pricing Schedule'!F324</f>
        <v>50000</v>
      </c>
      <c r="I353" s="532"/>
      <c r="J353" s="532"/>
      <c r="K353" s="864">
        <f>IF(H353=0,L353/100,(L353/H353))</f>
        <v>0</v>
      </c>
      <c r="L353" s="863">
        <f>SUM(L354:L360)</f>
        <v>0</v>
      </c>
    </row>
    <row r="354" spans="1:12">
      <c r="A354" s="1405"/>
      <c r="B354" s="1406"/>
      <c r="C354" s="1406"/>
      <c r="D354" s="1406"/>
      <c r="E354" s="1406"/>
      <c r="F354" s="1406"/>
      <c r="G354" s="1406"/>
      <c r="H354" s="877"/>
      <c r="I354" s="878"/>
      <c r="J354" s="879"/>
      <c r="K354" s="880"/>
      <c r="L354" s="865">
        <f>K354*J354</f>
        <v>0</v>
      </c>
    </row>
    <row r="355" spans="1:12">
      <c r="A355" s="1405"/>
      <c r="B355" s="1406"/>
      <c r="C355" s="1406"/>
      <c r="D355" s="1406"/>
      <c r="E355" s="1406"/>
      <c r="F355" s="1406"/>
      <c r="G355" s="1406"/>
      <c r="H355" s="877"/>
      <c r="I355" s="878"/>
      <c r="J355" s="879"/>
      <c r="K355" s="880"/>
      <c r="L355" s="865">
        <f t="shared" ref="L355:L360" si="27">K355*J355</f>
        <v>0</v>
      </c>
    </row>
    <row r="356" spans="1:12">
      <c r="A356" s="1405"/>
      <c r="B356" s="1406"/>
      <c r="C356" s="1406"/>
      <c r="D356" s="1406"/>
      <c r="E356" s="1406"/>
      <c r="F356" s="1406"/>
      <c r="G356" s="1406"/>
      <c r="H356" s="877"/>
      <c r="I356" s="878"/>
      <c r="J356" s="879"/>
      <c r="K356" s="880"/>
      <c r="L356" s="865">
        <f t="shared" si="27"/>
        <v>0</v>
      </c>
    </row>
    <row r="357" spans="1:12">
      <c r="A357" s="1405"/>
      <c r="B357" s="1406"/>
      <c r="C357" s="1406"/>
      <c r="D357" s="1406"/>
      <c r="E357" s="1406"/>
      <c r="F357" s="1406"/>
      <c r="G357" s="1406"/>
      <c r="H357" s="877"/>
      <c r="I357" s="878"/>
      <c r="J357" s="879"/>
      <c r="K357" s="880"/>
      <c r="L357" s="865">
        <f t="shared" si="27"/>
        <v>0</v>
      </c>
    </row>
    <row r="358" spans="1:12">
      <c r="A358" s="1405"/>
      <c r="B358" s="1406"/>
      <c r="C358" s="1406"/>
      <c r="D358" s="1406"/>
      <c r="E358" s="1406"/>
      <c r="F358" s="1406"/>
      <c r="G358" s="1406"/>
      <c r="H358" s="877"/>
      <c r="I358" s="878"/>
      <c r="J358" s="879"/>
      <c r="K358" s="880"/>
      <c r="L358" s="865">
        <f t="shared" si="27"/>
        <v>0</v>
      </c>
    </row>
    <row r="359" spans="1:12">
      <c r="A359" s="1405"/>
      <c r="B359" s="1406"/>
      <c r="C359" s="1406"/>
      <c r="D359" s="1406"/>
      <c r="E359" s="1406"/>
      <c r="F359" s="1406"/>
      <c r="G359" s="1406"/>
      <c r="H359" s="877"/>
      <c r="I359" s="878"/>
      <c r="J359" s="879"/>
      <c r="K359" s="880"/>
      <c r="L359" s="865">
        <f t="shared" si="27"/>
        <v>0</v>
      </c>
    </row>
    <row r="360" spans="1:12">
      <c r="A360" s="1405"/>
      <c r="B360" s="1406"/>
      <c r="C360" s="1406"/>
      <c r="D360" s="1406"/>
      <c r="E360" s="1406"/>
      <c r="F360" s="1406"/>
      <c r="G360" s="1406"/>
      <c r="H360" s="877"/>
      <c r="I360" s="878"/>
      <c r="J360" s="879"/>
      <c r="K360" s="880"/>
      <c r="L360" s="865">
        <f t="shared" si="27"/>
        <v>0</v>
      </c>
    </row>
    <row r="361" spans="1:12" ht="15">
      <c r="A361" s="1407" t="str">
        <f>'Pricing Schedule'!A327&amp;" " &amp;'Pricing Schedule'!B327</f>
        <v>3.8.3 Special Services and specialist advice</v>
      </c>
      <c r="B361" s="1408"/>
      <c r="C361" s="1408"/>
      <c r="D361" s="1408"/>
      <c r="E361" s="1408"/>
      <c r="F361" s="1408"/>
      <c r="G361" s="1408"/>
      <c r="H361" s="861"/>
      <c r="I361" s="532"/>
      <c r="J361" s="862"/>
      <c r="K361" s="532"/>
      <c r="L361" s="863"/>
    </row>
    <row r="362" spans="1:12">
      <c r="A362" s="1407" t="str">
        <f>'Pricing Schedule'!A333&amp;" " &amp;'Pricing Schedule'!B333</f>
        <v xml:space="preserve"> (b) Service or advice procured by service provider</v>
      </c>
      <c r="B362" s="1408"/>
      <c r="C362" s="1408"/>
      <c r="D362" s="1408"/>
      <c r="E362" s="1408"/>
      <c r="F362" s="1408"/>
      <c r="G362" s="1408"/>
      <c r="H362" s="861">
        <f>'Pricing Schedule'!F333</f>
        <v>1000000</v>
      </c>
      <c r="I362" s="532"/>
      <c r="J362" s="532"/>
      <c r="K362" s="864">
        <f>IF(H362=0,L362/100,(L362/H362))</f>
        <v>0</v>
      </c>
      <c r="L362" s="863">
        <f>SUM(L363:L369)</f>
        <v>0</v>
      </c>
    </row>
    <row r="363" spans="1:12">
      <c r="A363" s="1405"/>
      <c r="B363" s="1406"/>
      <c r="C363" s="1406"/>
      <c r="D363" s="1406"/>
      <c r="E363" s="1406"/>
      <c r="F363" s="1406"/>
      <c r="G363" s="1406"/>
      <c r="H363" s="877"/>
      <c r="I363" s="878"/>
      <c r="J363" s="879"/>
      <c r="K363" s="880"/>
      <c r="L363" s="865">
        <f>K363*J363</f>
        <v>0</v>
      </c>
    </row>
    <row r="364" spans="1:12">
      <c r="A364" s="1405"/>
      <c r="B364" s="1406"/>
      <c r="C364" s="1406"/>
      <c r="D364" s="1406"/>
      <c r="E364" s="1406"/>
      <c r="F364" s="1406"/>
      <c r="G364" s="1406"/>
      <c r="H364" s="877"/>
      <c r="I364" s="878"/>
      <c r="J364" s="879"/>
      <c r="K364" s="880"/>
      <c r="L364" s="865">
        <f t="shared" ref="L364:L369" si="28">K364*J364</f>
        <v>0</v>
      </c>
    </row>
    <row r="365" spans="1:12">
      <c r="A365" s="1405"/>
      <c r="B365" s="1406"/>
      <c r="C365" s="1406"/>
      <c r="D365" s="1406"/>
      <c r="E365" s="1406"/>
      <c r="F365" s="1406"/>
      <c r="G365" s="1406"/>
      <c r="H365" s="877"/>
      <c r="I365" s="878"/>
      <c r="J365" s="879"/>
      <c r="K365" s="880"/>
      <c r="L365" s="865">
        <f t="shared" si="28"/>
        <v>0</v>
      </c>
    </row>
    <row r="366" spans="1:12">
      <c r="A366" s="1405"/>
      <c r="B366" s="1406"/>
      <c r="C366" s="1406"/>
      <c r="D366" s="1406"/>
      <c r="E366" s="1406"/>
      <c r="F366" s="1406"/>
      <c r="G366" s="1406"/>
      <c r="H366" s="877"/>
      <c r="I366" s="878"/>
      <c r="J366" s="879"/>
      <c r="K366" s="880"/>
      <c r="L366" s="865">
        <f t="shared" si="28"/>
        <v>0</v>
      </c>
    </row>
    <row r="367" spans="1:12">
      <c r="A367" s="1405"/>
      <c r="B367" s="1406"/>
      <c r="C367" s="1406"/>
      <c r="D367" s="1406"/>
      <c r="E367" s="1406"/>
      <c r="F367" s="1406"/>
      <c r="G367" s="1406"/>
      <c r="H367" s="877"/>
      <c r="I367" s="878"/>
      <c r="J367" s="879"/>
      <c r="K367" s="880"/>
      <c r="L367" s="865">
        <f t="shared" si="28"/>
        <v>0</v>
      </c>
    </row>
    <row r="368" spans="1:12">
      <c r="A368" s="1405"/>
      <c r="B368" s="1406"/>
      <c r="C368" s="1406"/>
      <c r="D368" s="1406"/>
      <c r="E368" s="1406"/>
      <c r="F368" s="1406"/>
      <c r="G368" s="1406"/>
      <c r="H368" s="877"/>
      <c r="I368" s="878"/>
      <c r="J368" s="879"/>
      <c r="K368" s="880"/>
      <c r="L368" s="865">
        <f t="shared" si="28"/>
        <v>0</v>
      </c>
    </row>
    <row r="369" spans="1:12">
      <c r="A369" s="1405"/>
      <c r="B369" s="1406"/>
      <c r="C369" s="1406"/>
      <c r="D369" s="1406"/>
      <c r="E369" s="1406"/>
      <c r="F369" s="1406"/>
      <c r="G369" s="1406"/>
      <c r="H369" s="877"/>
      <c r="I369" s="878"/>
      <c r="J369" s="879"/>
      <c r="K369" s="880"/>
      <c r="L369" s="865">
        <f t="shared" si="28"/>
        <v>0</v>
      </c>
    </row>
    <row r="370" spans="1:12">
      <c r="A370" s="1407" t="str">
        <f>'Pricing Schedule'!A335&amp;" " &amp;'Pricing Schedule'!B335</f>
        <v>3.8.4 Training of Targeted Enterprise Understudy</v>
      </c>
      <c r="B370" s="1408"/>
      <c r="C370" s="1408"/>
      <c r="D370" s="1408"/>
      <c r="E370" s="1408"/>
      <c r="F370" s="1408"/>
      <c r="G370" s="1408"/>
      <c r="H370" s="861">
        <f>'Pricing Schedule'!F335</f>
        <v>500000</v>
      </c>
      <c r="I370" s="532"/>
      <c r="J370" s="532"/>
      <c r="K370" s="864">
        <f>IF(H370=0,L370/100,(L370/H370))</f>
        <v>0</v>
      </c>
      <c r="L370" s="863">
        <f>SUM(L371:L377)</f>
        <v>0</v>
      </c>
    </row>
    <row r="371" spans="1:12">
      <c r="A371" s="1405"/>
      <c r="B371" s="1406"/>
      <c r="C371" s="1406"/>
      <c r="D371" s="1406"/>
      <c r="E371" s="1406"/>
      <c r="F371" s="1406"/>
      <c r="G371" s="1406"/>
      <c r="H371" s="877"/>
      <c r="I371" s="878"/>
      <c r="J371" s="879"/>
      <c r="K371" s="880"/>
      <c r="L371" s="865">
        <f>K371*J371</f>
        <v>0</v>
      </c>
    </row>
    <row r="372" spans="1:12">
      <c r="A372" s="1405"/>
      <c r="B372" s="1406"/>
      <c r="C372" s="1406"/>
      <c r="D372" s="1406"/>
      <c r="E372" s="1406"/>
      <c r="F372" s="1406"/>
      <c r="G372" s="1406"/>
      <c r="H372" s="877"/>
      <c r="I372" s="878"/>
      <c r="J372" s="879"/>
      <c r="K372" s="880"/>
      <c r="L372" s="865">
        <f t="shared" ref="L372:L377" si="29">K372*J372</f>
        <v>0</v>
      </c>
    </row>
    <row r="373" spans="1:12">
      <c r="A373" s="1405"/>
      <c r="B373" s="1406"/>
      <c r="C373" s="1406"/>
      <c r="D373" s="1406"/>
      <c r="E373" s="1406"/>
      <c r="F373" s="1406"/>
      <c r="G373" s="1406"/>
      <c r="H373" s="877"/>
      <c r="I373" s="878"/>
      <c r="J373" s="879"/>
      <c r="K373" s="880"/>
      <c r="L373" s="865">
        <f t="shared" si="29"/>
        <v>0</v>
      </c>
    </row>
    <row r="374" spans="1:12">
      <c r="A374" s="1405"/>
      <c r="B374" s="1406"/>
      <c r="C374" s="1406"/>
      <c r="D374" s="1406"/>
      <c r="E374" s="1406"/>
      <c r="F374" s="1406"/>
      <c r="G374" s="1406"/>
      <c r="H374" s="877"/>
      <c r="I374" s="878"/>
      <c r="J374" s="879"/>
      <c r="K374" s="880"/>
      <c r="L374" s="865">
        <f t="shared" si="29"/>
        <v>0</v>
      </c>
    </row>
    <row r="375" spans="1:12">
      <c r="A375" s="1405"/>
      <c r="B375" s="1406"/>
      <c r="C375" s="1406"/>
      <c r="D375" s="1406"/>
      <c r="E375" s="1406"/>
      <c r="F375" s="1406"/>
      <c r="G375" s="1406"/>
      <c r="H375" s="877"/>
      <c r="I375" s="878"/>
      <c r="J375" s="879"/>
      <c r="K375" s="880"/>
      <c r="L375" s="865">
        <f t="shared" si="29"/>
        <v>0</v>
      </c>
    </row>
    <row r="376" spans="1:12">
      <c r="A376" s="1405"/>
      <c r="B376" s="1406"/>
      <c r="C376" s="1406"/>
      <c r="D376" s="1406"/>
      <c r="E376" s="1406"/>
      <c r="F376" s="1406"/>
      <c r="G376" s="1406"/>
      <c r="H376" s="877"/>
      <c r="I376" s="878"/>
      <c r="J376" s="879"/>
      <c r="K376" s="880"/>
      <c r="L376" s="865">
        <f t="shared" si="29"/>
        <v>0</v>
      </c>
    </row>
    <row r="377" spans="1:12">
      <c r="A377" s="1405"/>
      <c r="B377" s="1406"/>
      <c r="C377" s="1406"/>
      <c r="D377" s="1406"/>
      <c r="E377" s="1406"/>
      <c r="F377" s="1406"/>
      <c r="G377" s="1406"/>
      <c r="H377" s="877"/>
      <c r="I377" s="878"/>
      <c r="J377" s="879"/>
      <c r="K377" s="880"/>
      <c r="L377" s="865">
        <f t="shared" si="29"/>
        <v>0</v>
      </c>
    </row>
    <row r="378" spans="1:12" ht="15">
      <c r="A378" s="1407" t="str">
        <f>'Pricing Schedule'!A337&amp;" " &amp;'Pricing Schedule'!B337</f>
        <v>3.8.6 Project Liaison Committee (PLC)</v>
      </c>
      <c r="B378" s="1408"/>
      <c r="C378" s="1408"/>
      <c r="D378" s="1408"/>
      <c r="E378" s="1408"/>
      <c r="F378" s="1408"/>
      <c r="G378" s="1408"/>
      <c r="H378" s="861"/>
      <c r="I378" s="532"/>
      <c r="J378" s="862"/>
      <c r="K378" s="532"/>
      <c r="L378" s="863"/>
    </row>
    <row r="379" spans="1:12">
      <c r="A379" s="1407" t="str">
        <f>'Pricing Schedule'!A339&amp;" " &amp;'Pricing Schedule'!B339</f>
        <v xml:space="preserve"> (b)   Liaison/Meetings with the PLC during design phase</v>
      </c>
      <c r="B379" s="1408"/>
      <c r="C379" s="1408"/>
      <c r="D379" s="1408"/>
      <c r="E379" s="1408"/>
      <c r="F379" s="1408"/>
      <c r="G379" s="1408"/>
      <c r="H379" s="861">
        <f>'Pricing Schedule'!F339</f>
        <v>250000</v>
      </c>
      <c r="I379" s="532"/>
      <c r="J379" s="532"/>
      <c r="K379" s="864">
        <f>IF(H379=0,L379/100,(L379/H379))</f>
        <v>0</v>
      </c>
      <c r="L379" s="863">
        <f>SUM(L380:L386)</f>
        <v>0</v>
      </c>
    </row>
    <row r="380" spans="1:12">
      <c r="A380" s="1405"/>
      <c r="B380" s="1406"/>
      <c r="C380" s="1406"/>
      <c r="D380" s="1406"/>
      <c r="E380" s="1406"/>
      <c r="F380" s="1406"/>
      <c r="G380" s="1406"/>
      <c r="H380" s="877"/>
      <c r="I380" s="878"/>
      <c r="J380" s="879"/>
      <c r="K380" s="880"/>
      <c r="L380" s="865">
        <f>K380*J380</f>
        <v>0</v>
      </c>
    </row>
    <row r="381" spans="1:12">
      <c r="A381" s="1405"/>
      <c r="B381" s="1406"/>
      <c r="C381" s="1406"/>
      <c r="D381" s="1406"/>
      <c r="E381" s="1406"/>
      <c r="F381" s="1406"/>
      <c r="G381" s="1406"/>
      <c r="H381" s="877"/>
      <c r="I381" s="878"/>
      <c r="J381" s="879"/>
      <c r="K381" s="880"/>
      <c r="L381" s="865">
        <f t="shared" ref="L381:L386" si="30">K381*J381</f>
        <v>0</v>
      </c>
    </row>
    <row r="382" spans="1:12">
      <c r="A382" s="1405"/>
      <c r="B382" s="1406"/>
      <c r="C382" s="1406"/>
      <c r="D382" s="1406"/>
      <c r="E382" s="1406"/>
      <c r="F382" s="1406"/>
      <c r="G382" s="1406"/>
      <c r="H382" s="877"/>
      <c r="I382" s="878"/>
      <c r="J382" s="879"/>
      <c r="K382" s="880"/>
      <c r="L382" s="865">
        <f t="shared" si="30"/>
        <v>0</v>
      </c>
    </row>
    <row r="383" spans="1:12">
      <c r="A383" s="1405"/>
      <c r="B383" s="1406"/>
      <c r="C383" s="1406"/>
      <c r="D383" s="1406"/>
      <c r="E383" s="1406"/>
      <c r="F383" s="1406"/>
      <c r="G383" s="1406"/>
      <c r="H383" s="877"/>
      <c r="I383" s="878"/>
      <c r="J383" s="879"/>
      <c r="K383" s="880"/>
      <c r="L383" s="865">
        <f t="shared" si="30"/>
        <v>0</v>
      </c>
    </row>
    <row r="384" spans="1:12">
      <c r="A384" s="1405"/>
      <c r="B384" s="1406"/>
      <c r="C384" s="1406"/>
      <c r="D384" s="1406"/>
      <c r="E384" s="1406"/>
      <c r="F384" s="1406"/>
      <c r="G384" s="1406"/>
      <c r="H384" s="877"/>
      <c r="I384" s="878"/>
      <c r="J384" s="879"/>
      <c r="K384" s="880"/>
      <c r="L384" s="865">
        <f t="shared" si="30"/>
        <v>0</v>
      </c>
    </row>
    <row r="385" spans="1:12">
      <c r="A385" s="1405"/>
      <c r="B385" s="1406"/>
      <c r="C385" s="1406"/>
      <c r="D385" s="1406"/>
      <c r="E385" s="1406"/>
      <c r="F385" s="1406"/>
      <c r="G385" s="1406"/>
      <c r="H385" s="877"/>
      <c r="I385" s="878"/>
      <c r="J385" s="879"/>
      <c r="K385" s="880"/>
      <c r="L385" s="865">
        <f t="shared" si="30"/>
        <v>0</v>
      </c>
    </row>
    <row r="386" spans="1:12">
      <c r="A386" s="1405"/>
      <c r="B386" s="1406"/>
      <c r="C386" s="1406"/>
      <c r="D386" s="1406"/>
      <c r="E386" s="1406"/>
      <c r="F386" s="1406"/>
      <c r="G386" s="1406"/>
      <c r="H386" s="877"/>
      <c r="I386" s="878"/>
      <c r="J386" s="879"/>
      <c r="K386" s="880"/>
      <c r="L386" s="865">
        <f t="shared" si="30"/>
        <v>0</v>
      </c>
    </row>
    <row r="387" spans="1:12">
      <c r="A387" s="1407" t="str">
        <f>'Pricing Schedule'!A340&amp;" " &amp;'Pricing Schedule'!B340</f>
        <v xml:space="preserve"> (c)   PLC stipend</v>
      </c>
      <c r="B387" s="1408"/>
      <c r="C387" s="1408"/>
      <c r="D387" s="1408"/>
      <c r="E387" s="1408"/>
      <c r="F387" s="1408"/>
      <c r="G387" s="1408"/>
      <c r="H387" s="861">
        <f>'Pricing Schedule'!F340</f>
        <v>300000</v>
      </c>
      <c r="I387" s="532"/>
      <c r="J387" s="532"/>
      <c r="K387" s="864">
        <f>IF(H387=0,L387/100,(L387/H387))</f>
        <v>0</v>
      </c>
      <c r="L387" s="863">
        <f>SUM(L388:L394)</f>
        <v>0</v>
      </c>
    </row>
    <row r="388" spans="1:12">
      <c r="A388" s="1405"/>
      <c r="B388" s="1406"/>
      <c r="C388" s="1406"/>
      <c r="D388" s="1406"/>
      <c r="E388" s="1406"/>
      <c r="F388" s="1406"/>
      <c r="G388" s="1406"/>
      <c r="H388" s="877"/>
      <c r="I388" s="878"/>
      <c r="J388" s="879"/>
      <c r="K388" s="880"/>
      <c r="L388" s="865">
        <f>K388*J388</f>
        <v>0</v>
      </c>
    </row>
    <row r="389" spans="1:12">
      <c r="A389" s="1405"/>
      <c r="B389" s="1406"/>
      <c r="C389" s="1406"/>
      <c r="D389" s="1406"/>
      <c r="E389" s="1406"/>
      <c r="F389" s="1406"/>
      <c r="G389" s="1406"/>
      <c r="H389" s="877"/>
      <c r="I389" s="878"/>
      <c r="J389" s="879"/>
      <c r="K389" s="880"/>
      <c r="L389" s="865">
        <f t="shared" ref="L389:L402" si="31">K389*J389</f>
        <v>0</v>
      </c>
    </row>
    <row r="390" spans="1:12">
      <c r="A390" s="1405"/>
      <c r="B390" s="1406"/>
      <c r="C390" s="1406"/>
      <c r="D390" s="1406"/>
      <c r="E390" s="1406"/>
      <c r="F390" s="1406"/>
      <c r="G390" s="1406"/>
      <c r="H390" s="877"/>
      <c r="I390" s="878"/>
      <c r="J390" s="879"/>
      <c r="K390" s="880"/>
      <c r="L390" s="865">
        <f t="shared" si="31"/>
        <v>0</v>
      </c>
    </row>
    <row r="391" spans="1:12">
      <c r="A391" s="1405"/>
      <c r="B391" s="1406"/>
      <c r="C391" s="1406"/>
      <c r="D391" s="1406"/>
      <c r="E391" s="1406"/>
      <c r="F391" s="1406"/>
      <c r="G391" s="1406"/>
      <c r="H391" s="877"/>
      <c r="I391" s="878"/>
      <c r="J391" s="879"/>
      <c r="K391" s="880"/>
      <c r="L391" s="865">
        <f t="shared" si="31"/>
        <v>0</v>
      </c>
    </row>
    <row r="392" spans="1:12">
      <c r="A392" s="1405"/>
      <c r="B392" s="1406"/>
      <c r="C392" s="1406"/>
      <c r="D392" s="1406"/>
      <c r="E392" s="1406"/>
      <c r="F392" s="1406"/>
      <c r="G392" s="1406"/>
      <c r="H392" s="877"/>
      <c r="I392" s="878"/>
      <c r="J392" s="879"/>
      <c r="K392" s="880"/>
      <c r="L392" s="865">
        <f t="shared" si="31"/>
        <v>0</v>
      </c>
    </row>
    <row r="393" spans="1:12">
      <c r="A393" s="1405"/>
      <c r="B393" s="1406"/>
      <c r="C393" s="1406"/>
      <c r="D393" s="1406"/>
      <c r="E393" s="1406"/>
      <c r="F393" s="1406"/>
      <c r="G393" s="1406"/>
      <c r="H393" s="877"/>
      <c r="I393" s="878"/>
      <c r="J393" s="879"/>
      <c r="K393" s="880"/>
      <c r="L393" s="865">
        <f t="shared" si="31"/>
        <v>0</v>
      </c>
    </row>
    <row r="394" spans="1:12">
      <c r="A394" s="1405"/>
      <c r="B394" s="1406"/>
      <c r="C394" s="1406"/>
      <c r="D394" s="1406"/>
      <c r="E394" s="1406"/>
      <c r="F394" s="1406"/>
      <c r="G394" s="1406"/>
      <c r="H394" s="877"/>
      <c r="I394" s="878"/>
      <c r="J394" s="879"/>
      <c r="K394" s="880"/>
      <c r="L394" s="865">
        <f t="shared" si="31"/>
        <v>0</v>
      </c>
    </row>
    <row r="395" spans="1:12">
      <c r="A395" s="1407" t="str">
        <f>'Pricing Schedule'!A342&amp;" " &amp;'Pricing Schedule'!B342</f>
        <v xml:space="preserve"> (e) Training of PLC members</v>
      </c>
      <c r="B395" s="1408"/>
      <c r="C395" s="1408"/>
      <c r="D395" s="1408"/>
      <c r="E395" s="1408"/>
      <c r="F395" s="1408"/>
      <c r="G395" s="1408"/>
      <c r="H395" s="861">
        <f>'Pricing Schedule'!F342</f>
        <v>150000</v>
      </c>
      <c r="I395" s="532"/>
      <c r="J395" s="532"/>
      <c r="K395" s="864">
        <f>IF(H395=0,L395/100,(L395/H395))</f>
        <v>0</v>
      </c>
      <c r="L395" s="863">
        <f>SUM(L396:L402)</f>
        <v>0</v>
      </c>
    </row>
    <row r="396" spans="1:12">
      <c r="A396" s="1405"/>
      <c r="B396" s="1406"/>
      <c r="C396" s="1406"/>
      <c r="D396" s="1406"/>
      <c r="E396" s="1406"/>
      <c r="F396" s="1406"/>
      <c r="G396" s="1406"/>
      <c r="H396" s="877"/>
      <c r="I396" s="878"/>
      <c r="J396" s="879"/>
      <c r="K396" s="880"/>
      <c r="L396" s="865">
        <f t="shared" si="31"/>
        <v>0</v>
      </c>
    </row>
    <row r="397" spans="1:12">
      <c r="A397" s="1405"/>
      <c r="B397" s="1406"/>
      <c r="C397" s="1406"/>
      <c r="D397" s="1406"/>
      <c r="E397" s="1406"/>
      <c r="F397" s="1406"/>
      <c r="G397" s="1406"/>
      <c r="H397" s="877"/>
      <c r="I397" s="878"/>
      <c r="J397" s="879"/>
      <c r="K397" s="880"/>
      <c r="L397" s="865">
        <f t="shared" si="31"/>
        <v>0</v>
      </c>
    </row>
    <row r="398" spans="1:12">
      <c r="A398" s="1405"/>
      <c r="B398" s="1406"/>
      <c r="C398" s="1406"/>
      <c r="D398" s="1406"/>
      <c r="E398" s="1406"/>
      <c r="F398" s="1406"/>
      <c r="G398" s="1406"/>
      <c r="H398" s="877"/>
      <c r="I398" s="878"/>
      <c r="J398" s="879"/>
      <c r="K398" s="880"/>
      <c r="L398" s="865">
        <f t="shared" si="31"/>
        <v>0</v>
      </c>
    </row>
    <row r="399" spans="1:12">
      <c r="A399" s="1405"/>
      <c r="B399" s="1406"/>
      <c r="C399" s="1406"/>
      <c r="D399" s="1406"/>
      <c r="E399" s="1406"/>
      <c r="F399" s="1406"/>
      <c r="G399" s="1406"/>
      <c r="H399" s="877"/>
      <c r="I399" s="878"/>
      <c r="J399" s="879"/>
      <c r="K399" s="880"/>
      <c r="L399" s="865">
        <f t="shared" si="31"/>
        <v>0</v>
      </c>
    </row>
    <row r="400" spans="1:12">
      <c r="A400" s="1405"/>
      <c r="B400" s="1406"/>
      <c r="C400" s="1406"/>
      <c r="D400" s="1406"/>
      <c r="E400" s="1406"/>
      <c r="F400" s="1406"/>
      <c r="G400" s="1406"/>
      <c r="H400" s="877"/>
      <c r="I400" s="878"/>
      <c r="J400" s="879"/>
      <c r="K400" s="880"/>
      <c r="L400" s="865">
        <f t="shared" si="31"/>
        <v>0</v>
      </c>
    </row>
    <row r="401" spans="1:12">
      <c r="A401" s="1405"/>
      <c r="B401" s="1406"/>
      <c r="C401" s="1406"/>
      <c r="D401" s="1406"/>
      <c r="E401" s="1406"/>
      <c r="F401" s="1406"/>
      <c r="G401" s="1406"/>
      <c r="H401" s="877"/>
      <c r="I401" s="878"/>
      <c r="J401" s="879"/>
      <c r="K401" s="880"/>
      <c r="L401" s="865">
        <f t="shared" si="31"/>
        <v>0</v>
      </c>
    </row>
    <row r="402" spans="1:12">
      <c r="A402" s="1405"/>
      <c r="B402" s="1406"/>
      <c r="C402" s="1406"/>
      <c r="D402" s="1406"/>
      <c r="E402" s="1406"/>
      <c r="F402" s="1406"/>
      <c r="G402" s="1406"/>
      <c r="H402" s="877"/>
      <c r="I402" s="878"/>
      <c r="J402" s="879"/>
      <c r="K402" s="880"/>
      <c r="L402" s="865">
        <f t="shared" si="31"/>
        <v>0</v>
      </c>
    </row>
    <row r="403" spans="1:12" ht="15">
      <c r="A403" s="1407" t="str">
        <f>'Pricing Schedule'!A348&amp;" " &amp;'Pricing Schedule'!B348</f>
        <v>3.8.8 Provision of Social Facilitation Services</v>
      </c>
      <c r="B403" s="1408"/>
      <c r="C403" s="1408"/>
      <c r="D403" s="1408"/>
      <c r="E403" s="1408"/>
      <c r="F403" s="1408"/>
      <c r="G403" s="1408"/>
      <c r="H403" s="861"/>
      <c r="I403" s="532"/>
      <c r="J403" s="862"/>
      <c r="K403" s="532"/>
      <c r="L403" s="863"/>
    </row>
    <row r="404" spans="1:12">
      <c r="A404" s="1407" t="str">
        <f>'Pricing Schedule'!A349&amp;" " &amp;'Pricing Schedule'!B349</f>
        <v xml:space="preserve"> (a) Social Facilitator</v>
      </c>
      <c r="B404" s="1408"/>
      <c r="C404" s="1408"/>
      <c r="D404" s="1408"/>
      <c r="E404" s="1408"/>
      <c r="F404" s="1408"/>
      <c r="G404" s="1408"/>
      <c r="H404" s="861">
        <f>'Pricing Schedule'!F349</f>
        <v>1850000</v>
      </c>
      <c r="I404" s="532"/>
      <c r="J404" s="532"/>
      <c r="K404" s="864">
        <f>IF(H404=0,L404/100,(L404/H404))</f>
        <v>0</v>
      </c>
      <c r="L404" s="863">
        <f>SUM(L405:L411)</f>
        <v>0</v>
      </c>
    </row>
    <row r="405" spans="1:12">
      <c r="A405" s="1405"/>
      <c r="B405" s="1406"/>
      <c r="C405" s="1406"/>
      <c r="D405" s="1406"/>
      <c r="E405" s="1406"/>
      <c r="F405" s="1406"/>
      <c r="G405" s="1406"/>
      <c r="H405" s="877"/>
      <c r="I405" s="878"/>
      <c r="J405" s="879"/>
      <c r="K405" s="880"/>
      <c r="L405" s="865">
        <f t="shared" ref="L405:L411" si="32">K405*J405</f>
        <v>0</v>
      </c>
    </row>
    <row r="406" spans="1:12">
      <c r="A406" s="1405"/>
      <c r="B406" s="1406"/>
      <c r="C406" s="1406"/>
      <c r="D406" s="1406"/>
      <c r="E406" s="1406"/>
      <c r="F406" s="1406"/>
      <c r="G406" s="1406"/>
      <c r="H406" s="877"/>
      <c r="I406" s="878"/>
      <c r="J406" s="879"/>
      <c r="K406" s="880"/>
      <c r="L406" s="865">
        <f t="shared" si="32"/>
        <v>0</v>
      </c>
    </row>
    <row r="407" spans="1:12">
      <c r="A407" s="1405"/>
      <c r="B407" s="1406"/>
      <c r="C407" s="1406"/>
      <c r="D407" s="1406"/>
      <c r="E407" s="1406"/>
      <c r="F407" s="1406"/>
      <c r="G407" s="1406"/>
      <c r="H407" s="877"/>
      <c r="I407" s="878"/>
      <c r="J407" s="879"/>
      <c r="K407" s="880"/>
      <c r="L407" s="865">
        <f t="shared" si="32"/>
        <v>0</v>
      </c>
    </row>
    <row r="408" spans="1:12">
      <c r="A408" s="1405"/>
      <c r="B408" s="1406"/>
      <c r="C408" s="1406"/>
      <c r="D408" s="1406"/>
      <c r="E408" s="1406"/>
      <c r="F408" s="1406"/>
      <c r="G408" s="1406"/>
      <c r="H408" s="877"/>
      <c r="I408" s="878"/>
      <c r="J408" s="879"/>
      <c r="K408" s="880"/>
      <c r="L408" s="865">
        <f t="shared" si="32"/>
        <v>0</v>
      </c>
    </row>
    <row r="409" spans="1:12">
      <c r="A409" s="1405"/>
      <c r="B409" s="1406"/>
      <c r="C409" s="1406"/>
      <c r="D409" s="1406"/>
      <c r="E409" s="1406"/>
      <c r="F409" s="1406"/>
      <c r="G409" s="1406"/>
      <c r="H409" s="877"/>
      <c r="I409" s="878"/>
      <c r="J409" s="879"/>
      <c r="K409" s="880"/>
      <c r="L409" s="865">
        <f t="shared" si="32"/>
        <v>0</v>
      </c>
    </row>
    <row r="410" spans="1:12">
      <c r="A410" s="1405"/>
      <c r="B410" s="1406"/>
      <c r="C410" s="1406"/>
      <c r="D410" s="1406"/>
      <c r="E410" s="1406"/>
      <c r="F410" s="1406"/>
      <c r="G410" s="1406"/>
      <c r="H410" s="877"/>
      <c r="I410" s="878"/>
      <c r="J410" s="879"/>
      <c r="K410" s="880"/>
      <c r="L410" s="865">
        <f t="shared" si="32"/>
        <v>0</v>
      </c>
    </row>
    <row r="411" spans="1:12" ht="13.5" thickBot="1">
      <c r="A411" s="1405"/>
      <c r="B411" s="1406"/>
      <c r="C411" s="1406"/>
      <c r="D411" s="1406"/>
      <c r="E411" s="1406"/>
      <c r="F411" s="1406"/>
      <c r="G411" s="1406"/>
      <c r="H411" s="877"/>
      <c r="I411" s="878"/>
      <c r="J411" s="879"/>
      <c r="K411" s="880"/>
      <c r="L411" s="865">
        <f t="shared" si="32"/>
        <v>0</v>
      </c>
    </row>
    <row r="412" spans="1:12">
      <c r="A412" s="1412"/>
      <c r="B412" s="1413"/>
      <c r="C412" s="1413"/>
      <c r="D412" s="1413"/>
      <c r="E412" s="1413"/>
      <c r="F412" s="1413"/>
      <c r="G412" s="1413"/>
      <c r="H412" s="1414"/>
      <c r="I412" s="866"/>
      <c r="J412" s="867" t="s">
        <v>368</v>
      </c>
      <c r="K412" s="868">
        <f>'C3.8'!$A$7</f>
        <v>3.8</v>
      </c>
      <c r="L412" s="534">
        <f>L353+L362+L370+L379+L387+L395+L404</f>
        <v>0</v>
      </c>
    </row>
    <row r="413" spans="1:12" ht="13.5" thickBot="1">
      <c r="A413" s="1420"/>
      <c r="B413" s="1421"/>
      <c r="C413" s="1421"/>
      <c r="D413" s="1421"/>
      <c r="E413" s="1421"/>
      <c r="F413" s="1421"/>
      <c r="G413" s="1421"/>
      <c r="H413" s="1422"/>
      <c r="I413" s="869"/>
      <c r="J413" s="869"/>
      <c r="K413" s="870"/>
      <c r="L413" s="871"/>
    </row>
    <row r="414" spans="1:12" ht="13.5" thickBot="1">
      <c r="A414" s="1409" t="s">
        <v>801</v>
      </c>
      <c r="B414" s="1410"/>
      <c r="C414" s="1410"/>
      <c r="D414" s="1410"/>
      <c r="E414" s="1410"/>
      <c r="F414" s="1410"/>
      <c r="G414" s="1410"/>
      <c r="H414" s="1410"/>
      <c r="I414" s="1410"/>
      <c r="J414" s="1410"/>
      <c r="K414" s="1411"/>
      <c r="L414" s="873">
        <f>L412+L350</f>
        <v>0</v>
      </c>
    </row>
    <row r="415" spans="1:12" ht="15.75">
      <c r="L415" s="857" t="s">
        <v>800</v>
      </c>
    </row>
    <row r="416" spans="1:12" ht="15.75">
      <c r="L416" s="858"/>
    </row>
    <row r="417" spans="1:12">
      <c r="A417" s="1432" t="s">
        <v>422</v>
      </c>
      <c r="B417" s="1364"/>
      <c r="C417" s="524" t="str">
        <f>$C$3</f>
        <v>NRA.N.011-050-2012/1F</v>
      </c>
      <c r="D417" s="403"/>
      <c r="E417" s="403"/>
      <c r="F417" s="1428">
        <f>$F$3</f>
        <v>44804</v>
      </c>
      <c r="G417" s="1428"/>
      <c r="H417" s="1424" t="s">
        <v>379</v>
      </c>
      <c r="I417" s="1424"/>
      <c r="J417" s="1424"/>
      <c r="K417" s="1423">
        <f>$K$3</f>
        <v>1</v>
      </c>
      <c r="L417" s="1366"/>
    </row>
    <row r="418" spans="1:12" ht="13.5" thickBot="1"/>
    <row r="419" spans="1:12">
      <c r="A419" s="439"/>
      <c r="B419" s="440"/>
      <c r="C419" s="440"/>
      <c r="D419" s="440"/>
      <c r="E419" s="440"/>
      <c r="F419" s="440"/>
      <c r="G419" s="440"/>
      <c r="H419" s="440"/>
      <c r="I419" s="440"/>
      <c r="J419" s="440"/>
      <c r="K419" s="440"/>
      <c r="L419" s="525"/>
    </row>
    <row r="420" spans="1:12" ht="15">
      <c r="A420" s="1358" t="s">
        <v>419</v>
      </c>
      <c r="B420" s="1359"/>
      <c r="C420" s="1359"/>
      <c r="D420" s="1359"/>
      <c r="E420" s="1359"/>
      <c r="F420" s="1359"/>
      <c r="G420" s="1359"/>
      <c r="H420" s="1359"/>
      <c r="I420" s="1359"/>
      <c r="J420" s="1359"/>
      <c r="K420" s="1359"/>
      <c r="L420" s="1360"/>
    </row>
    <row r="421" spans="1:12" ht="13.5" thickBot="1">
      <c r="A421" s="526"/>
      <c r="L421" s="527"/>
    </row>
    <row r="422" spans="1:12" ht="13.5" thickBot="1">
      <c r="A422" s="1425" t="s">
        <v>0</v>
      </c>
      <c r="B422" s="1426"/>
      <c r="C422" s="1426"/>
      <c r="D422" s="1426"/>
      <c r="E422" s="1426"/>
      <c r="F422" s="1426"/>
      <c r="G422" s="1426"/>
      <c r="H422" s="1427"/>
      <c r="I422" s="528" t="s">
        <v>1</v>
      </c>
      <c r="J422" s="528" t="s">
        <v>2</v>
      </c>
      <c r="K422" s="528" t="s">
        <v>3</v>
      </c>
      <c r="L422" s="529" t="s">
        <v>404</v>
      </c>
    </row>
    <row r="423" spans="1:12" ht="15.75" customHeight="1" thickBot="1">
      <c r="A423" s="1409" t="s">
        <v>802</v>
      </c>
      <c r="B423" s="1410"/>
      <c r="C423" s="1410"/>
      <c r="D423" s="1410"/>
      <c r="E423" s="1410"/>
      <c r="F423" s="1410"/>
      <c r="G423" s="1410"/>
      <c r="H423" s="1410"/>
      <c r="I423" s="1410"/>
      <c r="J423" s="1410"/>
      <c r="K423" s="1411"/>
      <c r="L423" s="545">
        <f>L414</f>
        <v>0</v>
      </c>
    </row>
    <row r="424" spans="1:12">
      <c r="A424" s="1418" t="str">
        <f>'Pricing Schedule'!A352&amp;" " &amp;'Pricing Schedule'!B352</f>
        <v>3.9 QUALITY CONTROL: WORKS CONTRACT</v>
      </c>
      <c r="B424" s="1419"/>
      <c r="C424" s="1419"/>
      <c r="D424" s="1419"/>
      <c r="E424" s="1419"/>
      <c r="F424" s="1419"/>
      <c r="G424" s="1419"/>
      <c r="H424" s="1419"/>
      <c r="I424" s="1419"/>
      <c r="J424" s="1419"/>
      <c r="K424" s="1357"/>
      <c r="L424" s="536"/>
    </row>
    <row r="425" spans="1:12" ht="15">
      <c r="A425" s="1407" t="str">
        <f>'Pricing Schedule'!A353&amp;" " &amp;'Pricing Schedule'!B353</f>
        <v>3.9.1 Laboratory testing</v>
      </c>
      <c r="B425" s="1408"/>
      <c r="C425" s="1408"/>
      <c r="D425" s="1408"/>
      <c r="E425" s="1408"/>
      <c r="F425" s="1408"/>
      <c r="G425" s="1408"/>
      <c r="H425" s="861"/>
      <c r="I425" s="532"/>
      <c r="J425" s="862"/>
      <c r="K425" s="532"/>
      <c r="L425" s="863"/>
    </row>
    <row r="426" spans="1:12">
      <c r="A426" s="1407" t="str">
        <f>'Pricing Schedule'!A354&amp;" " &amp;'Pricing Schedule'!B354</f>
        <v xml:space="preserve"> (a) Provision of a fully operational laboratory</v>
      </c>
      <c r="B426" s="1408"/>
      <c r="C426" s="1408"/>
      <c r="D426" s="1408"/>
      <c r="E426" s="1408"/>
      <c r="F426" s="1408"/>
      <c r="G426" s="1408"/>
      <c r="H426" s="861">
        <f>'Pricing Schedule'!F354</f>
        <v>28000000</v>
      </c>
      <c r="I426" s="532"/>
      <c r="J426" s="532"/>
      <c r="K426" s="864">
        <f>IF(H426=0,L426/100,(L426/H426))</f>
        <v>0</v>
      </c>
      <c r="L426" s="863">
        <f>SUM(L427:L433)</f>
        <v>0</v>
      </c>
    </row>
    <row r="427" spans="1:12">
      <c r="A427" s="1405"/>
      <c r="B427" s="1406"/>
      <c r="C427" s="1406"/>
      <c r="D427" s="1406"/>
      <c r="E427" s="1406"/>
      <c r="F427" s="1406"/>
      <c r="G427" s="1406"/>
      <c r="H427" s="877"/>
      <c r="I427" s="878"/>
      <c r="J427" s="879"/>
      <c r="K427" s="880"/>
      <c r="L427" s="865">
        <f>K427*J427</f>
        <v>0</v>
      </c>
    </row>
    <row r="428" spans="1:12">
      <c r="A428" s="1405"/>
      <c r="B428" s="1406"/>
      <c r="C428" s="1406"/>
      <c r="D428" s="1406"/>
      <c r="E428" s="1406"/>
      <c r="F428" s="1406"/>
      <c r="G428" s="1406"/>
      <c r="H428" s="877"/>
      <c r="I428" s="878"/>
      <c r="J428" s="879"/>
      <c r="K428" s="880"/>
      <c r="L428" s="865">
        <f t="shared" ref="L428:L433" si="33">K428*J428</f>
        <v>0</v>
      </c>
    </row>
    <row r="429" spans="1:12">
      <c r="A429" s="1405"/>
      <c r="B429" s="1406"/>
      <c r="C429" s="1406"/>
      <c r="D429" s="1406"/>
      <c r="E429" s="1406"/>
      <c r="F429" s="1406"/>
      <c r="G429" s="1406"/>
      <c r="H429" s="877"/>
      <c r="I429" s="878"/>
      <c r="J429" s="879"/>
      <c r="K429" s="880"/>
      <c r="L429" s="865">
        <f t="shared" si="33"/>
        <v>0</v>
      </c>
    </row>
    <row r="430" spans="1:12">
      <c r="A430" s="1405"/>
      <c r="B430" s="1406"/>
      <c r="C430" s="1406"/>
      <c r="D430" s="1406"/>
      <c r="E430" s="1406"/>
      <c r="F430" s="1406"/>
      <c r="G430" s="1406"/>
      <c r="H430" s="877"/>
      <c r="I430" s="878"/>
      <c r="J430" s="879"/>
      <c r="K430" s="880"/>
      <c r="L430" s="865">
        <f t="shared" si="33"/>
        <v>0</v>
      </c>
    </row>
    <row r="431" spans="1:12">
      <c r="A431" s="1405"/>
      <c r="B431" s="1406"/>
      <c r="C431" s="1406"/>
      <c r="D431" s="1406"/>
      <c r="E431" s="1406"/>
      <c r="F431" s="1406"/>
      <c r="G431" s="1406"/>
      <c r="H431" s="877"/>
      <c r="I431" s="878"/>
      <c r="J431" s="879"/>
      <c r="K431" s="880"/>
      <c r="L431" s="865">
        <f t="shared" si="33"/>
        <v>0</v>
      </c>
    </row>
    <row r="432" spans="1:12">
      <c r="A432" s="1405"/>
      <c r="B432" s="1406"/>
      <c r="C432" s="1406"/>
      <c r="D432" s="1406"/>
      <c r="E432" s="1406"/>
      <c r="F432" s="1406"/>
      <c r="G432" s="1406"/>
      <c r="H432" s="877"/>
      <c r="I432" s="878"/>
      <c r="J432" s="879"/>
      <c r="K432" s="880"/>
      <c r="L432" s="865">
        <f t="shared" si="33"/>
        <v>0</v>
      </c>
    </row>
    <row r="433" spans="1:12">
      <c r="A433" s="1405"/>
      <c r="B433" s="1406"/>
      <c r="C433" s="1406"/>
      <c r="D433" s="1406"/>
      <c r="E433" s="1406"/>
      <c r="F433" s="1406"/>
      <c r="G433" s="1406"/>
      <c r="H433" s="877"/>
      <c r="I433" s="878"/>
      <c r="J433" s="879"/>
      <c r="K433" s="880"/>
      <c r="L433" s="865">
        <f t="shared" si="33"/>
        <v>0</v>
      </c>
    </row>
    <row r="434" spans="1:12">
      <c r="A434" s="1407" t="str">
        <f>'Pricing Schedule'!A356&amp;" " &amp;'Pricing Schedule'!B356</f>
        <v xml:space="preserve"> (c) Off-site materials testing</v>
      </c>
      <c r="B434" s="1408"/>
      <c r="C434" s="1408"/>
      <c r="D434" s="1408"/>
      <c r="E434" s="1408"/>
      <c r="F434" s="1408"/>
      <c r="G434" s="1408"/>
      <c r="H434" s="861">
        <f>'Pricing Schedule'!F356</f>
        <v>750000</v>
      </c>
      <c r="I434" s="532"/>
      <c r="J434" s="532"/>
      <c r="K434" s="864">
        <f>IF(H434=0,L434/100,(L434/H434))</f>
        <v>0</v>
      </c>
      <c r="L434" s="863">
        <f>SUM(L435:L441)</f>
        <v>0</v>
      </c>
    </row>
    <row r="435" spans="1:12">
      <c r="A435" s="1405"/>
      <c r="B435" s="1406"/>
      <c r="C435" s="1406"/>
      <c r="D435" s="1406"/>
      <c r="E435" s="1406"/>
      <c r="F435" s="1406"/>
      <c r="G435" s="1406"/>
      <c r="H435" s="877"/>
      <c r="I435" s="878"/>
      <c r="J435" s="879"/>
      <c r="K435" s="880"/>
      <c r="L435" s="865">
        <f>K435*J435</f>
        <v>0</v>
      </c>
    </row>
    <row r="436" spans="1:12">
      <c r="A436" s="1405"/>
      <c r="B436" s="1406"/>
      <c r="C436" s="1406"/>
      <c r="D436" s="1406"/>
      <c r="E436" s="1406"/>
      <c r="F436" s="1406"/>
      <c r="G436" s="1406"/>
      <c r="H436" s="877"/>
      <c r="I436" s="878"/>
      <c r="J436" s="879"/>
      <c r="K436" s="880"/>
      <c r="L436" s="865">
        <f t="shared" ref="L436:L441" si="34">K436*J436</f>
        <v>0</v>
      </c>
    </row>
    <row r="437" spans="1:12">
      <c r="A437" s="1405"/>
      <c r="B437" s="1406"/>
      <c r="C437" s="1406"/>
      <c r="D437" s="1406"/>
      <c r="E437" s="1406"/>
      <c r="F437" s="1406"/>
      <c r="G437" s="1406"/>
      <c r="H437" s="877"/>
      <c r="I437" s="878"/>
      <c r="J437" s="879"/>
      <c r="K437" s="880"/>
      <c r="L437" s="865">
        <f t="shared" si="34"/>
        <v>0</v>
      </c>
    </row>
    <row r="438" spans="1:12">
      <c r="A438" s="1405"/>
      <c r="B438" s="1406"/>
      <c r="C438" s="1406"/>
      <c r="D438" s="1406"/>
      <c r="E438" s="1406"/>
      <c r="F438" s="1406"/>
      <c r="G438" s="1406"/>
      <c r="H438" s="877"/>
      <c r="I438" s="878"/>
      <c r="J438" s="879"/>
      <c r="K438" s="880"/>
      <c r="L438" s="865">
        <f t="shared" si="34"/>
        <v>0</v>
      </c>
    </row>
    <row r="439" spans="1:12">
      <c r="A439" s="1405"/>
      <c r="B439" s="1406"/>
      <c r="C439" s="1406"/>
      <c r="D439" s="1406"/>
      <c r="E439" s="1406"/>
      <c r="F439" s="1406"/>
      <c r="G439" s="1406"/>
      <c r="H439" s="877"/>
      <c r="I439" s="878"/>
      <c r="J439" s="879"/>
      <c r="K439" s="880"/>
      <c r="L439" s="865">
        <f t="shared" si="34"/>
        <v>0</v>
      </c>
    </row>
    <row r="440" spans="1:12">
      <c r="A440" s="1405"/>
      <c r="B440" s="1406"/>
      <c r="C440" s="1406"/>
      <c r="D440" s="1406"/>
      <c r="E440" s="1406"/>
      <c r="F440" s="1406"/>
      <c r="G440" s="1406"/>
      <c r="H440" s="877"/>
      <c r="I440" s="878"/>
      <c r="J440" s="879"/>
      <c r="K440" s="880"/>
      <c r="L440" s="865">
        <f t="shared" si="34"/>
        <v>0</v>
      </c>
    </row>
    <row r="441" spans="1:12" ht="13.5" thickBot="1">
      <c r="A441" s="1405"/>
      <c r="B441" s="1406"/>
      <c r="C441" s="1406"/>
      <c r="D441" s="1406"/>
      <c r="E441" s="1406"/>
      <c r="F441" s="1406"/>
      <c r="G441" s="1406"/>
      <c r="H441" s="877"/>
      <c r="I441" s="878"/>
      <c r="J441" s="879"/>
      <c r="K441" s="880"/>
      <c r="L441" s="865">
        <f t="shared" si="34"/>
        <v>0</v>
      </c>
    </row>
    <row r="442" spans="1:12">
      <c r="A442" s="1412"/>
      <c r="B442" s="1413"/>
      <c r="C442" s="1413"/>
      <c r="D442" s="1413"/>
      <c r="E442" s="1413"/>
      <c r="F442" s="1413"/>
      <c r="G442" s="1413"/>
      <c r="H442" s="1414"/>
      <c r="I442" s="866"/>
      <c r="J442" s="867" t="s">
        <v>368</v>
      </c>
      <c r="K442" s="868">
        <f>'C3.9'!$A$7</f>
        <v>3.9</v>
      </c>
      <c r="L442" s="534">
        <f>L426+L434</f>
        <v>0</v>
      </c>
    </row>
    <row r="443" spans="1:12" ht="13.5" thickBot="1">
      <c r="A443" s="1415"/>
      <c r="B443" s="1416"/>
      <c r="C443" s="1416"/>
      <c r="D443" s="1416"/>
      <c r="E443" s="1416"/>
      <c r="F443" s="1416"/>
      <c r="G443" s="1416"/>
      <c r="H443" s="1417"/>
      <c r="I443" s="874"/>
      <c r="J443" s="874"/>
      <c r="K443" s="875"/>
      <c r="L443" s="876"/>
    </row>
    <row r="444" spans="1:12">
      <c r="A444" s="1435" t="s">
        <v>429</v>
      </c>
      <c r="B444" s="1436"/>
      <c r="C444" s="1436"/>
      <c r="D444" s="1436"/>
      <c r="E444" s="1436"/>
      <c r="F444" s="1436"/>
      <c r="G444" s="1436"/>
      <c r="H444" s="1437"/>
      <c r="I444" s="532"/>
      <c r="J444" s="532"/>
      <c r="K444" s="532"/>
      <c r="L444" s="538">
        <f>L89+L200+L222+L412</f>
        <v>0</v>
      </c>
    </row>
    <row r="445" spans="1:12" ht="13.5" thickBot="1">
      <c r="A445" s="1435" t="s">
        <v>430</v>
      </c>
      <c r="B445" s="1436"/>
      <c r="C445" s="1436"/>
      <c r="D445" s="1436"/>
      <c r="E445" s="1436"/>
      <c r="F445" s="1436"/>
      <c r="G445" s="1436"/>
      <c r="H445" s="1437"/>
      <c r="I445" s="532"/>
      <c r="J445" s="532"/>
      <c r="K445" s="788"/>
      <c r="L445" s="539">
        <f>L339+L442</f>
        <v>0</v>
      </c>
    </row>
    <row r="446" spans="1:12" ht="18.75" customHeight="1" thickBot="1">
      <c r="A446" s="1409" t="s">
        <v>431</v>
      </c>
      <c r="B446" s="1410"/>
      <c r="C446" s="1410"/>
      <c r="D446" s="1410"/>
      <c r="E446" s="1410"/>
      <c r="F446" s="1410"/>
      <c r="G446" s="1410"/>
      <c r="H446" s="1410"/>
      <c r="I446" s="1410"/>
      <c r="J446" s="1410"/>
      <c r="K446" s="1411"/>
      <c r="L446" s="872">
        <f>SUM(L444:L445)</f>
        <v>0</v>
      </c>
    </row>
  </sheetData>
  <mergeCells count="434"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331:G331"/>
    <mergeCell ref="A332:G332"/>
    <mergeCell ref="A389:G389"/>
    <mergeCell ref="A398:G398"/>
    <mergeCell ref="A399:G399"/>
    <mergeCell ref="A335:G335"/>
    <mergeCell ref="A336:G336"/>
    <mergeCell ref="A337:G337"/>
    <mergeCell ref="A338:G338"/>
    <mergeCell ref="A369:G369"/>
    <mergeCell ref="A370:G370"/>
    <mergeCell ref="A371:G371"/>
    <mergeCell ref="A372:G372"/>
    <mergeCell ref="A373:G373"/>
    <mergeCell ref="A374:G374"/>
    <mergeCell ref="A64:G64"/>
    <mergeCell ref="A76:G76"/>
    <mergeCell ref="A66:G66"/>
    <mergeCell ref="A67:G67"/>
    <mergeCell ref="A68:G68"/>
    <mergeCell ref="A69:G69"/>
    <mergeCell ref="A70:G70"/>
    <mergeCell ref="A71:G71"/>
    <mergeCell ref="A72:G72"/>
    <mergeCell ref="A73:G73"/>
    <mergeCell ref="A75:G75"/>
    <mergeCell ref="A54:G54"/>
    <mergeCell ref="A55:G55"/>
    <mergeCell ref="A56:G56"/>
    <mergeCell ref="A57:G57"/>
    <mergeCell ref="A59:G59"/>
    <mergeCell ref="A60:G60"/>
    <mergeCell ref="A61:G61"/>
    <mergeCell ref="A62:G62"/>
    <mergeCell ref="A63:G63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34:G334"/>
    <mergeCell ref="A317:G317"/>
    <mergeCell ref="A318:G318"/>
    <mergeCell ref="A319:G319"/>
    <mergeCell ref="A320:G320"/>
    <mergeCell ref="A321:G321"/>
    <mergeCell ref="A322:G322"/>
    <mergeCell ref="A323:G323"/>
    <mergeCell ref="A333:G333"/>
    <mergeCell ref="A324:G324"/>
    <mergeCell ref="A325:G325"/>
    <mergeCell ref="A326:G326"/>
    <mergeCell ref="A327:G327"/>
    <mergeCell ref="A328:G328"/>
    <mergeCell ref="A329:G329"/>
    <mergeCell ref="A330:G330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11:G11"/>
    <mergeCell ref="H3:J3"/>
    <mergeCell ref="K3:L3"/>
    <mergeCell ref="A6:L6"/>
    <mergeCell ref="F3:G3"/>
    <mergeCell ref="A3:B3"/>
    <mergeCell ref="A8:G8"/>
    <mergeCell ref="A9:G9"/>
    <mergeCell ref="A10:G10"/>
    <mergeCell ref="A201:H201"/>
    <mergeCell ref="A200:H200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9:G119"/>
    <mergeCell ref="A135:G135"/>
    <mergeCell ref="A136:G136"/>
    <mergeCell ref="A137:G137"/>
    <mergeCell ref="A123:G123"/>
    <mergeCell ref="A133:G133"/>
    <mergeCell ref="A134:G134"/>
    <mergeCell ref="A139:G139"/>
    <mergeCell ref="A140:G140"/>
    <mergeCell ref="A141:G141"/>
    <mergeCell ref="A142:G142"/>
    <mergeCell ref="A143:G143"/>
    <mergeCell ref="A256:G256"/>
    <mergeCell ref="A257:G257"/>
    <mergeCell ref="A258:G258"/>
    <mergeCell ref="A208:L208"/>
    <mergeCell ref="A210:H210"/>
    <mergeCell ref="F205:G205"/>
    <mergeCell ref="A211:K211"/>
    <mergeCell ref="A213:G213"/>
    <mergeCell ref="A219:G219"/>
    <mergeCell ref="A220:G220"/>
    <mergeCell ref="A221:G221"/>
    <mergeCell ref="A224:K224"/>
    <mergeCell ref="A214:G214"/>
    <mergeCell ref="A215:G215"/>
    <mergeCell ref="A216:G216"/>
    <mergeCell ref="A217:G217"/>
    <mergeCell ref="A218:G218"/>
    <mergeCell ref="A212:K212"/>
    <mergeCell ref="A205:B205"/>
    <mergeCell ref="H205:J205"/>
    <mergeCell ref="K205:L205"/>
    <mergeCell ref="A227:B227"/>
    <mergeCell ref="F227:G227"/>
    <mergeCell ref="A235:G235"/>
    <mergeCell ref="A30:G30"/>
    <mergeCell ref="A31:G31"/>
    <mergeCell ref="A32:G32"/>
    <mergeCell ref="A33:G33"/>
    <mergeCell ref="A34:G34"/>
    <mergeCell ref="A35:G35"/>
    <mergeCell ref="A36:G36"/>
    <mergeCell ref="A12:G12"/>
    <mergeCell ref="A24:G24"/>
    <mergeCell ref="A27:G27"/>
    <mergeCell ref="A13:G13"/>
    <mergeCell ref="A23:G23"/>
    <mergeCell ref="A25:G25"/>
    <mergeCell ref="A26:G26"/>
    <mergeCell ref="A28:G28"/>
    <mergeCell ref="A29:G29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349:H349"/>
    <mergeCell ref="A261:G261"/>
    <mergeCell ref="A262:G262"/>
    <mergeCell ref="A263:G263"/>
    <mergeCell ref="A417:B417"/>
    <mergeCell ref="F417:G417"/>
    <mergeCell ref="H417:J417"/>
    <mergeCell ref="A202:K202"/>
    <mergeCell ref="A40:G40"/>
    <mergeCell ref="A41:G41"/>
    <mergeCell ref="A42:G42"/>
    <mergeCell ref="A43:G43"/>
    <mergeCell ref="A44:G44"/>
    <mergeCell ref="A74:G74"/>
    <mergeCell ref="A77:G77"/>
    <mergeCell ref="A78:G78"/>
    <mergeCell ref="A79:G79"/>
    <mergeCell ref="A37:G37"/>
    <mergeCell ref="A38:G38"/>
    <mergeCell ref="A39:G39"/>
    <mergeCell ref="A58:G58"/>
    <mergeCell ref="A65:G65"/>
    <mergeCell ref="A45:G45"/>
    <mergeCell ref="A422:H422"/>
    <mergeCell ref="A344:B344"/>
    <mergeCell ref="H344:J344"/>
    <mergeCell ref="H227:J227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7:G277"/>
    <mergeCell ref="A278:G278"/>
    <mergeCell ref="A279:G279"/>
    <mergeCell ref="A280:G280"/>
    <mergeCell ref="A281:G281"/>
    <mergeCell ref="A350:K350"/>
    <mergeCell ref="A367:G367"/>
    <mergeCell ref="A368:G368"/>
    <mergeCell ref="A446:K446"/>
    <mergeCell ref="A444:H444"/>
    <mergeCell ref="A445:H445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6:G46"/>
    <mergeCell ref="A47:G47"/>
    <mergeCell ref="A48:G48"/>
    <mergeCell ref="A49:G49"/>
    <mergeCell ref="A50:G50"/>
    <mergeCell ref="A51:G51"/>
    <mergeCell ref="A52:G52"/>
    <mergeCell ref="A53:G53"/>
    <mergeCell ref="A138:G138"/>
    <mergeCell ref="A104:G104"/>
    <mergeCell ref="A105:G105"/>
    <mergeCell ref="A106:G106"/>
    <mergeCell ref="A107:G107"/>
    <mergeCell ref="A100:K100"/>
    <mergeCell ref="A101:G101"/>
    <mergeCell ref="A102:G102"/>
    <mergeCell ref="A103:G103"/>
    <mergeCell ref="A120:G120"/>
    <mergeCell ref="A122:G122"/>
    <mergeCell ref="A121:G121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347:L347"/>
    <mergeCell ref="K227:L227"/>
    <mergeCell ref="A230:L230"/>
    <mergeCell ref="K344:L344"/>
    <mergeCell ref="A222:H222"/>
    <mergeCell ref="A223:H223"/>
    <mergeCell ref="A339:H339"/>
    <mergeCell ref="A340:H340"/>
    <mergeCell ref="A341:K341"/>
    <mergeCell ref="F344:G344"/>
    <mergeCell ref="A232:H232"/>
    <mergeCell ref="A233:K233"/>
    <mergeCell ref="A234:K234"/>
    <mergeCell ref="A253:G253"/>
    <mergeCell ref="A254:G254"/>
    <mergeCell ref="A255:G255"/>
    <mergeCell ref="A259:G259"/>
    <mergeCell ref="A260:G260"/>
    <mergeCell ref="A276:G276"/>
    <mergeCell ref="A80:G80"/>
    <mergeCell ref="H94:J94"/>
    <mergeCell ref="K94:L94"/>
    <mergeCell ref="A97:L97"/>
    <mergeCell ref="A99:H99"/>
    <mergeCell ref="F94:G94"/>
    <mergeCell ref="A81:G81"/>
    <mergeCell ref="A118:G118"/>
    <mergeCell ref="A89:H89"/>
    <mergeCell ref="A82:G82"/>
    <mergeCell ref="A83:G83"/>
    <mergeCell ref="A84:G84"/>
    <mergeCell ref="A85:G85"/>
    <mergeCell ref="A86:G86"/>
    <mergeCell ref="A90:H90"/>
    <mergeCell ref="A91:K91"/>
    <mergeCell ref="A94:B94"/>
    <mergeCell ref="A87:G87"/>
    <mergeCell ref="A88:G88"/>
    <mergeCell ref="A147:G147"/>
    <mergeCell ref="A144:G144"/>
    <mergeCell ref="A145:G145"/>
    <mergeCell ref="A146:G146"/>
    <mergeCell ref="A174:G174"/>
    <mergeCell ref="A175:G175"/>
    <mergeCell ref="A176:G176"/>
    <mergeCell ref="A177:G177"/>
    <mergeCell ref="A178:G178"/>
    <mergeCell ref="A172:G17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9:G179"/>
    <mergeCell ref="A180:G180"/>
    <mergeCell ref="A181:G181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73:G173"/>
    <mergeCell ref="A156:G156"/>
    <mergeCell ref="A157:G157"/>
    <mergeCell ref="A158:G158"/>
    <mergeCell ref="A159:G159"/>
    <mergeCell ref="A160:G160"/>
    <mergeCell ref="A161:G161"/>
    <mergeCell ref="A162:G162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K417:L417"/>
    <mergeCell ref="A420:L420"/>
    <mergeCell ref="A351:K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78:G378"/>
    <mergeCell ref="A379:G379"/>
    <mergeCell ref="A380:G380"/>
    <mergeCell ref="A381:G381"/>
    <mergeCell ref="A382:G382"/>
    <mergeCell ref="A383:G383"/>
    <mergeCell ref="A423:K423"/>
    <mergeCell ref="A442:H442"/>
    <mergeCell ref="A443:H443"/>
    <mergeCell ref="A375:G375"/>
    <mergeCell ref="A376:G376"/>
    <mergeCell ref="A377:G377"/>
    <mergeCell ref="A424:K424"/>
    <mergeCell ref="A425:G425"/>
    <mergeCell ref="A426:G426"/>
    <mergeCell ref="A427:G427"/>
    <mergeCell ref="A428:G428"/>
    <mergeCell ref="A429:G429"/>
    <mergeCell ref="A412:H412"/>
    <mergeCell ref="A413:H413"/>
    <mergeCell ref="A414:K414"/>
    <mergeCell ref="A410:G410"/>
    <mergeCell ref="A411:G411"/>
    <mergeCell ref="A384:G384"/>
    <mergeCell ref="A385:G385"/>
    <mergeCell ref="A386:G386"/>
    <mergeCell ref="A387:G387"/>
    <mergeCell ref="A388:G388"/>
    <mergeCell ref="A406:G406"/>
    <mergeCell ref="A407:G407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408:G408"/>
    <mergeCell ref="A409:G409"/>
    <mergeCell ref="A400:G400"/>
    <mergeCell ref="A401:G401"/>
    <mergeCell ref="A402:G402"/>
    <mergeCell ref="A403:G403"/>
    <mergeCell ref="A404:G404"/>
    <mergeCell ref="A405:G405"/>
    <mergeCell ref="A390:G390"/>
    <mergeCell ref="A391:G391"/>
    <mergeCell ref="A392:G392"/>
    <mergeCell ref="A393:G393"/>
    <mergeCell ref="A394:G394"/>
    <mergeCell ref="A395:G395"/>
    <mergeCell ref="A396:G396"/>
    <mergeCell ref="A397:G397"/>
  </mergeCells>
  <conditionalFormatting sqref="L11">
    <cfRule type="expression" dxfId="2538" priority="149">
      <formula>L11&gt;H11</formula>
    </cfRule>
  </conditionalFormatting>
  <conditionalFormatting sqref="L29">
    <cfRule type="expression" dxfId="2537" priority="147">
      <formula>L29&gt;H29</formula>
    </cfRule>
  </conditionalFormatting>
  <conditionalFormatting sqref="L38">
    <cfRule type="expression" dxfId="2536" priority="145">
      <formula>L38&gt;H38</formula>
    </cfRule>
  </conditionalFormatting>
  <conditionalFormatting sqref="L80">
    <cfRule type="expression" dxfId="2535" priority="139">
      <formula>L80&gt;H80</formula>
    </cfRule>
  </conditionalFormatting>
  <conditionalFormatting sqref="L81">
    <cfRule type="expression" dxfId="2534" priority="138">
      <formula>L81&gt;H81</formula>
    </cfRule>
  </conditionalFormatting>
  <conditionalFormatting sqref="L103">
    <cfRule type="expression" dxfId="2533" priority="135">
      <formula>L103&gt;H103</formula>
    </cfRule>
  </conditionalFormatting>
  <conditionalFormatting sqref="L112">
    <cfRule type="expression" dxfId="2532" priority="134">
      <formula>L112&gt;H112</formula>
    </cfRule>
  </conditionalFormatting>
  <conditionalFormatting sqref="L122">
    <cfRule type="expression" dxfId="2531" priority="133">
      <formula>L122&gt;H122</formula>
    </cfRule>
  </conditionalFormatting>
  <conditionalFormatting sqref="L122">
    <cfRule type="expression" dxfId="2530" priority="132">
      <formula>L122&gt;H122</formula>
    </cfRule>
  </conditionalFormatting>
  <conditionalFormatting sqref="L140">
    <cfRule type="expression" dxfId="2529" priority="131">
      <formula>L140&gt;H140</formula>
    </cfRule>
  </conditionalFormatting>
  <conditionalFormatting sqref="L140">
    <cfRule type="expression" dxfId="2528" priority="130">
      <formula>L140&gt;H140</formula>
    </cfRule>
  </conditionalFormatting>
  <conditionalFormatting sqref="L148">
    <cfRule type="expression" dxfId="2527" priority="129">
      <formula>L148&gt;H148</formula>
    </cfRule>
  </conditionalFormatting>
  <conditionalFormatting sqref="L148">
    <cfRule type="expression" dxfId="2526" priority="128">
      <formula>L148&gt;H148</formula>
    </cfRule>
  </conditionalFormatting>
  <conditionalFormatting sqref="L174">
    <cfRule type="expression" dxfId="2525" priority="127">
      <formula>L174&gt;H174</formula>
    </cfRule>
  </conditionalFormatting>
  <conditionalFormatting sqref="L174">
    <cfRule type="expression" dxfId="2524" priority="126">
      <formula>L174&gt;H174</formula>
    </cfRule>
  </conditionalFormatting>
  <conditionalFormatting sqref="L183">
    <cfRule type="expression" dxfId="2523" priority="125">
      <formula>L183&gt;H183</formula>
    </cfRule>
  </conditionalFormatting>
  <conditionalFormatting sqref="L183">
    <cfRule type="expression" dxfId="2522" priority="124">
      <formula>L183&gt;H183</formula>
    </cfRule>
  </conditionalFormatting>
  <conditionalFormatting sqref="L214">
    <cfRule type="expression" dxfId="2521" priority="123">
      <formula>L214&gt;H214</formula>
    </cfRule>
  </conditionalFormatting>
  <conditionalFormatting sqref="L214">
    <cfRule type="expression" dxfId="2520" priority="122">
      <formula>L214&gt;H214</formula>
    </cfRule>
  </conditionalFormatting>
  <conditionalFormatting sqref="L214">
    <cfRule type="expression" dxfId="2519" priority="121">
      <formula>L214&gt;H214</formula>
    </cfRule>
  </conditionalFormatting>
  <conditionalFormatting sqref="L254">
    <cfRule type="expression" dxfId="2518" priority="120">
      <formula>L254&gt;H254</formula>
    </cfRule>
  </conditionalFormatting>
  <conditionalFormatting sqref="L254">
    <cfRule type="expression" dxfId="2517" priority="119">
      <formula>L254&gt;H254</formula>
    </cfRule>
  </conditionalFormatting>
  <conditionalFormatting sqref="L254">
    <cfRule type="expression" dxfId="2516" priority="118">
      <formula>L254&gt;H254</formula>
    </cfRule>
  </conditionalFormatting>
  <conditionalFormatting sqref="L263">
    <cfRule type="expression" dxfId="2515" priority="117">
      <formula>L263&gt;H263</formula>
    </cfRule>
  </conditionalFormatting>
  <conditionalFormatting sqref="L263">
    <cfRule type="expression" dxfId="2514" priority="116">
      <formula>L263&gt;H263</formula>
    </cfRule>
  </conditionalFormatting>
  <conditionalFormatting sqref="L263">
    <cfRule type="expression" dxfId="2513" priority="115">
      <formula>L263&gt;H263</formula>
    </cfRule>
  </conditionalFormatting>
  <conditionalFormatting sqref="L272">
    <cfRule type="expression" dxfId="2512" priority="114">
      <formula>L272&gt;H272</formula>
    </cfRule>
  </conditionalFormatting>
  <conditionalFormatting sqref="L272">
    <cfRule type="expression" dxfId="2511" priority="113">
      <formula>L272&gt;H272</formula>
    </cfRule>
  </conditionalFormatting>
  <conditionalFormatting sqref="L272">
    <cfRule type="expression" dxfId="2510" priority="112">
      <formula>L272&gt;H272</formula>
    </cfRule>
  </conditionalFormatting>
  <conditionalFormatting sqref="L280">
    <cfRule type="expression" dxfId="2509" priority="111">
      <formula>L280&gt;H280</formula>
    </cfRule>
  </conditionalFormatting>
  <conditionalFormatting sqref="L280">
    <cfRule type="expression" dxfId="2508" priority="110">
      <formula>L280&gt;H280</formula>
    </cfRule>
  </conditionalFormatting>
  <conditionalFormatting sqref="L280">
    <cfRule type="expression" dxfId="2507" priority="109">
      <formula>L280&gt;H280</formula>
    </cfRule>
  </conditionalFormatting>
  <conditionalFormatting sqref="L288">
    <cfRule type="expression" dxfId="2506" priority="108">
      <formula>L288&gt;H288</formula>
    </cfRule>
  </conditionalFormatting>
  <conditionalFormatting sqref="L288">
    <cfRule type="expression" dxfId="2505" priority="107">
      <formula>L288&gt;H288</formula>
    </cfRule>
  </conditionalFormatting>
  <conditionalFormatting sqref="L288">
    <cfRule type="expression" dxfId="2504" priority="106">
      <formula>L288&gt;H288</formula>
    </cfRule>
  </conditionalFormatting>
  <conditionalFormatting sqref="L296">
    <cfRule type="expression" dxfId="2503" priority="105">
      <formula>L296&gt;H296</formula>
    </cfRule>
  </conditionalFormatting>
  <conditionalFormatting sqref="L296">
    <cfRule type="expression" dxfId="2502" priority="104">
      <formula>L296&gt;H296</formula>
    </cfRule>
  </conditionalFormatting>
  <conditionalFormatting sqref="L296">
    <cfRule type="expression" dxfId="2501" priority="103">
      <formula>L296&gt;H296</formula>
    </cfRule>
  </conditionalFormatting>
  <conditionalFormatting sqref="L305">
    <cfRule type="expression" dxfId="2500" priority="102">
      <formula>L305&gt;H305</formula>
    </cfRule>
  </conditionalFormatting>
  <conditionalFormatting sqref="L305">
    <cfRule type="expression" dxfId="2499" priority="101">
      <formula>L305&gt;H305</formula>
    </cfRule>
  </conditionalFormatting>
  <conditionalFormatting sqref="L305">
    <cfRule type="expression" dxfId="2498" priority="100">
      <formula>L305&gt;H305</formula>
    </cfRule>
  </conditionalFormatting>
  <conditionalFormatting sqref="L314">
    <cfRule type="expression" dxfId="2497" priority="99">
      <formula>L314&gt;H314</formula>
    </cfRule>
  </conditionalFormatting>
  <conditionalFormatting sqref="L314">
    <cfRule type="expression" dxfId="2496" priority="98">
      <formula>L314&gt;H314</formula>
    </cfRule>
  </conditionalFormatting>
  <conditionalFormatting sqref="L314">
    <cfRule type="expression" dxfId="2495" priority="97">
      <formula>L314&gt;H314</formula>
    </cfRule>
  </conditionalFormatting>
  <conditionalFormatting sqref="L353">
    <cfRule type="expression" dxfId="2494" priority="96">
      <formula>L353&gt;H353</formula>
    </cfRule>
  </conditionalFormatting>
  <conditionalFormatting sqref="L353">
    <cfRule type="expression" dxfId="2493" priority="95">
      <formula>L353&gt;H353</formula>
    </cfRule>
  </conditionalFormatting>
  <conditionalFormatting sqref="L353">
    <cfRule type="expression" dxfId="2492" priority="94">
      <formula>L353&gt;H353</formula>
    </cfRule>
  </conditionalFormatting>
  <conditionalFormatting sqref="L353">
    <cfRule type="expression" dxfId="2491" priority="93">
      <formula>L353&gt;H353</formula>
    </cfRule>
  </conditionalFormatting>
  <conditionalFormatting sqref="L353">
    <cfRule type="expression" dxfId="2490" priority="92">
      <formula>L353&gt;H353</formula>
    </cfRule>
  </conditionalFormatting>
  <conditionalFormatting sqref="L353">
    <cfRule type="expression" dxfId="2489" priority="91">
      <formula>L353&gt;H353</formula>
    </cfRule>
  </conditionalFormatting>
  <conditionalFormatting sqref="L362">
    <cfRule type="expression" dxfId="2488" priority="90">
      <formula>L362&gt;H362</formula>
    </cfRule>
  </conditionalFormatting>
  <conditionalFormatting sqref="L362">
    <cfRule type="expression" dxfId="2487" priority="89">
      <formula>L362&gt;H362</formula>
    </cfRule>
  </conditionalFormatting>
  <conditionalFormatting sqref="L362">
    <cfRule type="expression" dxfId="2486" priority="88">
      <formula>L362&gt;H362</formula>
    </cfRule>
  </conditionalFormatting>
  <conditionalFormatting sqref="L362">
    <cfRule type="expression" dxfId="2485" priority="87">
      <formula>L362&gt;H362</formula>
    </cfRule>
  </conditionalFormatting>
  <conditionalFormatting sqref="L362">
    <cfRule type="expression" dxfId="2484" priority="86">
      <formula>L362&gt;H362</formula>
    </cfRule>
  </conditionalFormatting>
  <conditionalFormatting sqref="L362">
    <cfRule type="expression" dxfId="2483" priority="85">
      <formula>L362&gt;H362</formula>
    </cfRule>
  </conditionalFormatting>
  <conditionalFormatting sqref="L370">
    <cfRule type="expression" dxfId="2482" priority="84">
      <formula>L370&gt;H370</formula>
    </cfRule>
  </conditionalFormatting>
  <conditionalFormatting sqref="L370">
    <cfRule type="expression" dxfId="2481" priority="83">
      <formula>L370&gt;H370</formula>
    </cfRule>
  </conditionalFormatting>
  <conditionalFormatting sqref="L370">
    <cfRule type="expression" dxfId="2480" priority="82">
      <formula>L370&gt;H370</formula>
    </cfRule>
  </conditionalFormatting>
  <conditionalFormatting sqref="L370">
    <cfRule type="expression" dxfId="2479" priority="81">
      <formula>L370&gt;H370</formula>
    </cfRule>
  </conditionalFormatting>
  <conditionalFormatting sqref="L370">
    <cfRule type="expression" dxfId="2478" priority="80">
      <formula>L370&gt;H370</formula>
    </cfRule>
  </conditionalFormatting>
  <conditionalFormatting sqref="L370">
    <cfRule type="expression" dxfId="2477" priority="79">
      <formula>L370&gt;H370</formula>
    </cfRule>
  </conditionalFormatting>
  <conditionalFormatting sqref="L426">
    <cfRule type="expression" dxfId="2476" priority="78">
      <formula>L426&gt;H426</formula>
    </cfRule>
  </conditionalFormatting>
  <conditionalFormatting sqref="L426">
    <cfRule type="expression" dxfId="2475" priority="77">
      <formula>L426&gt;H426</formula>
    </cfRule>
  </conditionalFormatting>
  <conditionalFormatting sqref="L426">
    <cfRule type="expression" dxfId="2474" priority="76">
      <formula>L426&gt;H426</formula>
    </cfRule>
  </conditionalFormatting>
  <conditionalFormatting sqref="L426">
    <cfRule type="expression" dxfId="2473" priority="75">
      <formula>L426&gt;H426</formula>
    </cfRule>
  </conditionalFormatting>
  <conditionalFormatting sqref="L426">
    <cfRule type="expression" dxfId="2472" priority="74">
      <formula>L426&gt;H426</formula>
    </cfRule>
  </conditionalFormatting>
  <conditionalFormatting sqref="L426">
    <cfRule type="expression" dxfId="2471" priority="73">
      <formula>L426&gt;H426</formula>
    </cfRule>
  </conditionalFormatting>
  <conditionalFormatting sqref="L434">
    <cfRule type="expression" dxfId="2470" priority="72">
      <formula>L434&gt;H434</formula>
    </cfRule>
  </conditionalFormatting>
  <conditionalFormatting sqref="L434">
    <cfRule type="expression" dxfId="2469" priority="71">
      <formula>L434&gt;H434</formula>
    </cfRule>
  </conditionalFormatting>
  <conditionalFormatting sqref="L434">
    <cfRule type="expression" dxfId="2468" priority="70">
      <formula>L434&gt;H434</formula>
    </cfRule>
  </conditionalFormatting>
  <conditionalFormatting sqref="L434">
    <cfRule type="expression" dxfId="2467" priority="69">
      <formula>L434&gt;H434</formula>
    </cfRule>
  </conditionalFormatting>
  <conditionalFormatting sqref="L434">
    <cfRule type="expression" dxfId="2466" priority="68">
      <formula>L434&gt;H434</formula>
    </cfRule>
  </conditionalFormatting>
  <conditionalFormatting sqref="L434">
    <cfRule type="expression" dxfId="2465" priority="67">
      <formula>L434&gt;H434</formula>
    </cfRule>
  </conditionalFormatting>
  <conditionalFormatting sqref="L426">
    <cfRule type="expression" dxfId="2464" priority="66">
      <formula>L426&gt;H426</formula>
    </cfRule>
  </conditionalFormatting>
  <conditionalFormatting sqref="L426">
    <cfRule type="expression" dxfId="2463" priority="65">
      <formula>L426&gt;H426</formula>
    </cfRule>
  </conditionalFormatting>
  <conditionalFormatting sqref="L426">
    <cfRule type="expression" dxfId="2462" priority="64">
      <formula>L426&gt;H426</formula>
    </cfRule>
  </conditionalFormatting>
  <conditionalFormatting sqref="L426">
    <cfRule type="expression" dxfId="2461" priority="63">
      <formula>L426&gt;H426</formula>
    </cfRule>
  </conditionalFormatting>
  <conditionalFormatting sqref="L426">
    <cfRule type="expression" dxfId="2460" priority="62">
      <formula>L426&gt;H426</formula>
    </cfRule>
  </conditionalFormatting>
  <conditionalFormatting sqref="L426">
    <cfRule type="expression" dxfId="2459" priority="61">
      <formula>L426&gt;H426</formula>
    </cfRule>
  </conditionalFormatting>
  <conditionalFormatting sqref="L434">
    <cfRule type="expression" dxfId="2458" priority="60">
      <formula>L434&gt;H434</formula>
    </cfRule>
  </conditionalFormatting>
  <conditionalFormatting sqref="L434">
    <cfRule type="expression" dxfId="2457" priority="59">
      <formula>L434&gt;H434</formula>
    </cfRule>
  </conditionalFormatting>
  <conditionalFormatting sqref="L434">
    <cfRule type="expression" dxfId="2456" priority="58">
      <formula>L434&gt;H434</formula>
    </cfRule>
  </conditionalFormatting>
  <conditionalFormatting sqref="L434">
    <cfRule type="expression" dxfId="2455" priority="57">
      <formula>L434&gt;H434</formula>
    </cfRule>
  </conditionalFormatting>
  <conditionalFormatting sqref="L434">
    <cfRule type="expression" dxfId="2454" priority="56">
      <formula>L434&gt;H434</formula>
    </cfRule>
  </conditionalFormatting>
  <conditionalFormatting sqref="L434">
    <cfRule type="expression" dxfId="2453" priority="55">
      <formula>L434&gt;H434</formula>
    </cfRule>
  </conditionalFormatting>
  <conditionalFormatting sqref="L434">
    <cfRule type="expression" dxfId="2452" priority="54">
      <formula>L434&gt;H434</formula>
    </cfRule>
  </conditionalFormatting>
  <conditionalFormatting sqref="L434">
    <cfRule type="expression" dxfId="2451" priority="53">
      <formula>L434&gt;H434</formula>
    </cfRule>
  </conditionalFormatting>
  <conditionalFormatting sqref="L434">
    <cfRule type="expression" dxfId="2450" priority="52">
      <formula>L434&gt;H434</formula>
    </cfRule>
  </conditionalFormatting>
  <conditionalFormatting sqref="L434">
    <cfRule type="expression" dxfId="2449" priority="51">
      <formula>L434&gt;H434</formula>
    </cfRule>
  </conditionalFormatting>
  <conditionalFormatting sqref="L434">
    <cfRule type="expression" dxfId="2448" priority="50">
      <formula>L434&gt;H434</formula>
    </cfRule>
  </conditionalFormatting>
  <conditionalFormatting sqref="L434">
    <cfRule type="expression" dxfId="2447" priority="49">
      <formula>L434&gt;H434</formula>
    </cfRule>
  </conditionalFormatting>
  <conditionalFormatting sqref="L156">
    <cfRule type="expression" dxfId="2446" priority="48">
      <formula>L156&gt;H156</formula>
    </cfRule>
  </conditionalFormatting>
  <conditionalFormatting sqref="L157">
    <cfRule type="expression" dxfId="2445" priority="47">
      <formula>L157&gt;H157</formula>
    </cfRule>
  </conditionalFormatting>
  <conditionalFormatting sqref="L165">
    <cfRule type="expression" dxfId="2444" priority="46">
      <formula>L165&gt;H165</formula>
    </cfRule>
  </conditionalFormatting>
  <conditionalFormatting sqref="L322">
    <cfRule type="expression" dxfId="2443" priority="45">
      <formula>L322&gt;H322</formula>
    </cfRule>
  </conditionalFormatting>
  <conditionalFormatting sqref="L322">
    <cfRule type="expression" dxfId="2442" priority="44">
      <formula>L322&gt;H322</formula>
    </cfRule>
  </conditionalFormatting>
  <conditionalFormatting sqref="L322">
    <cfRule type="expression" dxfId="2441" priority="43">
      <formula>L322&gt;H322</formula>
    </cfRule>
  </conditionalFormatting>
  <conditionalFormatting sqref="L192">
    <cfRule type="expression" dxfId="2440" priority="42">
      <formula>L192&gt;H192</formula>
    </cfRule>
  </conditionalFormatting>
  <conditionalFormatting sqref="L192">
    <cfRule type="expression" dxfId="2439" priority="41">
      <formula>L192&gt;H192</formula>
    </cfRule>
  </conditionalFormatting>
  <conditionalFormatting sqref="L379">
    <cfRule type="expression" dxfId="2438" priority="40">
      <formula>L379&gt;H379</formula>
    </cfRule>
  </conditionalFormatting>
  <conditionalFormatting sqref="L379">
    <cfRule type="expression" dxfId="2437" priority="39">
      <formula>L379&gt;H379</formula>
    </cfRule>
  </conditionalFormatting>
  <conditionalFormatting sqref="L379">
    <cfRule type="expression" dxfId="2436" priority="38">
      <formula>L379&gt;H379</formula>
    </cfRule>
  </conditionalFormatting>
  <conditionalFormatting sqref="L379">
    <cfRule type="expression" dxfId="2435" priority="37">
      <formula>L379&gt;H379</formula>
    </cfRule>
  </conditionalFormatting>
  <conditionalFormatting sqref="L379">
    <cfRule type="expression" dxfId="2434" priority="36">
      <formula>L379&gt;H379</formula>
    </cfRule>
  </conditionalFormatting>
  <conditionalFormatting sqref="L379">
    <cfRule type="expression" dxfId="2433" priority="35">
      <formula>L379&gt;H379</formula>
    </cfRule>
  </conditionalFormatting>
  <conditionalFormatting sqref="L387">
    <cfRule type="expression" dxfId="2432" priority="34">
      <formula>L387&gt;H387</formula>
    </cfRule>
  </conditionalFormatting>
  <conditionalFormatting sqref="L387">
    <cfRule type="expression" dxfId="2431" priority="33">
      <formula>L387&gt;H387</formula>
    </cfRule>
  </conditionalFormatting>
  <conditionalFormatting sqref="L387">
    <cfRule type="expression" dxfId="2430" priority="32">
      <formula>L387&gt;H387</formula>
    </cfRule>
  </conditionalFormatting>
  <conditionalFormatting sqref="L387">
    <cfRule type="expression" dxfId="2429" priority="31">
      <formula>L387&gt;H387</formula>
    </cfRule>
  </conditionalFormatting>
  <conditionalFormatting sqref="L387">
    <cfRule type="expression" dxfId="2428" priority="30">
      <formula>L387&gt;H387</formula>
    </cfRule>
  </conditionalFormatting>
  <conditionalFormatting sqref="L387">
    <cfRule type="expression" dxfId="2427" priority="29">
      <formula>L387&gt;H387</formula>
    </cfRule>
  </conditionalFormatting>
  <conditionalFormatting sqref="L20">
    <cfRule type="expression" dxfId="2426" priority="28">
      <formula>L20&gt;H20</formula>
    </cfRule>
  </conditionalFormatting>
  <conditionalFormatting sqref="L47">
    <cfRule type="expression" dxfId="2425" priority="27">
      <formula>L47&gt;H47</formula>
    </cfRule>
  </conditionalFormatting>
  <conditionalFormatting sqref="L55">
    <cfRule type="expression" dxfId="2424" priority="26">
      <formula>L55&gt;H55</formula>
    </cfRule>
  </conditionalFormatting>
  <conditionalFormatting sqref="L63">
    <cfRule type="expression" dxfId="2423" priority="25">
      <formula>L63&gt;H63</formula>
    </cfRule>
  </conditionalFormatting>
  <conditionalFormatting sqref="L72">
    <cfRule type="expression" dxfId="2422" priority="24">
      <formula>L72&gt;H72</formula>
    </cfRule>
  </conditionalFormatting>
  <conditionalFormatting sqref="L131">
    <cfRule type="expression" dxfId="2421" priority="23">
      <formula>L131&gt;H131</formula>
    </cfRule>
  </conditionalFormatting>
  <conditionalFormatting sqref="L131">
    <cfRule type="expression" dxfId="2420" priority="22">
      <formula>L131&gt;H131</formula>
    </cfRule>
  </conditionalFormatting>
  <conditionalFormatting sqref="L331">
    <cfRule type="expression" dxfId="2419" priority="21">
      <formula>L331&gt;H331</formula>
    </cfRule>
  </conditionalFormatting>
  <conditionalFormatting sqref="L331">
    <cfRule type="expression" dxfId="2418" priority="20">
      <formula>L331&gt;H331</formula>
    </cfRule>
  </conditionalFormatting>
  <conditionalFormatting sqref="L331">
    <cfRule type="expression" dxfId="2417" priority="19">
      <formula>L331&gt;H331</formula>
    </cfRule>
  </conditionalFormatting>
  <conditionalFormatting sqref="L404">
    <cfRule type="expression" dxfId="2416" priority="18">
      <formula>L404&gt;H404</formula>
    </cfRule>
  </conditionalFormatting>
  <conditionalFormatting sqref="L404">
    <cfRule type="expression" dxfId="2415" priority="17">
      <formula>L404&gt;H404</formula>
    </cfRule>
  </conditionalFormatting>
  <conditionalFormatting sqref="L404">
    <cfRule type="expression" dxfId="2414" priority="16">
      <formula>L404&gt;H404</formula>
    </cfRule>
  </conditionalFormatting>
  <conditionalFormatting sqref="L404">
    <cfRule type="expression" dxfId="2413" priority="15">
      <formula>L404&gt;H404</formula>
    </cfRule>
  </conditionalFormatting>
  <conditionalFormatting sqref="L404">
    <cfRule type="expression" dxfId="2412" priority="14">
      <formula>L404&gt;H404</formula>
    </cfRule>
  </conditionalFormatting>
  <conditionalFormatting sqref="L404">
    <cfRule type="expression" dxfId="2411" priority="13">
      <formula>L404&gt;H404</formula>
    </cfRule>
  </conditionalFormatting>
  <conditionalFormatting sqref="L395">
    <cfRule type="expression" dxfId="2410" priority="12">
      <formula>L395&gt;H395</formula>
    </cfRule>
  </conditionalFormatting>
  <conditionalFormatting sqref="L395">
    <cfRule type="expression" dxfId="2409" priority="11">
      <formula>L395&gt;H395</formula>
    </cfRule>
  </conditionalFormatting>
  <conditionalFormatting sqref="L395">
    <cfRule type="expression" dxfId="2408" priority="10">
      <formula>L395&gt;H395</formula>
    </cfRule>
  </conditionalFormatting>
  <conditionalFormatting sqref="L395">
    <cfRule type="expression" dxfId="2407" priority="9">
      <formula>L395&gt;H395</formula>
    </cfRule>
  </conditionalFormatting>
  <conditionalFormatting sqref="L395">
    <cfRule type="expression" dxfId="2406" priority="8">
      <formula>L395&gt;H395</formula>
    </cfRule>
  </conditionalFormatting>
  <conditionalFormatting sqref="L395">
    <cfRule type="expression" dxfId="2405" priority="7">
      <formula>L395&gt;H395</formula>
    </cfRule>
  </conditionalFormatting>
  <conditionalFormatting sqref="L237">
    <cfRule type="expression" dxfId="2404" priority="6">
      <formula>L237&gt;H237</formula>
    </cfRule>
  </conditionalFormatting>
  <conditionalFormatting sqref="L237">
    <cfRule type="expression" dxfId="2403" priority="5">
      <formula>L237&gt;H237</formula>
    </cfRule>
  </conditionalFormatting>
  <conditionalFormatting sqref="L237">
    <cfRule type="expression" dxfId="2402" priority="4">
      <formula>L237&gt;H237</formula>
    </cfRule>
  </conditionalFormatting>
  <conditionalFormatting sqref="L245">
    <cfRule type="expression" dxfId="2401" priority="3">
      <formula>L245&gt;H245</formula>
    </cfRule>
  </conditionalFormatting>
  <conditionalFormatting sqref="L245">
    <cfRule type="expression" dxfId="2400" priority="2">
      <formula>L245&gt;H245</formula>
    </cfRule>
  </conditionalFormatting>
  <conditionalFormatting sqref="L245">
    <cfRule type="expression" dxfId="2399" priority="1">
      <formula>L245&gt;H245</formula>
    </cfRule>
  </conditionalFormatting>
  <pageMargins left="0" right="0" top="0.3" bottom="0" header="0.17" footer="0.17"/>
  <pageSetup paperSize="9" fitToHeight="0" orientation="landscape" blackAndWhite="1" r:id="rId1"/>
  <headerFooter alignWithMargins="0">
    <oddHeader>&amp;L&amp;"Calibri"&amp;10&amp;K000000Sensitivity - General&amp;1#</oddHeader>
  </headerFooter>
  <rowBreaks count="12" manualBreakCount="12">
    <brk id="36" max="16383" man="1"/>
    <brk id="79" max="16383" man="1"/>
    <brk id="91" max="16383" man="1"/>
    <brk id="129" max="16383" man="1"/>
    <brk id="172" max="16383" man="1"/>
    <brk id="202" max="16383" man="1"/>
    <brk id="224" max="16383" man="1"/>
    <brk id="280" max="16383" man="1"/>
    <brk id="321" max="16383" man="1"/>
    <brk id="341" max="16383" man="1"/>
    <brk id="377" max="16383" man="1"/>
    <brk id="41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31">
    <tabColor theme="9"/>
    <pageSetUpPr fitToPage="1"/>
  </sheetPr>
  <dimension ref="A1:L38"/>
  <sheetViews>
    <sheetView workbookViewId="0"/>
  </sheetViews>
  <sheetFormatPr defaultRowHeight="12.75"/>
  <cols>
    <col min="1" max="2" width="9.140625" style="314"/>
    <col min="3" max="3" width="12" style="314" bestFit="1" customWidth="1"/>
    <col min="4" max="7" width="9.140625" style="314"/>
    <col min="8" max="8" width="17.28515625" style="314" customWidth="1"/>
    <col min="9" max="9" width="11.42578125" style="314" customWidth="1"/>
    <col min="10" max="11" width="11.28515625" style="314" customWidth="1"/>
    <col min="12" max="12" width="18.42578125" style="314" customWidth="1"/>
    <col min="13" max="258" width="9.140625" style="314"/>
    <col min="259" max="259" width="12" style="314" bestFit="1" customWidth="1"/>
    <col min="260" max="263" width="9.140625" style="314"/>
    <col min="264" max="264" width="17.28515625" style="314" customWidth="1"/>
    <col min="265" max="265" width="11.42578125" style="314" customWidth="1"/>
    <col min="266" max="267" width="11.28515625" style="314" customWidth="1"/>
    <col min="268" max="268" width="18.42578125" style="314" customWidth="1"/>
    <col min="269" max="514" width="9.140625" style="314"/>
    <col min="515" max="515" width="12" style="314" bestFit="1" customWidth="1"/>
    <col min="516" max="519" width="9.140625" style="314"/>
    <col min="520" max="520" width="17.28515625" style="314" customWidth="1"/>
    <col min="521" max="521" width="11.42578125" style="314" customWidth="1"/>
    <col min="522" max="523" width="11.28515625" style="314" customWidth="1"/>
    <col min="524" max="524" width="18.42578125" style="314" customWidth="1"/>
    <col min="525" max="770" width="9.140625" style="314"/>
    <col min="771" max="771" width="12" style="314" bestFit="1" customWidth="1"/>
    <col min="772" max="775" width="9.140625" style="314"/>
    <col min="776" max="776" width="17.28515625" style="314" customWidth="1"/>
    <col min="777" max="777" width="11.42578125" style="314" customWidth="1"/>
    <col min="778" max="779" width="11.28515625" style="314" customWidth="1"/>
    <col min="780" max="780" width="18.42578125" style="314" customWidth="1"/>
    <col min="781" max="1026" width="9.140625" style="314"/>
    <col min="1027" max="1027" width="12" style="314" bestFit="1" customWidth="1"/>
    <col min="1028" max="1031" width="9.140625" style="314"/>
    <col min="1032" max="1032" width="17.28515625" style="314" customWidth="1"/>
    <col min="1033" max="1033" width="11.42578125" style="314" customWidth="1"/>
    <col min="1034" max="1035" width="11.28515625" style="314" customWidth="1"/>
    <col min="1036" max="1036" width="18.42578125" style="314" customWidth="1"/>
    <col min="1037" max="1282" width="9.140625" style="314"/>
    <col min="1283" max="1283" width="12" style="314" bestFit="1" customWidth="1"/>
    <col min="1284" max="1287" width="9.140625" style="314"/>
    <col min="1288" max="1288" width="17.28515625" style="314" customWidth="1"/>
    <col min="1289" max="1289" width="11.42578125" style="314" customWidth="1"/>
    <col min="1290" max="1291" width="11.28515625" style="314" customWidth="1"/>
    <col min="1292" max="1292" width="18.42578125" style="314" customWidth="1"/>
    <col min="1293" max="1538" width="9.140625" style="314"/>
    <col min="1539" max="1539" width="12" style="314" bestFit="1" customWidth="1"/>
    <col min="1540" max="1543" width="9.140625" style="314"/>
    <col min="1544" max="1544" width="17.28515625" style="314" customWidth="1"/>
    <col min="1545" max="1545" width="11.42578125" style="314" customWidth="1"/>
    <col min="1546" max="1547" width="11.28515625" style="314" customWidth="1"/>
    <col min="1548" max="1548" width="18.42578125" style="314" customWidth="1"/>
    <col min="1549" max="1794" width="9.140625" style="314"/>
    <col min="1795" max="1795" width="12" style="314" bestFit="1" customWidth="1"/>
    <col min="1796" max="1799" width="9.140625" style="314"/>
    <col min="1800" max="1800" width="17.28515625" style="314" customWidth="1"/>
    <col min="1801" max="1801" width="11.42578125" style="314" customWidth="1"/>
    <col min="1802" max="1803" width="11.28515625" style="314" customWidth="1"/>
    <col min="1804" max="1804" width="18.42578125" style="314" customWidth="1"/>
    <col min="1805" max="2050" width="9.140625" style="314"/>
    <col min="2051" max="2051" width="12" style="314" bestFit="1" customWidth="1"/>
    <col min="2052" max="2055" width="9.140625" style="314"/>
    <col min="2056" max="2056" width="17.28515625" style="314" customWidth="1"/>
    <col min="2057" max="2057" width="11.42578125" style="314" customWidth="1"/>
    <col min="2058" max="2059" width="11.28515625" style="314" customWidth="1"/>
    <col min="2060" max="2060" width="18.42578125" style="314" customWidth="1"/>
    <col min="2061" max="2306" width="9.140625" style="314"/>
    <col min="2307" max="2307" width="12" style="314" bestFit="1" customWidth="1"/>
    <col min="2308" max="2311" width="9.140625" style="314"/>
    <col min="2312" max="2312" width="17.28515625" style="314" customWidth="1"/>
    <col min="2313" max="2313" width="11.42578125" style="314" customWidth="1"/>
    <col min="2314" max="2315" width="11.28515625" style="314" customWidth="1"/>
    <col min="2316" max="2316" width="18.42578125" style="314" customWidth="1"/>
    <col min="2317" max="2562" width="9.140625" style="314"/>
    <col min="2563" max="2563" width="12" style="314" bestFit="1" customWidth="1"/>
    <col min="2564" max="2567" width="9.140625" style="314"/>
    <col min="2568" max="2568" width="17.28515625" style="314" customWidth="1"/>
    <col min="2569" max="2569" width="11.42578125" style="314" customWidth="1"/>
    <col min="2570" max="2571" width="11.28515625" style="314" customWidth="1"/>
    <col min="2572" max="2572" width="18.42578125" style="314" customWidth="1"/>
    <col min="2573" max="2818" width="9.140625" style="314"/>
    <col min="2819" max="2819" width="12" style="314" bestFit="1" customWidth="1"/>
    <col min="2820" max="2823" width="9.140625" style="314"/>
    <col min="2824" max="2824" width="17.28515625" style="314" customWidth="1"/>
    <col min="2825" max="2825" width="11.42578125" style="314" customWidth="1"/>
    <col min="2826" max="2827" width="11.28515625" style="314" customWidth="1"/>
    <col min="2828" max="2828" width="18.42578125" style="314" customWidth="1"/>
    <col min="2829" max="3074" width="9.140625" style="314"/>
    <col min="3075" max="3075" width="12" style="314" bestFit="1" customWidth="1"/>
    <col min="3076" max="3079" width="9.140625" style="314"/>
    <col min="3080" max="3080" width="17.28515625" style="314" customWidth="1"/>
    <col min="3081" max="3081" width="11.42578125" style="314" customWidth="1"/>
    <col min="3082" max="3083" width="11.28515625" style="314" customWidth="1"/>
    <col min="3084" max="3084" width="18.42578125" style="314" customWidth="1"/>
    <col min="3085" max="3330" width="9.140625" style="314"/>
    <col min="3331" max="3331" width="12" style="314" bestFit="1" customWidth="1"/>
    <col min="3332" max="3335" width="9.140625" style="314"/>
    <col min="3336" max="3336" width="17.28515625" style="314" customWidth="1"/>
    <col min="3337" max="3337" width="11.42578125" style="314" customWidth="1"/>
    <col min="3338" max="3339" width="11.28515625" style="314" customWidth="1"/>
    <col min="3340" max="3340" width="18.42578125" style="314" customWidth="1"/>
    <col min="3341" max="3586" width="9.140625" style="314"/>
    <col min="3587" max="3587" width="12" style="314" bestFit="1" customWidth="1"/>
    <col min="3588" max="3591" width="9.140625" style="314"/>
    <col min="3592" max="3592" width="17.28515625" style="314" customWidth="1"/>
    <col min="3593" max="3593" width="11.42578125" style="314" customWidth="1"/>
    <col min="3594" max="3595" width="11.28515625" style="314" customWidth="1"/>
    <col min="3596" max="3596" width="18.42578125" style="314" customWidth="1"/>
    <col min="3597" max="3842" width="9.140625" style="314"/>
    <col min="3843" max="3843" width="12" style="314" bestFit="1" customWidth="1"/>
    <col min="3844" max="3847" width="9.140625" style="314"/>
    <col min="3848" max="3848" width="17.28515625" style="314" customWidth="1"/>
    <col min="3849" max="3849" width="11.42578125" style="314" customWidth="1"/>
    <col min="3850" max="3851" width="11.28515625" style="314" customWidth="1"/>
    <col min="3852" max="3852" width="18.42578125" style="314" customWidth="1"/>
    <col min="3853" max="4098" width="9.140625" style="314"/>
    <col min="4099" max="4099" width="12" style="314" bestFit="1" customWidth="1"/>
    <col min="4100" max="4103" width="9.140625" style="314"/>
    <col min="4104" max="4104" width="17.28515625" style="314" customWidth="1"/>
    <col min="4105" max="4105" width="11.42578125" style="314" customWidth="1"/>
    <col min="4106" max="4107" width="11.28515625" style="314" customWidth="1"/>
    <col min="4108" max="4108" width="18.42578125" style="314" customWidth="1"/>
    <col min="4109" max="4354" width="9.140625" style="314"/>
    <col min="4355" max="4355" width="12" style="314" bestFit="1" customWidth="1"/>
    <col min="4356" max="4359" width="9.140625" style="314"/>
    <col min="4360" max="4360" width="17.28515625" style="314" customWidth="1"/>
    <col min="4361" max="4361" width="11.42578125" style="314" customWidth="1"/>
    <col min="4362" max="4363" width="11.28515625" style="314" customWidth="1"/>
    <col min="4364" max="4364" width="18.42578125" style="314" customWidth="1"/>
    <col min="4365" max="4610" width="9.140625" style="314"/>
    <col min="4611" max="4611" width="12" style="314" bestFit="1" customWidth="1"/>
    <col min="4612" max="4615" width="9.140625" style="314"/>
    <col min="4616" max="4616" width="17.28515625" style="314" customWidth="1"/>
    <col min="4617" max="4617" width="11.42578125" style="314" customWidth="1"/>
    <col min="4618" max="4619" width="11.28515625" style="314" customWidth="1"/>
    <col min="4620" max="4620" width="18.42578125" style="314" customWidth="1"/>
    <col min="4621" max="4866" width="9.140625" style="314"/>
    <col min="4867" max="4867" width="12" style="314" bestFit="1" customWidth="1"/>
    <col min="4868" max="4871" width="9.140625" style="314"/>
    <col min="4872" max="4872" width="17.28515625" style="314" customWidth="1"/>
    <col min="4873" max="4873" width="11.42578125" style="314" customWidth="1"/>
    <col min="4874" max="4875" width="11.28515625" style="314" customWidth="1"/>
    <col min="4876" max="4876" width="18.42578125" style="314" customWidth="1"/>
    <col min="4877" max="5122" width="9.140625" style="314"/>
    <col min="5123" max="5123" width="12" style="314" bestFit="1" customWidth="1"/>
    <col min="5124" max="5127" width="9.140625" style="314"/>
    <col min="5128" max="5128" width="17.28515625" style="314" customWidth="1"/>
    <col min="5129" max="5129" width="11.42578125" style="314" customWidth="1"/>
    <col min="5130" max="5131" width="11.28515625" style="314" customWidth="1"/>
    <col min="5132" max="5132" width="18.42578125" style="314" customWidth="1"/>
    <col min="5133" max="5378" width="9.140625" style="314"/>
    <col min="5379" max="5379" width="12" style="314" bestFit="1" customWidth="1"/>
    <col min="5380" max="5383" width="9.140625" style="314"/>
    <col min="5384" max="5384" width="17.28515625" style="314" customWidth="1"/>
    <col min="5385" max="5385" width="11.42578125" style="314" customWidth="1"/>
    <col min="5386" max="5387" width="11.28515625" style="314" customWidth="1"/>
    <col min="5388" max="5388" width="18.42578125" style="314" customWidth="1"/>
    <col min="5389" max="5634" width="9.140625" style="314"/>
    <col min="5635" max="5635" width="12" style="314" bestFit="1" customWidth="1"/>
    <col min="5636" max="5639" width="9.140625" style="314"/>
    <col min="5640" max="5640" width="17.28515625" style="314" customWidth="1"/>
    <col min="5641" max="5641" width="11.42578125" style="314" customWidth="1"/>
    <col min="5642" max="5643" width="11.28515625" style="314" customWidth="1"/>
    <col min="5644" max="5644" width="18.42578125" style="314" customWidth="1"/>
    <col min="5645" max="5890" width="9.140625" style="314"/>
    <col min="5891" max="5891" width="12" style="314" bestFit="1" customWidth="1"/>
    <col min="5892" max="5895" width="9.140625" style="314"/>
    <col min="5896" max="5896" width="17.28515625" style="314" customWidth="1"/>
    <col min="5897" max="5897" width="11.42578125" style="314" customWidth="1"/>
    <col min="5898" max="5899" width="11.28515625" style="314" customWidth="1"/>
    <col min="5900" max="5900" width="18.42578125" style="314" customWidth="1"/>
    <col min="5901" max="6146" width="9.140625" style="314"/>
    <col min="6147" max="6147" width="12" style="314" bestFit="1" customWidth="1"/>
    <col min="6148" max="6151" width="9.140625" style="314"/>
    <col min="6152" max="6152" width="17.28515625" style="314" customWidth="1"/>
    <col min="6153" max="6153" width="11.42578125" style="314" customWidth="1"/>
    <col min="6154" max="6155" width="11.28515625" style="314" customWidth="1"/>
    <col min="6156" max="6156" width="18.42578125" style="314" customWidth="1"/>
    <col min="6157" max="6402" width="9.140625" style="314"/>
    <col min="6403" max="6403" width="12" style="314" bestFit="1" customWidth="1"/>
    <col min="6404" max="6407" width="9.140625" style="314"/>
    <col min="6408" max="6408" width="17.28515625" style="314" customWidth="1"/>
    <col min="6409" max="6409" width="11.42578125" style="314" customWidth="1"/>
    <col min="6410" max="6411" width="11.28515625" style="314" customWidth="1"/>
    <col min="6412" max="6412" width="18.42578125" style="314" customWidth="1"/>
    <col min="6413" max="6658" width="9.140625" style="314"/>
    <col min="6659" max="6659" width="12" style="314" bestFit="1" customWidth="1"/>
    <col min="6660" max="6663" width="9.140625" style="314"/>
    <col min="6664" max="6664" width="17.28515625" style="314" customWidth="1"/>
    <col min="6665" max="6665" width="11.42578125" style="314" customWidth="1"/>
    <col min="6666" max="6667" width="11.28515625" style="314" customWidth="1"/>
    <col min="6668" max="6668" width="18.42578125" style="314" customWidth="1"/>
    <col min="6669" max="6914" width="9.140625" style="314"/>
    <col min="6915" max="6915" width="12" style="314" bestFit="1" customWidth="1"/>
    <col min="6916" max="6919" width="9.140625" style="314"/>
    <col min="6920" max="6920" width="17.28515625" style="314" customWidth="1"/>
    <col min="6921" max="6921" width="11.42578125" style="314" customWidth="1"/>
    <col min="6922" max="6923" width="11.28515625" style="314" customWidth="1"/>
    <col min="6924" max="6924" width="18.42578125" style="314" customWidth="1"/>
    <col min="6925" max="7170" width="9.140625" style="314"/>
    <col min="7171" max="7171" width="12" style="314" bestFit="1" customWidth="1"/>
    <col min="7172" max="7175" width="9.140625" style="314"/>
    <col min="7176" max="7176" width="17.28515625" style="314" customWidth="1"/>
    <col min="7177" max="7177" width="11.42578125" style="314" customWidth="1"/>
    <col min="7178" max="7179" width="11.28515625" style="314" customWidth="1"/>
    <col min="7180" max="7180" width="18.42578125" style="314" customWidth="1"/>
    <col min="7181" max="7426" width="9.140625" style="314"/>
    <col min="7427" max="7427" width="12" style="314" bestFit="1" customWidth="1"/>
    <col min="7428" max="7431" width="9.140625" style="314"/>
    <col min="7432" max="7432" width="17.28515625" style="314" customWidth="1"/>
    <col min="7433" max="7433" width="11.42578125" style="314" customWidth="1"/>
    <col min="7434" max="7435" width="11.28515625" style="314" customWidth="1"/>
    <col min="7436" max="7436" width="18.42578125" style="314" customWidth="1"/>
    <col min="7437" max="7682" width="9.140625" style="314"/>
    <col min="7683" max="7683" width="12" style="314" bestFit="1" customWidth="1"/>
    <col min="7684" max="7687" width="9.140625" style="314"/>
    <col min="7688" max="7688" width="17.28515625" style="314" customWidth="1"/>
    <col min="7689" max="7689" width="11.42578125" style="314" customWidth="1"/>
    <col min="7690" max="7691" width="11.28515625" style="314" customWidth="1"/>
    <col min="7692" max="7692" width="18.42578125" style="314" customWidth="1"/>
    <col min="7693" max="7938" width="9.140625" style="314"/>
    <col min="7939" max="7939" width="12" style="314" bestFit="1" customWidth="1"/>
    <col min="7940" max="7943" width="9.140625" style="314"/>
    <col min="7944" max="7944" width="17.28515625" style="314" customWidth="1"/>
    <col min="7945" max="7945" width="11.42578125" style="314" customWidth="1"/>
    <col min="7946" max="7947" width="11.28515625" style="314" customWidth="1"/>
    <col min="7948" max="7948" width="18.42578125" style="314" customWidth="1"/>
    <col min="7949" max="8194" width="9.140625" style="314"/>
    <col min="8195" max="8195" width="12" style="314" bestFit="1" customWidth="1"/>
    <col min="8196" max="8199" width="9.140625" style="314"/>
    <col min="8200" max="8200" width="17.28515625" style="314" customWidth="1"/>
    <col min="8201" max="8201" width="11.42578125" style="314" customWidth="1"/>
    <col min="8202" max="8203" width="11.28515625" style="314" customWidth="1"/>
    <col min="8204" max="8204" width="18.42578125" style="314" customWidth="1"/>
    <col min="8205" max="8450" width="9.140625" style="314"/>
    <col min="8451" max="8451" width="12" style="314" bestFit="1" customWidth="1"/>
    <col min="8452" max="8455" width="9.140625" style="314"/>
    <col min="8456" max="8456" width="17.28515625" style="314" customWidth="1"/>
    <col min="8457" max="8457" width="11.42578125" style="314" customWidth="1"/>
    <col min="8458" max="8459" width="11.28515625" style="314" customWidth="1"/>
    <col min="8460" max="8460" width="18.42578125" style="314" customWidth="1"/>
    <col min="8461" max="8706" width="9.140625" style="314"/>
    <col min="8707" max="8707" width="12" style="314" bestFit="1" customWidth="1"/>
    <col min="8708" max="8711" width="9.140625" style="314"/>
    <col min="8712" max="8712" width="17.28515625" style="314" customWidth="1"/>
    <col min="8713" max="8713" width="11.42578125" style="314" customWidth="1"/>
    <col min="8714" max="8715" width="11.28515625" style="314" customWidth="1"/>
    <col min="8716" max="8716" width="18.42578125" style="314" customWidth="1"/>
    <col min="8717" max="8962" width="9.140625" style="314"/>
    <col min="8963" max="8963" width="12" style="314" bestFit="1" customWidth="1"/>
    <col min="8964" max="8967" width="9.140625" style="314"/>
    <col min="8968" max="8968" width="17.28515625" style="314" customWidth="1"/>
    <col min="8969" max="8969" width="11.42578125" style="314" customWidth="1"/>
    <col min="8970" max="8971" width="11.28515625" style="314" customWidth="1"/>
    <col min="8972" max="8972" width="18.42578125" style="314" customWidth="1"/>
    <col min="8973" max="9218" width="9.140625" style="314"/>
    <col min="9219" max="9219" width="12" style="314" bestFit="1" customWidth="1"/>
    <col min="9220" max="9223" width="9.140625" style="314"/>
    <col min="9224" max="9224" width="17.28515625" style="314" customWidth="1"/>
    <col min="9225" max="9225" width="11.42578125" style="314" customWidth="1"/>
    <col min="9226" max="9227" width="11.28515625" style="314" customWidth="1"/>
    <col min="9228" max="9228" width="18.42578125" style="314" customWidth="1"/>
    <col min="9229" max="9474" width="9.140625" style="314"/>
    <col min="9475" max="9475" width="12" style="314" bestFit="1" customWidth="1"/>
    <col min="9476" max="9479" width="9.140625" style="314"/>
    <col min="9480" max="9480" width="17.28515625" style="314" customWidth="1"/>
    <col min="9481" max="9481" width="11.42578125" style="314" customWidth="1"/>
    <col min="9482" max="9483" width="11.28515625" style="314" customWidth="1"/>
    <col min="9484" max="9484" width="18.42578125" style="314" customWidth="1"/>
    <col min="9485" max="9730" width="9.140625" style="314"/>
    <col min="9731" max="9731" width="12" style="314" bestFit="1" customWidth="1"/>
    <col min="9732" max="9735" width="9.140625" style="314"/>
    <col min="9736" max="9736" width="17.28515625" style="314" customWidth="1"/>
    <col min="9737" max="9737" width="11.42578125" style="314" customWidth="1"/>
    <col min="9738" max="9739" width="11.28515625" style="314" customWidth="1"/>
    <col min="9740" max="9740" width="18.42578125" style="314" customWidth="1"/>
    <col min="9741" max="9986" width="9.140625" style="314"/>
    <col min="9987" max="9987" width="12" style="314" bestFit="1" customWidth="1"/>
    <col min="9988" max="9991" width="9.140625" style="314"/>
    <col min="9992" max="9992" width="17.28515625" style="314" customWidth="1"/>
    <col min="9993" max="9993" width="11.42578125" style="314" customWidth="1"/>
    <col min="9994" max="9995" width="11.28515625" style="314" customWidth="1"/>
    <col min="9996" max="9996" width="18.42578125" style="314" customWidth="1"/>
    <col min="9997" max="10242" width="9.140625" style="314"/>
    <col min="10243" max="10243" width="12" style="314" bestFit="1" customWidth="1"/>
    <col min="10244" max="10247" width="9.140625" style="314"/>
    <col min="10248" max="10248" width="17.28515625" style="314" customWidth="1"/>
    <col min="10249" max="10249" width="11.42578125" style="314" customWidth="1"/>
    <col min="10250" max="10251" width="11.28515625" style="314" customWidth="1"/>
    <col min="10252" max="10252" width="18.42578125" style="314" customWidth="1"/>
    <col min="10253" max="10498" width="9.140625" style="314"/>
    <col min="10499" max="10499" width="12" style="314" bestFit="1" customWidth="1"/>
    <col min="10500" max="10503" width="9.140625" style="314"/>
    <col min="10504" max="10504" width="17.28515625" style="314" customWidth="1"/>
    <col min="10505" max="10505" width="11.42578125" style="314" customWidth="1"/>
    <col min="10506" max="10507" width="11.28515625" style="314" customWidth="1"/>
    <col min="10508" max="10508" width="18.42578125" style="314" customWidth="1"/>
    <col min="10509" max="10754" width="9.140625" style="314"/>
    <col min="10755" max="10755" width="12" style="314" bestFit="1" customWidth="1"/>
    <col min="10756" max="10759" width="9.140625" style="314"/>
    <col min="10760" max="10760" width="17.28515625" style="314" customWidth="1"/>
    <col min="10761" max="10761" width="11.42578125" style="314" customWidth="1"/>
    <col min="10762" max="10763" width="11.28515625" style="314" customWidth="1"/>
    <col min="10764" max="10764" width="18.42578125" style="314" customWidth="1"/>
    <col min="10765" max="11010" width="9.140625" style="314"/>
    <col min="11011" max="11011" width="12" style="314" bestFit="1" customWidth="1"/>
    <col min="11012" max="11015" width="9.140625" style="314"/>
    <col min="11016" max="11016" width="17.28515625" style="314" customWidth="1"/>
    <col min="11017" max="11017" width="11.42578125" style="314" customWidth="1"/>
    <col min="11018" max="11019" width="11.28515625" style="314" customWidth="1"/>
    <col min="11020" max="11020" width="18.42578125" style="314" customWidth="1"/>
    <col min="11021" max="11266" width="9.140625" style="314"/>
    <col min="11267" max="11267" width="12" style="314" bestFit="1" customWidth="1"/>
    <col min="11268" max="11271" width="9.140625" style="314"/>
    <col min="11272" max="11272" width="17.28515625" style="314" customWidth="1"/>
    <col min="11273" max="11273" width="11.42578125" style="314" customWidth="1"/>
    <col min="11274" max="11275" width="11.28515625" style="314" customWidth="1"/>
    <col min="11276" max="11276" width="18.42578125" style="314" customWidth="1"/>
    <col min="11277" max="11522" width="9.140625" style="314"/>
    <col min="11523" max="11523" width="12" style="314" bestFit="1" customWidth="1"/>
    <col min="11524" max="11527" width="9.140625" style="314"/>
    <col min="11528" max="11528" width="17.28515625" style="314" customWidth="1"/>
    <col min="11529" max="11529" width="11.42578125" style="314" customWidth="1"/>
    <col min="11530" max="11531" width="11.28515625" style="314" customWidth="1"/>
    <col min="11532" max="11532" width="18.42578125" style="314" customWidth="1"/>
    <col min="11533" max="11778" width="9.140625" style="314"/>
    <col min="11779" max="11779" width="12" style="314" bestFit="1" customWidth="1"/>
    <col min="11780" max="11783" width="9.140625" style="314"/>
    <col min="11784" max="11784" width="17.28515625" style="314" customWidth="1"/>
    <col min="11785" max="11785" width="11.42578125" style="314" customWidth="1"/>
    <col min="11786" max="11787" width="11.28515625" style="314" customWidth="1"/>
    <col min="11788" max="11788" width="18.42578125" style="314" customWidth="1"/>
    <col min="11789" max="12034" width="9.140625" style="314"/>
    <col min="12035" max="12035" width="12" style="314" bestFit="1" customWidth="1"/>
    <col min="12036" max="12039" width="9.140625" style="314"/>
    <col min="12040" max="12040" width="17.28515625" style="314" customWidth="1"/>
    <col min="12041" max="12041" width="11.42578125" style="314" customWidth="1"/>
    <col min="12042" max="12043" width="11.28515625" style="314" customWidth="1"/>
    <col min="12044" max="12044" width="18.42578125" style="314" customWidth="1"/>
    <col min="12045" max="12290" width="9.140625" style="314"/>
    <col min="12291" max="12291" width="12" style="314" bestFit="1" customWidth="1"/>
    <col min="12292" max="12295" width="9.140625" style="314"/>
    <col min="12296" max="12296" width="17.28515625" style="314" customWidth="1"/>
    <col min="12297" max="12297" width="11.42578125" style="314" customWidth="1"/>
    <col min="12298" max="12299" width="11.28515625" style="314" customWidth="1"/>
    <col min="12300" max="12300" width="18.42578125" style="314" customWidth="1"/>
    <col min="12301" max="12546" width="9.140625" style="314"/>
    <col min="12547" max="12547" width="12" style="314" bestFit="1" customWidth="1"/>
    <col min="12548" max="12551" width="9.140625" style="314"/>
    <col min="12552" max="12552" width="17.28515625" style="314" customWidth="1"/>
    <col min="12553" max="12553" width="11.42578125" style="314" customWidth="1"/>
    <col min="12554" max="12555" width="11.28515625" style="314" customWidth="1"/>
    <col min="12556" max="12556" width="18.42578125" style="314" customWidth="1"/>
    <col min="12557" max="12802" width="9.140625" style="314"/>
    <col min="12803" max="12803" width="12" style="314" bestFit="1" customWidth="1"/>
    <col min="12804" max="12807" width="9.140625" style="314"/>
    <col min="12808" max="12808" width="17.28515625" style="314" customWidth="1"/>
    <col min="12809" max="12809" width="11.42578125" style="314" customWidth="1"/>
    <col min="12810" max="12811" width="11.28515625" style="314" customWidth="1"/>
    <col min="12812" max="12812" width="18.42578125" style="314" customWidth="1"/>
    <col min="12813" max="13058" width="9.140625" style="314"/>
    <col min="13059" max="13059" width="12" style="314" bestFit="1" customWidth="1"/>
    <col min="13060" max="13063" width="9.140625" style="314"/>
    <col min="13064" max="13064" width="17.28515625" style="314" customWidth="1"/>
    <col min="13065" max="13065" width="11.42578125" style="314" customWidth="1"/>
    <col min="13066" max="13067" width="11.28515625" style="314" customWidth="1"/>
    <col min="13068" max="13068" width="18.42578125" style="314" customWidth="1"/>
    <col min="13069" max="13314" width="9.140625" style="314"/>
    <col min="13315" max="13315" width="12" style="314" bestFit="1" customWidth="1"/>
    <col min="13316" max="13319" width="9.140625" style="314"/>
    <col min="13320" max="13320" width="17.28515625" style="314" customWidth="1"/>
    <col min="13321" max="13321" width="11.42578125" style="314" customWidth="1"/>
    <col min="13322" max="13323" width="11.28515625" style="314" customWidth="1"/>
    <col min="13324" max="13324" width="18.42578125" style="314" customWidth="1"/>
    <col min="13325" max="13570" width="9.140625" style="314"/>
    <col min="13571" max="13571" width="12" style="314" bestFit="1" customWidth="1"/>
    <col min="13572" max="13575" width="9.140625" style="314"/>
    <col min="13576" max="13576" width="17.28515625" style="314" customWidth="1"/>
    <col min="13577" max="13577" width="11.42578125" style="314" customWidth="1"/>
    <col min="13578" max="13579" width="11.28515625" style="314" customWidth="1"/>
    <col min="13580" max="13580" width="18.42578125" style="314" customWidth="1"/>
    <col min="13581" max="13826" width="9.140625" style="314"/>
    <col min="13827" max="13827" width="12" style="314" bestFit="1" customWidth="1"/>
    <col min="13828" max="13831" width="9.140625" style="314"/>
    <col min="13832" max="13832" width="17.28515625" style="314" customWidth="1"/>
    <col min="13833" max="13833" width="11.42578125" style="314" customWidth="1"/>
    <col min="13834" max="13835" width="11.28515625" style="314" customWidth="1"/>
    <col min="13836" max="13836" width="18.42578125" style="314" customWidth="1"/>
    <col min="13837" max="14082" width="9.140625" style="314"/>
    <col min="14083" max="14083" width="12" style="314" bestFit="1" customWidth="1"/>
    <col min="14084" max="14087" width="9.140625" style="314"/>
    <col min="14088" max="14088" width="17.28515625" style="314" customWidth="1"/>
    <col min="14089" max="14089" width="11.42578125" style="314" customWidth="1"/>
    <col min="14090" max="14091" width="11.28515625" style="314" customWidth="1"/>
    <col min="14092" max="14092" width="18.42578125" style="314" customWidth="1"/>
    <col min="14093" max="14338" width="9.140625" style="314"/>
    <col min="14339" max="14339" width="12" style="314" bestFit="1" customWidth="1"/>
    <col min="14340" max="14343" width="9.140625" style="314"/>
    <col min="14344" max="14344" width="17.28515625" style="314" customWidth="1"/>
    <col min="14345" max="14345" width="11.42578125" style="314" customWidth="1"/>
    <col min="14346" max="14347" width="11.28515625" style="314" customWidth="1"/>
    <col min="14348" max="14348" width="18.42578125" style="314" customWidth="1"/>
    <col min="14349" max="14594" width="9.140625" style="314"/>
    <col min="14595" max="14595" width="12" style="314" bestFit="1" customWidth="1"/>
    <col min="14596" max="14599" width="9.140625" style="314"/>
    <col min="14600" max="14600" width="17.28515625" style="314" customWidth="1"/>
    <col min="14601" max="14601" width="11.42578125" style="314" customWidth="1"/>
    <col min="14602" max="14603" width="11.28515625" style="314" customWidth="1"/>
    <col min="14604" max="14604" width="18.42578125" style="314" customWidth="1"/>
    <col min="14605" max="14850" width="9.140625" style="314"/>
    <col min="14851" max="14851" width="12" style="314" bestFit="1" customWidth="1"/>
    <col min="14852" max="14855" width="9.140625" style="314"/>
    <col min="14856" max="14856" width="17.28515625" style="314" customWidth="1"/>
    <col min="14857" max="14857" width="11.42578125" style="314" customWidth="1"/>
    <col min="14858" max="14859" width="11.28515625" style="314" customWidth="1"/>
    <col min="14860" max="14860" width="18.42578125" style="314" customWidth="1"/>
    <col min="14861" max="15106" width="9.140625" style="314"/>
    <col min="15107" max="15107" width="12" style="314" bestFit="1" customWidth="1"/>
    <col min="15108" max="15111" width="9.140625" style="314"/>
    <col min="15112" max="15112" width="17.28515625" style="314" customWidth="1"/>
    <col min="15113" max="15113" width="11.42578125" style="314" customWidth="1"/>
    <col min="15114" max="15115" width="11.28515625" style="314" customWidth="1"/>
    <col min="15116" max="15116" width="18.42578125" style="314" customWidth="1"/>
    <col min="15117" max="15362" width="9.140625" style="314"/>
    <col min="15363" max="15363" width="12" style="314" bestFit="1" customWidth="1"/>
    <col min="15364" max="15367" width="9.140625" style="314"/>
    <col min="15368" max="15368" width="17.28515625" style="314" customWidth="1"/>
    <col min="15369" max="15369" width="11.42578125" style="314" customWidth="1"/>
    <col min="15370" max="15371" width="11.28515625" style="314" customWidth="1"/>
    <col min="15372" max="15372" width="18.42578125" style="314" customWidth="1"/>
    <col min="15373" max="15618" width="9.140625" style="314"/>
    <col min="15619" max="15619" width="12" style="314" bestFit="1" customWidth="1"/>
    <col min="15620" max="15623" width="9.140625" style="314"/>
    <col min="15624" max="15624" width="17.28515625" style="314" customWidth="1"/>
    <col min="15625" max="15625" width="11.42578125" style="314" customWidth="1"/>
    <col min="15626" max="15627" width="11.28515625" style="314" customWidth="1"/>
    <col min="15628" max="15628" width="18.42578125" style="314" customWidth="1"/>
    <col min="15629" max="15874" width="9.140625" style="314"/>
    <col min="15875" max="15875" width="12" style="314" bestFit="1" customWidth="1"/>
    <col min="15876" max="15879" width="9.140625" style="314"/>
    <col min="15880" max="15880" width="17.28515625" style="314" customWidth="1"/>
    <col min="15881" max="15881" width="11.42578125" style="314" customWidth="1"/>
    <col min="15882" max="15883" width="11.28515625" style="314" customWidth="1"/>
    <col min="15884" max="15884" width="18.42578125" style="314" customWidth="1"/>
    <col min="15885" max="16130" width="9.140625" style="314"/>
    <col min="16131" max="16131" width="12" style="314" bestFit="1" customWidth="1"/>
    <col min="16132" max="16135" width="9.140625" style="314"/>
    <col min="16136" max="16136" width="17.28515625" style="314" customWidth="1"/>
    <col min="16137" max="16137" width="11.42578125" style="314" customWidth="1"/>
    <col min="16138" max="16139" width="11.28515625" style="314" customWidth="1"/>
    <col min="16140" max="16140" width="18.42578125" style="314" customWidth="1"/>
    <col min="16141" max="16384" width="9.140625" style="314"/>
  </cols>
  <sheetData>
    <row r="1" spans="1:12" ht="15.75">
      <c r="L1" s="523" t="s">
        <v>432</v>
      </c>
    </row>
    <row r="2" spans="1:12" ht="8.25" customHeight="1">
      <c r="L2" s="399"/>
    </row>
    <row r="3" spans="1:12" ht="15.75" customHeight="1">
      <c r="A3" s="400" t="str">
        <f>'Pg 4 P Sums'!C3</f>
        <v>NRA.N.011-050-2012/1F</v>
      </c>
      <c r="B3" s="401"/>
      <c r="C3" s="540"/>
      <c r="D3" s="403"/>
      <c r="E3" s="1401">
        <f>'F1  Cover'!L8</f>
        <v>44804</v>
      </c>
      <c r="F3" s="1401"/>
      <c r="G3" s="402"/>
      <c r="H3" s="1424" t="s">
        <v>433</v>
      </c>
      <c r="I3" s="1424"/>
      <c r="J3" s="1424"/>
      <c r="K3" s="1423">
        <f>'F1  Cover'!K8</f>
        <v>1</v>
      </c>
      <c r="L3" s="1451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58" t="s">
        <v>434</v>
      </c>
      <c r="B6" s="1359"/>
      <c r="C6" s="1359"/>
      <c r="D6" s="1359"/>
      <c r="E6" s="1359"/>
      <c r="F6" s="1359"/>
      <c r="G6" s="1359"/>
      <c r="H6" s="1359"/>
      <c r="I6" s="1359"/>
      <c r="J6" s="1359"/>
      <c r="K6" s="1359"/>
      <c r="L6" s="1360"/>
    </row>
    <row r="7" spans="1:12" ht="15.75" customHeight="1" thickBot="1">
      <c r="A7" s="526"/>
      <c r="L7" s="527"/>
    </row>
    <row r="8" spans="1:12" ht="15.75" customHeight="1" thickBot="1">
      <c r="A8" s="1452" t="s">
        <v>0</v>
      </c>
      <c r="B8" s="1453"/>
      <c r="C8" s="1453"/>
      <c r="D8" s="1453"/>
      <c r="E8" s="1453"/>
      <c r="F8" s="1453"/>
      <c r="G8" s="1453"/>
      <c r="H8" s="1454"/>
      <c r="I8" s="541" t="s">
        <v>1</v>
      </c>
      <c r="J8" s="541" t="s">
        <v>2</v>
      </c>
      <c r="K8" s="541" t="s">
        <v>3</v>
      </c>
      <c r="L8" s="542" t="s">
        <v>404</v>
      </c>
    </row>
    <row r="9" spans="1:12" ht="12.75" customHeight="1">
      <c r="A9" s="1455" t="s">
        <v>435</v>
      </c>
      <c r="B9" s="1456"/>
      <c r="C9" s="1456"/>
      <c r="D9" s="1456"/>
      <c r="E9" s="1456"/>
      <c r="F9" s="1456"/>
      <c r="G9" s="1456"/>
      <c r="H9" s="1457"/>
      <c r="I9" s="530"/>
      <c r="J9" s="530"/>
      <c r="K9" s="530"/>
      <c r="L9" s="531"/>
    </row>
    <row r="10" spans="1:12">
      <c r="A10" s="1441" t="s">
        <v>436</v>
      </c>
      <c r="B10" s="1442"/>
      <c r="C10" s="1442"/>
      <c r="D10" s="1442"/>
      <c r="E10" s="1442"/>
      <c r="F10" s="1442"/>
      <c r="G10" s="1442"/>
      <c r="H10" s="1443"/>
      <c r="I10" s="533"/>
      <c r="J10" s="533"/>
      <c r="K10" s="533"/>
      <c r="L10" s="537"/>
    </row>
    <row r="11" spans="1:12">
      <c r="A11" s="1444" t="s">
        <v>385</v>
      </c>
      <c r="B11" s="1445"/>
      <c r="C11" s="1445"/>
      <c r="D11" s="1445"/>
      <c r="E11" s="1445"/>
      <c r="F11" s="1445"/>
      <c r="G11" s="1445"/>
      <c r="H11" s="1446"/>
      <c r="I11" s="533"/>
      <c r="J11" s="533"/>
      <c r="K11" s="533"/>
      <c r="L11" s="537"/>
    </row>
    <row r="12" spans="1:12">
      <c r="A12" s="1444" t="s">
        <v>437</v>
      </c>
      <c r="B12" s="1445"/>
      <c r="C12" s="1445"/>
      <c r="D12" s="1445"/>
      <c r="E12" s="1445"/>
      <c r="F12" s="1445"/>
      <c r="G12" s="1445"/>
      <c r="H12" s="1446"/>
      <c r="I12" s="533"/>
      <c r="J12" s="533"/>
      <c r="K12" s="533"/>
      <c r="L12" s="537"/>
    </row>
    <row r="13" spans="1:12">
      <c r="A13" s="1444" t="s">
        <v>438</v>
      </c>
      <c r="B13" s="1445"/>
      <c r="C13" s="1445"/>
      <c r="D13" s="1445"/>
      <c r="E13" s="1445"/>
      <c r="F13" s="1445"/>
      <c r="G13" s="1445"/>
      <c r="H13" s="1446"/>
      <c r="I13" s="533"/>
      <c r="J13" s="533"/>
      <c r="K13" s="533"/>
      <c r="L13" s="537"/>
    </row>
    <row r="14" spans="1:12">
      <c r="A14" s="1444" t="s">
        <v>438</v>
      </c>
      <c r="B14" s="1445"/>
      <c r="C14" s="1445"/>
      <c r="D14" s="1445"/>
      <c r="E14" s="1445"/>
      <c r="F14" s="1445"/>
      <c r="G14" s="1445"/>
      <c r="H14" s="1446"/>
      <c r="I14" s="533"/>
      <c r="J14" s="533"/>
      <c r="K14" s="533"/>
      <c r="L14" s="537"/>
    </row>
    <row r="15" spans="1:12">
      <c r="A15" s="1444" t="s">
        <v>439</v>
      </c>
      <c r="B15" s="1445"/>
      <c r="C15" s="1445"/>
      <c r="D15" s="1445"/>
      <c r="E15" s="1445"/>
      <c r="F15" s="1445"/>
      <c r="G15" s="1445"/>
      <c r="H15" s="1446"/>
      <c r="I15" s="533" t="s">
        <v>440</v>
      </c>
      <c r="J15" s="533"/>
      <c r="K15" s="533"/>
      <c r="L15" s="537">
        <f>K15*J15</f>
        <v>0</v>
      </c>
    </row>
    <row r="16" spans="1:12">
      <c r="A16" s="1444" t="s">
        <v>441</v>
      </c>
      <c r="B16" s="1445"/>
      <c r="C16" s="1445"/>
      <c r="D16" s="1445"/>
      <c r="E16" s="1445"/>
      <c r="F16" s="1445"/>
      <c r="G16" s="1445"/>
      <c r="H16" s="1446"/>
      <c r="I16" s="533"/>
      <c r="J16" s="533"/>
      <c r="K16" s="533"/>
      <c r="L16" s="537"/>
    </row>
    <row r="17" spans="1:12">
      <c r="A17" s="1444" t="s">
        <v>442</v>
      </c>
      <c r="B17" s="1445"/>
      <c r="C17" s="1445"/>
      <c r="D17" s="1445"/>
      <c r="E17" s="1445"/>
      <c r="F17" s="1445"/>
      <c r="G17" s="1445"/>
      <c r="H17" s="1446"/>
      <c r="I17" s="533"/>
      <c r="J17" s="533"/>
      <c r="K17" s="533"/>
      <c r="L17" s="537"/>
    </row>
    <row r="18" spans="1:12">
      <c r="A18" s="1444" t="s">
        <v>442</v>
      </c>
      <c r="B18" s="1445"/>
      <c r="C18" s="1445"/>
      <c r="D18" s="1445"/>
      <c r="E18" s="1445"/>
      <c r="F18" s="1445"/>
      <c r="G18" s="1445"/>
      <c r="H18" s="1446"/>
      <c r="I18" s="533"/>
      <c r="J18" s="533"/>
      <c r="K18" s="533"/>
      <c r="L18" s="537"/>
    </row>
    <row r="19" spans="1:12">
      <c r="A19" s="1447" t="s">
        <v>144</v>
      </c>
      <c r="B19" s="1448"/>
      <c r="C19" s="1448"/>
      <c r="D19" s="1448"/>
      <c r="E19" s="1448"/>
      <c r="F19" s="1448"/>
      <c r="G19" s="1448"/>
      <c r="H19" s="1449"/>
      <c r="I19" s="533"/>
      <c r="J19" s="533"/>
      <c r="K19" s="533"/>
      <c r="L19" s="537"/>
    </row>
    <row r="20" spans="1:12">
      <c r="A20" s="1447" t="s">
        <v>443</v>
      </c>
      <c r="B20" s="1448"/>
      <c r="C20" s="1448"/>
      <c r="D20" s="1448"/>
      <c r="E20" s="1448"/>
      <c r="F20" s="1448"/>
      <c r="G20" s="1448"/>
      <c r="H20" s="1449"/>
      <c r="I20" s="533" t="s">
        <v>444</v>
      </c>
      <c r="J20" s="533"/>
      <c r="K20" s="533"/>
      <c r="L20" s="537">
        <f>K20*J20</f>
        <v>0</v>
      </c>
    </row>
    <row r="21" spans="1:12">
      <c r="A21" s="1447" t="s">
        <v>445</v>
      </c>
      <c r="B21" s="1448"/>
      <c r="C21" s="1448"/>
      <c r="D21" s="1448"/>
      <c r="E21" s="1448"/>
      <c r="F21" s="1448"/>
      <c r="G21" s="1448"/>
      <c r="H21" s="1449"/>
      <c r="I21" s="533"/>
      <c r="J21" s="533"/>
      <c r="K21" s="533"/>
      <c r="L21" s="537"/>
    </row>
    <row r="22" spans="1:12" ht="13.5" thickBot="1">
      <c r="A22" s="1447" t="s">
        <v>445</v>
      </c>
      <c r="B22" s="1448"/>
      <c r="C22" s="1448"/>
      <c r="D22" s="1448"/>
      <c r="E22" s="1448"/>
      <c r="F22" s="1448"/>
      <c r="G22" s="1448"/>
      <c r="H22" s="1449"/>
      <c r="I22" s="533"/>
      <c r="J22" s="533"/>
      <c r="K22" s="533"/>
      <c r="L22" s="537"/>
    </row>
    <row r="23" spans="1:12">
      <c r="A23" s="1447"/>
      <c r="B23" s="1448"/>
      <c r="C23" s="1448"/>
      <c r="D23" s="1448"/>
      <c r="E23" s="1448"/>
      <c r="F23" s="1448"/>
      <c r="G23" s="1448"/>
      <c r="H23" s="1449"/>
      <c r="I23" s="1438" t="s">
        <v>368</v>
      </c>
      <c r="J23" s="1439"/>
      <c r="K23" s="1440"/>
      <c r="L23" s="534">
        <f>SUM(L11:L22)</f>
        <v>0</v>
      </c>
    </row>
    <row r="24" spans="1:12">
      <c r="A24" s="1441" t="s">
        <v>446</v>
      </c>
      <c r="B24" s="1442"/>
      <c r="C24" s="1442"/>
      <c r="D24" s="1442"/>
      <c r="E24" s="1442"/>
      <c r="F24" s="1442"/>
      <c r="G24" s="1442"/>
      <c r="H24" s="1443"/>
      <c r="I24" s="533"/>
      <c r="J24" s="533"/>
      <c r="K24" s="533"/>
      <c r="L24" s="537"/>
    </row>
    <row r="25" spans="1:12">
      <c r="A25" s="1444" t="s">
        <v>385</v>
      </c>
      <c r="B25" s="1445"/>
      <c r="C25" s="1445"/>
      <c r="D25" s="1445"/>
      <c r="E25" s="1445"/>
      <c r="F25" s="1445"/>
      <c r="G25" s="1445"/>
      <c r="H25" s="1446"/>
      <c r="I25" s="533"/>
      <c r="J25" s="533"/>
      <c r="K25" s="533"/>
      <c r="L25" s="537"/>
    </row>
    <row r="26" spans="1:12">
      <c r="A26" s="1444" t="s">
        <v>437</v>
      </c>
      <c r="B26" s="1445"/>
      <c r="C26" s="1445"/>
      <c r="D26" s="1445"/>
      <c r="E26" s="1445"/>
      <c r="F26" s="1445"/>
      <c r="G26" s="1445"/>
      <c r="H26" s="1446"/>
      <c r="I26" s="533"/>
      <c r="J26" s="533"/>
      <c r="K26" s="533"/>
      <c r="L26" s="537"/>
    </row>
    <row r="27" spans="1:12">
      <c r="A27" s="1444" t="s">
        <v>438</v>
      </c>
      <c r="B27" s="1445"/>
      <c r="C27" s="1445"/>
      <c r="D27" s="1445"/>
      <c r="E27" s="1445"/>
      <c r="F27" s="1445"/>
      <c r="G27" s="1445"/>
      <c r="H27" s="1446"/>
      <c r="I27" s="533"/>
      <c r="J27" s="533"/>
      <c r="K27" s="533"/>
      <c r="L27" s="537"/>
    </row>
    <row r="28" spans="1:12">
      <c r="A28" s="1444" t="s">
        <v>438</v>
      </c>
      <c r="B28" s="1445"/>
      <c r="C28" s="1445"/>
      <c r="D28" s="1445"/>
      <c r="E28" s="1445"/>
      <c r="F28" s="1445"/>
      <c r="G28" s="1445"/>
      <c r="H28" s="1446"/>
      <c r="I28" s="533"/>
      <c r="J28" s="533"/>
      <c r="K28" s="533"/>
      <c r="L28" s="537"/>
    </row>
    <row r="29" spans="1:12">
      <c r="A29" s="1444" t="s">
        <v>441</v>
      </c>
      <c r="B29" s="1445"/>
      <c r="C29" s="1445"/>
      <c r="D29" s="1445"/>
      <c r="E29" s="1445"/>
      <c r="F29" s="1445"/>
      <c r="G29" s="1445"/>
      <c r="H29" s="1446"/>
      <c r="I29" s="533"/>
      <c r="J29" s="533"/>
      <c r="K29" s="533"/>
      <c r="L29" s="537"/>
    </row>
    <row r="30" spans="1:12">
      <c r="A30" s="1444" t="s">
        <v>441</v>
      </c>
      <c r="B30" s="1445"/>
      <c r="C30" s="1445"/>
      <c r="D30" s="1445"/>
      <c r="E30" s="1445"/>
      <c r="F30" s="1445"/>
      <c r="G30" s="1445"/>
      <c r="H30" s="1446"/>
      <c r="I30" s="533"/>
      <c r="J30" s="533"/>
      <c r="K30" s="533"/>
      <c r="L30" s="537"/>
    </row>
    <row r="31" spans="1:12">
      <c r="A31" s="1444" t="s">
        <v>442</v>
      </c>
      <c r="B31" s="1445"/>
      <c r="C31" s="1445"/>
      <c r="D31" s="1445"/>
      <c r="E31" s="1445"/>
      <c r="F31" s="1445"/>
      <c r="G31" s="1445"/>
      <c r="H31" s="1446"/>
      <c r="I31" s="533"/>
      <c r="J31" s="533"/>
      <c r="K31" s="533"/>
      <c r="L31" s="537"/>
    </row>
    <row r="32" spans="1:12">
      <c r="A32" s="1444" t="s">
        <v>442</v>
      </c>
      <c r="B32" s="1445"/>
      <c r="C32" s="1445"/>
      <c r="D32" s="1445"/>
      <c r="E32" s="1445"/>
      <c r="F32" s="1445"/>
      <c r="G32" s="1445"/>
      <c r="H32" s="1446"/>
      <c r="I32" s="533"/>
      <c r="J32" s="533"/>
      <c r="K32" s="533"/>
      <c r="L32" s="537"/>
    </row>
    <row r="33" spans="1:12">
      <c r="A33" s="1447" t="s">
        <v>144</v>
      </c>
      <c r="B33" s="1448"/>
      <c r="C33" s="1448"/>
      <c r="D33" s="1448"/>
      <c r="E33" s="1448"/>
      <c r="F33" s="1448"/>
      <c r="G33" s="1448"/>
      <c r="H33" s="1449"/>
      <c r="I33" s="533"/>
      <c r="J33" s="533"/>
      <c r="K33" s="533"/>
      <c r="L33" s="537"/>
    </row>
    <row r="34" spans="1:12">
      <c r="A34" s="1447" t="s">
        <v>447</v>
      </c>
      <c r="B34" s="1448"/>
      <c r="C34" s="1448"/>
      <c r="D34" s="1448"/>
      <c r="E34" s="1448"/>
      <c r="F34" s="1448"/>
      <c r="G34" s="1448"/>
      <c r="H34" s="1449"/>
      <c r="I34" s="533"/>
      <c r="J34" s="533"/>
      <c r="K34" s="533"/>
      <c r="L34" s="537"/>
    </row>
    <row r="35" spans="1:12">
      <c r="A35" s="1447" t="s">
        <v>445</v>
      </c>
      <c r="B35" s="1448"/>
      <c r="C35" s="1448"/>
      <c r="D35" s="1448"/>
      <c r="E35" s="1448"/>
      <c r="F35" s="1448"/>
      <c r="G35" s="1448"/>
      <c r="H35" s="1449"/>
      <c r="I35" s="533"/>
      <c r="J35" s="533"/>
      <c r="K35" s="533"/>
      <c r="L35" s="537"/>
    </row>
    <row r="36" spans="1:12" ht="13.5" thickBot="1">
      <c r="A36" s="1447" t="s">
        <v>445</v>
      </c>
      <c r="B36" s="1448"/>
      <c r="C36" s="1448"/>
      <c r="D36" s="1448"/>
      <c r="E36" s="1448"/>
      <c r="F36" s="1448"/>
      <c r="G36" s="1448"/>
      <c r="H36" s="1449"/>
      <c r="I36" s="533"/>
      <c r="J36" s="533"/>
      <c r="K36" s="533"/>
      <c r="L36" s="537"/>
    </row>
    <row r="37" spans="1:12" ht="13.5" thickBot="1">
      <c r="A37" s="1447"/>
      <c r="B37" s="1448"/>
      <c r="C37" s="1448"/>
      <c r="D37" s="1448"/>
      <c r="E37" s="1448"/>
      <c r="F37" s="1448"/>
      <c r="G37" s="1448"/>
      <c r="H37" s="1449"/>
      <c r="I37" s="1450" t="s">
        <v>368</v>
      </c>
      <c r="J37" s="1416"/>
      <c r="K37" s="1417"/>
      <c r="L37" s="543">
        <f>SUM(L25:L36)</f>
        <v>0</v>
      </c>
    </row>
    <row r="38" spans="1:12" ht="21" customHeight="1" thickBot="1">
      <c r="A38" s="1409" t="s">
        <v>448</v>
      </c>
      <c r="B38" s="1410"/>
      <c r="C38" s="1410"/>
      <c r="D38" s="1410"/>
      <c r="E38" s="1410"/>
      <c r="F38" s="1410"/>
      <c r="G38" s="1410"/>
      <c r="H38" s="1410"/>
      <c r="I38" s="1410"/>
      <c r="J38" s="1410"/>
      <c r="K38" s="1411"/>
      <c r="L38" s="544">
        <f>L23+L37</f>
        <v>0</v>
      </c>
    </row>
  </sheetData>
  <mergeCells count="37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E3:F3"/>
    <mergeCell ref="A27:H27"/>
    <mergeCell ref="A17:H17"/>
    <mergeCell ref="A18:H18"/>
    <mergeCell ref="A19:H19"/>
    <mergeCell ref="A20:H20"/>
    <mergeCell ref="A21:H21"/>
    <mergeCell ref="A22:H22"/>
    <mergeCell ref="A23:H23"/>
    <mergeCell ref="I23:K23"/>
    <mergeCell ref="A24:H24"/>
    <mergeCell ref="A25:H25"/>
    <mergeCell ref="A26:H26"/>
    <mergeCell ref="A38:K38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  <mergeCell ref="A37:H37"/>
    <mergeCell ref="I37:K37"/>
  </mergeCells>
  <pageMargins left="0.35433070866141736" right="0.35433070866141736" top="0.43307086614173229" bottom="0" header="0.51181102362204722" footer="0.27559055118110237"/>
  <pageSetup paperSize="9" fitToHeight="0" orientation="landscape" blackAndWhite="1" r:id="rId1"/>
  <headerFooter alignWithMargins="0">
    <oddHeader>&amp;L&amp;"Calibri"&amp;10&amp;K000000Sensitivity - General&amp;1#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2">
    <tabColor theme="9"/>
    <pageSetUpPr fitToPage="1"/>
  </sheetPr>
  <dimension ref="A1:L33"/>
  <sheetViews>
    <sheetView workbookViewId="0"/>
  </sheetViews>
  <sheetFormatPr defaultRowHeight="12.75"/>
  <cols>
    <col min="1" max="2" width="9.140625" style="314"/>
    <col min="3" max="3" width="12" style="314" bestFit="1" customWidth="1"/>
    <col min="4" max="7" width="9.140625" style="314"/>
    <col min="8" max="8" width="17.28515625" style="314" customWidth="1"/>
    <col min="9" max="11" width="9.7109375" style="314" customWidth="1"/>
    <col min="12" max="12" width="15" style="314" customWidth="1"/>
    <col min="13" max="258" width="9.140625" style="314"/>
    <col min="259" max="259" width="12" style="314" bestFit="1" customWidth="1"/>
    <col min="260" max="263" width="9.140625" style="314"/>
    <col min="264" max="264" width="17.28515625" style="314" customWidth="1"/>
    <col min="265" max="267" width="9.7109375" style="314" customWidth="1"/>
    <col min="268" max="268" width="15" style="314" customWidth="1"/>
    <col min="269" max="514" width="9.140625" style="314"/>
    <col min="515" max="515" width="12" style="314" bestFit="1" customWidth="1"/>
    <col min="516" max="519" width="9.140625" style="314"/>
    <col min="520" max="520" width="17.28515625" style="314" customWidth="1"/>
    <col min="521" max="523" width="9.7109375" style="314" customWidth="1"/>
    <col min="524" max="524" width="15" style="314" customWidth="1"/>
    <col min="525" max="770" width="9.140625" style="314"/>
    <col min="771" max="771" width="12" style="314" bestFit="1" customWidth="1"/>
    <col min="772" max="775" width="9.140625" style="314"/>
    <col min="776" max="776" width="17.28515625" style="314" customWidth="1"/>
    <col min="777" max="779" width="9.7109375" style="314" customWidth="1"/>
    <col min="780" max="780" width="15" style="314" customWidth="1"/>
    <col min="781" max="1026" width="9.140625" style="314"/>
    <col min="1027" max="1027" width="12" style="314" bestFit="1" customWidth="1"/>
    <col min="1028" max="1031" width="9.140625" style="314"/>
    <col min="1032" max="1032" width="17.28515625" style="314" customWidth="1"/>
    <col min="1033" max="1035" width="9.7109375" style="314" customWidth="1"/>
    <col min="1036" max="1036" width="15" style="314" customWidth="1"/>
    <col min="1037" max="1282" width="9.140625" style="314"/>
    <col min="1283" max="1283" width="12" style="314" bestFit="1" customWidth="1"/>
    <col min="1284" max="1287" width="9.140625" style="314"/>
    <col min="1288" max="1288" width="17.28515625" style="314" customWidth="1"/>
    <col min="1289" max="1291" width="9.7109375" style="314" customWidth="1"/>
    <col min="1292" max="1292" width="15" style="314" customWidth="1"/>
    <col min="1293" max="1538" width="9.140625" style="314"/>
    <col min="1539" max="1539" width="12" style="314" bestFit="1" customWidth="1"/>
    <col min="1540" max="1543" width="9.140625" style="314"/>
    <col min="1544" max="1544" width="17.28515625" style="314" customWidth="1"/>
    <col min="1545" max="1547" width="9.7109375" style="314" customWidth="1"/>
    <col min="1548" max="1548" width="15" style="314" customWidth="1"/>
    <col min="1549" max="1794" width="9.140625" style="314"/>
    <col min="1795" max="1795" width="12" style="314" bestFit="1" customWidth="1"/>
    <col min="1796" max="1799" width="9.140625" style="314"/>
    <col min="1800" max="1800" width="17.28515625" style="314" customWidth="1"/>
    <col min="1801" max="1803" width="9.7109375" style="314" customWidth="1"/>
    <col min="1804" max="1804" width="15" style="314" customWidth="1"/>
    <col min="1805" max="2050" width="9.140625" style="314"/>
    <col min="2051" max="2051" width="12" style="314" bestFit="1" customWidth="1"/>
    <col min="2052" max="2055" width="9.140625" style="314"/>
    <col min="2056" max="2056" width="17.28515625" style="314" customWidth="1"/>
    <col min="2057" max="2059" width="9.7109375" style="314" customWidth="1"/>
    <col min="2060" max="2060" width="15" style="314" customWidth="1"/>
    <col min="2061" max="2306" width="9.140625" style="314"/>
    <col min="2307" max="2307" width="12" style="314" bestFit="1" customWidth="1"/>
    <col min="2308" max="2311" width="9.140625" style="314"/>
    <col min="2312" max="2312" width="17.28515625" style="314" customWidth="1"/>
    <col min="2313" max="2315" width="9.7109375" style="314" customWidth="1"/>
    <col min="2316" max="2316" width="15" style="314" customWidth="1"/>
    <col min="2317" max="2562" width="9.140625" style="314"/>
    <col min="2563" max="2563" width="12" style="314" bestFit="1" customWidth="1"/>
    <col min="2564" max="2567" width="9.140625" style="314"/>
    <col min="2568" max="2568" width="17.28515625" style="314" customWidth="1"/>
    <col min="2569" max="2571" width="9.7109375" style="314" customWidth="1"/>
    <col min="2572" max="2572" width="15" style="314" customWidth="1"/>
    <col min="2573" max="2818" width="9.140625" style="314"/>
    <col min="2819" max="2819" width="12" style="314" bestFit="1" customWidth="1"/>
    <col min="2820" max="2823" width="9.140625" style="314"/>
    <col min="2824" max="2824" width="17.28515625" style="314" customWidth="1"/>
    <col min="2825" max="2827" width="9.7109375" style="314" customWidth="1"/>
    <col min="2828" max="2828" width="15" style="314" customWidth="1"/>
    <col min="2829" max="3074" width="9.140625" style="314"/>
    <col min="3075" max="3075" width="12" style="314" bestFit="1" customWidth="1"/>
    <col min="3076" max="3079" width="9.140625" style="314"/>
    <col min="3080" max="3080" width="17.28515625" style="314" customWidth="1"/>
    <col min="3081" max="3083" width="9.7109375" style="314" customWidth="1"/>
    <col min="3084" max="3084" width="15" style="314" customWidth="1"/>
    <col min="3085" max="3330" width="9.140625" style="314"/>
    <col min="3331" max="3331" width="12" style="314" bestFit="1" customWidth="1"/>
    <col min="3332" max="3335" width="9.140625" style="314"/>
    <col min="3336" max="3336" width="17.28515625" style="314" customWidth="1"/>
    <col min="3337" max="3339" width="9.7109375" style="314" customWidth="1"/>
    <col min="3340" max="3340" width="15" style="314" customWidth="1"/>
    <col min="3341" max="3586" width="9.140625" style="314"/>
    <col min="3587" max="3587" width="12" style="314" bestFit="1" customWidth="1"/>
    <col min="3588" max="3591" width="9.140625" style="314"/>
    <col min="3592" max="3592" width="17.28515625" style="314" customWidth="1"/>
    <col min="3593" max="3595" width="9.7109375" style="314" customWidth="1"/>
    <col min="3596" max="3596" width="15" style="314" customWidth="1"/>
    <col min="3597" max="3842" width="9.140625" style="314"/>
    <col min="3843" max="3843" width="12" style="314" bestFit="1" customWidth="1"/>
    <col min="3844" max="3847" width="9.140625" style="314"/>
    <col min="3848" max="3848" width="17.28515625" style="314" customWidth="1"/>
    <col min="3849" max="3851" width="9.7109375" style="314" customWidth="1"/>
    <col min="3852" max="3852" width="15" style="314" customWidth="1"/>
    <col min="3853" max="4098" width="9.140625" style="314"/>
    <col min="4099" max="4099" width="12" style="314" bestFit="1" customWidth="1"/>
    <col min="4100" max="4103" width="9.140625" style="314"/>
    <col min="4104" max="4104" width="17.28515625" style="314" customWidth="1"/>
    <col min="4105" max="4107" width="9.7109375" style="314" customWidth="1"/>
    <col min="4108" max="4108" width="15" style="314" customWidth="1"/>
    <col min="4109" max="4354" width="9.140625" style="314"/>
    <col min="4355" max="4355" width="12" style="314" bestFit="1" customWidth="1"/>
    <col min="4356" max="4359" width="9.140625" style="314"/>
    <col min="4360" max="4360" width="17.28515625" style="314" customWidth="1"/>
    <col min="4361" max="4363" width="9.7109375" style="314" customWidth="1"/>
    <col min="4364" max="4364" width="15" style="314" customWidth="1"/>
    <col min="4365" max="4610" width="9.140625" style="314"/>
    <col min="4611" max="4611" width="12" style="314" bestFit="1" customWidth="1"/>
    <col min="4612" max="4615" width="9.140625" style="314"/>
    <col min="4616" max="4616" width="17.28515625" style="314" customWidth="1"/>
    <col min="4617" max="4619" width="9.7109375" style="314" customWidth="1"/>
    <col min="4620" max="4620" width="15" style="314" customWidth="1"/>
    <col min="4621" max="4866" width="9.140625" style="314"/>
    <col min="4867" max="4867" width="12" style="314" bestFit="1" customWidth="1"/>
    <col min="4868" max="4871" width="9.140625" style="314"/>
    <col min="4872" max="4872" width="17.28515625" style="314" customWidth="1"/>
    <col min="4873" max="4875" width="9.7109375" style="314" customWidth="1"/>
    <col min="4876" max="4876" width="15" style="314" customWidth="1"/>
    <col min="4877" max="5122" width="9.140625" style="314"/>
    <col min="5123" max="5123" width="12" style="314" bestFit="1" customWidth="1"/>
    <col min="5124" max="5127" width="9.140625" style="314"/>
    <col min="5128" max="5128" width="17.28515625" style="314" customWidth="1"/>
    <col min="5129" max="5131" width="9.7109375" style="314" customWidth="1"/>
    <col min="5132" max="5132" width="15" style="314" customWidth="1"/>
    <col min="5133" max="5378" width="9.140625" style="314"/>
    <col min="5379" max="5379" width="12" style="314" bestFit="1" customWidth="1"/>
    <col min="5380" max="5383" width="9.140625" style="314"/>
    <col min="5384" max="5384" width="17.28515625" style="314" customWidth="1"/>
    <col min="5385" max="5387" width="9.7109375" style="314" customWidth="1"/>
    <col min="5388" max="5388" width="15" style="314" customWidth="1"/>
    <col min="5389" max="5634" width="9.140625" style="314"/>
    <col min="5635" max="5635" width="12" style="314" bestFit="1" customWidth="1"/>
    <col min="5636" max="5639" width="9.140625" style="314"/>
    <col min="5640" max="5640" width="17.28515625" style="314" customWidth="1"/>
    <col min="5641" max="5643" width="9.7109375" style="314" customWidth="1"/>
    <col min="5644" max="5644" width="15" style="314" customWidth="1"/>
    <col min="5645" max="5890" width="9.140625" style="314"/>
    <col min="5891" max="5891" width="12" style="314" bestFit="1" customWidth="1"/>
    <col min="5892" max="5895" width="9.140625" style="314"/>
    <col min="5896" max="5896" width="17.28515625" style="314" customWidth="1"/>
    <col min="5897" max="5899" width="9.7109375" style="314" customWidth="1"/>
    <col min="5900" max="5900" width="15" style="314" customWidth="1"/>
    <col min="5901" max="6146" width="9.140625" style="314"/>
    <col min="6147" max="6147" width="12" style="314" bestFit="1" customWidth="1"/>
    <col min="6148" max="6151" width="9.140625" style="314"/>
    <col min="6152" max="6152" width="17.28515625" style="314" customWidth="1"/>
    <col min="6153" max="6155" width="9.7109375" style="314" customWidth="1"/>
    <col min="6156" max="6156" width="15" style="314" customWidth="1"/>
    <col min="6157" max="6402" width="9.140625" style="314"/>
    <col min="6403" max="6403" width="12" style="314" bestFit="1" customWidth="1"/>
    <col min="6404" max="6407" width="9.140625" style="314"/>
    <col min="6408" max="6408" width="17.28515625" style="314" customWidth="1"/>
    <col min="6409" max="6411" width="9.7109375" style="314" customWidth="1"/>
    <col min="6412" max="6412" width="15" style="314" customWidth="1"/>
    <col min="6413" max="6658" width="9.140625" style="314"/>
    <col min="6659" max="6659" width="12" style="314" bestFit="1" customWidth="1"/>
    <col min="6660" max="6663" width="9.140625" style="314"/>
    <col min="6664" max="6664" width="17.28515625" style="314" customWidth="1"/>
    <col min="6665" max="6667" width="9.7109375" style="314" customWidth="1"/>
    <col min="6668" max="6668" width="15" style="314" customWidth="1"/>
    <col min="6669" max="6914" width="9.140625" style="314"/>
    <col min="6915" max="6915" width="12" style="314" bestFit="1" customWidth="1"/>
    <col min="6916" max="6919" width="9.140625" style="314"/>
    <col min="6920" max="6920" width="17.28515625" style="314" customWidth="1"/>
    <col min="6921" max="6923" width="9.7109375" style="314" customWidth="1"/>
    <col min="6924" max="6924" width="15" style="314" customWidth="1"/>
    <col min="6925" max="7170" width="9.140625" style="314"/>
    <col min="7171" max="7171" width="12" style="314" bestFit="1" customWidth="1"/>
    <col min="7172" max="7175" width="9.140625" style="314"/>
    <col min="7176" max="7176" width="17.28515625" style="314" customWidth="1"/>
    <col min="7177" max="7179" width="9.7109375" style="314" customWidth="1"/>
    <col min="7180" max="7180" width="15" style="314" customWidth="1"/>
    <col min="7181" max="7426" width="9.140625" style="314"/>
    <col min="7427" max="7427" width="12" style="314" bestFit="1" customWidth="1"/>
    <col min="7428" max="7431" width="9.140625" style="314"/>
    <col min="7432" max="7432" width="17.28515625" style="314" customWidth="1"/>
    <col min="7433" max="7435" width="9.7109375" style="314" customWidth="1"/>
    <col min="7436" max="7436" width="15" style="314" customWidth="1"/>
    <col min="7437" max="7682" width="9.140625" style="314"/>
    <col min="7683" max="7683" width="12" style="314" bestFit="1" customWidth="1"/>
    <col min="7684" max="7687" width="9.140625" style="314"/>
    <col min="7688" max="7688" width="17.28515625" style="314" customWidth="1"/>
    <col min="7689" max="7691" width="9.7109375" style="314" customWidth="1"/>
    <col min="7692" max="7692" width="15" style="314" customWidth="1"/>
    <col min="7693" max="7938" width="9.140625" style="314"/>
    <col min="7939" max="7939" width="12" style="314" bestFit="1" customWidth="1"/>
    <col min="7940" max="7943" width="9.140625" style="314"/>
    <col min="7944" max="7944" width="17.28515625" style="314" customWidth="1"/>
    <col min="7945" max="7947" width="9.7109375" style="314" customWidth="1"/>
    <col min="7948" max="7948" width="15" style="314" customWidth="1"/>
    <col min="7949" max="8194" width="9.140625" style="314"/>
    <col min="8195" max="8195" width="12" style="314" bestFit="1" customWidth="1"/>
    <col min="8196" max="8199" width="9.140625" style="314"/>
    <col min="8200" max="8200" width="17.28515625" style="314" customWidth="1"/>
    <col min="8201" max="8203" width="9.7109375" style="314" customWidth="1"/>
    <col min="8204" max="8204" width="15" style="314" customWidth="1"/>
    <col min="8205" max="8450" width="9.140625" style="314"/>
    <col min="8451" max="8451" width="12" style="314" bestFit="1" customWidth="1"/>
    <col min="8452" max="8455" width="9.140625" style="314"/>
    <col min="8456" max="8456" width="17.28515625" style="314" customWidth="1"/>
    <col min="8457" max="8459" width="9.7109375" style="314" customWidth="1"/>
    <col min="8460" max="8460" width="15" style="314" customWidth="1"/>
    <col min="8461" max="8706" width="9.140625" style="314"/>
    <col min="8707" max="8707" width="12" style="314" bestFit="1" customWidth="1"/>
    <col min="8708" max="8711" width="9.140625" style="314"/>
    <col min="8712" max="8712" width="17.28515625" style="314" customWidth="1"/>
    <col min="8713" max="8715" width="9.7109375" style="314" customWidth="1"/>
    <col min="8716" max="8716" width="15" style="314" customWidth="1"/>
    <col min="8717" max="8962" width="9.140625" style="314"/>
    <col min="8963" max="8963" width="12" style="314" bestFit="1" customWidth="1"/>
    <col min="8964" max="8967" width="9.140625" style="314"/>
    <col min="8968" max="8968" width="17.28515625" style="314" customWidth="1"/>
    <col min="8969" max="8971" width="9.7109375" style="314" customWidth="1"/>
    <col min="8972" max="8972" width="15" style="314" customWidth="1"/>
    <col min="8973" max="9218" width="9.140625" style="314"/>
    <col min="9219" max="9219" width="12" style="314" bestFit="1" customWidth="1"/>
    <col min="9220" max="9223" width="9.140625" style="314"/>
    <col min="9224" max="9224" width="17.28515625" style="314" customWidth="1"/>
    <col min="9225" max="9227" width="9.7109375" style="314" customWidth="1"/>
    <col min="9228" max="9228" width="15" style="314" customWidth="1"/>
    <col min="9229" max="9474" width="9.140625" style="314"/>
    <col min="9475" max="9475" width="12" style="314" bestFit="1" customWidth="1"/>
    <col min="9476" max="9479" width="9.140625" style="314"/>
    <col min="9480" max="9480" width="17.28515625" style="314" customWidth="1"/>
    <col min="9481" max="9483" width="9.7109375" style="314" customWidth="1"/>
    <col min="9484" max="9484" width="15" style="314" customWidth="1"/>
    <col min="9485" max="9730" width="9.140625" style="314"/>
    <col min="9731" max="9731" width="12" style="314" bestFit="1" customWidth="1"/>
    <col min="9732" max="9735" width="9.140625" style="314"/>
    <col min="9736" max="9736" width="17.28515625" style="314" customWidth="1"/>
    <col min="9737" max="9739" width="9.7109375" style="314" customWidth="1"/>
    <col min="9740" max="9740" width="15" style="314" customWidth="1"/>
    <col min="9741" max="9986" width="9.140625" style="314"/>
    <col min="9987" max="9987" width="12" style="314" bestFit="1" customWidth="1"/>
    <col min="9988" max="9991" width="9.140625" style="314"/>
    <col min="9992" max="9992" width="17.28515625" style="314" customWidth="1"/>
    <col min="9993" max="9995" width="9.7109375" style="314" customWidth="1"/>
    <col min="9996" max="9996" width="15" style="314" customWidth="1"/>
    <col min="9997" max="10242" width="9.140625" style="314"/>
    <col min="10243" max="10243" width="12" style="314" bestFit="1" customWidth="1"/>
    <col min="10244" max="10247" width="9.140625" style="314"/>
    <col min="10248" max="10248" width="17.28515625" style="314" customWidth="1"/>
    <col min="10249" max="10251" width="9.7109375" style="314" customWidth="1"/>
    <col min="10252" max="10252" width="15" style="314" customWidth="1"/>
    <col min="10253" max="10498" width="9.140625" style="314"/>
    <col min="10499" max="10499" width="12" style="314" bestFit="1" customWidth="1"/>
    <col min="10500" max="10503" width="9.140625" style="314"/>
    <col min="10504" max="10504" width="17.28515625" style="314" customWidth="1"/>
    <col min="10505" max="10507" width="9.7109375" style="314" customWidth="1"/>
    <col min="10508" max="10508" width="15" style="314" customWidth="1"/>
    <col min="10509" max="10754" width="9.140625" style="314"/>
    <col min="10755" max="10755" width="12" style="314" bestFit="1" customWidth="1"/>
    <col min="10756" max="10759" width="9.140625" style="314"/>
    <col min="10760" max="10760" width="17.28515625" style="314" customWidth="1"/>
    <col min="10761" max="10763" width="9.7109375" style="314" customWidth="1"/>
    <col min="10764" max="10764" width="15" style="314" customWidth="1"/>
    <col min="10765" max="11010" width="9.140625" style="314"/>
    <col min="11011" max="11011" width="12" style="314" bestFit="1" customWidth="1"/>
    <col min="11012" max="11015" width="9.140625" style="314"/>
    <col min="11016" max="11016" width="17.28515625" style="314" customWidth="1"/>
    <col min="11017" max="11019" width="9.7109375" style="314" customWidth="1"/>
    <col min="11020" max="11020" width="15" style="314" customWidth="1"/>
    <col min="11021" max="11266" width="9.140625" style="314"/>
    <col min="11267" max="11267" width="12" style="314" bestFit="1" customWidth="1"/>
    <col min="11268" max="11271" width="9.140625" style="314"/>
    <col min="11272" max="11272" width="17.28515625" style="314" customWidth="1"/>
    <col min="11273" max="11275" width="9.7109375" style="314" customWidth="1"/>
    <col min="11276" max="11276" width="15" style="314" customWidth="1"/>
    <col min="11277" max="11522" width="9.140625" style="314"/>
    <col min="11523" max="11523" width="12" style="314" bestFit="1" customWidth="1"/>
    <col min="11524" max="11527" width="9.140625" style="314"/>
    <col min="11528" max="11528" width="17.28515625" style="314" customWidth="1"/>
    <col min="11529" max="11531" width="9.7109375" style="314" customWidth="1"/>
    <col min="11532" max="11532" width="15" style="314" customWidth="1"/>
    <col min="11533" max="11778" width="9.140625" style="314"/>
    <col min="11779" max="11779" width="12" style="314" bestFit="1" customWidth="1"/>
    <col min="11780" max="11783" width="9.140625" style="314"/>
    <col min="11784" max="11784" width="17.28515625" style="314" customWidth="1"/>
    <col min="11785" max="11787" width="9.7109375" style="314" customWidth="1"/>
    <col min="11788" max="11788" width="15" style="314" customWidth="1"/>
    <col min="11789" max="12034" width="9.140625" style="314"/>
    <col min="12035" max="12035" width="12" style="314" bestFit="1" customWidth="1"/>
    <col min="12036" max="12039" width="9.140625" style="314"/>
    <col min="12040" max="12040" width="17.28515625" style="314" customWidth="1"/>
    <col min="12041" max="12043" width="9.7109375" style="314" customWidth="1"/>
    <col min="12044" max="12044" width="15" style="314" customWidth="1"/>
    <col min="12045" max="12290" width="9.140625" style="314"/>
    <col min="12291" max="12291" width="12" style="314" bestFit="1" customWidth="1"/>
    <col min="12292" max="12295" width="9.140625" style="314"/>
    <col min="12296" max="12296" width="17.28515625" style="314" customWidth="1"/>
    <col min="12297" max="12299" width="9.7109375" style="314" customWidth="1"/>
    <col min="12300" max="12300" width="15" style="314" customWidth="1"/>
    <col min="12301" max="12546" width="9.140625" style="314"/>
    <col min="12547" max="12547" width="12" style="314" bestFit="1" customWidth="1"/>
    <col min="12548" max="12551" width="9.140625" style="314"/>
    <col min="12552" max="12552" width="17.28515625" style="314" customWidth="1"/>
    <col min="12553" max="12555" width="9.7109375" style="314" customWidth="1"/>
    <col min="12556" max="12556" width="15" style="314" customWidth="1"/>
    <col min="12557" max="12802" width="9.140625" style="314"/>
    <col min="12803" max="12803" width="12" style="314" bestFit="1" customWidth="1"/>
    <col min="12804" max="12807" width="9.140625" style="314"/>
    <col min="12808" max="12808" width="17.28515625" style="314" customWidth="1"/>
    <col min="12809" max="12811" width="9.7109375" style="314" customWidth="1"/>
    <col min="12812" max="12812" width="15" style="314" customWidth="1"/>
    <col min="12813" max="13058" width="9.140625" style="314"/>
    <col min="13059" max="13059" width="12" style="314" bestFit="1" customWidth="1"/>
    <col min="13060" max="13063" width="9.140625" style="314"/>
    <col min="13064" max="13064" width="17.28515625" style="314" customWidth="1"/>
    <col min="13065" max="13067" width="9.7109375" style="314" customWidth="1"/>
    <col min="13068" max="13068" width="15" style="314" customWidth="1"/>
    <col min="13069" max="13314" width="9.140625" style="314"/>
    <col min="13315" max="13315" width="12" style="314" bestFit="1" customWidth="1"/>
    <col min="13316" max="13319" width="9.140625" style="314"/>
    <col min="13320" max="13320" width="17.28515625" style="314" customWidth="1"/>
    <col min="13321" max="13323" width="9.7109375" style="314" customWidth="1"/>
    <col min="13324" max="13324" width="15" style="314" customWidth="1"/>
    <col min="13325" max="13570" width="9.140625" style="314"/>
    <col min="13571" max="13571" width="12" style="314" bestFit="1" customWidth="1"/>
    <col min="13572" max="13575" width="9.140625" style="314"/>
    <col min="13576" max="13576" width="17.28515625" style="314" customWidth="1"/>
    <col min="13577" max="13579" width="9.7109375" style="314" customWidth="1"/>
    <col min="13580" max="13580" width="15" style="314" customWidth="1"/>
    <col min="13581" max="13826" width="9.140625" style="314"/>
    <col min="13827" max="13827" width="12" style="314" bestFit="1" customWidth="1"/>
    <col min="13828" max="13831" width="9.140625" style="314"/>
    <col min="13832" max="13832" width="17.28515625" style="314" customWidth="1"/>
    <col min="13833" max="13835" width="9.7109375" style="314" customWidth="1"/>
    <col min="13836" max="13836" width="15" style="314" customWidth="1"/>
    <col min="13837" max="14082" width="9.140625" style="314"/>
    <col min="14083" max="14083" width="12" style="314" bestFit="1" customWidth="1"/>
    <col min="14084" max="14087" width="9.140625" style="314"/>
    <col min="14088" max="14088" width="17.28515625" style="314" customWidth="1"/>
    <col min="14089" max="14091" width="9.7109375" style="314" customWidth="1"/>
    <col min="14092" max="14092" width="15" style="314" customWidth="1"/>
    <col min="14093" max="14338" width="9.140625" style="314"/>
    <col min="14339" max="14339" width="12" style="314" bestFit="1" customWidth="1"/>
    <col min="14340" max="14343" width="9.140625" style="314"/>
    <col min="14344" max="14344" width="17.28515625" style="314" customWidth="1"/>
    <col min="14345" max="14347" width="9.7109375" style="314" customWidth="1"/>
    <col min="14348" max="14348" width="15" style="314" customWidth="1"/>
    <col min="14349" max="14594" width="9.140625" style="314"/>
    <col min="14595" max="14595" width="12" style="314" bestFit="1" customWidth="1"/>
    <col min="14596" max="14599" width="9.140625" style="314"/>
    <col min="14600" max="14600" width="17.28515625" style="314" customWidth="1"/>
    <col min="14601" max="14603" width="9.7109375" style="314" customWidth="1"/>
    <col min="14604" max="14604" width="15" style="314" customWidth="1"/>
    <col min="14605" max="14850" width="9.140625" style="314"/>
    <col min="14851" max="14851" width="12" style="314" bestFit="1" customWidth="1"/>
    <col min="14852" max="14855" width="9.140625" style="314"/>
    <col min="14856" max="14856" width="17.28515625" style="314" customWidth="1"/>
    <col min="14857" max="14859" width="9.7109375" style="314" customWidth="1"/>
    <col min="14860" max="14860" width="15" style="314" customWidth="1"/>
    <col min="14861" max="15106" width="9.140625" style="314"/>
    <col min="15107" max="15107" width="12" style="314" bestFit="1" customWidth="1"/>
    <col min="15108" max="15111" width="9.140625" style="314"/>
    <col min="15112" max="15112" width="17.28515625" style="314" customWidth="1"/>
    <col min="15113" max="15115" width="9.7109375" style="314" customWidth="1"/>
    <col min="15116" max="15116" width="15" style="314" customWidth="1"/>
    <col min="15117" max="15362" width="9.140625" style="314"/>
    <col min="15363" max="15363" width="12" style="314" bestFit="1" customWidth="1"/>
    <col min="15364" max="15367" width="9.140625" style="314"/>
    <col min="15368" max="15368" width="17.28515625" style="314" customWidth="1"/>
    <col min="15369" max="15371" width="9.7109375" style="314" customWidth="1"/>
    <col min="15372" max="15372" width="15" style="314" customWidth="1"/>
    <col min="15373" max="15618" width="9.140625" style="314"/>
    <col min="15619" max="15619" width="12" style="314" bestFit="1" customWidth="1"/>
    <col min="15620" max="15623" width="9.140625" style="314"/>
    <col min="15624" max="15624" width="17.28515625" style="314" customWidth="1"/>
    <col min="15625" max="15627" width="9.7109375" style="314" customWidth="1"/>
    <col min="15628" max="15628" width="15" style="314" customWidth="1"/>
    <col min="15629" max="15874" width="9.140625" style="314"/>
    <col min="15875" max="15875" width="12" style="314" bestFit="1" customWidth="1"/>
    <col min="15876" max="15879" width="9.140625" style="314"/>
    <col min="15880" max="15880" width="17.28515625" style="314" customWidth="1"/>
    <col min="15881" max="15883" width="9.7109375" style="314" customWidth="1"/>
    <col min="15884" max="15884" width="15" style="314" customWidth="1"/>
    <col min="15885" max="16130" width="9.140625" style="314"/>
    <col min="16131" max="16131" width="12" style="314" bestFit="1" customWidth="1"/>
    <col min="16132" max="16135" width="9.140625" style="314"/>
    <col min="16136" max="16136" width="17.28515625" style="314" customWidth="1"/>
    <col min="16137" max="16139" width="9.7109375" style="314" customWidth="1"/>
    <col min="16140" max="16140" width="15" style="314" customWidth="1"/>
    <col min="16141" max="16384" width="9.140625" style="314"/>
  </cols>
  <sheetData>
    <row r="1" spans="1:12" ht="15.75">
      <c r="L1" s="523" t="s">
        <v>449</v>
      </c>
    </row>
    <row r="2" spans="1:12" ht="8.25" customHeight="1">
      <c r="L2" s="399"/>
    </row>
    <row r="3" spans="1:12" ht="15.75" customHeight="1">
      <c r="A3" s="400" t="str">
        <f>'Pg 5 Add. Duties'!A3</f>
        <v>NRA.N.011-050-2012/1F</v>
      </c>
      <c r="B3" s="401"/>
      <c r="C3" s="524"/>
      <c r="D3" s="403"/>
      <c r="E3" s="403"/>
      <c r="F3" s="1401">
        <f>'F1  Cover'!L8</f>
        <v>44804</v>
      </c>
      <c r="G3" s="1401"/>
      <c r="H3" s="1424" t="s">
        <v>379</v>
      </c>
      <c r="I3" s="1424"/>
      <c r="J3" s="1424"/>
      <c r="K3" s="1423">
        <f>'F1  Cover'!K8</f>
        <v>1</v>
      </c>
      <c r="L3" s="1451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58" t="s">
        <v>657</v>
      </c>
      <c r="B6" s="1359"/>
      <c r="C6" s="1359"/>
      <c r="D6" s="1359"/>
      <c r="E6" s="1359"/>
      <c r="F6" s="1359"/>
      <c r="G6" s="1359"/>
      <c r="H6" s="1359"/>
      <c r="I6" s="1359"/>
      <c r="J6" s="1359"/>
      <c r="K6" s="1359"/>
      <c r="L6" s="1360"/>
    </row>
    <row r="7" spans="1:12" ht="15.75" customHeight="1" thickBot="1">
      <c r="A7" s="526"/>
      <c r="L7" s="527"/>
    </row>
    <row r="8" spans="1:12" ht="15.75" customHeight="1" thickBot="1">
      <c r="A8" s="1452" t="s">
        <v>0</v>
      </c>
      <c r="B8" s="1453"/>
      <c r="C8" s="1453"/>
      <c r="D8" s="1453"/>
      <c r="E8" s="1453"/>
      <c r="F8" s="1453"/>
      <c r="G8" s="1453"/>
      <c r="H8" s="1454"/>
      <c r="I8" s="541" t="s">
        <v>1</v>
      </c>
      <c r="J8" s="541" t="s">
        <v>2</v>
      </c>
      <c r="K8" s="541" t="s">
        <v>3</v>
      </c>
      <c r="L8" s="542" t="s">
        <v>404</v>
      </c>
    </row>
    <row r="9" spans="1:12" ht="12.75" customHeight="1">
      <c r="A9" s="1467" t="s">
        <v>450</v>
      </c>
      <c r="B9" s="1468"/>
      <c r="C9" s="1468"/>
      <c r="D9" s="1468"/>
      <c r="E9" s="1468"/>
      <c r="F9" s="1468"/>
      <c r="G9" s="1468"/>
      <c r="H9" s="1469"/>
      <c r="I9" s="535"/>
      <c r="J9" s="535"/>
      <c r="K9" s="535"/>
      <c r="L9" s="536"/>
    </row>
    <row r="10" spans="1:12" ht="12.75" customHeight="1">
      <c r="A10" s="1467" t="s">
        <v>658</v>
      </c>
      <c r="B10" s="1468"/>
      <c r="C10" s="1468"/>
      <c r="D10" s="1468"/>
      <c r="E10" s="1468"/>
      <c r="F10" s="1468"/>
      <c r="G10" s="1468"/>
      <c r="H10" s="1469"/>
      <c r="I10" s="535"/>
      <c r="J10" s="535"/>
      <c r="K10" s="535"/>
      <c r="L10" s="536"/>
    </row>
    <row r="11" spans="1:12">
      <c r="A11" s="1441" t="s">
        <v>385</v>
      </c>
      <c r="B11" s="1442"/>
      <c r="C11" s="1442"/>
      <c r="D11" s="1442"/>
      <c r="E11" s="1442"/>
      <c r="F11" s="1442"/>
      <c r="G11" s="1442"/>
      <c r="H11" s="1443"/>
      <c r="I11" s="533"/>
      <c r="J11" s="533"/>
      <c r="K11" s="533"/>
      <c r="L11" s="537"/>
    </row>
    <row r="12" spans="1:12">
      <c r="A12" s="1444"/>
      <c r="B12" s="1445"/>
      <c r="C12" s="1445"/>
      <c r="D12" s="1445"/>
      <c r="E12" s="1445"/>
      <c r="F12" s="1445"/>
      <c r="G12" s="1445"/>
      <c r="H12" s="1446"/>
      <c r="I12" s="533"/>
      <c r="J12" s="533"/>
      <c r="K12" s="533"/>
      <c r="L12" s="537"/>
    </row>
    <row r="13" spans="1:12">
      <c r="A13" s="1444"/>
      <c r="B13" s="1445"/>
      <c r="C13" s="1445"/>
      <c r="D13" s="1445"/>
      <c r="E13" s="1445"/>
      <c r="F13" s="1445"/>
      <c r="G13" s="1445"/>
      <c r="H13" s="1446"/>
      <c r="I13" s="533"/>
      <c r="J13" s="533"/>
      <c r="K13" s="533"/>
      <c r="L13" s="537"/>
    </row>
    <row r="14" spans="1:12">
      <c r="A14" s="1444"/>
      <c r="B14" s="1445"/>
      <c r="C14" s="1445"/>
      <c r="D14" s="1445"/>
      <c r="E14" s="1445"/>
      <c r="F14" s="1445"/>
      <c r="G14" s="1445"/>
      <c r="H14" s="1446"/>
      <c r="I14" s="533"/>
      <c r="J14" s="533"/>
      <c r="K14" s="533"/>
      <c r="L14" s="537"/>
    </row>
    <row r="15" spans="1:12">
      <c r="A15" s="1444"/>
      <c r="B15" s="1445"/>
      <c r="C15" s="1445"/>
      <c r="D15" s="1445"/>
      <c r="E15" s="1445"/>
      <c r="F15" s="1445"/>
      <c r="G15" s="1445"/>
      <c r="H15" s="1446"/>
      <c r="I15" s="533"/>
      <c r="J15" s="533"/>
      <c r="K15" s="533"/>
      <c r="L15" s="537"/>
    </row>
    <row r="16" spans="1:12">
      <c r="A16" s="1444"/>
      <c r="B16" s="1445"/>
      <c r="C16" s="1445"/>
      <c r="D16" s="1445"/>
      <c r="E16" s="1445"/>
      <c r="F16" s="1445"/>
      <c r="G16" s="1445"/>
      <c r="H16" s="1446"/>
      <c r="I16" s="533"/>
      <c r="J16" s="533"/>
      <c r="K16" s="533"/>
      <c r="L16" s="537"/>
    </row>
    <row r="17" spans="1:12">
      <c r="A17" s="1444"/>
      <c r="B17" s="1445"/>
      <c r="C17" s="1445"/>
      <c r="D17" s="1445"/>
      <c r="E17" s="1445"/>
      <c r="F17" s="1445"/>
      <c r="G17" s="1445"/>
      <c r="H17" s="1446"/>
      <c r="I17" s="533"/>
      <c r="J17" s="533"/>
      <c r="K17" s="533"/>
      <c r="L17" s="537"/>
    </row>
    <row r="18" spans="1:12">
      <c r="A18" s="1458"/>
      <c r="B18" s="1459"/>
      <c r="C18" s="1459"/>
      <c r="D18" s="1459"/>
      <c r="E18" s="1459"/>
      <c r="F18" s="1459"/>
      <c r="G18" s="1459"/>
      <c r="H18" s="1460"/>
      <c r="I18" s="1438" t="s">
        <v>451</v>
      </c>
      <c r="J18" s="1439"/>
      <c r="K18" s="1440"/>
      <c r="L18" s="538"/>
    </row>
    <row r="19" spans="1:12">
      <c r="A19" s="1461" t="s">
        <v>452</v>
      </c>
      <c r="B19" s="1462"/>
      <c r="C19" s="1462"/>
      <c r="D19" s="1462"/>
      <c r="E19" s="1462"/>
      <c r="F19" s="1462"/>
      <c r="G19" s="1462"/>
      <c r="H19" s="1463"/>
      <c r="I19" s="532"/>
      <c r="J19" s="532"/>
      <c r="K19" s="532"/>
      <c r="L19" s="538"/>
    </row>
    <row r="20" spans="1:12">
      <c r="A20" s="1464" t="s">
        <v>659</v>
      </c>
      <c r="B20" s="1465"/>
      <c r="C20" s="1465"/>
      <c r="D20" s="1465"/>
      <c r="E20" s="1465"/>
      <c r="F20" s="1465"/>
      <c r="G20" s="1465"/>
      <c r="H20" s="1466"/>
      <c r="I20" s="533"/>
      <c r="J20" s="533"/>
      <c r="K20" s="533"/>
      <c r="L20" s="537"/>
    </row>
    <row r="21" spans="1:12">
      <c r="A21" s="1444" t="s">
        <v>385</v>
      </c>
      <c r="B21" s="1445"/>
      <c r="C21" s="1445"/>
      <c r="D21" s="1445"/>
      <c r="E21" s="1445"/>
      <c r="F21" s="1445"/>
      <c r="G21" s="1445"/>
      <c r="H21" s="1446"/>
      <c r="I21" s="533"/>
      <c r="J21" s="533"/>
      <c r="K21" s="533"/>
      <c r="L21" s="537"/>
    </row>
    <row r="22" spans="1:12">
      <c r="A22" s="1444"/>
      <c r="B22" s="1445"/>
      <c r="C22" s="1445"/>
      <c r="D22" s="1445"/>
      <c r="E22" s="1445"/>
      <c r="F22" s="1445"/>
      <c r="G22" s="1445"/>
      <c r="H22" s="1446"/>
      <c r="I22" s="533"/>
      <c r="J22" s="533"/>
      <c r="K22" s="533"/>
      <c r="L22" s="537"/>
    </row>
    <row r="23" spans="1:12">
      <c r="A23" s="1444"/>
      <c r="B23" s="1445"/>
      <c r="C23" s="1445"/>
      <c r="D23" s="1445"/>
      <c r="E23" s="1445"/>
      <c r="F23" s="1445"/>
      <c r="G23" s="1445"/>
      <c r="H23" s="1446"/>
      <c r="I23" s="533"/>
      <c r="J23" s="533"/>
      <c r="K23" s="533"/>
      <c r="L23" s="537"/>
    </row>
    <row r="24" spans="1:12">
      <c r="A24" s="1444"/>
      <c r="B24" s="1445"/>
      <c r="C24" s="1445"/>
      <c r="D24" s="1445"/>
      <c r="E24" s="1445"/>
      <c r="F24" s="1445"/>
      <c r="G24" s="1445"/>
      <c r="H24" s="1446"/>
      <c r="I24" s="533"/>
      <c r="J24" s="533"/>
      <c r="K24" s="533"/>
      <c r="L24" s="537"/>
    </row>
    <row r="25" spans="1:12">
      <c r="A25" s="1444"/>
      <c r="B25" s="1445"/>
      <c r="C25" s="1445"/>
      <c r="D25" s="1445"/>
      <c r="E25" s="1445"/>
      <c r="F25" s="1445"/>
      <c r="G25" s="1445"/>
      <c r="H25" s="1446"/>
      <c r="I25" s="533"/>
      <c r="J25" s="533"/>
      <c r="K25" s="533"/>
      <c r="L25" s="537"/>
    </row>
    <row r="26" spans="1:12">
      <c r="A26" s="1444"/>
      <c r="B26" s="1445"/>
      <c r="C26" s="1445"/>
      <c r="D26" s="1445"/>
      <c r="E26" s="1445"/>
      <c r="F26" s="1445"/>
      <c r="G26" s="1445"/>
      <c r="H26" s="1446"/>
      <c r="I26" s="533"/>
      <c r="J26" s="533"/>
      <c r="K26" s="533"/>
      <c r="L26" s="537"/>
    </row>
    <row r="27" spans="1:12">
      <c r="A27" s="1444"/>
      <c r="B27" s="1445"/>
      <c r="C27" s="1445"/>
      <c r="D27" s="1445"/>
      <c r="E27" s="1445"/>
      <c r="F27" s="1445"/>
      <c r="G27" s="1445"/>
      <c r="H27" s="1446"/>
      <c r="I27" s="533"/>
      <c r="J27" s="533"/>
      <c r="K27" s="533"/>
      <c r="L27" s="537"/>
    </row>
    <row r="28" spans="1:12">
      <c r="A28" s="1444"/>
      <c r="B28" s="1445"/>
      <c r="C28" s="1445"/>
      <c r="D28" s="1445"/>
      <c r="E28" s="1445"/>
      <c r="F28" s="1445"/>
      <c r="G28" s="1445"/>
      <c r="H28" s="1446"/>
      <c r="I28" s="533"/>
      <c r="J28" s="533"/>
      <c r="K28" s="533"/>
      <c r="L28" s="537"/>
    </row>
    <row r="29" spans="1:12">
      <c r="A29" s="1458"/>
      <c r="B29" s="1459"/>
      <c r="C29" s="1459"/>
      <c r="D29" s="1459"/>
      <c r="E29" s="1459"/>
      <c r="F29" s="1459"/>
      <c r="G29" s="1459"/>
      <c r="H29" s="1460"/>
      <c r="I29" s="1438" t="s">
        <v>453</v>
      </c>
      <c r="J29" s="1439"/>
      <c r="K29" s="1440"/>
      <c r="L29" s="538"/>
    </row>
    <row r="30" spans="1:12">
      <c r="A30" s="1458"/>
      <c r="B30" s="1459"/>
      <c r="C30" s="1459"/>
      <c r="D30" s="1459"/>
      <c r="E30" s="1459"/>
      <c r="F30" s="1459"/>
      <c r="G30" s="1459"/>
      <c r="H30" s="1460"/>
      <c r="I30" s="532"/>
      <c r="J30" s="532"/>
      <c r="K30" s="532"/>
      <c r="L30" s="538"/>
    </row>
    <row r="31" spans="1:12">
      <c r="A31" s="1435" t="s">
        <v>454</v>
      </c>
      <c r="B31" s="1436"/>
      <c r="C31" s="1436"/>
      <c r="D31" s="1436"/>
      <c r="E31" s="1436"/>
      <c r="F31" s="1436"/>
      <c r="G31" s="1436"/>
      <c r="H31" s="1437"/>
      <c r="I31" s="532"/>
      <c r="J31" s="532"/>
      <c r="K31" s="532"/>
      <c r="L31" s="538">
        <f>L18</f>
        <v>0</v>
      </c>
    </row>
    <row r="32" spans="1:12" ht="13.5" thickBot="1">
      <c r="A32" s="1435" t="s">
        <v>455</v>
      </c>
      <c r="B32" s="1436"/>
      <c r="C32" s="1436"/>
      <c r="D32" s="1436"/>
      <c r="E32" s="1436"/>
      <c r="F32" s="1436"/>
      <c r="G32" s="1436"/>
      <c r="H32" s="1437"/>
      <c r="I32" s="532"/>
      <c r="J32" s="532"/>
      <c r="K32" s="788"/>
      <c r="L32" s="539">
        <f>L29</f>
        <v>0</v>
      </c>
    </row>
    <row r="33" spans="1:12" ht="21" customHeight="1" thickBot="1">
      <c r="A33" s="1409" t="s">
        <v>456</v>
      </c>
      <c r="B33" s="1410"/>
      <c r="C33" s="1410"/>
      <c r="D33" s="1410"/>
      <c r="E33" s="1410"/>
      <c r="F33" s="1410"/>
      <c r="G33" s="1410"/>
      <c r="H33" s="1410"/>
      <c r="I33" s="1410"/>
      <c r="J33" s="1410"/>
      <c r="K33" s="1411"/>
      <c r="L33" s="545">
        <f>L31+L32</f>
        <v>0</v>
      </c>
    </row>
  </sheetData>
  <mergeCells count="32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33:K33"/>
    <mergeCell ref="A28:H28"/>
    <mergeCell ref="A29:H29"/>
    <mergeCell ref="I29:K29"/>
    <mergeCell ref="A30:H30"/>
    <mergeCell ref="A31:H31"/>
    <mergeCell ref="A32:H32"/>
  </mergeCells>
  <pageMargins left="0.35433070866141736" right="0.15748031496062992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3">
    <tabColor theme="9"/>
    <pageSetUpPr fitToPage="1"/>
  </sheetPr>
  <dimension ref="A1:L33"/>
  <sheetViews>
    <sheetView workbookViewId="0"/>
  </sheetViews>
  <sheetFormatPr defaultRowHeight="12.75"/>
  <cols>
    <col min="1" max="2" width="9.140625" style="314"/>
    <col min="3" max="3" width="12" style="314" bestFit="1" customWidth="1"/>
    <col min="4" max="7" width="9.140625" style="314"/>
    <col min="8" max="8" width="17.28515625" style="314" customWidth="1"/>
    <col min="9" max="11" width="9.7109375" style="314" customWidth="1"/>
    <col min="12" max="12" width="15" style="314" customWidth="1"/>
    <col min="13" max="258" width="9.140625" style="314"/>
    <col min="259" max="259" width="12" style="314" bestFit="1" customWidth="1"/>
    <col min="260" max="263" width="9.140625" style="314"/>
    <col min="264" max="264" width="17.28515625" style="314" customWidth="1"/>
    <col min="265" max="267" width="9.7109375" style="314" customWidth="1"/>
    <col min="268" max="268" width="15" style="314" customWidth="1"/>
    <col min="269" max="514" width="9.140625" style="314"/>
    <col min="515" max="515" width="12" style="314" bestFit="1" customWidth="1"/>
    <col min="516" max="519" width="9.140625" style="314"/>
    <col min="520" max="520" width="17.28515625" style="314" customWidth="1"/>
    <col min="521" max="523" width="9.7109375" style="314" customWidth="1"/>
    <col min="524" max="524" width="15" style="314" customWidth="1"/>
    <col min="525" max="770" width="9.140625" style="314"/>
    <col min="771" max="771" width="12" style="314" bestFit="1" customWidth="1"/>
    <col min="772" max="775" width="9.140625" style="314"/>
    <col min="776" max="776" width="17.28515625" style="314" customWidth="1"/>
    <col min="777" max="779" width="9.7109375" style="314" customWidth="1"/>
    <col min="780" max="780" width="15" style="314" customWidth="1"/>
    <col min="781" max="1026" width="9.140625" style="314"/>
    <col min="1027" max="1027" width="12" style="314" bestFit="1" customWidth="1"/>
    <col min="1028" max="1031" width="9.140625" style="314"/>
    <col min="1032" max="1032" width="17.28515625" style="314" customWidth="1"/>
    <col min="1033" max="1035" width="9.7109375" style="314" customWidth="1"/>
    <col min="1036" max="1036" width="15" style="314" customWidth="1"/>
    <col min="1037" max="1282" width="9.140625" style="314"/>
    <col min="1283" max="1283" width="12" style="314" bestFit="1" customWidth="1"/>
    <col min="1284" max="1287" width="9.140625" style="314"/>
    <col min="1288" max="1288" width="17.28515625" style="314" customWidth="1"/>
    <col min="1289" max="1291" width="9.7109375" style="314" customWidth="1"/>
    <col min="1292" max="1292" width="15" style="314" customWidth="1"/>
    <col min="1293" max="1538" width="9.140625" style="314"/>
    <col min="1539" max="1539" width="12" style="314" bestFit="1" customWidth="1"/>
    <col min="1540" max="1543" width="9.140625" style="314"/>
    <col min="1544" max="1544" width="17.28515625" style="314" customWidth="1"/>
    <col min="1545" max="1547" width="9.7109375" style="314" customWidth="1"/>
    <col min="1548" max="1548" width="15" style="314" customWidth="1"/>
    <col min="1549" max="1794" width="9.140625" style="314"/>
    <col min="1795" max="1795" width="12" style="314" bestFit="1" customWidth="1"/>
    <col min="1796" max="1799" width="9.140625" style="314"/>
    <col min="1800" max="1800" width="17.28515625" style="314" customWidth="1"/>
    <col min="1801" max="1803" width="9.7109375" style="314" customWidth="1"/>
    <col min="1804" max="1804" width="15" style="314" customWidth="1"/>
    <col min="1805" max="2050" width="9.140625" style="314"/>
    <col min="2051" max="2051" width="12" style="314" bestFit="1" customWidth="1"/>
    <col min="2052" max="2055" width="9.140625" style="314"/>
    <col min="2056" max="2056" width="17.28515625" style="314" customWidth="1"/>
    <col min="2057" max="2059" width="9.7109375" style="314" customWidth="1"/>
    <col min="2060" max="2060" width="15" style="314" customWidth="1"/>
    <col min="2061" max="2306" width="9.140625" style="314"/>
    <col min="2307" max="2307" width="12" style="314" bestFit="1" customWidth="1"/>
    <col min="2308" max="2311" width="9.140625" style="314"/>
    <col min="2312" max="2312" width="17.28515625" style="314" customWidth="1"/>
    <col min="2313" max="2315" width="9.7109375" style="314" customWidth="1"/>
    <col min="2316" max="2316" width="15" style="314" customWidth="1"/>
    <col min="2317" max="2562" width="9.140625" style="314"/>
    <col min="2563" max="2563" width="12" style="314" bestFit="1" customWidth="1"/>
    <col min="2564" max="2567" width="9.140625" style="314"/>
    <col min="2568" max="2568" width="17.28515625" style="314" customWidth="1"/>
    <col min="2569" max="2571" width="9.7109375" style="314" customWidth="1"/>
    <col min="2572" max="2572" width="15" style="314" customWidth="1"/>
    <col min="2573" max="2818" width="9.140625" style="314"/>
    <col min="2819" max="2819" width="12" style="314" bestFit="1" customWidth="1"/>
    <col min="2820" max="2823" width="9.140625" style="314"/>
    <col min="2824" max="2824" width="17.28515625" style="314" customWidth="1"/>
    <col min="2825" max="2827" width="9.7109375" style="314" customWidth="1"/>
    <col min="2828" max="2828" width="15" style="314" customWidth="1"/>
    <col min="2829" max="3074" width="9.140625" style="314"/>
    <col min="3075" max="3075" width="12" style="314" bestFit="1" customWidth="1"/>
    <col min="3076" max="3079" width="9.140625" style="314"/>
    <col min="3080" max="3080" width="17.28515625" style="314" customWidth="1"/>
    <col min="3081" max="3083" width="9.7109375" style="314" customWidth="1"/>
    <col min="3084" max="3084" width="15" style="314" customWidth="1"/>
    <col min="3085" max="3330" width="9.140625" style="314"/>
    <col min="3331" max="3331" width="12" style="314" bestFit="1" customWidth="1"/>
    <col min="3332" max="3335" width="9.140625" style="314"/>
    <col min="3336" max="3336" width="17.28515625" style="314" customWidth="1"/>
    <col min="3337" max="3339" width="9.7109375" style="314" customWidth="1"/>
    <col min="3340" max="3340" width="15" style="314" customWidth="1"/>
    <col min="3341" max="3586" width="9.140625" style="314"/>
    <col min="3587" max="3587" width="12" style="314" bestFit="1" customWidth="1"/>
    <col min="3588" max="3591" width="9.140625" style="314"/>
    <col min="3592" max="3592" width="17.28515625" style="314" customWidth="1"/>
    <col min="3593" max="3595" width="9.7109375" style="314" customWidth="1"/>
    <col min="3596" max="3596" width="15" style="314" customWidth="1"/>
    <col min="3597" max="3842" width="9.140625" style="314"/>
    <col min="3843" max="3843" width="12" style="314" bestFit="1" customWidth="1"/>
    <col min="3844" max="3847" width="9.140625" style="314"/>
    <col min="3848" max="3848" width="17.28515625" style="314" customWidth="1"/>
    <col min="3849" max="3851" width="9.7109375" style="314" customWidth="1"/>
    <col min="3852" max="3852" width="15" style="314" customWidth="1"/>
    <col min="3853" max="4098" width="9.140625" style="314"/>
    <col min="4099" max="4099" width="12" style="314" bestFit="1" customWidth="1"/>
    <col min="4100" max="4103" width="9.140625" style="314"/>
    <col min="4104" max="4104" width="17.28515625" style="314" customWidth="1"/>
    <col min="4105" max="4107" width="9.7109375" style="314" customWidth="1"/>
    <col min="4108" max="4108" width="15" style="314" customWidth="1"/>
    <col min="4109" max="4354" width="9.140625" style="314"/>
    <col min="4355" max="4355" width="12" style="314" bestFit="1" customWidth="1"/>
    <col min="4356" max="4359" width="9.140625" style="314"/>
    <col min="4360" max="4360" width="17.28515625" style="314" customWidth="1"/>
    <col min="4361" max="4363" width="9.7109375" style="314" customWidth="1"/>
    <col min="4364" max="4364" width="15" style="314" customWidth="1"/>
    <col min="4365" max="4610" width="9.140625" style="314"/>
    <col min="4611" max="4611" width="12" style="314" bestFit="1" customWidth="1"/>
    <col min="4612" max="4615" width="9.140625" style="314"/>
    <col min="4616" max="4616" width="17.28515625" style="314" customWidth="1"/>
    <col min="4617" max="4619" width="9.7109375" style="314" customWidth="1"/>
    <col min="4620" max="4620" width="15" style="314" customWidth="1"/>
    <col min="4621" max="4866" width="9.140625" style="314"/>
    <col min="4867" max="4867" width="12" style="314" bestFit="1" customWidth="1"/>
    <col min="4868" max="4871" width="9.140625" style="314"/>
    <col min="4872" max="4872" width="17.28515625" style="314" customWidth="1"/>
    <col min="4873" max="4875" width="9.7109375" style="314" customWidth="1"/>
    <col min="4876" max="4876" width="15" style="314" customWidth="1"/>
    <col min="4877" max="5122" width="9.140625" style="314"/>
    <col min="5123" max="5123" width="12" style="314" bestFit="1" customWidth="1"/>
    <col min="5124" max="5127" width="9.140625" style="314"/>
    <col min="5128" max="5128" width="17.28515625" style="314" customWidth="1"/>
    <col min="5129" max="5131" width="9.7109375" style="314" customWidth="1"/>
    <col min="5132" max="5132" width="15" style="314" customWidth="1"/>
    <col min="5133" max="5378" width="9.140625" style="314"/>
    <col min="5379" max="5379" width="12" style="314" bestFit="1" customWidth="1"/>
    <col min="5380" max="5383" width="9.140625" style="314"/>
    <col min="5384" max="5384" width="17.28515625" style="314" customWidth="1"/>
    <col min="5385" max="5387" width="9.7109375" style="314" customWidth="1"/>
    <col min="5388" max="5388" width="15" style="314" customWidth="1"/>
    <col min="5389" max="5634" width="9.140625" style="314"/>
    <col min="5635" max="5635" width="12" style="314" bestFit="1" customWidth="1"/>
    <col min="5636" max="5639" width="9.140625" style="314"/>
    <col min="5640" max="5640" width="17.28515625" style="314" customWidth="1"/>
    <col min="5641" max="5643" width="9.7109375" style="314" customWidth="1"/>
    <col min="5644" max="5644" width="15" style="314" customWidth="1"/>
    <col min="5645" max="5890" width="9.140625" style="314"/>
    <col min="5891" max="5891" width="12" style="314" bestFit="1" customWidth="1"/>
    <col min="5892" max="5895" width="9.140625" style="314"/>
    <col min="5896" max="5896" width="17.28515625" style="314" customWidth="1"/>
    <col min="5897" max="5899" width="9.7109375" style="314" customWidth="1"/>
    <col min="5900" max="5900" width="15" style="314" customWidth="1"/>
    <col min="5901" max="6146" width="9.140625" style="314"/>
    <col min="6147" max="6147" width="12" style="314" bestFit="1" customWidth="1"/>
    <col min="6148" max="6151" width="9.140625" style="314"/>
    <col min="6152" max="6152" width="17.28515625" style="314" customWidth="1"/>
    <col min="6153" max="6155" width="9.7109375" style="314" customWidth="1"/>
    <col min="6156" max="6156" width="15" style="314" customWidth="1"/>
    <col min="6157" max="6402" width="9.140625" style="314"/>
    <col min="6403" max="6403" width="12" style="314" bestFit="1" customWidth="1"/>
    <col min="6404" max="6407" width="9.140625" style="314"/>
    <col min="6408" max="6408" width="17.28515625" style="314" customWidth="1"/>
    <col min="6409" max="6411" width="9.7109375" style="314" customWidth="1"/>
    <col min="6412" max="6412" width="15" style="314" customWidth="1"/>
    <col min="6413" max="6658" width="9.140625" style="314"/>
    <col min="6659" max="6659" width="12" style="314" bestFit="1" customWidth="1"/>
    <col min="6660" max="6663" width="9.140625" style="314"/>
    <col min="6664" max="6664" width="17.28515625" style="314" customWidth="1"/>
    <col min="6665" max="6667" width="9.7109375" style="314" customWidth="1"/>
    <col min="6668" max="6668" width="15" style="314" customWidth="1"/>
    <col min="6669" max="6914" width="9.140625" style="314"/>
    <col min="6915" max="6915" width="12" style="314" bestFit="1" customWidth="1"/>
    <col min="6916" max="6919" width="9.140625" style="314"/>
    <col min="6920" max="6920" width="17.28515625" style="314" customWidth="1"/>
    <col min="6921" max="6923" width="9.7109375" style="314" customWidth="1"/>
    <col min="6924" max="6924" width="15" style="314" customWidth="1"/>
    <col min="6925" max="7170" width="9.140625" style="314"/>
    <col min="7171" max="7171" width="12" style="314" bestFit="1" customWidth="1"/>
    <col min="7172" max="7175" width="9.140625" style="314"/>
    <col min="7176" max="7176" width="17.28515625" style="314" customWidth="1"/>
    <col min="7177" max="7179" width="9.7109375" style="314" customWidth="1"/>
    <col min="7180" max="7180" width="15" style="314" customWidth="1"/>
    <col min="7181" max="7426" width="9.140625" style="314"/>
    <col min="7427" max="7427" width="12" style="314" bestFit="1" customWidth="1"/>
    <col min="7428" max="7431" width="9.140625" style="314"/>
    <col min="7432" max="7432" width="17.28515625" style="314" customWidth="1"/>
    <col min="7433" max="7435" width="9.7109375" style="314" customWidth="1"/>
    <col min="7436" max="7436" width="15" style="314" customWidth="1"/>
    <col min="7437" max="7682" width="9.140625" style="314"/>
    <col min="7683" max="7683" width="12" style="314" bestFit="1" customWidth="1"/>
    <col min="7684" max="7687" width="9.140625" style="314"/>
    <col min="7688" max="7688" width="17.28515625" style="314" customWidth="1"/>
    <col min="7689" max="7691" width="9.7109375" style="314" customWidth="1"/>
    <col min="7692" max="7692" width="15" style="314" customWidth="1"/>
    <col min="7693" max="7938" width="9.140625" style="314"/>
    <col min="7939" max="7939" width="12" style="314" bestFit="1" customWidth="1"/>
    <col min="7940" max="7943" width="9.140625" style="314"/>
    <col min="7944" max="7944" width="17.28515625" style="314" customWidth="1"/>
    <col min="7945" max="7947" width="9.7109375" style="314" customWidth="1"/>
    <col min="7948" max="7948" width="15" style="314" customWidth="1"/>
    <col min="7949" max="8194" width="9.140625" style="314"/>
    <col min="8195" max="8195" width="12" style="314" bestFit="1" customWidth="1"/>
    <col min="8196" max="8199" width="9.140625" style="314"/>
    <col min="8200" max="8200" width="17.28515625" style="314" customWidth="1"/>
    <col min="8201" max="8203" width="9.7109375" style="314" customWidth="1"/>
    <col min="8204" max="8204" width="15" style="314" customWidth="1"/>
    <col min="8205" max="8450" width="9.140625" style="314"/>
    <col min="8451" max="8451" width="12" style="314" bestFit="1" customWidth="1"/>
    <col min="8452" max="8455" width="9.140625" style="314"/>
    <col min="8456" max="8456" width="17.28515625" style="314" customWidth="1"/>
    <col min="8457" max="8459" width="9.7109375" style="314" customWidth="1"/>
    <col min="8460" max="8460" width="15" style="314" customWidth="1"/>
    <col min="8461" max="8706" width="9.140625" style="314"/>
    <col min="8707" max="8707" width="12" style="314" bestFit="1" customWidth="1"/>
    <col min="8708" max="8711" width="9.140625" style="314"/>
    <col min="8712" max="8712" width="17.28515625" style="314" customWidth="1"/>
    <col min="8713" max="8715" width="9.7109375" style="314" customWidth="1"/>
    <col min="8716" max="8716" width="15" style="314" customWidth="1"/>
    <col min="8717" max="8962" width="9.140625" style="314"/>
    <col min="8963" max="8963" width="12" style="314" bestFit="1" customWidth="1"/>
    <col min="8964" max="8967" width="9.140625" style="314"/>
    <col min="8968" max="8968" width="17.28515625" style="314" customWidth="1"/>
    <col min="8969" max="8971" width="9.7109375" style="314" customWidth="1"/>
    <col min="8972" max="8972" width="15" style="314" customWidth="1"/>
    <col min="8973" max="9218" width="9.140625" style="314"/>
    <col min="9219" max="9219" width="12" style="314" bestFit="1" customWidth="1"/>
    <col min="9220" max="9223" width="9.140625" style="314"/>
    <col min="9224" max="9224" width="17.28515625" style="314" customWidth="1"/>
    <col min="9225" max="9227" width="9.7109375" style="314" customWidth="1"/>
    <col min="9228" max="9228" width="15" style="314" customWidth="1"/>
    <col min="9229" max="9474" width="9.140625" style="314"/>
    <col min="9475" max="9475" width="12" style="314" bestFit="1" customWidth="1"/>
    <col min="9476" max="9479" width="9.140625" style="314"/>
    <col min="9480" max="9480" width="17.28515625" style="314" customWidth="1"/>
    <col min="9481" max="9483" width="9.7109375" style="314" customWidth="1"/>
    <col min="9484" max="9484" width="15" style="314" customWidth="1"/>
    <col min="9485" max="9730" width="9.140625" style="314"/>
    <col min="9731" max="9731" width="12" style="314" bestFit="1" customWidth="1"/>
    <col min="9732" max="9735" width="9.140625" style="314"/>
    <col min="9736" max="9736" width="17.28515625" style="314" customWidth="1"/>
    <col min="9737" max="9739" width="9.7109375" style="314" customWidth="1"/>
    <col min="9740" max="9740" width="15" style="314" customWidth="1"/>
    <col min="9741" max="9986" width="9.140625" style="314"/>
    <col min="9987" max="9987" width="12" style="314" bestFit="1" customWidth="1"/>
    <col min="9988" max="9991" width="9.140625" style="314"/>
    <col min="9992" max="9992" width="17.28515625" style="314" customWidth="1"/>
    <col min="9993" max="9995" width="9.7109375" style="314" customWidth="1"/>
    <col min="9996" max="9996" width="15" style="314" customWidth="1"/>
    <col min="9997" max="10242" width="9.140625" style="314"/>
    <col min="10243" max="10243" width="12" style="314" bestFit="1" customWidth="1"/>
    <col min="10244" max="10247" width="9.140625" style="314"/>
    <col min="10248" max="10248" width="17.28515625" style="314" customWidth="1"/>
    <col min="10249" max="10251" width="9.7109375" style="314" customWidth="1"/>
    <col min="10252" max="10252" width="15" style="314" customWidth="1"/>
    <col min="10253" max="10498" width="9.140625" style="314"/>
    <col min="10499" max="10499" width="12" style="314" bestFit="1" customWidth="1"/>
    <col min="10500" max="10503" width="9.140625" style="314"/>
    <col min="10504" max="10504" width="17.28515625" style="314" customWidth="1"/>
    <col min="10505" max="10507" width="9.7109375" style="314" customWidth="1"/>
    <col min="10508" max="10508" width="15" style="314" customWidth="1"/>
    <col min="10509" max="10754" width="9.140625" style="314"/>
    <col min="10755" max="10755" width="12" style="314" bestFit="1" customWidth="1"/>
    <col min="10756" max="10759" width="9.140625" style="314"/>
    <col min="10760" max="10760" width="17.28515625" style="314" customWidth="1"/>
    <col min="10761" max="10763" width="9.7109375" style="314" customWidth="1"/>
    <col min="10764" max="10764" width="15" style="314" customWidth="1"/>
    <col min="10765" max="11010" width="9.140625" style="314"/>
    <col min="11011" max="11011" width="12" style="314" bestFit="1" customWidth="1"/>
    <col min="11012" max="11015" width="9.140625" style="314"/>
    <col min="11016" max="11016" width="17.28515625" style="314" customWidth="1"/>
    <col min="11017" max="11019" width="9.7109375" style="314" customWidth="1"/>
    <col min="11020" max="11020" width="15" style="314" customWidth="1"/>
    <col min="11021" max="11266" width="9.140625" style="314"/>
    <col min="11267" max="11267" width="12" style="314" bestFit="1" customWidth="1"/>
    <col min="11268" max="11271" width="9.140625" style="314"/>
    <col min="11272" max="11272" width="17.28515625" style="314" customWidth="1"/>
    <col min="11273" max="11275" width="9.7109375" style="314" customWidth="1"/>
    <col min="11276" max="11276" width="15" style="314" customWidth="1"/>
    <col min="11277" max="11522" width="9.140625" style="314"/>
    <col min="11523" max="11523" width="12" style="314" bestFit="1" customWidth="1"/>
    <col min="11524" max="11527" width="9.140625" style="314"/>
    <col min="11528" max="11528" width="17.28515625" style="314" customWidth="1"/>
    <col min="11529" max="11531" width="9.7109375" style="314" customWidth="1"/>
    <col min="11532" max="11532" width="15" style="314" customWidth="1"/>
    <col min="11533" max="11778" width="9.140625" style="314"/>
    <col min="11779" max="11779" width="12" style="314" bestFit="1" customWidth="1"/>
    <col min="11780" max="11783" width="9.140625" style="314"/>
    <col min="11784" max="11784" width="17.28515625" style="314" customWidth="1"/>
    <col min="11785" max="11787" width="9.7109375" style="314" customWidth="1"/>
    <col min="11788" max="11788" width="15" style="314" customWidth="1"/>
    <col min="11789" max="12034" width="9.140625" style="314"/>
    <col min="12035" max="12035" width="12" style="314" bestFit="1" customWidth="1"/>
    <col min="12036" max="12039" width="9.140625" style="314"/>
    <col min="12040" max="12040" width="17.28515625" style="314" customWidth="1"/>
    <col min="12041" max="12043" width="9.7109375" style="314" customWidth="1"/>
    <col min="12044" max="12044" width="15" style="314" customWidth="1"/>
    <col min="12045" max="12290" width="9.140625" style="314"/>
    <col min="12291" max="12291" width="12" style="314" bestFit="1" customWidth="1"/>
    <col min="12292" max="12295" width="9.140625" style="314"/>
    <col min="12296" max="12296" width="17.28515625" style="314" customWidth="1"/>
    <col min="12297" max="12299" width="9.7109375" style="314" customWidth="1"/>
    <col min="12300" max="12300" width="15" style="314" customWidth="1"/>
    <col min="12301" max="12546" width="9.140625" style="314"/>
    <col min="12547" max="12547" width="12" style="314" bestFit="1" customWidth="1"/>
    <col min="12548" max="12551" width="9.140625" style="314"/>
    <col min="12552" max="12552" width="17.28515625" style="314" customWidth="1"/>
    <col min="12553" max="12555" width="9.7109375" style="314" customWidth="1"/>
    <col min="12556" max="12556" width="15" style="314" customWidth="1"/>
    <col min="12557" max="12802" width="9.140625" style="314"/>
    <col min="12803" max="12803" width="12" style="314" bestFit="1" customWidth="1"/>
    <col min="12804" max="12807" width="9.140625" style="314"/>
    <col min="12808" max="12808" width="17.28515625" style="314" customWidth="1"/>
    <col min="12809" max="12811" width="9.7109375" style="314" customWidth="1"/>
    <col min="12812" max="12812" width="15" style="314" customWidth="1"/>
    <col min="12813" max="13058" width="9.140625" style="314"/>
    <col min="13059" max="13059" width="12" style="314" bestFit="1" customWidth="1"/>
    <col min="13060" max="13063" width="9.140625" style="314"/>
    <col min="13064" max="13064" width="17.28515625" style="314" customWidth="1"/>
    <col min="13065" max="13067" width="9.7109375" style="314" customWidth="1"/>
    <col min="13068" max="13068" width="15" style="314" customWidth="1"/>
    <col min="13069" max="13314" width="9.140625" style="314"/>
    <col min="13315" max="13315" width="12" style="314" bestFit="1" customWidth="1"/>
    <col min="13316" max="13319" width="9.140625" style="314"/>
    <col min="13320" max="13320" width="17.28515625" style="314" customWidth="1"/>
    <col min="13321" max="13323" width="9.7109375" style="314" customWidth="1"/>
    <col min="13324" max="13324" width="15" style="314" customWidth="1"/>
    <col min="13325" max="13570" width="9.140625" style="314"/>
    <col min="13571" max="13571" width="12" style="314" bestFit="1" customWidth="1"/>
    <col min="13572" max="13575" width="9.140625" style="314"/>
    <col min="13576" max="13576" width="17.28515625" style="314" customWidth="1"/>
    <col min="13577" max="13579" width="9.7109375" style="314" customWidth="1"/>
    <col min="13580" max="13580" width="15" style="314" customWidth="1"/>
    <col min="13581" max="13826" width="9.140625" style="314"/>
    <col min="13827" max="13827" width="12" style="314" bestFit="1" customWidth="1"/>
    <col min="13828" max="13831" width="9.140625" style="314"/>
    <col min="13832" max="13832" width="17.28515625" style="314" customWidth="1"/>
    <col min="13833" max="13835" width="9.7109375" style="314" customWidth="1"/>
    <col min="13836" max="13836" width="15" style="314" customWidth="1"/>
    <col min="13837" max="14082" width="9.140625" style="314"/>
    <col min="14083" max="14083" width="12" style="314" bestFit="1" customWidth="1"/>
    <col min="14084" max="14087" width="9.140625" style="314"/>
    <col min="14088" max="14088" width="17.28515625" style="314" customWidth="1"/>
    <col min="14089" max="14091" width="9.7109375" style="314" customWidth="1"/>
    <col min="14092" max="14092" width="15" style="314" customWidth="1"/>
    <col min="14093" max="14338" width="9.140625" style="314"/>
    <col min="14339" max="14339" width="12" style="314" bestFit="1" customWidth="1"/>
    <col min="14340" max="14343" width="9.140625" style="314"/>
    <col min="14344" max="14344" width="17.28515625" style="314" customWidth="1"/>
    <col min="14345" max="14347" width="9.7109375" style="314" customWidth="1"/>
    <col min="14348" max="14348" width="15" style="314" customWidth="1"/>
    <col min="14349" max="14594" width="9.140625" style="314"/>
    <col min="14595" max="14595" width="12" style="314" bestFit="1" customWidth="1"/>
    <col min="14596" max="14599" width="9.140625" style="314"/>
    <col min="14600" max="14600" width="17.28515625" style="314" customWidth="1"/>
    <col min="14601" max="14603" width="9.7109375" style="314" customWidth="1"/>
    <col min="14604" max="14604" width="15" style="314" customWidth="1"/>
    <col min="14605" max="14850" width="9.140625" style="314"/>
    <col min="14851" max="14851" width="12" style="314" bestFit="1" customWidth="1"/>
    <col min="14852" max="14855" width="9.140625" style="314"/>
    <col min="14856" max="14856" width="17.28515625" style="314" customWidth="1"/>
    <col min="14857" max="14859" width="9.7109375" style="314" customWidth="1"/>
    <col min="14860" max="14860" width="15" style="314" customWidth="1"/>
    <col min="14861" max="15106" width="9.140625" style="314"/>
    <col min="15107" max="15107" width="12" style="314" bestFit="1" customWidth="1"/>
    <col min="15108" max="15111" width="9.140625" style="314"/>
    <col min="15112" max="15112" width="17.28515625" style="314" customWidth="1"/>
    <col min="15113" max="15115" width="9.7109375" style="314" customWidth="1"/>
    <col min="15116" max="15116" width="15" style="314" customWidth="1"/>
    <col min="15117" max="15362" width="9.140625" style="314"/>
    <col min="15363" max="15363" width="12" style="314" bestFit="1" customWidth="1"/>
    <col min="15364" max="15367" width="9.140625" style="314"/>
    <col min="15368" max="15368" width="17.28515625" style="314" customWidth="1"/>
    <col min="15369" max="15371" width="9.7109375" style="314" customWidth="1"/>
    <col min="15372" max="15372" width="15" style="314" customWidth="1"/>
    <col min="15373" max="15618" width="9.140625" style="314"/>
    <col min="15619" max="15619" width="12" style="314" bestFit="1" customWidth="1"/>
    <col min="15620" max="15623" width="9.140625" style="314"/>
    <col min="15624" max="15624" width="17.28515625" style="314" customWidth="1"/>
    <col min="15625" max="15627" width="9.7109375" style="314" customWidth="1"/>
    <col min="15628" max="15628" width="15" style="314" customWidth="1"/>
    <col min="15629" max="15874" width="9.140625" style="314"/>
    <col min="15875" max="15875" width="12" style="314" bestFit="1" customWidth="1"/>
    <col min="15876" max="15879" width="9.140625" style="314"/>
    <col min="15880" max="15880" width="17.28515625" style="314" customWidth="1"/>
    <col min="15881" max="15883" width="9.7109375" style="314" customWidth="1"/>
    <col min="15884" max="15884" width="15" style="314" customWidth="1"/>
    <col min="15885" max="16130" width="9.140625" style="314"/>
    <col min="16131" max="16131" width="12" style="314" bestFit="1" customWidth="1"/>
    <col min="16132" max="16135" width="9.140625" style="314"/>
    <col min="16136" max="16136" width="17.28515625" style="314" customWidth="1"/>
    <col min="16137" max="16139" width="9.7109375" style="314" customWidth="1"/>
    <col min="16140" max="16140" width="15" style="314" customWidth="1"/>
    <col min="16141" max="16384" width="9.140625" style="314"/>
  </cols>
  <sheetData>
    <row r="1" spans="1:12" ht="15.75">
      <c r="L1" s="523" t="s">
        <v>457</v>
      </c>
    </row>
    <row r="2" spans="1:12" ht="8.25" customHeight="1">
      <c r="L2" s="399"/>
    </row>
    <row r="3" spans="1:12" ht="15.75" customHeight="1">
      <c r="A3" s="400" t="str">
        <f>'Pg 6 WAF with CPI'!A3</f>
        <v>NRA.N.011-050-2012/1F</v>
      </c>
      <c r="B3" s="401"/>
      <c r="C3" s="524"/>
      <c r="D3" s="403"/>
      <c r="E3" s="403"/>
      <c r="F3" s="1401">
        <f>'F1  Cover'!L8</f>
        <v>44804</v>
      </c>
      <c r="G3" s="1401"/>
      <c r="H3" s="1424" t="s">
        <v>379</v>
      </c>
      <c r="I3" s="1424"/>
      <c r="J3" s="1424"/>
      <c r="K3" s="1423">
        <f>'F1  Cover'!K8</f>
        <v>1</v>
      </c>
      <c r="L3" s="1451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58" t="s">
        <v>660</v>
      </c>
      <c r="B6" s="1359"/>
      <c r="C6" s="1359"/>
      <c r="D6" s="1359"/>
      <c r="E6" s="1359"/>
      <c r="F6" s="1359"/>
      <c r="G6" s="1359"/>
      <c r="H6" s="1359"/>
      <c r="I6" s="1359"/>
      <c r="J6" s="1359"/>
      <c r="K6" s="1359"/>
      <c r="L6" s="1360"/>
    </row>
    <row r="7" spans="1:12" ht="15.75" customHeight="1" thickBot="1">
      <c r="A7" s="526"/>
      <c r="L7" s="527"/>
    </row>
    <row r="8" spans="1:12" ht="15.75" customHeight="1" thickBot="1">
      <c r="A8" s="1452" t="s">
        <v>0</v>
      </c>
      <c r="B8" s="1453"/>
      <c r="C8" s="1453"/>
      <c r="D8" s="1453"/>
      <c r="E8" s="1453"/>
      <c r="F8" s="1453"/>
      <c r="G8" s="1453"/>
      <c r="H8" s="1454"/>
      <c r="I8" s="541" t="s">
        <v>1</v>
      </c>
      <c r="J8" s="541" t="s">
        <v>2</v>
      </c>
      <c r="K8" s="541" t="s">
        <v>3</v>
      </c>
      <c r="L8" s="542" t="s">
        <v>404</v>
      </c>
    </row>
    <row r="9" spans="1:12" ht="12.75" customHeight="1">
      <c r="A9" s="1467" t="s">
        <v>450</v>
      </c>
      <c r="B9" s="1468"/>
      <c r="C9" s="1468"/>
      <c r="D9" s="1468"/>
      <c r="E9" s="1468"/>
      <c r="F9" s="1468"/>
      <c r="G9" s="1468"/>
      <c r="H9" s="1469"/>
      <c r="I9" s="535"/>
      <c r="J9" s="535"/>
      <c r="K9" s="535"/>
      <c r="L9" s="536"/>
    </row>
    <row r="10" spans="1:12" ht="12.75" customHeight="1">
      <c r="A10" s="1455" t="s">
        <v>658</v>
      </c>
      <c r="B10" s="1456"/>
      <c r="C10" s="1456"/>
      <c r="D10" s="1456"/>
      <c r="E10" s="1456"/>
      <c r="F10" s="1456"/>
      <c r="G10" s="1456"/>
      <c r="H10" s="1457"/>
      <c r="I10" s="530"/>
      <c r="J10" s="530"/>
      <c r="K10" s="530"/>
      <c r="L10" s="531"/>
    </row>
    <row r="11" spans="1:12">
      <c r="A11" s="1444"/>
      <c r="B11" s="1445"/>
      <c r="C11" s="1445"/>
      <c r="D11" s="1445"/>
      <c r="E11" s="1445"/>
      <c r="F11" s="1445"/>
      <c r="G11" s="1445"/>
      <c r="H11" s="1446"/>
      <c r="I11" s="533"/>
      <c r="J11" s="533"/>
      <c r="K11" s="533"/>
      <c r="L11" s="537"/>
    </row>
    <row r="12" spans="1:12">
      <c r="A12" s="1444"/>
      <c r="B12" s="1445"/>
      <c r="C12" s="1445"/>
      <c r="D12" s="1445"/>
      <c r="E12" s="1445"/>
      <c r="F12" s="1445"/>
      <c r="G12" s="1445"/>
      <c r="H12" s="1446"/>
      <c r="I12" s="533"/>
      <c r="J12" s="533"/>
      <c r="K12" s="533"/>
      <c r="L12" s="537"/>
    </row>
    <row r="13" spans="1:12">
      <c r="A13" s="1444"/>
      <c r="B13" s="1445"/>
      <c r="C13" s="1445"/>
      <c r="D13" s="1445"/>
      <c r="E13" s="1445"/>
      <c r="F13" s="1445"/>
      <c r="G13" s="1445"/>
      <c r="H13" s="1446"/>
      <c r="I13" s="533"/>
      <c r="J13" s="533"/>
      <c r="K13" s="533"/>
      <c r="L13" s="537"/>
    </row>
    <row r="14" spans="1:12">
      <c r="A14" s="1444"/>
      <c r="B14" s="1445"/>
      <c r="C14" s="1445"/>
      <c r="D14" s="1445"/>
      <c r="E14" s="1445"/>
      <c r="F14" s="1445"/>
      <c r="G14" s="1445"/>
      <c r="H14" s="1446"/>
      <c r="I14" s="533"/>
      <c r="J14" s="533"/>
      <c r="K14" s="533"/>
      <c r="L14" s="537"/>
    </row>
    <row r="15" spans="1:12">
      <c r="A15" s="1444"/>
      <c r="B15" s="1445"/>
      <c r="C15" s="1445"/>
      <c r="D15" s="1445"/>
      <c r="E15" s="1445"/>
      <c r="F15" s="1445"/>
      <c r="G15" s="1445"/>
      <c r="H15" s="1446"/>
      <c r="I15" s="533"/>
      <c r="J15" s="533"/>
      <c r="K15" s="533"/>
      <c r="L15" s="537"/>
    </row>
    <row r="16" spans="1:12">
      <c r="A16" s="1444"/>
      <c r="B16" s="1445"/>
      <c r="C16" s="1445"/>
      <c r="D16" s="1445"/>
      <c r="E16" s="1445"/>
      <c r="F16" s="1445"/>
      <c r="G16" s="1445"/>
      <c r="H16" s="1446"/>
      <c r="I16" s="533"/>
      <c r="J16" s="533"/>
      <c r="K16" s="533"/>
      <c r="L16" s="537"/>
    </row>
    <row r="17" spans="1:12">
      <c r="A17" s="1444"/>
      <c r="B17" s="1445"/>
      <c r="C17" s="1445"/>
      <c r="D17" s="1445"/>
      <c r="E17" s="1445"/>
      <c r="F17" s="1445"/>
      <c r="G17" s="1445"/>
      <c r="H17" s="1446"/>
      <c r="I17" s="533"/>
      <c r="J17" s="533"/>
      <c r="K17" s="533"/>
      <c r="L17" s="537"/>
    </row>
    <row r="18" spans="1:12">
      <c r="A18" s="1458"/>
      <c r="B18" s="1459"/>
      <c r="C18" s="1459"/>
      <c r="D18" s="1459"/>
      <c r="E18" s="1459"/>
      <c r="F18" s="1459"/>
      <c r="G18" s="1459"/>
      <c r="H18" s="1460"/>
      <c r="I18" s="1438" t="s">
        <v>451</v>
      </c>
      <c r="J18" s="1439"/>
      <c r="K18" s="1440"/>
      <c r="L18" s="538">
        <f>SUM(L10:L17)</f>
        <v>0</v>
      </c>
    </row>
    <row r="19" spans="1:12">
      <c r="A19" s="1461" t="s">
        <v>452</v>
      </c>
      <c r="B19" s="1462"/>
      <c r="C19" s="1462"/>
      <c r="D19" s="1462"/>
      <c r="E19" s="1462"/>
      <c r="F19" s="1462"/>
      <c r="G19" s="1462"/>
      <c r="H19" s="1463"/>
      <c r="I19" s="532"/>
      <c r="J19" s="532"/>
      <c r="K19" s="532"/>
      <c r="L19" s="538"/>
    </row>
    <row r="20" spans="1:12">
      <c r="A20" s="1464" t="s">
        <v>661</v>
      </c>
      <c r="B20" s="1465"/>
      <c r="C20" s="1465"/>
      <c r="D20" s="1465"/>
      <c r="E20" s="1465"/>
      <c r="F20" s="1465"/>
      <c r="G20" s="1465"/>
      <c r="H20" s="1466"/>
      <c r="I20" s="533"/>
      <c r="J20" s="533"/>
      <c r="K20" s="533"/>
      <c r="L20" s="537"/>
    </row>
    <row r="21" spans="1:12">
      <c r="A21" s="1444"/>
      <c r="B21" s="1445"/>
      <c r="C21" s="1445"/>
      <c r="D21" s="1445"/>
      <c r="E21" s="1445"/>
      <c r="F21" s="1445"/>
      <c r="G21" s="1445"/>
      <c r="H21" s="1446"/>
      <c r="I21" s="533"/>
      <c r="J21" s="533"/>
      <c r="K21" s="533"/>
      <c r="L21" s="537"/>
    </row>
    <row r="22" spans="1:12">
      <c r="A22" s="1444"/>
      <c r="B22" s="1445"/>
      <c r="C22" s="1445"/>
      <c r="D22" s="1445"/>
      <c r="E22" s="1445"/>
      <c r="F22" s="1445"/>
      <c r="G22" s="1445"/>
      <c r="H22" s="1446"/>
      <c r="I22" s="533"/>
      <c r="J22" s="533"/>
      <c r="K22" s="533"/>
      <c r="L22" s="537"/>
    </row>
    <row r="23" spans="1:12">
      <c r="A23" s="1444"/>
      <c r="B23" s="1445"/>
      <c r="C23" s="1445"/>
      <c r="D23" s="1445"/>
      <c r="E23" s="1445"/>
      <c r="F23" s="1445"/>
      <c r="G23" s="1445"/>
      <c r="H23" s="1446"/>
      <c r="I23" s="533"/>
      <c r="J23" s="533"/>
      <c r="K23" s="533"/>
      <c r="L23" s="537"/>
    </row>
    <row r="24" spans="1:12">
      <c r="A24" s="1444"/>
      <c r="B24" s="1445"/>
      <c r="C24" s="1445"/>
      <c r="D24" s="1445"/>
      <c r="E24" s="1445"/>
      <c r="F24" s="1445"/>
      <c r="G24" s="1445"/>
      <c r="H24" s="1446"/>
      <c r="I24" s="533"/>
      <c r="J24" s="533"/>
      <c r="K24" s="533"/>
      <c r="L24" s="537"/>
    </row>
    <row r="25" spans="1:12">
      <c r="A25" s="1444"/>
      <c r="B25" s="1445"/>
      <c r="C25" s="1445"/>
      <c r="D25" s="1445"/>
      <c r="E25" s="1445"/>
      <c r="F25" s="1445"/>
      <c r="G25" s="1445"/>
      <c r="H25" s="1446"/>
      <c r="I25" s="533"/>
      <c r="J25" s="533"/>
      <c r="K25" s="533"/>
      <c r="L25" s="537"/>
    </row>
    <row r="26" spans="1:12">
      <c r="A26" s="1444"/>
      <c r="B26" s="1445"/>
      <c r="C26" s="1445"/>
      <c r="D26" s="1445"/>
      <c r="E26" s="1445"/>
      <c r="F26" s="1445"/>
      <c r="G26" s="1445"/>
      <c r="H26" s="1446"/>
      <c r="I26" s="533"/>
      <c r="J26" s="533"/>
      <c r="K26" s="533"/>
      <c r="L26" s="537"/>
    </row>
    <row r="27" spans="1:12">
      <c r="A27" s="1444"/>
      <c r="B27" s="1445"/>
      <c r="C27" s="1445"/>
      <c r="D27" s="1445"/>
      <c r="E27" s="1445"/>
      <c r="F27" s="1445"/>
      <c r="G27" s="1445"/>
      <c r="H27" s="1446"/>
      <c r="I27" s="533"/>
      <c r="J27" s="533"/>
      <c r="K27" s="533"/>
      <c r="L27" s="537"/>
    </row>
    <row r="28" spans="1:12">
      <c r="A28" s="1444"/>
      <c r="B28" s="1445"/>
      <c r="C28" s="1445"/>
      <c r="D28" s="1445"/>
      <c r="E28" s="1445"/>
      <c r="F28" s="1445"/>
      <c r="G28" s="1445"/>
      <c r="H28" s="1446"/>
      <c r="I28" s="533"/>
      <c r="J28" s="533"/>
      <c r="K28" s="533"/>
      <c r="L28" s="537"/>
    </row>
    <row r="29" spans="1:12">
      <c r="A29" s="1458"/>
      <c r="B29" s="1459"/>
      <c r="C29" s="1459"/>
      <c r="D29" s="1459"/>
      <c r="E29" s="1459"/>
      <c r="F29" s="1459"/>
      <c r="G29" s="1459"/>
      <c r="H29" s="1460"/>
      <c r="I29" s="1438" t="s">
        <v>453</v>
      </c>
      <c r="J29" s="1439"/>
      <c r="K29" s="1440"/>
      <c r="L29" s="538">
        <f>SUM(L20:L28)</f>
        <v>0</v>
      </c>
    </row>
    <row r="30" spans="1:12">
      <c r="A30" s="1458"/>
      <c r="B30" s="1459"/>
      <c r="C30" s="1459"/>
      <c r="D30" s="1459"/>
      <c r="E30" s="1459"/>
      <c r="F30" s="1459"/>
      <c r="G30" s="1459"/>
      <c r="H30" s="1460"/>
      <c r="I30" s="532"/>
      <c r="J30" s="532"/>
      <c r="K30" s="532"/>
      <c r="L30" s="538"/>
    </row>
    <row r="31" spans="1:12">
      <c r="A31" s="1435" t="s">
        <v>458</v>
      </c>
      <c r="B31" s="1436"/>
      <c r="C31" s="1436"/>
      <c r="D31" s="1436"/>
      <c r="E31" s="1436"/>
      <c r="F31" s="1436"/>
      <c r="G31" s="1436"/>
      <c r="H31" s="1437"/>
      <c r="I31" s="532"/>
      <c r="J31" s="532"/>
      <c r="K31" s="532"/>
      <c r="L31" s="538">
        <f>L18</f>
        <v>0</v>
      </c>
    </row>
    <row r="32" spans="1:12" ht="13.5" thickBot="1">
      <c r="A32" s="1435" t="s">
        <v>459</v>
      </c>
      <c r="B32" s="1436"/>
      <c r="C32" s="1436"/>
      <c r="D32" s="1436"/>
      <c r="E32" s="1436"/>
      <c r="F32" s="1436"/>
      <c r="G32" s="1436"/>
      <c r="H32" s="1437"/>
      <c r="I32" s="532"/>
      <c r="J32" s="532"/>
      <c r="K32" s="788"/>
      <c r="L32" s="539">
        <f>L29</f>
        <v>0</v>
      </c>
    </row>
    <row r="33" spans="1:12" ht="21" customHeight="1" thickBot="1">
      <c r="A33" s="1409" t="s">
        <v>460</v>
      </c>
      <c r="B33" s="1410"/>
      <c r="C33" s="1410"/>
      <c r="D33" s="1410"/>
      <c r="E33" s="1410"/>
      <c r="F33" s="1410"/>
      <c r="G33" s="1410"/>
      <c r="H33" s="1410"/>
      <c r="I33" s="1410"/>
      <c r="J33" s="1410"/>
      <c r="K33" s="1411"/>
      <c r="L33" s="545">
        <f>L31+L32</f>
        <v>0</v>
      </c>
    </row>
  </sheetData>
  <mergeCells count="32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33:K33"/>
    <mergeCell ref="A28:H28"/>
    <mergeCell ref="A29:H29"/>
    <mergeCell ref="I29:K29"/>
    <mergeCell ref="A30:H30"/>
    <mergeCell ref="A31:H31"/>
    <mergeCell ref="A32:H32"/>
  </mergeCells>
  <pageMargins left="0.35433070866141736" right="0.15748031496062992" top="0.59055118110236227" bottom="0.39370078740157483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4">
    <tabColor theme="9"/>
  </sheetPr>
  <dimension ref="A1:L34"/>
  <sheetViews>
    <sheetView workbookViewId="0"/>
  </sheetViews>
  <sheetFormatPr defaultRowHeight="12.75"/>
  <cols>
    <col min="1" max="2" width="9.140625" style="314"/>
    <col min="3" max="3" width="12" style="314" bestFit="1" customWidth="1"/>
    <col min="4" max="7" width="9.140625" style="314"/>
    <col min="8" max="8" width="17.28515625" style="314" customWidth="1"/>
    <col min="9" max="11" width="9.7109375" style="314" customWidth="1"/>
    <col min="12" max="12" width="15" style="314" customWidth="1"/>
    <col min="13" max="258" width="9.140625" style="314"/>
    <col min="259" max="259" width="12" style="314" bestFit="1" customWidth="1"/>
    <col min="260" max="263" width="9.140625" style="314"/>
    <col min="264" max="264" width="17.28515625" style="314" customWidth="1"/>
    <col min="265" max="267" width="9.7109375" style="314" customWidth="1"/>
    <col min="268" max="268" width="15" style="314" customWidth="1"/>
    <col min="269" max="514" width="9.140625" style="314"/>
    <col min="515" max="515" width="12" style="314" bestFit="1" customWidth="1"/>
    <col min="516" max="519" width="9.140625" style="314"/>
    <col min="520" max="520" width="17.28515625" style="314" customWidth="1"/>
    <col min="521" max="523" width="9.7109375" style="314" customWidth="1"/>
    <col min="524" max="524" width="15" style="314" customWidth="1"/>
    <col min="525" max="770" width="9.140625" style="314"/>
    <col min="771" max="771" width="12" style="314" bestFit="1" customWidth="1"/>
    <col min="772" max="775" width="9.140625" style="314"/>
    <col min="776" max="776" width="17.28515625" style="314" customWidth="1"/>
    <col min="777" max="779" width="9.7109375" style="314" customWidth="1"/>
    <col min="780" max="780" width="15" style="314" customWidth="1"/>
    <col min="781" max="1026" width="9.140625" style="314"/>
    <col min="1027" max="1027" width="12" style="314" bestFit="1" customWidth="1"/>
    <col min="1028" max="1031" width="9.140625" style="314"/>
    <col min="1032" max="1032" width="17.28515625" style="314" customWidth="1"/>
    <col min="1033" max="1035" width="9.7109375" style="314" customWidth="1"/>
    <col min="1036" max="1036" width="15" style="314" customWidth="1"/>
    <col min="1037" max="1282" width="9.140625" style="314"/>
    <col min="1283" max="1283" width="12" style="314" bestFit="1" customWidth="1"/>
    <col min="1284" max="1287" width="9.140625" style="314"/>
    <col min="1288" max="1288" width="17.28515625" style="314" customWidth="1"/>
    <col min="1289" max="1291" width="9.7109375" style="314" customWidth="1"/>
    <col min="1292" max="1292" width="15" style="314" customWidth="1"/>
    <col min="1293" max="1538" width="9.140625" style="314"/>
    <col min="1539" max="1539" width="12" style="314" bestFit="1" customWidth="1"/>
    <col min="1540" max="1543" width="9.140625" style="314"/>
    <col min="1544" max="1544" width="17.28515625" style="314" customWidth="1"/>
    <col min="1545" max="1547" width="9.7109375" style="314" customWidth="1"/>
    <col min="1548" max="1548" width="15" style="314" customWidth="1"/>
    <col min="1549" max="1794" width="9.140625" style="314"/>
    <col min="1795" max="1795" width="12" style="314" bestFit="1" customWidth="1"/>
    <col min="1796" max="1799" width="9.140625" style="314"/>
    <col min="1800" max="1800" width="17.28515625" style="314" customWidth="1"/>
    <col min="1801" max="1803" width="9.7109375" style="314" customWidth="1"/>
    <col min="1804" max="1804" width="15" style="314" customWidth="1"/>
    <col min="1805" max="2050" width="9.140625" style="314"/>
    <col min="2051" max="2051" width="12" style="314" bestFit="1" customWidth="1"/>
    <col min="2052" max="2055" width="9.140625" style="314"/>
    <col min="2056" max="2056" width="17.28515625" style="314" customWidth="1"/>
    <col min="2057" max="2059" width="9.7109375" style="314" customWidth="1"/>
    <col min="2060" max="2060" width="15" style="314" customWidth="1"/>
    <col min="2061" max="2306" width="9.140625" style="314"/>
    <col min="2307" max="2307" width="12" style="314" bestFit="1" customWidth="1"/>
    <col min="2308" max="2311" width="9.140625" style="314"/>
    <col min="2312" max="2312" width="17.28515625" style="314" customWidth="1"/>
    <col min="2313" max="2315" width="9.7109375" style="314" customWidth="1"/>
    <col min="2316" max="2316" width="15" style="314" customWidth="1"/>
    <col min="2317" max="2562" width="9.140625" style="314"/>
    <col min="2563" max="2563" width="12" style="314" bestFit="1" customWidth="1"/>
    <col min="2564" max="2567" width="9.140625" style="314"/>
    <col min="2568" max="2568" width="17.28515625" style="314" customWidth="1"/>
    <col min="2569" max="2571" width="9.7109375" style="314" customWidth="1"/>
    <col min="2572" max="2572" width="15" style="314" customWidth="1"/>
    <col min="2573" max="2818" width="9.140625" style="314"/>
    <col min="2819" max="2819" width="12" style="314" bestFit="1" customWidth="1"/>
    <col min="2820" max="2823" width="9.140625" style="314"/>
    <col min="2824" max="2824" width="17.28515625" style="314" customWidth="1"/>
    <col min="2825" max="2827" width="9.7109375" style="314" customWidth="1"/>
    <col min="2828" max="2828" width="15" style="314" customWidth="1"/>
    <col min="2829" max="3074" width="9.140625" style="314"/>
    <col min="3075" max="3075" width="12" style="314" bestFit="1" customWidth="1"/>
    <col min="3076" max="3079" width="9.140625" style="314"/>
    <col min="3080" max="3080" width="17.28515625" style="314" customWidth="1"/>
    <col min="3081" max="3083" width="9.7109375" style="314" customWidth="1"/>
    <col min="3084" max="3084" width="15" style="314" customWidth="1"/>
    <col min="3085" max="3330" width="9.140625" style="314"/>
    <col min="3331" max="3331" width="12" style="314" bestFit="1" customWidth="1"/>
    <col min="3332" max="3335" width="9.140625" style="314"/>
    <col min="3336" max="3336" width="17.28515625" style="314" customWidth="1"/>
    <col min="3337" max="3339" width="9.7109375" style="314" customWidth="1"/>
    <col min="3340" max="3340" width="15" style="314" customWidth="1"/>
    <col min="3341" max="3586" width="9.140625" style="314"/>
    <col min="3587" max="3587" width="12" style="314" bestFit="1" customWidth="1"/>
    <col min="3588" max="3591" width="9.140625" style="314"/>
    <col min="3592" max="3592" width="17.28515625" style="314" customWidth="1"/>
    <col min="3593" max="3595" width="9.7109375" style="314" customWidth="1"/>
    <col min="3596" max="3596" width="15" style="314" customWidth="1"/>
    <col min="3597" max="3842" width="9.140625" style="314"/>
    <col min="3843" max="3843" width="12" style="314" bestFit="1" customWidth="1"/>
    <col min="3844" max="3847" width="9.140625" style="314"/>
    <col min="3848" max="3848" width="17.28515625" style="314" customWidth="1"/>
    <col min="3849" max="3851" width="9.7109375" style="314" customWidth="1"/>
    <col min="3852" max="3852" width="15" style="314" customWidth="1"/>
    <col min="3853" max="4098" width="9.140625" style="314"/>
    <col min="4099" max="4099" width="12" style="314" bestFit="1" customWidth="1"/>
    <col min="4100" max="4103" width="9.140625" style="314"/>
    <col min="4104" max="4104" width="17.28515625" style="314" customWidth="1"/>
    <col min="4105" max="4107" width="9.7109375" style="314" customWidth="1"/>
    <col min="4108" max="4108" width="15" style="314" customWidth="1"/>
    <col min="4109" max="4354" width="9.140625" style="314"/>
    <col min="4355" max="4355" width="12" style="314" bestFit="1" customWidth="1"/>
    <col min="4356" max="4359" width="9.140625" style="314"/>
    <col min="4360" max="4360" width="17.28515625" style="314" customWidth="1"/>
    <col min="4361" max="4363" width="9.7109375" style="314" customWidth="1"/>
    <col min="4364" max="4364" width="15" style="314" customWidth="1"/>
    <col min="4365" max="4610" width="9.140625" style="314"/>
    <col min="4611" max="4611" width="12" style="314" bestFit="1" customWidth="1"/>
    <col min="4612" max="4615" width="9.140625" style="314"/>
    <col min="4616" max="4616" width="17.28515625" style="314" customWidth="1"/>
    <col min="4617" max="4619" width="9.7109375" style="314" customWidth="1"/>
    <col min="4620" max="4620" width="15" style="314" customWidth="1"/>
    <col min="4621" max="4866" width="9.140625" style="314"/>
    <col min="4867" max="4867" width="12" style="314" bestFit="1" customWidth="1"/>
    <col min="4868" max="4871" width="9.140625" style="314"/>
    <col min="4872" max="4872" width="17.28515625" style="314" customWidth="1"/>
    <col min="4873" max="4875" width="9.7109375" style="314" customWidth="1"/>
    <col min="4876" max="4876" width="15" style="314" customWidth="1"/>
    <col min="4877" max="5122" width="9.140625" style="314"/>
    <col min="5123" max="5123" width="12" style="314" bestFit="1" customWidth="1"/>
    <col min="5124" max="5127" width="9.140625" style="314"/>
    <col min="5128" max="5128" width="17.28515625" style="314" customWidth="1"/>
    <col min="5129" max="5131" width="9.7109375" style="314" customWidth="1"/>
    <col min="5132" max="5132" width="15" style="314" customWidth="1"/>
    <col min="5133" max="5378" width="9.140625" style="314"/>
    <col min="5379" max="5379" width="12" style="314" bestFit="1" customWidth="1"/>
    <col min="5380" max="5383" width="9.140625" style="314"/>
    <col min="5384" max="5384" width="17.28515625" style="314" customWidth="1"/>
    <col min="5385" max="5387" width="9.7109375" style="314" customWidth="1"/>
    <col min="5388" max="5388" width="15" style="314" customWidth="1"/>
    <col min="5389" max="5634" width="9.140625" style="314"/>
    <col min="5635" max="5635" width="12" style="314" bestFit="1" customWidth="1"/>
    <col min="5636" max="5639" width="9.140625" style="314"/>
    <col min="5640" max="5640" width="17.28515625" style="314" customWidth="1"/>
    <col min="5641" max="5643" width="9.7109375" style="314" customWidth="1"/>
    <col min="5644" max="5644" width="15" style="314" customWidth="1"/>
    <col min="5645" max="5890" width="9.140625" style="314"/>
    <col min="5891" max="5891" width="12" style="314" bestFit="1" customWidth="1"/>
    <col min="5892" max="5895" width="9.140625" style="314"/>
    <col min="5896" max="5896" width="17.28515625" style="314" customWidth="1"/>
    <col min="5897" max="5899" width="9.7109375" style="314" customWidth="1"/>
    <col min="5900" max="5900" width="15" style="314" customWidth="1"/>
    <col min="5901" max="6146" width="9.140625" style="314"/>
    <col min="6147" max="6147" width="12" style="314" bestFit="1" customWidth="1"/>
    <col min="6148" max="6151" width="9.140625" style="314"/>
    <col min="6152" max="6152" width="17.28515625" style="314" customWidth="1"/>
    <col min="6153" max="6155" width="9.7109375" style="314" customWidth="1"/>
    <col min="6156" max="6156" width="15" style="314" customWidth="1"/>
    <col min="6157" max="6402" width="9.140625" style="314"/>
    <col min="6403" max="6403" width="12" style="314" bestFit="1" customWidth="1"/>
    <col min="6404" max="6407" width="9.140625" style="314"/>
    <col min="6408" max="6408" width="17.28515625" style="314" customWidth="1"/>
    <col min="6409" max="6411" width="9.7109375" style="314" customWidth="1"/>
    <col min="6412" max="6412" width="15" style="314" customWidth="1"/>
    <col min="6413" max="6658" width="9.140625" style="314"/>
    <col min="6659" max="6659" width="12" style="314" bestFit="1" customWidth="1"/>
    <col min="6660" max="6663" width="9.140625" style="314"/>
    <col min="6664" max="6664" width="17.28515625" style="314" customWidth="1"/>
    <col min="6665" max="6667" width="9.7109375" style="314" customWidth="1"/>
    <col min="6668" max="6668" width="15" style="314" customWidth="1"/>
    <col min="6669" max="6914" width="9.140625" style="314"/>
    <col min="6915" max="6915" width="12" style="314" bestFit="1" customWidth="1"/>
    <col min="6916" max="6919" width="9.140625" style="314"/>
    <col min="6920" max="6920" width="17.28515625" style="314" customWidth="1"/>
    <col min="6921" max="6923" width="9.7109375" style="314" customWidth="1"/>
    <col min="6924" max="6924" width="15" style="314" customWidth="1"/>
    <col min="6925" max="7170" width="9.140625" style="314"/>
    <col min="7171" max="7171" width="12" style="314" bestFit="1" customWidth="1"/>
    <col min="7172" max="7175" width="9.140625" style="314"/>
    <col min="7176" max="7176" width="17.28515625" style="314" customWidth="1"/>
    <col min="7177" max="7179" width="9.7109375" style="314" customWidth="1"/>
    <col min="7180" max="7180" width="15" style="314" customWidth="1"/>
    <col min="7181" max="7426" width="9.140625" style="314"/>
    <col min="7427" max="7427" width="12" style="314" bestFit="1" customWidth="1"/>
    <col min="7428" max="7431" width="9.140625" style="314"/>
    <col min="7432" max="7432" width="17.28515625" style="314" customWidth="1"/>
    <col min="7433" max="7435" width="9.7109375" style="314" customWidth="1"/>
    <col min="7436" max="7436" width="15" style="314" customWidth="1"/>
    <col min="7437" max="7682" width="9.140625" style="314"/>
    <col min="7683" max="7683" width="12" style="314" bestFit="1" customWidth="1"/>
    <col min="7684" max="7687" width="9.140625" style="314"/>
    <col min="7688" max="7688" width="17.28515625" style="314" customWidth="1"/>
    <col min="7689" max="7691" width="9.7109375" style="314" customWidth="1"/>
    <col min="7692" max="7692" width="15" style="314" customWidth="1"/>
    <col min="7693" max="7938" width="9.140625" style="314"/>
    <col min="7939" max="7939" width="12" style="314" bestFit="1" customWidth="1"/>
    <col min="7940" max="7943" width="9.140625" style="314"/>
    <col min="7944" max="7944" width="17.28515625" style="314" customWidth="1"/>
    <col min="7945" max="7947" width="9.7109375" style="314" customWidth="1"/>
    <col min="7948" max="7948" width="15" style="314" customWidth="1"/>
    <col min="7949" max="8194" width="9.140625" style="314"/>
    <col min="8195" max="8195" width="12" style="314" bestFit="1" customWidth="1"/>
    <col min="8196" max="8199" width="9.140625" style="314"/>
    <col min="8200" max="8200" width="17.28515625" style="314" customWidth="1"/>
    <col min="8201" max="8203" width="9.7109375" style="314" customWidth="1"/>
    <col min="8204" max="8204" width="15" style="314" customWidth="1"/>
    <col min="8205" max="8450" width="9.140625" style="314"/>
    <col min="8451" max="8451" width="12" style="314" bestFit="1" customWidth="1"/>
    <col min="8452" max="8455" width="9.140625" style="314"/>
    <col min="8456" max="8456" width="17.28515625" style="314" customWidth="1"/>
    <col min="8457" max="8459" width="9.7109375" style="314" customWidth="1"/>
    <col min="8460" max="8460" width="15" style="314" customWidth="1"/>
    <col min="8461" max="8706" width="9.140625" style="314"/>
    <col min="8707" max="8707" width="12" style="314" bestFit="1" customWidth="1"/>
    <col min="8708" max="8711" width="9.140625" style="314"/>
    <col min="8712" max="8712" width="17.28515625" style="314" customWidth="1"/>
    <col min="8713" max="8715" width="9.7109375" style="314" customWidth="1"/>
    <col min="8716" max="8716" width="15" style="314" customWidth="1"/>
    <col min="8717" max="8962" width="9.140625" style="314"/>
    <col min="8963" max="8963" width="12" style="314" bestFit="1" customWidth="1"/>
    <col min="8964" max="8967" width="9.140625" style="314"/>
    <col min="8968" max="8968" width="17.28515625" style="314" customWidth="1"/>
    <col min="8969" max="8971" width="9.7109375" style="314" customWidth="1"/>
    <col min="8972" max="8972" width="15" style="314" customWidth="1"/>
    <col min="8973" max="9218" width="9.140625" style="314"/>
    <col min="9219" max="9219" width="12" style="314" bestFit="1" customWidth="1"/>
    <col min="9220" max="9223" width="9.140625" style="314"/>
    <col min="9224" max="9224" width="17.28515625" style="314" customWidth="1"/>
    <col min="9225" max="9227" width="9.7109375" style="314" customWidth="1"/>
    <col min="9228" max="9228" width="15" style="314" customWidth="1"/>
    <col min="9229" max="9474" width="9.140625" style="314"/>
    <col min="9475" max="9475" width="12" style="314" bestFit="1" customWidth="1"/>
    <col min="9476" max="9479" width="9.140625" style="314"/>
    <col min="9480" max="9480" width="17.28515625" style="314" customWidth="1"/>
    <col min="9481" max="9483" width="9.7109375" style="314" customWidth="1"/>
    <col min="9484" max="9484" width="15" style="314" customWidth="1"/>
    <col min="9485" max="9730" width="9.140625" style="314"/>
    <col min="9731" max="9731" width="12" style="314" bestFit="1" customWidth="1"/>
    <col min="9732" max="9735" width="9.140625" style="314"/>
    <col min="9736" max="9736" width="17.28515625" style="314" customWidth="1"/>
    <col min="9737" max="9739" width="9.7109375" style="314" customWidth="1"/>
    <col min="9740" max="9740" width="15" style="314" customWidth="1"/>
    <col min="9741" max="9986" width="9.140625" style="314"/>
    <col min="9987" max="9987" width="12" style="314" bestFit="1" customWidth="1"/>
    <col min="9988" max="9991" width="9.140625" style="314"/>
    <col min="9992" max="9992" width="17.28515625" style="314" customWidth="1"/>
    <col min="9993" max="9995" width="9.7109375" style="314" customWidth="1"/>
    <col min="9996" max="9996" width="15" style="314" customWidth="1"/>
    <col min="9997" max="10242" width="9.140625" style="314"/>
    <col min="10243" max="10243" width="12" style="314" bestFit="1" customWidth="1"/>
    <col min="10244" max="10247" width="9.140625" style="314"/>
    <col min="10248" max="10248" width="17.28515625" style="314" customWidth="1"/>
    <col min="10249" max="10251" width="9.7109375" style="314" customWidth="1"/>
    <col min="10252" max="10252" width="15" style="314" customWidth="1"/>
    <col min="10253" max="10498" width="9.140625" style="314"/>
    <col min="10499" max="10499" width="12" style="314" bestFit="1" customWidth="1"/>
    <col min="10500" max="10503" width="9.140625" style="314"/>
    <col min="10504" max="10504" width="17.28515625" style="314" customWidth="1"/>
    <col min="10505" max="10507" width="9.7109375" style="314" customWidth="1"/>
    <col min="10508" max="10508" width="15" style="314" customWidth="1"/>
    <col min="10509" max="10754" width="9.140625" style="314"/>
    <col min="10755" max="10755" width="12" style="314" bestFit="1" customWidth="1"/>
    <col min="10756" max="10759" width="9.140625" style="314"/>
    <col min="10760" max="10760" width="17.28515625" style="314" customWidth="1"/>
    <col min="10761" max="10763" width="9.7109375" style="314" customWidth="1"/>
    <col min="10764" max="10764" width="15" style="314" customWidth="1"/>
    <col min="10765" max="11010" width="9.140625" style="314"/>
    <col min="11011" max="11011" width="12" style="314" bestFit="1" customWidth="1"/>
    <col min="11012" max="11015" width="9.140625" style="314"/>
    <col min="11016" max="11016" width="17.28515625" style="314" customWidth="1"/>
    <col min="11017" max="11019" width="9.7109375" style="314" customWidth="1"/>
    <col min="11020" max="11020" width="15" style="314" customWidth="1"/>
    <col min="11021" max="11266" width="9.140625" style="314"/>
    <col min="11267" max="11267" width="12" style="314" bestFit="1" customWidth="1"/>
    <col min="11268" max="11271" width="9.140625" style="314"/>
    <col min="11272" max="11272" width="17.28515625" style="314" customWidth="1"/>
    <col min="11273" max="11275" width="9.7109375" style="314" customWidth="1"/>
    <col min="11276" max="11276" width="15" style="314" customWidth="1"/>
    <col min="11277" max="11522" width="9.140625" style="314"/>
    <col min="11523" max="11523" width="12" style="314" bestFit="1" customWidth="1"/>
    <col min="11524" max="11527" width="9.140625" style="314"/>
    <col min="11528" max="11528" width="17.28515625" style="314" customWidth="1"/>
    <col min="11529" max="11531" width="9.7109375" style="314" customWidth="1"/>
    <col min="11532" max="11532" width="15" style="314" customWidth="1"/>
    <col min="11533" max="11778" width="9.140625" style="314"/>
    <col min="11779" max="11779" width="12" style="314" bestFit="1" customWidth="1"/>
    <col min="11780" max="11783" width="9.140625" style="314"/>
    <col min="11784" max="11784" width="17.28515625" style="314" customWidth="1"/>
    <col min="11785" max="11787" width="9.7109375" style="314" customWidth="1"/>
    <col min="11788" max="11788" width="15" style="314" customWidth="1"/>
    <col min="11789" max="12034" width="9.140625" style="314"/>
    <col min="12035" max="12035" width="12" style="314" bestFit="1" customWidth="1"/>
    <col min="12036" max="12039" width="9.140625" style="314"/>
    <col min="12040" max="12040" width="17.28515625" style="314" customWidth="1"/>
    <col min="12041" max="12043" width="9.7109375" style="314" customWidth="1"/>
    <col min="12044" max="12044" width="15" style="314" customWidth="1"/>
    <col min="12045" max="12290" width="9.140625" style="314"/>
    <col min="12291" max="12291" width="12" style="314" bestFit="1" customWidth="1"/>
    <col min="12292" max="12295" width="9.140625" style="314"/>
    <col min="12296" max="12296" width="17.28515625" style="314" customWidth="1"/>
    <col min="12297" max="12299" width="9.7109375" style="314" customWidth="1"/>
    <col min="12300" max="12300" width="15" style="314" customWidth="1"/>
    <col min="12301" max="12546" width="9.140625" style="314"/>
    <col min="12547" max="12547" width="12" style="314" bestFit="1" customWidth="1"/>
    <col min="12548" max="12551" width="9.140625" style="314"/>
    <col min="12552" max="12552" width="17.28515625" style="314" customWidth="1"/>
    <col min="12553" max="12555" width="9.7109375" style="314" customWidth="1"/>
    <col min="12556" max="12556" width="15" style="314" customWidth="1"/>
    <col min="12557" max="12802" width="9.140625" style="314"/>
    <col min="12803" max="12803" width="12" style="314" bestFit="1" customWidth="1"/>
    <col min="12804" max="12807" width="9.140625" style="314"/>
    <col min="12808" max="12808" width="17.28515625" style="314" customWidth="1"/>
    <col min="12809" max="12811" width="9.7109375" style="314" customWidth="1"/>
    <col min="12812" max="12812" width="15" style="314" customWidth="1"/>
    <col min="12813" max="13058" width="9.140625" style="314"/>
    <col min="13059" max="13059" width="12" style="314" bestFit="1" customWidth="1"/>
    <col min="13060" max="13063" width="9.140625" style="314"/>
    <col min="13064" max="13064" width="17.28515625" style="314" customWidth="1"/>
    <col min="13065" max="13067" width="9.7109375" style="314" customWidth="1"/>
    <col min="13068" max="13068" width="15" style="314" customWidth="1"/>
    <col min="13069" max="13314" width="9.140625" style="314"/>
    <col min="13315" max="13315" width="12" style="314" bestFit="1" customWidth="1"/>
    <col min="13316" max="13319" width="9.140625" style="314"/>
    <col min="13320" max="13320" width="17.28515625" style="314" customWidth="1"/>
    <col min="13321" max="13323" width="9.7109375" style="314" customWidth="1"/>
    <col min="13324" max="13324" width="15" style="314" customWidth="1"/>
    <col min="13325" max="13570" width="9.140625" style="314"/>
    <col min="13571" max="13571" width="12" style="314" bestFit="1" customWidth="1"/>
    <col min="13572" max="13575" width="9.140625" style="314"/>
    <col min="13576" max="13576" width="17.28515625" style="314" customWidth="1"/>
    <col min="13577" max="13579" width="9.7109375" style="314" customWidth="1"/>
    <col min="13580" max="13580" width="15" style="314" customWidth="1"/>
    <col min="13581" max="13826" width="9.140625" style="314"/>
    <col min="13827" max="13827" width="12" style="314" bestFit="1" customWidth="1"/>
    <col min="13828" max="13831" width="9.140625" style="314"/>
    <col min="13832" max="13832" width="17.28515625" style="314" customWidth="1"/>
    <col min="13833" max="13835" width="9.7109375" style="314" customWidth="1"/>
    <col min="13836" max="13836" width="15" style="314" customWidth="1"/>
    <col min="13837" max="14082" width="9.140625" style="314"/>
    <col min="14083" max="14083" width="12" style="314" bestFit="1" customWidth="1"/>
    <col min="14084" max="14087" width="9.140625" style="314"/>
    <col min="14088" max="14088" width="17.28515625" style="314" customWidth="1"/>
    <col min="14089" max="14091" width="9.7109375" style="314" customWidth="1"/>
    <col min="14092" max="14092" width="15" style="314" customWidth="1"/>
    <col min="14093" max="14338" width="9.140625" style="314"/>
    <col min="14339" max="14339" width="12" style="314" bestFit="1" customWidth="1"/>
    <col min="14340" max="14343" width="9.140625" style="314"/>
    <col min="14344" max="14344" width="17.28515625" style="314" customWidth="1"/>
    <col min="14345" max="14347" width="9.7109375" style="314" customWidth="1"/>
    <col min="14348" max="14348" width="15" style="314" customWidth="1"/>
    <col min="14349" max="14594" width="9.140625" style="314"/>
    <col min="14595" max="14595" width="12" style="314" bestFit="1" customWidth="1"/>
    <col min="14596" max="14599" width="9.140625" style="314"/>
    <col min="14600" max="14600" width="17.28515625" style="314" customWidth="1"/>
    <col min="14601" max="14603" width="9.7109375" style="314" customWidth="1"/>
    <col min="14604" max="14604" width="15" style="314" customWidth="1"/>
    <col min="14605" max="14850" width="9.140625" style="314"/>
    <col min="14851" max="14851" width="12" style="314" bestFit="1" customWidth="1"/>
    <col min="14852" max="14855" width="9.140625" style="314"/>
    <col min="14856" max="14856" width="17.28515625" style="314" customWidth="1"/>
    <col min="14857" max="14859" width="9.7109375" style="314" customWidth="1"/>
    <col min="14860" max="14860" width="15" style="314" customWidth="1"/>
    <col min="14861" max="15106" width="9.140625" style="314"/>
    <col min="15107" max="15107" width="12" style="314" bestFit="1" customWidth="1"/>
    <col min="15108" max="15111" width="9.140625" style="314"/>
    <col min="15112" max="15112" width="17.28515625" style="314" customWidth="1"/>
    <col min="15113" max="15115" width="9.7109375" style="314" customWidth="1"/>
    <col min="15116" max="15116" width="15" style="314" customWidth="1"/>
    <col min="15117" max="15362" width="9.140625" style="314"/>
    <col min="15363" max="15363" width="12" style="314" bestFit="1" customWidth="1"/>
    <col min="15364" max="15367" width="9.140625" style="314"/>
    <col min="15368" max="15368" width="17.28515625" style="314" customWidth="1"/>
    <col min="15369" max="15371" width="9.7109375" style="314" customWidth="1"/>
    <col min="15372" max="15372" width="15" style="314" customWidth="1"/>
    <col min="15373" max="15618" width="9.140625" style="314"/>
    <col min="15619" max="15619" width="12" style="314" bestFit="1" customWidth="1"/>
    <col min="15620" max="15623" width="9.140625" style="314"/>
    <col min="15624" max="15624" width="17.28515625" style="314" customWidth="1"/>
    <col min="15625" max="15627" width="9.7109375" style="314" customWidth="1"/>
    <col min="15628" max="15628" width="15" style="314" customWidth="1"/>
    <col min="15629" max="15874" width="9.140625" style="314"/>
    <col min="15875" max="15875" width="12" style="314" bestFit="1" customWidth="1"/>
    <col min="15876" max="15879" width="9.140625" style="314"/>
    <col min="15880" max="15880" width="17.28515625" style="314" customWidth="1"/>
    <col min="15881" max="15883" width="9.7109375" style="314" customWidth="1"/>
    <col min="15884" max="15884" width="15" style="314" customWidth="1"/>
    <col min="15885" max="16130" width="9.140625" style="314"/>
    <col min="16131" max="16131" width="12" style="314" bestFit="1" customWidth="1"/>
    <col min="16132" max="16135" width="9.140625" style="314"/>
    <col min="16136" max="16136" width="17.28515625" style="314" customWidth="1"/>
    <col min="16137" max="16139" width="9.7109375" style="314" customWidth="1"/>
    <col min="16140" max="16140" width="15" style="314" customWidth="1"/>
    <col min="16141" max="16384" width="9.140625" style="314"/>
  </cols>
  <sheetData>
    <row r="1" spans="1:12" ht="15.75">
      <c r="L1" s="523" t="s">
        <v>461</v>
      </c>
    </row>
    <row r="2" spans="1:12" ht="8.25" customHeight="1">
      <c r="L2" s="399"/>
    </row>
    <row r="3" spans="1:12" ht="15.75" customHeight="1">
      <c r="A3" s="400" t="str">
        <f>'Pg 7 WAF No CPI'!A3</f>
        <v>NRA.N.011-050-2012/1F</v>
      </c>
      <c r="B3" s="401"/>
      <c r="C3" s="524"/>
      <c r="D3" s="403"/>
      <c r="E3" s="403"/>
      <c r="F3" s="1401">
        <f>'F1  Cover'!L8</f>
        <v>44804</v>
      </c>
      <c r="G3" s="1401"/>
      <c r="H3" s="1424" t="s">
        <v>379</v>
      </c>
      <c r="I3" s="1424"/>
      <c r="J3" s="1424"/>
      <c r="K3" s="1423">
        <f>'F1  Cover'!K8</f>
        <v>1</v>
      </c>
      <c r="L3" s="1451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58" t="s">
        <v>462</v>
      </c>
      <c r="B6" s="1359"/>
      <c r="C6" s="1359"/>
      <c r="D6" s="1359"/>
      <c r="E6" s="1359"/>
      <c r="F6" s="1359"/>
      <c r="G6" s="1359"/>
      <c r="H6" s="1359"/>
      <c r="I6" s="1359"/>
      <c r="J6" s="1359"/>
      <c r="K6" s="1359"/>
      <c r="L6" s="1360"/>
    </row>
    <row r="7" spans="1:12" ht="15.75" customHeight="1" thickBot="1">
      <c r="A7" s="526"/>
      <c r="L7" s="527"/>
    </row>
    <row r="8" spans="1:12" ht="15.75" customHeight="1" thickBot="1">
      <c r="A8" s="1425" t="s">
        <v>0</v>
      </c>
      <c r="B8" s="1426"/>
      <c r="C8" s="1426"/>
      <c r="D8" s="1426"/>
      <c r="E8" s="1426"/>
      <c r="F8" s="1426"/>
      <c r="G8" s="1426"/>
      <c r="H8" s="1427"/>
      <c r="I8" s="528" t="s">
        <v>1</v>
      </c>
      <c r="J8" s="528" t="s">
        <v>2</v>
      </c>
      <c r="K8" s="528" t="s">
        <v>3</v>
      </c>
      <c r="L8" s="529" t="s">
        <v>404</v>
      </c>
    </row>
    <row r="9" spans="1:12" ht="12.75" customHeight="1">
      <c r="A9" s="1479" t="s">
        <v>450</v>
      </c>
      <c r="B9" s="1480"/>
      <c r="C9" s="1480"/>
      <c r="D9" s="1480"/>
      <c r="E9" s="1480"/>
      <c r="F9" s="1480"/>
      <c r="G9" s="1480"/>
      <c r="H9" s="1480"/>
      <c r="I9" s="546"/>
      <c r="J9" s="546"/>
      <c r="K9" s="546"/>
      <c r="L9" s="547"/>
    </row>
    <row r="10" spans="1:12" ht="12.75" customHeight="1">
      <c r="A10" s="1479" t="s">
        <v>463</v>
      </c>
      <c r="B10" s="1480"/>
      <c r="C10" s="1480"/>
      <c r="D10" s="1480"/>
      <c r="E10" s="1480"/>
      <c r="F10" s="1480"/>
      <c r="G10" s="1480"/>
      <c r="H10" s="1480"/>
      <c r="I10" s="546"/>
      <c r="J10" s="546"/>
      <c r="K10" s="546"/>
      <c r="L10" s="547"/>
    </row>
    <row r="11" spans="1:12">
      <c r="A11" s="1473" t="s">
        <v>385</v>
      </c>
      <c r="B11" s="1474"/>
      <c r="C11" s="1474"/>
      <c r="D11" s="1474"/>
      <c r="E11" s="1474"/>
      <c r="F11" s="1474"/>
      <c r="G11" s="1474"/>
      <c r="H11" s="1474"/>
      <c r="I11" s="533"/>
      <c r="J11" s="548"/>
      <c r="K11" s="549"/>
      <c r="L11" s="537"/>
    </row>
    <row r="12" spans="1:12">
      <c r="A12" s="1473"/>
      <c r="B12" s="1474"/>
      <c r="C12" s="1474"/>
      <c r="D12" s="1474"/>
      <c r="E12" s="1474"/>
      <c r="F12" s="1474"/>
      <c r="G12" s="1474"/>
      <c r="H12" s="1474"/>
      <c r="I12" s="533"/>
      <c r="J12" s="548"/>
      <c r="K12" s="549"/>
      <c r="L12" s="537"/>
    </row>
    <row r="13" spans="1:12">
      <c r="A13" s="1470"/>
      <c r="B13" s="1471"/>
      <c r="C13" s="1471"/>
      <c r="D13" s="1471"/>
      <c r="E13" s="1471"/>
      <c r="F13" s="1471"/>
      <c r="G13" s="1471"/>
      <c r="H13" s="1472"/>
      <c r="I13" s="533"/>
      <c r="J13" s="533"/>
      <c r="K13" s="549"/>
      <c r="L13" s="537"/>
    </row>
    <row r="14" spans="1:12">
      <c r="A14" s="1470"/>
      <c r="B14" s="1471"/>
      <c r="C14" s="1471"/>
      <c r="D14" s="1471"/>
      <c r="E14" s="1471"/>
      <c r="F14" s="1471"/>
      <c r="G14" s="1471"/>
      <c r="H14" s="1472"/>
      <c r="I14" s="533"/>
      <c r="J14" s="533"/>
      <c r="K14" s="549"/>
      <c r="L14" s="537"/>
    </row>
    <row r="15" spans="1:12">
      <c r="A15" s="1470"/>
      <c r="B15" s="1471"/>
      <c r="C15" s="1471"/>
      <c r="D15" s="1471"/>
      <c r="E15" s="1471"/>
      <c r="F15" s="1471"/>
      <c r="G15" s="1471"/>
      <c r="H15" s="1472"/>
      <c r="I15" s="533"/>
      <c r="J15" s="533"/>
      <c r="K15" s="549"/>
      <c r="L15" s="537"/>
    </row>
    <row r="16" spans="1:12">
      <c r="A16" s="1473"/>
      <c r="B16" s="1474"/>
      <c r="C16" s="1474"/>
      <c r="D16" s="1474"/>
      <c r="E16" s="1474"/>
      <c r="F16" s="1474"/>
      <c r="G16" s="1474"/>
      <c r="H16" s="1474"/>
      <c r="I16" s="533"/>
      <c r="J16" s="548"/>
      <c r="K16" s="549"/>
      <c r="L16" s="537"/>
    </row>
    <row r="17" spans="1:12">
      <c r="A17" s="1473"/>
      <c r="B17" s="1474"/>
      <c r="C17" s="1474"/>
      <c r="D17" s="1474"/>
      <c r="E17" s="1474"/>
      <c r="F17" s="1474"/>
      <c r="G17" s="1474"/>
      <c r="H17" s="1474"/>
      <c r="I17" s="533"/>
      <c r="J17" s="548"/>
      <c r="K17" s="549"/>
      <c r="L17" s="537"/>
    </row>
    <row r="18" spans="1:12">
      <c r="A18" s="1458"/>
      <c r="B18" s="1459"/>
      <c r="C18" s="1459"/>
      <c r="D18" s="1459"/>
      <c r="E18" s="1459"/>
      <c r="F18" s="1459"/>
      <c r="G18" s="1459"/>
      <c r="H18" s="1460"/>
      <c r="I18" s="1438" t="s">
        <v>464</v>
      </c>
      <c r="J18" s="1439"/>
      <c r="K18" s="1440"/>
      <c r="L18" s="538">
        <f>SUM(L11:L17)</f>
        <v>0</v>
      </c>
    </row>
    <row r="19" spans="1:12">
      <c r="A19" s="1475"/>
      <c r="B19" s="1476"/>
      <c r="C19" s="1476"/>
      <c r="D19" s="1476"/>
      <c r="E19" s="1476"/>
      <c r="F19" s="1476"/>
      <c r="G19" s="1476"/>
      <c r="H19" s="1476"/>
      <c r="I19" s="740"/>
      <c r="J19" s="786"/>
      <c r="K19" s="787"/>
      <c r="L19" s="538"/>
    </row>
    <row r="20" spans="1:12">
      <c r="A20" s="1477" t="s">
        <v>452</v>
      </c>
      <c r="B20" s="1478"/>
      <c r="C20" s="1478"/>
      <c r="D20" s="1478"/>
      <c r="E20" s="1478"/>
      <c r="F20" s="1478"/>
      <c r="G20" s="1478"/>
      <c r="H20" s="1478"/>
      <c r="I20" s="532"/>
      <c r="J20" s="532"/>
      <c r="K20" s="550"/>
      <c r="L20" s="538"/>
    </row>
    <row r="21" spans="1:12">
      <c r="A21" s="1477" t="s">
        <v>463</v>
      </c>
      <c r="B21" s="1478"/>
      <c r="C21" s="1478"/>
      <c r="D21" s="1478"/>
      <c r="E21" s="1478"/>
      <c r="F21" s="1478"/>
      <c r="G21" s="1478"/>
      <c r="H21" s="1478"/>
      <c r="I21" s="532"/>
      <c r="J21" s="532"/>
      <c r="K21" s="550"/>
      <c r="L21" s="538"/>
    </row>
    <row r="22" spans="1:12">
      <c r="A22" s="1473" t="s">
        <v>385</v>
      </c>
      <c r="B22" s="1474"/>
      <c r="C22" s="1474"/>
      <c r="D22" s="1474"/>
      <c r="E22" s="1474"/>
      <c r="F22" s="1474"/>
      <c r="G22" s="1474"/>
      <c r="H22" s="1474"/>
      <c r="I22" s="533"/>
      <c r="J22" s="533"/>
      <c r="K22" s="549"/>
      <c r="L22" s="537"/>
    </row>
    <row r="23" spans="1:12">
      <c r="A23" s="1470"/>
      <c r="B23" s="1471"/>
      <c r="C23" s="1471"/>
      <c r="D23" s="1471"/>
      <c r="E23" s="1471"/>
      <c r="F23" s="1471"/>
      <c r="G23" s="1471"/>
      <c r="H23" s="1472"/>
      <c r="I23" s="533"/>
      <c r="J23" s="533"/>
      <c r="K23" s="549"/>
      <c r="L23" s="537"/>
    </row>
    <row r="24" spans="1:12">
      <c r="A24" s="1470"/>
      <c r="B24" s="1471"/>
      <c r="C24" s="1471"/>
      <c r="D24" s="1471"/>
      <c r="E24" s="1471"/>
      <c r="F24" s="1471"/>
      <c r="G24" s="1471"/>
      <c r="H24" s="1472"/>
      <c r="I24" s="533"/>
      <c r="J24" s="533"/>
      <c r="K24" s="549"/>
      <c r="L24" s="537"/>
    </row>
    <row r="25" spans="1:12">
      <c r="A25" s="1470"/>
      <c r="B25" s="1471"/>
      <c r="C25" s="1471"/>
      <c r="D25" s="1471"/>
      <c r="E25" s="1471"/>
      <c r="F25" s="1471"/>
      <c r="G25" s="1471"/>
      <c r="H25" s="1472"/>
      <c r="I25" s="533"/>
      <c r="J25" s="533"/>
      <c r="K25" s="549"/>
      <c r="L25" s="537"/>
    </row>
    <row r="26" spans="1:12">
      <c r="A26" s="1470"/>
      <c r="B26" s="1471"/>
      <c r="C26" s="1471"/>
      <c r="D26" s="1471"/>
      <c r="E26" s="1471"/>
      <c r="F26" s="1471"/>
      <c r="G26" s="1471"/>
      <c r="H26" s="1472"/>
      <c r="I26" s="533"/>
      <c r="J26" s="533"/>
      <c r="K26" s="549"/>
      <c r="L26" s="537"/>
    </row>
    <row r="27" spans="1:12">
      <c r="A27" s="1470"/>
      <c r="B27" s="1471"/>
      <c r="C27" s="1471"/>
      <c r="D27" s="1471"/>
      <c r="E27" s="1471"/>
      <c r="F27" s="1471"/>
      <c r="G27" s="1471"/>
      <c r="H27" s="1472"/>
      <c r="I27" s="533"/>
      <c r="J27" s="533"/>
      <c r="K27" s="549"/>
      <c r="L27" s="537"/>
    </row>
    <row r="28" spans="1:12">
      <c r="A28" s="1470"/>
      <c r="B28" s="1471"/>
      <c r="C28" s="1471"/>
      <c r="D28" s="1471"/>
      <c r="E28" s="1471"/>
      <c r="F28" s="1471"/>
      <c r="G28" s="1471"/>
      <c r="H28" s="1472"/>
      <c r="I28" s="533"/>
      <c r="J28" s="533"/>
      <c r="K28" s="549"/>
      <c r="L28" s="537"/>
    </row>
    <row r="29" spans="1:12">
      <c r="A29" s="1470"/>
      <c r="B29" s="1471"/>
      <c r="C29" s="1471"/>
      <c r="D29" s="1471"/>
      <c r="E29" s="1471"/>
      <c r="F29" s="1471"/>
      <c r="G29" s="1471"/>
      <c r="H29" s="1472"/>
      <c r="I29" s="533"/>
      <c r="J29" s="533"/>
      <c r="K29" s="549"/>
      <c r="L29" s="537"/>
    </row>
    <row r="30" spans="1:12">
      <c r="A30" s="1458"/>
      <c r="B30" s="1459"/>
      <c r="C30" s="1459"/>
      <c r="D30" s="1459"/>
      <c r="E30" s="1459"/>
      <c r="F30" s="1459"/>
      <c r="G30" s="1459"/>
      <c r="H30" s="1460"/>
      <c r="I30" s="1438" t="s">
        <v>465</v>
      </c>
      <c r="J30" s="1439"/>
      <c r="K30" s="1440"/>
      <c r="L30" s="538"/>
    </row>
    <row r="31" spans="1:12">
      <c r="A31" s="1458"/>
      <c r="B31" s="1459"/>
      <c r="C31" s="1459"/>
      <c r="D31" s="1459"/>
      <c r="E31" s="1459"/>
      <c r="F31" s="1459"/>
      <c r="G31" s="1459"/>
      <c r="H31" s="1460"/>
      <c r="I31" s="532"/>
      <c r="J31" s="532"/>
      <c r="K31" s="532"/>
      <c r="L31" s="538"/>
    </row>
    <row r="32" spans="1:12">
      <c r="A32" s="1435" t="s">
        <v>466</v>
      </c>
      <c r="B32" s="1436"/>
      <c r="C32" s="1436"/>
      <c r="D32" s="1436"/>
      <c r="E32" s="1436"/>
      <c r="F32" s="1436"/>
      <c r="G32" s="1436"/>
      <c r="H32" s="1437"/>
      <c r="I32" s="532"/>
      <c r="J32" s="532"/>
      <c r="K32" s="532"/>
      <c r="L32" s="539">
        <f>L18</f>
        <v>0</v>
      </c>
    </row>
    <row r="33" spans="1:12" ht="13.5" thickBot="1">
      <c r="A33" s="1435" t="s">
        <v>467</v>
      </c>
      <c r="B33" s="1436"/>
      <c r="C33" s="1436"/>
      <c r="D33" s="1436"/>
      <c r="E33" s="1436"/>
      <c r="F33" s="1436"/>
      <c r="G33" s="1436"/>
      <c r="H33" s="1437"/>
      <c r="I33" s="532"/>
      <c r="J33" s="532"/>
      <c r="K33" s="788"/>
      <c r="L33" s="539">
        <f>L30</f>
        <v>0</v>
      </c>
    </row>
    <row r="34" spans="1:12" ht="21" customHeight="1" thickBot="1">
      <c r="A34" s="1409" t="s">
        <v>468</v>
      </c>
      <c r="B34" s="1410"/>
      <c r="C34" s="1410"/>
      <c r="D34" s="1410"/>
      <c r="E34" s="1410"/>
      <c r="F34" s="1410"/>
      <c r="G34" s="1410"/>
      <c r="H34" s="1410"/>
      <c r="I34" s="1410"/>
      <c r="J34" s="1410"/>
      <c r="K34" s="1411"/>
      <c r="L34" s="545">
        <f>L32+L33</f>
        <v>0</v>
      </c>
    </row>
  </sheetData>
  <mergeCells count="33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33:H33"/>
    <mergeCell ref="A34:K34"/>
    <mergeCell ref="A28:H28"/>
    <mergeCell ref="A29:H29"/>
    <mergeCell ref="A30:H30"/>
    <mergeCell ref="I30:K30"/>
    <mergeCell ref="A31:H31"/>
    <mergeCell ref="A32:H32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5">
    <tabColor theme="9"/>
    <pageSetUpPr fitToPage="1"/>
  </sheetPr>
  <dimension ref="A1:U88"/>
  <sheetViews>
    <sheetView workbookViewId="0"/>
  </sheetViews>
  <sheetFormatPr defaultRowHeight="12.75"/>
  <cols>
    <col min="1" max="1" width="6.7109375" style="314" customWidth="1"/>
    <col min="2" max="2" width="9.28515625" style="314" customWidth="1"/>
    <col min="3" max="4" width="6.7109375" style="314" customWidth="1"/>
    <col min="5" max="5" width="12.7109375" style="314" customWidth="1"/>
    <col min="6" max="6" width="15.42578125" style="314" customWidth="1"/>
    <col min="7" max="7" width="13.7109375" style="314" customWidth="1"/>
    <col min="8" max="8" width="6.7109375" style="314" customWidth="1"/>
    <col min="9" max="9" width="9.28515625" style="314" customWidth="1"/>
    <col min="10" max="10" width="6.7109375" style="314" customWidth="1"/>
    <col min="11" max="11" width="3.28515625" style="314" customWidth="1"/>
    <col min="12" max="12" width="12.7109375" style="314" customWidth="1"/>
    <col min="13" max="13" width="14.85546875" style="314" customWidth="1"/>
    <col min="14" max="14" width="13.7109375" style="314" customWidth="1"/>
    <col min="15" max="256" width="9.140625" style="314"/>
    <col min="257" max="257" width="6.7109375" style="314" customWidth="1"/>
    <col min="258" max="258" width="9.28515625" style="314" customWidth="1"/>
    <col min="259" max="260" width="6.7109375" style="314" customWidth="1"/>
    <col min="261" max="261" width="12.7109375" style="314" customWidth="1"/>
    <col min="262" max="262" width="15.42578125" style="314" customWidth="1"/>
    <col min="263" max="263" width="13.7109375" style="314" customWidth="1"/>
    <col min="264" max="264" width="6.7109375" style="314" customWidth="1"/>
    <col min="265" max="265" width="9.28515625" style="314" customWidth="1"/>
    <col min="266" max="266" width="6.7109375" style="314" customWidth="1"/>
    <col min="267" max="267" width="3.28515625" style="314" customWidth="1"/>
    <col min="268" max="268" width="12.7109375" style="314" customWidth="1"/>
    <col min="269" max="269" width="14.85546875" style="314" customWidth="1"/>
    <col min="270" max="270" width="13.7109375" style="314" customWidth="1"/>
    <col min="271" max="512" width="9.140625" style="314"/>
    <col min="513" max="513" width="6.7109375" style="314" customWidth="1"/>
    <col min="514" max="514" width="9.28515625" style="314" customWidth="1"/>
    <col min="515" max="516" width="6.7109375" style="314" customWidth="1"/>
    <col min="517" max="517" width="12.7109375" style="314" customWidth="1"/>
    <col min="518" max="518" width="15.42578125" style="314" customWidth="1"/>
    <col min="519" max="519" width="13.7109375" style="314" customWidth="1"/>
    <col min="520" max="520" width="6.7109375" style="314" customWidth="1"/>
    <col min="521" max="521" width="9.28515625" style="314" customWidth="1"/>
    <col min="522" max="522" width="6.7109375" style="314" customWidth="1"/>
    <col min="523" max="523" width="3.28515625" style="314" customWidth="1"/>
    <col min="524" max="524" width="12.7109375" style="314" customWidth="1"/>
    <col min="525" max="525" width="14.85546875" style="314" customWidth="1"/>
    <col min="526" max="526" width="13.7109375" style="314" customWidth="1"/>
    <col min="527" max="768" width="9.140625" style="314"/>
    <col min="769" max="769" width="6.7109375" style="314" customWidth="1"/>
    <col min="770" max="770" width="9.28515625" style="314" customWidth="1"/>
    <col min="771" max="772" width="6.7109375" style="314" customWidth="1"/>
    <col min="773" max="773" width="12.7109375" style="314" customWidth="1"/>
    <col min="774" max="774" width="15.42578125" style="314" customWidth="1"/>
    <col min="775" max="775" width="13.7109375" style="314" customWidth="1"/>
    <col min="776" max="776" width="6.7109375" style="314" customWidth="1"/>
    <col min="777" max="777" width="9.28515625" style="314" customWidth="1"/>
    <col min="778" max="778" width="6.7109375" style="314" customWidth="1"/>
    <col min="779" max="779" width="3.28515625" style="314" customWidth="1"/>
    <col min="780" max="780" width="12.7109375" style="314" customWidth="1"/>
    <col min="781" max="781" width="14.85546875" style="314" customWidth="1"/>
    <col min="782" max="782" width="13.7109375" style="314" customWidth="1"/>
    <col min="783" max="1024" width="9.140625" style="314"/>
    <col min="1025" max="1025" width="6.7109375" style="314" customWidth="1"/>
    <col min="1026" max="1026" width="9.28515625" style="314" customWidth="1"/>
    <col min="1027" max="1028" width="6.7109375" style="314" customWidth="1"/>
    <col min="1029" max="1029" width="12.7109375" style="314" customWidth="1"/>
    <col min="1030" max="1030" width="15.42578125" style="314" customWidth="1"/>
    <col min="1031" max="1031" width="13.7109375" style="314" customWidth="1"/>
    <col min="1032" max="1032" width="6.7109375" style="314" customWidth="1"/>
    <col min="1033" max="1033" width="9.28515625" style="314" customWidth="1"/>
    <col min="1034" max="1034" width="6.7109375" style="314" customWidth="1"/>
    <col min="1035" max="1035" width="3.28515625" style="314" customWidth="1"/>
    <col min="1036" max="1036" width="12.7109375" style="314" customWidth="1"/>
    <col min="1037" max="1037" width="14.85546875" style="314" customWidth="1"/>
    <col min="1038" max="1038" width="13.7109375" style="314" customWidth="1"/>
    <col min="1039" max="1280" width="9.140625" style="314"/>
    <col min="1281" max="1281" width="6.7109375" style="314" customWidth="1"/>
    <col min="1282" max="1282" width="9.28515625" style="314" customWidth="1"/>
    <col min="1283" max="1284" width="6.7109375" style="314" customWidth="1"/>
    <col min="1285" max="1285" width="12.7109375" style="314" customWidth="1"/>
    <col min="1286" max="1286" width="15.42578125" style="314" customWidth="1"/>
    <col min="1287" max="1287" width="13.7109375" style="314" customWidth="1"/>
    <col min="1288" max="1288" width="6.7109375" style="314" customWidth="1"/>
    <col min="1289" max="1289" width="9.28515625" style="314" customWidth="1"/>
    <col min="1290" max="1290" width="6.7109375" style="314" customWidth="1"/>
    <col min="1291" max="1291" width="3.28515625" style="314" customWidth="1"/>
    <col min="1292" max="1292" width="12.7109375" style="314" customWidth="1"/>
    <col min="1293" max="1293" width="14.85546875" style="314" customWidth="1"/>
    <col min="1294" max="1294" width="13.7109375" style="314" customWidth="1"/>
    <col min="1295" max="1536" width="9.140625" style="314"/>
    <col min="1537" max="1537" width="6.7109375" style="314" customWidth="1"/>
    <col min="1538" max="1538" width="9.28515625" style="314" customWidth="1"/>
    <col min="1539" max="1540" width="6.7109375" style="314" customWidth="1"/>
    <col min="1541" max="1541" width="12.7109375" style="314" customWidth="1"/>
    <col min="1542" max="1542" width="15.42578125" style="314" customWidth="1"/>
    <col min="1543" max="1543" width="13.7109375" style="314" customWidth="1"/>
    <col min="1544" max="1544" width="6.7109375" style="314" customWidth="1"/>
    <col min="1545" max="1545" width="9.28515625" style="314" customWidth="1"/>
    <col min="1546" max="1546" width="6.7109375" style="314" customWidth="1"/>
    <col min="1547" max="1547" width="3.28515625" style="314" customWidth="1"/>
    <col min="1548" max="1548" width="12.7109375" style="314" customWidth="1"/>
    <col min="1549" max="1549" width="14.85546875" style="314" customWidth="1"/>
    <col min="1550" max="1550" width="13.7109375" style="314" customWidth="1"/>
    <col min="1551" max="1792" width="9.140625" style="314"/>
    <col min="1793" max="1793" width="6.7109375" style="314" customWidth="1"/>
    <col min="1794" max="1794" width="9.28515625" style="314" customWidth="1"/>
    <col min="1795" max="1796" width="6.7109375" style="314" customWidth="1"/>
    <col min="1797" max="1797" width="12.7109375" style="314" customWidth="1"/>
    <col min="1798" max="1798" width="15.42578125" style="314" customWidth="1"/>
    <col min="1799" max="1799" width="13.7109375" style="314" customWidth="1"/>
    <col min="1800" max="1800" width="6.7109375" style="314" customWidth="1"/>
    <col min="1801" max="1801" width="9.28515625" style="314" customWidth="1"/>
    <col min="1802" max="1802" width="6.7109375" style="314" customWidth="1"/>
    <col min="1803" max="1803" width="3.28515625" style="314" customWidth="1"/>
    <col min="1804" max="1804" width="12.7109375" style="314" customWidth="1"/>
    <col min="1805" max="1805" width="14.85546875" style="314" customWidth="1"/>
    <col min="1806" max="1806" width="13.7109375" style="314" customWidth="1"/>
    <col min="1807" max="2048" width="9.140625" style="314"/>
    <col min="2049" max="2049" width="6.7109375" style="314" customWidth="1"/>
    <col min="2050" max="2050" width="9.28515625" style="314" customWidth="1"/>
    <col min="2051" max="2052" width="6.7109375" style="314" customWidth="1"/>
    <col min="2053" max="2053" width="12.7109375" style="314" customWidth="1"/>
    <col min="2054" max="2054" width="15.42578125" style="314" customWidth="1"/>
    <col min="2055" max="2055" width="13.7109375" style="314" customWidth="1"/>
    <col min="2056" max="2056" width="6.7109375" style="314" customWidth="1"/>
    <col min="2057" max="2057" width="9.28515625" style="314" customWidth="1"/>
    <col min="2058" max="2058" width="6.7109375" style="314" customWidth="1"/>
    <col min="2059" max="2059" width="3.28515625" style="314" customWidth="1"/>
    <col min="2060" max="2060" width="12.7109375" style="314" customWidth="1"/>
    <col min="2061" max="2061" width="14.85546875" style="314" customWidth="1"/>
    <col min="2062" max="2062" width="13.7109375" style="314" customWidth="1"/>
    <col min="2063" max="2304" width="9.140625" style="314"/>
    <col min="2305" max="2305" width="6.7109375" style="314" customWidth="1"/>
    <col min="2306" max="2306" width="9.28515625" style="314" customWidth="1"/>
    <col min="2307" max="2308" width="6.7109375" style="314" customWidth="1"/>
    <col min="2309" max="2309" width="12.7109375" style="314" customWidth="1"/>
    <col min="2310" max="2310" width="15.42578125" style="314" customWidth="1"/>
    <col min="2311" max="2311" width="13.7109375" style="314" customWidth="1"/>
    <col min="2312" max="2312" width="6.7109375" style="314" customWidth="1"/>
    <col min="2313" max="2313" width="9.28515625" style="314" customWidth="1"/>
    <col min="2314" max="2314" width="6.7109375" style="314" customWidth="1"/>
    <col min="2315" max="2315" width="3.28515625" style="314" customWidth="1"/>
    <col min="2316" max="2316" width="12.7109375" style="314" customWidth="1"/>
    <col min="2317" max="2317" width="14.85546875" style="314" customWidth="1"/>
    <col min="2318" max="2318" width="13.7109375" style="314" customWidth="1"/>
    <col min="2319" max="2560" width="9.140625" style="314"/>
    <col min="2561" max="2561" width="6.7109375" style="314" customWidth="1"/>
    <col min="2562" max="2562" width="9.28515625" style="314" customWidth="1"/>
    <col min="2563" max="2564" width="6.7109375" style="314" customWidth="1"/>
    <col min="2565" max="2565" width="12.7109375" style="314" customWidth="1"/>
    <col min="2566" max="2566" width="15.42578125" style="314" customWidth="1"/>
    <col min="2567" max="2567" width="13.7109375" style="314" customWidth="1"/>
    <col min="2568" max="2568" width="6.7109375" style="314" customWidth="1"/>
    <col min="2569" max="2569" width="9.28515625" style="314" customWidth="1"/>
    <col min="2570" max="2570" width="6.7109375" style="314" customWidth="1"/>
    <col min="2571" max="2571" width="3.28515625" style="314" customWidth="1"/>
    <col min="2572" max="2572" width="12.7109375" style="314" customWidth="1"/>
    <col min="2573" max="2573" width="14.85546875" style="314" customWidth="1"/>
    <col min="2574" max="2574" width="13.7109375" style="314" customWidth="1"/>
    <col min="2575" max="2816" width="9.140625" style="314"/>
    <col min="2817" max="2817" width="6.7109375" style="314" customWidth="1"/>
    <col min="2818" max="2818" width="9.28515625" style="314" customWidth="1"/>
    <col min="2819" max="2820" width="6.7109375" style="314" customWidth="1"/>
    <col min="2821" max="2821" width="12.7109375" style="314" customWidth="1"/>
    <col min="2822" max="2822" width="15.42578125" style="314" customWidth="1"/>
    <col min="2823" max="2823" width="13.7109375" style="314" customWidth="1"/>
    <col min="2824" max="2824" width="6.7109375" style="314" customWidth="1"/>
    <col min="2825" max="2825" width="9.28515625" style="314" customWidth="1"/>
    <col min="2826" max="2826" width="6.7109375" style="314" customWidth="1"/>
    <col min="2827" max="2827" width="3.28515625" style="314" customWidth="1"/>
    <col min="2828" max="2828" width="12.7109375" style="314" customWidth="1"/>
    <col min="2829" max="2829" width="14.85546875" style="314" customWidth="1"/>
    <col min="2830" max="2830" width="13.7109375" style="314" customWidth="1"/>
    <col min="2831" max="3072" width="9.140625" style="314"/>
    <col min="3073" max="3073" width="6.7109375" style="314" customWidth="1"/>
    <col min="3074" max="3074" width="9.28515625" style="314" customWidth="1"/>
    <col min="3075" max="3076" width="6.7109375" style="314" customWidth="1"/>
    <col min="3077" max="3077" width="12.7109375" style="314" customWidth="1"/>
    <col min="3078" max="3078" width="15.42578125" style="314" customWidth="1"/>
    <col min="3079" max="3079" width="13.7109375" style="314" customWidth="1"/>
    <col min="3080" max="3080" width="6.7109375" style="314" customWidth="1"/>
    <col min="3081" max="3081" width="9.28515625" style="314" customWidth="1"/>
    <col min="3082" max="3082" width="6.7109375" style="314" customWidth="1"/>
    <col min="3083" max="3083" width="3.28515625" style="314" customWidth="1"/>
    <col min="3084" max="3084" width="12.7109375" style="314" customWidth="1"/>
    <col min="3085" max="3085" width="14.85546875" style="314" customWidth="1"/>
    <col min="3086" max="3086" width="13.7109375" style="314" customWidth="1"/>
    <col min="3087" max="3328" width="9.140625" style="314"/>
    <col min="3329" max="3329" width="6.7109375" style="314" customWidth="1"/>
    <col min="3330" max="3330" width="9.28515625" style="314" customWidth="1"/>
    <col min="3331" max="3332" width="6.7109375" style="314" customWidth="1"/>
    <col min="3333" max="3333" width="12.7109375" style="314" customWidth="1"/>
    <col min="3334" max="3334" width="15.42578125" style="314" customWidth="1"/>
    <col min="3335" max="3335" width="13.7109375" style="314" customWidth="1"/>
    <col min="3336" max="3336" width="6.7109375" style="314" customWidth="1"/>
    <col min="3337" max="3337" width="9.28515625" style="314" customWidth="1"/>
    <col min="3338" max="3338" width="6.7109375" style="314" customWidth="1"/>
    <col min="3339" max="3339" width="3.28515625" style="314" customWidth="1"/>
    <col min="3340" max="3340" width="12.7109375" style="314" customWidth="1"/>
    <col min="3341" max="3341" width="14.85546875" style="314" customWidth="1"/>
    <col min="3342" max="3342" width="13.7109375" style="314" customWidth="1"/>
    <col min="3343" max="3584" width="9.140625" style="314"/>
    <col min="3585" max="3585" width="6.7109375" style="314" customWidth="1"/>
    <col min="3586" max="3586" width="9.28515625" style="314" customWidth="1"/>
    <col min="3587" max="3588" width="6.7109375" style="314" customWidth="1"/>
    <col min="3589" max="3589" width="12.7109375" style="314" customWidth="1"/>
    <col min="3590" max="3590" width="15.42578125" style="314" customWidth="1"/>
    <col min="3591" max="3591" width="13.7109375" style="314" customWidth="1"/>
    <col min="3592" max="3592" width="6.7109375" style="314" customWidth="1"/>
    <col min="3593" max="3593" width="9.28515625" style="314" customWidth="1"/>
    <col min="3594" max="3594" width="6.7109375" style="314" customWidth="1"/>
    <col min="3595" max="3595" width="3.28515625" style="314" customWidth="1"/>
    <col min="3596" max="3596" width="12.7109375" style="314" customWidth="1"/>
    <col min="3597" max="3597" width="14.85546875" style="314" customWidth="1"/>
    <col min="3598" max="3598" width="13.7109375" style="314" customWidth="1"/>
    <col min="3599" max="3840" width="9.140625" style="314"/>
    <col min="3841" max="3841" width="6.7109375" style="314" customWidth="1"/>
    <col min="3842" max="3842" width="9.28515625" style="314" customWidth="1"/>
    <col min="3843" max="3844" width="6.7109375" style="314" customWidth="1"/>
    <col min="3845" max="3845" width="12.7109375" style="314" customWidth="1"/>
    <col min="3846" max="3846" width="15.42578125" style="314" customWidth="1"/>
    <col min="3847" max="3847" width="13.7109375" style="314" customWidth="1"/>
    <col min="3848" max="3848" width="6.7109375" style="314" customWidth="1"/>
    <col min="3849" max="3849" width="9.28515625" style="314" customWidth="1"/>
    <col min="3850" max="3850" width="6.7109375" style="314" customWidth="1"/>
    <col min="3851" max="3851" width="3.28515625" style="314" customWidth="1"/>
    <col min="3852" max="3852" width="12.7109375" style="314" customWidth="1"/>
    <col min="3853" max="3853" width="14.85546875" style="314" customWidth="1"/>
    <col min="3854" max="3854" width="13.7109375" style="314" customWidth="1"/>
    <col min="3855" max="4096" width="9.140625" style="314"/>
    <col min="4097" max="4097" width="6.7109375" style="314" customWidth="1"/>
    <col min="4098" max="4098" width="9.28515625" style="314" customWidth="1"/>
    <col min="4099" max="4100" width="6.7109375" style="314" customWidth="1"/>
    <col min="4101" max="4101" width="12.7109375" style="314" customWidth="1"/>
    <col min="4102" max="4102" width="15.42578125" style="314" customWidth="1"/>
    <col min="4103" max="4103" width="13.7109375" style="314" customWidth="1"/>
    <col min="4104" max="4104" width="6.7109375" style="314" customWidth="1"/>
    <col min="4105" max="4105" width="9.28515625" style="314" customWidth="1"/>
    <col min="4106" max="4106" width="6.7109375" style="314" customWidth="1"/>
    <col min="4107" max="4107" width="3.28515625" style="314" customWidth="1"/>
    <col min="4108" max="4108" width="12.7109375" style="314" customWidth="1"/>
    <col min="4109" max="4109" width="14.85546875" style="314" customWidth="1"/>
    <col min="4110" max="4110" width="13.7109375" style="314" customWidth="1"/>
    <col min="4111" max="4352" width="9.140625" style="314"/>
    <col min="4353" max="4353" width="6.7109375" style="314" customWidth="1"/>
    <col min="4354" max="4354" width="9.28515625" style="314" customWidth="1"/>
    <col min="4355" max="4356" width="6.7109375" style="314" customWidth="1"/>
    <col min="4357" max="4357" width="12.7109375" style="314" customWidth="1"/>
    <col min="4358" max="4358" width="15.42578125" style="314" customWidth="1"/>
    <col min="4359" max="4359" width="13.7109375" style="314" customWidth="1"/>
    <col min="4360" max="4360" width="6.7109375" style="314" customWidth="1"/>
    <col min="4361" max="4361" width="9.28515625" style="314" customWidth="1"/>
    <col min="4362" max="4362" width="6.7109375" style="314" customWidth="1"/>
    <col min="4363" max="4363" width="3.28515625" style="314" customWidth="1"/>
    <col min="4364" max="4364" width="12.7109375" style="314" customWidth="1"/>
    <col min="4365" max="4365" width="14.85546875" style="314" customWidth="1"/>
    <col min="4366" max="4366" width="13.7109375" style="314" customWidth="1"/>
    <col min="4367" max="4608" width="9.140625" style="314"/>
    <col min="4609" max="4609" width="6.7109375" style="314" customWidth="1"/>
    <col min="4610" max="4610" width="9.28515625" style="314" customWidth="1"/>
    <col min="4611" max="4612" width="6.7109375" style="314" customWidth="1"/>
    <col min="4613" max="4613" width="12.7109375" style="314" customWidth="1"/>
    <col min="4614" max="4614" width="15.42578125" style="314" customWidth="1"/>
    <col min="4615" max="4615" width="13.7109375" style="314" customWidth="1"/>
    <col min="4616" max="4616" width="6.7109375" style="314" customWidth="1"/>
    <col min="4617" max="4617" width="9.28515625" style="314" customWidth="1"/>
    <col min="4618" max="4618" width="6.7109375" style="314" customWidth="1"/>
    <col min="4619" max="4619" width="3.28515625" style="314" customWidth="1"/>
    <col min="4620" max="4620" width="12.7109375" style="314" customWidth="1"/>
    <col min="4621" max="4621" width="14.85546875" style="314" customWidth="1"/>
    <col min="4622" max="4622" width="13.7109375" style="314" customWidth="1"/>
    <col min="4623" max="4864" width="9.140625" style="314"/>
    <col min="4865" max="4865" width="6.7109375" style="314" customWidth="1"/>
    <col min="4866" max="4866" width="9.28515625" style="314" customWidth="1"/>
    <col min="4867" max="4868" width="6.7109375" style="314" customWidth="1"/>
    <col min="4869" max="4869" width="12.7109375" style="314" customWidth="1"/>
    <col min="4870" max="4870" width="15.42578125" style="314" customWidth="1"/>
    <col min="4871" max="4871" width="13.7109375" style="314" customWidth="1"/>
    <col min="4872" max="4872" width="6.7109375" style="314" customWidth="1"/>
    <col min="4873" max="4873" width="9.28515625" style="314" customWidth="1"/>
    <col min="4874" max="4874" width="6.7109375" style="314" customWidth="1"/>
    <col min="4875" max="4875" width="3.28515625" style="314" customWidth="1"/>
    <col min="4876" max="4876" width="12.7109375" style="314" customWidth="1"/>
    <col min="4877" max="4877" width="14.85546875" style="314" customWidth="1"/>
    <col min="4878" max="4878" width="13.7109375" style="314" customWidth="1"/>
    <col min="4879" max="5120" width="9.140625" style="314"/>
    <col min="5121" max="5121" width="6.7109375" style="314" customWidth="1"/>
    <col min="5122" max="5122" width="9.28515625" style="314" customWidth="1"/>
    <col min="5123" max="5124" width="6.7109375" style="314" customWidth="1"/>
    <col min="5125" max="5125" width="12.7109375" style="314" customWidth="1"/>
    <col min="5126" max="5126" width="15.42578125" style="314" customWidth="1"/>
    <col min="5127" max="5127" width="13.7109375" style="314" customWidth="1"/>
    <col min="5128" max="5128" width="6.7109375" style="314" customWidth="1"/>
    <col min="5129" max="5129" width="9.28515625" style="314" customWidth="1"/>
    <col min="5130" max="5130" width="6.7109375" style="314" customWidth="1"/>
    <col min="5131" max="5131" width="3.28515625" style="314" customWidth="1"/>
    <col min="5132" max="5132" width="12.7109375" style="314" customWidth="1"/>
    <col min="5133" max="5133" width="14.85546875" style="314" customWidth="1"/>
    <col min="5134" max="5134" width="13.7109375" style="314" customWidth="1"/>
    <col min="5135" max="5376" width="9.140625" style="314"/>
    <col min="5377" max="5377" width="6.7109375" style="314" customWidth="1"/>
    <col min="5378" max="5378" width="9.28515625" style="314" customWidth="1"/>
    <col min="5379" max="5380" width="6.7109375" style="314" customWidth="1"/>
    <col min="5381" max="5381" width="12.7109375" style="314" customWidth="1"/>
    <col min="5382" max="5382" width="15.42578125" style="314" customWidth="1"/>
    <col min="5383" max="5383" width="13.7109375" style="314" customWidth="1"/>
    <col min="5384" max="5384" width="6.7109375" style="314" customWidth="1"/>
    <col min="5385" max="5385" width="9.28515625" style="314" customWidth="1"/>
    <col min="5386" max="5386" width="6.7109375" style="314" customWidth="1"/>
    <col min="5387" max="5387" width="3.28515625" style="314" customWidth="1"/>
    <col min="5388" max="5388" width="12.7109375" style="314" customWidth="1"/>
    <col min="5389" max="5389" width="14.85546875" style="314" customWidth="1"/>
    <col min="5390" max="5390" width="13.7109375" style="314" customWidth="1"/>
    <col min="5391" max="5632" width="9.140625" style="314"/>
    <col min="5633" max="5633" width="6.7109375" style="314" customWidth="1"/>
    <col min="5634" max="5634" width="9.28515625" style="314" customWidth="1"/>
    <col min="5635" max="5636" width="6.7109375" style="314" customWidth="1"/>
    <col min="5637" max="5637" width="12.7109375" style="314" customWidth="1"/>
    <col min="5638" max="5638" width="15.42578125" style="314" customWidth="1"/>
    <col min="5639" max="5639" width="13.7109375" style="314" customWidth="1"/>
    <col min="5640" max="5640" width="6.7109375" style="314" customWidth="1"/>
    <col min="5641" max="5641" width="9.28515625" style="314" customWidth="1"/>
    <col min="5642" max="5642" width="6.7109375" style="314" customWidth="1"/>
    <col min="5643" max="5643" width="3.28515625" style="314" customWidth="1"/>
    <col min="5644" max="5644" width="12.7109375" style="314" customWidth="1"/>
    <col min="5645" max="5645" width="14.85546875" style="314" customWidth="1"/>
    <col min="5646" max="5646" width="13.7109375" style="314" customWidth="1"/>
    <col min="5647" max="5888" width="9.140625" style="314"/>
    <col min="5889" max="5889" width="6.7109375" style="314" customWidth="1"/>
    <col min="5890" max="5890" width="9.28515625" style="314" customWidth="1"/>
    <col min="5891" max="5892" width="6.7109375" style="314" customWidth="1"/>
    <col min="5893" max="5893" width="12.7109375" style="314" customWidth="1"/>
    <col min="5894" max="5894" width="15.42578125" style="314" customWidth="1"/>
    <col min="5895" max="5895" width="13.7109375" style="314" customWidth="1"/>
    <col min="5896" max="5896" width="6.7109375" style="314" customWidth="1"/>
    <col min="5897" max="5897" width="9.28515625" style="314" customWidth="1"/>
    <col min="5898" max="5898" width="6.7109375" style="314" customWidth="1"/>
    <col min="5899" max="5899" width="3.28515625" style="314" customWidth="1"/>
    <col min="5900" max="5900" width="12.7109375" style="314" customWidth="1"/>
    <col min="5901" max="5901" width="14.85546875" style="314" customWidth="1"/>
    <col min="5902" max="5902" width="13.7109375" style="314" customWidth="1"/>
    <col min="5903" max="6144" width="9.140625" style="314"/>
    <col min="6145" max="6145" width="6.7109375" style="314" customWidth="1"/>
    <col min="6146" max="6146" width="9.28515625" style="314" customWidth="1"/>
    <col min="6147" max="6148" width="6.7109375" style="314" customWidth="1"/>
    <col min="6149" max="6149" width="12.7109375" style="314" customWidth="1"/>
    <col min="6150" max="6150" width="15.42578125" style="314" customWidth="1"/>
    <col min="6151" max="6151" width="13.7109375" style="314" customWidth="1"/>
    <col min="6152" max="6152" width="6.7109375" style="314" customWidth="1"/>
    <col min="6153" max="6153" width="9.28515625" style="314" customWidth="1"/>
    <col min="6154" max="6154" width="6.7109375" style="314" customWidth="1"/>
    <col min="6155" max="6155" width="3.28515625" style="314" customWidth="1"/>
    <col min="6156" max="6156" width="12.7109375" style="314" customWidth="1"/>
    <col min="6157" max="6157" width="14.85546875" style="314" customWidth="1"/>
    <col min="6158" max="6158" width="13.7109375" style="314" customWidth="1"/>
    <col min="6159" max="6400" width="9.140625" style="314"/>
    <col min="6401" max="6401" width="6.7109375" style="314" customWidth="1"/>
    <col min="6402" max="6402" width="9.28515625" style="314" customWidth="1"/>
    <col min="6403" max="6404" width="6.7109375" style="314" customWidth="1"/>
    <col min="6405" max="6405" width="12.7109375" style="314" customWidth="1"/>
    <col min="6406" max="6406" width="15.42578125" style="314" customWidth="1"/>
    <col min="6407" max="6407" width="13.7109375" style="314" customWidth="1"/>
    <col min="6408" max="6408" width="6.7109375" style="314" customWidth="1"/>
    <col min="6409" max="6409" width="9.28515625" style="314" customWidth="1"/>
    <col min="6410" max="6410" width="6.7109375" style="314" customWidth="1"/>
    <col min="6411" max="6411" width="3.28515625" style="314" customWidth="1"/>
    <col min="6412" max="6412" width="12.7109375" style="314" customWidth="1"/>
    <col min="6413" max="6413" width="14.85546875" style="314" customWidth="1"/>
    <col min="6414" max="6414" width="13.7109375" style="314" customWidth="1"/>
    <col min="6415" max="6656" width="9.140625" style="314"/>
    <col min="6657" max="6657" width="6.7109375" style="314" customWidth="1"/>
    <col min="6658" max="6658" width="9.28515625" style="314" customWidth="1"/>
    <col min="6659" max="6660" width="6.7109375" style="314" customWidth="1"/>
    <col min="6661" max="6661" width="12.7109375" style="314" customWidth="1"/>
    <col min="6662" max="6662" width="15.42578125" style="314" customWidth="1"/>
    <col min="6663" max="6663" width="13.7109375" style="314" customWidth="1"/>
    <col min="6664" max="6664" width="6.7109375" style="314" customWidth="1"/>
    <col min="6665" max="6665" width="9.28515625" style="314" customWidth="1"/>
    <col min="6666" max="6666" width="6.7109375" style="314" customWidth="1"/>
    <col min="6667" max="6667" width="3.28515625" style="314" customWidth="1"/>
    <col min="6668" max="6668" width="12.7109375" style="314" customWidth="1"/>
    <col min="6669" max="6669" width="14.85546875" style="314" customWidth="1"/>
    <col min="6670" max="6670" width="13.7109375" style="314" customWidth="1"/>
    <col min="6671" max="6912" width="9.140625" style="314"/>
    <col min="6913" max="6913" width="6.7109375" style="314" customWidth="1"/>
    <col min="6914" max="6914" width="9.28515625" style="314" customWidth="1"/>
    <col min="6915" max="6916" width="6.7109375" style="314" customWidth="1"/>
    <col min="6917" max="6917" width="12.7109375" style="314" customWidth="1"/>
    <col min="6918" max="6918" width="15.42578125" style="314" customWidth="1"/>
    <col min="6919" max="6919" width="13.7109375" style="314" customWidth="1"/>
    <col min="6920" max="6920" width="6.7109375" style="314" customWidth="1"/>
    <col min="6921" max="6921" width="9.28515625" style="314" customWidth="1"/>
    <col min="6922" max="6922" width="6.7109375" style="314" customWidth="1"/>
    <col min="6923" max="6923" width="3.28515625" style="314" customWidth="1"/>
    <col min="6924" max="6924" width="12.7109375" style="314" customWidth="1"/>
    <col min="6925" max="6925" width="14.85546875" style="314" customWidth="1"/>
    <col min="6926" max="6926" width="13.7109375" style="314" customWidth="1"/>
    <col min="6927" max="7168" width="9.140625" style="314"/>
    <col min="7169" max="7169" width="6.7109375" style="314" customWidth="1"/>
    <col min="7170" max="7170" width="9.28515625" style="314" customWidth="1"/>
    <col min="7171" max="7172" width="6.7109375" style="314" customWidth="1"/>
    <col min="7173" max="7173" width="12.7109375" style="314" customWidth="1"/>
    <col min="7174" max="7174" width="15.42578125" style="314" customWidth="1"/>
    <col min="7175" max="7175" width="13.7109375" style="314" customWidth="1"/>
    <col min="7176" max="7176" width="6.7109375" style="314" customWidth="1"/>
    <col min="7177" max="7177" width="9.28515625" style="314" customWidth="1"/>
    <col min="7178" max="7178" width="6.7109375" style="314" customWidth="1"/>
    <col min="7179" max="7179" width="3.28515625" style="314" customWidth="1"/>
    <col min="7180" max="7180" width="12.7109375" style="314" customWidth="1"/>
    <col min="7181" max="7181" width="14.85546875" style="314" customWidth="1"/>
    <col min="7182" max="7182" width="13.7109375" style="314" customWidth="1"/>
    <col min="7183" max="7424" width="9.140625" style="314"/>
    <col min="7425" max="7425" width="6.7109375" style="314" customWidth="1"/>
    <col min="7426" max="7426" width="9.28515625" style="314" customWidth="1"/>
    <col min="7427" max="7428" width="6.7109375" style="314" customWidth="1"/>
    <col min="7429" max="7429" width="12.7109375" style="314" customWidth="1"/>
    <col min="7430" max="7430" width="15.42578125" style="314" customWidth="1"/>
    <col min="7431" max="7431" width="13.7109375" style="314" customWidth="1"/>
    <col min="7432" max="7432" width="6.7109375" style="314" customWidth="1"/>
    <col min="7433" max="7433" width="9.28515625" style="314" customWidth="1"/>
    <col min="7434" max="7434" width="6.7109375" style="314" customWidth="1"/>
    <col min="7435" max="7435" width="3.28515625" style="314" customWidth="1"/>
    <col min="7436" max="7436" width="12.7109375" style="314" customWidth="1"/>
    <col min="7437" max="7437" width="14.85546875" style="314" customWidth="1"/>
    <col min="7438" max="7438" width="13.7109375" style="314" customWidth="1"/>
    <col min="7439" max="7680" width="9.140625" style="314"/>
    <col min="7681" max="7681" width="6.7109375" style="314" customWidth="1"/>
    <col min="7682" max="7682" width="9.28515625" style="314" customWidth="1"/>
    <col min="7683" max="7684" width="6.7109375" style="314" customWidth="1"/>
    <col min="7685" max="7685" width="12.7109375" style="314" customWidth="1"/>
    <col min="7686" max="7686" width="15.42578125" style="314" customWidth="1"/>
    <col min="7687" max="7687" width="13.7109375" style="314" customWidth="1"/>
    <col min="7688" max="7688" width="6.7109375" style="314" customWidth="1"/>
    <col min="7689" max="7689" width="9.28515625" style="314" customWidth="1"/>
    <col min="7690" max="7690" width="6.7109375" style="314" customWidth="1"/>
    <col min="7691" max="7691" width="3.28515625" style="314" customWidth="1"/>
    <col min="7692" max="7692" width="12.7109375" style="314" customWidth="1"/>
    <col min="7693" max="7693" width="14.85546875" style="314" customWidth="1"/>
    <col min="7694" max="7694" width="13.7109375" style="314" customWidth="1"/>
    <col min="7695" max="7936" width="9.140625" style="314"/>
    <col min="7937" max="7937" width="6.7109375" style="314" customWidth="1"/>
    <col min="7938" max="7938" width="9.28515625" style="314" customWidth="1"/>
    <col min="7939" max="7940" width="6.7109375" style="314" customWidth="1"/>
    <col min="7941" max="7941" width="12.7109375" style="314" customWidth="1"/>
    <col min="7942" max="7942" width="15.42578125" style="314" customWidth="1"/>
    <col min="7943" max="7943" width="13.7109375" style="314" customWidth="1"/>
    <col min="7944" max="7944" width="6.7109375" style="314" customWidth="1"/>
    <col min="7945" max="7945" width="9.28515625" style="314" customWidth="1"/>
    <col min="7946" max="7946" width="6.7109375" style="314" customWidth="1"/>
    <col min="7947" max="7947" width="3.28515625" style="314" customWidth="1"/>
    <col min="7948" max="7948" width="12.7109375" style="314" customWidth="1"/>
    <col min="7949" max="7949" width="14.85546875" style="314" customWidth="1"/>
    <col min="7950" max="7950" width="13.7109375" style="314" customWidth="1"/>
    <col min="7951" max="8192" width="9.140625" style="314"/>
    <col min="8193" max="8193" width="6.7109375" style="314" customWidth="1"/>
    <col min="8194" max="8194" width="9.28515625" style="314" customWidth="1"/>
    <col min="8195" max="8196" width="6.7109375" style="314" customWidth="1"/>
    <col min="8197" max="8197" width="12.7109375" style="314" customWidth="1"/>
    <col min="8198" max="8198" width="15.42578125" style="314" customWidth="1"/>
    <col min="8199" max="8199" width="13.7109375" style="314" customWidth="1"/>
    <col min="8200" max="8200" width="6.7109375" style="314" customWidth="1"/>
    <col min="8201" max="8201" width="9.28515625" style="314" customWidth="1"/>
    <col min="8202" max="8202" width="6.7109375" style="314" customWidth="1"/>
    <col min="8203" max="8203" width="3.28515625" style="314" customWidth="1"/>
    <col min="8204" max="8204" width="12.7109375" style="314" customWidth="1"/>
    <col min="8205" max="8205" width="14.85546875" style="314" customWidth="1"/>
    <col min="8206" max="8206" width="13.7109375" style="314" customWidth="1"/>
    <col min="8207" max="8448" width="9.140625" style="314"/>
    <col min="8449" max="8449" width="6.7109375" style="314" customWidth="1"/>
    <col min="8450" max="8450" width="9.28515625" style="314" customWidth="1"/>
    <col min="8451" max="8452" width="6.7109375" style="314" customWidth="1"/>
    <col min="8453" max="8453" width="12.7109375" style="314" customWidth="1"/>
    <col min="8454" max="8454" width="15.42578125" style="314" customWidth="1"/>
    <col min="8455" max="8455" width="13.7109375" style="314" customWidth="1"/>
    <col min="8456" max="8456" width="6.7109375" style="314" customWidth="1"/>
    <col min="8457" max="8457" width="9.28515625" style="314" customWidth="1"/>
    <col min="8458" max="8458" width="6.7109375" style="314" customWidth="1"/>
    <col min="8459" max="8459" width="3.28515625" style="314" customWidth="1"/>
    <col min="8460" max="8460" width="12.7109375" style="314" customWidth="1"/>
    <col min="8461" max="8461" width="14.85546875" style="314" customWidth="1"/>
    <col min="8462" max="8462" width="13.7109375" style="314" customWidth="1"/>
    <col min="8463" max="8704" width="9.140625" style="314"/>
    <col min="8705" max="8705" width="6.7109375" style="314" customWidth="1"/>
    <col min="8706" max="8706" width="9.28515625" style="314" customWidth="1"/>
    <col min="8707" max="8708" width="6.7109375" style="314" customWidth="1"/>
    <col min="8709" max="8709" width="12.7109375" style="314" customWidth="1"/>
    <col min="8710" max="8710" width="15.42578125" style="314" customWidth="1"/>
    <col min="8711" max="8711" width="13.7109375" style="314" customWidth="1"/>
    <col min="8712" max="8712" width="6.7109375" style="314" customWidth="1"/>
    <col min="8713" max="8713" width="9.28515625" style="314" customWidth="1"/>
    <col min="8714" max="8714" width="6.7109375" style="314" customWidth="1"/>
    <col min="8715" max="8715" width="3.28515625" style="314" customWidth="1"/>
    <col min="8716" max="8716" width="12.7109375" style="314" customWidth="1"/>
    <col min="8717" max="8717" width="14.85546875" style="314" customWidth="1"/>
    <col min="8718" max="8718" width="13.7109375" style="314" customWidth="1"/>
    <col min="8719" max="8960" width="9.140625" style="314"/>
    <col min="8961" max="8961" width="6.7109375" style="314" customWidth="1"/>
    <col min="8962" max="8962" width="9.28515625" style="314" customWidth="1"/>
    <col min="8963" max="8964" width="6.7109375" style="314" customWidth="1"/>
    <col min="8965" max="8965" width="12.7109375" style="314" customWidth="1"/>
    <col min="8966" max="8966" width="15.42578125" style="314" customWidth="1"/>
    <col min="8967" max="8967" width="13.7109375" style="314" customWidth="1"/>
    <col min="8968" max="8968" width="6.7109375" style="314" customWidth="1"/>
    <col min="8969" max="8969" width="9.28515625" style="314" customWidth="1"/>
    <col min="8970" max="8970" width="6.7109375" style="314" customWidth="1"/>
    <col min="8971" max="8971" width="3.28515625" style="314" customWidth="1"/>
    <col min="8972" max="8972" width="12.7109375" style="314" customWidth="1"/>
    <col min="8973" max="8973" width="14.85546875" style="314" customWidth="1"/>
    <col min="8974" max="8974" width="13.7109375" style="314" customWidth="1"/>
    <col min="8975" max="9216" width="9.140625" style="314"/>
    <col min="9217" max="9217" width="6.7109375" style="314" customWidth="1"/>
    <col min="9218" max="9218" width="9.28515625" style="314" customWidth="1"/>
    <col min="9219" max="9220" width="6.7109375" style="314" customWidth="1"/>
    <col min="9221" max="9221" width="12.7109375" style="314" customWidth="1"/>
    <col min="9222" max="9222" width="15.42578125" style="314" customWidth="1"/>
    <col min="9223" max="9223" width="13.7109375" style="314" customWidth="1"/>
    <col min="9224" max="9224" width="6.7109375" style="314" customWidth="1"/>
    <col min="9225" max="9225" width="9.28515625" style="314" customWidth="1"/>
    <col min="9226" max="9226" width="6.7109375" style="314" customWidth="1"/>
    <col min="9227" max="9227" width="3.28515625" style="314" customWidth="1"/>
    <col min="9228" max="9228" width="12.7109375" style="314" customWidth="1"/>
    <col min="9229" max="9229" width="14.85546875" style="314" customWidth="1"/>
    <col min="9230" max="9230" width="13.7109375" style="314" customWidth="1"/>
    <col min="9231" max="9472" width="9.140625" style="314"/>
    <col min="9473" max="9473" width="6.7109375" style="314" customWidth="1"/>
    <col min="9474" max="9474" width="9.28515625" style="314" customWidth="1"/>
    <col min="9475" max="9476" width="6.7109375" style="314" customWidth="1"/>
    <col min="9477" max="9477" width="12.7109375" style="314" customWidth="1"/>
    <col min="9478" max="9478" width="15.42578125" style="314" customWidth="1"/>
    <col min="9479" max="9479" width="13.7109375" style="314" customWidth="1"/>
    <col min="9480" max="9480" width="6.7109375" style="314" customWidth="1"/>
    <col min="9481" max="9481" width="9.28515625" style="314" customWidth="1"/>
    <col min="9482" max="9482" width="6.7109375" style="314" customWidth="1"/>
    <col min="9483" max="9483" width="3.28515625" style="314" customWidth="1"/>
    <col min="9484" max="9484" width="12.7109375" style="314" customWidth="1"/>
    <col min="9485" max="9485" width="14.85546875" style="314" customWidth="1"/>
    <col min="9486" max="9486" width="13.7109375" style="314" customWidth="1"/>
    <col min="9487" max="9728" width="9.140625" style="314"/>
    <col min="9729" max="9729" width="6.7109375" style="314" customWidth="1"/>
    <col min="9730" max="9730" width="9.28515625" style="314" customWidth="1"/>
    <col min="9731" max="9732" width="6.7109375" style="314" customWidth="1"/>
    <col min="9733" max="9733" width="12.7109375" style="314" customWidth="1"/>
    <col min="9734" max="9734" width="15.42578125" style="314" customWidth="1"/>
    <col min="9735" max="9735" width="13.7109375" style="314" customWidth="1"/>
    <col min="9736" max="9736" width="6.7109375" style="314" customWidth="1"/>
    <col min="9737" max="9737" width="9.28515625" style="314" customWidth="1"/>
    <col min="9738" max="9738" width="6.7109375" style="314" customWidth="1"/>
    <col min="9739" max="9739" width="3.28515625" style="314" customWidth="1"/>
    <col min="9740" max="9740" width="12.7109375" style="314" customWidth="1"/>
    <col min="9741" max="9741" width="14.85546875" style="314" customWidth="1"/>
    <col min="9742" max="9742" width="13.7109375" style="314" customWidth="1"/>
    <col min="9743" max="9984" width="9.140625" style="314"/>
    <col min="9985" max="9985" width="6.7109375" style="314" customWidth="1"/>
    <col min="9986" max="9986" width="9.28515625" style="314" customWidth="1"/>
    <col min="9987" max="9988" width="6.7109375" style="314" customWidth="1"/>
    <col min="9989" max="9989" width="12.7109375" style="314" customWidth="1"/>
    <col min="9990" max="9990" width="15.42578125" style="314" customWidth="1"/>
    <col min="9991" max="9991" width="13.7109375" style="314" customWidth="1"/>
    <col min="9992" max="9992" width="6.7109375" style="314" customWidth="1"/>
    <col min="9993" max="9993" width="9.28515625" style="314" customWidth="1"/>
    <col min="9994" max="9994" width="6.7109375" style="314" customWidth="1"/>
    <col min="9995" max="9995" width="3.28515625" style="314" customWidth="1"/>
    <col min="9996" max="9996" width="12.7109375" style="314" customWidth="1"/>
    <col min="9997" max="9997" width="14.85546875" style="314" customWidth="1"/>
    <col min="9998" max="9998" width="13.7109375" style="314" customWidth="1"/>
    <col min="9999" max="10240" width="9.140625" style="314"/>
    <col min="10241" max="10241" width="6.7109375" style="314" customWidth="1"/>
    <col min="10242" max="10242" width="9.28515625" style="314" customWidth="1"/>
    <col min="10243" max="10244" width="6.7109375" style="314" customWidth="1"/>
    <col min="10245" max="10245" width="12.7109375" style="314" customWidth="1"/>
    <col min="10246" max="10246" width="15.42578125" style="314" customWidth="1"/>
    <col min="10247" max="10247" width="13.7109375" style="314" customWidth="1"/>
    <col min="10248" max="10248" width="6.7109375" style="314" customWidth="1"/>
    <col min="10249" max="10249" width="9.28515625" style="314" customWidth="1"/>
    <col min="10250" max="10250" width="6.7109375" style="314" customWidth="1"/>
    <col min="10251" max="10251" width="3.28515625" style="314" customWidth="1"/>
    <col min="10252" max="10252" width="12.7109375" style="314" customWidth="1"/>
    <col min="10253" max="10253" width="14.85546875" style="314" customWidth="1"/>
    <col min="10254" max="10254" width="13.7109375" style="314" customWidth="1"/>
    <col min="10255" max="10496" width="9.140625" style="314"/>
    <col min="10497" max="10497" width="6.7109375" style="314" customWidth="1"/>
    <col min="10498" max="10498" width="9.28515625" style="314" customWidth="1"/>
    <col min="10499" max="10500" width="6.7109375" style="314" customWidth="1"/>
    <col min="10501" max="10501" width="12.7109375" style="314" customWidth="1"/>
    <col min="10502" max="10502" width="15.42578125" style="314" customWidth="1"/>
    <col min="10503" max="10503" width="13.7109375" style="314" customWidth="1"/>
    <col min="10504" max="10504" width="6.7109375" style="314" customWidth="1"/>
    <col min="10505" max="10505" width="9.28515625" style="314" customWidth="1"/>
    <col min="10506" max="10506" width="6.7109375" style="314" customWidth="1"/>
    <col min="10507" max="10507" width="3.28515625" style="314" customWidth="1"/>
    <col min="10508" max="10508" width="12.7109375" style="314" customWidth="1"/>
    <col min="10509" max="10509" width="14.85546875" style="314" customWidth="1"/>
    <col min="10510" max="10510" width="13.7109375" style="314" customWidth="1"/>
    <col min="10511" max="10752" width="9.140625" style="314"/>
    <col min="10753" max="10753" width="6.7109375" style="314" customWidth="1"/>
    <col min="10754" max="10754" width="9.28515625" style="314" customWidth="1"/>
    <col min="10755" max="10756" width="6.7109375" style="314" customWidth="1"/>
    <col min="10757" max="10757" width="12.7109375" style="314" customWidth="1"/>
    <col min="10758" max="10758" width="15.42578125" style="314" customWidth="1"/>
    <col min="10759" max="10759" width="13.7109375" style="314" customWidth="1"/>
    <col min="10760" max="10760" width="6.7109375" style="314" customWidth="1"/>
    <col min="10761" max="10761" width="9.28515625" style="314" customWidth="1"/>
    <col min="10762" max="10762" width="6.7109375" style="314" customWidth="1"/>
    <col min="10763" max="10763" width="3.28515625" style="314" customWidth="1"/>
    <col min="10764" max="10764" width="12.7109375" style="314" customWidth="1"/>
    <col min="10765" max="10765" width="14.85546875" style="314" customWidth="1"/>
    <col min="10766" max="10766" width="13.7109375" style="314" customWidth="1"/>
    <col min="10767" max="11008" width="9.140625" style="314"/>
    <col min="11009" max="11009" width="6.7109375" style="314" customWidth="1"/>
    <col min="11010" max="11010" width="9.28515625" style="314" customWidth="1"/>
    <col min="11011" max="11012" width="6.7109375" style="314" customWidth="1"/>
    <col min="11013" max="11013" width="12.7109375" style="314" customWidth="1"/>
    <col min="11014" max="11014" width="15.42578125" style="314" customWidth="1"/>
    <col min="11015" max="11015" width="13.7109375" style="314" customWidth="1"/>
    <col min="11016" max="11016" width="6.7109375" style="314" customWidth="1"/>
    <col min="11017" max="11017" width="9.28515625" style="314" customWidth="1"/>
    <col min="11018" max="11018" width="6.7109375" style="314" customWidth="1"/>
    <col min="11019" max="11019" width="3.28515625" style="314" customWidth="1"/>
    <col min="11020" max="11020" width="12.7109375" style="314" customWidth="1"/>
    <col min="11021" max="11021" width="14.85546875" style="314" customWidth="1"/>
    <col min="11022" max="11022" width="13.7109375" style="314" customWidth="1"/>
    <col min="11023" max="11264" width="9.140625" style="314"/>
    <col min="11265" max="11265" width="6.7109375" style="314" customWidth="1"/>
    <col min="11266" max="11266" width="9.28515625" style="314" customWidth="1"/>
    <col min="11267" max="11268" width="6.7109375" style="314" customWidth="1"/>
    <col min="11269" max="11269" width="12.7109375" style="314" customWidth="1"/>
    <col min="11270" max="11270" width="15.42578125" style="314" customWidth="1"/>
    <col min="11271" max="11271" width="13.7109375" style="314" customWidth="1"/>
    <col min="11272" max="11272" width="6.7109375" style="314" customWidth="1"/>
    <col min="11273" max="11273" width="9.28515625" style="314" customWidth="1"/>
    <col min="11274" max="11274" width="6.7109375" style="314" customWidth="1"/>
    <col min="11275" max="11275" width="3.28515625" style="314" customWidth="1"/>
    <col min="11276" max="11276" width="12.7109375" style="314" customWidth="1"/>
    <col min="11277" max="11277" width="14.85546875" style="314" customWidth="1"/>
    <col min="11278" max="11278" width="13.7109375" style="314" customWidth="1"/>
    <col min="11279" max="11520" width="9.140625" style="314"/>
    <col min="11521" max="11521" width="6.7109375" style="314" customWidth="1"/>
    <col min="11522" max="11522" width="9.28515625" style="314" customWidth="1"/>
    <col min="11523" max="11524" width="6.7109375" style="314" customWidth="1"/>
    <col min="11525" max="11525" width="12.7109375" style="314" customWidth="1"/>
    <col min="11526" max="11526" width="15.42578125" style="314" customWidth="1"/>
    <col min="11527" max="11527" width="13.7109375" style="314" customWidth="1"/>
    <col min="11528" max="11528" width="6.7109375" style="314" customWidth="1"/>
    <col min="11529" max="11529" width="9.28515625" style="314" customWidth="1"/>
    <col min="11530" max="11530" width="6.7109375" style="314" customWidth="1"/>
    <col min="11531" max="11531" width="3.28515625" style="314" customWidth="1"/>
    <col min="11532" max="11532" width="12.7109375" style="314" customWidth="1"/>
    <col min="11533" max="11533" width="14.85546875" style="314" customWidth="1"/>
    <col min="11534" max="11534" width="13.7109375" style="314" customWidth="1"/>
    <col min="11535" max="11776" width="9.140625" style="314"/>
    <col min="11777" max="11777" width="6.7109375" style="314" customWidth="1"/>
    <col min="11778" max="11778" width="9.28515625" style="314" customWidth="1"/>
    <col min="11779" max="11780" width="6.7109375" style="314" customWidth="1"/>
    <col min="11781" max="11781" width="12.7109375" style="314" customWidth="1"/>
    <col min="11782" max="11782" width="15.42578125" style="314" customWidth="1"/>
    <col min="11783" max="11783" width="13.7109375" style="314" customWidth="1"/>
    <col min="11784" max="11784" width="6.7109375" style="314" customWidth="1"/>
    <col min="11785" max="11785" width="9.28515625" style="314" customWidth="1"/>
    <col min="11786" max="11786" width="6.7109375" style="314" customWidth="1"/>
    <col min="11787" max="11787" width="3.28515625" style="314" customWidth="1"/>
    <col min="11788" max="11788" width="12.7109375" style="314" customWidth="1"/>
    <col min="11789" max="11789" width="14.85546875" style="314" customWidth="1"/>
    <col min="11790" max="11790" width="13.7109375" style="314" customWidth="1"/>
    <col min="11791" max="12032" width="9.140625" style="314"/>
    <col min="12033" max="12033" width="6.7109375" style="314" customWidth="1"/>
    <col min="12034" max="12034" width="9.28515625" style="314" customWidth="1"/>
    <col min="12035" max="12036" width="6.7109375" style="314" customWidth="1"/>
    <col min="12037" max="12037" width="12.7109375" style="314" customWidth="1"/>
    <col min="12038" max="12038" width="15.42578125" style="314" customWidth="1"/>
    <col min="12039" max="12039" width="13.7109375" style="314" customWidth="1"/>
    <col min="12040" max="12040" width="6.7109375" style="314" customWidth="1"/>
    <col min="12041" max="12041" width="9.28515625" style="314" customWidth="1"/>
    <col min="12042" max="12042" width="6.7109375" style="314" customWidth="1"/>
    <col min="12043" max="12043" width="3.28515625" style="314" customWidth="1"/>
    <col min="12044" max="12044" width="12.7109375" style="314" customWidth="1"/>
    <col min="12045" max="12045" width="14.85546875" style="314" customWidth="1"/>
    <col min="12046" max="12046" width="13.7109375" style="314" customWidth="1"/>
    <col min="12047" max="12288" width="9.140625" style="314"/>
    <col min="12289" max="12289" width="6.7109375" style="314" customWidth="1"/>
    <col min="12290" max="12290" width="9.28515625" style="314" customWidth="1"/>
    <col min="12291" max="12292" width="6.7109375" style="314" customWidth="1"/>
    <col min="12293" max="12293" width="12.7109375" style="314" customWidth="1"/>
    <col min="12294" max="12294" width="15.42578125" style="314" customWidth="1"/>
    <col min="12295" max="12295" width="13.7109375" style="314" customWidth="1"/>
    <col min="12296" max="12296" width="6.7109375" style="314" customWidth="1"/>
    <col min="12297" max="12297" width="9.28515625" style="314" customWidth="1"/>
    <col min="12298" max="12298" width="6.7109375" style="314" customWidth="1"/>
    <col min="12299" max="12299" width="3.28515625" style="314" customWidth="1"/>
    <col min="12300" max="12300" width="12.7109375" style="314" customWidth="1"/>
    <col min="12301" max="12301" width="14.85546875" style="314" customWidth="1"/>
    <col min="12302" max="12302" width="13.7109375" style="314" customWidth="1"/>
    <col min="12303" max="12544" width="9.140625" style="314"/>
    <col min="12545" max="12545" width="6.7109375" style="314" customWidth="1"/>
    <col min="12546" max="12546" width="9.28515625" style="314" customWidth="1"/>
    <col min="12547" max="12548" width="6.7109375" style="314" customWidth="1"/>
    <col min="12549" max="12549" width="12.7109375" style="314" customWidth="1"/>
    <col min="12550" max="12550" width="15.42578125" style="314" customWidth="1"/>
    <col min="12551" max="12551" width="13.7109375" style="314" customWidth="1"/>
    <col min="12552" max="12552" width="6.7109375" style="314" customWidth="1"/>
    <col min="12553" max="12553" width="9.28515625" style="314" customWidth="1"/>
    <col min="12554" max="12554" width="6.7109375" style="314" customWidth="1"/>
    <col min="12555" max="12555" width="3.28515625" style="314" customWidth="1"/>
    <col min="12556" max="12556" width="12.7109375" style="314" customWidth="1"/>
    <col min="12557" max="12557" width="14.85546875" style="314" customWidth="1"/>
    <col min="12558" max="12558" width="13.7109375" style="314" customWidth="1"/>
    <col min="12559" max="12800" width="9.140625" style="314"/>
    <col min="12801" max="12801" width="6.7109375" style="314" customWidth="1"/>
    <col min="12802" max="12802" width="9.28515625" style="314" customWidth="1"/>
    <col min="12803" max="12804" width="6.7109375" style="314" customWidth="1"/>
    <col min="12805" max="12805" width="12.7109375" style="314" customWidth="1"/>
    <col min="12806" max="12806" width="15.42578125" style="314" customWidth="1"/>
    <col min="12807" max="12807" width="13.7109375" style="314" customWidth="1"/>
    <col min="12808" max="12808" width="6.7109375" style="314" customWidth="1"/>
    <col min="12809" max="12809" width="9.28515625" style="314" customWidth="1"/>
    <col min="12810" max="12810" width="6.7109375" style="314" customWidth="1"/>
    <col min="12811" max="12811" width="3.28515625" style="314" customWidth="1"/>
    <col min="12812" max="12812" width="12.7109375" style="314" customWidth="1"/>
    <col min="12813" max="12813" width="14.85546875" style="314" customWidth="1"/>
    <col min="12814" max="12814" width="13.7109375" style="314" customWidth="1"/>
    <col min="12815" max="13056" width="9.140625" style="314"/>
    <col min="13057" max="13057" width="6.7109375" style="314" customWidth="1"/>
    <col min="13058" max="13058" width="9.28515625" style="314" customWidth="1"/>
    <col min="13059" max="13060" width="6.7109375" style="314" customWidth="1"/>
    <col min="13061" max="13061" width="12.7109375" style="314" customWidth="1"/>
    <col min="13062" max="13062" width="15.42578125" style="314" customWidth="1"/>
    <col min="13063" max="13063" width="13.7109375" style="314" customWidth="1"/>
    <col min="13064" max="13064" width="6.7109375" style="314" customWidth="1"/>
    <col min="13065" max="13065" width="9.28515625" style="314" customWidth="1"/>
    <col min="13066" max="13066" width="6.7109375" style="314" customWidth="1"/>
    <col min="13067" max="13067" width="3.28515625" style="314" customWidth="1"/>
    <col min="13068" max="13068" width="12.7109375" style="314" customWidth="1"/>
    <col min="13069" max="13069" width="14.85546875" style="314" customWidth="1"/>
    <col min="13070" max="13070" width="13.7109375" style="314" customWidth="1"/>
    <col min="13071" max="13312" width="9.140625" style="314"/>
    <col min="13313" max="13313" width="6.7109375" style="314" customWidth="1"/>
    <col min="13314" max="13314" width="9.28515625" style="314" customWidth="1"/>
    <col min="13315" max="13316" width="6.7109375" style="314" customWidth="1"/>
    <col min="13317" max="13317" width="12.7109375" style="314" customWidth="1"/>
    <col min="13318" max="13318" width="15.42578125" style="314" customWidth="1"/>
    <col min="13319" max="13319" width="13.7109375" style="314" customWidth="1"/>
    <col min="13320" max="13320" width="6.7109375" style="314" customWidth="1"/>
    <col min="13321" max="13321" width="9.28515625" style="314" customWidth="1"/>
    <col min="13322" max="13322" width="6.7109375" style="314" customWidth="1"/>
    <col min="13323" max="13323" width="3.28515625" style="314" customWidth="1"/>
    <col min="13324" max="13324" width="12.7109375" style="314" customWidth="1"/>
    <col min="13325" max="13325" width="14.85546875" style="314" customWidth="1"/>
    <col min="13326" max="13326" width="13.7109375" style="314" customWidth="1"/>
    <col min="13327" max="13568" width="9.140625" style="314"/>
    <col min="13569" max="13569" width="6.7109375" style="314" customWidth="1"/>
    <col min="13570" max="13570" width="9.28515625" style="314" customWidth="1"/>
    <col min="13571" max="13572" width="6.7109375" style="314" customWidth="1"/>
    <col min="13573" max="13573" width="12.7109375" style="314" customWidth="1"/>
    <col min="13574" max="13574" width="15.42578125" style="314" customWidth="1"/>
    <col min="13575" max="13575" width="13.7109375" style="314" customWidth="1"/>
    <col min="13576" max="13576" width="6.7109375" style="314" customWidth="1"/>
    <col min="13577" max="13577" width="9.28515625" style="314" customWidth="1"/>
    <col min="13578" max="13578" width="6.7109375" style="314" customWidth="1"/>
    <col min="13579" max="13579" width="3.28515625" style="314" customWidth="1"/>
    <col min="13580" max="13580" width="12.7109375" style="314" customWidth="1"/>
    <col min="13581" max="13581" width="14.85546875" style="314" customWidth="1"/>
    <col min="13582" max="13582" width="13.7109375" style="314" customWidth="1"/>
    <col min="13583" max="13824" width="9.140625" style="314"/>
    <col min="13825" max="13825" width="6.7109375" style="314" customWidth="1"/>
    <col min="13826" max="13826" width="9.28515625" style="314" customWidth="1"/>
    <col min="13827" max="13828" width="6.7109375" style="314" customWidth="1"/>
    <col min="13829" max="13829" width="12.7109375" style="314" customWidth="1"/>
    <col min="13830" max="13830" width="15.42578125" style="314" customWidth="1"/>
    <col min="13831" max="13831" width="13.7109375" style="314" customWidth="1"/>
    <col min="13832" max="13832" width="6.7109375" style="314" customWidth="1"/>
    <col min="13833" max="13833" width="9.28515625" style="314" customWidth="1"/>
    <col min="13834" max="13834" width="6.7109375" style="314" customWidth="1"/>
    <col min="13835" max="13835" width="3.28515625" style="314" customWidth="1"/>
    <col min="13836" max="13836" width="12.7109375" style="314" customWidth="1"/>
    <col min="13837" max="13837" width="14.85546875" style="314" customWidth="1"/>
    <col min="13838" max="13838" width="13.7109375" style="314" customWidth="1"/>
    <col min="13839" max="14080" width="9.140625" style="314"/>
    <col min="14081" max="14081" width="6.7109375" style="314" customWidth="1"/>
    <col min="14082" max="14082" width="9.28515625" style="314" customWidth="1"/>
    <col min="14083" max="14084" width="6.7109375" style="314" customWidth="1"/>
    <col min="14085" max="14085" width="12.7109375" style="314" customWidth="1"/>
    <col min="14086" max="14086" width="15.42578125" style="314" customWidth="1"/>
    <col min="14087" max="14087" width="13.7109375" style="314" customWidth="1"/>
    <col min="14088" max="14088" width="6.7109375" style="314" customWidth="1"/>
    <col min="14089" max="14089" width="9.28515625" style="314" customWidth="1"/>
    <col min="14090" max="14090" width="6.7109375" style="314" customWidth="1"/>
    <col min="14091" max="14091" width="3.28515625" style="314" customWidth="1"/>
    <col min="14092" max="14092" width="12.7109375" style="314" customWidth="1"/>
    <col min="14093" max="14093" width="14.85546875" style="314" customWidth="1"/>
    <col min="14094" max="14094" width="13.7109375" style="314" customWidth="1"/>
    <col min="14095" max="14336" width="9.140625" style="314"/>
    <col min="14337" max="14337" width="6.7109375" style="314" customWidth="1"/>
    <col min="14338" max="14338" width="9.28515625" style="314" customWidth="1"/>
    <col min="14339" max="14340" width="6.7109375" style="314" customWidth="1"/>
    <col min="14341" max="14341" width="12.7109375" style="314" customWidth="1"/>
    <col min="14342" max="14342" width="15.42578125" style="314" customWidth="1"/>
    <col min="14343" max="14343" width="13.7109375" style="314" customWidth="1"/>
    <col min="14344" max="14344" width="6.7109375" style="314" customWidth="1"/>
    <col min="14345" max="14345" width="9.28515625" style="314" customWidth="1"/>
    <col min="14346" max="14346" width="6.7109375" style="314" customWidth="1"/>
    <col min="14347" max="14347" width="3.28515625" style="314" customWidth="1"/>
    <col min="14348" max="14348" width="12.7109375" style="314" customWidth="1"/>
    <col min="14349" max="14349" width="14.85546875" style="314" customWidth="1"/>
    <col min="14350" max="14350" width="13.7109375" style="314" customWidth="1"/>
    <col min="14351" max="14592" width="9.140625" style="314"/>
    <col min="14593" max="14593" width="6.7109375" style="314" customWidth="1"/>
    <col min="14594" max="14594" width="9.28515625" style="314" customWidth="1"/>
    <col min="14595" max="14596" width="6.7109375" style="314" customWidth="1"/>
    <col min="14597" max="14597" width="12.7109375" style="314" customWidth="1"/>
    <col min="14598" max="14598" width="15.42578125" style="314" customWidth="1"/>
    <col min="14599" max="14599" width="13.7109375" style="314" customWidth="1"/>
    <col min="14600" max="14600" width="6.7109375" style="314" customWidth="1"/>
    <col min="14601" max="14601" width="9.28515625" style="314" customWidth="1"/>
    <col min="14602" max="14602" width="6.7109375" style="314" customWidth="1"/>
    <col min="14603" max="14603" width="3.28515625" style="314" customWidth="1"/>
    <col min="14604" max="14604" width="12.7109375" style="314" customWidth="1"/>
    <col min="14605" max="14605" width="14.85546875" style="314" customWidth="1"/>
    <col min="14606" max="14606" width="13.7109375" style="314" customWidth="1"/>
    <col min="14607" max="14848" width="9.140625" style="314"/>
    <col min="14849" max="14849" width="6.7109375" style="314" customWidth="1"/>
    <col min="14850" max="14850" width="9.28515625" style="314" customWidth="1"/>
    <col min="14851" max="14852" width="6.7109375" style="314" customWidth="1"/>
    <col min="14853" max="14853" width="12.7109375" style="314" customWidth="1"/>
    <col min="14854" max="14854" width="15.42578125" style="314" customWidth="1"/>
    <col min="14855" max="14855" width="13.7109375" style="314" customWidth="1"/>
    <col min="14856" max="14856" width="6.7109375" style="314" customWidth="1"/>
    <col min="14857" max="14857" width="9.28515625" style="314" customWidth="1"/>
    <col min="14858" max="14858" width="6.7109375" style="314" customWidth="1"/>
    <col min="14859" max="14859" width="3.28515625" style="314" customWidth="1"/>
    <col min="14860" max="14860" width="12.7109375" style="314" customWidth="1"/>
    <col min="14861" max="14861" width="14.85546875" style="314" customWidth="1"/>
    <col min="14862" max="14862" width="13.7109375" style="314" customWidth="1"/>
    <col min="14863" max="15104" width="9.140625" style="314"/>
    <col min="15105" max="15105" width="6.7109375" style="314" customWidth="1"/>
    <col min="15106" max="15106" width="9.28515625" style="314" customWidth="1"/>
    <col min="15107" max="15108" width="6.7109375" style="314" customWidth="1"/>
    <col min="15109" max="15109" width="12.7109375" style="314" customWidth="1"/>
    <col min="15110" max="15110" width="15.42578125" style="314" customWidth="1"/>
    <col min="15111" max="15111" width="13.7109375" style="314" customWidth="1"/>
    <col min="15112" max="15112" width="6.7109375" style="314" customWidth="1"/>
    <col min="15113" max="15113" width="9.28515625" style="314" customWidth="1"/>
    <col min="15114" max="15114" width="6.7109375" style="314" customWidth="1"/>
    <col min="15115" max="15115" width="3.28515625" style="314" customWidth="1"/>
    <col min="15116" max="15116" width="12.7109375" style="314" customWidth="1"/>
    <col min="15117" max="15117" width="14.85546875" style="314" customWidth="1"/>
    <col min="15118" max="15118" width="13.7109375" style="314" customWidth="1"/>
    <col min="15119" max="15360" width="9.140625" style="314"/>
    <col min="15361" max="15361" width="6.7109375" style="314" customWidth="1"/>
    <col min="15362" max="15362" width="9.28515625" style="314" customWidth="1"/>
    <col min="15363" max="15364" width="6.7109375" style="314" customWidth="1"/>
    <col min="15365" max="15365" width="12.7109375" style="314" customWidth="1"/>
    <col min="15366" max="15366" width="15.42578125" style="314" customWidth="1"/>
    <col min="15367" max="15367" width="13.7109375" style="314" customWidth="1"/>
    <col min="15368" max="15368" width="6.7109375" style="314" customWidth="1"/>
    <col min="15369" max="15369" width="9.28515625" style="314" customWidth="1"/>
    <col min="15370" max="15370" width="6.7109375" style="314" customWidth="1"/>
    <col min="15371" max="15371" width="3.28515625" style="314" customWidth="1"/>
    <col min="15372" max="15372" width="12.7109375" style="314" customWidth="1"/>
    <col min="15373" max="15373" width="14.85546875" style="314" customWidth="1"/>
    <col min="15374" max="15374" width="13.7109375" style="314" customWidth="1"/>
    <col min="15375" max="15616" width="9.140625" style="314"/>
    <col min="15617" max="15617" width="6.7109375" style="314" customWidth="1"/>
    <col min="15618" max="15618" width="9.28515625" style="314" customWidth="1"/>
    <col min="15619" max="15620" width="6.7109375" style="314" customWidth="1"/>
    <col min="15621" max="15621" width="12.7109375" style="314" customWidth="1"/>
    <col min="15622" max="15622" width="15.42578125" style="314" customWidth="1"/>
    <col min="15623" max="15623" width="13.7109375" style="314" customWidth="1"/>
    <col min="15624" max="15624" width="6.7109375" style="314" customWidth="1"/>
    <col min="15625" max="15625" width="9.28515625" style="314" customWidth="1"/>
    <col min="15626" max="15626" width="6.7109375" style="314" customWidth="1"/>
    <col min="15627" max="15627" width="3.28515625" style="314" customWidth="1"/>
    <col min="15628" max="15628" width="12.7109375" style="314" customWidth="1"/>
    <col min="15629" max="15629" width="14.85546875" style="314" customWidth="1"/>
    <col min="15630" max="15630" width="13.7109375" style="314" customWidth="1"/>
    <col min="15631" max="15872" width="9.140625" style="314"/>
    <col min="15873" max="15873" width="6.7109375" style="314" customWidth="1"/>
    <col min="15874" max="15874" width="9.28515625" style="314" customWidth="1"/>
    <col min="15875" max="15876" width="6.7109375" style="314" customWidth="1"/>
    <col min="15877" max="15877" width="12.7109375" style="314" customWidth="1"/>
    <col min="15878" max="15878" width="15.42578125" style="314" customWidth="1"/>
    <col min="15879" max="15879" width="13.7109375" style="314" customWidth="1"/>
    <col min="15880" max="15880" width="6.7109375" style="314" customWidth="1"/>
    <col min="15881" max="15881" width="9.28515625" style="314" customWidth="1"/>
    <col min="15882" max="15882" width="6.7109375" style="314" customWidth="1"/>
    <col min="15883" max="15883" width="3.28515625" style="314" customWidth="1"/>
    <col min="15884" max="15884" width="12.7109375" style="314" customWidth="1"/>
    <col min="15885" max="15885" width="14.85546875" style="314" customWidth="1"/>
    <col min="15886" max="15886" width="13.7109375" style="314" customWidth="1"/>
    <col min="15887" max="16128" width="9.140625" style="314"/>
    <col min="16129" max="16129" width="6.7109375" style="314" customWidth="1"/>
    <col min="16130" max="16130" width="9.28515625" style="314" customWidth="1"/>
    <col min="16131" max="16132" width="6.7109375" style="314" customWidth="1"/>
    <col min="16133" max="16133" width="12.7109375" style="314" customWidth="1"/>
    <col min="16134" max="16134" width="15.42578125" style="314" customWidth="1"/>
    <col min="16135" max="16135" width="13.7109375" style="314" customWidth="1"/>
    <col min="16136" max="16136" width="6.7109375" style="314" customWidth="1"/>
    <col min="16137" max="16137" width="9.28515625" style="314" customWidth="1"/>
    <col min="16138" max="16138" width="6.7109375" style="314" customWidth="1"/>
    <col min="16139" max="16139" width="3.28515625" style="314" customWidth="1"/>
    <col min="16140" max="16140" width="12.7109375" style="314" customWidth="1"/>
    <col min="16141" max="16141" width="14.85546875" style="314" customWidth="1"/>
    <col min="16142" max="16142" width="13.7109375" style="314" customWidth="1"/>
    <col min="16143" max="16384" width="9.140625" style="314"/>
  </cols>
  <sheetData>
    <row r="1" spans="1:21" ht="15.75">
      <c r="N1" s="523" t="s">
        <v>469</v>
      </c>
    </row>
    <row r="2" spans="1:21" ht="8.25" customHeight="1">
      <c r="N2" s="405"/>
    </row>
    <row r="3" spans="1:21" ht="15.75" customHeight="1">
      <c r="A3" s="400" t="str">
        <f>'Pg 8 Penalties'!A3</f>
        <v>NRA.N.011-050-2012/1F</v>
      </c>
      <c r="B3" s="401"/>
      <c r="C3" s="401"/>
      <c r="D3" s="468"/>
      <c r="E3" s="1339"/>
      <c r="F3" s="1339"/>
      <c r="G3" s="1401">
        <f>'F1  Cover'!L8</f>
        <v>44804</v>
      </c>
      <c r="H3" s="1401"/>
      <c r="I3" s="1424" t="s">
        <v>379</v>
      </c>
      <c r="J3" s="1424"/>
      <c r="K3" s="1424"/>
      <c r="L3" s="1424"/>
      <c r="M3" s="1341">
        <f>'F1  Cover'!K8</f>
        <v>1</v>
      </c>
      <c r="N3" s="1342"/>
    </row>
    <row r="4" spans="1:21" ht="15.75" customHeight="1" thickBot="1">
      <c r="A4" s="1489"/>
      <c r="B4" s="1489"/>
    </row>
    <row r="5" spans="1:21" ht="15.75" customHeight="1">
      <c r="A5" s="551"/>
      <c r="B5" s="552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525"/>
    </row>
    <row r="6" spans="1:21" ht="15.75" customHeight="1">
      <c r="A6" s="1343" t="s">
        <v>470</v>
      </c>
      <c r="B6" s="1344"/>
      <c r="C6" s="1344"/>
      <c r="D6" s="1344"/>
      <c r="E6" s="1344"/>
      <c r="F6" s="1344"/>
      <c r="G6" s="1344"/>
      <c r="H6" s="1344"/>
      <c r="I6" s="1344"/>
      <c r="J6" s="1344"/>
      <c r="K6" s="1344"/>
      <c r="L6" s="1344"/>
      <c r="M6" s="1344"/>
      <c r="N6" s="1345"/>
    </row>
    <row r="7" spans="1:21" ht="15.75" customHeight="1" thickBot="1">
      <c r="A7" s="526"/>
      <c r="N7" s="527"/>
    </row>
    <row r="8" spans="1:21" ht="15.75" customHeight="1">
      <c r="A8" s="439"/>
      <c r="B8" s="553" t="s">
        <v>471</v>
      </c>
      <c r="C8" s="554"/>
      <c r="D8" s="554"/>
      <c r="E8" s="440"/>
      <c r="F8" s="440"/>
      <c r="G8" s="525"/>
      <c r="H8" s="1487" t="s">
        <v>472</v>
      </c>
      <c r="I8" s="1487"/>
      <c r="J8" s="1488">
        <f>DATA!$K$1023-28</f>
        <v>45209</v>
      </c>
      <c r="K8" s="1488"/>
      <c r="L8" s="1488"/>
      <c r="M8" s="440"/>
      <c r="N8" s="525"/>
      <c r="R8" s="555"/>
      <c r="S8" s="397"/>
    </row>
    <row r="9" spans="1:21" ht="15.75" customHeight="1">
      <c r="A9" s="526"/>
      <c r="B9" s="556" t="s">
        <v>473</v>
      </c>
      <c r="C9" s="555"/>
      <c r="D9" s="555"/>
      <c r="F9" s="557" t="s">
        <v>474</v>
      </c>
      <c r="G9" s="527"/>
      <c r="H9" s="1489" t="s">
        <v>475</v>
      </c>
      <c r="I9" s="1489"/>
      <c r="J9" s="1490"/>
      <c r="K9" s="1490"/>
      <c r="L9" s="1490"/>
      <c r="M9" s="1490"/>
      <c r="N9" s="417"/>
      <c r="R9" s="555"/>
      <c r="S9" s="555"/>
      <c r="U9" s="397"/>
    </row>
    <row r="10" spans="1:21" ht="15.75" customHeight="1">
      <c r="A10" s="526"/>
      <c r="B10" s="556" t="s">
        <v>476</v>
      </c>
      <c r="C10" s="397"/>
      <c r="D10" s="397"/>
      <c r="F10" s="556" t="s">
        <v>477</v>
      </c>
      <c r="G10" s="527"/>
      <c r="H10" s="1491" t="s">
        <v>478</v>
      </c>
      <c r="I10" s="1491"/>
      <c r="J10" s="315">
        <v>0</v>
      </c>
      <c r="K10" s="315"/>
      <c r="L10" s="315"/>
      <c r="N10" s="527"/>
      <c r="R10" s="555"/>
      <c r="S10" s="397"/>
      <c r="U10" s="555"/>
    </row>
    <row r="11" spans="1:21" ht="15.75" customHeight="1" thickBot="1">
      <c r="A11" s="447"/>
      <c r="B11" s="448"/>
      <c r="C11" s="448"/>
      <c r="D11" s="448"/>
      <c r="E11" s="448"/>
      <c r="F11" s="448"/>
      <c r="G11" s="558"/>
      <c r="H11" s="1492" t="s">
        <v>479</v>
      </c>
      <c r="I11" s="1492"/>
      <c r="J11" s="559">
        <v>1</v>
      </c>
      <c r="K11" s="559"/>
      <c r="L11" s="559"/>
      <c r="M11" s="448" t="s">
        <v>480</v>
      </c>
      <c r="N11" s="558"/>
      <c r="R11" s="555"/>
      <c r="S11" s="397"/>
      <c r="U11" s="555"/>
    </row>
    <row r="12" spans="1:21" ht="15.75" customHeight="1" thickBot="1">
      <c r="A12" s="560" t="s">
        <v>481</v>
      </c>
      <c r="B12" s="541" t="s">
        <v>482</v>
      </c>
      <c r="C12" s="561" t="s">
        <v>483</v>
      </c>
      <c r="D12" s="562"/>
      <c r="E12" s="541" t="s">
        <v>484</v>
      </c>
      <c r="F12" s="541" t="s">
        <v>485</v>
      </c>
      <c r="G12" s="542" t="s">
        <v>486</v>
      </c>
      <c r="H12" s="562" t="s">
        <v>481</v>
      </c>
      <c r="I12" s="541" t="s">
        <v>482</v>
      </c>
      <c r="J12" s="561" t="s">
        <v>483</v>
      </c>
      <c r="K12" s="562"/>
      <c r="L12" s="541" t="s">
        <v>484</v>
      </c>
      <c r="M12" s="541" t="s">
        <v>485</v>
      </c>
      <c r="N12" s="542" t="s">
        <v>486</v>
      </c>
    </row>
    <row r="13" spans="1:21" ht="12.75" customHeight="1">
      <c r="A13" s="563"/>
      <c r="B13" s="564"/>
      <c r="C13" s="856"/>
      <c r="D13" s="566"/>
      <c r="E13" s="567" t="s">
        <v>487</v>
      </c>
      <c r="F13" s="568"/>
      <c r="G13" s="569"/>
      <c r="H13" s="570"/>
      <c r="I13" s="570"/>
      <c r="J13" s="570"/>
      <c r="K13" s="570"/>
      <c r="L13" s="570"/>
      <c r="M13" s="570"/>
      <c r="N13" s="571"/>
    </row>
    <row r="14" spans="1:21" ht="12.75" customHeight="1">
      <c r="A14" s="572" t="s">
        <v>488</v>
      </c>
      <c r="B14" s="564"/>
      <c r="C14" s="565"/>
      <c r="D14" s="566"/>
      <c r="E14" s="567"/>
      <c r="F14" s="568"/>
      <c r="G14" s="571"/>
      <c r="H14" s="570"/>
      <c r="I14" s="570"/>
      <c r="J14" s="570"/>
      <c r="K14" s="570"/>
      <c r="L14" s="570"/>
      <c r="M14" s="570"/>
      <c r="N14" s="571"/>
    </row>
    <row r="15" spans="1:21">
      <c r="A15" s="573">
        <v>1</v>
      </c>
      <c r="B15" s="574"/>
      <c r="C15" s="575"/>
      <c r="D15" s="576"/>
      <c r="E15" s="516" t="e">
        <f t="shared" ref="E15:E33" si="0">ROUND((1-$J$10)*(($J$11*C15/C$13)-1),4)</f>
        <v>#DIV/0!</v>
      </c>
      <c r="F15" s="577">
        <v>0</v>
      </c>
      <c r="G15" s="578" t="e">
        <f t="shared" ref="G15:G52" si="1">ROUND((E15*F15),2)</f>
        <v>#DIV/0!</v>
      </c>
      <c r="H15" s="579"/>
      <c r="I15" s="574"/>
      <c r="J15" s="575"/>
      <c r="K15" s="580"/>
      <c r="L15" s="516" t="e">
        <f t="shared" ref="L15:L50" si="2">ROUND((1-$J$10)*(($J$11*J15/C$13)-1),4)</f>
        <v>#DIV/0!</v>
      </c>
      <c r="M15" s="577"/>
      <c r="N15" s="578" t="e">
        <f t="shared" ref="N15:N50" si="3">ROUND((L15*M15),2)</f>
        <v>#DIV/0!</v>
      </c>
    </row>
    <row r="16" spans="1:21">
      <c r="A16" s="573">
        <v>2</v>
      </c>
      <c r="B16" s="574"/>
      <c r="C16" s="575"/>
      <c r="D16" s="576"/>
      <c r="E16" s="516" t="e">
        <f t="shared" si="0"/>
        <v>#DIV/0!</v>
      </c>
      <c r="F16" s="577">
        <v>0</v>
      </c>
      <c r="G16" s="578" t="e">
        <f t="shared" si="1"/>
        <v>#DIV/0!</v>
      </c>
      <c r="H16" s="579"/>
      <c r="I16" s="574"/>
      <c r="J16" s="575"/>
      <c r="K16" s="580"/>
      <c r="L16" s="516" t="e">
        <f t="shared" si="2"/>
        <v>#DIV/0!</v>
      </c>
      <c r="M16" s="577"/>
      <c r="N16" s="578" t="e">
        <f t="shared" si="3"/>
        <v>#DIV/0!</v>
      </c>
    </row>
    <row r="17" spans="1:14">
      <c r="A17" s="573">
        <v>3</v>
      </c>
      <c r="B17" s="574"/>
      <c r="C17" s="575"/>
      <c r="D17" s="576"/>
      <c r="E17" s="516" t="e">
        <f t="shared" si="0"/>
        <v>#DIV/0!</v>
      </c>
      <c r="F17" s="577"/>
      <c r="G17" s="578" t="e">
        <f t="shared" si="1"/>
        <v>#DIV/0!</v>
      </c>
      <c r="H17" s="579"/>
      <c r="I17" s="574"/>
      <c r="J17" s="575"/>
      <c r="K17" s="580"/>
      <c r="L17" s="516" t="e">
        <f t="shared" si="2"/>
        <v>#DIV/0!</v>
      </c>
      <c r="M17" s="577"/>
      <c r="N17" s="578" t="e">
        <f t="shared" si="3"/>
        <v>#DIV/0!</v>
      </c>
    </row>
    <row r="18" spans="1:14">
      <c r="A18" s="573">
        <v>4</v>
      </c>
      <c r="B18" s="574"/>
      <c r="C18" s="575"/>
      <c r="D18" s="576"/>
      <c r="E18" s="516" t="e">
        <f t="shared" si="0"/>
        <v>#DIV/0!</v>
      </c>
      <c r="F18" s="577"/>
      <c r="G18" s="578" t="e">
        <f t="shared" si="1"/>
        <v>#DIV/0!</v>
      </c>
      <c r="H18" s="579"/>
      <c r="I18" s="574"/>
      <c r="J18" s="575"/>
      <c r="K18" s="580"/>
      <c r="L18" s="516" t="e">
        <f t="shared" si="2"/>
        <v>#DIV/0!</v>
      </c>
      <c r="M18" s="577"/>
      <c r="N18" s="578" t="e">
        <f t="shared" si="3"/>
        <v>#DIV/0!</v>
      </c>
    </row>
    <row r="19" spans="1:14">
      <c r="A19" s="573">
        <v>5</v>
      </c>
      <c r="B19" s="574"/>
      <c r="C19" s="575"/>
      <c r="D19" s="576" t="s">
        <v>489</v>
      </c>
      <c r="E19" s="516" t="e">
        <f t="shared" si="0"/>
        <v>#DIV/0!</v>
      </c>
      <c r="F19" s="577"/>
      <c r="G19" s="578" t="e">
        <f t="shared" si="1"/>
        <v>#DIV/0!</v>
      </c>
      <c r="H19" s="579"/>
      <c r="I19" s="574"/>
      <c r="J19" s="575"/>
      <c r="K19" s="580"/>
      <c r="L19" s="516" t="e">
        <f t="shared" si="2"/>
        <v>#DIV/0!</v>
      </c>
      <c r="M19" s="577"/>
      <c r="N19" s="578" t="e">
        <f t="shared" si="3"/>
        <v>#DIV/0!</v>
      </c>
    </row>
    <row r="20" spans="1:14">
      <c r="A20" s="573">
        <v>6</v>
      </c>
      <c r="B20" s="574"/>
      <c r="C20" s="575"/>
      <c r="D20" s="576"/>
      <c r="E20" s="516" t="e">
        <f t="shared" si="0"/>
        <v>#DIV/0!</v>
      </c>
      <c r="F20" s="577"/>
      <c r="G20" s="578" t="e">
        <f>ROUND((E20*F20),2)</f>
        <v>#DIV/0!</v>
      </c>
      <c r="H20" s="579"/>
      <c r="I20" s="574"/>
      <c r="J20" s="575"/>
      <c r="K20" s="580"/>
      <c r="L20" s="516" t="e">
        <f t="shared" si="2"/>
        <v>#DIV/0!</v>
      </c>
      <c r="M20" s="577"/>
      <c r="N20" s="578" t="e">
        <f t="shared" si="3"/>
        <v>#DIV/0!</v>
      </c>
    </row>
    <row r="21" spans="1:14">
      <c r="A21" s="573">
        <v>7</v>
      </c>
      <c r="B21" s="574"/>
      <c r="C21" s="575"/>
      <c r="D21" s="576"/>
      <c r="E21" s="516" t="e">
        <f t="shared" si="0"/>
        <v>#DIV/0!</v>
      </c>
      <c r="F21" s="577"/>
      <c r="G21" s="578" t="e">
        <f t="shared" si="1"/>
        <v>#DIV/0!</v>
      </c>
      <c r="H21" s="579"/>
      <c r="I21" s="574"/>
      <c r="J21" s="575"/>
      <c r="K21" s="580"/>
      <c r="L21" s="516" t="e">
        <f t="shared" si="2"/>
        <v>#DIV/0!</v>
      </c>
      <c r="M21" s="577"/>
      <c r="N21" s="578" t="e">
        <f t="shared" si="3"/>
        <v>#DIV/0!</v>
      </c>
    </row>
    <row r="22" spans="1:14">
      <c r="A22" s="573">
        <v>8</v>
      </c>
      <c r="B22" s="574"/>
      <c r="C22" s="575"/>
      <c r="D22" s="576"/>
      <c r="E22" s="516" t="e">
        <f t="shared" si="0"/>
        <v>#DIV/0!</v>
      </c>
      <c r="F22" s="577"/>
      <c r="G22" s="578" t="e">
        <f t="shared" si="1"/>
        <v>#DIV/0!</v>
      </c>
      <c r="H22" s="579"/>
      <c r="I22" s="574"/>
      <c r="J22" s="575"/>
      <c r="K22" s="580"/>
      <c r="L22" s="516" t="e">
        <f t="shared" si="2"/>
        <v>#DIV/0!</v>
      </c>
      <c r="M22" s="577"/>
      <c r="N22" s="578" t="e">
        <f t="shared" si="3"/>
        <v>#DIV/0!</v>
      </c>
    </row>
    <row r="23" spans="1:14">
      <c r="A23" s="573">
        <v>9</v>
      </c>
      <c r="B23" s="574"/>
      <c r="C23" s="575"/>
      <c r="D23" s="576"/>
      <c r="E23" s="516" t="e">
        <f t="shared" si="0"/>
        <v>#DIV/0!</v>
      </c>
      <c r="F23" s="577"/>
      <c r="G23" s="578" t="e">
        <f t="shared" si="1"/>
        <v>#DIV/0!</v>
      </c>
      <c r="H23" s="579"/>
      <c r="I23" s="574"/>
      <c r="J23" s="575"/>
      <c r="K23" s="580"/>
      <c r="L23" s="516" t="e">
        <f t="shared" si="2"/>
        <v>#DIV/0!</v>
      </c>
      <c r="M23" s="577"/>
      <c r="N23" s="578" t="e">
        <f t="shared" si="3"/>
        <v>#DIV/0!</v>
      </c>
    </row>
    <row r="24" spans="1:14">
      <c r="A24" s="573">
        <v>10</v>
      </c>
      <c r="B24" s="574"/>
      <c r="C24" s="575"/>
      <c r="D24" s="576"/>
      <c r="E24" s="516" t="e">
        <f t="shared" si="0"/>
        <v>#DIV/0!</v>
      </c>
      <c r="F24" s="577"/>
      <c r="G24" s="578" t="e">
        <f t="shared" si="1"/>
        <v>#DIV/0!</v>
      </c>
      <c r="H24" s="579"/>
      <c r="I24" s="574"/>
      <c r="J24" s="575"/>
      <c r="K24" s="580"/>
      <c r="L24" s="516" t="e">
        <f t="shared" si="2"/>
        <v>#DIV/0!</v>
      </c>
      <c r="M24" s="577"/>
      <c r="N24" s="578" t="e">
        <f t="shared" si="3"/>
        <v>#DIV/0!</v>
      </c>
    </row>
    <row r="25" spans="1:14">
      <c r="A25" s="573">
        <v>11</v>
      </c>
      <c r="B25" s="574"/>
      <c r="C25" s="575"/>
      <c r="D25" s="576"/>
      <c r="E25" s="516" t="e">
        <f t="shared" si="0"/>
        <v>#DIV/0!</v>
      </c>
      <c r="F25" s="577"/>
      <c r="G25" s="578" t="e">
        <f t="shared" si="1"/>
        <v>#DIV/0!</v>
      </c>
      <c r="H25" s="579"/>
      <c r="I25" s="574"/>
      <c r="J25" s="575"/>
      <c r="K25" s="580"/>
      <c r="L25" s="516" t="e">
        <f t="shared" si="2"/>
        <v>#DIV/0!</v>
      </c>
      <c r="M25" s="577"/>
      <c r="N25" s="578" t="e">
        <f t="shared" si="3"/>
        <v>#DIV/0!</v>
      </c>
    </row>
    <row r="26" spans="1:14">
      <c r="A26" s="573">
        <v>12</v>
      </c>
      <c r="B26" s="574"/>
      <c r="C26" s="575"/>
      <c r="D26" s="576"/>
      <c r="E26" s="516" t="e">
        <f t="shared" si="0"/>
        <v>#DIV/0!</v>
      </c>
      <c r="F26" s="577"/>
      <c r="G26" s="578" t="e">
        <f t="shared" si="1"/>
        <v>#DIV/0!</v>
      </c>
      <c r="H26" s="579"/>
      <c r="I26" s="574"/>
      <c r="J26" s="575"/>
      <c r="K26" s="580"/>
      <c r="L26" s="516" t="e">
        <f t="shared" si="2"/>
        <v>#DIV/0!</v>
      </c>
      <c r="M26" s="577"/>
      <c r="N26" s="578" t="e">
        <f t="shared" si="3"/>
        <v>#DIV/0!</v>
      </c>
    </row>
    <row r="27" spans="1:14">
      <c r="A27" s="573">
        <v>13</v>
      </c>
      <c r="B27" s="574"/>
      <c r="C27" s="575"/>
      <c r="D27" s="576"/>
      <c r="E27" s="516" t="e">
        <f t="shared" si="0"/>
        <v>#DIV/0!</v>
      </c>
      <c r="F27" s="577"/>
      <c r="G27" s="578" t="e">
        <f t="shared" si="1"/>
        <v>#DIV/0!</v>
      </c>
      <c r="H27" s="579"/>
      <c r="I27" s="574"/>
      <c r="J27" s="575"/>
      <c r="K27" s="580"/>
      <c r="L27" s="516" t="e">
        <f t="shared" si="2"/>
        <v>#DIV/0!</v>
      </c>
      <c r="M27" s="577"/>
      <c r="N27" s="578" t="e">
        <f t="shared" si="3"/>
        <v>#DIV/0!</v>
      </c>
    </row>
    <row r="28" spans="1:14">
      <c r="A28" s="573">
        <v>14</v>
      </c>
      <c r="B28" s="574"/>
      <c r="C28" s="575"/>
      <c r="D28" s="576"/>
      <c r="E28" s="516" t="e">
        <f t="shared" si="0"/>
        <v>#DIV/0!</v>
      </c>
      <c r="F28" s="577"/>
      <c r="G28" s="578" t="e">
        <f t="shared" si="1"/>
        <v>#DIV/0!</v>
      </c>
      <c r="H28" s="579"/>
      <c r="I28" s="574"/>
      <c r="J28" s="575"/>
      <c r="K28" s="580"/>
      <c r="L28" s="516" t="e">
        <f t="shared" si="2"/>
        <v>#DIV/0!</v>
      </c>
      <c r="M28" s="577"/>
      <c r="N28" s="578" t="e">
        <f t="shared" si="3"/>
        <v>#DIV/0!</v>
      </c>
    </row>
    <row r="29" spans="1:14">
      <c r="A29" s="573">
        <v>15</v>
      </c>
      <c r="B29" s="574"/>
      <c r="C29" s="575"/>
      <c r="D29" s="576"/>
      <c r="E29" s="516" t="e">
        <f t="shared" si="0"/>
        <v>#DIV/0!</v>
      </c>
      <c r="F29" s="577"/>
      <c r="G29" s="578" t="e">
        <f t="shared" si="1"/>
        <v>#DIV/0!</v>
      </c>
      <c r="H29" s="579"/>
      <c r="I29" s="574"/>
      <c r="J29" s="575"/>
      <c r="K29" s="580"/>
      <c r="L29" s="516" t="e">
        <f t="shared" si="2"/>
        <v>#DIV/0!</v>
      </c>
      <c r="M29" s="577"/>
      <c r="N29" s="578" t="e">
        <f t="shared" si="3"/>
        <v>#DIV/0!</v>
      </c>
    </row>
    <row r="30" spans="1:14">
      <c r="A30" s="573">
        <v>16</v>
      </c>
      <c r="B30" s="574"/>
      <c r="C30" s="575"/>
      <c r="D30" s="576"/>
      <c r="E30" s="516" t="e">
        <f t="shared" si="0"/>
        <v>#DIV/0!</v>
      </c>
      <c r="F30" s="577"/>
      <c r="G30" s="578" t="e">
        <f t="shared" si="1"/>
        <v>#DIV/0!</v>
      </c>
      <c r="H30" s="579"/>
      <c r="I30" s="574"/>
      <c r="J30" s="575"/>
      <c r="K30" s="580"/>
      <c r="L30" s="516" t="e">
        <f t="shared" si="2"/>
        <v>#DIV/0!</v>
      </c>
      <c r="M30" s="577"/>
      <c r="N30" s="578" t="e">
        <f t="shared" si="3"/>
        <v>#DIV/0!</v>
      </c>
    </row>
    <row r="31" spans="1:14">
      <c r="A31" s="573">
        <v>17</v>
      </c>
      <c r="B31" s="574"/>
      <c r="C31" s="575"/>
      <c r="D31" s="576"/>
      <c r="E31" s="516" t="e">
        <f t="shared" si="0"/>
        <v>#DIV/0!</v>
      </c>
      <c r="F31" s="577"/>
      <c r="G31" s="578" t="e">
        <f t="shared" si="1"/>
        <v>#DIV/0!</v>
      </c>
      <c r="H31" s="579"/>
      <c r="I31" s="574"/>
      <c r="J31" s="575"/>
      <c r="K31" s="580"/>
      <c r="L31" s="516" t="e">
        <f t="shared" si="2"/>
        <v>#DIV/0!</v>
      </c>
      <c r="M31" s="577"/>
      <c r="N31" s="578" t="e">
        <f t="shared" si="3"/>
        <v>#DIV/0!</v>
      </c>
    </row>
    <row r="32" spans="1:14">
      <c r="A32" s="573">
        <v>18</v>
      </c>
      <c r="B32" s="574"/>
      <c r="C32" s="575"/>
      <c r="D32" s="576"/>
      <c r="E32" s="516" t="e">
        <f t="shared" si="0"/>
        <v>#DIV/0!</v>
      </c>
      <c r="F32" s="577"/>
      <c r="G32" s="578" t="e">
        <f t="shared" si="1"/>
        <v>#DIV/0!</v>
      </c>
      <c r="H32" s="579"/>
      <c r="I32" s="574"/>
      <c r="J32" s="575"/>
      <c r="K32" s="580"/>
      <c r="L32" s="516" t="e">
        <f t="shared" si="2"/>
        <v>#DIV/0!</v>
      </c>
      <c r="M32" s="577"/>
      <c r="N32" s="578" t="e">
        <f t="shared" si="3"/>
        <v>#DIV/0!</v>
      </c>
    </row>
    <row r="33" spans="1:14">
      <c r="A33" s="573">
        <v>19</v>
      </c>
      <c r="B33" s="574"/>
      <c r="C33" s="575"/>
      <c r="D33" s="576"/>
      <c r="E33" s="516" t="e">
        <f t="shared" si="0"/>
        <v>#DIV/0!</v>
      </c>
      <c r="F33" s="577"/>
      <c r="G33" s="578" t="e">
        <f t="shared" si="1"/>
        <v>#DIV/0!</v>
      </c>
      <c r="H33" s="579"/>
      <c r="I33" s="574"/>
      <c r="J33" s="575"/>
      <c r="K33" s="580"/>
      <c r="L33" s="516" t="e">
        <f t="shared" si="2"/>
        <v>#DIV/0!</v>
      </c>
      <c r="M33" s="577"/>
      <c r="N33" s="578" t="e">
        <f t="shared" si="3"/>
        <v>#DIV/0!</v>
      </c>
    </row>
    <row r="34" spans="1:14" ht="13.5" thickBot="1">
      <c r="A34" s="581"/>
      <c r="B34" s="582"/>
      <c r="C34" s="780"/>
      <c r="D34" s="779"/>
      <c r="E34" s="583"/>
      <c r="F34" s="584"/>
      <c r="G34" s="585"/>
      <c r="H34" s="579"/>
      <c r="I34" s="574"/>
      <c r="J34" s="575"/>
      <c r="K34" s="580"/>
      <c r="L34" s="516" t="e">
        <f t="shared" si="2"/>
        <v>#DIV/0!</v>
      </c>
      <c r="M34" s="577"/>
      <c r="N34" s="578" t="e">
        <f t="shared" si="3"/>
        <v>#DIV/0!</v>
      </c>
    </row>
    <row r="35" spans="1:14" ht="13.5" thickBot="1">
      <c r="A35" s="1481" t="s">
        <v>490</v>
      </c>
      <c r="B35" s="1482"/>
      <c r="C35" s="1482"/>
      <c r="D35" s="1482"/>
      <c r="E35" s="1483"/>
      <c r="F35" s="586">
        <f>SUM(F15:F33)</f>
        <v>0</v>
      </c>
      <c r="G35" s="587">
        <f>IF(F35=0,0,(SUM(G15:G33)))</f>
        <v>0</v>
      </c>
      <c r="H35" s="579"/>
      <c r="I35" s="574"/>
      <c r="J35" s="575"/>
      <c r="K35" s="580"/>
      <c r="L35" s="516" t="e">
        <f t="shared" si="2"/>
        <v>#DIV/0!</v>
      </c>
      <c r="M35" s="577"/>
      <c r="N35" s="578" t="e">
        <f t="shared" si="3"/>
        <v>#DIV/0!</v>
      </c>
    </row>
    <row r="36" spans="1:14">
      <c r="A36" s="572" t="s">
        <v>300</v>
      </c>
      <c r="B36" s="564"/>
      <c r="C36" s="565"/>
      <c r="D36" s="566"/>
      <c r="E36" s="567"/>
      <c r="F36" s="568"/>
      <c r="G36" s="571"/>
      <c r="H36" s="579"/>
      <c r="I36" s="574"/>
      <c r="J36" s="575"/>
      <c r="K36" s="580"/>
      <c r="L36" s="516" t="e">
        <f t="shared" si="2"/>
        <v>#DIV/0!</v>
      </c>
      <c r="M36" s="577"/>
      <c r="N36" s="578" t="e">
        <f t="shared" si="3"/>
        <v>#DIV/0!</v>
      </c>
    </row>
    <row r="37" spans="1:14">
      <c r="A37" s="573">
        <v>9</v>
      </c>
      <c r="B37" s="574"/>
      <c r="C37" s="575"/>
      <c r="D37" s="576" t="s">
        <v>489</v>
      </c>
      <c r="E37" s="516" t="e">
        <f>ROUND((1-$J$10)*(($J$11*C37/C$13)-1),4)</f>
        <v>#DIV/0!</v>
      </c>
      <c r="F37" s="577"/>
      <c r="G37" s="578" t="e">
        <f t="shared" si="1"/>
        <v>#DIV/0!</v>
      </c>
      <c r="H37" s="579"/>
      <c r="I37" s="574"/>
      <c r="J37" s="575"/>
      <c r="K37" s="580"/>
      <c r="L37" s="516" t="e">
        <f t="shared" si="2"/>
        <v>#DIV/0!</v>
      </c>
      <c r="M37" s="577"/>
      <c r="N37" s="578" t="e">
        <f t="shared" si="3"/>
        <v>#DIV/0!</v>
      </c>
    </row>
    <row r="38" spans="1:14">
      <c r="A38" s="573">
        <v>10</v>
      </c>
      <c r="B38" s="574"/>
      <c r="C38" s="575"/>
      <c r="D38" s="576"/>
      <c r="E38" s="516" t="e">
        <f>ROUND((1-$J$10)*(($J$11*C38/C$13)-1),4)</f>
        <v>#DIV/0!</v>
      </c>
      <c r="F38" s="577"/>
      <c r="G38" s="578" t="e">
        <f t="shared" si="1"/>
        <v>#DIV/0!</v>
      </c>
      <c r="H38" s="579"/>
      <c r="I38" s="574"/>
      <c r="J38" s="575"/>
      <c r="K38" s="580"/>
      <c r="L38" s="516" t="e">
        <f t="shared" si="2"/>
        <v>#DIV/0!</v>
      </c>
      <c r="M38" s="577"/>
      <c r="N38" s="578" t="e">
        <f t="shared" si="3"/>
        <v>#DIV/0!</v>
      </c>
    </row>
    <row r="39" spans="1:14">
      <c r="A39" s="573">
        <v>11</v>
      </c>
      <c r="B39" s="574"/>
      <c r="C39" s="575"/>
      <c r="D39" s="576"/>
      <c r="E39" s="516" t="e">
        <f>ROUND((1-$J$10)*(($J$11*C39/C$13)-1),4)</f>
        <v>#DIV/0!</v>
      </c>
      <c r="F39" s="577"/>
      <c r="G39" s="578" t="e">
        <f t="shared" si="1"/>
        <v>#DIV/0!</v>
      </c>
      <c r="H39" s="579"/>
      <c r="I39" s="574"/>
      <c r="J39" s="575"/>
      <c r="K39" s="580"/>
      <c r="L39" s="516" t="e">
        <f t="shared" si="2"/>
        <v>#DIV/0!</v>
      </c>
      <c r="M39" s="577"/>
      <c r="N39" s="578" t="e">
        <f t="shared" si="3"/>
        <v>#DIV/0!</v>
      </c>
    </row>
    <row r="40" spans="1:14">
      <c r="A40" s="573">
        <v>12</v>
      </c>
      <c r="B40" s="574"/>
      <c r="C40" s="575"/>
      <c r="D40" s="576"/>
      <c r="E40" s="516" t="e">
        <f t="shared" ref="E40:E52" si="4">ROUND((1-$J$10)*(($J$11*C40/C$13)-1),4)</f>
        <v>#DIV/0!</v>
      </c>
      <c r="F40" s="577"/>
      <c r="G40" s="578" t="e">
        <f t="shared" si="1"/>
        <v>#DIV/0!</v>
      </c>
      <c r="H40" s="579"/>
      <c r="I40" s="574"/>
      <c r="J40" s="575"/>
      <c r="K40" s="580"/>
      <c r="L40" s="516" t="e">
        <f t="shared" si="2"/>
        <v>#DIV/0!</v>
      </c>
      <c r="M40" s="577"/>
      <c r="N40" s="578" t="e">
        <f t="shared" si="3"/>
        <v>#DIV/0!</v>
      </c>
    </row>
    <row r="41" spans="1:14">
      <c r="A41" s="573">
        <v>13</v>
      </c>
      <c r="B41" s="574"/>
      <c r="C41" s="575"/>
      <c r="D41" s="576"/>
      <c r="E41" s="516" t="e">
        <f t="shared" si="4"/>
        <v>#DIV/0!</v>
      </c>
      <c r="F41" s="577"/>
      <c r="G41" s="578" t="e">
        <f t="shared" si="1"/>
        <v>#DIV/0!</v>
      </c>
      <c r="H41" s="579"/>
      <c r="I41" s="574"/>
      <c r="J41" s="575"/>
      <c r="K41" s="580"/>
      <c r="L41" s="516" t="e">
        <f t="shared" si="2"/>
        <v>#DIV/0!</v>
      </c>
      <c r="M41" s="577"/>
      <c r="N41" s="578" t="e">
        <f t="shared" si="3"/>
        <v>#DIV/0!</v>
      </c>
    </row>
    <row r="42" spans="1:14">
      <c r="A42" s="573">
        <v>14</v>
      </c>
      <c r="B42" s="574"/>
      <c r="C42" s="575"/>
      <c r="D42" s="576"/>
      <c r="E42" s="516" t="e">
        <f t="shared" si="4"/>
        <v>#DIV/0!</v>
      </c>
      <c r="F42" s="577"/>
      <c r="G42" s="578" t="e">
        <f t="shared" si="1"/>
        <v>#DIV/0!</v>
      </c>
      <c r="H42" s="579"/>
      <c r="I42" s="574"/>
      <c r="J42" s="575"/>
      <c r="K42" s="580"/>
      <c r="L42" s="516" t="e">
        <f t="shared" si="2"/>
        <v>#DIV/0!</v>
      </c>
      <c r="M42" s="577"/>
      <c r="N42" s="578" t="e">
        <f t="shared" si="3"/>
        <v>#DIV/0!</v>
      </c>
    </row>
    <row r="43" spans="1:14">
      <c r="A43" s="573">
        <v>15</v>
      </c>
      <c r="B43" s="574"/>
      <c r="C43" s="575"/>
      <c r="D43" s="576"/>
      <c r="E43" s="516" t="e">
        <f t="shared" si="4"/>
        <v>#DIV/0!</v>
      </c>
      <c r="F43" s="577"/>
      <c r="G43" s="578" t="e">
        <f t="shared" si="1"/>
        <v>#DIV/0!</v>
      </c>
      <c r="H43" s="579"/>
      <c r="I43" s="574"/>
      <c r="J43" s="575"/>
      <c r="K43" s="580"/>
      <c r="L43" s="516" t="e">
        <f t="shared" si="2"/>
        <v>#DIV/0!</v>
      </c>
      <c r="M43" s="577"/>
      <c r="N43" s="578" t="e">
        <f t="shared" si="3"/>
        <v>#DIV/0!</v>
      </c>
    </row>
    <row r="44" spans="1:14">
      <c r="A44" s="573">
        <v>16</v>
      </c>
      <c r="B44" s="574"/>
      <c r="C44" s="575"/>
      <c r="D44" s="576"/>
      <c r="E44" s="516" t="e">
        <f t="shared" si="4"/>
        <v>#DIV/0!</v>
      </c>
      <c r="F44" s="577"/>
      <c r="G44" s="578" t="e">
        <f t="shared" si="1"/>
        <v>#DIV/0!</v>
      </c>
      <c r="H44" s="579"/>
      <c r="I44" s="574"/>
      <c r="J44" s="575"/>
      <c r="K44" s="580"/>
      <c r="L44" s="516" t="e">
        <f t="shared" si="2"/>
        <v>#DIV/0!</v>
      </c>
      <c r="M44" s="577"/>
      <c r="N44" s="578" t="e">
        <f t="shared" si="3"/>
        <v>#DIV/0!</v>
      </c>
    </row>
    <row r="45" spans="1:14">
      <c r="A45" s="573">
        <v>17</v>
      </c>
      <c r="B45" s="574"/>
      <c r="C45" s="575"/>
      <c r="D45" s="576"/>
      <c r="E45" s="516" t="e">
        <f t="shared" si="4"/>
        <v>#DIV/0!</v>
      </c>
      <c r="F45" s="577"/>
      <c r="G45" s="578" t="e">
        <f t="shared" si="1"/>
        <v>#DIV/0!</v>
      </c>
      <c r="H45" s="579"/>
      <c r="I45" s="574"/>
      <c r="J45" s="575"/>
      <c r="K45" s="580"/>
      <c r="L45" s="516" t="e">
        <f t="shared" si="2"/>
        <v>#DIV/0!</v>
      </c>
      <c r="M45" s="577"/>
      <c r="N45" s="578" t="e">
        <f t="shared" si="3"/>
        <v>#DIV/0!</v>
      </c>
    </row>
    <row r="46" spans="1:14">
      <c r="A46" s="573">
        <v>18</v>
      </c>
      <c r="B46" s="574"/>
      <c r="C46" s="575"/>
      <c r="D46" s="576"/>
      <c r="E46" s="516" t="e">
        <f t="shared" si="4"/>
        <v>#DIV/0!</v>
      </c>
      <c r="F46" s="577"/>
      <c r="G46" s="578" t="e">
        <f t="shared" si="1"/>
        <v>#DIV/0!</v>
      </c>
      <c r="H46" s="579"/>
      <c r="I46" s="574"/>
      <c r="J46" s="575"/>
      <c r="K46" s="580"/>
      <c r="L46" s="516" t="e">
        <f t="shared" si="2"/>
        <v>#DIV/0!</v>
      </c>
      <c r="M46" s="577"/>
      <c r="N46" s="578" t="e">
        <f t="shared" si="3"/>
        <v>#DIV/0!</v>
      </c>
    </row>
    <row r="47" spans="1:14">
      <c r="A47" s="573"/>
      <c r="B47" s="574"/>
      <c r="C47" s="575"/>
      <c r="D47" s="576"/>
      <c r="E47" s="516" t="e">
        <f t="shared" si="4"/>
        <v>#DIV/0!</v>
      </c>
      <c r="F47" s="577"/>
      <c r="G47" s="578" t="e">
        <f t="shared" si="1"/>
        <v>#DIV/0!</v>
      </c>
      <c r="H47" s="579"/>
      <c r="I47" s="574"/>
      <c r="J47" s="575"/>
      <c r="K47" s="580"/>
      <c r="L47" s="516" t="e">
        <f t="shared" si="2"/>
        <v>#DIV/0!</v>
      </c>
      <c r="M47" s="577"/>
      <c r="N47" s="578" t="e">
        <f t="shared" si="3"/>
        <v>#DIV/0!</v>
      </c>
    </row>
    <row r="48" spans="1:14">
      <c r="A48" s="573"/>
      <c r="B48" s="574"/>
      <c r="C48" s="575"/>
      <c r="D48" s="576"/>
      <c r="E48" s="516" t="e">
        <f t="shared" si="4"/>
        <v>#DIV/0!</v>
      </c>
      <c r="F48" s="577"/>
      <c r="G48" s="578" t="e">
        <f t="shared" si="1"/>
        <v>#DIV/0!</v>
      </c>
      <c r="H48" s="579"/>
      <c r="I48" s="574"/>
      <c r="J48" s="575"/>
      <c r="K48" s="580"/>
      <c r="L48" s="516" t="e">
        <f t="shared" si="2"/>
        <v>#DIV/0!</v>
      </c>
      <c r="M48" s="577"/>
      <c r="N48" s="578" t="e">
        <f t="shared" si="3"/>
        <v>#DIV/0!</v>
      </c>
    </row>
    <row r="49" spans="1:14">
      <c r="A49" s="573"/>
      <c r="B49" s="574"/>
      <c r="C49" s="575"/>
      <c r="D49" s="576"/>
      <c r="E49" s="516" t="e">
        <f t="shared" si="4"/>
        <v>#DIV/0!</v>
      </c>
      <c r="F49" s="577"/>
      <c r="G49" s="578" t="e">
        <f t="shared" si="1"/>
        <v>#DIV/0!</v>
      </c>
      <c r="H49" s="579"/>
      <c r="I49" s="574"/>
      <c r="J49" s="575"/>
      <c r="K49" s="580"/>
      <c r="L49" s="516" t="e">
        <f t="shared" si="2"/>
        <v>#DIV/0!</v>
      </c>
      <c r="M49" s="577"/>
      <c r="N49" s="578" t="e">
        <f t="shared" si="3"/>
        <v>#DIV/0!</v>
      </c>
    </row>
    <row r="50" spans="1:14">
      <c r="A50" s="573"/>
      <c r="B50" s="574"/>
      <c r="C50" s="575"/>
      <c r="D50" s="576"/>
      <c r="E50" s="516" t="e">
        <f t="shared" si="4"/>
        <v>#DIV/0!</v>
      </c>
      <c r="F50" s="577"/>
      <c r="G50" s="578" t="e">
        <f t="shared" si="1"/>
        <v>#DIV/0!</v>
      </c>
      <c r="H50" s="588"/>
      <c r="I50" s="589"/>
      <c r="J50" s="590"/>
      <c r="K50" s="591"/>
      <c r="L50" s="516" t="e">
        <f t="shared" si="2"/>
        <v>#DIV/0!</v>
      </c>
      <c r="M50" s="592"/>
      <c r="N50" s="593" t="e">
        <f t="shared" si="3"/>
        <v>#DIV/0!</v>
      </c>
    </row>
    <row r="51" spans="1:14">
      <c r="A51" s="573"/>
      <c r="B51" s="574"/>
      <c r="C51" s="575"/>
      <c r="D51" s="576"/>
      <c r="E51" s="516" t="e">
        <f t="shared" si="4"/>
        <v>#DIV/0!</v>
      </c>
      <c r="F51" s="577"/>
      <c r="G51" s="578" t="e">
        <f t="shared" si="1"/>
        <v>#DIV/0!</v>
      </c>
      <c r="H51" s="579"/>
      <c r="I51" s="574"/>
      <c r="J51" s="575"/>
      <c r="K51" s="580"/>
      <c r="L51" s="516" t="e">
        <f>ROUND((1-$J$10)*(($J$11*J51/C$13)-1),4)</f>
        <v>#DIV/0!</v>
      </c>
      <c r="M51" s="577"/>
      <c r="N51" s="578" t="e">
        <f>ROUND((L51*M51),2)</f>
        <v>#DIV/0!</v>
      </c>
    </row>
    <row r="52" spans="1:14" ht="13.5" thickBot="1">
      <c r="A52" s="573"/>
      <c r="B52" s="574"/>
      <c r="C52" s="590"/>
      <c r="D52" s="594"/>
      <c r="E52" s="595" t="e">
        <f t="shared" si="4"/>
        <v>#DIV/0!</v>
      </c>
      <c r="F52" s="592"/>
      <c r="G52" s="593" t="e">
        <f t="shared" si="1"/>
        <v>#DIV/0!</v>
      </c>
      <c r="H52" s="588"/>
      <c r="I52" s="589"/>
      <c r="J52" s="590"/>
      <c r="K52" s="591"/>
      <c r="L52" s="516" t="e">
        <f>ROUND((1-$J$10)*(($J$11*J52/C$13)-1),4)</f>
        <v>#DIV/0!</v>
      </c>
      <c r="M52" s="592"/>
      <c r="N52" s="593" t="e">
        <f>ROUND((L52*M52),2)</f>
        <v>#DIV/0!</v>
      </c>
    </row>
    <row r="53" spans="1:14" ht="13.5" thickBot="1">
      <c r="A53" s="1484" t="s">
        <v>491</v>
      </c>
      <c r="B53" s="1485"/>
      <c r="C53" s="1485"/>
      <c r="D53" s="1485"/>
      <c r="E53" s="1486"/>
      <c r="F53" s="586">
        <f>SUM(F37:F52)</f>
        <v>0</v>
      </c>
      <c r="G53" s="596">
        <f>IF(F53=0,0,SUM(G37:G52))</f>
        <v>0</v>
      </c>
      <c r="H53" s="1482" t="s">
        <v>492</v>
      </c>
      <c r="I53" s="1482"/>
      <c r="J53" s="1482"/>
      <c r="K53" s="1482"/>
      <c r="L53" s="1483"/>
      <c r="M53" s="586">
        <f>SUM(M15:M52)+F53</f>
        <v>0</v>
      </c>
      <c r="N53" s="587">
        <f>IF(M53=0,G53,(SUM(N15:N52)+G53))</f>
        <v>0</v>
      </c>
    </row>
    <row r="54" spans="1:14">
      <c r="F54" s="597"/>
      <c r="G54" s="597"/>
    </row>
    <row r="55" spans="1:14">
      <c r="F55" s="597"/>
      <c r="G55" s="597"/>
    </row>
    <row r="56" spans="1:14">
      <c r="F56" s="597"/>
      <c r="G56" s="597"/>
    </row>
    <row r="57" spans="1:14">
      <c r="F57" s="598"/>
    </row>
    <row r="58" spans="1:14">
      <c r="F58" s="598"/>
    </row>
    <row r="59" spans="1:14">
      <c r="F59" s="598"/>
    </row>
    <row r="60" spans="1:14">
      <c r="F60" s="598"/>
    </row>
    <row r="61" spans="1:14">
      <c r="F61" s="598"/>
    </row>
    <row r="62" spans="1:14">
      <c r="F62" s="598"/>
    </row>
    <row r="63" spans="1:14">
      <c r="F63" s="598"/>
    </row>
    <row r="64" spans="1:14">
      <c r="F64" s="598"/>
    </row>
    <row r="65" spans="6:6">
      <c r="F65" s="598"/>
    </row>
    <row r="66" spans="6:6">
      <c r="F66" s="598"/>
    </row>
    <row r="67" spans="6:6">
      <c r="F67" s="598"/>
    </row>
    <row r="68" spans="6:6">
      <c r="F68" s="598"/>
    </row>
    <row r="69" spans="6:6">
      <c r="F69" s="598"/>
    </row>
    <row r="70" spans="6:6">
      <c r="F70" s="598"/>
    </row>
    <row r="71" spans="6:6">
      <c r="F71" s="598"/>
    </row>
    <row r="72" spans="6:6">
      <c r="F72" s="598"/>
    </row>
    <row r="73" spans="6:6">
      <c r="F73" s="598"/>
    </row>
    <row r="74" spans="6:6">
      <c r="F74" s="598"/>
    </row>
    <row r="75" spans="6:6">
      <c r="F75" s="598"/>
    </row>
    <row r="76" spans="6:6">
      <c r="F76" s="598"/>
    </row>
    <row r="77" spans="6:6">
      <c r="F77" s="598"/>
    </row>
    <row r="78" spans="6:6">
      <c r="F78" s="598"/>
    </row>
    <row r="79" spans="6:6">
      <c r="F79" s="598"/>
    </row>
    <row r="80" spans="6:6">
      <c r="F80" s="598"/>
    </row>
    <row r="81" spans="6:6">
      <c r="F81" s="598"/>
    </row>
    <row r="82" spans="6:6">
      <c r="F82" s="598"/>
    </row>
    <row r="83" spans="6:6">
      <c r="F83" s="598"/>
    </row>
    <row r="84" spans="6:6">
      <c r="F84" s="598"/>
    </row>
    <row r="85" spans="6:6">
      <c r="F85" s="598"/>
    </row>
    <row r="86" spans="6:6">
      <c r="F86" s="598"/>
    </row>
    <row r="87" spans="6:6">
      <c r="F87" s="598"/>
    </row>
    <row r="88" spans="6:6">
      <c r="F88" s="598"/>
    </row>
  </sheetData>
  <mergeCells count="15">
    <mergeCell ref="A6:N6"/>
    <mergeCell ref="E3:F3"/>
    <mergeCell ref="G3:H3"/>
    <mergeCell ref="I3:L3"/>
    <mergeCell ref="M3:N3"/>
    <mergeCell ref="A4:B4"/>
    <mergeCell ref="A35:E35"/>
    <mergeCell ref="A53:E53"/>
    <mergeCell ref="H53:L53"/>
    <mergeCell ref="H8:I8"/>
    <mergeCell ref="J8:L8"/>
    <mergeCell ref="H9:I9"/>
    <mergeCell ref="J9:M9"/>
    <mergeCell ref="H10:I10"/>
    <mergeCell ref="H11:I11"/>
  </mergeCells>
  <pageMargins left="0.39370078740157483" right="0.35433070866141736" top="0.59055118110236227" bottom="0.11811023622047245" header="0.51181102362204722" footer="0.51181102362204722"/>
  <pageSetup paperSize="9" scale="79" orientation="landscape" blackAndWhite="1" r:id="rId1"/>
  <headerFooter alignWithMargins="0">
    <oddHeader>&amp;L&amp;"Calibri"&amp;10&amp;K000000Sensitivity - General&amp;1#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6">
    <tabColor theme="9"/>
  </sheetPr>
  <dimension ref="A1:L32"/>
  <sheetViews>
    <sheetView workbookViewId="0"/>
  </sheetViews>
  <sheetFormatPr defaultRowHeight="12.75"/>
  <cols>
    <col min="1" max="1" width="14.140625" style="314" customWidth="1"/>
    <col min="2" max="2" width="9.140625" style="314"/>
    <col min="3" max="3" width="12" style="314" bestFit="1" customWidth="1"/>
    <col min="4" max="7" width="9.140625" style="314"/>
    <col min="8" max="8" width="17.28515625" style="314" customWidth="1"/>
    <col min="9" max="11" width="9.7109375" style="314" customWidth="1"/>
    <col min="12" max="12" width="18.42578125" style="314" customWidth="1"/>
    <col min="13" max="258" width="9.140625" style="314"/>
    <col min="259" max="259" width="12" style="314" bestFit="1" customWidth="1"/>
    <col min="260" max="263" width="9.140625" style="314"/>
    <col min="264" max="264" width="17.28515625" style="314" customWidth="1"/>
    <col min="265" max="267" width="9.7109375" style="314" customWidth="1"/>
    <col min="268" max="268" width="15" style="314" customWidth="1"/>
    <col min="269" max="514" width="9.140625" style="314"/>
    <col min="515" max="515" width="12" style="314" bestFit="1" customWidth="1"/>
    <col min="516" max="519" width="9.140625" style="314"/>
    <col min="520" max="520" width="17.28515625" style="314" customWidth="1"/>
    <col min="521" max="523" width="9.7109375" style="314" customWidth="1"/>
    <col min="524" max="524" width="15" style="314" customWidth="1"/>
    <col min="525" max="770" width="9.140625" style="314"/>
    <col min="771" max="771" width="12" style="314" bestFit="1" customWidth="1"/>
    <col min="772" max="775" width="9.140625" style="314"/>
    <col min="776" max="776" width="17.28515625" style="314" customWidth="1"/>
    <col min="777" max="779" width="9.7109375" style="314" customWidth="1"/>
    <col min="780" max="780" width="15" style="314" customWidth="1"/>
    <col min="781" max="1026" width="9.140625" style="314"/>
    <col min="1027" max="1027" width="12" style="314" bestFit="1" customWidth="1"/>
    <col min="1028" max="1031" width="9.140625" style="314"/>
    <col min="1032" max="1032" width="17.28515625" style="314" customWidth="1"/>
    <col min="1033" max="1035" width="9.7109375" style="314" customWidth="1"/>
    <col min="1036" max="1036" width="15" style="314" customWidth="1"/>
    <col min="1037" max="1282" width="9.140625" style="314"/>
    <col min="1283" max="1283" width="12" style="314" bestFit="1" customWidth="1"/>
    <col min="1284" max="1287" width="9.140625" style="314"/>
    <col min="1288" max="1288" width="17.28515625" style="314" customWidth="1"/>
    <col min="1289" max="1291" width="9.7109375" style="314" customWidth="1"/>
    <col min="1292" max="1292" width="15" style="314" customWidth="1"/>
    <col min="1293" max="1538" width="9.140625" style="314"/>
    <col min="1539" max="1539" width="12" style="314" bestFit="1" customWidth="1"/>
    <col min="1540" max="1543" width="9.140625" style="314"/>
    <col min="1544" max="1544" width="17.28515625" style="314" customWidth="1"/>
    <col min="1545" max="1547" width="9.7109375" style="314" customWidth="1"/>
    <col min="1548" max="1548" width="15" style="314" customWidth="1"/>
    <col min="1549" max="1794" width="9.140625" style="314"/>
    <col min="1795" max="1795" width="12" style="314" bestFit="1" customWidth="1"/>
    <col min="1796" max="1799" width="9.140625" style="314"/>
    <col min="1800" max="1800" width="17.28515625" style="314" customWidth="1"/>
    <col min="1801" max="1803" width="9.7109375" style="314" customWidth="1"/>
    <col min="1804" max="1804" width="15" style="314" customWidth="1"/>
    <col min="1805" max="2050" width="9.140625" style="314"/>
    <col min="2051" max="2051" width="12" style="314" bestFit="1" customWidth="1"/>
    <col min="2052" max="2055" width="9.140625" style="314"/>
    <col min="2056" max="2056" width="17.28515625" style="314" customWidth="1"/>
    <col min="2057" max="2059" width="9.7109375" style="314" customWidth="1"/>
    <col min="2060" max="2060" width="15" style="314" customWidth="1"/>
    <col min="2061" max="2306" width="9.140625" style="314"/>
    <col min="2307" max="2307" width="12" style="314" bestFit="1" customWidth="1"/>
    <col min="2308" max="2311" width="9.140625" style="314"/>
    <col min="2312" max="2312" width="17.28515625" style="314" customWidth="1"/>
    <col min="2313" max="2315" width="9.7109375" style="314" customWidth="1"/>
    <col min="2316" max="2316" width="15" style="314" customWidth="1"/>
    <col min="2317" max="2562" width="9.140625" style="314"/>
    <col min="2563" max="2563" width="12" style="314" bestFit="1" customWidth="1"/>
    <col min="2564" max="2567" width="9.140625" style="314"/>
    <col min="2568" max="2568" width="17.28515625" style="314" customWidth="1"/>
    <col min="2569" max="2571" width="9.7109375" style="314" customWidth="1"/>
    <col min="2572" max="2572" width="15" style="314" customWidth="1"/>
    <col min="2573" max="2818" width="9.140625" style="314"/>
    <col min="2819" max="2819" width="12" style="314" bestFit="1" customWidth="1"/>
    <col min="2820" max="2823" width="9.140625" style="314"/>
    <col min="2824" max="2824" width="17.28515625" style="314" customWidth="1"/>
    <col min="2825" max="2827" width="9.7109375" style="314" customWidth="1"/>
    <col min="2828" max="2828" width="15" style="314" customWidth="1"/>
    <col min="2829" max="3074" width="9.140625" style="314"/>
    <col min="3075" max="3075" width="12" style="314" bestFit="1" customWidth="1"/>
    <col min="3076" max="3079" width="9.140625" style="314"/>
    <col min="3080" max="3080" width="17.28515625" style="314" customWidth="1"/>
    <col min="3081" max="3083" width="9.7109375" style="314" customWidth="1"/>
    <col min="3084" max="3084" width="15" style="314" customWidth="1"/>
    <col min="3085" max="3330" width="9.140625" style="314"/>
    <col min="3331" max="3331" width="12" style="314" bestFit="1" customWidth="1"/>
    <col min="3332" max="3335" width="9.140625" style="314"/>
    <col min="3336" max="3336" width="17.28515625" style="314" customWidth="1"/>
    <col min="3337" max="3339" width="9.7109375" style="314" customWidth="1"/>
    <col min="3340" max="3340" width="15" style="314" customWidth="1"/>
    <col min="3341" max="3586" width="9.140625" style="314"/>
    <col min="3587" max="3587" width="12" style="314" bestFit="1" customWidth="1"/>
    <col min="3588" max="3591" width="9.140625" style="314"/>
    <col min="3592" max="3592" width="17.28515625" style="314" customWidth="1"/>
    <col min="3593" max="3595" width="9.7109375" style="314" customWidth="1"/>
    <col min="3596" max="3596" width="15" style="314" customWidth="1"/>
    <col min="3597" max="3842" width="9.140625" style="314"/>
    <col min="3843" max="3843" width="12" style="314" bestFit="1" customWidth="1"/>
    <col min="3844" max="3847" width="9.140625" style="314"/>
    <col min="3848" max="3848" width="17.28515625" style="314" customWidth="1"/>
    <col min="3849" max="3851" width="9.7109375" style="314" customWidth="1"/>
    <col min="3852" max="3852" width="15" style="314" customWidth="1"/>
    <col min="3853" max="4098" width="9.140625" style="314"/>
    <col min="4099" max="4099" width="12" style="314" bestFit="1" customWidth="1"/>
    <col min="4100" max="4103" width="9.140625" style="314"/>
    <col min="4104" max="4104" width="17.28515625" style="314" customWidth="1"/>
    <col min="4105" max="4107" width="9.7109375" style="314" customWidth="1"/>
    <col min="4108" max="4108" width="15" style="314" customWidth="1"/>
    <col min="4109" max="4354" width="9.140625" style="314"/>
    <col min="4355" max="4355" width="12" style="314" bestFit="1" customWidth="1"/>
    <col min="4356" max="4359" width="9.140625" style="314"/>
    <col min="4360" max="4360" width="17.28515625" style="314" customWidth="1"/>
    <col min="4361" max="4363" width="9.7109375" style="314" customWidth="1"/>
    <col min="4364" max="4364" width="15" style="314" customWidth="1"/>
    <col min="4365" max="4610" width="9.140625" style="314"/>
    <col min="4611" max="4611" width="12" style="314" bestFit="1" customWidth="1"/>
    <col min="4612" max="4615" width="9.140625" style="314"/>
    <col min="4616" max="4616" width="17.28515625" style="314" customWidth="1"/>
    <col min="4617" max="4619" width="9.7109375" style="314" customWidth="1"/>
    <col min="4620" max="4620" width="15" style="314" customWidth="1"/>
    <col min="4621" max="4866" width="9.140625" style="314"/>
    <col min="4867" max="4867" width="12" style="314" bestFit="1" customWidth="1"/>
    <col min="4868" max="4871" width="9.140625" style="314"/>
    <col min="4872" max="4872" width="17.28515625" style="314" customWidth="1"/>
    <col min="4873" max="4875" width="9.7109375" style="314" customWidth="1"/>
    <col min="4876" max="4876" width="15" style="314" customWidth="1"/>
    <col min="4877" max="5122" width="9.140625" style="314"/>
    <col min="5123" max="5123" width="12" style="314" bestFit="1" customWidth="1"/>
    <col min="5124" max="5127" width="9.140625" style="314"/>
    <col min="5128" max="5128" width="17.28515625" style="314" customWidth="1"/>
    <col min="5129" max="5131" width="9.7109375" style="314" customWidth="1"/>
    <col min="5132" max="5132" width="15" style="314" customWidth="1"/>
    <col min="5133" max="5378" width="9.140625" style="314"/>
    <col min="5379" max="5379" width="12" style="314" bestFit="1" customWidth="1"/>
    <col min="5380" max="5383" width="9.140625" style="314"/>
    <col min="5384" max="5384" width="17.28515625" style="314" customWidth="1"/>
    <col min="5385" max="5387" width="9.7109375" style="314" customWidth="1"/>
    <col min="5388" max="5388" width="15" style="314" customWidth="1"/>
    <col min="5389" max="5634" width="9.140625" style="314"/>
    <col min="5635" max="5635" width="12" style="314" bestFit="1" customWidth="1"/>
    <col min="5636" max="5639" width="9.140625" style="314"/>
    <col min="5640" max="5640" width="17.28515625" style="314" customWidth="1"/>
    <col min="5641" max="5643" width="9.7109375" style="314" customWidth="1"/>
    <col min="5644" max="5644" width="15" style="314" customWidth="1"/>
    <col min="5645" max="5890" width="9.140625" style="314"/>
    <col min="5891" max="5891" width="12" style="314" bestFit="1" customWidth="1"/>
    <col min="5892" max="5895" width="9.140625" style="314"/>
    <col min="5896" max="5896" width="17.28515625" style="314" customWidth="1"/>
    <col min="5897" max="5899" width="9.7109375" style="314" customWidth="1"/>
    <col min="5900" max="5900" width="15" style="314" customWidth="1"/>
    <col min="5901" max="6146" width="9.140625" style="314"/>
    <col min="6147" max="6147" width="12" style="314" bestFit="1" customWidth="1"/>
    <col min="6148" max="6151" width="9.140625" style="314"/>
    <col min="6152" max="6152" width="17.28515625" style="314" customWidth="1"/>
    <col min="6153" max="6155" width="9.7109375" style="314" customWidth="1"/>
    <col min="6156" max="6156" width="15" style="314" customWidth="1"/>
    <col min="6157" max="6402" width="9.140625" style="314"/>
    <col min="6403" max="6403" width="12" style="314" bestFit="1" customWidth="1"/>
    <col min="6404" max="6407" width="9.140625" style="314"/>
    <col min="6408" max="6408" width="17.28515625" style="314" customWidth="1"/>
    <col min="6409" max="6411" width="9.7109375" style="314" customWidth="1"/>
    <col min="6412" max="6412" width="15" style="314" customWidth="1"/>
    <col min="6413" max="6658" width="9.140625" style="314"/>
    <col min="6659" max="6659" width="12" style="314" bestFit="1" customWidth="1"/>
    <col min="6660" max="6663" width="9.140625" style="314"/>
    <col min="6664" max="6664" width="17.28515625" style="314" customWidth="1"/>
    <col min="6665" max="6667" width="9.7109375" style="314" customWidth="1"/>
    <col min="6668" max="6668" width="15" style="314" customWidth="1"/>
    <col min="6669" max="6914" width="9.140625" style="314"/>
    <col min="6915" max="6915" width="12" style="314" bestFit="1" customWidth="1"/>
    <col min="6916" max="6919" width="9.140625" style="314"/>
    <col min="6920" max="6920" width="17.28515625" style="314" customWidth="1"/>
    <col min="6921" max="6923" width="9.7109375" style="314" customWidth="1"/>
    <col min="6924" max="6924" width="15" style="314" customWidth="1"/>
    <col min="6925" max="7170" width="9.140625" style="314"/>
    <col min="7171" max="7171" width="12" style="314" bestFit="1" customWidth="1"/>
    <col min="7172" max="7175" width="9.140625" style="314"/>
    <col min="7176" max="7176" width="17.28515625" style="314" customWidth="1"/>
    <col min="7177" max="7179" width="9.7109375" style="314" customWidth="1"/>
    <col min="7180" max="7180" width="15" style="314" customWidth="1"/>
    <col min="7181" max="7426" width="9.140625" style="314"/>
    <col min="7427" max="7427" width="12" style="314" bestFit="1" customWidth="1"/>
    <col min="7428" max="7431" width="9.140625" style="314"/>
    <col min="7432" max="7432" width="17.28515625" style="314" customWidth="1"/>
    <col min="7433" max="7435" width="9.7109375" style="314" customWidth="1"/>
    <col min="7436" max="7436" width="15" style="314" customWidth="1"/>
    <col min="7437" max="7682" width="9.140625" style="314"/>
    <col min="7683" max="7683" width="12" style="314" bestFit="1" customWidth="1"/>
    <col min="7684" max="7687" width="9.140625" style="314"/>
    <col min="7688" max="7688" width="17.28515625" style="314" customWidth="1"/>
    <col min="7689" max="7691" width="9.7109375" style="314" customWidth="1"/>
    <col min="7692" max="7692" width="15" style="314" customWidth="1"/>
    <col min="7693" max="7938" width="9.140625" style="314"/>
    <col min="7939" max="7939" width="12" style="314" bestFit="1" customWidth="1"/>
    <col min="7940" max="7943" width="9.140625" style="314"/>
    <col min="7944" max="7944" width="17.28515625" style="314" customWidth="1"/>
    <col min="7945" max="7947" width="9.7109375" style="314" customWidth="1"/>
    <col min="7948" max="7948" width="15" style="314" customWidth="1"/>
    <col min="7949" max="8194" width="9.140625" style="314"/>
    <col min="8195" max="8195" width="12" style="314" bestFit="1" customWidth="1"/>
    <col min="8196" max="8199" width="9.140625" style="314"/>
    <col min="8200" max="8200" width="17.28515625" style="314" customWidth="1"/>
    <col min="8201" max="8203" width="9.7109375" style="314" customWidth="1"/>
    <col min="8204" max="8204" width="15" style="314" customWidth="1"/>
    <col min="8205" max="8450" width="9.140625" style="314"/>
    <col min="8451" max="8451" width="12" style="314" bestFit="1" customWidth="1"/>
    <col min="8452" max="8455" width="9.140625" style="314"/>
    <col min="8456" max="8456" width="17.28515625" style="314" customWidth="1"/>
    <col min="8457" max="8459" width="9.7109375" style="314" customWidth="1"/>
    <col min="8460" max="8460" width="15" style="314" customWidth="1"/>
    <col min="8461" max="8706" width="9.140625" style="314"/>
    <col min="8707" max="8707" width="12" style="314" bestFit="1" customWidth="1"/>
    <col min="8708" max="8711" width="9.140625" style="314"/>
    <col min="8712" max="8712" width="17.28515625" style="314" customWidth="1"/>
    <col min="8713" max="8715" width="9.7109375" style="314" customWidth="1"/>
    <col min="8716" max="8716" width="15" style="314" customWidth="1"/>
    <col min="8717" max="8962" width="9.140625" style="314"/>
    <col min="8963" max="8963" width="12" style="314" bestFit="1" customWidth="1"/>
    <col min="8964" max="8967" width="9.140625" style="314"/>
    <col min="8968" max="8968" width="17.28515625" style="314" customWidth="1"/>
    <col min="8969" max="8971" width="9.7109375" style="314" customWidth="1"/>
    <col min="8972" max="8972" width="15" style="314" customWidth="1"/>
    <col min="8973" max="9218" width="9.140625" style="314"/>
    <col min="9219" max="9219" width="12" style="314" bestFit="1" customWidth="1"/>
    <col min="9220" max="9223" width="9.140625" style="314"/>
    <col min="9224" max="9224" width="17.28515625" style="314" customWidth="1"/>
    <col min="9225" max="9227" width="9.7109375" style="314" customWidth="1"/>
    <col min="9228" max="9228" width="15" style="314" customWidth="1"/>
    <col min="9229" max="9474" width="9.140625" style="314"/>
    <col min="9475" max="9475" width="12" style="314" bestFit="1" customWidth="1"/>
    <col min="9476" max="9479" width="9.140625" style="314"/>
    <col min="9480" max="9480" width="17.28515625" style="314" customWidth="1"/>
    <col min="9481" max="9483" width="9.7109375" style="314" customWidth="1"/>
    <col min="9484" max="9484" width="15" style="314" customWidth="1"/>
    <col min="9485" max="9730" width="9.140625" style="314"/>
    <col min="9731" max="9731" width="12" style="314" bestFit="1" customWidth="1"/>
    <col min="9732" max="9735" width="9.140625" style="314"/>
    <col min="9736" max="9736" width="17.28515625" style="314" customWidth="1"/>
    <col min="9737" max="9739" width="9.7109375" style="314" customWidth="1"/>
    <col min="9740" max="9740" width="15" style="314" customWidth="1"/>
    <col min="9741" max="9986" width="9.140625" style="314"/>
    <col min="9987" max="9987" width="12" style="314" bestFit="1" customWidth="1"/>
    <col min="9988" max="9991" width="9.140625" style="314"/>
    <col min="9992" max="9992" width="17.28515625" style="314" customWidth="1"/>
    <col min="9993" max="9995" width="9.7109375" style="314" customWidth="1"/>
    <col min="9996" max="9996" width="15" style="314" customWidth="1"/>
    <col min="9997" max="10242" width="9.140625" style="314"/>
    <col min="10243" max="10243" width="12" style="314" bestFit="1" customWidth="1"/>
    <col min="10244" max="10247" width="9.140625" style="314"/>
    <col min="10248" max="10248" width="17.28515625" style="314" customWidth="1"/>
    <col min="10249" max="10251" width="9.7109375" style="314" customWidth="1"/>
    <col min="10252" max="10252" width="15" style="314" customWidth="1"/>
    <col min="10253" max="10498" width="9.140625" style="314"/>
    <col min="10499" max="10499" width="12" style="314" bestFit="1" customWidth="1"/>
    <col min="10500" max="10503" width="9.140625" style="314"/>
    <col min="10504" max="10504" width="17.28515625" style="314" customWidth="1"/>
    <col min="10505" max="10507" width="9.7109375" style="314" customWidth="1"/>
    <col min="10508" max="10508" width="15" style="314" customWidth="1"/>
    <col min="10509" max="10754" width="9.140625" style="314"/>
    <col min="10755" max="10755" width="12" style="314" bestFit="1" customWidth="1"/>
    <col min="10756" max="10759" width="9.140625" style="314"/>
    <col min="10760" max="10760" width="17.28515625" style="314" customWidth="1"/>
    <col min="10761" max="10763" width="9.7109375" style="314" customWidth="1"/>
    <col min="10764" max="10764" width="15" style="314" customWidth="1"/>
    <col min="10765" max="11010" width="9.140625" style="314"/>
    <col min="11011" max="11011" width="12" style="314" bestFit="1" customWidth="1"/>
    <col min="11012" max="11015" width="9.140625" style="314"/>
    <col min="11016" max="11016" width="17.28515625" style="314" customWidth="1"/>
    <col min="11017" max="11019" width="9.7109375" style="314" customWidth="1"/>
    <col min="11020" max="11020" width="15" style="314" customWidth="1"/>
    <col min="11021" max="11266" width="9.140625" style="314"/>
    <col min="11267" max="11267" width="12" style="314" bestFit="1" customWidth="1"/>
    <col min="11268" max="11271" width="9.140625" style="314"/>
    <col min="11272" max="11272" width="17.28515625" style="314" customWidth="1"/>
    <col min="11273" max="11275" width="9.7109375" style="314" customWidth="1"/>
    <col min="11276" max="11276" width="15" style="314" customWidth="1"/>
    <col min="11277" max="11522" width="9.140625" style="314"/>
    <col min="11523" max="11523" width="12" style="314" bestFit="1" customWidth="1"/>
    <col min="11524" max="11527" width="9.140625" style="314"/>
    <col min="11528" max="11528" width="17.28515625" style="314" customWidth="1"/>
    <col min="11529" max="11531" width="9.7109375" style="314" customWidth="1"/>
    <col min="11532" max="11532" width="15" style="314" customWidth="1"/>
    <col min="11533" max="11778" width="9.140625" style="314"/>
    <col min="11779" max="11779" width="12" style="314" bestFit="1" customWidth="1"/>
    <col min="11780" max="11783" width="9.140625" style="314"/>
    <col min="11784" max="11784" width="17.28515625" style="314" customWidth="1"/>
    <col min="11785" max="11787" width="9.7109375" style="314" customWidth="1"/>
    <col min="11788" max="11788" width="15" style="314" customWidth="1"/>
    <col min="11789" max="12034" width="9.140625" style="314"/>
    <col min="12035" max="12035" width="12" style="314" bestFit="1" customWidth="1"/>
    <col min="12036" max="12039" width="9.140625" style="314"/>
    <col min="12040" max="12040" width="17.28515625" style="314" customWidth="1"/>
    <col min="12041" max="12043" width="9.7109375" style="314" customWidth="1"/>
    <col min="12044" max="12044" width="15" style="314" customWidth="1"/>
    <col min="12045" max="12290" width="9.140625" style="314"/>
    <col min="12291" max="12291" width="12" style="314" bestFit="1" customWidth="1"/>
    <col min="12292" max="12295" width="9.140625" style="314"/>
    <col min="12296" max="12296" width="17.28515625" style="314" customWidth="1"/>
    <col min="12297" max="12299" width="9.7109375" style="314" customWidth="1"/>
    <col min="12300" max="12300" width="15" style="314" customWidth="1"/>
    <col min="12301" max="12546" width="9.140625" style="314"/>
    <col min="12547" max="12547" width="12" style="314" bestFit="1" customWidth="1"/>
    <col min="12548" max="12551" width="9.140625" style="314"/>
    <col min="12552" max="12552" width="17.28515625" style="314" customWidth="1"/>
    <col min="12553" max="12555" width="9.7109375" style="314" customWidth="1"/>
    <col min="12556" max="12556" width="15" style="314" customWidth="1"/>
    <col min="12557" max="12802" width="9.140625" style="314"/>
    <col min="12803" max="12803" width="12" style="314" bestFit="1" customWidth="1"/>
    <col min="12804" max="12807" width="9.140625" style="314"/>
    <col min="12808" max="12808" width="17.28515625" style="314" customWidth="1"/>
    <col min="12809" max="12811" width="9.7109375" style="314" customWidth="1"/>
    <col min="12812" max="12812" width="15" style="314" customWidth="1"/>
    <col min="12813" max="13058" width="9.140625" style="314"/>
    <col min="13059" max="13059" width="12" style="314" bestFit="1" customWidth="1"/>
    <col min="13060" max="13063" width="9.140625" style="314"/>
    <col min="13064" max="13064" width="17.28515625" style="314" customWidth="1"/>
    <col min="13065" max="13067" width="9.7109375" style="314" customWidth="1"/>
    <col min="13068" max="13068" width="15" style="314" customWidth="1"/>
    <col min="13069" max="13314" width="9.140625" style="314"/>
    <col min="13315" max="13315" width="12" style="314" bestFit="1" customWidth="1"/>
    <col min="13316" max="13319" width="9.140625" style="314"/>
    <col min="13320" max="13320" width="17.28515625" style="314" customWidth="1"/>
    <col min="13321" max="13323" width="9.7109375" style="314" customWidth="1"/>
    <col min="13324" max="13324" width="15" style="314" customWidth="1"/>
    <col min="13325" max="13570" width="9.140625" style="314"/>
    <col min="13571" max="13571" width="12" style="314" bestFit="1" customWidth="1"/>
    <col min="13572" max="13575" width="9.140625" style="314"/>
    <col min="13576" max="13576" width="17.28515625" style="314" customWidth="1"/>
    <col min="13577" max="13579" width="9.7109375" style="314" customWidth="1"/>
    <col min="13580" max="13580" width="15" style="314" customWidth="1"/>
    <col min="13581" max="13826" width="9.140625" style="314"/>
    <col min="13827" max="13827" width="12" style="314" bestFit="1" customWidth="1"/>
    <col min="13828" max="13831" width="9.140625" style="314"/>
    <col min="13832" max="13832" width="17.28515625" style="314" customWidth="1"/>
    <col min="13833" max="13835" width="9.7109375" style="314" customWidth="1"/>
    <col min="13836" max="13836" width="15" style="314" customWidth="1"/>
    <col min="13837" max="14082" width="9.140625" style="314"/>
    <col min="14083" max="14083" width="12" style="314" bestFit="1" customWidth="1"/>
    <col min="14084" max="14087" width="9.140625" style="314"/>
    <col min="14088" max="14088" width="17.28515625" style="314" customWidth="1"/>
    <col min="14089" max="14091" width="9.7109375" style="314" customWidth="1"/>
    <col min="14092" max="14092" width="15" style="314" customWidth="1"/>
    <col min="14093" max="14338" width="9.140625" style="314"/>
    <col min="14339" max="14339" width="12" style="314" bestFit="1" customWidth="1"/>
    <col min="14340" max="14343" width="9.140625" style="314"/>
    <col min="14344" max="14344" width="17.28515625" style="314" customWidth="1"/>
    <col min="14345" max="14347" width="9.7109375" style="314" customWidth="1"/>
    <col min="14348" max="14348" width="15" style="314" customWidth="1"/>
    <col min="14349" max="14594" width="9.140625" style="314"/>
    <col min="14595" max="14595" width="12" style="314" bestFit="1" customWidth="1"/>
    <col min="14596" max="14599" width="9.140625" style="314"/>
    <col min="14600" max="14600" width="17.28515625" style="314" customWidth="1"/>
    <col min="14601" max="14603" width="9.7109375" style="314" customWidth="1"/>
    <col min="14604" max="14604" width="15" style="314" customWidth="1"/>
    <col min="14605" max="14850" width="9.140625" style="314"/>
    <col min="14851" max="14851" width="12" style="314" bestFit="1" customWidth="1"/>
    <col min="14852" max="14855" width="9.140625" style="314"/>
    <col min="14856" max="14856" width="17.28515625" style="314" customWidth="1"/>
    <col min="14857" max="14859" width="9.7109375" style="314" customWidth="1"/>
    <col min="14860" max="14860" width="15" style="314" customWidth="1"/>
    <col min="14861" max="15106" width="9.140625" style="314"/>
    <col min="15107" max="15107" width="12" style="314" bestFit="1" customWidth="1"/>
    <col min="15108" max="15111" width="9.140625" style="314"/>
    <col min="15112" max="15112" width="17.28515625" style="314" customWidth="1"/>
    <col min="15113" max="15115" width="9.7109375" style="314" customWidth="1"/>
    <col min="15116" max="15116" width="15" style="314" customWidth="1"/>
    <col min="15117" max="15362" width="9.140625" style="314"/>
    <col min="15363" max="15363" width="12" style="314" bestFit="1" customWidth="1"/>
    <col min="15364" max="15367" width="9.140625" style="314"/>
    <col min="15368" max="15368" width="17.28515625" style="314" customWidth="1"/>
    <col min="15369" max="15371" width="9.7109375" style="314" customWidth="1"/>
    <col min="15372" max="15372" width="15" style="314" customWidth="1"/>
    <col min="15373" max="15618" width="9.140625" style="314"/>
    <col min="15619" max="15619" width="12" style="314" bestFit="1" customWidth="1"/>
    <col min="15620" max="15623" width="9.140625" style="314"/>
    <col min="15624" max="15624" width="17.28515625" style="314" customWidth="1"/>
    <col min="15625" max="15627" width="9.7109375" style="314" customWidth="1"/>
    <col min="15628" max="15628" width="15" style="314" customWidth="1"/>
    <col min="15629" max="15874" width="9.140625" style="314"/>
    <col min="15875" max="15875" width="12" style="314" bestFit="1" customWidth="1"/>
    <col min="15876" max="15879" width="9.140625" style="314"/>
    <col min="15880" max="15880" width="17.28515625" style="314" customWidth="1"/>
    <col min="15881" max="15883" width="9.7109375" style="314" customWidth="1"/>
    <col min="15884" max="15884" width="15" style="314" customWidth="1"/>
    <col min="15885" max="16130" width="9.140625" style="314"/>
    <col min="16131" max="16131" width="12" style="314" bestFit="1" customWidth="1"/>
    <col min="16132" max="16135" width="9.140625" style="314"/>
    <col min="16136" max="16136" width="17.28515625" style="314" customWidth="1"/>
    <col min="16137" max="16139" width="9.7109375" style="314" customWidth="1"/>
    <col min="16140" max="16140" width="15" style="314" customWidth="1"/>
    <col min="16141" max="16384" width="9.140625" style="314"/>
  </cols>
  <sheetData>
    <row r="1" spans="1:12" ht="15.75">
      <c r="L1" s="523" t="s">
        <v>551</v>
      </c>
    </row>
    <row r="2" spans="1:12" ht="8.25" customHeight="1">
      <c r="L2" s="399"/>
    </row>
    <row r="3" spans="1:12" ht="15.75" customHeight="1">
      <c r="A3" s="400" t="str">
        <f>'Pg 7 WAF No CPI'!A3</f>
        <v>NRA.N.011-050-2012/1F</v>
      </c>
      <c r="B3" s="401"/>
      <c r="C3" s="524"/>
      <c r="D3" s="403"/>
      <c r="E3" s="403"/>
      <c r="F3" s="1401">
        <f>'F1  Cover'!L8</f>
        <v>44804</v>
      </c>
      <c r="G3" s="1401"/>
      <c r="H3" s="1424" t="s">
        <v>379</v>
      </c>
      <c r="I3" s="1424"/>
      <c r="J3" s="1424"/>
      <c r="K3" s="1423">
        <f>'F1  Cover'!K8</f>
        <v>1</v>
      </c>
      <c r="L3" s="1451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96" t="s">
        <v>552</v>
      </c>
      <c r="B6" s="1259"/>
      <c r="C6" s="1259"/>
      <c r="D6" s="1259"/>
      <c r="E6" s="1259"/>
      <c r="F6" s="1259"/>
      <c r="J6" s="922" t="str">
        <f>"Original Cost of Works (Excl. " &amp; DATA!$C$1032*100 &amp; "% Vat) = "</f>
        <v xml:space="preserve">Original Cost of Works (Excl. 15% Vat) = </v>
      </c>
      <c r="K6" s="1512">
        <f>'F1 Forecast Contractor'!E16</f>
        <v>4900000000</v>
      </c>
      <c r="L6" s="1513"/>
    </row>
    <row r="7" spans="1:12" ht="15.75" customHeight="1">
      <c r="A7" s="1396"/>
      <c r="B7" s="1259"/>
      <c r="C7" s="1259"/>
      <c r="D7" s="1259"/>
      <c r="E7" s="1259"/>
      <c r="F7" s="1259"/>
      <c r="G7" s="602"/>
      <c r="H7" s="602"/>
      <c r="I7" s="602"/>
      <c r="J7" s="922" t="str">
        <f>"Latest Est. Cost of Works (Excl. " &amp; DATA!$C$1032*100 &amp; "% Vat) ="</f>
        <v>Latest Est. Cost of Works (Excl. 15% Vat) =</v>
      </c>
      <c r="K7" s="1512">
        <f>'F1 Forecast Contractor'!B16/(1+DATA!$C$1032)</f>
        <v>4900000000</v>
      </c>
      <c r="L7" s="1513"/>
    </row>
    <row r="8" spans="1:12" ht="15.75" customHeight="1" thickBot="1">
      <c r="A8" s="526"/>
      <c r="L8" s="527"/>
    </row>
    <row r="9" spans="1:12" ht="15.75" customHeight="1" thickBot="1">
      <c r="A9" s="1425" t="s">
        <v>0</v>
      </c>
      <c r="B9" s="1426"/>
      <c r="C9" s="1426"/>
      <c r="D9" s="1426"/>
      <c r="E9" s="1426"/>
      <c r="F9" s="1426"/>
      <c r="G9" s="1426"/>
      <c r="H9" s="1426"/>
      <c r="I9" s="1426"/>
      <c r="J9" s="1426"/>
      <c r="K9" s="1427"/>
      <c r="L9" s="529" t="s">
        <v>404</v>
      </c>
    </row>
    <row r="10" spans="1:12" ht="12.75" customHeight="1">
      <c r="A10" s="1493" t="s">
        <v>556</v>
      </c>
      <c r="B10" s="1494"/>
      <c r="C10" s="1494"/>
      <c r="D10" s="1494"/>
      <c r="E10" s="1494"/>
      <c r="F10" s="1494"/>
      <c r="G10" s="1494"/>
      <c r="H10" s="1494"/>
      <c r="I10" s="1494"/>
      <c r="J10" s="1494"/>
      <c r="K10" s="1495"/>
      <c r="L10" s="924">
        <f>K7</f>
        <v>4900000000</v>
      </c>
    </row>
    <row r="11" spans="1:12" ht="12.75" customHeight="1">
      <c r="A11" s="1499"/>
      <c r="B11" s="1500"/>
      <c r="C11" s="1500"/>
      <c r="D11" s="1500"/>
      <c r="E11" s="1500"/>
      <c r="F11" s="1500"/>
      <c r="G11" s="1500"/>
      <c r="H11" s="1500"/>
      <c r="I11" s="1500"/>
      <c r="J11" s="1500"/>
      <c r="K11" s="1501"/>
      <c r="L11" s="547"/>
    </row>
    <row r="12" spans="1:12">
      <c r="A12" s="1496" t="s">
        <v>553</v>
      </c>
      <c r="B12" s="1497"/>
      <c r="C12" s="1497"/>
      <c r="D12" s="1497"/>
      <c r="E12" s="1497"/>
      <c r="F12" s="1497"/>
      <c r="G12" s="1497"/>
      <c r="H12" s="1497"/>
      <c r="I12" s="1497"/>
      <c r="J12" s="1497"/>
      <c r="K12" s="1498"/>
      <c r="L12" s="538"/>
    </row>
    <row r="13" spans="1:12" s="364" customFormat="1" ht="25.5">
      <c r="A13" s="691" t="s">
        <v>557</v>
      </c>
      <c r="B13" s="1502" t="s">
        <v>288</v>
      </c>
      <c r="C13" s="1503"/>
      <c r="D13" s="1503"/>
      <c r="E13" s="1503"/>
      <c r="F13" s="1503"/>
      <c r="G13" s="1503"/>
      <c r="H13" s="1503"/>
      <c r="I13" s="1503"/>
      <c r="J13" s="1503"/>
      <c r="K13" s="1504"/>
      <c r="L13" s="692"/>
    </row>
    <row r="14" spans="1:12">
      <c r="A14" s="687"/>
      <c r="B14" s="1505"/>
      <c r="C14" s="1506"/>
      <c r="D14" s="1506"/>
      <c r="E14" s="1506"/>
      <c r="F14" s="1506"/>
      <c r="G14" s="1506"/>
      <c r="H14" s="1506"/>
      <c r="I14" s="1506"/>
      <c r="J14" s="1506"/>
      <c r="K14" s="1507"/>
      <c r="L14" s="688"/>
    </row>
    <row r="15" spans="1:12">
      <c r="A15" s="687"/>
      <c r="B15" s="1505"/>
      <c r="C15" s="1506"/>
      <c r="D15" s="1506"/>
      <c r="E15" s="1506"/>
      <c r="F15" s="1506"/>
      <c r="G15" s="1506"/>
      <c r="H15" s="1506"/>
      <c r="I15" s="1506"/>
      <c r="J15" s="1506"/>
      <c r="K15" s="1507"/>
      <c r="L15" s="688"/>
    </row>
    <row r="16" spans="1:12">
      <c r="A16" s="687"/>
      <c r="B16" s="1505"/>
      <c r="C16" s="1506"/>
      <c r="D16" s="1506"/>
      <c r="E16" s="1506"/>
      <c r="F16" s="1506"/>
      <c r="G16" s="1506"/>
      <c r="H16" s="1506"/>
      <c r="I16" s="1506"/>
      <c r="J16" s="1506"/>
      <c r="K16" s="1507"/>
      <c r="L16" s="688"/>
    </row>
    <row r="17" spans="1:12">
      <c r="A17" s="687"/>
      <c r="B17" s="1505"/>
      <c r="C17" s="1506"/>
      <c r="D17" s="1506"/>
      <c r="E17" s="1506"/>
      <c r="F17" s="1506"/>
      <c r="G17" s="1506"/>
      <c r="H17" s="1506"/>
      <c r="I17" s="1506"/>
      <c r="J17" s="1506"/>
      <c r="K17" s="1507"/>
      <c r="L17" s="688"/>
    </row>
    <row r="18" spans="1:12">
      <c r="A18" s="687"/>
      <c r="B18" s="1505"/>
      <c r="C18" s="1506"/>
      <c r="D18" s="1506"/>
      <c r="E18" s="1506"/>
      <c r="F18" s="1506"/>
      <c r="G18" s="1506"/>
      <c r="H18" s="1506"/>
      <c r="I18" s="1506"/>
      <c r="J18" s="1506"/>
      <c r="K18" s="1507"/>
      <c r="L18" s="688"/>
    </row>
    <row r="19" spans="1:12">
      <c r="A19" s="687"/>
      <c r="B19" s="1505"/>
      <c r="C19" s="1506"/>
      <c r="D19" s="1506"/>
      <c r="E19" s="1506"/>
      <c r="F19" s="1506"/>
      <c r="G19" s="1506"/>
      <c r="H19" s="1506"/>
      <c r="I19" s="1506" t="s">
        <v>464</v>
      </c>
      <c r="J19" s="1506"/>
      <c r="K19" s="1507"/>
      <c r="L19" s="688"/>
    </row>
    <row r="20" spans="1:12">
      <c r="A20" s="687"/>
      <c r="B20" s="1505"/>
      <c r="C20" s="1506"/>
      <c r="D20" s="1506"/>
      <c r="E20" s="1506"/>
      <c r="F20" s="1506"/>
      <c r="G20" s="1506"/>
      <c r="H20" s="1506"/>
      <c r="I20" s="1506"/>
      <c r="J20" s="1506"/>
      <c r="K20" s="1507"/>
      <c r="L20" s="688"/>
    </row>
    <row r="21" spans="1:12" ht="15" customHeight="1">
      <c r="A21" s="687"/>
      <c r="B21" s="1505"/>
      <c r="C21" s="1506"/>
      <c r="D21" s="1506"/>
      <c r="E21" s="1506"/>
      <c r="F21" s="1506"/>
      <c r="G21" s="1506"/>
      <c r="H21" s="1506"/>
      <c r="I21" s="1506"/>
      <c r="J21" s="1506"/>
      <c r="K21" s="1507"/>
      <c r="L21" s="688"/>
    </row>
    <row r="22" spans="1:12" ht="15" customHeight="1">
      <c r="A22" s="687"/>
      <c r="B22" s="1505"/>
      <c r="C22" s="1506"/>
      <c r="D22" s="1506"/>
      <c r="E22" s="1506"/>
      <c r="F22" s="1506"/>
      <c r="G22" s="1506"/>
      <c r="H22" s="1506"/>
      <c r="I22" s="1506"/>
      <c r="J22" s="1506"/>
      <c r="K22" s="1507"/>
      <c r="L22" s="688"/>
    </row>
    <row r="23" spans="1:12" ht="15" customHeight="1">
      <c r="A23" s="687"/>
      <c r="B23" s="1505"/>
      <c r="C23" s="1506"/>
      <c r="D23" s="1506"/>
      <c r="E23" s="1506"/>
      <c r="F23" s="1506"/>
      <c r="G23" s="1506"/>
      <c r="H23" s="1506"/>
      <c r="I23" s="1506"/>
      <c r="J23" s="1506"/>
      <c r="K23" s="1507"/>
      <c r="L23" s="688"/>
    </row>
    <row r="24" spans="1:12" ht="15" customHeight="1">
      <c r="A24" s="687"/>
      <c r="B24" s="1505"/>
      <c r="C24" s="1506"/>
      <c r="D24" s="1506"/>
      <c r="E24" s="1506"/>
      <c r="F24" s="1506"/>
      <c r="G24" s="1506"/>
      <c r="H24" s="1506"/>
      <c r="I24" s="1506"/>
      <c r="J24" s="1506"/>
      <c r="K24" s="1507"/>
      <c r="L24" s="688"/>
    </row>
    <row r="25" spans="1:12" ht="15" customHeight="1">
      <c r="A25" s="687"/>
      <c r="B25" s="1505"/>
      <c r="C25" s="1506"/>
      <c r="D25" s="1506"/>
      <c r="E25" s="1506"/>
      <c r="F25" s="1506"/>
      <c r="G25" s="1506"/>
      <c r="H25" s="1506"/>
      <c r="I25" s="1506"/>
      <c r="J25" s="1506"/>
      <c r="K25" s="1507"/>
      <c r="L25" s="688"/>
    </row>
    <row r="26" spans="1:12" ht="15" customHeight="1">
      <c r="A26" s="687"/>
      <c r="B26" s="1505"/>
      <c r="C26" s="1506"/>
      <c r="D26" s="1506"/>
      <c r="E26" s="1506"/>
      <c r="F26" s="1506"/>
      <c r="G26" s="1506"/>
      <c r="H26" s="1506"/>
      <c r="I26" s="1506"/>
      <c r="J26" s="1506"/>
      <c r="K26" s="1507"/>
      <c r="L26" s="688"/>
    </row>
    <row r="27" spans="1:12" ht="15" customHeight="1">
      <c r="A27" s="687"/>
      <c r="B27" s="1505"/>
      <c r="C27" s="1506"/>
      <c r="D27" s="1506"/>
      <c r="E27" s="1506"/>
      <c r="F27" s="1506"/>
      <c r="G27" s="1506"/>
      <c r="H27" s="1506"/>
      <c r="I27" s="1506"/>
      <c r="J27" s="1506"/>
      <c r="K27" s="1507"/>
      <c r="L27" s="688"/>
    </row>
    <row r="28" spans="1:12" ht="15" customHeight="1">
      <c r="A28" s="687"/>
      <c r="B28" s="1505"/>
      <c r="C28" s="1506"/>
      <c r="D28" s="1506"/>
      <c r="E28" s="1506"/>
      <c r="F28" s="1506"/>
      <c r="G28" s="1506"/>
      <c r="H28" s="1506"/>
      <c r="I28" s="1506"/>
      <c r="J28" s="1506"/>
      <c r="K28" s="1507"/>
      <c r="L28" s="688"/>
    </row>
    <row r="29" spans="1:12" ht="15" customHeight="1">
      <c r="A29" s="687"/>
      <c r="B29" s="1505"/>
      <c r="C29" s="1506"/>
      <c r="D29" s="1506"/>
      <c r="E29" s="1506"/>
      <c r="F29" s="1506"/>
      <c r="G29" s="1506"/>
      <c r="H29" s="1506"/>
      <c r="I29" s="1506"/>
      <c r="J29" s="1506"/>
      <c r="K29" s="1507"/>
      <c r="L29" s="688"/>
    </row>
    <row r="30" spans="1:12" ht="15" customHeight="1">
      <c r="A30" s="689"/>
      <c r="B30" s="1508"/>
      <c r="C30" s="1509"/>
      <c r="D30" s="1509"/>
      <c r="E30" s="1509"/>
      <c r="F30" s="1509"/>
      <c r="G30" s="1509"/>
      <c r="H30" s="1509"/>
      <c r="I30" s="1509"/>
      <c r="J30" s="1509"/>
      <c r="K30" s="1510"/>
      <c r="L30" s="690"/>
    </row>
    <row r="31" spans="1:12" ht="21" customHeight="1" thickBot="1">
      <c r="A31" s="1511" t="s">
        <v>554</v>
      </c>
      <c r="B31" s="1364"/>
      <c r="C31" s="1364"/>
      <c r="D31" s="1364"/>
      <c r="E31" s="1364"/>
      <c r="F31" s="1364"/>
      <c r="G31" s="1364"/>
      <c r="H31" s="1364"/>
      <c r="I31" s="1364"/>
      <c r="J31" s="1364"/>
      <c r="K31" s="1451"/>
      <c r="L31" s="686">
        <f>SUM(L14:L30)</f>
        <v>0</v>
      </c>
    </row>
    <row r="32" spans="1:12" ht="21" customHeight="1" thickBot="1">
      <c r="A32" s="1409" t="s">
        <v>555</v>
      </c>
      <c r="B32" s="1410"/>
      <c r="C32" s="1410"/>
      <c r="D32" s="1410"/>
      <c r="E32" s="1410"/>
      <c r="F32" s="1410"/>
      <c r="G32" s="1410"/>
      <c r="H32" s="1410"/>
      <c r="I32" s="1410"/>
      <c r="J32" s="1410"/>
      <c r="K32" s="1411"/>
      <c r="L32" s="923">
        <f>L10-L31</f>
        <v>4900000000</v>
      </c>
    </row>
  </sheetData>
  <mergeCells count="30">
    <mergeCell ref="K6:L6"/>
    <mergeCell ref="K7:L7"/>
    <mergeCell ref="B27:K27"/>
    <mergeCell ref="B28:K28"/>
    <mergeCell ref="B16:K16"/>
    <mergeCell ref="B17:K17"/>
    <mergeCell ref="B18:K18"/>
    <mergeCell ref="B19:K19"/>
    <mergeCell ref="B20:K20"/>
    <mergeCell ref="B21:K21"/>
    <mergeCell ref="B22:K22"/>
    <mergeCell ref="B23:K23"/>
    <mergeCell ref="B24:K24"/>
    <mergeCell ref="B25:K25"/>
    <mergeCell ref="F3:G3"/>
    <mergeCell ref="H3:J3"/>
    <mergeCell ref="K3:L3"/>
    <mergeCell ref="A32:K32"/>
    <mergeCell ref="A9:K9"/>
    <mergeCell ref="A10:K10"/>
    <mergeCell ref="A12:K12"/>
    <mergeCell ref="A11:K11"/>
    <mergeCell ref="B13:K13"/>
    <mergeCell ref="B29:K29"/>
    <mergeCell ref="B30:K30"/>
    <mergeCell ref="A31:K31"/>
    <mergeCell ref="B14:K14"/>
    <mergeCell ref="B15:K15"/>
    <mergeCell ref="B26:K26"/>
    <mergeCell ref="A6:F7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7">
    <tabColor theme="9"/>
    <pageSetUpPr fitToPage="1"/>
  </sheetPr>
  <dimension ref="A1:N23"/>
  <sheetViews>
    <sheetView workbookViewId="0">
      <selection activeCell="D15" sqref="D15"/>
    </sheetView>
  </sheetViews>
  <sheetFormatPr defaultRowHeight="12.75"/>
  <cols>
    <col min="1" max="1" width="9.140625" style="314"/>
    <col min="2" max="2" width="36.85546875" style="314" customWidth="1"/>
    <col min="3" max="3" width="15.140625" style="314" customWidth="1"/>
    <col min="4" max="8" width="11.7109375" style="314" customWidth="1"/>
    <col min="9" max="9" width="10.7109375" style="314" bestFit="1" customWidth="1"/>
    <col min="10" max="10" width="19.140625" style="314" bestFit="1" customWidth="1"/>
    <col min="11" max="11" width="17.5703125" style="314" bestFit="1" customWidth="1"/>
    <col min="12" max="12" width="15" style="314" customWidth="1"/>
    <col min="13" max="13" width="16.42578125" style="314" bestFit="1" customWidth="1"/>
    <col min="14" max="14" width="18" style="314" customWidth="1"/>
    <col min="15" max="257" width="9.140625" style="314"/>
    <col min="258" max="258" width="36.85546875" style="314" customWidth="1"/>
    <col min="259" max="259" width="9.140625" style="314"/>
    <col min="260" max="260" width="10.140625" style="314" bestFit="1" customWidth="1"/>
    <col min="261" max="261" width="10.7109375" style="314" bestFit="1" customWidth="1"/>
    <col min="262" max="262" width="11.42578125" style="314" bestFit="1" customWidth="1"/>
    <col min="263" max="263" width="12.7109375" style="314" bestFit="1" customWidth="1"/>
    <col min="264" max="264" width="12.42578125" style="314" bestFit="1" customWidth="1"/>
    <col min="265" max="265" width="10.7109375" style="314" bestFit="1" customWidth="1"/>
    <col min="266" max="266" width="19.140625" style="314" bestFit="1" customWidth="1"/>
    <col min="267" max="267" width="17.5703125" style="314" bestFit="1" customWidth="1"/>
    <col min="268" max="268" width="15" style="314" customWidth="1"/>
    <col min="269" max="269" width="16.42578125" style="314" bestFit="1" customWidth="1"/>
    <col min="270" max="270" width="18" style="314" customWidth="1"/>
    <col min="271" max="513" width="9.140625" style="314"/>
    <col min="514" max="514" width="36.85546875" style="314" customWidth="1"/>
    <col min="515" max="515" width="9.140625" style="314"/>
    <col min="516" max="516" width="10.140625" style="314" bestFit="1" customWidth="1"/>
    <col min="517" max="517" width="10.7109375" style="314" bestFit="1" customWidth="1"/>
    <col min="518" max="518" width="11.42578125" style="314" bestFit="1" customWidth="1"/>
    <col min="519" max="519" width="12.7109375" style="314" bestFit="1" customWidth="1"/>
    <col min="520" max="520" width="12.42578125" style="314" bestFit="1" customWidth="1"/>
    <col min="521" max="521" width="10.7109375" style="314" bestFit="1" customWidth="1"/>
    <col min="522" max="522" width="19.140625" style="314" bestFit="1" customWidth="1"/>
    <col min="523" max="523" width="17.5703125" style="314" bestFit="1" customWidth="1"/>
    <col min="524" max="524" width="15" style="314" customWidth="1"/>
    <col min="525" max="525" width="16.42578125" style="314" bestFit="1" customWidth="1"/>
    <col min="526" max="526" width="18" style="314" customWidth="1"/>
    <col min="527" max="769" width="9.140625" style="314"/>
    <col min="770" max="770" width="36.85546875" style="314" customWidth="1"/>
    <col min="771" max="771" width="9.140625" style="314"/>
    <col min="772" max="772" width="10.140625" style="314" bestFit="1" customWidth="1"/>
    <col min="773" max="773" width="10.7109375" style="314" bestFit="1" customWidth="1"/>
    <col min="774" max="774" width="11.42578125" style="314" bestFit="1" customWidth="1"/>
    <col min="775" max="775" width="12.7109375" style="314" bestFit="1" customWidth="1"/>
    <col min="776" max="776" width="12.42578125" style="314" bestFit="1" customWidth="1"/>
    <col min="777" max="777" width="10.7109375" style="314" bestFit="1" customWidth="1"/>
    <col min="778" max="778" width="19.140625" style="314" bestFit="1" customWidth="1"/>
    <col min="779" max="779" width="17.5703125" style="314" bestFit="1" customWidth="1"/>
    <col min="780" max="780" width="15" style="314" customWidth="1"/>
    <col min="781" max="781" width="16.42578125" style="314" bestFit="1" customWidth="1"/>
    <col min="782" max="782" width="18" style="314" customWidth="1"/>
    <col min="783" max="1025" width="9.140625" style="314"/>
    <col min="1026" max="1026" width="36.85546875" style="314" customWidth="1"/>
    <col min="1027" max="1027" width="9.140625" style="314"/>
    <col min="1028" max="1028" width="10.140625" style="314" bestFit="1" customWidth="1"/>
    <col min="1029" max="1029" width="10.7109375" style="314" bestFit="1" customWidth="1"/>
    <col min="1030" max="1030" width="11.42578125" style="314" bestFit="1" customWidth="1"/>
    <col min="1031" max="1031" width="12.7109375" style="314" bestFit="1" customWidth="1"/>
    <col min="1032" max="1032" width="12.42578125" style="314" bestFit="1" customWidth="1"/>
    <col min="1033" max="1033" width="10.7109375" style="314" bestFit="1" customWidth="1"/>
    <col min="1034" max="1034" width="19.140625" style="314" bestFit="1" customWidth="1"/>
    <col min="1035" max="1035" width="17.5703125" style="314" bestFit="1" customWidth="1"/>
    <col min="1036" max="1036" width="15" style="314" customWidth="1"/>
    <col min="1037" max="1037" width="16.42578125" style="314" bestFit="1" customWidth="1"/>
    <col min="1038" max="1038" width="18" style="314" customWidth="1"/>
    <col min="1039" max="1281" width="9.140625" style="314"/>
    <col min="1282" max="1282" width="36.85546875" style="314" customWidth="1"/>
    <col min="1283" max="1283" width="9.140625" style="314"/>
    <col min="1284" max="1284" width="10.140625" style="314" bestFit="1" customWidth="1"/>
    <col min="1285" max="1285" width="10.7109375" style="314" bestFit="1" customWidth="1"/>
    <col min="1286" max="1286" width="11.42578125" style="314" bestFit="1" customWidth="1"/>
    <col min="1287" max="1287" width="12.7109375" style="314" bestFit="1" customWidth="1"/>
    <col min="1288" max="1288" width="12.42578125" style="314" bestFit="1" customWidth="1"/>
    <col min="1289" max="1289" width="10.7109375" style="314" bestFit="1" customWidth="1"/>
    <col min="1290" max="1290" width="19.140625" style="314" bestFit="1" customWidth="1"/>
    <col min="1291" max="1291" width="17.5703125" style="314" bestFit="1" customWidth="1"/>
    <col min="1292" max="1292" width="15" style="314" customWidth="1"/>
    <col min="1293" max="1293" width="16.42578125" style="314" bestFit="1" customWidth="1"/>
    <col min="1294" max="1294" width="18" style="314" customWidth="1"/>
    <col min="1295" max="1537" width="9.140625" style="314"/>
    <col min="1538" max="1538" width="36.85546875" style="314" customWidth="1"/>
    <col min="1539" max="1539" width="9.140625" style="314"/>
    <col min="1540" max="1540" width="10.140625" style="314" bestFit="1" customWidth="1"/>
    <col min="1541" max="1541" width="10.7109375" style="314" bestFit="1" customWidth="1"/>
    <col min="1542" max="1542" width="11.42578125" style="314" bestFit="1" customWidth="1"/>
    <col min="1543" max="1543" width="12.7109375" style="314" bestFit="1" customWidth="1"/>
    <col min="1544" max="1544" width="12.42578125" style="314" bestFit="1" customWidth="1"/>
    <col min="1545" max="1545" width="10.7109375" style="314" bestFit="1" customWidth="1"/>
    <col min="1546" max="1546" width="19.140625" style="314" bestFit="1" customWidth="1"/>
    <col min="1547" max="1547" width="17.5703125" style="314" bestFit="1" customWidth="1"/>
    <col min="1548" max="1548" width="15" style="314" customWidth="1"/>
    <col min="1549" max="1549" width="16.42578125" style="314" bestFit="1" customWidth="1"/>
    <col min="1550" max="1550" width="18" style="314" customWidth="1"/>
    <col min="1551" max="1793" width="9.140625" style="314"/>
    <col min="1794" max="1794" width="36.85546875" style="314" customWidth="1"/>
    <col min="1795" max="1795" width="9.140625" style="314"/>
    <col min="1796" max="1796" width="10.140625" style="314" bestFit="1" customWidth="1"/>
    <col min="1797" max="1797" width="10.7109375" style="314" bestFit="1" customWidth="1"/>
    <col min="1798" max="1798" width="11.42578125" style="314" bestFit="1" customWidth="1"/>
    <col min="1799" max="1799" width="12.7109375" style="314" bestFit="1" customWidth="1"/>
    <col min="1800" max="1800" width="12.42578125" style="314" bestFit="1" customWidth="1"/>
    <col min="1801" max="1801" width="10.7109375" style="314" bestFit="1" customWidth="1"/>
    <col min="1802" max="1802" width="19.140625" style="314" bestFit="1" customWidth="1"/>
    <col min="1803" max="1803" width="17.5703125" style="314" bestFit="1" customWidth="1"/>
    <col min="1804" max="1804" width="15" style="314" customWidth="1"/>
    <col min="1805" max="1805" width="16.42578125" style="314" bestFit="1" customWidth="1"/>
    <col min="1806" max="1806" width="18" style="314" customWidth="1"/>
    <col min="1807" max="2049" width="9.140625" style="314"/>
    <col min="2050" max="2050" width="36.85546875" style="314" customWidth="1"/>
    <col min="2051" max="2051" width="9.140625" style="314"/>
    <col min="2052" max="2052" width="10.140625" style="314" bestFit="1" customWidth="1"/>
    <col min="2053" max="2053" width="10.7109375" style="314" bestFit="1" customWidth="1"/>
    <col min="2054" max="2054" width="11.42578125" style="314" bestFit="1" customWidth="1"/>
    <col min="2055" max="2055" width="12.7109375" style="314" bestFit="1" customWidth="1"/>
    <col min="2056" max="2056" width="12.42578125" style="314" bestFit="1" customWidth="1"/>
    <col min="2057" max="2057" width="10.7109375" style="314" bestFit="1" customWidth="1"/>
    <col min="2058" max="2058" width="19.140625" style="314" bestFit="1" customWidth="1"/>
    <col min="2059" max="2059" width="17.5703125" style="314" bestFit="1" customWidth="1"/>
    <col min="2060" max="2060" width="15" style="314" customWidth="1"/>
    <col min="2061" max="2061" width="16.42578125" style="314" bestFit="1" customWidth="1"/>
    <col min="2062" max="2062" width="18" style="314" customWidth="1"/>
    <col min="2063" max="2305" width="9.140625" style="314"/>
    <col min="2306" max="2306" width="36.85546875" style="314" customWidth="1"/>
    <col min="2307" max="2307" width="9.140625" style="314"/>
    <col min="2308" max="2308" width="10.140625" style="314" bestFit="1" customWidth="1"/>
    <col min="2309" max="2309" width="10.7109375" style="314" bestFit="1" customWidth="1"/>
    <col min="2310" max="2310" width="11.42578125" style="314" bestFit="1" customWidth="1"/>
    <col min="2311" max="2311" width="12.7109375" style="314" bestFit="1" customWidth="1"/>
    <col min="2312" max="2312" width="12.42578125" style="314" bestFit="1" customWidth="1"/>
    <col min="2313" max="2313" width="10.7109375" style="314" bestFit="1" customWidth="1"/>
    <col min="2314" max="2314" width="19.140625" style="314" bestFit="1" customWidth="1"/>
    <col min="2315" max="2315" width="17.5703125" style="314" bestFit="1" customWidth="1"/>
    <col min="2316" max="2316" width="15" style="314" customWidth="1"/>
    <col min="2317" max="2317" width="16.42578125" style="314" bestFit="1" customWidth="1"/>
    <col min="2318" max="2318" width="18" style="314" customWidth="1"/>
    <col min="2319" max="2561" width="9.140625" style="314"/>
    <col min="2562" max="2562" width="36.85546875" style="314" customWidth="1"/>
    <col min="2563" max="2563" width="9.140625" style="314"/>
    <col min="2564" max="2564" width="10.140625" style="314" bestFit="1" customWidth="1"/>
    <col min="2565" max="2565" width="10.7109375" style="314" bestFit="1" customWidth="1"/>
    <col min="2566" max="2566" width="11.42578125" style="314" bestFit="1" customWidth="1"/>
    <col min="2567" max="2567" width="12.7109375" style="314" bestFit="1" customWidth="1"/>
    <col min="2568" max="2568" width="12.42578125" style="314" bestFit="1" customWidth="1"/>
    <col min="2569" max="2569" width="10.7109375" style="314" bestFit="1" customWidth="1"/>
    <col min="2570" max="2570" width="19.140625" style="314" bestFit="1" customWidth="1"/>
    <col min="2571" max="2571" width="17.5703125" style="314" bestFit="1" customWidth="1"/>
    <col min="2572" max="2572" width="15" style="314" customWidth="1"/>
    <col min="2573" max="2573" width="16.42578125" style="314" bestFit="1" customWidth="1"/>
    <col min="2574" max="2574" width="18" style="314" customWidth="1"/>
    <col min="2575" max="2817" width="9.140625" style="314"/>
    <col min="2818" max="2818" width="36.85546875" style="314" customWidth="1"/>
    <col min="2819" max="2819" width="9.140625" style="314"/>
    <col min="2820" max="2820" width="10.140625" style="314" bestFit="1" customWidth="1"/>
    <col min="2821" max="2821" width="10.7109375" style="314" bestFit="1" customWidth="1"/>
    <col min="2822" max="2822" width="11.42578125" style="314" bestFit="1" customWidth="1"/>
    <col min="2823" max="2823" width="12.7109375" style="314" bestFit="1" customWidth="1"/>
    <col min="2824" max="2824" width="12.42578125" style="314" bestFit="1" customWidth="1"/>
    <col min="2825" max="2825" width="10.7109375" style="314" bestFit="1" customWidth="1"/>
    <col min="2826" max="2826" width="19.140625" style="314" bestFit="1" customWidth="1"/>
    <col min="2827" max="2827" width="17.5703125" style="314" bestFit="1" customWidth="1"/>
    <col min="2828" max="2828" width="15" style="314" customWidth="1"/>
    <col min="2829" max="2829" width="16.42578125" style="314" bestFit="1" customWidth="1"/>
    <col min="2830" max="2830" width="18" style="314" customWidth="1"/>
    <col min="2831" max="3073" width="9.140625" style="314"/>
    <col min="3074" max="3074" width="36.85546875" style="314" customWidth="1"/>
    <col min="3075" max="3075" width="9.140625" style="314"/>
    <col min="3076" max="3076" width="10.140625" style="314" bestFit="1" customWidth="1"/>
    <col min="3077" max="3077" width="10.7109375" style="314" bestFit="1" customWidth="1"/>
    <col min="3078" max="3078" width="11.42578125" style="314" bestFit="1" customWidth="1"/>
    <col min="3079" max="3079" width="12.7109375" style="314" bestFit="1" customWidth="1"/>
    <col min="3080" max="3080" width="12.42578125" style="314" bestFit="1" customWidth="1"/>
    <col min="3081" max="3081" width="10.7109375" style="314" bestFit="1" customWidth="1"/>
    <col min="3082" max="3082" width="19.140625" style="314" bestFit="1" customWidth="1"/>
    <col min="3083" max="3083" width="17.5703125" style="314" bestFit="1" customWidth="1"/>
    <col min="3084" max="3084" width="15" style="314" customWidth="1"/>
    <col min="3085" max="3085" width="16.42578125" style="314" bestFit="1" customWidth="1"/>
    <col min="3086" max="3086" width="18" style="314" customWidth="1"/>
    <col min="3087" max="3329" width="9.140625" style="314"/>
    <col min="3330" max="3330" width="36.85546875" style="314" customWidth="1"/>
    <col min="3331" max="3331" width="9.140625" style="314"/>
    <col min="3332" max="3332" width="10.140625" style="314" bestFit="1" customWidth="1"/>
    <col min="3333" max="3333" width="10.7109375" style="314" bestFit="1" customWidth="1"/>
    <col min="3334" max="3334" width="11.42578125" style="314" bestFit="1" customWidth="1"/>
    <col min="3335" max="3335" width="12.7109375" style="314" bestFit="1" customWidth="1"/>
    <col min="3336" max="3336" width="12.42578125" style="314" bestFit="1" customWidth="1"/>
    <col min="3337" max="3337" width="10.7109375" style="314" bestFit="1" customWidth="1"/>
    <col min="3338" max="3338" width="19.140625" style="314" bestFit="1" customWidth="1"/>
    <col min="3339" max="3339" width="17.5703125" style="314" bestFit="1" customWidth="1"/>
    <col min="3340" max="3340" width="15" style="314" customWidth="1"/>
    <col min="3341" max="3341" width="16.42578125" style="314" bestFit="1" customWidth="1"/>
    <col min="3342" max="3342" width="18" style="314" customWidth="1"/>
    <col min="3343" max="3585" width="9.140625" style="314"/>
    <col min="3586" max="3586" width="36.85546875" style="314" customWidth="1"/>
    <col min="3587" max="3587" width="9.140625" style="314"/>
    <col min="3588" max="3588" width="10.140625" style="314" bestFit="1" customWidth="1"/>
    <col min="3589" max="3589" width="10.7109375" style="314" bestFit="1" customWidth="1"/>
    <col min="3590" max="3590" width="11.42578125" style="314" bestFit="1" customWidth="1"/>
    <col min="3591" max="3591" width="12.7109375" style="314" bestFit="1" customWidth="1"/>
    <col min="3592" max="3592" width="12.42578125" style="314" bestFit="1" customWidth="1"/>
    <col min="3593" max="3593" width="10.7109375" style="314" bestFit="1" customWidth="1"/>
    <col min="3594" max="3594" width="19.140625" style="314" bestFit="1" customWidth="1"/>
    <col min="3595" max="3595" width="17.5703125" style="314" bestFit="1" customWidth="1"/>
    <col min="3596" max="3596" width="15" style="314" customWidth="1"/>
    <col min="3597" max="3597" width="16.42578125" style="314" bestFit="1" customWidth="1"/>
    <col min="3598" max="3598" width="18" style="314" customWidth="1"/>
    <col min="3599" max="3841" width="9.140625" style="314"/>
    <col min="3842" max="3842" width="36.85546875" style="314" customWidth="1"/>
    <col min="3843" max="3843" width="9.140625" style="314"/>
    <col min="3844" max="3844" width="10.140625" style="314" bestFit="1" customWidth="1"/>
    <col min="3845" max="3845" width="10.7109375" style="314" bestFit="1" customWidth="1"/>
    <col min="3846" max="3846" width="11.42578125" style="314" bestFit="1" customWidth="1"/>
    <col min="3847" max="3847" width="12.7109375" style="314" bestFit="1" customWidth="1"/>
    <col min="3848" max="3848" width="12.42578125" style="314" bestFit="1" customWidth="1"/>
    <col min="3849" max="3849" width="10.7109375" style="314" bestFit="1" customWidth="1"/>
    <col min="3850" max="3850" width="19.140625" style="314" bestFit="1" customWidth="1"/>
    <col min="3851" max="3851" width="17.5703125" style="314" bestFit="1" customWidth="1"/>
    <col min="3852" max="3852" width="15" style="314" customWidth="1"/>
    <col min="3853" max="3853" width="16.42578125" style="314" bestFit="1" customWidth="1"/>
    <col min="3854" max="3854" width="18" style="314" customWidth="1"/>
    <col min="3855" max="4097" width="9.140625" style="314"/>
    <col min="4098" max="4098" width="36.85546875" style="314" customWidth="1"/>
    <col min="4099" max="4099" width="9.140625" style="314"/>
    <col min="4100" max="4100" width="10.140625" style="314" bestFit="1" customWidth="1"/>
    <col min="4101" max="4101" width="10.7109375" style="314" bestFit="1" customWidth="1"/>
    <col min="4102" max="4102" width="11.42578125" style="314" bestFit="1" customWidth="1"/>
    <col min="4103" max="4103" width="12.7109375" style="314" bestFit="1" customWidth="1"/>
    <col min="4104" max="4104" width="12.42578125" style="314" bestFit="1" customWidth="1"/>
    <col min="4105" max="4105" width="10.7109375" style="314" bestFit="1" customWidth="1"/>
    <col min="4106" max="4106" width="19.140625" style="314" bestFit="1" customWidth="1"/>
    <col min="4107" max="4107" width="17.5703125" style="314" bestFit="1" customWidth="1"/>
    <col min="4108" max="4108" width="15" style="314" customWidth="1"/>
    <col min="4109" max="4109" width="16.42578125" style="314" bestFit="1" customWidth="1"/>
    <col min="4110" max="4110" width="18" style="314" customWidth="1"/>
    <col min="4111" max="4353" width="9.140625" style="314"/>
    <col min="4354" max="4354" width="36.85546875" style="314" customWidth="1"/>
    <col min="4355" max="4355" width="9.140625" style="314"/>
    <col min="4356" max="4356" width="10.140625" style="314" bestFit="1" customWidth="1"/>
    <col min="4357" max="4357" width="10.7109375" style="314" bestFit="1" customWidth="1"/>
    <col min="4358" max="4358" width="11.42578125" style="314" bestFit="1" customWidth="1"/>
    <col min="4359" max="4359" width="12.7109375" style="314" bestFit="1" customWidth="1"/>
    <col min="4360" max="4360" width="12.42578125" style="314" bestFit="1" customWidth="1"/>
    <col min="4361" max="4361" width="10.7109375" style="314" bestFit="1" customWidth="1"/>
    <col min="4362" max="4362" width="19.140625" style="314" bestFit="1" customWidth="1"/>
    <col min="4363" max="4363" width="17.5703125" style="314" bestFit="1" customWidth="1"/>
    <col min="4364" max="4364" width="15" style="314" customWidth="1"/>
    <col min="4365" max="4365" width="16.42578125" style="314" bestFit="1" customWidth="1"/>
    <col min="4366" max="4366" width="18" style="314" customWidth="1"/>
    <col min="4367" max="4609" width="9.140625" style="314"/>
    <col min="4610" max="4610" width="36.85546875" style="314" customWidth="1"/>
    <col min="4611" max="4611" width="9.140625" style="314"/>
    <col min="4612" max="4612" width="10.140625" style="314" bestFit="1" customWidth="1"/>
    <col min="4613" max="4613" width="10.7109375" style="314" bestFit="1" customWidth="1"/>
    <col min="4614" max="4614" width="11.42578125" style="314" bestFit="1" customWidth="1"/>
    <col min="4615" max="4615" width="12.7109375" style="314" bestFit="1" customWidth="1"/>
    <col min="4616" max="4616" width="12.42578125" style="314" bestFit="1" customWidth="1"/>
    <col min="4617" max="4617" width="10.7109375" style="314" bestFit="1" customWidth="1"/>
    <col min="4618" max="4618" width="19.140625" style="314" bestFit="1" customWidth="1"/>
    <col min="4619" max="4619" width="17.5703125" style="314" bestFit="1" customWidth="1"/>
    <col min="4620" max="4620" width="15" style="314" customWidth="1"/>
    <col min="4621" max="4621" width="16.42578125" style="314" bestFit="1" customWidth="1"/>
    <col min="4622" max="4622" width="18" style="314" customWidth="1"/>
    <col min="4623" max="4865" width="9.140625" style="314"/>
    <col min="4866" max="4866" width="36.85546875" style="314" customWidth="1"/>
    <col min="4867" max="4867" width="9.140625" style="314"/>
    <col min="4868" max="4868" width="10.140625" style="314" bestFit="1" customWidth="1"/>
    <col min="4869" max="4869" width="10.7109375" style="314" bestFit="1" customWidth="1"/>
    <col min="4870" max="4870" width="11.42578125" style="314" bestFit="1" customWidth="1"/>
    <col min="4871" max="4871" width="12.7109375" style="314" bestFit="1" customWidth="1"/>
    <col min="4872" max="4872" width="12.42578125" style="314" bestFit="1" customWidth="1"/>
    <col min="4873" max="4873" width="10.7109375" style="314" bestFit="1" customWidth="1"/>
    <col min="4874" max="4874" width="19.140625" style="314" bestFit="1" customWidth="1"/>
    <col min="4875" max="4875" width="17.5703125" style="314" bestFit="1" customWidth="1"/>
    <col min="4876" max="4876" width="15" style="314" customWidth="1"/>
    <col min="4877" max="4877" width="16.42578125" style="314" bestFit="1" customWidth="1"/>
    <col min="4878" max="4878" width="18" style="314" customWidth="1"/>
    <col min="4879" max="5121" width="9.140625" style="314"/>
    <col min="5122" max="5122" width="36.85546875" style="314" customWidth="1"/>
    <col min="5123" max="5123" width="9.140625" style="314"/>
    <col min="5124" max="5124" width="10.140625" style="314" bestFit="1" customWidth="1"/>
    <col min="5125" max="5125" width="10.7109375" style="314" bestFit="1" customWidth="1"/>
    <col min="5126" max="5126" width="11.42578125" style="314" bestFit="1" customWidth="1"/>
    <col min="5127" max="5127" width="12.7109375" style="314" bestFit="1" customWidth="1"/>
    <col min="5128" max="5128" width="12.42578125" style="314" bestFit="1" customWidth="1"/>
    <col min="5129" max="5129" width="10.7109375" style="314" bestFit="1" customWidth="1"/>
    <col min="5130" max="5130" width="19.140625" style="314" bestFit="1" customWidth="1"/>
    <col min="5131" max="5131" width="17.5703125" style="314" bestFit="1" customWidth="1"/>
    <col min="5132" max="5132" width="15" style="314" customWidth="1"/>
    <col min="5133" max="5133" width="16.42578125" style="314" bestFit="1" customWidth="1"/>
    <col min="5134" max="5134" width="18" style="314" customWidth="1"/>
    <col min="5135" max="5377" width="9.140625" style="314"/>
    <col min="5378" max="5378" width="36.85546875" style="314" customWidth="1"/>
    <col min="5379" max="5379" width="9.140625" style="314"/>
    <col min="5380" max="5380" width="10.140625" style="314" bestFit="1" customWidth="1"/>
    <col min="5381" max="5381" width="10.7109375" style="314" bestFit="1" customWidth="1"/>
    <col min="5382" max="5382" width="11.42578125" style="314" bestFit="1" customWidth="1"/>
    <col min="5383" max="5383" width="12.7109375" style="314" bestFit="1" customWidth="1"/>
    <col min="5384" max="5384" width="12.42578125" style="314" bestFit="1" customWidth="1"/>
    <col min="5385" max="5385" width="10.7109375" style="314" bestFit="1" customWidth="1"/>
    <col min="5386" max="5386" width="19.140625" style="314" bestFit="1" customWidth="1"/>
    <col min="5387" max="5387" width="17.5703125" style="314" bestFit="1" customWidth="1"/>
    <col min="5388" max="5388" width="15" style="314" customWidth="1"/>
    <col min="5389" max="5389" width="16.42578125" style="314" bestFit="1" customWidth="1"/>
    <col min="5390" max="5390" width="18" style="314" customWidth="1"/>
    <col min="5391" max="5633" width="9.140625" style="314"/>
    <col min="5634" max="5634" width="36.85546875" style="314" customWidth="1"/>
    <col min="5635" max="5635" width="9.140625" style="314"/>
    <col min="5636" max="5636" width="10.140625" style="314" bestFit="1" customWidth="1"/>
    <col min="5637" max="5637" width="10.7109375" style="314" bestFit="1" customWidth="1"/>
    <col min="5638" max="5638" width="11.42578125" style="314" bestFit="1" customWidth="1"/>
    <col min="5639" max="5639" width="12.7109375" style="314" bestFit="1" customWidth="1"/>
    <col min="5640" max="5640" width="12.42578125" style="314" bestFit="1" customWidth="1"/>
    <col min="5641" max="5641" width="10.7109375" style="314" bestFit="1" customWidth="1"/>
    <col min="5642" max="5642" width="19.140625" style="314" bestFit="1" customWidth="1"/>
    <col min="5643" max="5643" width="17.5703125" style="314" bestFit="1" customWidth="1"/>
    <col min="5644" max="5644" width="15" style="314" customWidth="1"/>
    <col min="5645" max="5645" width="16.42578125" style="314" bestFit="1" customWidth="1"/>
    <col min="5646" max="5646" width="18" style="314" customWidth="1"/>
    <col min="5647" max="5889" width="9.140625" style="314"/>
    <col min="5890" max="5890" width="36.85546875" style="314" customWidth="1"/>
    <col min="5891" max="5891" width="9.140625" style="314"/>
    <col min="5892" max="5892" width="10.140625" style="314" bestFit="1" customWidth="1"/>
    <col min="5893" max="5893" width="10.7109375" style="314" bestFit="1" customWidth="1"/>
    <col min="5894" max="5894" width="11.42578125" style="314" bestFit="1" customWidth="1"/>
    <col min="5895" max="5895" width="12.7109375" style="314" bestFit="1" customWidth="1"/>
    <col min="5896" max="5896" width="12.42578125" style="314" bestFit="1" customWidth="1"/>
    <col min="5897" max="5897" width="10.7109375" style="314" bestFit="1" customWidth="1"/>
    <col min="5898" max="5898" width="19.140625" style="314" bestFit="1" customWidth="1"/>
    <col min="5899" max="5899" width="17.5703125" style="314" bestFit="1" customWidth="1"/>
    <col min="5900" max="5900" width="15" style="314" customWidth="1"/>
    <col min="5901" max="5901" width="16.42578125" style="314" bestFit="1" customWidth="1"/>
    <col min="5902" max="5902" width="18" style="314" customWidth="1"/>
    <col min="5903" max="6145" width="9.140625" style="314"/>
    <col min="6146" max="6146" width="36.85546875" style="314" customWidth="1"/>
    <col min="6147" max="6147" width="9.140625" style="314"/>
    <col min="6148" max="6148" width="10.140625" style="314" bestFit="1" customWidth="1"/>
    <col min="6149" max="6149" width="10.7109375" style="314" bestFit="1" customWidth="1"/>
    <col min="6150" max="6150" width="11.42578125" style="314" bestFit="1" customWidth="1"/>
    <col min="6151" max="6151" width="12.7109375" style="314" bestFit="1" customWidth="1"/>
    <col min="6152" max="6152" width="12.42578125" style="314" bestFit="1" customWidth="1"/>
    <col min="6153" max="6153" width="10.7109375" style="314" bestFit="1" customWidth="1"/>
    <col min="6154" max="6154" width="19.140625" style="314" bestFit="1" customWidth="1"/>
    <col min="6155" max="6155" width="17.5703125" style="314" bestFit="1" customWidth="1"/>
    <col min="6156" max="6156" width="15" style="314" customWidth="1"/>
    <col min="6157" max="6157" width="16.42578125" style="314" bestFit="1" customWidth="1"/>
    <col min="6158" max="6158" width="18" style="314" customWidth="1"/>
    <col min="6159" max="6401" width="9.140625" style="314"/>
    <col min="6402" max="6402" width="36.85546875" style="314" customWidth="1"/>
    <col min="6403" max="6403" width="9.140625" style="314"/>
    <col min="6404" max="6404" width="10.140625" style="314" bestFit="1" customWidth="1"/>
    <col min="6405" max="6405" width="10.7109375" style="314" bestFit="1" customWidth="1"/>
    <col min="6406" max="6406" width="11.42578125" style="314" bestFit="1" customWidth="1"/>
    <col min="6407" max="6407" width="12.7109375" style="314" bestFit="1" customWidth="1"/>
    <col min="6408" max="6408" width="12.42578125" style="314" bestFit="1" customWidth="1"/>
    <col min="6409" max="6409" width="10.7109375" style="314" bestFit="1" customWidth="1"/>
    <col min="6410" max="6410" width="19.140625" style="314" bestFit="1" customWidth="1"/>
    <col min="6411" max="6411" width="17.5703125" style="314" bestFit="1" customWidth="1"/>
    <col min="6412" max="6412" width="15" style="314" customWidth="1"/>
    <col min="6413" max="6413" width="16.42578125" style="314" bestFit="1" customWidth="1"/>
    <col min="6414" max="6414" width="18" style="314" customWidth="1"/>
    <col min="6415" max="6657" width="9.140625" style="314"/>
    <col min="6658" max="6658" width="36.85546875" style="314" customWidth="1"/>
    <col min="6659" max="6659" width="9.140625" style="314"/>
    <col min="6660" max="6660" width="10.140625" style="314" bestFit="1" customWidth="1"/>
    <col min="6661" max="6661" width="10.7109375" style="314" bestFit="1" customWidth="1"/>
    <col min="6662" max="6662" width="11.42578125" style="314" bestFit="1" customWidth="1"/>
    <col min="6663" max="6663" width="12.7109375" style="314" bestFit="1" customWidth="1"/>
    <col min="6664" max="6664" width="12.42578125" style="314" bestFit="1" customWidth="1"/>
    <col min="6665" max="6665" width="10.7109375" style="314" bestFit="1" customWidth="1"/>
    <col min="6666" max="6666" width="19.140625" style="314" bestFit="1" customWidth="1"/>
    <col min="6667" max="6667" width="17.5703125" style="314" bestFit="1" customWidth="1"/>
    <col min="6668" max="6668" width="15" style="314" customWidth="1"/>
    <col min="6669" max="6669" width="16.42578125" style="314" bestFit="1" customWidth="1"/>
    <col min="6670" max="6670" width="18" style="314" customWidth="1"/>
    <col min="6671" max="6913" width="9.140625" style="314"/>
    <col min="6914" max="6914" width="36.85546875" style="314" customWidth="1"/>
    <col min="6915" max="6915" width="9.140625" style="314"/>
    <col min="6916" max="6916" width="10.140625" style="314" bestFit="1" customWidth="1"/>
    <col min="6917" max="6917" width="10.7109375" style="314" bestFit="1" customWidth="1"/>
    <col min="6918" max="6918" width="11.42578125" style="314" bestFit="1" customWidth="1"/>
    <col min="6919" max="6919" width="12.7109375" style="314" bestFit="1" customWidth="1"/>
    <col min="6920" max="6920" width="12.42578125" style="314" bestFit="1" customWidth="1"/>
    <col min="6921" max="6921" width="10.7109375" style="314" bestFit="1" customWidth="1"/>
    <col min="6922" max="6922" width="19.140625" style="314" bestFit="1" customWidth="1"/>
    <col min="6923" max="6923" width="17.5703125" style="314" bestFit="1" customWidth="1"/>
    <col min="6924" max="6924" width="15" style="314" customWidth="1"/>
    <col min="6925" max="6925" width="16.42578125" style="314" bestFit="1" customWidth="1"/>
    <col min="6926" max="6926" width="18" style="314" customWidth="1"/>
    <col min="6927" max="7169" width="9.140625" style="314"/>
    <col min="7170" max="7170" width="36.85546875" style="314" customWidth="1"/>
    <col min="7171" max="7171" width="9.140625" style="314"/>
    <col min="7172" max="7172" width="10.140625" style="314" bestFit="1" customWidth="1"/>
    <col min="7173" max="7173" width="10.7109375" style="314" bestFit="1" customWidth="1"/>
    <col min="7174" max="7174" width="11.42578125" style="314" bestFit="1" customWidth="1"/>
    <col min="7175" max="7175" width="12.7109375" style="314" bestFit="1" customWidth="1"/>
    <col min="7176" max="7176" width="12.42578125" style="314" bestFit="1" customWidth="1"/>
    <col min="7177" max="7177" width="10.7109375" style="314" bestFit="1" customWidth="1"/>
    <col min="7178" max="7178" width="19.140625" style="314" bestFit="1" customWidth="1"/>
    <col min="7179" max="7179" width="17.5703125" style="314" bestFit="1" customWidth="1"/>
    <col min="7180" max="7180" width="15" style="314" customWidth="1"/>
    <col min="7181" max="7181" width="16.42578125" style="314" bestFit="1" customWidth="1"/>
    <col min="7182" max="7182" width="18" style="314" customWidth="1"/>
    <col min="7183" max="7425" width="9.140625" style="314"/>
    <col min="7426" max="7426" width="36.85546875" style="314" customWidth="1"/>
    <col min="7427" max="7427" width="9.140625" style="314"/>
    <col min="7428" max="7428" width="10.140625" style="314" bestFit="1" customWidth="1"/>
    <col min="7429" max="7429" width="10.7109375" style="314" bestFit="1" customWidth="1"/>
    <col min="7430" max="7430" width="11.42578125" style="314" bestFit="1" customWidth="1"/>
    <col min="7431" max="7431" width="12.7109375" style="314" bestFit="1" customWidth="1"/>
    <col min="7432" max="7432" width="12.42578125" style="314" bestFit="1" customWidth="1"/>
    <col min="7433" max="7433" width="10.7109375" style="314" bestFit="1" customWidth="1"/>
    <col min="7434" max="7434" width="19.140625" style="314" bestFit="1" customWidth="1"/>
    <col min="7435" max="7435" width="17.5703125" style="314" bestFit="1" customWidth="1"/>
    <col min="7436" max="7436" width="15" style="314" customWidth="1"/>
    <col min="7437" max="7437" width="16.42578125" style="314" bestFit="1" customWidth="1"/>
    <col min="7438" max="7438" width="18" style="314" customWidth="1"/>
    <col min="7439" max="7681" width="9.140625" style="314"/>
    <col min="7682" max="7682" width="36.85546875" style="314" customWidth="1"/>
    <col min="7683" max="7683" width="9.140625" style="314"/>
    <col min="7684" max="7684" width="10.140625" style="314" bestFit="1" customWidth="1"/>
    <col min="7685" max="7685" width="10.7109375" style="314" bestFit="1" customWidth="1"/>
    <col min="7686" max="7686" width="11.42578125" style="314" bestFit="1" customWidth="1"/>
    <col min="7687" max="7687" width="12.7109375" style="314" bestFit="1" customWidth="1"/>
    <col min="7688" max="7688" width="12.42578125" style="314" bestFit="1" customWidth="1"/>
    <col min="7689" max="7689" width="10.7109375" style="314" bestFit="1" customWidth="1"/>
    <col min="7690" max="7690" width="19.140625" style="314" bestFit="1" customWidth="1"/>
    <col min="7691" max="7691" width="17.5703125" style="314" bestFit="1" customWidth="1"/>
    <col min="7692" max="7692" width="15" style="314" customWidth="1"/>
    <col min="7693" max="7693" width="16.42578125" style="314" bestFit="1" customWidth="1"/>
    <col min="7694" max="7694" width="18" style="314" customWidth="1"/>
    <col min="7695" max="7937" width="9.140625" style="314"/>
    <col min="7938" max="7938" width="36.85546875" style="314" customWidth="1"/>
    <col min="7939" max="7939" width="9.140625" style="314"/>
    <col min="7940" max="7940" width="10.140625" style="314" bestFit="1" customWidth="1"/>
    <col min="7941" max="7941" width="10.7109375" style="314" bestFit="1" customWidth="1"/>
    <col min="7942" max="7942" width="11.42578125" style="314" bestFit="1" customWidth="1"/>
    <col min="7943" max="7943" width="12.7109375" style="314" bestFit="1" customWidth="1"/>
    <col min="7944" max="7944" width="12.42578125" style="314" bestFit="1" customWidth="1"/>
    <col min="7945" max="7945" width="10.7109375" style="314" bestFit="1" customWidth="1"/>
    <col min="7946" max="7946" width="19.140625" style="314" bestFit="1" customWidth="1"/>
    <col min="7947" max="7947" width="17.5703125" style="314" bestFit="1" customWidth="1"/>
    <col min="7948" max="7948" width="15" style="314" customWidth="1"/>
    <col min="7949" max="7949" width="16.42578125" style="314" bestFit="1" customWidth="1"/>
    <col min="7950" max="7950" width="18" style="314" customWidth="1"/>
    <col min="7951" max="8193" width="9.140625" style="314"/>
    <col min="8194" max="8194" width="36.85546875" style="314" customWidth="1"/>
    <col min="8195" max="8195" width="9.140625" style="314"/>
    <col min="8196" max="8196" width="10.140625" style="314" bestFit="1" customWidth="1"/>
    <col min="8197" max="8197" width="10.7109375" style="314" bestFit="1" customWidth="1"/>
    <col min="8198" max="8198" width="11.42578125" style="314" bestFit="1" customWidth="1"/>
    <col min="8199" max="8199" width="12.7109375" style="314" bestFit="1" customWidth="1"/>
    <col min="8200" max="8200" width="12.42578125" style="314" bestFit="1" customWidth="1"/>
    <col min="8201" max="8201" width="10.7109375" style="314" bestFit="1" customWidth="1"/>
    <col min="8202" max="8202" width="19.140625" style="314" bestFit="1" customWidth="1"/>
    <col min="8203" max="8203" width="17.5703125" style="314" bestFit="1" customWidth="1"/>
    <col min="8204" max="8204" width="15" style="314" customWidth="1"/>
    <col min="8205" max="8205" width="16.42578125" style="314" bestFit="1" customWidth="1"/>
    <col min="8206" max="8206" width="18" style="314" customWidth="1"/>
    <col min="8207" max="8449" width="9.140625" style="314"/>
    <col min="8450" max="8450" width="36.85546875" style="314" customWidth="1"/>
    <col min="8451" max="8451" width="9.140625" style="314"/>
    <col min="8452" max="8452" width="10.140625" style="314" bestFit="1" customWidth="1"/>
    <col min="8453" max="8453" width="10.7109375" style="314" bestFit="1" customWidth="1"/>
    <col min="8454" max="8454" width="11.42578125" style="314" bestFit="1" customWidth="1"/>
    <col min="8455" max="8455" width="12.7109375" style="314" bestFit="1" customWidth="1"/>
    <col min="8456" max="8456" width="12.42578125" style="314" bestFit="1" customWidth="1"/>
    <col min="8457" max="8457" width="10.7109375" style="314" bestFit="1" customWidth="1"/>
    <col min="8458" max="8458" width="19.140625" style="314" bestFit="1" customWidth="1"/>
    <col min="8459" max="8459" width="17.5703125" style="314" bestFit="1" customWidth="1"/>
    <col min="8460" max="8460" width="15" style="314" customWidth="1"/>
    <col min="8461" max="8461" width="16.42578125" style="314" bestFit="1" customWidth="1"/>
    <col min="8462" max="8462" width="18" style="314" customWidth="1"/>
    <col min="8463" max="8705" width="9.140625" style="314"/>
    <col min="8706" max="8706" width="36.85546875" style="314" customWidth="1"/>
    <col min="8707" max="8707" width="9.140625" style="314"/>
    <col min="8708" max="8708" width="10.140625" style="314" bestFit="1" customWidth="1"/>
    <col min="8709" max="8709" width="10.7109375" style="314" bestFit="1" customWidth="1"/>
    <col min="8710" max="8710" width="11.42578125" style="314" bestFit="1" customWidth="1"/>
    <col min="8711" max="8711" width="12.7109375" style="314" bestFit="1" customWidth="1"/>
    <col min="8712" max="8712" width="12.42578125" style="314" bestFit="1" customWidth="1"/>
    <col min="8713" max="8713" width="10.7109375" style="314" bestFit="1" customWidth="1"/>
    <col min="8714" max="8714" width="19.140625" style="314" bestFit="1" customWidth="1"/>
    <col min="8715" max="8715" width="17.5703125" style="314" bestFit="1" customWidth="1"/>
    <col min="8716" max="8716" width="15" style="314" customWidth="1"/>
    <col min="8717" max="8717" width="16.42578125" style="314" bestFit="1" customWidth="1"/>
    <col min="8718" max="8718" width="18" style="314" customWidth="1"/>
    <col min="8719" max="8961" width="9.140625" style="314"/>
    <col min="8962" max="8962" width="36.85546875" style="314" customWidth="1"/>
    <col min="8963" max="8963" width="9.140625" style="314"/>
    <col min="8964" max="8964" width="10.140625" style="314" bestFit="1" customWidth="1"/>
    <col min="8965" max="8965" width="10.7109375" style="314" bestFit="1" customWidth="1"/>
    <col min="8966" max="8966" width="11.42578125" style="314" bestFit="1" customWidth="1"/>
    <col min="8967" max="8967" width="12.7109375" style="314" bestFit="1" customWidth="1"/>
    <col min="8968" max="8968" width="12.42578125" style="314" bestFit="1" customWidth="1"/>
    <col min="8969" max="8969" width="10.7109375" style="314" bestFit="1" customWidth="1"/>
    <col min="8970" max="8970" width="19.140625" style="314" bestFit="1" customWidth="1"/>
    <col min="8971" max="8971" width="17.5703125" style="314" bestFit="1" customWidth="1"/>
    <col min="8972" max="8972" width="15" style="314" customWidth="1"/>
    <col min="8973" max="8973" width="16.42578125" style="314" bestFit="1" customWidth="1"/>
    <col min="8974" max="8974" width="18" style="314" customWidth="1"/>
    <col min="8975" max="9217" width="9.140625" style="314"/>
    <col min="9218" max="9218" width="36.85546875" style="314" customWidth="1"/>
    <col min="9219" max="9219" width="9.140625" style="314"/>
    <col min="9220" max="9220" width="10.140625" style="314" bestFit="1" customWidth="1"/>
    <col min="9221" max="9221" width="10.7109375" style="314" bestFit="1" customWidth="1"/>
    <col min="9222" max="9222" width="11.42578125" style="314" bestFit="1" customWidth="1"/>
    <col min="9223" max="9223" width="12.7109375" style="314" bestFit="1" customWidth="1"/>
    <col min="9224" max="9224" width="12.42578125" style="314" bestFit="1" customWidth="1"/>
    <col min="9225" max="9225" width="10.7109375" style="314" bestFit="1" customWidth="1"/>
    <col min="9226" max="9226" width="19.140625" style="314" bestFit="1" customWidth="1"/>
    <col min="9227" max="9227" width="17.5703125" style="314" bestFit="1" customWidth="1"/>
    <col min="9228" max="9228" width="15" style="314" customWidth="1"/>
    <col min="9229" max="9229" width="16.42578125" style="314" bestFit="1" customWidth="1"/>
    <col min="9230" max="9230" width="18" style="314" customWidth="1"/>
    <col min="9231" max="9473" width="9.140625" style="314"/>
    <col min="9474" max="9474" width="36.85546875" style="314" customWidth="1"/>
    <col min="9475" max="9475" width="9.140625" style="314"/>
    <col min="9476" max="9476" width="10.140625" style="314" bestFit="1" customWidth="1"/>
    <col min="9477" max="9477" width="10.7109375" style="314" bestFit="1" customWidth="1"/>
    <col min="9478" max="9478" width="11.42578125" style="314" bestFit="1" customWidth="1"/>
    <col min="9479" max="9479" width="12.7109375" style="314" bestFit="1" customWidth="1"/>
    <col min="9480" max="9480" width="12.42578125" style="314" bestFit="1" customWidth="1"/>
    <col min="9481" max="9481" width="10.7109375" style="314" bestFit="1" customWidth="1"/>
    <col min="9482" max="9482" width="19.140625" style="314" bestFit="1" customWidth="1"/>
    <col min="9483" max="9483" width="17.5703125" style="314" bestFit="1" customWidth="1"/>
    <col min="9484" max="9484" width="15" style="314" customWidth="1"/>
    <col min="9485" max="9485" width="16.42578125" style="314" bestFit="1" customWidth="1"/>
    <col min="9486" max="9486" width="18" style="314" customWidth="1"/>
    <col min="9487" max="9729" width="9.140625" style="314"/>
    <col min="9730" max="9730" width="36.85546875" style="314" customWidth="1"/>
    <col min="9731" max="9731" width="9.140625" style="314"/>
    <col min="9732" max="9732" width="10.140625" style="314" bestFit="1" customWidth="1"/>
    <col min="9733" max="9733" width="10.7109375" style="314" bestFit="1" customWidth="1"/>
    <col min="9734" max="9734" width="11.42578125" style="314" bestFit="1" customWidth="1"/>
    <col min="9735" max="9735" width="12.7109375" style="314" bestFit="1" customWidth="1"/>
    <col min="9736" max="9736" width="12.42578125" style="314" bestFit="1" customWidth="1"/>
    <col min="9737" max="9737" width="10.7109375" style="314" bestFit="1" customWidth="1"/>
    <col min="9738" max="9738" width="19.140625" style="314" bestFit="1" customWidth="1"/>
    <col min="9739" max="9739" width="17.5703125" style="314" bestFit="1" customWidth="1"/>
    <col min="9740" max="9740" width="15" style="314" customWidth="1"/>
    <col min="9741" max="9741" width="16.42578125" style="314" bestFit="1" customWidth="1"/>
    <col min="9742" max="9742" width="18" style="314" customWidth="1"/>
    <col min="9743" max="9985" width="9.140625" style="314"/>
    <col min="9986" max="9986" width="36.85546875" style="314" customWidth="1"/>
    <col min="9987" max="9987" width="9.140625" style="314"/>
    <col min="9988" max="9988" width="10.140625" style="314" bestFit="1" customWidth="1"/>
    <col min="9989" max="9989" width="10.7109375" style="314" bestFit="1" customWidth="1"/>
    <col min="9990" max="9990" width="11.42578125" style="314" bestFit="1" customWidth="1"/>
    <col min="9991" max="9991" width="12.7109375" style="314" bestFit="1" customWidth="1"/>
    <col min="9992" max="9992" width="12.42578125" style="314" bestFit="1" customWidth="1"/>
    <col min="9993" max="9993" width="10.7109375" style="314" bestFit="1" customWidth="1"/>
    <col min="9994" max="9994" width="19.140625" style="314" bestFit="1" customWidth="1"/>
    <col min="9995" max="9995" width="17.5703125" style="314" bestFit="1" customWidth="1"/>
    <col min="9996" max="9996" width="15" style="314" customWidth="1"/>
    <col min="9997" max="9997" width="16.42578125" style="314" bestFit="1" customWidth="1"/>
    <col min="9998" max="9998" width="18" style="314" customWidth="1"/>
    <col min="9999" max="10241" width="9.140625" style="314"/>
    <col min="10242" max="10242" width="36.85546875" style="314" customWidth="1"/>
    <col min="10243" max="10243" width="9.140625" style="314"/>
    <col min="10244" max="10244" width="10.140625" style="314" bestFit="1" customWidth="1"/>
    <col min="10245" max="10245" width="10.7109375" style="314" bestFit="1" customWidth="1"/>
    <col min="10246" max="10246" width="11.42578125" style="314" bestFit="1" customWidth="1"/>
    <col min="10247" max="10247" width="12.7109375" style="314" bestFit="1" customWidth="1"/>
    <col min="10248" max="10248" width="12.42578125" style="314" bestFit="1" customWidth="1"/>
    <col min="10249" max="10249" width="10.7109375" style="314" bestFit="1" customWidth="1"/>
    <col min="10250" max="10250" width="19.140625" style="314" bestFit="1" customWidth="1"/>
    <col min="10251" max="10251" width="17.5703125" style="314" bestFit="1" customWidth="1"/>
    <col min="10252" max="10252" width="15" style="314" customWidth="1"/>
    <col min="10253" max="10253" width="16.42578125" style="314" bestFit="1" customWidth="1"/>
    <col min="10254" max="10254" width="18" style="314" customWidth="1"/>
    <col min="10255" max="10497" width="9.140625" style="314"/>
    <col min="10498" max="10498" width="36.85546875" style="314" customWidth="1"/>
    <col min="10499" max="10499" width="9.140625" style="314"/>
    <col min="10500" max="10500" width="10.140625" style="314" bestFit="1" customWidth="1"/>
    <col min="10501" max="10501" width="10.7109375" style="314" bestFit="1" customWidth="1"/>
    <col min="10502" max="10502" width="11.42578125" style="314" bestFit="1" customWidth="1"/>
    <col min="10503" max="10503" width="12.7109375" style="314" bestFit="1" customWidth="1"/>
    <col min="10504" max="10504" width="12.42578125" style="314" bestFit="1" customWidth="1"/>
    <col min="10505" max="10505" width="10.7109375" style="314" bestFit="1" customWidth="1"/>
    <col min="10506" max="10506" width="19.140625" style="314" bestFit="1" customWidth="1"/>
    <col min="10507" max="10507" width="17.5703125" style="314" bestFit="1" customWidth="1"/>
    <col min="10508" max="10508" width="15" style="314" customWidth="1"/>
    <col min="10509" max="10509" width="16.42578125" style="314" bestFit="1" customWidth="1"/>
    <col min="10510" max="10510" width="18" style="314" customWidth="1"/>
    <col min="10511" max="10753" width="9.140625" style="314"/>
    <col min="10754" max="10754" width="36.85546875" style="314" customWidth="1"/>
    <col min="10755" max="10755" width="9.140625" style="314"/>
    <col min="10756" max="10756" width="10.140625" style="314" bestFit="1" customWidth="1"/>
    <col min="10757" max="10757" width="10.7109375" style="314" bestFit="1" customWidth="1"/>
    <col min="10758" max="10758" width="11.42578125" style="314" bestFit="1" customWidth="1"/>
    <col min="10759" max="10759" width="12.7109375" style="314" bestFit="1" customWidth="1"/>
    <col min="10760" max="10760" width="12.42578125" style="314" bestFit="1" customWidth="1"/>
    <col min="10761" max="10761" width="10.7109375" style="314" bestFit="1" customWidth="1"/>
    <col min="10762" max="10762" width="19.140625" style="314" bestFit="1" customWidth="1"/>
    <col min="10763" max="10763" width="17.5703125" style="314" bestFit="1" customWidth="1"/>
    <col min="10764" max="10764" width="15" style="314" customWidth="1"/>
    <col min="10765" max="10765" width="16.42578125" style="314" bestFit="1" customWidth="1"/>
    <col min="10766" max="10766" width="18" style="314" customWidth="1"/>
    <col min="10767" max="11009" width="9.140625" style="314"/>
    <col min="11010" max="11010" width="36.85546875" style="314" customWidth="1"/>
    <col min="11011" max="11011" width="9.140625" style="314"/>
    <col min="11012" max="11012" width="10.140625" style="314" bestFit="1" customWidth="1"/>
    <col min="11013" max="11013" width="10.7109375" style="314" bestFit="1" customWidth="1"/>
    <col min="11014" max="11014" width="11.42578125" style="314" bestFit="1" customWidth="1"/>
    <col min="11015" max="11015" width="12.7109375" style="314" bestFit="1" customWidth="1"/>
    <col min="11016" max="11016" width="12.42578125" style="314" bestFit="1" customWidth="1"/>
    <col min="11017" max="11017" width="10.7109375" style="314" bestFit="1" customWidth="1"/>
    <col min="11018" max="11018" width="19.140625" style="314" bestFit="1" customWidth="1"/>
    <col min="11019" max="11019" width="17.5703125" style="314" bestFit="1" customWidth="1"/>
    <col min="11020" max="11020" width="15" style="314" customWidth="1"/>
    <col min="11021" max="11021" width="16.42578125" style="314" bestFit="1" customWidth="1"/>
    <col min="11022" max="11022" width="18" style="314" customWidth="1"/>
    <col min="11023" max="11265" width="9.140625" style="314"/>
    <col min="11266" max="11266" width="36.85546875" style="314" customWidth="1"/>
    <col min="11267" max="11267" width="9.140625" style="314"/>
    <col min="11268" max="11268" width="10.140625" style="314" bestFit="1" customWidth="1"/>
    <col min="11269" max="11269" width="10.7109375" style="314" bestFit="1" customWidth="1"/>
    <col min="11270" max="11270" width="11.42578125" style="314" bestFit="1" customWidth="1"/>
    <col min="11271" max="11271" width="12.7109375" style="314" bestFit="1" customWidth="1"/>
    <col min="11272" max="11272" width="12.42578125" style="314" bestFit="1" customWidth="1"/>
    <col min="11273" max="11273" width="10.7109375" style="314" bestFit="1" customWidth="1"/>
    <col min="11274" max="11274" width="19.140625" style="314" bestFit="1" customWidth="1"/>
    <col min="11275" max="11275" width="17.5703125" style="314" bestFit="1" customWidth="1"/>
    <col min="11276" max="11276" width="15" style="314" customWidth="1"/>
    <col min="11277" max="11277" width="16.42578125" style="314" bestFit="1" customWidth="1"/>
    <col min="11278" max="11278" width="18" style="314" customWidth="1"/>
    <col min="11279" max="11521" width="9.140625" style="314"/>
    <col min="11522" max="11522" width="36.85546875" style="314" customWidth="1"/>
    <col min="11523" max="11523" width="9.140625" style="314"/>
    <col min="11524" max="11524" width="10.140625" style="314" bestFit="1" customWidth="1"/>
    <col min="11525" max="11525" width="10.7109375" style="314" bestFit="1" customWidth="1"/>
    <col min="11526" max="11526" width="11.42578125" style="314" bestFit="1" customWidth="1"/>
    <col min="11527" max="11527" width="12.7109375" style="314" bestFit="1" customWidth="1"/>
    <col min="11528" max="11528" width="12.42578125" style="314" bestFit="1" customWidth="1"/>
    <col min="11529" max="11529" width="10.7109375" style="314" bestFit="1" customWidth="1"/>
    <col min="11530" max="11530" width="19.140625" style="314" bestFit="1" customWidth="1"/>
    <col min="11531" max="11531" width="17.5703125" style="314" bestFit="1" customWidth="1"/>
    <col min="11532" max="11532" width="15" style="314" customWidth="1"/>
    <col min="11533" max="11533" width="16.42578125" style="314" bestFit="1" customWidth="1"/>
    <col min="11534" max="11534" width="18" style="314" customWidth="1"/>
    <col min="11535" max="11777" width="9.140625" style="314"/>
    <col min="11778" max="11778" width="36.85546875" style="314" customWidth="1"/>
    <col min="11779" max="11779" width="9.140625" style="314"/>
    <col min="11780" max="11780" width="10.140625" style="314" bestFit="1" customWidth="1"/>
    <col min="11781" max="11781" width="10.7109375" style="314" bestFit="1" customWidth="1"/>
    <col min="11782" max="11782" width="11.42578125" style="314" bestFit="1" customWidth="1"/>
    <col min="11783" max="11783" width="12.7109375" style="314" bestFit="1" customWidth="1"/>
    <col min="11784" max="11784" width="12.42578125" style="314" bestFit="1" customWidth="1"/>
    <col min="11785" max="11785" width="10.7109375" style="314" bestFit="1" customWidth="1"/>
    <col min="11786" max="11786" width="19.140625" style="314" bestFit="1" customWidth="1"/>
    <col min="11787" max="11787" width="17.5703125" style="314" bestFit="1" customWidth="1"/>
    <col min="11788" max="11788" width="15" style="314" customWidth="1"/>
    <col min="11789" max="11789" width="16.42578125" style="314" bestFit="1" customWidth="1"/>
    <col min="11790" max="11790" width="18" style="314" customWidth="1"/>
    <col min="11791" max="12033" width="9.140625" style="314"/>
    <col min="12034" max="12034" width="36.85546875" style="314" customWidth="1"/>
    <col min="12035" max="12035" width="9.140625" style="314"/>
    <col min="12036" max="12036" width="10.140625" style="314" bestFit="1" customWidth="1"/>
    <col min="12037" max="12037" width="10.7109375" style="314" bestFit="1" customWidth="1"/>
    <col min="12038" max="12038" width="11.42578125" style="314" bestFit="1" customWidth="1"/>
    <col min="12039" max="12039" width="12.7109375" style="314" bestFit="1" customWidth="1"/>
    <col min="12040" max="12040" width="12.42578125" style="314" bestFit="1" customWidth="1"/>
    <col min="12041" max="12041" width="10.7109375" style="314" bestFit="1" customWidth="1"/>
    <col min="12042" max="12042" width="19.140625" style="314" bestFit="1" customWidth="1"/>
    <col min="12043" max="12043" width="17.5703125" style="314" bestFit="1" customWidth="1"/>
    <col min="12044" max="12044" width="15" style="314" customWidth="1"/>
    <col min="12045" max="12045" width="16.42578125" style="314" bestFit="1" customWidth="1"/>
    <col min="12046" max="12046" width="18" style="314" customWidth="1"/>
    <col min="12047" max="12289" width="9.140625" style="314"/>
    <col min="12290" max="12290" width="36.85546875" style="314" customWidth="1"/>
    <col min="12291" max="12291" width="9.140625" style="314"/>
    <col min="12292" max="12292" width="10.140625" style="314" bestFit="1" customWidth="1"/>
    <col min="12293" max="12293" width="10.7109375" style="314" bestFit="1" customWidth="1"/>
    <col min="12294" max="12294" width="11.42578125" style="314" bestFit="1" customWidth="1"/>
    <col min="12295" max="12295" width="12.7109375" style="314" bestFit="1" customWidth="1"/>
    <col min="12296" max="12296" width="12.42578125" style="314" bestFit="1" customWidth="1"/>
    <col min="12297" max="12297" width="10.7109375" style="314" bestFit="1" customWidth="1"/>
    <col min="12298" max="12298" width="19.140625" style="314" bestFit="1" customWidth="1"/>
    <col min="12299" max="12299" width="17.5703125" style="314" bestFit="1" customWidth="1"/>
    <col min="12300" max="12300" width="15" style="314" customWidth="1"/>
    <col min="12301" max="12301" width="16.42578125" style="314" bestFit="1" customWidth="1"/>
    <col min="12302" max="12302" width="18" style="314" customWidth="1"/>
    <col min="12303" max="12545" width="9.140625" style="314"/>
    <col min="12546" max="12546" width="36.85546875" style="314" customWidth="1"/>
    <col min="12547" max="12547" width="9.140625" style="314"/>
    <col min="12548" max="12548" width="10.140625" style="314" bestFit="1" customWidth="1"/>
    <col min="12549" max="12549" width="10.7109375" style="314" bestFit="1" customWidth="1"/>
    <col min="12550" max="12550" width="11.42578125" style="314" bestFit="1" customWidth="1"/>
    <col min="12551" max="12551" width="12.7109375" style="314" bestFit="1" customWidth="1"/>
    <col min="12552" max="12552" width="12.42578125" style="314" bestFit="1" customWidth="1"/>
    <col min="12553" max="12553" width="10.7109375" style="314" bestFit="1" customWidth="1"/>
    <col min="12554" max="12554" width="19.140625" style="314" bestFit="1" customWidth="1"/>
    <col min="12555" max="12555" width="17.5703125" style="314" bestFit="1" customWidth="1"/>
    <col min="12556" max="12556" width="15" style="314" customWidth="1"/>
    <col min="12557" max="12557" width="16.42578125" style="314" bestFit="1" customWidth="1"/>
    <col min="12558" max="12558" width="18" style="314" customWidth="1"/>
    <col min="12559" max="12801" width="9.140625" style="314"/>
    <col min="12802" max="12802" width="36.85546875" style="314" customWidth="1"/>
    <col min="12803" max="12803" width="9.140625" style="314"/>
    <col min="12804" max="12804" width="10.140625" style="314" bestFit="1" customWidth="1"/>
    <col min="12805" max="12805" width="10.7109375" style="314" bestFit="1" customWidth="1"/>
    <col min="12806" max="12806" width="11.42578125" style="314" bestFit="1" customWidth="1"/>
    <col min="12807" max="12807" width="12.7109375" style="314" bestFit="1" customWidth="1"/>
    <col min="12808" max="12808" width="12.42578125" style="314" bestFit="1" customWidth="1"/>
    <col min="12809" max="12809" width="10.7109375" style="314" bestFit="1" customWidth="1"/>
    <col min="12810" max="12810" width="19.140625" style="314" bestFit="1" customWidth="1"/>
    <col min="12811" max="12811" width="17.5703125" style="314" bestFit="1" customWidth="1"/>
    <col min="12812" max="12812" width="15" style="314" customWidth="1"/>
    <col min="12813" max="12813" width="16.42578125" style="314" bestFit="1" customWidth="1"/>
    <col min="12814" max="12814" width="18" style="314" customWidth="1"/>
    <col min="12815" max="13057" width="9.140625" style="314"/>
    <col min="13058" max="13058" width="36.85546875" style="314" customWidth="1"/>
    <col min="13059" max="13059" width="9.140625" style="314"/>
    <col min="13060" max="13060" width="10.140625" style="314" bestFit="1" customWidth="1"/>
    <col min="13061" max="13061" width="10.7109375" style="314" bestFit="1" customWidth="1"/>
    <col min="13062" max="13062" width="11.42578125" style="314" bestFit="1" customWidth="1"/>
    <col min="13063" max="13063" width="12.7109375" style="314" bestFit="1" customWidth="1"/>
    <col min="13064" max="13064" width="12.42578125" style="314" bestFit="1" customWidth="1"/>
    <col min="13065" max="13065" width="10.7109375" style="314" bestFit="1" customWidth="1"/>
    <col min="13066" max="13066" width="19.140625" style="314" bestFit="1" customWidth="1"/>
    <col min="13067" max="13067" width="17.5703125" style="314" bestFit="1" customWidth="1"/>
    <col min="13068" max="13068" width="15" style="314" customWidth="1"/>
    <col min="13069" max="13069" width="16.42578125" style="314" bestFit="1" customWidth="1"/>
    <col min="13070" max="13070" width="18" style="314" customWidth="1"/>
    <col min="13071" max="13313" width="9.140625" style="314"/>
    <col min="13314" max="13314" width="36.85546875" style="314" customWidth="1"/>
    <col min="13315" max="13315" width="9.140625" style="314"/>
    <col min="13316" max="13316" width="10.140625" style="314" bestFit="1" customWidth="1"/>
    <col min="13317" max="13317" width="10.7109375" style="314" bestFit="1" customWidth="1"/>
    <col min="13318" max="13318" width="11.42578125" style="314" bestFit="1" customWidth="1"/>
    <col min="13319" max="13319" width="12.7109375" style="314" bestFit="1" customWidth="1"/>
    <col min="13320" max="13320" width="12.42578125" style="314" bestFit="1" customWidth="1"/>
    <col min="13321" max="13321" width="10.7109375" style="314" bestFit="1" customWidth="1"/>
    <col min="13322" max="13322" width="19.140625" style="314" bestFit="1" customWidth="1"/>
    <col min="13323" max="13323" width="17.5703125" style="314" bestFit="1" customWidth="1"/>
    <col min="13324" max="13324" width="15" style="314" customWidth="1"/>
    <col min="13325" max="13325" width="16.42578125" style="314" bestFit="1" customWidth="1"/>
    <col min="13326" max="13326" width="18" style="314" customWidth="1"/>
    <col min="13327" max="13569" width="9.140625" style="314"/>
    <col min="13570" max="13570" width="36.85546875" style="314" customWidth="1"/>
    <col min="13571" max="13571" width="9.140625" style="314"/>
    <col min="13572" max="13572" width="10.140625" style="314" bestFit="1" customWidth="1"/>
    <col min="13573" max="13573" width="10.7109375" style="314" bestFit="1" customWidth="1"/>
    <col min="13574" max="13574" width="11.42578125" style="314" bestFit="1" customWidth="1"/>
    <col min="13575" max="13575" width="12.7109375" style="314" bestFit="1" customWidth="1"/>
    <col min="13576" max="13576" width="12.42578125" style="314" bestFit="1" customWidth="1"/>
    <col min="13577" max="13577" width="10.7109375" style="314" bestFit="1" customWidth="1"/>
    <col min="13578" max="13578" width="19.140625" style="314" bestFit="1" customWidth="1"/>
    <col min="13579" max="13579" width="17.5703125" style="314" bestFit="1" customWidth="1"/>
    <col min="13580" max="13580" width="15" style="314" customWidth="1"/>
    <col min="13581" max="13581" width="16.42578125" style="314" bestFit="1" customWidth="1"/>
    <col min="13582" max="13582" width="18" style="314" customWidth="1"/>
    <col min="13583" max="13825" width="9.140625" style="314"/>
    <col min="13826" max="13826" width="36.85546875" style="314" customWidth="1"/>
    <col min="13827" max="13827" width="9.140625" style="314"/>
    <col min="13828" max="13828" width="10.140625" style="314" bestFit="1" customWidth="1"/>
    <col min="13829" max="13829" width="10.7109375" style="314" bestFit="1" customWidth="1"/>
    <col min="13830" max="13830" width="11.42578125" style="314" bestFit="1" customWidth="1"/>
    <col min="13831" max="13831" width="12.7109375" style="314" bestFit="1" customWidth="1"/>
    <col min="13832" max="13832" width="12.42578125" style="314" bestFit="1" customWidth="1"/>
    <col min="13833" max="13833" width="10.7109375" style="314" bestFit="1" customWidth="1"/>
    <col min="13834" max="13834" width="19.140625" style="314" bestFit="1" customWidth="1"/>
    <col min="13835" max="13835" width="17.5703125" style="314" bestFit="1" customWidth="1"/>
    <col min="13836" max="13836" width="15" style="314" customWidth="1"/>
    <col min="13837" max="13837" width="16.42578125" style="314" bestFit="1" customWidth="1"/>
    <col min="13838" max="13838" width="18" style="314" customWidth="1"/>
    <col min="13839" max="14081" width="9.140625" style="314"/>
    <col min="14082" max="14082" width="36.85546875" style="314" customWidth="1"/>
    <col min="14083" max="14083" width="9.140625" style="314"/>
    <col min="14084" max="14084" width="10.140625" style="314" bestFit="1" customWidth="1"/>
    <col min="14085" max="14085" width="10.7109375" style="314" bestFit="1" customWidth="1"/>
    <col min="14086" max="14086" width="11.42578125" style="314" bestFit="1" customWidth="1"/>
    <col min="14087" max="14087" width="12.7109375" style="314" bestFit="1" customWidth="1"/>
    <col min="14088" max="14088" width="12.42578125" style="314" bestFit="1" customWidth="1"/>
    <col min="14089" max="14089" width="10.7109375" style="314" bestFit="1" customWidth="1"/>
    <col min="14090" max="14090" width="19.140625" style="314" bestFit="1" customWidth="1"/>
    <col min="14091" max="14091" width="17.5703125" style="314" bestFit="1" customWidth="1"/>
    <col min="14092" max="14092" width="15" style="314" customWidth="1"/>
    <col min="14093" max="14093" width="16.42578125" style="314" bestFit="1" customWidth="1"/>
    <col min="14094" max="14094" width="18" style="314" customWidth="1"/>
    <col min="14095" max="14337" width="9.140625" style="314"/>
    <col min="14338" max="14338" width="36.85546875" style="314" customWidth="1"/>
    <col min="14339" max="14339" width="9.140625" style="314"/>
    <col min="14340" max="14340" width="10.140625" style="314" bestFit="1" customWidth="1"/>
    <col min="14341" max="14341" width="10.7109375" style="314" bestFit="1" customWidth="1"/>
    <col min="14342" max="14342" width="11.42578125" style="314" bestFit="1" customWidth="1"/>
    <col min="14343" max="14343" width="12.7109375" style="314" bestFit="1" customWidth="1"/>
    <col min="14344" max="14344" width="12.42578125" style="314" bestFit="1" customWidth="1"/>
    <col min="14345" max="14345" width="10.7109375" style="314" bestFit="1" customWidth="1"/>
    <col min="14346" max="14346" width="19.140625" style="314" bestFit="1" customWidth="1"/>
    <col min="14347" max="14347" width="17.5703125" style="314" bestFit="1" customWidth="1"/>
    <col min="14348" max="14348" width="15" style="314" customWidth="1"/>
    <col min="14349" max="14349" width="16.42578125" style="314" bestFit="1" customWidth="1"/>
    <col min="14350" max="14350" width="18" style="314" customWidth="1"/>
    <col min="14351" max="14593" width="9.140625" style="314"/>
    <col min="14594" max="14594" width="36.85546875" style="314" customWidth="1"/>
    <col min="14595" max="14595" width="9.140625" style="314"/>
    <col min="14596" max="14596" width="10.140625" style="314" bestFit="1" customWidth="1"/>
    <col min="14597" max="14597" width="10.7109375" style="314" bestFit="1" customWidth="1"/>
    <col min="14598" max="14598" width="11.42578125" style="314" bestFit="1" customWidth="1"/>
    <col min="14599" max="14599" width="12.7109375" style="314" bestFit="1" customWidth="1"/>
    <col min="14600" max="14600" width="12.42578125" style="314" bestFit="1" customWidth="1"/>
    <col min="14601" max="14601" width="10.7109375" style="314" bestFit="1" customWidth="1"/>
    <col min="14602" max="14602" width="19.140625" style="314" bestFit="1" customWidth="1"/>
    <col min="14603" max="14603" width="17.5703125" style="314" bestFit="1" customWidth="1"/>
    <col min="14604" max="14604" width="15" style="314" customWidth="1"/>
    <col min="14605" max="14605" width="16.42578125" style="314" bestFit="1" customWidth="1"/>
    <col min="14606" max="14606" width="18" style="314" customWidth="1"/>
    <col min="14607" max="14849" width="9.140625" style="314"/>
    <col min="14850" max="14850" width="36.85546875" style="314" customWidth="1"/>
    <col min="14851" max="14851" width="9.140625" style="314"/>
    <col min="14852" max="14852" width="10.140625" style="314" bestFit="1" customWidth="1"/>
    <col min="14853" max="14853" width="10.7109375" style="314" bestFit="1" customWidth="1"/>
    <col min="14854" max="14854" width="11.42578125" style="314" bestFit="1" customWidth="1"/>
    <col min="14855" max="14855" width="12.7109375" style="314" bestFit="1" customWidth="1"/>
    <col min="14856" max="14856" width="12.42578125" style="314" bestFit="1" customWidth="1"/>
    <col min="14857" max="14857" width="10.7109375" style="314" bestFit="1" customWidth="1"/>
    <col min="14858" max="14858" width="19.140625" style="314" bestFit="1" customWidth="1"/>
    <col min="14859" max="14859" width="17.5703125" style="314" bestFit="1" customWidth="1"/>
    <col min="14860" max="14860" width="15" style="314" customWidth="1"/>
    <col min="14861" max="14861" width="16.42578125" style="314" bestFit="1" customWidth="1"/>
    <col min="14862" max="14862" width="18" style="314" customWidth="1"/>
    <col min="14863" max="15105" width="9.140625" style="314"/>
    <col min="15106" max="15106" width="36.85546875" style="314" customWidth="1"/>
    <col min="15107" max="15107" width="9.140625" style="314"/>
    <col min="15108" max="15108" width="10.140625" style="314" bestFit="1" customWidth="1"/>
    <col min="15109" max="15109" width="10.7109375" style="314" bestFit="1" customWidth="1"/>
    <col min="15110" max="15110" width="11.42578125" style="314" bestFit="1" customWidth="1"/>
    <col min="15111" max="15111" width="12.7109375" style="314" bestFit="1" customWidth="1"/>
    <col min="15112" max="15112" width="12.42578125" style="314" bestFit="1" customWidth="1"/>
    <col min="15113" max="15113" width="10.7109375" style="314" bestFit="1" customWidth="1"/>
    <col min="15114" max="15114" width="19.140625" style="314" bestFit="1" customWidth="1"/>
    <col min="15115" max="15115" width="17.5703125" style="314" bestFit="1" customWidth="1"/>
    <col min="15116" max="15116" width="15" style="314" customWidth="1"/>
    <col min="15117" max="15117" width="16.42578125" style="314" bestFit="1" customWidth="1"/>
    <col min="15118" max="15118" width="18" style="314" customWidth="1"/>
    <col min="15119" max="15361" width="9.140625" style="314"/>
    <col min="15362" max="15362" width="36.85546875" style="314" customWidth="1"/>
    <col min="15363" max="15363" width="9.140625" style="314"/>
    <col min="15364" max="15364" width="10.140625" style="314" bestFit="1" customWidth="1"/>
    <col min="15365" max="15365" width="10.7109375" style="314" bestFit="1" customWidth="1"/>
    <col min="15366" max="15366" width="11.42578125" style="314" bestFit="1" customWidth="1"/>
    <col min="15367" max="15367" width="12.7109375" style="314" bestFit="1" customWidth="1"/>
    <col min="15368" max="15368" width="12.42578125" style="314" bestFit="1" customWidth="1"/>
    <col min="15369" max="15369" width="10.7109375" style="314" bestFit="1" customWidth="1"/>
    <col min="15370" max="15370" width="19.140625" style="314" bestFit="1" customWidth="1"/>
    <col min="15371" max="15371" width="17.5703125" style="314" bestFit="1" customWidth="1"/>
    <col min="15372" max="15372" width="15" style="314" customWidth="1"/>
    <col min="15373" max="15373" width="16.42578125" style="314" bestFit="1" customWidth="1"/>
    <col min="15374" max="15374" width="18" style="314" customWidth="1"/>
    <col min="15375" max="15617" width="9.140625" style="314"/>
    <col min="15618" max="15618" width="36.85546875" style="314" customWidth="1"/>
    <col min="15619" max="15619" width="9.140625" style="314"/>
    <col min="15620" max="15620" width="10.140625" style="314" bestFit="1" customWidth="1"/>
    <col min="15621" max="15621" width="10.7109375" style="314" bestFit="1" customWidth="1"/>
    <col min="15622" max="15622" width="11.42578125" style="314" bestFit="1" customWidth="1"/>
    <col min="15623" max="15623" width="12.7109375" style="314" bestFit="1" customWidth="1"/>
    <col min="15624" max="15624" width="12.42578125" style="314" bestFit="1" customWidth="1"/>
    <col min="15625" max="15625" width="10.7109375" style="314" bestFit="1" customWidth="1"/>
    <col min="15626" max="15626" width="19.140625" style="314" bestFit="1" customWidth="1"/>
    <col min="15627" max="15627" width="17.5703125" style="314" bestFit="1" customWidth="1"/>
    <col min="15628" max="15628" width="15" style="314" customWidth="1"/>
    <col min="15629" max="15629" width="16.42578125" style="314" bestFit="1" customWidth="1"/>
    <col min="15630" max="15630" width="18" style="314" customWidth="1"/>
    <col min="15631" max="15873" width="9.140625" style="314"/>
    <col min="15874" max="15874" width="36.85546875" style="314" customWidth="1"/>
    <col min="15875" max="15875" width="9.140625" style="314"/>
    <col min="15876" max="15876" width="10.140625" style="314" bestFit="1" customWidth="1"/>
    <col min="15877" max="15877" width="10.7109375" style="314" bestFit="1" customWidth="1"/>
    <col min="15878" max="15878" width="11.42578125" style="314" bestFit="1" customWidth="1"/>
    <col min="15879" max="15879" width="12.7109375" style="314" bestFit="1" customWidth="1"/>
    <col min="15880" max="15880" width="12.42578125" style="314" bestFit="1" customWidth="1"/>
    <col min="15881" max="15881" width="10.7109375" style="314" bestFit="1" customWidth="1"/>
    <col min="15882" max="15882" width="19.140625" style="314" bestFit="1" customWidth="1"/>
    <col min="15883" max="15883" width="17.5703125" style="314" bestFit="1" customWidth="1"/>
    <col min="15884" max="15884" width="15" style="314" customWidth="1"/>
    <col min="15885" max="15885" width="16.42578125" style="314" bestFit="1" customWidth="1"/>
    <col min="15886" max="15886" width="18" style="314" customWidth="1"/>
    <col min="15887" max="16129" width="9.140625" style="314"/>
    <col min="16130" max="16130" width="36.85546875" style="314" customWidth="1"/>
    <col min="16131" max="16131" width="9.140625" style="314"/>
    <col min="16132" max="16132" width="10.140625" style="314" bestFit="1" customWidth="1"/>
    <col min="16133" max="16133" width="10.7109375" style="314" bestFit="1" customWidth="1"/>
    <col min="16134" max="16134" width="11.42578125" style="314" bestFit="1" customWidth="1"/>
    <col min="16135" max="16135" width="12.7109375" style="314" bestFit="1" customWidth="1"/>
    <col min="16136" max="16136" width="12.42578125" style="314" bestFit="1" customWidth="1"/>
    <col min="16137" max="16137" width="10.7109375" style="314" bestFit="1" customWidth="1"/>
    <col min="16138" max="16138" width="19.140625" style="314" bestFit="1" customWidth="1"/>
    <col min="16139" max="16139" width="17.5703125" style="314" bestFit="1" customWidth="1"/>
    <col min="16140" max="16140" width="15" style="314" customWidth="1"/>
    <col min="16141" max="16141" width="16.42578125" style="314" bestFit="1" customWidth="1"/>
    <col min="16142" max="16142" width="18" style="314" customWidth="1"/>
    <col min="16143" max="16384" width="9.140625" style="314"/>
  </cols>
  <sheetData>
    <row r="1" spans="1:14" ht="12.75" customHeight="1">
      <c r="A1" s="1521" t="s">
        <v>493</v>
      </c>
      <c r="B1" s="1310"/>
      <c r="C1" s="1310"/>
      <c r="D1" s="1310"/>
      <c r="E1" s="1310"/>
      <c r="F1" s="1310"/>
      <c r="G1" s="1310"/>
      <c r="H1" s="1522"/>
      <c r="I1" s="1523" t="s">
        <v>494</v>
      </c>
      <c r="J1" s="1523"/>
      <c r="K1" s="1523"/>
      <c r="L1" s="1523"/>
      <c r="M1" s="1524"/>
      <c r="N1" s="1527" t="s">
        <v>328</v>
      </c>
    </row>
    <row r="2" spans="1:14">
      <c r="A2" s="1178"/>
      <c r="B2" s="1169"/>
      <c r="C2" s="1169"/>
      <c r="D2" s="1169"/>
      <c r="E2" s="1169"/>
      <c r="F2" s="1169"/>
      <c r="G2" s="1169"/>
      <c r="H2" s="1529"/>
      <c r="I2" s="1525"/>
      <c r="J2" s="1525"/>
      <c r="K2" s="1525"/>
      <c r="L2" s="1525"/>
      <c r="M2" s="1526"/>
      <c r="N2" s="1528"/>
    </row>
    <row r="3" spans="1:14">
      <c r="A3" s="749" t="s">
        <v>748</v>
      </c>
      <c r="B3" s="748" t="str">
        <f>'F1 Forecast Consultant'!C3</f>
        <v>Western</v>
      </c>
      <c r="C3" s="622"/>
      <c r="D3" s="622"/>
      <c r="E3" s="622"/>
      <c r="F3" s="622"/>
      <c r="G3" s="622"/>
      <c r="H3" s="527"/>
      <c r="I3" s="1530" t="s">
        <v>495</v>
      </c>
      <c r="J3" s="1531"/>
      <c r="K3" s="1532">
        <f>'F1  Cover'!K8</f>
        <v>1</v>
      </c>
      <c r="L3" s="1533"/>
      <c r="M3" s="1533"/>
      <c r="N3" s="1534"/>
    </row>
    <row r="4" spans="1:14" ht="13.5" thickBot="1">
      <c r="A4" s="1171"/>
      <c r="B4" s="1172"/>
      <c r="C4" s="1172"/>
      <c r="D4" s="1172"/>
      <c r="E4" s="1172"/>
      <c r="F4" s="1172"/>
      <c r="G4" s="1172"/>
      <c r="H4" s="1516"/>
      <c r="I4" s="1517" t="s">
        <v>496</v>
      </c>
      <c r="J4" s="1518"/>
      <c r="K4" s="1519" t="str">
        <f>'F1 Forecast Combined'!E3</f>
        <v>NRA.N.011-050-2012/1F</v>
      </c>
      <c r="L4" s="1519"/>
      <c r="M4" s="1519"/>
      <c r="N4" s="1520"/>
    </row>
    <row r="5" spans="1:14" ht="13.5" thickBot="1">
      <c r="A5" s="599" t="s">
        <v>497</v>
      </c>
      <c r="B5" s="600"/>
      <c r="C5" s="600"/>
      <c r="D5" s="600"/>
      <c r="E5" s="600"/>
      <c r="F5" s="600"/>
      <c r="G5" s="600"/>
      <c r="H5" s="600"/>
      <c r="I5" s="600"/>
      <c r="J5" s="600"/>
      <c r="K5" s="600"/>
      <c r="L5" s="600"/>
      <c r="M5" s="600"/>
      <c r="N5" s="637"/>
    </row>
    <row r="6" spans="1:14" ht="39" thickBot="1">
      <c r="A6" s="638" t="s">
        <v>100</v>
      </c>
      <c r="B6" s="639" t="s">
        <v>0</v>
      </c>
      <c r="C6" s="641" t="s">
        <v>1</v>
      </c>
      <c r="D6" s="647" t="s">
        <v>498</v>
      </c>
      <c r="E6" s="648" t="s">
        <v>499</v>
      </c>
      <c r="F6" s="648" t="s">
        <v>500</v>
      </c>
      <c r="G6" s="648" t="s">
        <v>501</v>
      </c>
      <c r="H6" s="640" t="s">
        <v>502</v>
      </c>
      <c r="I6" s="647" t="s">
        <v>3</v>
      </c>
      <c r="J6" s="648" t="s">
        <v>503</v>
      </c>
      <c r="K6" s="648" t="s">
        <v>504</v>
      </c>
      <c r="L6" s="648" t="s">
        <v>505</v>
      </c>
      <c r="M6" s="648" t="s">
        <v>506</v>
      </c>
      <c r="N6" s="640" t="s">
        <v>507</v>
      </c>
    </row>
    <row r="7" spans="1:14" ht="32.1" customHeight="1">
      <c r="A7" s="624">
        <f>'Pricing Schedule'!A11</f>
        <v>3.2</v>
      </c>
      <c r="B7" s="625" t="str">
        <f>'Pricing Schedule'!B11</f>
        <v>PROJECT ASSESSMENT STAGE</v>
      </c>
      <c r="C7" s="642"/>
      <c r="D7" s="649"/>
      <c r="E7" s="626"/>
      <c r="F7" s="626"/>
      <c r="G7" s="626"/>
      <c r="H7" s="650"/>
      <c r="I7" s="645"/>
      <c r="J7" s="627"/>
      <c r="K7" s="627"/>
      <c r="L7" s="627"/>
      <c r="M7" s="627"/>
      <c r="N7" s="628"/>
    </row>
    <row r="8" spans="1:14" ht="32.1" customHeight="1">
      <c r="A8" s="629" t="str">
        <f>'Pricing Schedule'!A12</f>
        <v>3.2.1</v>
      </c>
      <c r="B8" s="630" t="str">
        <f>'Pricing Schedule'!B12</f>
        <v>Initial Assessment</v>
      </c>
      <c r="C8" s="643"/>
      <c r="D8" s="651"/>
      <c r="E8" s="631"/>
      <c r="F8" s="631"/>
      <c r="G8" s="631"/>
      <c r="H8" s="632"/>
      <c r="I8" s="646"/>
      <c r="J8" s="631"/>
      <c r="K8" s="631"/>
      <c r="L8" s="631"/>
      <c r="M8" s="631"/>
      <c r="N8" s="632"/>
    </row>
    <row r="9" spans="1:14" ht="32.1" customHeight="1">
      <c r="A9" s="782"/>
      <c r="B9" s="630" t="str">
        <f>'Pricing Schedule'!B13</f>
        <v>(a)   Initial Assessment</v>
      </c>
      <c r="C9" s="643" t="str">
        <f>'Pricing Schedule'!C13</f>
        <v>lump sum (LS)</v>
      </c>
      <c r="D9" s="651">
        <v>1</v>
      </c>
      <c r="E9" s="1058">
        <v>1</v>
      </c>
      <c r="F9" s="855">
        <f>DATA!U52</f>
        <v>0</v>
      </c>
      <c r="G9" s="722"/>
      <c r="H9" s="632">
        <f>F9+G9</f>
        <v>0</v>
      </c>
      <c r="I9" s="651">
        <f>'Pricing Schedule'!F13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2.1" customHeight="1">
      <c r="A10" s="782"/>
      <c r="B10" s="630" t="str">
        <f>'Pricing Schedule'!B14</f>
        <v>(b)   Disbursements</v>
      </c>
      <c r="C10" s="643" t="str">
        <f>'Pricing Schedule'!C14</f>
        <v>lump sum (LS)</v>
      </c>
      <c r="D10" s="651">
        <v>1</v>
      </c>
      <c r="E10" s="1058">
        <v>1</v>
      </c>
      <c r="F10" s="855">
        <f>DATA!V52</f>
        <v>0</v>
      </c>
      <c r="G10" s="722"/>
      <c r="H10" s="632">
        <f>F10+G10</f>
        <v>0</v>
      </c>
      <c r="I10" s="651">
        <f>'Pricing Schedule'!F14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2.1" customHeight="1">
      <c r="A11" s="629" t="str">
        <f>'Pricing Schedule'!A15</f>
        <v>3.2.2</v>
      </c>
      <c r="B11" s="630" t="str">
        <f>'Pricing Schedule'!B15</f>
        <v>Visual Survey</v>
      </c>
      <c r="C11" s="643"/>
      <c r="D11" s="651"/>
      <c r="E11" s="631"/>
      <c r="F11" s="631"/>
      <c r="G11" s="631"/>
      <c r="H11" s="632"/>
      <c r="I11" s="646"/>
      <c r="J11" s="631"/>
      <c r="K11" s="631"/>
      <c r="L11" s="631"/>
      <c r="M11" s="631"/>
      <c r="N11" s="633"/>
    </row>
    <row r="12" spans="1:14" ht="32.1" customHeight="1">
      <c r="A12" s="782"/>
      <c r="B12" s="630" t="str">
        <f>'Pricing Schedule'!B16</f>
        <v>(a)   Visual survey</v>
      </c>
      <c r="C12" s="643" t="str">
        <f>'Pricing Schedule'!C16</f>
        <v>lump sum (LS)</v>
      </c>
      <c r="D12" s="651">
        <v>1</v>
      </c>
      <c r="E12" s="1058">
        <v>1</v>
      </c>
      <c r="F12" s="855">
        <f>DATA!W52</f>
        <v>0</v>
      </c>
      <c r="G12" s="722"/>
      <c r="H12" s="632">
        <f t="shared" ref="H12:H16" si="0">F12+G12</f>
        <v>0</v>
      </c>
      <c r="I12" s="651">
        <f>'Pricing Schedule'!F16</f>
        <v>0</v>
      </c>
      <c r="J12" s="631">
        <f t="shared" ref="J12:J16" si="1">D12*I12</f>
        <v>0</v>
      </c>
      <c r="K12" s="631">
        <f t="shared" ref="K12:K16" si="2">E12*I12</f>
        <v>0</v>
      </c>
      <c r="L12" s="631">
        <f t="shared" ref="L12:L16" si="3">F12*I12</f>
        <v>0</v>
      </c>
      <c r="M12" s="631">
        <f t="shared" ref="M12:M16" si="4">G12*I12</f>
        <v>0</v>
      </c>
      <c r="N12" s="633">
        <f t="shared" ref="N12:N16" si="5">H12*I12</f>
        <v>0</v>
      </c>
    </row>
    <row r="13" spans="1:14" ht="32.1" customHeight="1">
      <c r="A13" s="782"/>
      <c r="B13" s="630" t="str">
        <f>'Pricing Schedule'!B17</f>
        <v xml:space="preserve">(b)   Disbursements </v>
      </c>
      <c r="C13" s="643" t="str">
        <f>'Pricing Schedule'!C17</f>
        <v>lump sum (LS)</v>
      </c>
      <c r="D13" s="651">
        <v>1</v>
      </c>
      <c r="E13" s="1058">
        <v>1</v>
      </c>
      <c r="F13" s="855">
        <f>DATA!X52</f>
        <v>0</v>
      </c>
      <c r="G13" s="722"/>
      <c r="H13" s="632">
        <f t="shared" si="0"/>
        <v>0</v>
      </c>
      <c r="I13" s="651">
        <f>'Pricing Schedule'!F17</f>
        <v>0</v>
      </c>
      <c r="J13" s="631">
        <f t="shared" si="1"/>
        <v>0</v>
      </c>
      <c r="K13" s="631">
        <f t="shared" si="2"/>
        <v>0</v>
      </c>
      <c r="L13" s="631">
        <f t="shared" si="3"/>
        <v>0</v>
      </c>
      <c r="M13" s="631">
        <f t="shared" si="4"/>
        <v>0</v>
      </c>
      <c r="N13" s="633">
        <f t="shared" si="5"/>
        <v>0</v>
      </c>
    </row>
    <row r="14" spans="1:14" ht="32.1" customHeight="1">
      <c r="A14" s="629" t="str">
        <f>'Pricing Schedule'!A18</f>
        <v>3.2.3</v>
      </c>
      <c r="B14" s="630" t="str">
        <f>'Pricing Schedule'!B18</f>
        <v>Project Assessment Report</v>
      </c>
      <c r="C14" s="643"/>
      <c r="D14" s="651"/>
      <c r="E14" s="631"/>
      <c r="F14" s="631"/>
      <c r="G14" s="631"/>
      <c r="H14" s="632"/>
      <c r="I14" s="646"/>
      <c r="J14" s="631"/>
      <c r="K14" s="631"/>
      <c r="L14" s="631"/>
      <c r="M14" s="631"/>
      <c r="N14" s="633"/>
    </row>
    <row r="15" spans="1:14" ht="32.1" customHeight="1">
      <c r="A15" s="782"/>
      <c r="B15" s="630" t="str">
        <f>'Pricing Schedule'!B19</f>
        <v>(a)   Project assessment report</v>
      </c>
      <c r="C15" s="643" t="str">
        <f>'Pricing Schedule'!C19</f>
        <v>lump sum (LS)</v>
      </c>
      <c r="D15" s="651">
        <v>1</v>
      </c>
      <c r="E15" s="1058">
        <v>1</v>
      </c>
      <c r="F15" s="855">
        <f>DATA!Y52</f>
        <v>0</v>
      </c>
      <c r="G15" s="722"/>
      <c r="H15" s="632">
        <f t="shared" si="0"/>
        <v>0</v>
      </c>
      <c r="I15" s="651">
        <f>'Pricing Schedule'!F19</f>
        <v>0</v>
      </c>
      <c r="J15" s="631">
        <f t="shared" si="1"/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3">
        <f>H15*I15</f>
        <v>0</v>
      </c>
    </row>
    <row r="16" spans="1:14" ht="32.1" customHeight="1" thickBot="1">
      <c r="A16" s="783"/>
      <c r="B16" s="634" t="str">
        <f>'Pricing Schedule'!B20</f>
        <v>(b)   Disbursements</v>
      </c>
      <c r="C16" s="644" t="str">
        <f>'Pricing Schedule'!C20</f>
        <v>lump sum (LS)</v>
      </c>
      <c r="D16" s="651">
        <v>1</v>
      </c>
      <c r="E16" s="1058">
        <v>1</v>
      </c>
      <c r="F16" s="855">
        <f>DATA!Z52</f>
        <v>0</v>
      </c>
      <c r="G16" s="723"/>
      <c r="H16" s="652">
        <f t="shared" si="0"/>
        <v>0</v>
      </c>
      <c r="I16" s="651">
        <f>'Pricing Schedule'!F20</f>
        <v>0</v>
      </c>
      <c r="J16" s="635">
        <f t="shared" si="1"/>
        <v>0</v>
      </c>
      <c r="K16" s="635">
        <f t="shared" si="2"/>
        <v>0</v>
      </c>
      <c r="L16" s="635">
        <f t="shared" si="3"/>
        <v>0</v>
      </c>
      <c r="M16" s="635">
        <f t="shared" si="4"/>
        <v>0</v>
      </c>
      <c r="N16" s="636">
        <f t="shared" si="5"/>
        <v>0</v>
      </c>
    </row>
    <row r="17" spans="1:14" s="622" customFormat="1" ht="31.5" customHeight="1" thickBot="1">
      <c r="A17" s="1514" t="s">
        <v>508</v>
      </c>
      <c r="B17" s="1514"/>
      <c r="C17" s="1515"/>
      <c r="D17" s="716"/>
      <c r="E17" s="717"/>
      <c r="F17" s="717"/>
      <c r="G17" s="717"/>
      <c r="H17" s="718"/>
      <c r="I17" s="719"/>
      <c r="J17" s="720">
        <f>SUM(J8:J16)</f>
        <v>0</v>
      </c>
      <c r="K17" s="720">
        <f>SUM(K8:K16)</f>
        <v>0</v>
      </c>
      <c r="L17" s="720">
        <f>SUM(L8:L16)</f>
        <v>0</v>
      </c>
      <c r="M17" s="720">
        <f>SUM(M8:M16)</f>
        <v>0</v>
      </c>
      <c r="N17" s="721">
        <f>SUM(N8:N16)</f>
        <v>0</v>
      </c>
    </row>
    <row r="20" spans="1:14" s="622" customFormat="1" ht="30.95" customHeight="1">
      <c r="A20" s="817" t="s">
        <v>653</v>
      </c>
      <c r="B20" s="817"/>
      <c r="J20" s="735">
        <f>J9+J10+J12+J13+J15+J16</f>
        <v>0</v>
      </c>
      <c r="K20" s="735">
        <f t="shared" ref="K20:N20" si="6">K9+K10+K12+K13+K15+K16</f>
        <v>0</v>
      </c>
      <c r="L20" s="735">
        <f t="shared" si="6"/>
        <v>0</v>
      </c>
      <c r="M20" s="735">
        <f t="shared" si="6"/>
        <v>0</v>
      </c>
      <c r="N20" s="735">
        <f t="shared" si="6"/>
        <v>0</v>
      </c>
    </row>
    <row r="21" spans="1:14" s="622" customFormat="1" ht="30.95" customHeight="1">
      <c r="A21" s="622" t="s">
        <v>655</v>
      </c>
      <c r="J21" s="735">
        <v>0</v>
      </c>
      <c r="K21" s="735">
        <v>0</v>
      </c>
      <c r="L21" s="735">
        <v>0</v>
      </c>
      <c r="M21" s="735">
        <v>0</v>
      </c>
      <c r="N21" s="735">
        <v>0</v>
      </c>
    </row>
    <row r="22" spans="1:14" s="622" customFormat="1" ht="30.95" customHeight="1" thickBot="1">
      <c r="A22" s="622" t="s">
        <v>654</v>
      </c>
      <c r="J22" s="785">
        <f>SUM(J20:J21)</f>
        <v>0</v>
      </c>
      <c r="K22" s="785">
        <f t="shared" ref="K22:N22" si="7">SUM(K20:K21)</f>
        <v>0</v>
      </c>
      <c r="L22" s="785">
        <f t="shared" si="7"/>
        <v>0</v>
      </c>
      <c r="M22" s="785">
        <f t="shared" si="7"/>
        <v>0</v>
      </c>
      <c r="N22" s="785">
        <f t="shared" si="7"/>
        <v>0</v>
      </c>
    </row>
    <row r="23" spans="1:14" ht="13.5" thickTop="1"/>
  </sheetData>
  <mergeCells count="10">
    <mergeCell ref="A17:C17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H9">
    <cfRule type="expression" dxfId="2398" priority="2">
      <formula>H9&gt;E9</formula>
    </cfRule>
  </conditionalFormatting>
  <conditionalFormatting sqref="H10">
    <cfRule type="expression" dxfId="2397" priority="1">
      <formula>H10&gt;E10</formula>
    </cfRule>
  </conditionalFormatting>
  <dataValidations count="1">
    <dataValidation type="decimal" operator="lessThanOrEqual" allowBlank="1" showInputMessage="1" showErrorMessage="1" error="LUMP SUM CANNOT EXCEED A VALUE OF 1" sqref="G12:G13 G15:G16 G9:G10" xr:uid="{C95A3242-B2F7-4E50-A698-62098C2DADFA}">
      <formula1>1</formula1>
    </dataValidation>
  </dataValidations>
  <printOptions horizontalCentered="1"/>
  <pageMargins left="0.23622047244094491" right="0" top="0.51" bottom="0.17" header="0.24" footer="0.32"/>
  <pageSetup paperSize="9" scale="66" fitToHeight="0" orientation="landscape" r:id="rId1"/>
  <headerFooter alignWithMargins="0">
    <oddHeader>&amp;L&amp;"Calibri"&amp;10&amp;K000000Sensitivity - General&amp;1#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8">
    <tabColor theme="9"/>
    <pageSetUpPr fitToPage="1"/>
  </sheetPr>
  <dimension ref="A1:N78"/>
  <sheetViews>
    <sheetView workbookViewId="0">
      <selection sqref="A1:H1"/>
    </sheetView>
  </sheetViews>
  <sheetFormatPr defaultRowHeight="12.75"/>
  <cols>
    <col min="1" max="1" width="9.140625" style="622"/>
    <col min="2" max="2" width="36.85546875" style="622" customWidth="1"/>
    <col min="3" max="3" width="19.5703125" style="622" customWidth="1"/>
    <col min="4" max="8" width="11.7109375" style="622" customWidth="1"/>
    <col min="9" max="9" width="11.7109375" style="735" bestFit="1" customWidth="1"/>
    <col min="10" max="11" width="12.85546875" style="622" bestFit="1" customWidth="1"/>
    <col min="12" max="12" width="12.42578125" style="622" customWidth="1"/>
    <col min="13" max="13" width="11.28515625" style="622" bestFit="1" customWidth="1"/>
    <col min="14" max="14" width="11.7109375" style="622" bestFit="1" customWidth="1"/>
    <col min="15" max="257" width="9.140625" style="622"/>
    <col min="258" max="258" width="31.28515625" style="622" customWidth="1"/>
    <col min="259" max="259" width="12.140625" style="622" customWidth="1"/>
    <col min="260" max="262" width="10.140625" style="622" bestFit="1" customWidth="1"/>
    <col min="263" max="263" width="9.7109375" style="622" bestFit="1" customWidth="1"/>
    <col min="264" max="264" width="10.28515625" style="622" bestFit="1" customWidth="1"/>
    <col min="265" max="265" width="11.7109375" style="622" bestFit="1" customWidth="1"/>
    <col min="266" max="267" width="12.85546875" style="622" bestFit="1" customWidth="1"/>
    <col min="268" max="268" width="12.42578125" style="622" customWidth="1"/>
    <col min="269" max="269" width="11.28515625" style="622" bestFit="1" customWidth="1"/>
    <col min="270" max="270" width="11.7109375" style="622" bestFit="1" customWidth="1"/>
    <col min="271" max="513" width="9.140625" style="622"/>
    <col min="514" max="514" width="31.28515625" style="622" customWidth="1"/>
    <col min="515" max="515" width="12.140625" style="622" customWidth="1"/>
    <col min="516" max="518" width="10.140625" style="622" bestFit="1" customWidth="1"/>
    <col min="519" max="519" width="9.7109375" style="622" bestFit="1" customWidth="1"/>
    <col min="520" max="520" width="10.28515625" style="622" bestFit="1" customWidth="1"/>
    <col min="521" max="521" width="11.7109375" style="622" bestFit="1" customWidth="1"/>
    <col min="522" max="523" width="12.85546875" style="622" bestFit="1" customWidth="1"/>
    <col min="524" max="524" width="12.42578125" style="622" customWidth="1"/>
    <col min="525" max="525" width="11.28515625" style="622" bestFit="1" customWidth="1"/>
    <col min="526" max="526" width="11.7109375" style="622" bestFit="1" customWidth="1"/>
    <col min="527" max="769" width="9.140625" style="622"/>
    <col min="770" max="770" width="31.28515625" style="622" customWidth="1"/>
    <col min="771" max="771" width="12.140625" style="622" customWidth="1"/>
    <col min="772" max="774" width="10.140625" style="622" bestFit="1" customWidth="1"/>
    <col min="775" max="775" width="9.7109375" style="622" bestFit="1" customWidth="1"/>
    <col min="776" max="776" width="10.28515625" style="622" bestFit="1" customWidth="1"/>
    <col min="777" max="777" width="11.7109375" style="622" bestFit="1" customWidth="1"/>
    <col min="778" max="779" width="12.85546875" style="622" bestFit="1" customWidth="1"/>
    <col min="780" max="780" width="12.42578125" style="622" customWidth="1"/>
    <col min="781" max="781" width="11.28515625" style="622" bestFit="1" customWidth="1"/>
    <col min="782" max="782" width="11.7109375" style="622" bestFit="1" customWidth="1"/>
    <col min="783" max="1025" width="9.140625" style="622"/>
    <col min="1026" max="1026" width="31.28515625" style="622" customWidth="1"/>
    <col min="1027" max="1027" width="12.140625" style="622" customWidth="1"/>
    <col min="1028" max="1030" width="10.140625" style="622" bestFit="1" customWidth="1"/>
    <col min="1031" max="1031" width="9.7109375" style="622" bestFit="1" customWidth="1"/>
    <col min="1032" max="1032" width="10.28515625" style="622" bestFit="1" customWidth="1"/>
    <col min="1033" max="1033" width="11.7109375" style="622" bestFit="1" customWidth="1"/>
    <col min="1034" max="1035" width="12.85546875" style="622" bestFit="1" customWidth="1"/>
    <col min="1036" max="1036" width="12.42578125" style="622" customWidth="1"/>
    <col min="1037" max="1037" width="11.28515625" style="622" bestFit="1" customWidth="1"/>
    <col min="1038" max="1038" width="11.7109375" style="622" bestFit="1" customWidth="1"/>
    <col min="1039" max="1281" width="9.140625" style="622"/>
    <col min="1282" max="1282" width="31.28515625" style="622" customWidth="1"/>
    <col min="1283" max="1283" width="12.140625" style="622" customWidth="1"/>
    <col min="1284" max="1286" width="10.140625" style="622" bestFit="1" customWidth="1"/>
    <col min="1287" max="1287" width="9.7109375" style="622" bestFit="1" customWidth="1"/>
    <col min="1288" max="1288" width="10.28515625" style="622" bestFit="1" customWidth="1"/>
    <col min="1289" max="1289" width="11.7109375" style="622" bestFit="1" customWidth="1"/>
    <col min="1290" max="1291" width="12.85546875" style="622" bestFit="1" customWidth="1"/>
    <col min="1292" max="1292" width="12.42578125" style="622" customWidth="1"/>
    <col min="1293" max="1293" width="11.28515625" style="622" bestFit="1" customWidth="1"/>
    <col min="1294" max="1294" width="11.7109375" style="622" bestFit="1" customWidth="1"/>
    <col min="1295" max="1537" width="9.140625" style="622"/>
    <col min="1538" max="1538" width="31.28515625" style="622" customWidth="1"/>
    <col min="1539" max="1539" width="12.140625" style="622" customWidth="1"/>
    <col min="1540" max="1542" width="10.140625" style="622" bestFit="1" customWidth="1"/>
    <col min="1543" max="1543" width="9.7109375" style="622" bestFit="1" customWidth="1"/>
    <col min="1544" max="1544" width="10.28515625" style="622" bestFit="1" customWidth="1"/>
    <col min="1545" max="1545" width="11.7109375" style="622" bestFit="1" customWidth="1"/>
    <col min="1546" max="1547" width="12.85546875" style="622" bestFit="1" customWidth="1"/>
    <col min="1548" max="1548" width="12.42578125" style="622" customWidth="1"/>
    <col min="1549" max="1549" width="11.28515625" style="622" bestFit="1" customWidth="1"/>
    <col min="1550" max="1550" width="11.7109375" style="622" bestFit="1" customWidth="1"/>
    <col min="1551" max="1793" width="9.140625" style="622"/>
    <col min="1794" max="1794" width="31.28515625" style="622" customWidth="1"/>
    <col min="1795" max="1795" width="12.140625" style="622" customWidth="1"/>
    <col min="1796" max="1798" width="10.140625" style="622" bestFit="1" customWidth="1"/>
    <col min="1799" max="1799" width="9.7109375" style="622" bestFit="1" customWidth="1"/>
    <col min="1800" max="1800" width="10.28515625" style="622" bestFit="1" customWidth="1"/>
    <col min="1801" max="1801" width="11.7109375" style="622" bestFit="1" customWidth="1"/>
    <col min="1802" max="1803" width="12.85546875" style="622" bestFit="1" customWidth="1"/>
    <col min="1804" max="1804" width="12.42578125" style="622" customWidth="1"/>
    <col min="1805" max="1805" width="11.28515625" style="622" bestFit="1" customWidth="1"/>
    <col min="1806" max="1806" width="11.7109375" style="622" bestFit="1" customWidth="1"/>
    <col min="1807" max="2049" width="9.140625" style="622"/>
    <col min="2050" max="2050" width="31.28515625" style="622" customWidth="1"/>
    <col min="2051" max="2051" width="12.140625" style="622" customWidth="1"/>
    <col min="2052" max="2054" width="10.140625" style="622" bestFit="1" customWidth="1"/>
    <col min="2055" max="2055" width="9.7109375" style="622" bestFit="1" customWidth="1"/>
    <col min="2056" max="2056" width="10.28515625" style="622" bestFit="1" customWidth="1"/>
    <col min="2057" max="2057" width="11.7109375" style="622" bestFit="1" customWidth="1"/>
    <col min="2058" max="2059" width="12.85546875" style="622" bestFit="1" customWidth="1"/>
    <col min="2060" max="2060" width="12.42578125" style="622" customWidth="1"/>
    <col min="2061" max="2061" width="11.28515625" style="622" bestFit="1" customWidth="1"/>
    <col min="2062" max="2062" width="11.7109375" style="622" bestFit="1" customWidth="1"/>
    <col min="2063" max="2305" width="9.140625" style="622"/>
    <col min="2306" max="2306" width="31.28515625" style="622" customWidth="1"/>
    <col min="2307" max="2307" width="12.140625" style="622" customWidth="1"/>
    <col min="2308" max="2310" width="10.140625" style="622" bestFit="1" customWidth="1"/>
    <col min="2311" max="2311" width="9.7109375" style="622" bestFit="1" customWidth="1"/>
    <col min="2312" max="2312" width="10.28515625" style="622" bestFit="1" customWidth="1"/>
    <col min="2313" max="2313" width="11.7109375" style="622" bestFit="1" customWidth="1"/>
    <col min="2314" max="2315" width="12.85546875" style="622" bestFit="1" customWidth="1"/>
    <col min="2316" max="2316" width="12.42578125" style="622" customWidth="1"/>
    <col min="2317" max="2317" width="11.28515625" style="622" bestFit="1" customWidth="1"/>
    <col min="2318" max="2318" width="11.7109375" style="622" bestFit="1" customWidth="1"/>
    <col min="2319" max="2561" width="9.140625" style="622"/>
    <col min="2562" max="2562" width="31.28515625" style="622" customWidth="1"/>
    <col min="2563" max="2563" width="12.140625" style="622" customWidth="1"/>
    <col min="2564" max="2566" width="10.140625" style="622" bestFit="1" customWidth="1"/>
    <col min="2567" max="2567" width="9.7109375" style="622" bestFit="1" customWidth="1"/>
    <col min="2568" max="2568" width="10.28515625" style="622" bestFit="1" customWidth="1"/>
    <col min="2569" max="2569" width="11.7109375" style="622" bestFit="1" customWidth="1"/>
    <col min="2570" max="2571" width="12.85546875" style="622" bestFit="1" customWidth="1"/>
    <col min="2572" max="2572" width="12.42578125" style="622" customWidth="1"/>
    <col min="2573" max="2573" width="11.28515625" style="622" bestFit="1" customWidth="1"/>
    <col min="2574" max="2574" width="11.7109375" style="622" bestFit="1" customWidth="1"/>
    <col min="2575" max="2817" width="9.140625" style="622"/>
    <col min="2818" max="2818" width="31.28515625" style="622" customWidth="1"/>
    <col min="2819" max="2819" width="12.140625" style="622" customWidth="1"/>
    <col min="2820" max="2822" width="10.140625" style="622" bestFit="1" customWidth="1"/>
    <col min="2823" max="2823" width="9.7109375" style="622" bestFit="1" customWidth="1"/>
    <col min="2824" max="2824" width="10.28515625" style="622" bestFit="1" customWidth="1"/>
    <col min="2825" max="2825" width="11.7109375" style="622" bestFit="1" customWidth="1"/>
    <col min="2826" max="2827" width="12.85546875" style="622" bestFit="1" customWidth="1"/>
    <col min="2828" max="2828" width="12.42578125" style="622" customWidth="1"/>
    <col min="2829" max="2829" width="11.28515625" style="622" bestFit="1" customWidth="1"/>
    <col min="2830" max="2830" width="11.7109375" style="622" bestFit="1" customWidth="1"/>
    <col min="2831" max="3073" width="9.140625" style="622"/>
    <col min="3074" max="3074" width="31.28515625" style="622" customWidth="1"/>
    <col min="3075" max="3075" width="12.140625" style="622" customWidth="1"/>
    <col min="3076" max="3078" width="10.140625" style="622" bestFit="1" customWidth="1"/>
    <col min="3079" max="3079" width="9.7109375" style="622" bestFit="1" customWidth="1"/>
    <col min="3080" max="3080" width="10.28515625" style="622" bestFit="1" customWidth="1"/>
    <col min="3081" max="3081" width="11.7109375" style="622" bestFit="1" customWidth="1"/>
    <col min="3082" max="3083" width="12.85546875" style="622" bestFit="1" customWidth="1"/>
    <col min="3084" max="3084" width="12.42578125" style="622" customWidth="1"/>
    <col min="3085" max="3085" width="11.28515625" style="622" bestFit="1" customWidth="1"/>
    <col min="3086" max="3086" width="11.7109375" style="622" bestFit="1" customWidth="1"/>
    <col min="3087" max="3329" width="9.140625" style="622"/>
    <col min="3330" max="3330" width="31.28515625" style="622" customWidth="1"/>
    <col min="3331" max="3331" width="12.140625" style="622" customWidth="1"/>
    <col min="3332" max="3334" width="10.140625" style="622" bestFit="1" customWidth="1"/>
    <col min="3335" max="3335" width="9.7109375" style="622" bestFit="1" customWidth="1"/>
    <col min="3336" max="3336" width="10.28515625" style="622" bestFit="1" customWidth="1"/>
    <col min="3337" max="3337" width="11.7109375" style="622" bestFit="1" customWidth="1"/>
    <col min="3338" max="3339" width="12.85546875" style="622" bestFit="1" customWidth="1"/>
    <col min="3340" max="3340" width="12.42578125" style="622" customWidth="1"/>
    <col min="3341" max="3341" width="11.28515625" style="622" bestFit="1" customWidth="1"/>
    <col min="3342" max="3342" width="11.7109375" style="622" bestFit="1" customWidth="1"/>
    <col min="3343" max="3585" width="9.140625" style="622"/>
    <col min="3586" max="3586" width="31.28515625" style="622" customWidth="1"/>
    <col min="3587" max="3587" width="12.140625" style="622" customWidth="1"/>
    <col min="3588" max="3590" width="10.140625" style="622" bestFit="1" customWidth="1"/>
    <col min="3591" max="3591" width="9.7109375" style="622" bestFit="1" customWidth="1"/>
    <col min="3592" max="3592" width="10.28515625" style="622" bestFit="1" customWidth="1"/>
    <col min="3593" max="3593" width="11.7109375" style="622" bestFit="1" customWidth="1"/>
    <col min="3594" max="3595" width="12.85546875" style="622" bestFit="1" customWidth="1"/>
    <col min="3596" max="3596" width="12.42578125" style="622" customWidth="1"/>
    <col min="3597" max="3597" width="11.28515625" style="622" bestFit="1" customWidth="1"/>
    <col min="3598" max="3598" width="11.7109375" style="622" bestFit="1" customWidth="1"/>
    <col min="3599" max="3841" width="9.140625" style="622"/>
    <col min="3842" max="3842" width="31.28515625" style="622" customWidth="1"/>
    <col min="3843" max="3843" width="12.140625" style="622" customWidth="1"/>
    <col min="3844" max="3846" width="10.140625" style="622" bestFit="1" customWidth="1"/>
    <col min="3847" max="3847" width="9.7109375" style="622" bestFit="1" customWidth="1"/>
    <col min="3848" max="3848" width="10.28515625" style="622" bestFit="1" customWidth="1"/>
    <col min="3849" max="3849" width="11.7109375" style="622" bestFit="1" customWidth="1"/>
    <col min="3850" max="3851" width="12.85546875" style="622" bestFit="1" customWidth="1"/>
    <col min="3852" max="3852" width="12.42578125" style="622" customWidth="1"/>
    <col min="3853" max="3853" width="11.28515625" style="622" bestFit="1" customWidth="1"/>
    <col min="3854" max="3854" width="11.7109375" style="622" bestFit="1" customWidth="1"/>
    <col min="3855" max="4097" width="9.140625" style="622"/>
    <col min="4098" max="4098" width="31.28515625" style="622" customWidth="1"/>
    <col min="4099" max="4099" width="12.140625" style="622" customWidth="1"/>
    <col min="4100" max="4102" width="10.140625" style="622" bestFit="1" customWidth="1"/>
    <col min="4103" max="4103" width="9.7109375" style="622" bestFit="1" customWidth="1"/>
    <col min="4104" max="4104" width="10.28515625" style="622" bestFit="1" customWidth="1"/>
    <col min="4105" max="4105" width="11.7109375" style="622" bestFit="1" customWidth="1"/>
    <col min="4106" max="4107" width="12.85546875" style="622" bestFit="1" customWidth="1"/>
    <col min="4108" max="4108" width="12.42578125" style="622" customWidth="1"/>
    <col min="4109" max="4109" width="11.28515625" style="622" bestFit="1" customWidth="1"/>
    <col min="4110" max="4110" width="11.7109375" style="622" bestFit="1" customWidth="1"/>
    <col min="4111" max="4353" width="9.140625" style="622"/>
    <col min="4354" max="4354" width="31.28515625" style="622" customWidth="1"/>
    <col min="4355" max="4355" width="12.140625" style="622" customWidth="1"/>
    <col min="4356" max="4358" width="10.140625" style="622" bestFit="1" customWidth="1"/>
    <col min="4359" max="4359" width="9.7109375" style="622" bestFit="1" customWidth="1"/>
    <col min="4360" max="4360" width="10.28515625" style="622" bestFit="1" customWidth="1"/>
    <col min="4361" max="4361" width="11.7109375" style="622" bestFit="1" customWidth="1"/>
    <col min="4362" max="4363" width="12.85546875" style="622" bestFit="1" customWidth="1"/>
    <col min="4364" max="4364" width="12.42578125" style="622" customWidth="1"/>
    <col min="4365" max="4365" width="11.28515625" style="622" bestFit="1" customWidth="1"/>
    <col min="4366" max="4366" width="11.7109375" style="622" bestFit="1" customWidth="1"/>
    <col min="4367" max="4609" width="9.140625" style="622"/>
    <col min="4610" max="4610" width="31.28515625" style="622" customWidth="1"/>
    <col min="4611" max="4611" width="12.140625" style="622" customWidth="1"/>
    <col min="4612" max="4614" width="10.140625" style="622" bestFit="1" customWidth="1"/>
    <col min="4615" max="4615" width="9.7109375" style="622" bestFit="1" customWidth="1"/>
    <col min="4616" max="4616" width="10.28515625" style="622" bestFit="1" customWidth="1"/>
    <col min="4617" max="4617" width="11.7109375" style="622" bestFit="1" customWidth="1"/>
    <col min="4618" max="4619" width="12.85546875" style="622" bestFit="1" customWidth="1"/>
    <col min="4620" max="4620" width="12.42578125" style="622" customWidth="1"/>
    <col min="4621" max="4621" width="11.28515625" style="622" bestFit="1" customWidth="1"/>
    <col min="4622" max="4622" width="11.7109375" style="622" bestFit="1" customWidth="1"/>
    <col min="4623" max="4865" width="9.140625" style="622"/>
    <col min="4866" max="4866" width="31.28515625" style="622" customWidth="1"/>
    <col min="4867" max="4867" width="12.140625" style="622" customWidth="1"/>
    <col min="4868" max="4870" width="10.140625" style="622" bestFit="1" customWidth="1"/>
    <col min="4871" max="4871" width="9.7109375" style="622" bestFit="1" customWidth="1"/>
    <col min="4872" max="4872" width="10.28515625" style="622" bestFit="1" customWidth="1"/>
    <col min="4873" max="4873" width="11.7109375" style="622" bestFit="1" customWidth="1"/>
    <col min="4874" max="4875" width="12.85546875" style="622" bestFit="1" customWidth="1"/>
    <col min="4876" max="4876" width="12.42578125" style="622" customWidth="1"/>
    <col min="4877" max="4877" width="11.28515625" style="622" bestFit="1" customWidth="1"/>
    <col min="4878" max="4878" width="11.7109375" style="622" bestFit="1" customWidth="1"/>
    <col min="4879" max="5121" width="9.140625" style="622"/>
    <col min="5122" max="5122" width="31.28515625" style="622" customWidth="1"/>
    <col min="5123" max="5123" width="12.140625" style="622" customWidth="1"/>
    <col min="5124" max="5126" width="10.140625" style="622" bestFit="1" customWidth="1"/>
    <col min="5127" max="5127" width="9.7109375" style="622" bestFit="1" customWidth="1"/>
    <col min="5128" max="5128" width="10.28515625" style="622" bestFit="1" customWidth="1"/>
    <col min="5129" max="5129" width="11.7109375" style="622" bestFit="1" customWidth="1"/>
    <col min="5130" max="5131" width="12.85546875" style="622" bestFit="1" customWidth="1"/>
    <col min="5132" max="5132" width="12.42578125" style="622" customWidth="1"/>
    <col min="5133" max="5133" width="11.28515625" style="622" bestFit="1" customWidth="1"/>
    <col min="5134" max="5134" width="11.7109375" style="622" bestFit="1" customWidth="1"/>
    <col min="5135" max="5377" width="9.140625" style="622"/>
    <col min="5378" max="5378" width="31.28515625" style="622" customWidth="1"/>
    <col min="5379" max="5379" width="12.140625" style="622" customWidth="1"/>
    <col min="5380" max="5382" width="10.140625" style="622" bestFit="1" customWidth="1"/>
    <col min="5383" max="5383" width="9.7109375" style="622" bestFit="1" customWidth="1"/>
    <col min="5384" max="5384" width="10.28515625" style="622" bestFit="1" customWidth="1"/>
    <col min="5385" max="5385" width="11.7109375" style="622" bestFit="1" customWidth="1"/>
    <col min="5386" max="5387" width="12.85546875" style="622" bestFit="1" customWidth="1"/>
    <col min="5388" max="5388" width="12.42578125" style="622" customWidth="1"/>
    <col min="5389" max="5389" width="11.28515625" style="622" bestFit="1" customWidth="1"/>
    <col min="5390" max="5390" width="11.7109375" style="622" bestFit="1" customWidth="1"/>
    <col min="5391" max="5633" width="9.140625" style="622"/>
    <col min="5634" max="5634" width="31.28515625" style="622" customWidth="1"/>
    <col min="5635" max="5635" width="12.140625" style="622" customWidth="1"/>
    <col min="5636" max="5638" width="10.140625" style="622" bestFit="1" customWidth="1"/>
    <col min="5639" max="5639" width="9.7109375" style="622" bestFit="1" customWidth="1"/>
    <col min="5640" max="5640" width="10.28515625" style="622" bestFit="1" customWidth="1"/>
    <col min="5641" max="5641" width="11.7109375" style="622" bestFit="1" customWidth="1"/>
    <col min="5642" max="5643" width="12.85546875" style="622" bestFit="1" customWidth="1"/>
    <col min="5644" max="5644" width="12.42578125" style="622" customWidth="1"/>
    <col min="5645" max="5645" width="11.28515625" style="622" bestFit="1" customWidth="1"/>
    <col min="5646" max="5646" width="11.7109375" style="622" bestFit="1" customWidth="1"/>
    <col min="5647" max="5889" width="9.140625" style="622"/>
    <col min="5890" max="5890" width="31.28515625" style="622" customWidth="1"/>
    <col min="5891" max="5891" width="12.140625" style="622" customWidth="1"/>
    <col min="5892" max="5894" width="10.140625" style="622" bestFit="1" customWidth="1"/>
    <col min="5895" max="5895" width="9.7109375" style="622" bestFit="1" customWidth="1"/>
    <col min="5896" max="5896" width="10.28515625" style="622" bestFit="1" customWidth="1"/>
    <col min="5897" max="5897" width="11.7109375" style="622" bestFit="1" customWidth="1"/>
    <col min="5898" max="5899" width="12.85546875" style="622" bestFit="1" customWidth="1"/>
    <col min="5900" max="5900" width="12.42578125" style="622" customWidth="1"/>
    <col min="5901" max="5901" width="11.28515625" style="622" bestFit="1" customWidth="1"/>
    <col min="5902" max="5902" width="11.7109375" style="622" bestFit="1" customWidth="1"/>
    <col min="5903" max="6145" width="9.140625" style="622"/>
    <col min="6146" max="6146" width="31.28515625" style="622" customWidth="1"/>
    <col min="6147" max="6147" width="12.140625" style="622" customWidth="1"/>
    <col min="6148" max="6150" width="10.140625" style="622" bestFit="1" customWidth="1"/>
    <col min="6151" max="6151" width="9.7109375" style="622" bestFit="1" customWidth="1"/>
    <col min="6152" max="6152" width="10.28515625" style="622" bestFit="1" customWidth="1"/>
    <col min="6153" max="6153" width="11.7109375" style="622" bestFit="1" customWidth="1"/>
    <col min="6154" max="6155" width="12.85546875" style="622" bestFit="1" customWidth="1"/>
    <col min="6156" max="6156" width="12.42578125" style="622" customWidth="1"/>
    <col min="6157" max="6157" width="11.28515625" style="622" bestFit="1" customWidth="1"/>
    <col min="6158" max="6158" width="11.7109375" style="622" bestFit="1" customWidth="1"/>
    <col min="6159" max="6401" width="9.140625" style="622"/>
    <col min="6402" max="6402" width="31.28515625" style="622" customWidth="1"/>
    <col min="6403" max="6403" width="12.140625" style="622" customWidth="1"/>
    <col min="6404" max="6406" width="10.140625" style="622" bestFit="1" customWidth="1"/>
    <col min="6407" max="6407" width="9.7109375" style="622" bestFit="1" customWidth="1"/>
    <col min="6408" max="6408" width="10.28515625" style="622" bestFit="1" customWidth="1"/>
    <col min="6409" max="6409" width="11.7109375" style="622" bestFit="1" customWidth="1"/>
    <col min="6410" max="6411" width="12.85546875" style="622" bestFit="1" customWidth="1"/>
    <col min="6412" max="6412" width="12.42578125" style="622" customWidth="1"/>
    <col min="6413" max="6413" width="11.28515625" style="622" bestFit="1" customWidth="1"/>
    <col min="6414" max="6414" width="11.7109375" style="622" bestFit="1" customWidth="1"/>
    <col min="6415" max="6657" width="9.140625" style="622"/>
    <col min="6658" max="6658" width="31.28515625" style="622" customWidth="1"/>
    <col min="6659" max="6659" width="12.140625" style="622" customWidth="1"/>
    <col min="6660" max="6662" width="10.140625" style="622" bestFit="1" customWidth="1"/>
    <col min="6663" max="6663" width="9.7109375" style="622" bestFit="1" customWidth="1"/>
    <col min="6664" max="6664" width="10.28515625" style="622" bestFit="1" customWidth="1"/>
    <col min="6665" max="6665" width="11.7109375" style="622" bestFit="1" customWidth="1"/>
    <col min="6666" max="6667" width="12.85546875" style="622" bestFit="1" customWidth="1"/>
    <col min="6668" max="6668" width="12.42578125" style="622" customWidth="1"/>
    <col min="6669" max="6669" width="11.28515625" style="622" bestFit="1" customWidth="1"/>
    <col min="6670" max="6670" width="11.7109375" style="622" bestFit="1" customWidth="1"/>
    <col min="6671" max="6913" width="9.140625" style="622"/>
    <col min="6914" max="6914" width="31.28515625" style="622" customWidth="1"/>
    <col min="6915" max="6915" width="12.140625" style="622" customWidth="1"/>
    <col min="6916" max="6918" width="10.140625" style="622" bestFit="1" customWidth="1"/>
    <col min="6919" max="6919" width="9.7109375" style="622" bestFit="1" customWidth="1"/>
    <col min="6920" max="6920" width="10.28515625" style="622" bestFit="1" customWidth="1"/>
    <col min="6921" max="6921" width="11.7109375" style="622" bestFit="1" customWidth="1"/>
    <col min="6922" max="6923" width="12.85546875" style="622" bestFit="1" customWidth="1"/>
    <col min="6924" max="6924" width="12.42578125" style="622" customWidth="1"/>
    <col min="6925" max="6925" width="11.28515625" style="622" bestFit="1" customWidth="1"/>
    <col min="6926" max="6926" width="11.7109375" style="622" bestFit="1" customWidth="1"/>
    <col min="6927" max="7169" width="9.140625" style="622"/>
    <col min="7170" max="7170" width="31.28515625" style="622" customWidth="1"/>
    <col min="7171" max="7171" width="12.140625" style="622" customWidth="1"/>
    <col min="7172" max="7174" width="10.140625" style="622" bestFit="1" customWidth="1"/>
    <col min="7175" max="7175" width="9.7109375" style="622" bestFit="1" customWidth="1"/>
    <col min="7176" max="7176" width="10.28515625" style="622" bestFit="1" customWidth="1"/>
    <col min="7177" max="7177" width="11.7109375" style="622" bestFit="1" customWidth="1"/>
    <col min="7178" max="7179" width="12.85546875" style="622" bestFit="1" customWidth="1"/>
    <col min="7180" max="7180" width="12.42578125" style="622" customWidth="1"/>
    <col min="7181" max="7181" width="11.28515625" style="622" bestFit="1" customWidth="1"/>
    <col min="7182" max="7182" width="11.7109375" style="622" bestFit="1" customWidth="1"/>
    <col min="7183" max="7425" width="9.140625" style="622"/>
    <col min="7426" max="7426" width="31.28515625" style="622" customWidth="1"/>
    <col min="7427" max="7427" width="12.140625" style="622" customWidth="1"/>
    <col min="7428" max="7430" width="10.140625" style="622" bestFit="1" customWidth="1"/>
    <col min="7431" max="7431" width="9.7109375" style="622" bestFit="1" customWidth="1"/>
    <col min="7432" max="7432" width="10.28515625" style="622" bestFit="1" customWidth="1"/>
    <col min="7433" max="7433" width="11.7109375" style="622" bestFit="1" customWidth="1"/>
    <col min="7434" max="7435" width="12.85546875" style="622" bestFit="1" customWidth="1"/>
    <col min="7436" max="7436" width="12.42578125" style="622" customWidth="1"/>
    <col min="7437" max="7437" width="11.28515625" style="622" bestFit="1" customWidth="1"/>
    <col min="7438" max="7438" width="11.7109375" style="622" bestFit="1" customWidth="1"/>
    <col min="7439" max="7681" width="9.140625" style="622"/>
    <col min="7682" max="7682" width="31.28515625" style="622" customWidth="1"/>
    <col min="7683" max="7683" width="12.140625" style="622" customWidth="1"/>
    <col min="7684" max="7686" width="10.140625" style="622" bestFit="1" customWidth="1"/>
    <col min="7687" max="7687" width="9.7109375" style="622" bestFit="1" customWidth="1"/>
    <col min="7688" max="7688" width="10.28515625" style="622" bestFit="1" customWidth="1"/>
    <col min="7689" max="7689" width="11.7109375" style="622" bestFit="1" customWidth="1"/>
    <col min="7690" max="7691" width="12.85546875" style="622" bestFit="1" customWidth="1"/>
    <col min="7692" max="7692" width="12.42578125" style="622" customWidth="1"/>
    <col min="7693" max="7693" width="11.28515625" style="622" bestFit="1" customWidth="1"/>
    <col min="7694" max="7694" width="11.7109375" style="622" bestFit="1" customWidth="1"/>
    <col min="7695" max="7937" width="9.140625" style="622"/>
    <col min="7938" max="7938" width="31.28515625" style="622" customWidth="1"/>
    <col min="7939" max="7939" width="12.140625" style="622" customWidth="1"/>
    <col min="7940" max="7942" width="10.140625" style="622" bestFit="1" customWidth="1"/>
    <col min="7943" max="7943" width="9.7109375" style="622" bestFit="1" customWidth="1"/>
    <col min="7944" max="7944" width="10.28515625" style="622" bestFit="1" customWidth="1"/>
    <col min="7945" max="7945" width="11.7109375" style="622" bestFit="1" customWidth="1"/>
    <col min="7946" max="7947" width="12.85546875" style="622" bestFit="1" customWidth="1"/>
    <col min="7948" max="7948" width="12.42578125" style="622" customWidth="1"/>
    <col min="7949" max="7949" width="11.28515625" style="622" bestFit="1" customWidth="1"/>
    <col min="7950" max="7950" width="11.7109375" style="622" bestFit="1" customWidth="1"/>
    <col min="7951" max="8193" width="9.140625" style="622"/>
    <col min="8194" max="8194" width="31.28515625" style="622" customWidth="1"/>
    <col min="8195" max="8195" width="12.140625" style="622" customWidth="1"/>
    <col min="8196" max="8198" width="10.140625" style="622" bestFit="1" customWidth="1"/>
    <col min="8199" max="8199" width="9.7109375" style="622" bestFit="1" customWidth="1"/>
    <col min="8200" max="8200" width="10.28515625" style="622" bestFit="1" customWidth="1"/>
    <col min="8201" max="8201" width="11.7109375" style="622" bestFit="1" customWidth="1"/>
    <col min="8202" max="8203" width="12.85546875" style="622" bestFit="1" customWidth="1"/>
    <col min="8204" max="8204" width="12.42578125" style="622" customWidth="1"/>
    <col min="8205" max="8205" width="11.28515625" style="622" bestFit="1" customWidth="1"/>
    <col min="8206" max="8206" width="11.7109375" style="622" bestFit="1" customWidth="1"/>
    <col min="8207" max="8449" width="9.140625" style="622"/>
    <col min="8450" max="8450" width="31.28515625" style="622" customWidth="1"/>
    <col min="8451" max="8451" width="12.140625" style="622" customWidth="1"/>
    <col min="8452" max="8454" width="10.140625" style="622" bestFit="1" customWidth="1"/>
    <col min="8455" max="8455" width="9.7109375" style="622" bestFit="1" customWidth="1"/>
    <col min="8456" max="8456" width="10.28515625" style="622" bestFit="1" customWidth="1"/>
    <col min="8457" max="8457" width="11.7109375" style="622" bestFit="1" customWidth="1"/>
    <col min="8458" max="8459" width="12.85546875" style="622" bestFit="1" customWidth="1"/>
    <col min="8460" max="8460" width="12.42578125" style="622" customWidth="1"/>
    <col min="8461" max="8461" width="11.28515625" style="622" bestFit="1" customWidth="1"/>
    <col min="8462" max="8462" width="11.7109375" style="622" bestFit="1" customWidth="1"/>
    <col min="8463" max="8705" width="9.140625" style="622"/>
    <col min="8706" max="8706" width="31.28515625" style="622" customWidth="1"/>
    <col min="8707" max="8707" width="12.140625" style="622" customWidth="1"/>
    <col min="8708" max="8710" width="10.140625" style="622" bestFit="1" customWidth="1"/>
    <col min="8711" max="8711" width="9.7109375" style="622" bestFit="1" customWidth="1"/>
    <col min="8712" max="8712" width="10.28515625" style="622" bestFit="1" customWidth="1"/>
    <col min="8713" max="8713" width="11.7109375" style="622" bestFit="1" customWidth="1"/>
    <col min="8714" max="8715" width="12.85546875" style="622" bestFit="1" customWidth="1"/>
    <col min="8716" max="8716" width="12.42578125" style="622" customWidth="1"/>
    <col min="8717" max="8717" width="11.28515625" style="622" bestFit="1" customWidth="1"/>
    <col min="8718" max="8718" width="11.7109375" style="622" bestFit="1" customWidth="1"/>
    <col min="8719" max="8961" width="9.140625" style="622"/>
    <col min="8962" max="8962" width="31.28515625" style="622" customWidth="1"/>
    <col min="8963" max="8963" width="12.140625" style="622" customWidth="1"/>
    <col min="8964" max="8966" width="10.140625" style="622" bestFit="1" customWidth="1"/>
    <col min="8967" max="8967" width="9.7109375" style="622" bestFit="1" customWidth="1"/>
    <col min="8968" max="8968" width="10.28515625" style="622" bestFit="1" customWidth="1"/>
    <col min="8969" max="8969" width="11.7109375" style="622" bestFit="1" customWidth="1"/>
    <col min="8970" max="8971" width="12.85546875" style="622" bestFit="1" customWidth="1"/>
    <col min="8972" max="8972" width="12.42578125" style="622" customWidth="1"/>
    <col min="8973" max="8973" width="11.28515625" style="622" bestFit="1" customWidth="1"/>
    <col min="8974" max="8974" width="11.7109375" style="622" bestFit="1" customWidth="1"/>
    <col min="8975" max="9217" width="9.140625" style="622"/>
    <col min="9218" max="9218" width="31.28515625" style="622" customWidth="1"/>
    <col min="9219" max="9219" width="12.140625" style="622" customWidth="1"/>
    <col min="9220" max="9222" width="10.140625" style="622" bestFit="1" customWidth="1"/>
    <col min="9223" max="9223" width="9.7109375" style="622" bestFit="1" customWidth="1"/>
    <col min="9224" max="9224" width="10.28515625" style="622" bestFit="1" customWidth="1"/>
    <col min="9225" max="9225" width="11.7109375" style="622" bestFit="1" customWidth="1"/>
    <col min="9226" max="9227" width="12.85546875" style="622" bestFit="1" customWidth="1"/>
    <col min="9228" max="9228" width="12.42578125" style="622" customWidth="1"/>
    <col min="9229" max="9229" width="11.28515625" style="622" bestFit="1" customWidth="1"/>
    <col min="9230" max="9230" width="11.7109375" style="622" bestFit="1" customWidth="1"/>
    <col min="9231" max="9473" width="9.140625" style="622"/>
    <col min="9474" max="9474" width="31.28515625" style="622" customWidth="1"/>
    <col min="9475" max="9475" width="12.140625" style="622" customWidth="1"/>
    <col min="9476" max="9478" width="10.140625" style="622" bestFit="1" customWidth="1"/>
    <col min="9479" max="9479" width="9.7109375" style="622" bestFit="1" customWidth="1"/>
    <col min="9480" max="9480" width="10.28515625" style="622" bestFit="1" customWidth="1"/>
    <col min="9481" max="9481" width="11.7109375" style="622" bestFit="1" customWidth="1"/>
    <col min="9482" max="9483" width="12.85546875" style="622" bestFit="1" customWidth="1"/>
    <col min="9484" max="9484" width="12.42578125" style="622" customWidth="1"/>
    <col min="9485" max="9485" width="11.28515625" style="622" bestFit="1" customWidth="1"/>
    <col min="9486" max="9486" width="11.7109375" style="622" bestFit="1" customWidth="1"/>
    <col min="9487" max="9729" width="9.140625" style="622"/>
    <col min="9730" max="9730" width="31.28515625" style="622" customWidth="1"/>
    <col min="9731" max="9731" width="12.140625" style="622" customWidth="1"/>
    <col min="9732" max="9734" width="10.140625" style="622" bestFit="1" customWidth="1"/>
    <col min="9735" max="9735" width="9.7109375" style="622" bestFit="1" customWidth="1"/>
    <col min="9736" max="9736" width="10.28515625" style="622" bestFit="1" customWidth="1"/>
    <col min="9737" max="9737" width="11.7109375" style="622" bestFit="1" customWidth="1"/>
    <col min="9738" max="9739" width="12.85546875" style="622" bestFit="1" customWidth="1"/>
    <col min="9740" max="9740" width="12.42578125" style="622" customWidth="1"/>
    <col min="9741" max="9741" width="11.28515625" style="622" bestFit="1" customWidth="1"/>
    <col min="9742" max="9742" width="11.7109375" style="622" bestFit="1" customWidth="1"/>
    <col min="9743" max="9985" width="9.140625" style="622"/>
    <col min="9986" max="9986" width="31.28515625" style="622" customWidth="1"/>
    <col min="9987" max="9987" width="12.140625" style="622" customWidth="1"/>
    <col min="9988" max="9990" width="10.140625" style="622" bestFit="1" customWidth="1"/>
    <col min="9991" max="9991" width="9.7109375" style="622" bestFit="1" customWidth="1"/>
    <col min="9992" max="9992" width="10.28515625" style="622" bestFit="1" customWidth="1"/>
    <col min="9993" max="9993" width="11.7109375" style="622" bestFit="1" customWidth="1"/>
    <col min="9994" max="9995" width="12.85546875" style="622" bestFit="1" customWidth="1"/>
    <col min="9996" max="9996" width="12.42578125" style="622" customWidth="1"/>
    <col min="9997" max="9997" width="11.28515625" style="622" bestFit="1" customWidth="1"/>
    <col min="9998" max="9998" width="11.7109375" style="622" bestFit="1" customWidth="1"/>
    <col min="9999" max="10241" width="9.140625" style="622"/>
    <col min="10242" max="10242" width="31.28515625" style="622" customWidth="1"/>
    <col min="10243" max="10243" width="12.140625" style="622" customWidth="1"/>
    <col min="10244" max="10246" width="10.140625" style="622" bestFit="1" customWidth="1"/>
    <col min="10247" max="10247" width="9.7109375" style="622" bestFit="1" customWidth="1"/>
    <col min="10248" max="10248" width="10.28515625" style="622" bestFit="1" customWidth="1"/>
    <col min="10249" max="10249" width="11.7109375" style="622" bestFit="1" customWidth="1"/>
    <col min="10250" max="10251" width="12.85546875" style="622" bestFit="1" customWidth="1"/>
    <col min="10252" max="10252" width="12.42578125" style="622" customWidth="1"/>
    <col min="10253" max="10253" width="11.28515625" style="622" bestFit="1" customWidth="1"/>
    <col min="10254" max="10254" width="11.7109375" style="622" bestFit="1" customWidth="1"/>
    <col min="10255" max="10497" width="9.140625" style="622"/>
    <col min="10498" max="10498" width="31.28515625" style="622" customWidth="1"/>
    <col min="10499" max="10499" width="12.140625" style="622" customWidth="1"/>
    <col min="10500" max="10502" width="10.140625" style="622" bestFit="1" customWidth="1"/>
    <col min="10503" max="10503" width="9.7109375" style="622" bestFit="1" customWidth="1"/>
    <col min="10504" max="10504" width="10.28515625" style="622" bestFit="1" customWidth="1"/>
    <col min="10505" max="10505" width="11.7109375" style="622" bestFit="1" customWidth="1"/>
    <col min="10506" max="10507" width="12.85546875" style="622" bestFit="1" customWidth="1"/>
    <col min="10508" max="10508" width="12.42578125" style="622" customWidth="1"/>
    <col min="10509" max="10509" width="11.28515625" style="622" bestFit="1" customWidth="1"/>
    <col min="10510" max="10510" width="11.7109375" style="622" bestFit="1" customWidth="1"/>
    <col min="10511" max="10753" width="9.140625" style="622"/>
    <col min="10754" max="10754" width="31.28515625" style="622" customWidth="1"/>
    <col min="10755" max="10755" width="12.140625" style="622" customWidth="1"/>
    <col min="10756" max="10758" width="10.140625" style="622" bestFit="1" customWidth="1"/>
    <col min="10759" max="10759" width="9.7109375" style="622" bestFit="1" customWidth="1"/>
    <col min="10760" max="10760" width="10.28515625" style="622" bestFit="1" customWidth="1"/>
    <col min="10761" max="10761" width="11.7109375" style="622" bestFit="1" customWidth="1"/>
    <col min="10762" max="10763" width="12.85546875" style="622" bestFit="1" customWidth="1"/>
    <col min="10764" max="10764" width="12.42578125" style="622" customWidth="1"/>
    <col min="10765" max="10765" width="11.28515625" style="622" bestFit="1" customWidth="1"/>
    <col min="10766" max="10766" width="11.7109375" style="622" bestFit="1" customWidth="1"/>
    <col min="10767" max="11009" width="9.140625" style="622"/>
    <col min="11010" max="11010" width="31.28515625" style="622" customWidth="1"/>
    <col min="11011" max="11011" width="12.140625" style="622" customWidth="1"/>
    <col min="11012" max="11014" width="10.140625" style="622" bestFit="1" customWidth="1"/>
    <col min="11015" max="11015" width="9.7109375" style="622" bestFit="1" customWidth="1"/>
    <col min="11016" max="11016" width="10.28515625" style="622" bestFit="1" customWidth="1"/>
    <col min="11017" max="11017" width="11.7109375" style="622" bestFit="1" customWidth="1"/>
    <col min="11018" max="11019" width="12.85546875" style="622" bestFit="1" customWidth="1"/>
    <col min="11020" max="11020" width="12.42578125" style="622" customWidth="1"/>
    <col min="11021" max="11021" width="11.28515625" style="622" bestFit="1" customWidth="1"/>
    <col min="11022" max="11022" width="11.7109375" style="622" bestFit="1" customWidth="1"/>
    <col min="11023" max="11265" width="9.140625" style="622"/>
    <col min="11266" max="11266" width="31.28515625" style="622" customWidth="1"/>
    <col min="11267" max="11267" width="12.140625" style="622" customWidth="1"/>
    <col min="11268" max="11270" width="10.140625" style="622" bestFit="1" customWidth="1"/>
    <col min="11271" max="11271" width="9.7109375" style="622" bestFit="1" customWidth="1"/>
    <col min="11272" max="11272" width="10.28515625" style="622" bestFit="1" customWidth="1"/>
    <col min="11273" max="11273" width="11.7109375" style="622" bestFit="1" customWidth="1"/>
    <col min="11274" max="11275" width="12.85546875" style="622" bestFit="1" customWidth="1"/>
    <col min="11276" max="11276" width="12.42578125" style="622" customWidth="1"/>
    <col min="11277" max="11277" width="11.28515625" style="622" bestFit="1" customWidth="1"/>
    <col min="11278" max="11278" width="11.7109375" style="622" bestFit="1" customWidth="1"/>
    <col min="11279" max="11521" width="9.140625" style="622"/>
    <col min="11522" max="11522" width="31.28515625" style="622" customWidth="1"/>
    <col min="11523" max="11523" width="12.140625" style="622" customWidth="1"/>
    <col min="11524" max="11526" width="10.140625" style="622" bestFit="1" customWidth="1"/>
    <col min="11527" max="11527" width="9.7109375" style="622" bestFit="1" customWidth="1"/>
    <col min="11528" max="11528" width="10.28515625" style="622" bestFit="1" customWidth="1"/>
    <col min="11529" max="11529" width="11.7109375" style="622" bestFit="1" customWidth="1"/>
    <col min="11530" max="11531" width="12.85546875" style="622" bestFit="1" customWidth="1"/>
    <col min="11532" max="11532" width="12.42578125" style="622" customWidth="1"/>
    <col min="11533" max="11533" width="11.28515625" style="622" bestFit="1" customWidth="1"/>
    <col min="11534" max="11534" width="11.7109375" style="622" bestFit="1" customWidth="1"/>
    <col min="11535" max="11777" width="9.140625" style="622"/>
    <col min="11778" max="11778" width="31.28515625" style="622" customWidth="1"/>
    <col min="11779" max="11779" width="12.140625" style="622" customWidth="1"/>
    <col min="11780" max="11782" width="10.140625" style="622" bestFit="1" customWidth="1"/>
    <col min="11783" max="11783" width="9.7109375" style="622" bestFit="1" customWidth="1"/>
    <col min="11784" max="11784" width="10.28515625" style="622" bestFit="1" customWidth="1"/>
    <col min="11785" max="11785" width="11.7109375" style="622" bestFit="1" customWidth="1"/>
    <col min="11786" max="11787" width="12.85546875" style="622" bestFit="1" customWidth="1"/>
    <col min="11788" max="11788" width="12.42578125" style="622" customWidth="1"/>
    <col min="11789" max="11789" width="11.28515625" style="622" bestFit="1" customWidth="1"/>
    <col min="11790" max="11790" width="11.7109375" style="622" bestFit="1" customWidth="1"/>
    <col min="11791" max="12033" width="9.140625" style="622"/>
    <col min="12034" max="12034" width="31.28515625" style="622" customWidth="1"/>
    <col min="12035" max="12035" width="12.140625" style="622" customWidth="1"/>
    <col min="12036" max="12038" width="10.140625" style="622" bestFit="1" customWidth="1"/>
    <col min="12039" max="12039" width="9.7109375" style="622" bestFit="1" customWidth="1"/>
    <col min="12040" max="12040" width="10.28515625" style="622" bestFit="1" customWidth="1"/>
    <col min="12041" max="12041" width="11.7109375" style="622" bestFit="1" customWidth="1"/>
    <col min="12042" max="12043" width="12.85546875" style="622" bestFit="1" customWidth="1"/>
    <col min="12044" max="12044" width="12.42578125" style="622" customWidth="1"/>
    <col min="12045" max="12045" width="11.28515625" style="622" bestFit="1" customWidth="1"/>
    <col min="12046" max="12046" width="11.7109375" style="622" bestFit="1" customWidth="1"/>
    <col min="12047" max="12289" width="9.140625" style="622"/>
    <col min="12290" max="12290" width="31.28515625" style="622" customWidth="1"/>
    <col min="12291" max="12291" width="12.140625" style="622" customWidth="1"/>
    <col min="12292" max="12294" width="10.140625" style="622" bestFit="1" customWidth="1"/>
    <col min="12295" max="12295" width="9.7109375" style="622" bestFit="1" customWidth="1"/>
    <col min="12296" max="12296" width="10.28515625" style="622" bestFit="1" customWidth="1"/>
    <col min="12297" max="12297" width="11.7109375" style="622" bestFit="1" customWidth="1"/>
    <col min="12298" max="12299" width="12.85546875" style="622" bestFit="1" customWidth="1"/>
    <col min="12300" max="12300" width="12.42578125" style="622" customWidth="1"/>
    <col min="12301" max="12301" width="11.28515625" style="622" bestFit="1" customWidth="1"/>
    <col min="12302" max="12302" width="11.7109375" style="622" bestFit="1" customWidth="1"/>
    <col min="12303" max="12545" width="9.140625" style="622"/>
    <col min="12546" max="12546" width="31.28515625" style="622" customWidth="1"/>
    <col min="12547" max="12547" width="12.140625" style="622" customWidth="1"/>
    <col min="12548" max="12550" width="10.140625" style="622" bestFit="1" customWidth="1"/>
    <col min="12551" max="12551" width="9.7109375" style="622" bestFit="1" customWidth="1"/>
    <col min="12552" max="12552" width="10.28515625" style="622" bestFit="1" customWidth="1"/>
    <col min="12553" max="12553" width="11.7109375" style="622" bestFit="1" customWidth="1"/>
    <col min="12554" max="12555" width="12.85546875" style="622" bestFit="1" customWidth="1"/>
    <col min="12556" max="12556" width="12.42578125" style="622" customWidth="1"/>
    <col min="12557" max="12557" width="11.28515625" style="622" bestFit="1" customWidth="1"/>
    <col min="12558" max="12558" width="11.7109375" style="622" bestFit="1" customWidth="1"/>
    <col min="12559" max="12801" width="9.140625" style="622"/>
    <col min="12802" max="12802" width="31.28515625" style="622" customWidth="1"/>
    <col min="12803" max="12803" width="12.140625" style="622" customWidth="1"/>
    <col min="12804" max="12806" width="10.140625" style="622" bestFit="1" customWidth="1"/>
    <col min="12807" max="12807" width="9.7109375" style="622" bestFit="1" customWidth="1"/>
    <col min="12808" max="12808" width="10.28515625" style="622" bestFit="1" customWidth="1"/>
    <col min="12809" max="12809" width="11.7109375" style="622" bestFit="1" customWidth="1"/>
    <col min="12810" max="12811" width="12.85546875" style="622" bestFit="1" customWidth="1"/>
    <col min="12812" max="12812" width="12.42578125" style="622" customWidth="1"/>
    <col min="12813" max="12813" width="11.28515625" style="622" bestFit="1" customWidth="1"/>
    <col min="12814" max="12814" width="11.7109375" style="622" bestFit="1" customWidth="1"/>
    <col min="12815" max="13057" width="9.140625" style="622"/>
    <col min="13058" max="13058" width="31.28515625" style="622" customWidth="1"/>
    <col min="13059" max="13059" width="12.140625" style="622" customWidth="1"/>
    <col min="13060" max="13062" width="10.140625" style="622" bestFit="1" customWidth="1"/>
    <col min="13063" max="13063" width="9.7109375" style="622" bestFit="1" customWidth="1"/>
    <col min="13064" max="13064" width="10.28515625" style="622" bestFit="1" customWidth="1"/>
    <col min="13065" max="13065" width="11.7109375" style="622" bestFit="1" customWidth="1"/>
    <col min="13066" max="13067" width="12.85546875" style="622" bestFit="1" customWidth="1"/>
    <col min="13068" max="13068" width="12.42578125" style="622" customWidth="1"/>
    <col min="13069" max="13069" width="11.28515625" style="622" bestFit="1" customWidth="1"/>
    <col min="13070" max="13070" width="11.7109375" style="622" bestFit="1" customWidth="1"/>
    <col min="13071" max="13313" width="9.140625" style="622"/>
    <col min="13314" max="13314" width="31.28515625" style="622" customWidth="1"/>
    <col min="13315" max="13315" width="12.140625" style="622" customWidth="1"/>
    <col min="13316" max="13318" width="10.140625" style="622" bestFit="1" customWidth="1"/>
    <col min="13319" max="13319" width="9.7109375" style="622" bestFit="1" customWidth="1"/>
    <col min="13320" max="13320" width="10.28515625" style="622" bestFit="1" customWidth="1"/>
    <col min="13321" max="13321" width="11.7109375" style="622" bestFit="1" customWidth="1"/>
    <col min="13322" max="13323" width="12.85546875" style="622" bestFit="1" customWidth="1"/>
    <col min="13324" max="13324" width="12.42578125" style="622" customWidth="1"/>
    <col min="13325" max="13325" width="11.28515625" style="622" bestFit="1" customWidth="1"/>
    <col min="13326" max="13326" width="11.7109375" style="622" bestFit="1" customWidth="1"/>
    <col min="13327" max="13569" width="9.140625" style="622"/>
    <col min="13570" max="13570" width="31.28515625" style="622" customWidth="1"/>
    <col min="13571" max="13571" width="12.140625" style="622" customWidth="1"/>
    <col min="13572" max="13574" width="10.140625" style="622" bestFit="1" customWidth="1"/>
    <col min="13575" max="13575" width="9.7109375" style="622" bestFit="1" customWidth="1"/>
    <col min="13576" max="13576" width="10.28515625" style="622" bestFit="1" customWidth="1"/>
    <col min="13577" max="13577" width="11.7109375" style="622" bestFit="1" customWidth="1"/>
    <col min="13578" max="13579" width="12.85546875" style="622" bestFit="1" customWidth="1"/>
    <col min="13580" max="13580" width="12.42578125" style="622" customWidth="1"/>
    <col min="13581" max="13581" width="11.28515625" style="622" bestFit="1" customWidth="1"/>
    <col min="13582" max="13582" width="11.7109375" style="622" bestFit="1" customWidth="1"/>
    <col min="13583" max="13825" width="9.140625" style="622"/>
    <col min="13826" max="13826" width="31.28515625" style="622" customWidth="1"/>
    <col min="13827" max="13827" width="12.140625" style="622" customWidth="1"/>
    <col min="13828" max="13830" width="10.140625" style="622" bestFit="1" customWidth="1"/>
    <col min="13831" max="13831" width="9.7109375" style="622" bestFit="1" customWidth="1"/>
    <col min="13832" max="13832" width="10.28515625" style="622" bestFit="1" customWidth="1"/>
    <col min="13833" max="13833" width="11.7109375" style="622" bestFit="1" customWidth="1"/>
    <col min="13834" max="13835" width="12.85546875" style="622" bestFit="1" customWidth="1"/>
    <col min="13836" max="13836" width="12.42578125" style="622" customWidth="1"/>
    <col min="13837" max="13837" width="11.28515625" style="622" bestFit="1" customWidth="1"/>
    <col min="13838" max="13838" width="11.7109375" style="622" bestFit="1" customWidth="1"/>
    <col min="13839" max="14081" width="9.140625" style="622"/>
    <col min="14082" max="14082" width="31.28515625" style="622" customWidth="1"/>
    <col min="14083" max="14083" width="12.140625" style="622" customWidth="1"/>
    <col min="14084" max="14086" width="10.140625" style="622" bestFit="1" customWidth="1"/>
    <col min="14087" max="14087" width="9.7109375" style="622" bestFit="1" customWidth="1"/>
    <col min="14088" max="14088" width="10.28515625" style="622" bestFit="1" customWidth="1"/>
    <col min="14089" max="14089" width="11.7109375" style="622" bestFit="1" customWidth="1"/>
    <col min="14090" max="14091" width="12.85546875" style="622" bestFit="1" customWidth="1"/>
    <col min="14092" max="14092" width="12.42578125" style="622" customWidth="1"/>
    <col min="14093" max="14093" width="11.28515625" style="622" bestFit="1" customWidth="1"/>
    <col min="14094" max="14094" width="11.7109375" style="622" bestFit="1" customWidth="1"/>
    <col min="14095" max="14337" width="9.140625" style="622"/>
    <col min="14338" max="14338" width="31.28515625" style="622" customWidth="1"/>
    <col min="14339" max="14339" width="12.140625" style="622" customWidth="1"/>
    <col min="14340" max="14342" width="10.140625" style="622" bestFit="1" customWidth="1"/>
    <col min="14343" max="14343" width="9.7109375" style="622" bestFit="1" customWidth="1"/>
    <col min="14344" max="14344" width="10.28515625" style="622" bestFit="1" customWidth="1"/>
    <col min="14345" max="14345" width="11.7109375" style="622" bestFit="1" customWidth="1"/>
    <col min="14346" max="14347" width="12.85546875" style="622" bestFit="1" customWidth="1"/>
    <col min="14348" max="14348" width="12.42578125" style="622" customWidth="1"/>
    <col min="14349" max="14349" width="11.28515625" style="622" bestFit="1" customWidth="1"/>
    <col min="14350" max="14350" width="11.7109375" style="622" bestFit="1" customWidth="1"/>
    <col min="14351" max="14593" width="9.140625" style="622"/>
    <col min="14594" max="14594" width="31.28515625" style="622" customWidth="1"/>
    <col min="14595" max="14595" width="12.140625" style="622" customWidth="1"/>
    <col min="14596" max="14598" width="10.140625" style="622" bestFit="1" customWidth="1"/>
    <col min="14599" max="14599" width="9.7109375" style="622" bestFit="1" customWidth="1"/>
    <col min="14600" max="14600" width="10.28515625" style="622" bestFit="1" customWidth="1"/>
    <col min="14601" max="14601" width="11.7109375" style="622" bestFit="1" customWidth="1"/>
    <col min="14602" max="14603" width="12.85546875" style="622" bestFit="1" customWidth="1"/>
    <col min="14604" max="14604" width="12.42578125" style="622" customWidth="1"/>
    <col min="14605" max="14605" width="11.28515625" style="622" bestFit="1" customWidth="1"/>
    <col min="14606" max="14606" width="11.7109375" style="622" bestFit="1" customWidth="1"/>
    <col min="14607" max="14849" width="9.140625" style="622"/>
    <col min="14850" max="14850" width="31.28515625" style="622" customWidth="1"/>
    <col min="14851" max="14851" width="12.140625" style="622" customWidth="1"/>
    <col min="14852" max="14854" width="10.140625" style="622" bestFit="1" customWidth="1"/>
    <col min="14855" max="14855" width="9.7109375" style="622" bestFit="1" customWidth="1"/>
    <col min="14856" max="14856" width="10.28515625" style="622" bestFit="1" customWidth="1"/>
    <col min="14857" max="14857" width="11.7109375" style="622" bestFit="1" customWidth="1"/>
    <col min="14858" max="14859" width="12.85546875" style="622" bestFit="1" customWidth="1"/>
    <col min="14860" max="14860" width="12.42578125" style="622" customWidth="1"/>
    <col min="14861" max="14861" width="11.28515625" style="622" bestFit="1" customWidth="1"/>
    <col min="14862" max="14862" width="11.7109375" style="622" bestFit="1" customWidth="1"/>
    <col min="14863" max="15105" width="9.140625" style="622"/>
    <col min="15106" max="15106" width="31.28515625" style="622" customWidth="1"/>
    <col min="15107" max="15107" width="12.140625" style="622" customWidth="1"/>
    <col min="15108" max="15110" width="10.140625" style="622" bestFit="1" customWidth="1"/>
    <col min="15111" max="15111" width="9.7109375" style="622" bestFit="1" customWidth="1"/>
    <col min="15112" max="15112" width="10.28515625" style="622" bestFit="1" customWidth="1"/>
    <col min="15113" max="15113" width="11.7109375" style="622" bestFit="1" customWidth="1"/>
    <col min="15114" max="15115" width="12.85546875" style="622" bestFit="1" customWidth="1"/>
    <col min="15116" max="15116" width="12.42578125" style="622" customWidth="1"/>
    <col min="15117" max="15117" width="11.28515625" style="622" bestFit="1" customWidth="1"/>
    <col min="15118" max="15118" width="11.7109375" style="622" bestFit="1" customWidth="1"/>
    <col min="15119" max="15361" width="9.140625" style="622"/>
    <col min="15362" max="15362" width="31.28515625" style="622" customWidth="1"/>
    <col min="15363" max="15363" width="12.140625" style="622" customWidth="1"/>
    <col min="15364" max="15366" width="10.140625" style="622" bestFit="1" customWidth="1"/>
    <col min="15367" max="15367" width="9.7109375" style="622" bestFit="1" customWidth="1"/>
    <col min="15368" max="15368" width="10.28515625" style="622" bestFit="1" customWidth="1"/>
    <col min="15369" max="15369" width="11.7109375" style="622" bestFit="1" customWidth="1"/>
    <col min="15370" max="15371" width="12.85546875" style="622" bestFit="1" customWidth="1"/>
    <col min="15372" max="15372" width="12.42578125" style="622" customWidth="1"/>
    <col min="15373" max="15373" width="11.28515625" style="622" bestFit="1" customWidth="1"/>
    <col min="15374" max="15374" width="11.7109375" style="622" bestFit="1" customWidth="1"/>
    <col min="15375" max="15617" width="9.140625" style="622"/>
    <col min="15618" max="15618" width="31.28515625" style="622" customWidth="1"/>
    <col min="15619" max="15619" width="12.140625" style="622" customWidth="1"/>
    <col min="15620" max="15622" width="10.140625" style="622" bestFit="1" customWidth="1"/>
    <col min="15623" max="15623" width="9.7109375" style="622" bestFit="1" customWidth="1"/>
    <col min="15624" max="15624" width="10.28515625" style="622" bestFit="1" customWidth="1"/>
    <col min="15625" max="15625" width="11.7109375" style="622" bestFit="1" customWidth="1"/>
    <col min="15626" max="15627" width="12.85546875" style="622" bestFit="1" customWidth="1"/>
    <col min="15628" max="15628" width="12.42578125" style="622" customWidth="1"/>
    <col min="15629" max="15629" width="11.28515625" style="622" bestFit="1" customWidth="1"/>
    <col min="15630" max="15630" width="11.7109375" style="622" bestFit="1" customWidth="1"/>
    <col min="15631" max="15873" width="9.140625" style="622"/>
    <col min="15874" max="15874" width="31.28515625" style="622" customWidth="1"/>
    <col min="15875" max="15875" width="12.140625" style="622" customWidth="1"/>
    <col min="15876" max="15878" width="10.140625" style="622" bestFit="1" customWidth="1"/>
    <col min="15879" max="15879" width="9.7109375" style="622" bestFit="1" customWidth="1"/>
    <col min="15880" max="15880" width="10.28515625" style="622" bestFit="1" customWidth="1"/>
    <col min="15881" max="15881" width="11.7109375" style="622" bestFit="1" customWidth="1"/>
    <col min="15882" max="15883" width="12.85546875" style="622" bestFit="1" customWidth="1"/>
    <col min="15884" max="15884" width="12.42578125" style="622" customWidth="1"/>
    <col min="15885" max="15885" width="11.28515625" style="622" bestFit="1" customWidth="1"/>
    <col min="15886" max="15886" width="11.7109375" style="622" bestFit="1" customWidth="1"/>
    <col min="15887" max="16129" width="9.140625" style="622"/>
    <col min="16130" max="16130" width="31.28515625" style="622" customWidth="1"/>
    <col min="16131" max="16131" width="12.140625" style="622" customWidth="1"/>
    <col min="16132" max="16134" width="10.140625" style="622" bestFit="1" customWidth="1"/>
    <col min="16135" max="16135" width="9.7109375" style="622" bestFit="1" customWidth="1"/>
    <col min="16136" max="16136" width="10.28515625" style="622" bestFit="1" customWidth="1"/>
    <col min="16137" max="16137" width="11.7109375" style="622" bestFit="1" customWidth="1"/>
    <col min="16138" max="16139" width="12.85546875" style="622" bestFit="1" customWidth="1"/>
    <col min="16140" max="16140" width="12.42578125" style="622" customWidth="1"/>
    <col min="16141" max="16141" width="11.28515625" style="622" bestFit="1" customWidth="1"/>
    <col min="16142" max="16142" width="11.7109375" style="622" bestFit="1" customWidth="1"/>
    <col min="16143" max="16384" width="9.140625" style="622"/>
  </cols>
  <sheetData>
    <row r="1" spans="1:14" ht="12.75" customHeight="1">
      <c r="A1" s="1538" t="s">
        <v>509</v>
      </c>
      <c r="B1" s="1539"/>
      <c r="C1" s="1539"/>
      <c r="D1" s="1539"/>
      <c r="E1" s="1539"/>
      <c r="F1" s="1539"/>
      <c r="G1" s="1539"/>
      <c r="H1" s="1540"/>
      <c r="I1" s="1541" t="s">
        <v>494</v>
      </c>
      <c r="J1" s="1542"/>
      <c r="K1" s="1542"/>
      <c r="L1" s="1542"/>
      <c r="M1" s="1542"/>
      <c r="N1" s="1545" t="s">
        <v>330</v>
      </c>
    </row>
    <row r="2" spans="1:14">
      <c r="A2" s="1547"/>
      <c r="B2" s="1548"/>
      <c r="C2" s="1548"/>
      <c r="D2" s="1548"/>
      <c r="E2" s="1548"/>
      <c r="F2" s="1548"/>
      <c r="G2" s="1548"/>
      <c r="H2" s="1548"/>
      <c r="I2" s="1543"/>
      <c r="J2" s="1544"/>
      <c r="K2" s="1544"/>
      <c r="L2" s="1544"/>
      <c r="M2" s="1544"/>
      <c r="N2" s="1546"/>
    </row>
    <row r="3" spans="1:14">
      <c r="A3" s="749" t="s">
        <v>747</v>
      </c>
      <c r="B3" s="748" t="str">
        <f>'F1 Forecast Consultant'!C3</f>
        <v>Western</v>
      </c>
      <c r="H3" s="527"/>
      <c r="I3" s="1549" t="s">
        <v>495</v>
      </c>
      <c r="J3" s="1550"/>
      <c r="K3" s="1532">
        <f>'F1  Cover'!K8</f>
        <v>1</v>
      </c>
      <c r="L3" s="1533"/>
      <c r="M3" s="1533"/>
      <c r="N3" s="1534"/>
    </row>
    <row r="4" spans="1:14" ht="13.5" thickBot="1">
      <c r="A4" s="1551"/>
      <c r="B4" s="1552"/>
      <c r="C4" s="1552"/>
      <c r="D4" s="1552"/>
      <c r="E4" s="1552"/>
      <c r="F4" s="1552"/>
      <c r="G4" s="1552"/>
      <c r="H4" s="1552"/>
      <c r="I4" s="1553" t="s">
        <v>496</v>
      </c>
      <c r="J4" s="1554"/>
      <c r="K4" s="1555" t="str">
        <f>'F1 Forecast Combined'!E3</f>
        <v>NRA.N.011-050-2012/1F</v>
      </c>
      <c r="L4" s="1555"/>
      <c r="M4" s="1555"/>
      <c r="N4" s="1556"/>
    </row>
    <row r="5" spans="1:14" ht="13.5" thickBot="1">
      <c r="A5" s="727" t="s">
        <v>497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" thickBot="1">
      <c r="A6" s="724" t="s">
        <v>100</v>
      </c>
      <c r="B6" s="725" t="s">
        <v>0</v>
      </c>
      <c r="C6" s="730" t="s">
        <v>1</v>
      </c>
      <c r="D6" s="716" t="s">
        <v>498</v>
      </c>
      <c r="E6" s="717" t="s">
        <v>499</v>
      </c>
      <c r="F6" s="717" t="s">
        <v>500</v>
      </c>
      <c r="G6" s="717" t="s">
        <v>501</v>
      </c>
      <c r="H6" s="718" t="s">
        <v>502</v>
      </c>
      <c r="I6" s="731" t="s">
        <v>3</v>
      </c>
      <c r="J6" s="717" t="s">
        <v>503</v>
      </c>
      <c r="K6" s="717" t="s">
        <v>504</v>
      </c>
      <c r="L6" s="717" t="s">
        <v>505</v>
      </c>
      <c r="M6" s="717" t="s">
        <v>506</v>
      </c>
      <c r="N6" s="718" t="s">
        <v>507</v>
      </c>
    </row>
    <row r="7" spans="1:14" ht="31.5" customHeight="1">
      <c r="A7" s="624">
        <f>'Pricing Schedule'!A22</f>
        <v>3.3</v>
      </c>
      <c r="B7" s="625" t="str">
        <f>'Pricing Schedule'!B22</f>
        <v>INVESTIGATIONS FOR DESIGN DEVELOPMENT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Schedule'!A23</f>
        <v>3.3.1</v>
      </c>
      <c r="B8" s="630" t="str">
        <f>'Pricing Schedule'!B23</f>
        <v>Survey Services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Schedule'!B24</f>
        <v>(a) Survey Services when procured by service provider</v>
      </c>
      <c r="C9" s="643" t="str">
        <f>'Pricing Schedule'!C24</f>
        <v>prime cost (PC)</v>
      </c>
      <c r="D9" s="651">
        <v>1</v>
      </c>
      <c r="E9" s="722">
        <f>D9</f>
        <v>1</v>
      </c>
      <c r="F9" s="855">
        <f>DATA!$AA$52</f>
        <v>0</v>
      </c>
      <c r="G9" s="854">
        <f>'Pg 4 P Sums'!K11-'C3.3'!F9</f>
        <v>0</v>
      </c>
      <c r="H9" s="632">
        <f>F9+G9</f>
        <v>0</v>
      </c>
      <c r="I9" s="733">
        <f>'Pricing Schedule'!F24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6.75" customHeight="1">
      <c r="A10" s="784"/>
      <c r="B10" s="630" t="str">
        <f>'Pricing Schedule'!B25</f>
        <v>(b) Cost for procuring and managing sub-service providerService Provider under sub-item 3.3.1(a)</v>
      </c>
      <c r="C10" s="643" t="str">
        <f>'Pricing Schedule'!C25</f>
        <v>lump sum (LS)</v>
      </c>
      <c r="D10" s="651">
        <v>1</v>
      </c>
      <c r="E10" s="1058">
        <v>1</v>
      </c>
      <c r="F10" s="855">
        <f>DATA!$AB$52</f>
        <v>0</v>
      </c>
      <c r="G10" s="722"/>
      <c r="H10" s="632">
        <f>F10+G10</f>
        <v>0</v>
      </c>
      <c r="I10" s="733">
        <f>'Pricing Schedule'!F25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784"/>
      <c r="B11" s="630" t="str">
        <f>'Pricing Schedule'!B26</f>
        <v>(c) Cost when making use of SANRAL’s Property Service Providers</v>
      </c>
      <c r="C11" s="643" t="str">
        <f>'Pricing Schedule'!C26</f>
        <v>lump sum (LS)</v>
      </c>
      <c r="D11" s="651">
        <v>1</v>
      </c>
      <c r="E11" s="1058">
        <v>1</v>
      </c>
      <c r="F11" s="855">
        <f>DATA!$AC$52</f>
        <v>0</v>
      </c>
      <c r="G11" s="722"/>
      <c r="H11" s="632">
        <f>F11+G11</f>
        <v>0</v>
      </c>
      <c r="I11" s="733">
        <f>'Pricing Schedule'!F26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>
      <c r="A12" s="629" t="str">
        <f>'Pricing Schedule'!A27</f>
        <v>3.3.2</v>
      </c>
      <c r="B12" s="630" t="str">
        <f>'Pricing Schedule'!B27</f>
        <v>Traffic Monitoring Services</v>
      </c>
      <c r="C12" s="643"/>
      <c r="D12" s="651"/>
      <c r="E12" s="631"/>
      <c r="F12" s="631"/>
      <c r="G12" s="631"/>
      <c r="H12" s="632"/>
      <c r="I12" s="733"/>
      <c r="J12" s="631"/>
      <c r="K12" s="631"/>
      <c r="L12" s="631"/>
      <c r="M12" s="631"/>
      <c r="N12" s="633"/>
    </row>
    <row r="13" spans="1:14" ht="31.5" customHeight="1">
      <c r="A13" s="629"/>
      <c r="B13" s="630" t="str">
        <f>'Pricing Schedule'!B28</f>
        <v>(a) Traffic Monitoring Services when procured by Service Provider</v>
      </c>
      <c r="C13" s="643" t="str">
        <f>'Pricing Schedule'!C28</f>
        <v>prime cost (PC)</v>
      </c>
      <c r="D13" s="651">
        <v>1</v>
      </c>
      <c r="E13" s="722">
        <f t="shared" ref="E13" si="0">D13</f>
        <v>1</v>
      </c>
      <c r="F13" s="855">
        <f>DATA!$JT$52</f>
        <v>0</v>
      </c>
      <c r="G13" s="854">
        <f>'Pg 4 P Sums'!K20-'C3.3'!F13</f>
        <v>0</v>
      </c>
      <c r="H13" s="632">
        <f>F13+G13</f>
        <v>0</v>
      </c>
      <c r="I13" s="733">
        <f>'Pricing Schedule'!F28</f>
        <v>500000</v>
      </c>
      <c r="J13" s="631">
        <f>D13*I13</f>
        <v>500000</v>
      </c>
      <c r="K13" s="631">
        <f>E13*I13</f>
        <v>500000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84"/>
      <c r="B14" s="630" t="str">
        <f>'Pricing Schedule'!B29</f>
        <v>(b) Cost for procuring and managing sub-Service Provider under sub-item 3.3.2(a)</v>
      </c>
      <c r="C14" s="643" t="str">
        <f>'Pricing Schedule'!C29</f>
        <v>lump sum (LS)</v>
      </c>
      <c r="D14" s="651">
        <v>1</v>
      </c>
      <c r="E14" s="1058">
        <v>1</v>
      </c>
      <c r="F14" s="855">
        <f>DATA!$JU$52</f>
        <v>0</v>
      </c>
      <c r="G14" s="722"/>
      <c r="H14" s="632">
        <f>F14+G14</f>
        <v>0</v>
      </c>
      <c r="I14" s="733">
        <f>'Pricing Schedule'!F29</f>
        <v>0</v>
      </c>
      <c r="J14" s="631">
        <f>D14*I14</f>
        <v>0</v>
      </c>
      <c r="K14" s="631">
        <f>E14*I14</f>
        <v>0</v>
      </c>
      <c r="L14" s="631">
        <f>F14*I14</f>
        <v>0</v>
      </c>
      <c r="M14" s="631">
        <f>G14*I14</f>
        <v>0</v>
      </c>
      <c r="N14" s="632">
        <f>H14*I14</f>
        <v>0</v>
      </c>
    </row>
    <row r="15" spans="1:14" ht="31.5" customHeight="1">
      <c r="A15" s="784"/>
      <c r="B15" s="630" t="str">
        <f>'Pricing Schedule'!B30</f>
        <v>(c) Cost when making use of SANRAL’s Traffic Monitoring Service Provider (TMSP)</v>
      </c>
      <c r="C15" s="643" t="str">
        <f>'Pricing Schedule'!C30</f>
        <v>lump sum (LS)</v>
      </c>
      <c r="D15" s="651">
        <v>1</v>
      </c>
      <c r="E15" s="1058">
        <v>1</v>
      </c>
      <c r="F15" s="855">
        <f>DATA!$JV$52</f>
        <v>0</v>
      </c>
      <c r="G15" s="722"/>
      <c r="H15" s="632">
        <f>F15+G15</f>
        <v>0</v>
      </c>
      <c r="I15" s="733">
        <f>'Pricing Schedule'!F30</f>
        <v>0</v>
      </c>
      <c r="J15" s="631">
        <f>D15*I15</f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2">
        <f>H15*I15</f>
        <v>0</v>
      </c>
    </row>
    <row r="16" spans="1:14" ht="31.5" customHeight="1">
      <c r="A16" s="629" t="str">
        <f>'Pricing Schedule'!A31</f>
        <v>3.3.3</v>
      </c>
      <c r="B16" s="630" t="str">
        <f>'Pricing Schedule'!B31</f>
        <v>Environmental  Services</v>
      </c>
      <c r="C16" s="643"/>
      <c r="D16" s="651"/>
      <c r="E16" s="631"/>
      <c r="F16" s="631"/>
      <c r="G16" s="631"/>
      <c r="H16" s="632"/>
      <c r="I16" s="733"/>
      <c r="J16" s="631"/>
      <c r="K16" s="631"/>
      <c r="L16" s="631"/>
      <c r="M16" s="631"/>
      <c r="N16" s="633"/>
    </row>
    <row r="17" spans="1:14" ht="31.5" customHeight="1">
      <c r="A17" s="629"/>
      <c r="B17" s="630" t="str">
        <f>'Pricing Schedule'!B32</f>
        <v>(a) Environmental services during design stage</v>
      </c>
      <c r="C17" s="643" t="str">
        <f>'Pricing Schedule'!C32</f>
        <v>prime cost (PC)</v>
      </c>
      <c r="D17" s="651">
        <v>1</v>
      </c>
      <c r="E17" s="722">
        <f>D17</f>
        <v>1</v>
      </c>
      <c r="F17" s="855">
        <f>DATA!AD52</f>
        <v>0</v>
      </c>
      <c r="G17" s="854">
        <f>'Pg 4 P Sums'!K29-'C3.3'!F17</f>
        <v>0</v>
      </c>
      <c r="H17" s="632">
        <f>F17+G17</f>
        <v>0</v>
      </c>
      <c r="I17" s="733">
        <f>'Pricing Schedule'!F32</f>
        <v>3500000</v>
      </c>
      <c r="J17" s="631">
        <f>D17*I17</f>
        <v>3500000</v>
      </c>
      <c r="K17" s="631">
        <f>E17*I17</f>
        <v>3500000</v>
      </c>
      <c r="L17" s="631">
        <f>F17*I17</f>
        <v>0</v>
      </c>
      <c r="M17" s="631">
        <f>G17*I17</f>
        <v>0</v>
      </c>
      <c r="N17" s="632">
        <f>H17*I17</f>
        <v>0</v>
      </c>
    </row>
    <row r="18" spans="1:14" ht="31.5" customHeight="1">
      <c r="A18" s="784"/>
      <c r="B18" s="630" t="str">
        <f>'Pricing Schedule'!B33</f>
        <v>(b) Cost for procuring and managing sub-service provider under sub-item 3.3.3(a)</v>
      </c>
      <c r="C18" s="643" t="str">
        <f>'Pricing Schedule'!C33</f>
        <v>lump sum (LS)</v>
      </c>
      <c r="D18" s="651">
        <v>1</v>
      </c>
      <c r="E18" s="1058">
        <v>1</v>
      </c>
      <c r="F18" s="855">
        <f>DATA!AE52</f>
        <v>0</v>
      </c>
      <c r="G18" s="722"/>
      <c r="H18" s="632">
        <f>F18+G18</f>
        <v>0</v>
      </c>
      <c r="I18" s="733">
        <f>'Pricing Schedule'!F33</f>
        <v>0</v>
      </c>
      <c r="J18" s="631">
        <f>D18*I18</f>
        <v>0</v>
      </c>
      <c r="K18" s="631">
        <f>E18*I18</f>
        <v>0</v>
      </c>
      <c r="L18" s="631">
        <f>F18*I18</f>
        <v>0</v>
      </c>
      <c r="M18" s="631">
        <f>G18*I18</f>
        <v>0</v>
      </c>
      <c r="N18" s="632">
        <f>H18*I18</f>
        <v>0</v>
      </c>
    </row>
    <row r="19" spans="1:14" ht="31.5" customHeight="1">
      <c r="A19" s="629" t="str">
        <f>'Pricing Schedule'!A34</f>
        <v>3.3.4</v>
      </c>
      <c r="B19" s="630" t="str">
        <f>'Pricing Schedule'!B34</f>
        <v>Geotechnical and Drilling Services</v>
      </c>
      <c r="C19" s="643"/>
      <c r="D19" s="651"/>
      <c r="E19" s="631"/>
      <c r="F19" s="631"/>
      <c r="G19" s="631"/>
      <c r="H19" s="632"/>
      <c r="I19" s="733"/>
      <c r="J19" s="631"/>
      <c r="K19" s="631"/>
      <c r="L19" s="631"/>
      <c r="M19" s="631"/>
      <c r="N19" s="633"/>
    </row>
    <row r="20" spans="1:14" ht="31.5" customHeight="1">
      <c r="A20" s="629"/>
      <c r="B20" s="630" t="str">
        <f>'Pricing Schedule'!B35</f>
        <v>(a) Professional Service for Geotechnical and/or Drilling services investigations</v>
      </c>
      <c r="C20" s="643" t="str">
        <f>'Pricing Schedule'!C35</f>
        <v>prime cost (PC)</v>
      </c>
      <c r="D20" s="651">
        <v>1</v>
      </c>
      <c r="E20" s="722">
        <f t="shared" ref="E20:E25" si="1">D20</f>
        <v>1</v>
      </c>
      <c r="F20" s="855">
        <f>DATA!AI52</f>
        <v>0</v>
      </c>
      <c r="G20" s="854">
        <f>'Pg 4 P Sums'!K38-'C3.3'!F20</f>
        <v>0</v>
      </c>
      <c r="H20" s="632">
        <f>F20+G20</f>
        <v>0</v>
      </c>
      <c r="I20" s="733">
        <f>'Pricing Schedule'!F35</f>
        <v>750000</v>
      </c>
      <c r="J20" s="631">
        <f>D20*I20</f>
        <v>750000</v>
      </c>
      <c r="K20" s="631">
        <f>E20*I20</f>
        <v>750000</v>
      </c>
      <c r="L20" s="631">
        <f>F20*I20</f>
        <v>0</v>
      </c>
      <c r="M20" s="631">
        <f>G20*I20</f>
        <v>0</v>
      </c>
      <c r="N20" s="632">
        <f>H20*I20</f>
        <v>0</v>
      </c>
    </row>
    <row r="21" spans="1:14" ht="51">
      <c r="A21" s="784"/>
      <c r="B21" s="630" t="str">
        <f>'Pricing Schedule'!B36</f>
        <v>(b) Handling costs for planning, procuring professional services for geotechnical and/or drilling investigations i.r.o. item 3.3.4(a)</v>
      </c>
      <c r="C21" s="643" t="str">
        <f>'Pricing Schedule'!C36</f>
        <v>lump sum (LS)</v>
      </c>
      <c r="D21" s="651">
        <v>1</v>
      </c>
      <c r="E21" s="1058">
        <v>1</v>
      </c>
      <c r="F21" s="855">
        <f>DATA!AJ52</f>
        <v>0</v>
      </c>
      <c r="G21" s="722"/>
      <c r="H21" s="632">
        <f>F21+G21</f>
        <v>0</v>
      </c>
      <c r="I21" s="733">
        <f>'Pricing Schedule'!F36</f>
        <v>0</v>
      </c>
      <c r="J21" s="631">
        <f>D21*I21</f>
        <v>0</v>
      </c>
      <c r="K21" s="631">
        <f>E21*I21</f>
        <v>0</v>
      </c>
      <c r="L21" s="631">
        <f>F21*I21</f>
        <v>0</v>
      </c>
      <c r="M21" s="631">
        <f>G21*I21</f>
        <v>0</v>
      </c>
      <c r="N21" s="632">
        <f>H21*I21</f>
        <v>0</v>
      </c>
    </row>
    <row r="22" spans="1:14" ht="38.25">
      <c r="A22" s="784"/>
      <c r="B22" s="630" t="str">
        <f>'Pricing Schedule'!B37</f>
        <v>(c)  Administration and monitoring of the geotechnical and/or drilling contract by the engineer</v>
      </c>
      <c r="C22" s="643" t="str">
        <f>'Pricing Schedule'!C37</f>
        <v>month</v>
      </c>
      <c r="D22" s="651">
        <f>'Pricing Schedule'!D37</f>
        <v>3</v>
      </c>
      <c r="E22" s="722">
        <f t="shared" si="1"/>
        <v>3</v>
      </c>
      <c r="F22" s="855">
        <f>DATA!AF52</f>
        <v>0</v>
      </c>
      <c r="G22" s="722"/>
      <c r="H22" s="632">
        <f>F22+G22</f>
        <v>0</v>
      </c>
      <c r="I22" s="733">
        <f>'Pricing Schedule'!E37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Schedule'!B38</f>
        <v>(d)  Supervision of the work:</v>
      </c>
      <c r="C23" s="643"/>
      <c r="D23" s="651"/>
      <c r="E23" s="631"/>
      <c r="F23" s="631"/>
      <c r="G23" s="631"/>
      <c r="H23" s="632"/>
      <c r="I23" s="733"/>
      <c r="J23" s="631"/>
      <c r="K23" s="631"/>
      <c r="L23" s="631"/>
      <c r="M23" s="631"/>
      <c r="N23" s="633"/>
    </row>
    <row r="24" spans="1:14" ht="31.5" customHeight="1">
      <c r="A24" s="629"/>
      <c r="B24" s="630" t="str">
        <f>'Pricing Schedule'!B39</f>
        <v xml:space="preserve">    (i)   Full time</v>
      </c>
      <c r="C24" s="643" t="str">
        <f>'Pricing Schedule'!C39</f>
        <v>provisional sum (PS)</v>
      </c>
      <c r="D24" s="651">
        <v>1</v>
      </c>
      <c r="E24" s="722">
        <f t="shared" si="1"/>
        <v>1</v>
      </c>
      <c r="F24" s="855">
        <f>DATA!AG52</f>
        <v>0</v>
      </c>
      <c r="G24" s="854">
        <f>'Pg 4 P Sums'!K47-'C3.3'!F24</f>
        <v>0</v>
      </c>
      <c r="H24" s="632">
        <f>F24+G24</f>
        <v>0</v>
      </c>
      <c r="I24" s="733">
        <f>'Pricing Schedule'!F39</f>
        <v>1000000</v>
      </c>
      <c r="J24" s="631">
        <f>D24*I24</f>
        <v>1000000</v>
      </c>
      <c r="K24" s="631">
        <f>E24*I24</f>
        <v>1000000</v>
      </c>
      <c r="L24" s="631">
        <f>F24*I24</f>
        <v>0</v>
      </c>
      <c r="M24" s="631">
        <f>G24*I24</f>
        <v>0</v>
      </c>
      <c r="N24" s="632">
        <f>H24*I24</f>
        <v>0</v>
      </c>
    </row>
    <row r="25" spans="1:14" ht="31.5" customHeight="1">
      <c r="A25" s="629"/>
      <c r="B25" s="953" t="str">
        <f>'Pricing Schedule'!B40</f>
        <v>(ii)  Engineering Geologist for logging of cores and Profiling of test pits</v>
      </c>
      <c r="C25" s="643" t="str">
        <f>'Pricing Schedule'!C40</f>
        <v>prime cost (PC)</v>
      </c>
      <c r="D25" s="651">
        <v>1</v>
      </c>
      <c r="E25" s="722">
        <f t="shared" si="1"/>
        <v>1</v>
      </c>
      <c r="F25" s="855">
        <f>DATA!AH52</f>
        <v>0</v>
      </c>
      <c r="G25" s="854">
        <f>'Pg 4 P Sums'!K55-'C3.3'!F25</f>
        <v>0</v>
      </c>
      <c r="H25" s="632">
        <f>F25+G25</f>
        <v>0</v>
      </c>
      <c r="I25" s="733">
        <f>'Pricing Schedule'!F40</f>
        <v>500000</v>
      </c>
      <c r="J25" s="631">
        <f>D25*I25</f>
        <v>500000</v>
      </c>
      <c r="K25" s="631">
        <f>E25*I25</f>
        <v>500000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Schedule'!B41</f>
        <v xml:space="preserve">   (iii)  Accommodation costs</v>
      </c>
      <c r="C26" s="643" t="str">
        <f>'Pricing Schedule'!C41</f>
        <v>prime cost (PC)</v>
      </c>
      <c r="D26" s="651">
        <v>1</v>
      </c>
      <c r="E26" s="722">
        <f>D26</f>
        <v>1</v>
      </c>
      <c r="F26" s="855">
        <f>DATA!JW52</f>
        <v>0</v>
      </c>
      <c r="G26" s="854">
        <f>'Pg 4 P Sums'!K63-'C3.3'!F26</f>
        <v>0</v>
      </c>
      <c r="H26" s="632">
        <f>F26+G26</f>
        <v>0</v>
      </c>
      <c r="I26" s="733">
        <f>'Pricing Schedule'!F41</f>
        <v>150000</v>
      </c>
      <c r="J26" s="631">
        <f>D26*I26</f>
        <v>150000</v>
      </c>
      <c r="K26" s="631">
        <f>E26*I26</f>
        <v>150000</v>
      </c>
      <c r="L26" s="631">
        <f>F26*I26</f>
        <v>0</v>
      </c>
      <c r="M26" s="631">
        <f>G26*I26</f>
        <v>0</v>
      </c>
      <c r="N26" s="632">
        <f>H26*I26</f>
        <v>0</v>
      </c>
    </row>
    <row r="27" spans="1:14" ht="38.25">
      <c r="A27" s="784"/>
      <c r="B27" s="630" t="str">
        <f>'Pricing Schedule'!B42</f>
        <v xml:space="preserve">   (iv)  Occupational Health and Safety obligations (continuous compliance and monthly audits)</v>
      </c>
      <c r="C27" s="643" t="str">
        <f>'Pricing Schedule'!C42</f>
        <v>month</v>
      </c>
      <c r="D27" s="651">
        <f>'Pricing Schedule'!D42</f>
        <v>3</v>
      </c>
      <c r="E27" s="722">
        <f>D27</f>
        <v>3</v>
      </c>
      <c r="F27" s="855">
        <f>DATA!AM52</f>
        <v>0</v>
      </c>
      <c r="G27" s="722"/>
      <c r="H27" s="632">
        <f t="shared" ref="H27" si="2">F27+G27</f>
        <v>0</v>
      </c>
      <c r="I27" s="733">
        <f>'Pricing Schedule'!E42</f>
        <v>0</v>
      </c>
      <c r="J27" s="631">
        <f t="shared" ref="J27" si="3">D27*I27</f>
        <v>0</v>
      </c>
      <c r="K27" s="631">
        <f t="shared" ref="K27" si="4">E27*I27</f>
        <v>0</v>
      </c>
      <c r="L27" s="631">
        <f t="shared" ref="L27" si="5">F27*I27</f>
        <v>0</v>
      </c>
      <c r="M27" s="631">
        <f t="shared" ref="M27" si="6">G27*I27</f>
        <v>0</v>
      </c>
      <c r="N27" s="632">
        <f t="shared" ref="N27" si="7">H27*I27</f>
        <v>0</v>
      </c>
    </row>
    <row r="28" spans="1:14" ht="31.5" customHeight="1">
      <c r="A28" s="629"/>
      <c r="B28" s="630" t="str">
        <f>'Pricing Schedule'!B43</f>
        <v>(e)  Contracting Services for Geotechnical and Drilling Works:</v>
      </c>
      <c r="C28" s="643"/>
      <c r="D28" s="651"/>
      <c r="E28" s="631"/>
      <c r="F28" s="631"/>
      <c r="G28" s="631"/>
      <c r="H28" s="632"/>
      <c r="I28" s="733"/>
      <c r="J28" s="631"/>
      <c r="K28" s="631"/>
      <c r="L28" s="631"/>
      <c r="M28" s="631"/>
      <c r="N28" s="633"/>
    </row>
    <row r="29" spans="1:14" ht="31.5" customHeight="1">
      <c r="A29" s="629"/>
      <c r="B29" s="630" t="str">
        <f>'Pricing Schedule'!B44</f>
        <v>(i)  Geotechnical and Drilling contractor</v>
      </c>
      <c r="C29" s="643" t="str">
        <f>'Pricing Schedule'!C44</f>
        <v>prime cost (PC)</v>
      </c>
      <c r="D29" s="651">
        <v>1</v>
      </c>
      <c r="E29" s="722">
        <f>D29</f>
        <v>1</v>
      </c>
      <c r="F29" s="855">
        <f>DATA!JX52</f>
        <v>0</v>
      </c>
      <c r="G29" s="854">
        <f>'Pg 4 P Sums'!K72-'C3.3'!F29</f>
        <v>0</v>
      </c>
      <c r="H29" s="632">
        <f>F29+G29</f>
        <v>0</v>
      </c>
      <c r="I29" s="733">
        <f>'Pricing Schedule'!F44</f>
        <v>12000000</v>
      </c>
      <c r="J29" s="631">
        <f>D29*I29</f>
        <v>12000000</v>
      </c>
      <c r="K29" s="631">
        <f>E29*I29</f>
        <v>12000000</v>
      </c>
      <c r="L29" s="631">
        <f>F29*I29</f>
        <v>0</v>
      </c>
      <c r="M29" s="631">
        <f>G29*I29</f>
        <v>0</v>
      </c>
      <c r="N29" s="632">
        <f>H29*I29</f>
        <v>0</v>
      </c>
    </row>
    <row r="30" spans="1:14" ht="38.25">
      <c r="A30" s="784"/>
      <c r="B30" s="630" t="str">
        <f>'Pricing Schedule'!B45</f>
        <v xml:space="preserve">  (ii)  Handling cost for planning, procuring Contracting Services for geotechnical and drilling Works i.r.o item 3.3.4(e)(i)</v>
      </c>
      <c r="C30" s="643" t="str">
        <f>'Pricing Schedule'!C45</f>
        <v>lump sum (LS)</v>
      </c>
      <c r="D30" s="651">
        <v>1</v>
      </c>
      <c r="E30" s="1058">
        <v>1</v>
      </c>
      <c r="F30" s="855">
        <f>DATA!JY52</f>
        <v>0</v>
      </c>
      <c r="G30" s="722"/>
      <c r="H30" s="632">
        <f>F30+G30</f>
        <v>0</v>
      </c>
      <c r="I30" s="733">
        <f>'Pricing Schedule'!F45</f>
        <v>0</v>
      </c>
      <c r="J30" s="631">
        <f>D30*I30</f>
        <v>0</v>
      </c>
      <c r="K30" s="631">
        <f>E30*I30</f>
        <v>0</v>
      </c>
      <c r="L30" s="631">
        <f>F30*I30</f>
        <v>0</v>
      </c>
      <c r="M30" s="631">
        <f>G30*I30</f>
        <v>0</v>
      </c>
      <c r="N30" s="632">
        <f>H30*I30</f>
        <v>0</v>
      </c>
    </row>
    <row r="31" spans="1:14" ht="31.5" customHeight="1">
      <c r="A31" s="629" t="str">
        <f>'Pricing Schedule'!A46</f>
        <v>3.3.5</v>
      </c>
      <c r="B31" s="630" t="str">
        <f>'Pricing Schedule'!B46</f>
        <v>Pavement investigation and sampling</v>
      </c>
      <c r="C31" s="643"/>
      <c r="D31" s="651"/>
      <c r="E31" s="631"/>
      <c r="F31" s="631"/>
      <c r="G31" s="631"/>
      <c r="H31" s="632"/>
      <c r="I31" s="733"/>
      <c r="J31" s="631"/>
      <c r="K31" s="631"/>
      <c r="L31" s="631"/>
      <c r="M31" s="631"/>
      <c r="N31" s="633"/>
    </row>
    <row r="32" spans="1:14" ht="31.5" customHeight="1">
      <c r="A32" s="784"/>
      <c r="B32" s="630" t="str">
        <f>'Pricing Schedule'!B47</f>
        <v>(a) Establishment of personnel and equipment for test pitting</v>
      </c>
      <c r="C32" s="643" t="str">
        <f>'Pricing Schedule'!C47</f>
        <v>lump sum (LS)</v>
      </c>
      <c r="D32" s="651">
        <v>1</v>
      </c>
      <c r="E32" s="1058">
        <v>1</v>
      </c>
      <c r="F32" s="855">
        <f>DATA!JZ52</f>
        <v>0</v>
      </c>
      <c r="G32" s="722"/>
      <c r="H32" s="632">
        <f>F32+G32</f>
        <v>0</v>
      </c>
      <c r="I32" s="733">
        <f>'Pricing Schedule'!F47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784"/>
      <c r="B33" s="630" t="str">
        <f>'Pricing Schedule'!B48</f>
        <v>(b) Pavement test pit, sampling &amp; profiling</v>
      </c>
      <c r="C33" s="643" t="str">
        <f>'Pricing Schedule'!C48</f>
        <v>number (No)</v>
      </c>
      <c r="D33" s="651">
        <f>'Pricing Schedule'!D48</f>
        <v>211</v>
      </c>
      <c r="E33" s="722">
        <f t="shared" ref="E33:E36" si="8">D33</f>
        <v>211</v>
      </c>
      <c r="F33" s="855">
        <f>DATA!AN52</f>
        <v>0</v>
      </c>
      <c r="G33" s="722"/>
      <c r="H33" s="632">
        <f>F33+G33</f>
        <v>0</v>
      </c>
      <c r="I33" s="733">
        <f>'Pricing Schedule'!E48</f>
        <v>0</v>
      </c>
      <c r="J33" s="631">
        <f>D33*I33</f>
        <v>0</v>
      </c>
      <c r="K33" s="631">
        <f>E33*I33</f>
        <v>0</v>
      </c>
      <c r="L33" s="631">
        <f>F33*I33</f>
        <v>0</v>
      </c>
      <c r="M33" s="631">
        <f>G33*I33</f>
        <v>0</v>
      </c>
      <c r="N33" s="632">
        <f>H33*I33</f>
        <v>0</v>
      </c>
    </row>
    <row r="34" spans="1:14" ht="31.5" customHeight="1">
      <c r="A34" s="784"/>
      <c r="B34" s="630" t="str">
        <f>'Pricing Schedule'!B49</f>
        <v>(c)   Dynamic Cone Penetration (DCP)</v>
      </c>
      <c r="C34" s="643" t="str">
        <f>'Pricing Schedule'!C49</f>
        <v>number (No)</v>
      </c>
      <c r="D34" s="651">
        <f>'Pricing Schedule'!D49</f>
        <v>844</v>
      </c>
      <c r="E34" s="722">
        <f t="shared" si="8"/>
        <v>844</v>
      </c>
      <c r="F34" s="855">
        <f>DATA!AO52</f>
        <v>0</v>
      </c>
      <c r="G34" s="722"/>
      <c r="H34" s="632">
        <f>F34+G34</f>
        <v>0</v>
      </c>
      <c r="I34" s="733">
        <f>'Pricing Schedule'!E49</f>
        <v>0</v>
      </c>
      <c r="J34" s="631">
        <f>D34*I34</f>
        <v>0</v>
      </c>
      <c r="K34" s="631">
        <f>E34*I34</f>
        <v>0</v>
      </c>
      <c r="L34" s="631">
        <f>F34*I34</f>
        <v>0</v>
      </c>
      <c r="M34" s="631">
        <f>G34*I34</f>
        <v>0</v>
      </c>
      <c r="N34" s="632">
        <f>H34*I34</f>
        <v>0</v>
      </c>
    </row>
    <row r="35" spans="1:14" ht="31.5" customHeight="1">
      <c r="A35" s="784"/>
      <c r="B35" s="630" t="str">
        <f>'Pricing Schedule'!B50</f>
        <v>(d)   Cores in asphalt layers (100/150mm dia)</v>
      </c>
      <c r="C35" s="643" t="str">
        <f>'Pricing Schedule'!C50</f>
        <v>number (No)</v>
      </c>
      <c r="D35" s="651">
        <f>'Pricing Schedule'!D50</f>
        <v>60</v>
      </c>
      <c r="E35" s="722">
        <f t="shared" si="8"/>
        <v>60</v>
      </c>
      <c r="F35" s="855">
        <f>DATA!AP52</f>
        <v>0</v>
      </c>
      <c r="G35" s="722"/>
      <c r="H35" s="632">
        <f>F35+G35</f>
        <v>0</v>
      </c>
      <c r="I35" s="733">
        <f>'Pricing Schedule'!E50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784"/>
      <c r="B36" s="630" t="str">
        <f>'Pricing Schedule'!B51</f>
        <v>(e)   Cores in concrete layers (100/150mm dia)</v>
      </c>
      <c r="C36" s="643" t="str">
        <f>'Pricing Schedule'!C51</f>
        <v>number (No)</v>
      </c>
      <c r="D36" s="651">
        <f>'Pricing Schedule'!D51</f>
        <v>20</v>
      </c>
      <c r="E36" s="722">
        <f t="shared" si="8"/>
        <v>20</v>
      </c>
      <c r="F36" s="855">
        <f>DATA!AQ52</f>
        <v>0</v>
      </c>
      <c r="G36" s="722"/>
      <c r="H36" s="632">
        <f>F36+G36</f>
        <v>0</v>
      </c>
      <c r="I36" s="733">
        <f>'Pricing Schedule'!E51</f>
        <v>0</v>
      </c>
      <c r="J36" s="631">
        <f>D36*I36</f>
        <v>0</v>
      </c>
      <c r="K36" s="631">
        <f>E36*I36</f>
        <v>0</v>
      </c>
      <c r="L36" s="631">
        <f>F36*I36</f>
        <v>0</v>
      </c>
      <c r="M36" s="631">
        <f>G36*I36</f>
        <v>0</v>
      </c>
      <c r="N36" s="632">
        <f>H36*I36</f>
        <v>0</v>
      </c>
    </row>
    <row r="37" spans="1:14" ht="31.5" customHeight="1">
      <c r="A37" s="629"/>
      <c r="B37" s="630" t="str">
        <f>'Pricing Schedule'!B52</f>
        <v>(f)   Transport of samples to laboratory:</v>
      </c>
      <c r="C37" s="643"/>
      <c r="D37" s="651"/>
      <c r="E37" s="631"/>
      <c r="F37" s="631"/>
      <c r="G37" s="631"/>
      <c r="H37" s="632"/>
      <c r="I37" s="733"/>
      <c r="J37" s="631"/>
      <c r="K37" s="631"/>
      <c r="L37" s="631"/>
      <c r="M37" s="631"/>
      <c r="N37" s="633"/>
    </row>
    <row r="38" spans="1:14" ht="31.5" customHeight="1">
      <c r="A38" s="784"/>
      <c r="B38" s="630" t="str">
        <f>'Pricing Schedule'!B53</f>
        <v xml:space="preserve">    (i) Large bags</v>
      </c>
      <c r="C38" s="643" t="str">
        <f>'Pricing Schedule'!C53</f>
        <v>number (No)</v>
      </c>
      <c r="D38" s="651">
        <f>'Pricing Schedule'!D53</f>
        <v>1688</v>
      </c>
      <c r="E38" s="722">
        <f>D38</f>
        <v>1688</v>
      </c>
      <c r="F38" s="855">
        <f>DATA!AR52</f>
        <v>0</v>
      </c>
      <c r="G38" s="722"/>
      <c r="H38" s="632">
        <f>F38+G38</f>
        <v>0</v>
      </c>
      <c r="I38" s="733">
        <f>'Pricing Schedule'!E53</f>
        <v>0</v>
      </c>
      <c r="J38" s="631">
        <f>D38*I38</f>
        <v>0</v>
      </c>
      <c r="K38" s="631">
        <f>E38*I38</f>
        <v>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784"/>
      <c r="B39" s="630" t="str">
        <f>'Pricing Schedule'!B54</f>
        <v xml:space="preserve">    (ii) Small bags/cores</v>
      </c>
      <c r="C39" s="643" t="str">
        <f>'Pricing Schedule'!C54</f>
        <v>number (No)</v>
      </c>
      <c r="D39" s="651">
        <f>'Pricing Schedule'!D54</f>
        <v>1055</v>
      </c>
      <c r="E39" s="722">
        <f>D39</f>
        <v>1055</v>
      </c>
      <c r="F39" s="855">
        <f>DATA!AS52</f>
        <v>0</v>
      </c>
      <c r="G39" s="722"/>
      <c r="H39" s="632">
        <f>F39+G39</f>
        <v>0</v>
      </c>
      <c r="I39" s="733">
        <f>'Pricing Schedule'!E54</f>
        <v>0</v>
      </c>
      <c r="J39" s="631">
        <f>D39*I39</f>
        <v>0</v>
      </c>
      <c r="K39" s="631">
        <f>E39*I39</f>
        <v>0</v>
      </c>
      <c r="L39" s="631">
        <f>F39*I39</f>
        <v>0</v>
      </c>
      <c r="M39" s="631">
        <f>G39*I39</f>
        <v>0</v>
      </c>
      <c r="N39" s="632">
        <f>H39*I39</f>
        <v>0</v>
      </c>
    </row>
    <row r="40" spans="1:14" ht="31.5" customHeight="1">
      <c r="A40" s="629" t="str">
        <f>'Pricing Schedule'!A55</f>
        <v>3.3.6</v>
      </c>
      <c r="B40" s="630" t="str">
        <f>'Pricing Schedule'!B55</f>
        <v>Laboratory testing and reporting</v>
      </c>
      <c r="C40" s="643"/>
      <c r="D40" s="651"/>
      <c r="E40" s="631"/>
      <c r="F40" s="631"/>
      <c r="G40" s="631"/>
      <c r="H40" s="632"/>
      <c r="I40" s="733"/>
      <c r="J40" s="631"/>
      <c r="K40" s="631"/>
      <c r="L40" s="631"/>
      <c r="M40" s="631"/>
      <c r="N40" s="633"/>
    </row>
    <row r="41" spans="1:14" ht="31.5" customHeight="1">
      <c r="A41" s="629"/>
      <c r="B41" s="630" t="str">
        <f>'Pricing Schedule'!B56</f>
        <v>(a) Standard tests</v>
      </c>
      <c r="C41" s="643"/>
      <c r="D41" s="651"/>
      <c r="E41" s="631"/>
      <c r="F41" s="631"/>
      <c r="G41" s="631"/>
      <c r="H41" s="632"/>
      <c r="I41" s="733"/>
      <c r="J41" s="631"/>
      <c r="K41" s="631"/>
      <c r="L41" s="631"/>
      <c r="M41" s="631"/>
      <c r="N41" s="633"/>
    </row>
    <row r="42" spans="1:14" ht="31.5" customHeight="1">
      <c r="A42" s="784"/>
      <c r="B42" s="630" t="str">
        <f>'Pricing Schedule'!B57</f>
        <v xml:space="preserve">  (i) In-situ density</v>
      </c>
      <c r="C42" s="643" t="str">
        <f>'Pricing Schedule'!C57</f>
        <v>number (No)</v>
      </c>
      <c r="D42" s="651">
        <f>'Pricing Schedule'!D57</f>
        <v>844</v>
      </c>
      <c r="E42" s="722">
        <f>D42</f>
        <v>844</v>
      </c>
      <c r="F42" s="855">
        <f>DATA!AT$52</f>
        <v>0</v>
      </c>
      <c r="G42" s="722"/>
      <c r="H42" s="632">
        <f t="shared" ref="H42:H69" si="9">F42+G42</f>
        <v>0</v>
      </c>
      <c r="I42" s="733">
        <f>'Pricing Schedule'!E57</f>
        <v>0</v>
      </c>
      <c r="J42" s="631">
        <f t="shared" ref="J42:J69" si="10">D42*I42</f>
        <v>0</v>
      </c>
      <c r="K42" s="631">
        <f t="shared" ref="K42:K69" si="11">E42*I42</f>
        <v>0</v>
      </c>
      <c r="L42" s="631">
        <f t="shared" ref="L42:L69" si="12">F42*I42</f>
        <v>0</v>
      </c>
      <c r="M42" s="631">
        <f t="shared" ref="M42:M69" si="13">G42*I42</f>
        <v>0</v>
      </c>
      <c r="N42" s="632">
        <f t="shared" ref="N42:N69" si="14">H42*I42</f>
        <v>0</v>
      </c>
    </row>
    <row r="43" spans="1:14" ht="31.5" customHeight="1">
      <c r="A43" s="784"/>
      <c r="B43" s="630" t="str">
        <f>'Pricing Schedule'!B58</f>
        <v xml:space="preserve">  (ii)   Moisture content</v>
      </c>
      <c r="C43" s="643" t="str">
        <f>'Pricing Schedule'!C58</f>
        <v>number (No)</v>
      </c>
      <c r="D43" s="651">
        <f>'Pricing Schedule'!D58</f>
        <v>844</v>
      </c>
      <c r="E43" s="722">
        <f t="shared" ref="E43:E70" si="15">D43</f>
        <v>844</v>
      </c>
      <c r="F43" s="855">
        <f>DATA!AU$52</f>
        <v>0</v>
      </c>
      <c r="G43" s="722"/>
      <c r="H43" s="632">
        <f t="shared" si="9"/>
        <v>0</v>
      </c>
      <c r="I43" s="733">
        <f>'Pricing Schedule'!E58</f>
        <v>0</v>
      </c>
      <c r="J43" s="631">
        <f t="shared" si="10"/>
        <v>0</v>
      </c>
      <c r="K43" s="631">
        <f t="shared" si="11"/>
        <v>0</v>
      </c>
      <c r="L43" s="631">
        <f t="shared" si="12"/>
        <v>0</v>
      </c>
      <c r="M43" s="631">
        <f t="shared" si="13"/>
        <v>0</v>
      </c>
      <c r="N43" s="632">
        <f t="shared" si="14"/>
        <v>0</v>
      </c>
    </row>
    <row r="44" spans="1:14" ht="31.5" customHeight="1">
      <c r="A44" s="784"/>
      <c r="B44" s="630" t="str">
        <f>'Pricing Schedule'!B59</f>
        <v xml:space="preserve">  (iii)  Sieve analysis</v>
      </c>
      <c r="C44" s="643" t="str">
        <f>'Pricing Schedule'!C59</f>
        <v>number (No)</v>
      </c>
      <c r="D44" s="651">
        <f>'Pricing Schedule'!D59</f>
        <v>1055</v>
      </c>
      <c r="E44" s="722">
        <f t="shared" si="15"/>
        <v>1055</v>
      </c>
      <c r="F44" s="855">
        <f>DATA!AV$52</f>
        <v>0</v>
      </c>
      <c r="G44" s="722"/>
      <c r="H44" s="632">
        <f t="shared" si="9"/>
        <v>0</v>
      </c>
      <c r="I44" s="733">
        <f>'Pricing Schedule'!E59</f>
        <v>0</v>
      </c>
      <c r="J44" s="631">
        <f t="shared" si="10"/>
        <v>0</v>
      </c>
      <c r="K44" s="631">
        <f t="shared" si="11"/>
        <v>0</v>
      </c>
      <c r="L44" s="631">
        <f t="shared" si="12"/>
        <v>0</v>
      </c>
      <c r="M44" s="631">
        <f t="shared" si="13"/>
        <v>0</v>
      </c>
      <c r="N44" s="632">
        <f t="shared" si="14"/>
        <v>0</v>
      </c>
    </row>
    <row r="45" spans="1:14" ht="31.5" customHeight="1">
      <c r="A45" s="784"/>
      <c r="B45" s="630" t="str">
        <f>'Pricing Schedule'!B60</f>
        <v xml:space="preserve">(iv)   Atterberg limits </v>
      </c>
      <c r="C45" s="643" t="str">
        <f>'Pricing Schedule'!C60</f>
        <v>number (No)</v>
      </c>
      <c r="D45" s="651">
        <f>'Pricing Schedule'!D60</f>
        <v>1055</v>
      </c>
      <c r="E45" s="722">
        <f t="shared" si="15"/>
        <v>1055</v>
      </c>
      <c r="F45" s="855">
        <f>DATA!AW$52</f>
        <v>0</v>
      </c>
      <c r="G45" s="722"/>
      <c r="H45" s="632">
        <f t="shared" si="9"/>
        <v>0</v>
      </c>
      <c r="I45" s="733">
        <f>'Pricing Schedule'!E60</f>
        <v>0</v>
      </c>
      <c r="J45" s="631">
        <f t="shared" si="10"/>
        <v>0</v>
      </c>
      <c r="K45" s="631">
        <f t="shared" si="11"/>
        <v>0</v>
      </c>
      <c r="L45" s="631">
        <f t="shared" si="12"/>
        <v>0</v>
      </c>
      <c r="M45" s="631">
        <f t="shared" si="13"/>
        <v>0</v>
      </c>
      <c r="N45" s="632">
        <f t="shared" si="14"/>
        <v>0</v>
      </c>
    </row>
    <row r="46" spans="1:14" ht="31.5" customHeight="1">
      <c r="A46" s="784"/>
      <c r="B46" s="630" t="str">
        <f>'Pricing Schedule'!B61</f>
        <v>(v)   M.D.D + OMC (Mod AASHTO) natural</v>
      </c>
      <c r="C46" s="643" t="str">
        <f>'Pricing Schedule'!C61</f>
        <v>number (No)</v>
      </c>
      <c r="D46" s="651">
        <f>'Pricing Schedule'!D61</f>
        <v>844</v>
      </c>
      <c r="E46" s="722">
        <f t="shared" si="15"/>
        <v>844</v>
      </c>
      <c r="F46" s="855">
        <f>DATA!AX$52</f>
        <v>0</v>
      </c>
      <c r="G46" s="722"/>
      <c r="H46" s="632">
        <f t="shared" si="9"/>
        <v>0</v>
      </c>
      <c r="I46" s="733">
        <f>'Pricing Schedule'!E61</f>
        <v>0</v>
      </c>
      <c r="J46" s="631">
        <f t="shared" si="10"/>
        <v>0</v>
      </c>
      <c r="K46" s="631">
        <f t="shared" si="11"/>
        <v>0</v>
      </c>
      <c r="L46" s="631">
        <f t="shared" si="12"/>
        <v>0</v>
      </c>
      <c r="M46" s="631">
        <f t="shared" si="13"/>
        <v>0</v>
      </c>
      <c r="N46" s="632">
        <f t="shared" si="14"/>
        <v>0</v>
      </c>
    </row>
    <row r="47" spans="1:14" ht="31.5" customHeight="1">
      <c r="A47" s="784"/>
      <c r="B47" s="630" t="str">
        <f>'Pricing Schedule'!B62</f>
        <v>(vi)   M.D.D + OMC (Mod.AASHTO) stab.</v>
      </c>
      <c r="C47" s="643" t="str">
        <f>'Pricing Schedule'!C62</f>
        <v>number (No)</v>
      </c>
      <c r="D47" s="651">
        <f>'Pricing Schedule'!D62</f>
        <v>84</v>
      </c>
      <c r="E47" s="722">
        <f t="shared" si="15"/>
        <v>84</v>
      </c>
      <c r="F47" s="855">
        <f>DATA!AY$52</f>
        <v>0</v>
      </c>
      <c r="G47" s="722"/>
      <c r="H47" s="632">
        <f t="shared" si="9"/>
        <v>0</v>
      </c>
      <c r="I47" s="733">
        <f>'Pricing Schedule'!E62</f>
        <v>0</v>
      </c>
      <c r="J47" s="631">
        <f t="shared" si="10"/>
        <v>0</v>
      </c>
      <c r="K47" s="631">
        <f t="shared" si="11"/>
        <v>0</v>
      </c>
      <c r="L47" s="631">
        <f t="shared" si="12"/>
        <v>0</v>
      </c>
      <c r="M47" s="631">
        <f t="shared" si="13"/>
        <v>0</v>
      </c>
      <c r="N47" s="632">
        <f t="shared" si="14"/>
        <v>0</v>
      </c>
    </row>
    <row r="48" spans="1:14" ht="31.5" customHeight="1">
      <c r="A48" s="784"/>
      <c r="B48" s="630" t="str">
        <f>'Pricing Schedule'!B63</f>
        <v>(vii)  CBR</v>
      </c>
      <c r="C48" s="643" t="str">
        <f>'Pricing Schedule'!C63</f>
        <v>number (No)</v>
      </c>
      <c r="D48" s="651">
        <f>'Pricing Schedule'!D63</f>
        <v>844</v>
      </c>
      <c r="E48" s="722">
        <f t="shared" si="15"/>
        <v>844</v>
      </c>
      <c r="F48" s="855">
        <f>DATA!AZ$52</f>
        <v>0</v>
      </c>
      <c r="G48" s="722"/>
      <c r="H48" s="632">
        <f t="shared" si="9"/>
        <v>0</v>
      </c>
      <c r="I48" s="733">
        <f>'Pricing Schedule'!E63</f>
        <v>0</v>
      </c>
      <c r="J48" s="631">
        <f t="shared" si="10"/>
        <v>0</v>
      </c>
      <c r="K48" s="631">
        <f t="shared" si="11"/>
        <v>0</v>
      </c>
      <c r="L48" s="631">
        <f t="shared" si="12"/>
        <v>0</v>
      </c>
      <c r="M48" s="631">
        <f t="shared" si="13"/>
        <v>0</v>
      </c>
      <c r="N48" s="632">
        <f t="shared" si="14"/>
        <v>0</v>
      </c>
    </row>
    <row r="49" spans="1:14" ht="31.5" customHeight="1">
      <c r="A49" s="784"/>
      <c r="B49" s="630" t="str">
        <f>'Pricing Schedule'!B64</f>
        <v>(viii)  ITS (stabilised) (set of 3)</v>
      </c>
      <c r="C49" s="643" t="str">
        <f>'Pricing Schedule'!C64</f>
        <v>number (No)</v>
      </c>
      <c r="D49" s="651">
        <f>'Pricing Schedule'!D64</f>
        <v>84</v>
      </c>
      <c r="E49" s="722">
        <f t="shared" si="15"/>
        <v>84</v>
      </c>
      <c r="F49" s="855">
        <f>DATA!BA$52</f>
        <v>0</v>
      </c>
      <c r="G49" s="722"/>
      <c r="H49" s="632">
        <f t="shared" si="9"/>
        <v>0</v>
      </c>
      <c r="I49" s="733">
        <f>'Pricing Schedule'!E64</f>
        <v>0</v>
      </c>
      <c r="J49" s="631">
        <f t="shared" si="10"/>
        <v>0</v>
      </c>
      <c r="K49" s="631">
        <f t="shared" si="11"/>
        <v>0</v>
      </c>
      <c r="L49" s="631">
        <f t="shared" si="12"/>
        <v>0</v>
      </c>
      <c r="M49" s="631">
        <f t="shared" si="13"/>
        <v>0</v>
      </c>
      <c r="N49" s="632">
        <f t="shared" si="14"/>
        <v>0</v>
      </c>
    </row>
    <row r="50" spans="1:14" ht="31.5" customHeight="1">
      <c r="A50" s="784"/>
      <c r="B50" s="630" t="str">
        <f>'Pricing Schedule'!B65</f>
        <v>(ix)  UCS (stabilised) (set of 3)</v>
      </c>
      <c r="C50" s="643" t="str">
        <f>'Pricing Schedule'!C65</f>
        <v>number (No)</v>
      </c>
      <c r="D50" s="651">
        <f>'Pricing Schedule'!D65</f>
        <v>84</v>
      </c>
      <c r="E50" s="722">
        <f t="shared" si="15"/>
        <v>84</v>
      </c>
      <c r="F50" s="855">
        <f>DATA!BB$52</f>
        <v>0</v>
      </c>
      <c r="G50" s="722"/>
      <c r="H50" s="632">
        <f t="shared" si="9"/>
        <v>0</v>
      </c>
      <c r="I50" s="733">
        <f>'Pricing Schedule'!E65</f>
        <v>0</v>
      </c>
      <c r="J50" s="631">
        <f t="shared" si="10"/>
        <v>0</v>
      </c>
      <c r="K50" s="631">
        <f t="shared" si="11"/>
        <v>0</v>
      </c>
      <c r="L50" s="631">
        <f t="shared" si="12"/>
        <v>0</v>
      </c>
      <c r="M50" s="631">
        <f t="shared" si="13"/>
        <v>0</v>
      </c>
      <c r="N50" s="632">
        <f t="shared" si="14"/>
        <v>0</v>
      </c>
    </row>
    <row r="51" spans="1:14" ht="31.5" customHeight="1">
      <c r="A51" s="784"/>
      <c r="B51" s="630" t="str">
        <f>'Pricing Schedule'!B66</f>
        <v>(x)  PH value</v>
      </c>
      <c r="C51" s="643" t="str">
        <f>'Pricing Schedule'!C66</f>
        <v>number (No)</v>
      </c>
      <c r="D51" s="651">
        <f>'Pricing Schedule'!D66</f>
        <v>42</v>
      </c>
      <c r="E51" s="722">
        <f t="shared" si="15"/>
        <v>42</v>
      </c>
      <c r="F51" s="855">
        <f>DATA!BC$52</f>
        <v>0</v>
      </c>
      <c r="G51" s="722"/>
      <c r="H51" s="632">
        <f t="shared" si="9"/>
        <v>0</v>
      </c>
      <c r="I51" s="733">
        <f>'Pricing Schedule'!E66</f>
        <v>0</v>
      </c>
      <c r="J51" s="631">
        <f t="shared" si="10"/>
        <v>0</v>
      </c>
      <c r="K51" s="631">
        <f t="shared" si="11"/>
        <v>0</v>
      </c>
      <c r="L51" s="631">
        <f t="shared" si="12"/>
        <v>0</v>
      </c>
      <c r="M51" s="631">
        <f t="shared" si="13"/>
        <v>0</v>
      </c>
      <c r="N51" s="632">
        <f t="shared" si="14"/>
        <v>0</v>
      </c>
    </row>
    <row r="52" spans="1:14" ht="31.5" customHeight="1">
      <c r="A52" s="784"/>
      <c r="B52" s="630" t="str">
        <f>'Pricing Schedule'!B67</f>
        <v>(xi)  Wet/dry durability (150mm) (set of 3)</v>
      </c>
      <c r="C52" s="643" t="str">
        <f>'Pricing Schedule'!C67</f>
        <v>number (No)</v>
      </c>
      <c r="D52" s="651">
        <f>'Pricing Schedule'!D67</f>
        <v>21</v>
      </c>
      <c r="E52" s="722">
        <f t="shared" si="15"/>
        <v>21</v>
      </c>
      <c r="F52" s="855">
        <f>DATA!BD$52</f>
        <v>0</v>
      </c>
      <c r="G52" s="722"/>
      <c r="H52" s="632">
        <f t="shared" si="9"/>
        <v>0</v>
      </c>
      <c r="I52" s="733">
        <f>'Pricing Schedule'!E67</f>
        <v>0</v>
      </c>
      <c r="J52" s="631">
        <f t="shared" si="10"/>
        <v>0</v>
      </c>
      <c r="K52" s="631">
        <f t="shared" si="11"/>
        <v>0</v>
      </c>
      <c r="L52" s="631">
        <f t="shared" si="12"/>
        <v>0</v>
      </c>
      <c r="M52" s="631">
        <f t="shared" si="13"/>
        <v>0</v>
      </c>
      <c r="N52" s="632">
        <f t="shared" si="14"/>
        <v>0</v>
      </c>
    </row>
    <row r="53" spans="1:14" ht="31.5" customHeight="1">
      <c r="A53" s="784"/>
      <c r="B53" s="630" t="str">
        <f>'Pricing Schedule'!B68</f>
        <v>(xii)  Initial consumption lime/cement (ICL)</v>
      </c>
      <c r="C53" s="643" t="str">
        <f>'Pricing Schedule'!C68</f>
        <v>number (No)</v>
      </c>
      <c r="D53" s="651">
        <f>'Pricing Schedule'!D68</f>
        <v>84</v>
      </c>
      <c r="E53" s="722">
        <f t="shared" si="15"/>
        <v>84</v>
      </c>
      <c r="F53" s="855">
        <f>DATA!BE$52</f>
        <v>0</v>
      </c>
      <c r="G53" s="722"/>
      <c r="H53" s="632">
        <f t="shared" si="9"/>
        <v>0</v>
      </c>
      <c r="I53" s="733">
        <f>'Pricing Schedule'!E68</f>
        <v>0</v>
      </c>
      <c r="J53" s="631">
        <f t="shared" si="10"/>
        <v>0</v>
      </c>
      <c r="K53" s="631">
        <f t="shared" si="11"/>
        <v>0</v>
      </c>
      <c r="L53" s="631">
        <f t="shared" si="12"/>
        <v>0</v>
      </c>
      <c r="M53" s="631">
        <f t="shared" si="13"/>
        <v>0</v>
      </c>
      <c r="N53" s="632">
        <f t="shared" si="14"/>
        <v>0</v>
      </c>
    </row>
    <row r="54" spans="1:14" ht="31.5" customHeight="1">
      <c r="A54" s="784"/>
      <c r="B54" s="630" t="str">
        <f>'Pricing Schedule'!B69</f>
        <v>(xiii)   Ethylene glycol Durability Index</v>
      </c>
      <c r="C54" s="643" t="str">
        <f>'Pricing Schedule'!C69</f>
        <v>number (No)</v>
      </c>
      <c r="D54" s="651">
        <f>'Pricing Schedule'!D69</f>
        <v>4</v>
      </c>
      <c r="E54" s="722">
        <f t="shared" si="15"/>
        <v>4</v>
      </c>
      <c r="F54" s="855">
        <f>DATA!BF$52</f>
        <v>0</v>
      </c>
      <c r="G54" s="722"/>
      <c r="H54" s="632">
        <f t="shared" si="9"/>
        <v>0</v>
      </c>
      <c r="I54" s="733">
        <f>'Pricing Schedule'!E69</f>
        <v>0</v>
      </c>
      <c r="J54" s="631">
        <f t="shared" si="10"/>
        <v>0</v>
      </c>
      <c r="K54" s="631">
        <f t="shared" si="11"/>
        <v>0</v>
      </c>
      <c r="L54" s="631">
        <f t="shared" si="12"/>
        <v>0</v>
      </c>
      <c r="M54" s="631">
        <f t="shared" si="13"/>
        <v>0</v>
      </c>
      <c r="N54" s="632">
        <f t="shared" si="14"/>
        <v>0</v>
      </c>
    </row>
    <row r="55" spans="1:14" ht="31.5" customHeight="1">
      <c r="A55" s="784"/>
      <c r="B55" s="630" t="str">
        <f>'Pricing Schedule'!B70</f>
        <v>(xiv)  ACV</v>
      </c>
      <c r="C55" s="643" t="str">
        <f>'Pricing Schedule'!C70</f>
        <v>number (No)</v>
      </c>
      <c r="D55" s="651">
        <f>'Pricing Schedule'!D70</f>
        <v>4</v>
      </c>
      <c r="E55" s="722">
        <f t="shared" si="15"/>
        <v>4</v>
      </c>
      <c r="F55" s="855">
        <f>DATA!BG$52</f>
        <v>0</v>
      </c>
      <c r="G55" s="722"/>
      <c r="H55" s="632">
        <f t="shared" si="9"/>
        <v>0</v>
      </c>
      <c r="I55" s="733">
        <f>'Pricing Schedule'!E70</f>
        <v>0</v>
      </c>
      <c r="J55" s="631">
        <f t="shared" si="10"/>
        <v>0</v>
      </c>
      <c r="K55" s="631">
        <f t="shared" si="11"/>
        <v>0</v>
      </c>
      <c r="L55" s="631">
        <f t="shared" si="12"/>
        <v>0</v>
      </c>
      <c r="M55" s="631">
        <f t="shared" si="13"/>
        <v>0</v>
      </c>
      <c r="N55" s="632">
        <f t="shared" si="14"/>
        <v>0</v>
      </c>
    </row>
    <row r="56" spans="1:14" ht="31.5" customHeight="1">
      <c r="A56" s="784"/>
      <c r="B56" s="630" t="str">
        <f>'Pricing Schedule'!B71</f>
        <v>(xv)  10% FACT (dry)</v>
      </c>
      <c r="C56" s="643" t="str">
        <f>'Pricing Schedule'!C71</f>
        <v>number (No)</v>
      </c>
      <c r="D56" s="651">
        <f>'Pricing Schedule'!D71</f>
        <v>4</v>
      </c>
      <c r="E56" s="722">
        <f t="shared" si="15"/>
        <v>4</v>
      </c>
      <c r="F56" s="855">
        <f>DATA!BH$52</f>
        <v>0</v>
      </c>
      <c r="G56" s="722"/>
      <c r="H56" s="632">
        <f t="shared" si="9"/>
        <v>0</v>
      </c>
      <c r="I56" s="733">
        <f>'Pricing Schedule'!E71</f>
        <v>0</v>
      </c>
      <c r="J56" s="631">
        <f t="shared" si="10"/>
        <v>0</v>
      </c>
      <c r="K56" s="631">
        <f t="shared" si="11"/>
        <v>0</v>
      </c>
      <c r="L56" s="631">
        <f t="shared" si="12"/>
        <v>0</v>
      </c>
      <c r="M56" s="631">
        <f t="shared" si="13"/>
        <v>0</v>
      </c>
      <c r="N56" s="632">
        <f t="shared" si="14"/>
        <v>0</v>
      </c>
    </row>
    <row r="57" spans="1:14" ht="31.5" customHeight="1">
      <c r="A57" s="784"/>
      <c r="B57" s="630" t="str">
        <f>'Pricing Schedule'!B72</f>
        <v>(xvi) 10% Fact (wet)</v>
      </c>
      <c r="C57" s="643" t="str">
        <f>'Pricing Schedule'!C72</f>
        <v>number (No)</v>
      </c>
      <c r="D57" s="651">
        <f>'Pricing Schedule'!D72</f>
        <v>4</v>
      </c>
      <c r="E57" s="722">
        <f t="shared" si="15"/>
        <v>4</v>
      </c>
      <c r="F57" s="855">
        <f>DATA!BI$52</f>
        <v>0</v>
      </c>
      <c r="G57" s="722"/>
      <c r="H57" s="632">
        <f t="shared" si="9"/>
        <v>0</v>
      </c>
      <c r="I57" s="733">
        <f>'Pricing Schedule'!E72</f>
        <v>0</v>
      </c>
      <c r="J57" s="631">
        <f t="shared" si="10"/>
        <v>0</v>
      </c>
      <c r="K57" s="631">
        <f t="shared" si="11"/>
        <v>0</v>
      </c>
      <c r="L57" s="631">
        <f t="shared" si="12"/>
        <v>0</v>
      </c>
      <c r="M57" s="631">
        <f t="shared" si="13"/>
        <v>0</v>
      </c>
      <c r="N57" s="632">
        <f t="shared" si="14"/>
        <v>0</v>
      </c>
    </row>
    <row r="58" spans="1:14" ht="31.5" customHeight="1">
      <c r="A58" s="784"/>
      <c r="B58" s="630" t="str">
        <f>'Pricing Schedule'!B73</f>
        <v>(xvii)  10% Fact (ethylene glycol)</v>
      </c>
      <c r="C58" s="643" t="str">
        <f>'Pricing Schedule'!C73</f>
        <v>number (No)</v>
      </c>
      <c r="D58" s="651">
        <f>'Pricing Schedule'!D73</f>
        <v>2</v>
      </c>
      <c r="E58" s="722">
        <f t="shared" si="15"/>
        <v>2</v>
      </c>
      <c r="F58" s="855">
        <f>DATA!BJ$52</f>
        <v>0</v>
      </c>
      <c r="G58" s="722"/>
      <c r="H58" s="632">
        <f t="shared" si="9"/>
        <v>0</v>
      </c>
      <c r="I58" s="733">
        <f>'Pricing Schedule'!E73</f>
        <v>0</v>
      </c>
      <c r="J58" s="631">
        <f t="shared" si="10"/>
        <v>0</v>
      </c>
      <c r="K58" s="631">
        <f t="shared" si="11"/>
        <v>0</v>
      </c>
      <c r="L58" s="631">
        <f t="shared" si="12"/>
        <v>0</v>
      </c>
      <c r="M58" s="631">
        <f t="shared" si="13"/>
        <v>0</v>
      </c>
      <c r="N58" s="632">
        <f t="shared" si="14"/>
        <v>0</v>
      </c>
    </row>
    <row r="59" spans="1:14" ht="31.5" customHeight="1">
      <c r="A59" s="784"/>
      <c r="B59" s="630" t="str">
        <f>'Pricing Schedule'!B74</f>
        <v>(xviii) Aggregate grading</v>
      </c>
      <c r="C59" s="643" t="str">
        <f>'Pricing Schedule'!C74</f>
        <v>number (No)</v>
      </c>
      <c r="D59" s="651">
        <f>'Pricing Schedule'!D74</f>
        <v>10</v>
      </c>
      <c r="E59" s="722">
        <f t="shared" si="15"/>
        <v>10</v>
      </c>
      <c r="F59" s="855">
        <f>DATA!BK$52</f>
        <v>0</v>
      </c>
      <c r="G59" s="722"/>
      <c r="H59" s="632">
        <f t="shared" si="9"/>
        <v>0</v>
      </c>
      <c r="I59" s="733">
        <f>'Pricing Schedule'!E74</f>
        <v>0</v>
      </c>
      <c r="J59" s="631">
        <f t="shared" si="10"/>
        <v>0</v>
      </c>
      <c r="K59" s="631">
        <f t="shared" si="11"/>
        <v>0</v>
      </c>
      <c r="L59" s="631">
        <f t="shared" si="12"/>
        <v>0</v>
      </c>
      <c r="M59" s="631">
        <f t="shared" si="13"/>
        <v>0</v>
      </c>
      <c r="N59" s="632">
        <f t="shared" si="14"/>
        <v>0</v>
      </c>
    </row>
    <row r="60" spans="1:14" ht="31.5" customHeight="1">
      <c r="A60" s="784"/>
      <c r="B60" s="630" t="str">
        <f>'Pricing Schedule'!B75</f>
        <v>(xix) Aggregate Flakiness Index</v>
      </c>
      <c r="C60" s="643" t="str">
        <f>'Pricing Schedule'!C75</f>
        <v>number (No)</v>
      </c>
      <c r="D60" s="651">
        <f>'Pricing Schedule'!D75</f>
        <v>10</v>
      </c>
      <c r="E60" s="722">
        <f t="shared" si="15"/>
        <v>10</v>
      </c>
      <c r="F60" s="855">
        <f>DATA!BL$52</f>
        <v>0</v>
      </c>
      <c r="G60" s="722"/>
      <c r="H60" s="632">
        <f t="shared" si="9"/>
        <v>0</v>
      </c>
      <c r="I60" s="733">
        <f>'Pricing Schedule'!E75</f>
        <v>0</v>
      </c>
      <c r="J60" s="631">
        <f t="shared" si="10"/>
        <v>0</v>
      </c>
      <c r="K60" s="631">
        <f t="shared" si="11"/>
        <v>0</v>
      </c>
      <c r="L60" s="631">
        <f t="shared" si="12"/>
        <v>0</v>
      </c>
      <c r="M60" s="631">
        <f t="shared" si="13"/>
        <v>0</v>
      </c>
      <c r="N60" s="632">
        <f t="shared" si="14"/>
        <v>0</v>
      </c>
    </row>
    <row r="61" spans="1:14" ht="31.5" customHeight="1">
      <c r="A61" s="784"/>
      <c r="B61" s="630" t="str">
        <f>'Pricing Schedule'!B76</f>
        <v>(xx) Aggregate Average Least Dimension</v>
      </c>
      <c r="C61" s="643" t="str">
        <f>'Pricing Schedule'!C76</f>
        <v>number (No)</v>
      </c>
      <c r="D61" s="651">
        <f>'Pricing Schedule'!D76</f>
        <v>10</v>
      </c>
      <c r="E61" s="722">
        <f t="shared" si="15"/>
        <v>10</v>
      </c>
      <c r="F61" s="855">
        <f>DATA!BM$52</f>
        <v>0</v>
      </c>
      <c r="G61" s="722"/>
      <c r="H61" s="632">
        <f t="shared" si="9"/>
        <v>0</v>
      </c>
      <c r="I61" s="733">
        <f>'Pricing Schedule'!E76</f>
        <v>0</v>
      </c>
      <c r="J61" s="631">
        <f t="shared" si="10"/>
        <v>0</v>
      </c>
      <c r="K61" s="631">
        <f t="shared" si="11"/>
        <v>0</v>
      </c>
      <c r="L61" s="631">
        <f t="shared" si="12"/>
        <v>0</v>
      </c>
      <c r="M61" s="631">
        <f t="shared" si="13"/>
        <v>0</v>
      </c>
      <c r="N61" s="632">
        <f t="shared" si="14"/>
        <v>0</v>
      </c>
    </row>
    <row r="62" spans="1:14" ht="31.5" customHeight="1">
      <c r="A62" s="784"/>
      <c r="B62" s="630" t="str">
        <f>'Pricing Schedule'!B77</f>
        <v>(xxi) Polished Stone Value</v>
      </c>
      <c r="C62" s="643" t="str">
        <f>'Pricing Schedule'!C77</f>
        <v>number (No)</v>
      </c>
      <c r="D62" s="651">
        <f>'Pricing Schedule'!D77</f>
        <v>0</v>
      </c>
      <c r="E62" s="722">
        <f t="shared" si="15"/>
        <v>0</v>
      </c>
      <c r="F62" s="855">
        <f>DATA!BN$52</f>
        <v>0</v>
      </c>
      <c r="G62" s="722"/>
      <c r="H62" s="632">
        <f t="shared" si="9"/>
        <v>0</v>
      </c>
      <c r="I62" s="733">
        <f>'Pricing Schedule'!E77</f>
        <v>0</v>
      </c>
      <c r="J62" s="631">
        <f t="shared" si="10"/>
        <v>0</v>
      </c>
      <c r="K62" s="631">
        <f t="shared" si="11"/>
        <v>0</v>
      </c>
      <c r="L62" s="631">
        <f t="shared" si="12"/>
        <v>0</v>
      </c>
      <c r="M62" s="631">
        <f t="shared" si="13"/>
        <v>0</v>
      </c>
      <c r="N62" s="632">
        <f t="shared" si="14"/>
        <v>0</v>
      </c>
    </row>
    <row r="63" spans="1:14" ht="31.5" customHeight="1">
      <c r="A63" s="784"/>
      <c r="B63" s="630" t="str">
        <f>'Pricing Schedule'!B78</f>
        <v>(xxii)  Sand Equivalent</v>
      </c>
      <c r="C63" s="643" t="str">
        <f>'Pricing Schedule'!C78</f>
        <v>number (No)</v>
      </c>
      <c r="D63" s="651">
        <f>'Pricing Schedule'!D78</f>
        <v>0</v>
      </c>
      <c r="E63" s="722">
        <f t="shared" si="15"/>
        <v>0</v>
      </c>
      <c r="F63" s="855">
        <f>DATA!BO$52</f>
        <v>0</v>
      </c>
      <c r="G63" s="722"/>
      <c r="H63" s="632">
        <f t="shared" si="9"/>
        <v>0</v>
      </c>
      <c r="I63" s="733">
        <f>'Pricing Schedule'!E78</f>
        <v>0</v>
      </c>
      <c r="J63" s="631">
        <f t="shared" si="10"/>
        <v>0</v>
      </c>
      <c r="K63" s="631">
        <f t="shared" si="11"/>
        <v>0</v>
      </c>
      <c r="L63" s="631">
        <f t="shared" si="12"/>
        <v>0</v>
      </c>
      <c r="M63" s="631">
        <f t="shared" si="13"/>
        <v>0</v>
      </c>
      <c r="N63" s="632">
        <f t="shared" si="14"/>
        <v>0</v>
      </c>
    </row>
    <row r="64" spans="1:14" ht="31.5" customHeight="1">
      <c r="A64" s="784"/>
      <c r="B64" s="630" t="str">
        <f>'Pricing Schedule'!B79</f>
        <v>(xxiii) Bitumen content and grading</v>
      </c>
      <c r="C64" s="643" t="str">
        <f>'Pricing Schedule'!C79</f>
        <v>number (No)</v>
      </c>
      <c r="D64" s="651">
        <f>'Pricing Schedule'!D79</f>
        <v>60</v>
      </c>
      <c r="E64" s="722">
        <f t="shared" si="15"/>
        <v>60</v>
      </c>
      <c r="F64" s="855">
        <f>DATA!BP$52</f>
        <v>0</v>
      </c>
      <c r="G64" s="722"/>
      <c r="H64" s="632">
        <f t="shared" si="9"/>
        <v>0</v>
      </c>
      <c r="I64" s="733">
        <f>'Pricing Schedule'!E79</f>
        <v>0</v>
      </c>
      <c r="J64" s="631">
        <f t="shared" si="10"/>
        <v>0</v>
      </c>
      <c r="K64" s="631">
        <f t="shared" si="11"/>
        <v>0</v>
      </c>
      <c r="L64" s="631">
        <f t="shared" si="12"/>
        <v>0</v>
      </c>
      <c r="M64" s="631">
        <f t="shared" si="13"/>
        <v>0</v>
      </c>
      <c r="N64" s="632">
        <f t="shared" si="14"/>
        <v>0</v>
      </c>
    </row>
    <row r="65" spans="1:14" ht="31.5" customHeight="1">
      <c r="A65" s="784"/>
      <c r="B65" s="630" t="str">
        <f>'Pricing Schedule'!B80</f>
        <v>(xxiv) Asphalt void content (cores)</v>
      </c>
      <c r="C65" s="643" t="str">
        <f>'Pricing Schedule'!C80</f>
        <v>number (No)</v>
      </c>
      <c r="D65" s="651">
        <f>'Pricing Schedule'!D80</f>
        <v>60</v>
      </c>
      <c r="E65" s="722">
        <f t="shared" si="15"/>
        <v>60</v>
      </c>
      <c r="F65" s="855">
        <f>DATA!BQ$52</f>
        <v>0</v>
      </c>
      <c r="G65" s="722"/>
      <c r="H65" s="632">
        <f t="shared" si="9"/>
        <v>0</v>
      </c>
      <c r="I65" s="733">
        <f>'Pricing Schedule'!E80</f>
        <v>0</v>
      </c>
      <c r="J65" s="631">
        <f t="shared" si="10"/>
        <v>0</v>
      </c>
      <c r="K65" s="631">
        <f t="shared" si="11"/>
        <v>0</v>
      </c>
      <c r="L65" s="631">
        <f t="shared" si="12"/>
        <v>0</v>
      </c>
      <c r="M65" s="631">
        <f t="shared" si="13"/>
        <v>0</v>
      </c>
      <c r="N65" s="632">
        <f t="shared" si="14"/>
        <v>0</v>
      </c>
    </row>
    <row r="66" spans="1:14" ht="31.5" customHeight="1">
      <c r="A66" s="784"/>
      <c r="B66" s="630" t="str">
        <f>'Pricing Schedule'!B81</f>
        <v>(xxv)  Binder recovery (Absom)</v>
      </c>
      <c r="C66" s="643" t="str">
        <f>'Pricing Schedule'!C81</f>
        <v>number (No)</v>
      </c>
      <c r="D66" s="651">
        <f>'Pricing Schedule'!D81</f>
        <v>8</v>
      </c>
      <c r="E66" s="722">
        <f t="shared" si="15"/>
        <v>8</v>
      </c>
      <c r="F66" s="855">
        <f>DATA!BR$52</f>
        <v>0</v>
      </c>
      <c r="G66" s="722"/>
      <c r="H66" s="632">
        <f t="shared" si="9"/>
        <v>0</v>
      </c>
      <c r="I66" s="733">
        <f>'Pricing Schedule'!E81</f>
        <v>0</v>
      </c>
      <c r="J66" s="631">
        <f t="shared" si="10"/>
        <v>0</v>
      </c>
      <c r="K66" s="631">
        <f t="shared" si="11"/>
        <v>0</v>
      </c>
      <c r="L66" s="631">
        <f t="shared" si="12"/>
        <v>0</v>
      </c>
      <c r="M66" s="631">
        <f t="shared" si="13"/>
        <v>0</v>
      </c>
      <c r="N66" s="632">
        <f t="shared" si="14"/>
        <v>0</v>
      </c>
    </row>
    <row r="67" spans="1:14" ht="31.5" customHeight="1">
      <c r="A67" s="784"/>
      <c r="B67" s="630" t="str">
        <f>'Pricing Schedule'!B82</f>
        <v>(xxvi) Bitumen penetration</v>
      </c>
      <c r="C67" s="643" t="str">
        <f>'Pricing Schedule'!C82</f>
        <v>number (No)</v>
      </c>
      <c r="D67" s="651">
        <f>'Pricing Schedule'!D82</f>
        <v>30</v>
      </c>
      <c r="E67" s="722">
        <f t="shared" si="15"/>
        <v>30</v>
      </c>
      <c r="F67" s="855">
        <f>DATA!BS$52</f>
        <v>0</v>
      </c>
      <c r="G67" s="722"/>
      <c r="H67" s="632">
        <f t="shared" si="9"/>
        <v>0</v>
      </c>
      <c r="I67" s="733">
        <f>'Pricing Schedule'!E82</f>
        <v>0</v>
      </c>
      <c r="J67" s="631">
        <f t="shared" si="10"/>
        <v>0</v>
      </c>
      <c r="K67" s="631">
        <f t="shared" si="11"/>
        <v>0</v>
      </c>
      <c r="L67" s="631">
        <f t="shared" si="12"/>
        <v>0</v>
      </c>
      <c r="M67" s="631">
        <f t="shared" si="13"/>
        <v>0</v>
      </c>
      <c r="N67" s="632">
        <f t="shared" si="14"/>
        <v>0</v>
      </c>
    </row>
    <row r="68" spans="1:14" ht="31.5" customHeight="1">
      <c r="A68" s="784"/>
      <c r="B68" s="630" t="str">
        <f>'Pricing Schedule'!B83</f>
        <v>(xxvii) Bitumen softening point</v>
      </c>
      <c r="C68" s="643" t="str">
        <f>'Pricing Schedule'!C83</f>
        <v>number (No)</v>
      </c>
      <c r="D68" s="651">
        <f>'Pricing Schedule'!D83</f>
        <v>30</v>
      </c>
      <c r="E68" s="722">
        <f t="shared" si="15"/>
        <v>30</v>
      </c>
      <c r="F68" s="855">
        <f>DATA!BT$52</f>
        <v>0</v>
      </c>
      <c r="G68" s="722"/>
      <c r="H68" s="632">
        <f t="shared" si="9"/>
        <v>0</v>
      </c>
      <c r="I68" s="733">
        <f>'Pricing Schedule'!E83</f>
        <v>0</v>
      </c>
      <c r="J68" s="631">
        <f t="shared" si="10"/>
        <v>0</v>
      </c>
      <c r="K68" s="631">
        <f t="shared" si="11"/>
        <v>0</v>
      </c>
      <c r="L68" s="631">
        <f t="shared" si="12"/>
        <v>0</v>
      </c>
      <c r="M68" s="631">
        <f t="shared" si="13"/>
        <v>0</v>
      </c>
      <c r="N68" s="632">
        <f t="shared" si="14"/>
        <v>0</v>
      </c>
    </row>
    <row r="69" spans="1:14" ht="31.5" customHeight="1">
      <c r="A69" s="784"/>
      <c r="B69" s="630" t="str">
        <f>'Pricing Schedule'!B84</f>
        <v>(xxviii)  Sand Patch</v>
      </c>
      <c r="C69" s="643" t="str">
        <f>'Pricing Schedule'!C84</f>
        <v>number (No)</v>
      </c>
      <c r="D69" s="651">
        <f>'Pricing Schedule'!D84</f>
        <v>15</v>
      </c>
      <c r="E69" s="722">
        <f t="shared" si="15"/>
        <v>15</v>
      </c>
      <c r="F69" s="855">
        <f>DATA!BU$52</f>
        <v>0</v>
      </c>
      <c r="G69" s="722"/>
      <c r="H69" s="632">
        <f t="shared" si="9"/>
        <v>0</v>
      </c>
      <c r="I69" s="733">
        <f>'Pricing Schedule'!E84</f>
        <v>0</v>
      </c>
      <c r="J69" s="631">
        <f t="shared" si="10"/>
        <v>0</v>
      </c>
      <c r="K69" s="631">
        <f t="shared" si="11"/>
        <v>0</v>
      </c>
      <c r="L69" s="631">
        <f t="shared" si="12"/>
        <v>0</v>
      </c>
      <c r="M69" s="631">
        <f t="shared" si="13"/>
        <v>0</v>
      </c>
      <c r="N69" s="632">
        <f t="shared" si="14"/>
        <v>0</v>
      </c>
    </row>
    <row r="70" spans="1:14" ht="31.5" customHeight="1">
      <c r="A70" s="629"/>
      <c r="B70" s="630" t="str">
        <f>'Pricing Schedule'!B85</f>
        <v>(b) Laboratory Testing where no schedule is available, or specialised testing</v>
      </c>
      <c r="C70" s="643" t="str">
        <f>'Pricing Schedule'!C85</f>
        <v>prime cost (PC)</v>
      </c>
      <c r="D70" s="651">
        <v>1</v>
      </c>
      <c r="E70" s="722">
        <f t="shared" si="15"/>
        <v>1</v>
      </c>
      <c r="F70" s="855">
        <f>DATA!BV52</f>
        <v>0</v>
      </c>
      <c r="G70" s="854">
        <f>'Pg 4 P Sums'!K81-'C3.3'!F70</f>
        <v>0</v>
      </c>
      <c r="H70" s="632">
        <f>F70+G70</f>
        <v>0</v>
      </c>
      <c r="I70" s="733">
        <f>'Pricing Schedule'!F85</f>
        <v>850000</v>
      </c>
      <c r="J70" s="631">
        <f>D70*I70</f>
        <v>850000</v>
      </c>
      <c r="K70" s="631">
        <f>E70*I70</f>
        <v>850000</v>
      </c>
      <c r="L70" s="631">
        <f>F70*I70</f>
        <v>0</v>
      </c>
      <c r="M70" s="631">
        <f>G70*I70</f>
        <v>0</v>
      </c>
      <c r="N70" s="632">
        <f>H70*I70</f>
        <v>0</v>
      </c>
    </row>
    <row r="71" spans="1:14" ht="31.5" customHeight="1" thickBot="1">
      <c r="A71" s="629"/>
      <c r="B71" s="630" t="str">
        <f>'Pricing Schedule'!B86</f>
        <v>(c) Handling costs i.r.o. pay item 3.3.6(b)</v>
      </c>
      <c r="C71" s="643" t="str">
        <f>'Pricing Schedule'!C86</f>
        <v>percentage  (%)</v>
      </c>
      <c r="D71" s="651">
        <f>'Pricing Schedule'!D86</f>
        <v>850000</v>
      </c>
      <c r="E71" s="631">
        <f>K70</f>
        <v>850000</v>
      </c>
      <c r="F71" s="631">
        <f>L70</f>
        <v>0</v>
      </c>
      <c r="G71" s="631">
        <f>M70</f>
        <v>0</v>
      </c>
      <c r="H71" s="632">
        <f>F71+G71</f>
        <v>0</v>
      </c>
      <c r="I71" s="747">
        <f>'Pricing Schedule'!E86</f>
        <v>0</v>
      </c>
      <c r="J71" s="631">
        <f>D71*I71</f>
        <v>0</v>
      </c>
      <c r="K71" s="631">
        <f>E71*I71</f>
        <v>0</v>
      </c>
      <c r="L71" s="631">
        <f>F71*I71</f>
        <v>0</v>
      </c>
      <c r="M71" s="631">
        <f>G71*I71</f>
        <v>0</v>
      </c>
      <c r="N71" s="632">
        <f>H71*I71</f>
        <v>0</v>
      </c>
    </row>
    <row r="72" spans="1:14" ht="31.5" customHeight="1" thickBot="1">
      <c r="A72" s="1535" t="s">
        <v>508</v>
      </c>
      <c r="B72" s="1536"/>
      <c r="C72" s="1537"/>
      <c r="D72" s="716"/>
      <c r="E72" s="717"/>
      <c r="F72" s="717"/>
      <c r="G72" s="717"/>
      <c r="H72" s="718"/>
      <c r="I72" s="734"/>
      <c r="J72" s="720">
        <f>SUM(J8:J71)</f>
        <v>19250000</v>
      </c>
      <c r="K72" s="720">
        <f>SUM(K8:K71)</f>
        <v>19250000</v>
      </c>
      <c r="L72" s="720">
        <f>SUM(L8:L71)</f>
        <v>0</v>
      </c>
      <c r="M72" s="720">
        <f>SUM(M8:M71)</f>
        <v>0</v>
      </c>
      <c r="N72" s="721">
        <f>SUM(N8:N71)</f>
        <v>0</v>
      </c>
    </row>
    <row r="75" spans="1:14" ht="30.95" customHeight="1">
      <c r="A75" s="817" t="s">
        <v>653</v>
      </c>
      <c r="B75" s="817"/>
      <c r="I75" s="622"/>
      <c r="J75" s="735">
        <f>J10+J11+J14+J15+J18+J21+J22+J27+J30+J32+J33+J34+J35+J36+J38+J39+J42+J43+J44+J45+J46+J47+J48+J49+J50+J51+J52+J53+J54+J55+J56+J57+J58+J59+J60+J61+J62+J63+J64+J65+J66+J67+J68+J69</f>
        <v>0</v>
      </c>
      <c r="K75" s="735">
        <f t="shared" ref="K75:N75" si="16">K10+K11+K14+K15+K18+K21+K22+K27+K30+K32+K33+K34+K35+K36+K38+K39+K42+K43+K44+K45+K46+K47+K48+K49+K50+K51+K52+K53+K54+K55+K56+K57+K58+K59+K60+K61+K62+K63+K64+K65+K66+K67+K68+K69</f>
        <v>0</v>
      </c>
      <c r="L75" s="735">
        <f t="shared" si="16"/>
        <v>0</v>
      </c>
      <c r="M75" s="735">
        <f t="shared" si="16"/>
        <v>0</v>
      </c>
      <c r="N75" s="735">
        <f t="shared" si="16"/>
        <v>0</v>
      </c>
    </row>
    <row r="76" spans="1:14" ht="30.95" customHeight="1">
      <c r="A76" s="622" t="s">
        <v>655</v>
      </c>
      <c r="I76" s="622"/>
      <c r="J76" s="735">
        <f>J9+J13+J17+J20+J24+J25+J26+J29+J70+J71</f>
        <v>19250000</v>
      </c>
      <c r="K76" s="735">
        <f t="shared" ref="K76:N76" si="17">K9+K13+K17+K20+K24+K25+K26+K29+K70+K71</f>
        <v>19250000</v>
      </c>
      <c r="L76" s="735">
        <f t="shared" si="17"/>
        <v>0</v>
      </c>
      <c r="M76" s="735">
        <f t="shared" si="17"/>
        <v>0</v>
      </c>
      <c r="N76" s="735">
        <f t="shared" si="17"/>
        <v>0</v>
      </c>
    </row>
    <row r="77" spans="1:14" ht="30.95" customHeight="1" thickBot="1">
      <c r="A77" s="622" t="s">
        <v>654</v>
      </c>
      <c r="I77" s="622"/>
      <c r="J77" s="785">
        <f>SUM(J75:J76)</f>
        <v>19250000</v>
      </c>
      <c r="K77" s="785">
        <f t="shared" ref="K77:N77" si="18">SUM(K75:K76)</f>
        <v>19250000</v>
      </c>
      <c r="L77" s="785">
        <f t="shared" si="18"/>
        <v>0</v>
      </c>
      <c r="M77" s="785">
        <f t="shared" si="18"/>
        <v>0</v>
      </c>
      <c r="N77" s="785">
        <f t="shared" si="18"/>
        <v>0</v>
      </c>
    </row>
    <row r="78" spans="1:14" ht="13.5" thickTop="1"/>
  </sheetData>
  <mergeCells count="10">
    <mergeCell ref="A72:C72"/>
    <mergeCell ref="A1:H1"/>
    <mergeCell ref="I1:M2"/>
    <mergeCell ref="N1:N2"/>
    <mergeCell ref="A2:H2"/>
    <mergeCell ref="I3:J3"/>
    <mergeCell ref="K3:N3"/>
    <mergeCell ref="A4:H4"/>
    <mergeCell ref="I4:J4"/>
    <mergeCell ref="K4:N4"/>
  </mergeCells>
  <dataValidations count="1">
    <dataValidation type="decimal" operator="lessThanOrEqual" allowBlank="1" showInputMessage="1" showErrorMessage="1" error="LUMP SUM CANNOT EXCEED A VALUE OF 1" sqref="G10:G11 G18 G21 G30 G32 G14:G15" xr:uid="{FAC2453C-6738-41F0-94C4-F5306AAE6DA4}">
      <formula1>1</formula1>
    </dataValidation>
  </dataValidations>
  <printOptions horizontalCentered="1"/>
  <pageMargins left="0" right="0" top="0.43307086614173229" bottom="0" header="0.19685039370078741" footer="0.35433070866141736"/>
  <pageSetup paperSize="9" scale="73" fitToHeight="0" orientation="landscape" r:id="rId1"/>
  <headerFooter alignWithMargins="0">
    <oddHeader>&amp;L&amp;"Calibri"&amp;10&amp;K000000Sensitivity - General&amp;1#</oddHeader>
  </headerFooter>
  <rowBreaks count="3" manualBreakCount="3">
    <brk id="22" max="16383" man="1"/>
    <brk id="39" max="16383" man="1"/>
    <brk id="60" max="1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9">
    <tabColor theme="9"/>
    <pageSetUpPr fitToPage="1"/>
  </sheetPr>
  <dimension ref="A1:N161"/>
  <sheetViews>
    <sheetView workbookViewId="0">
      <selection sqref="A1:H1"/>
    </sheetView>
  </sheetViews>
  <sheetFormatPr defaultRowHeight="12.75"/>
  <cols>
    <col min="1" max="1" width="9.140625" style="622"/>
    <col min="2" max="2" width="36.85546875" style="622" customWidth="1"/>
    <col min="3" max="3" width="18.28515625" style="622" customWidth="1"/>
    <col min="4" max="8" width="11.7109375" style="622" customWidth="1"/>
    <col min="9" max="9" width="11.7109375" style="622" bestFit="1" customWidth="1"/>
    <col min="10" max="11" width="12.85546875" style="622" bestFit="1" customWidth="1"/>
    <col min="12" max="12" width="12.42578125" style="622" customWidth="1"/>
    <col min="13" max="13" width="11.28515625" style="622" bestFit="1" customWidth="1"/>
    <col min="14" max="14" width="11.7109375" style="622" bestFit="1" customWidth="1"/>
    <col min="15" max="257" width="9.140625" style="622"/>
    <col min="258" max="258" width="24.5703125" style="622" customWidth="1"/>
    <col min="259" max="265" width="9.140625" style="622"/>
    <col min="266" max="266" width="15.42578125" style="622" bestFit="1" customWidth="1"/>
    <col min="267" max="268" width="12.7109375" style="622" bestFit="1" customWidth="1"/>
    <col min="269" max="269" width="10.140625" style="622" bestFit="1" customWidth="1"/>
    <col min="270" max="270" width="12.140625" style="622" customWidth="1"/>
    <col min="271" max="513" width="9.140625" style="622"/>
    <col min="514" max="514" width="24.5703125" style="622" customWidth="1"/>
    <col min="515" max="521" width="9.140625" style="622"/>
    <col min="522" max="522" width="15.42578125" style="622" bestFit="1" customWidth="1"/>
    <col min="523" max="524" width="12.7109375" style="622" bestFit="1" customWidth="1"/>
    <col min="525" max="525" width="10.140625" style="622" bestFit="1" customWidth="1"/>
    <col min="526" max="526" width="12.140625" style="622" customWidth="1"/>
    <col min="527" max="769" width="9.140625" style="622"/>
    <col min="770" max="770" width="24.5703125" style="622" customWidth="1"/>
    <col min="771" max="777" width="9.140625" style="622"/>
    <col min="778" max="778" width="15.42578125" style="622" bestFit="1" customWidth="1"/>
    <col min="779" max="780" width="12.7109375" style="622" bestFit="1" customWidth="1"/>
    <col min="781" max="781" width="10.140625" style="622" bestFit="1" customWidth="1"/>
    <col min="782" max="782" width="12.140625" style="622" customWidth="1"/>
    <col min="783" max="1025" width="9.140625" style="622"/>
    <col min="1026" max="1026" width="24.5703125" style="622" customWidth="1"/>
    <col min="1027" max="1033" width="9.140625" style="622"/>
    <col min="1034" max="1034" width="15.42578125" style="622" bestFit="1" customWidth="1"/>
    <col min="1035" max="1036" width="12.7109375" style="622" bestFit="1" customWidth="1"/>
    <col min="1037" max="1037" width="10.140625" style="622" bestFit="1" customWidth="1"/>
    <col min="1038" max="1038" width="12.140625" style="622" customWidth="1"/>
    <col min="1039" max="1281" width="9.140625" style="622"/>
    <col min="1282" max="1282" width="24.5703125" style="622" customWidth="1"/>
    <col min="1283" max="1289" width="9.140625" style="622"/>
    <col min="1290" max="1290" width="15.42578125" style="622" bestFit="1" customWidth="1"/>
    <col min="1291" max="1292" width="12.7109375" style="622" bestFit="1" customWidth="1"/>
    <col min="1293" max="1293" width="10.140625" style="622" bestFit="1" customWidth="1"/>
    <col min="1294" max="1294" width="12.140625" style="622" customWidth="1"/>
    <col min="1295" max="1537" width="9.140625" style="622"/>
    <col min="1538" max="1538" width="24.5703125" style="622" customWidth="1"/>
    <col min="1539" max="1545" width="9.140625" style="622"/>
    <col min="1546" max="1546" width="15.42578125" style="622" bestFit="1" customWidth="1"/>
    <col min="1547" max="1548" width="12.7109375" style="622" bestFit="1" customWidth="1"/>
    <col min="1549" max="1549" width="10.140625" style="622" bestFit="1" customWidth="1"/>
    <col min="1550" max="1550" width="12.140625" style="622" customWidth="1"/>
    <col min="1551" max="1793" width="9.140625" style="622"/>
    <col min="1794" max="1794" width="24.5703125" style="622" customWidth="1"/>
    <col min="1795" max="1801" width="9.140625" style="622"/>
    <col min="1802" max="1802" width="15.42578125" style="622" bestFit="1" customWidth="1"/>
    <col min="1803" max="1804" width="12.7109375" style="622" bestFit="1" customWidth="1"/>
    <col min="1805" max="1805" width="10.140625" style="622" bestFit="1" customWidth="1"/>
    <col min="1806" max="1806" width="12.140625" style="622" customWidth="1"/>
    <col min="1807" max="2049" width="9.140625" style="622"/>
    <col min="2050" max="2050" width="24.5703125" style="622" customWidth="1"/>
    <col min="2051" max="2057" width="9.140625" style="622"/>
    <col min="2058" max="2058" width="15.42578125" style="622" bestFit="1" customWidth="1"/>
    <col min="2059" max="2060" width="12.7109375" style="622" bestFit="1" customWidth="1"/>
    <col min="2061" max="2061" width="10.140625" style="622" bestFit="1" customWidth="1"/>
    <col min="2062" max="2062" width="12.140625" style="622" customWidth="1"/>
    <col min="2063" max="2305" width="9.140625" style="622"/>
    <col min="2306" max="2306" width="24.5703125" style="622" customWidth="1"/>
    <col min="2307" max="2313" width="9.140625" style="622"/>
    <col min="2314" max="2314" width="15.42578125" style="622" bestFit="1" customWidth="1"/>
    <col min="2315" max="2316" width="12.7109375" style="622" bestFit="1" customWidth="1"/>
    <col min="2317" max="2317" width="10.140625" style="622" bestFit="1" customWidth="1"/>
    <col min="2318" max="2318" width="12.140625" style="622" customWidth="1"/>
    <col min="2319" max="2561" width="9.140625" style="622"/>
    <col min="2562" max="2562" width="24.5703125" style="622" customWidth="1"/>
    <col min="2563" max="2569" width="9.140625" style="622"/>
    <col min="2570" max="2570" width="15.42578125" style="622" bestFit="1" customWidth="1"/>
    <col min="2571" max="2572" width="12.7109375" style="622" bestFit="1" customWidth="1"/>
    <col min="2573" max="2573" width="10.140625" style="622" bestFit="1" customWidth="1"/>
    <col min="2574" max="2574" width="12.140625" style="622" customWidth="1"/>
    <col min="2575" max="2817" width="9.140625" style="622"/>
    <col min="2818" max="2818" width="24.5703125" style="622" customWidth="1"/>
    <col min="2819" max="2825" width="9.140625" style="622"/>
    <col min="2826" max="2826" width="15.42578125" style="622" bestFit="1" customWidth="1"/>
    <col min="2827" max="2828" width="12.7109375" style="622" bestFit="1" customWidth="1"/>
    <col min="2829" max="2829" width="10.140625" style="622" bestFit="1" customWidth="1"/>
    <col min="2830" max="2830" width="12.140625" style="622" customWidth="1"/>
    <col min="2831" max="3073" width="9.140625" style="622"/>
    <col min="3074" max="3074" width="24.5703125" style="622" customWidth="1"/>
    <col min="3075" max="3081" width="9.140625" style="622"/>
    <col min="3082" max="3082" width="15.42578125" style="622" bestFit="1" customWidth="1"/>
    <col min="3083" max="3084" width="12.7109375" style="622" bestFit="1" customWidth="1"/>
    <col min="3085" max="3085" width="10.140625" style="622" bestFit="1" customWidth="1"/>
    <col min="3086" max="3086" width="12.140625" style="622" customWidth="1"/>
    <col min="3087" max="3329" width="9.140625" style="622"/>
    <col min="3330" max="3330" width="24.5703125" style="622" customWidth="1"/>
    <col min="3331" max="3337" width="9.140625" style="622"/>
    <col min="3338" max="3338" width="15.42578125" style="622" bestFit="1" customWidth="1"/>
    <col min="3339" max="3340" width="12.7109375" style="622" bestFit="1" customWidth="1"/>
    <col min="3341" max="3341" width="10.140625" style="622" bestFit="1" customWidth="1"/>
    <col min="3342" max="3342" width="12.140625" style="622" customWidth="1"/>
    <col min="3343" max="3585" width="9.140625" style="622"/>
    <col min="3586" max="3586" width="24.5703125" style="622" customWidth="1"/>
    <col min="3587" max="3593" width="9.140625" style="622"/>
    <col min="3594" max="3594" width="15.42578125" style="622" bestFit="1" customWidth="1"/>
    <col min="3595" max="3596" width="12.7109375" style="622" bestFit="1" customWidth="1"/>
    <col min="3597" max="3597" width="10.140625" style="622" bestFit="1" customWidth="1"/>
    <col min="3598" max="3598" width="12.140625" style="622" customWidth="1"/>
    <col min="3599" max="3841" width="9.140625" style="622"/>
    <col min="3842" max="3842" width="24.5703125" style="622" customWidth="1"/>
    <col min="3843" max="3849" width="9.140625" style="622"/>
    <col min="3850" max="3850" width="15.42578125" style="622" bestFit="1" customWidth="1"/>
    <col min="3851" max="3852" width="12.7109375" style="622" bestFit="1" customWidth="1"/>
    <col min="3853" max="3853" width="10.140625" style="622" bestFit="1" customWidth="1"/>
    <col min="3854" max="3854" width="12.140625" style="622" customWidth="1"/>
    <col min="3855" max="4097" width="9.140625" style="622"/>
    <col min="4098" max="4098" width="24.5703125" style="622" customWidth="1"/>
    <col min="4099" max="4105" width="9.140625" style="622"/>
    <col min="4106" max="4106" width="15.42578125" style="622" bestFit="1" customWidth="1"/>
    <col min="4107" max="4108" width="12.7109375" style="622" bestFit="1" customWidth="1"/>
    <col min="4109" max="4109" width="10.140625" style="622" bestFit="1" customWidth="1"/>
    <col min="4110" max="4110" width="12.140625" style="622" customWidth="1"/>
    <col min="4111" max="4353" width="9.140625" style="622"/>
    <col min="4354" max="4354" width="24.5703125" style="622" customWidth="1"/>
    <col min="4355" max="4361" width="9.140625" style="622"/>
    <col min="4362" max="4362" width="15.42578125" style="622" bestFit="1" customWidth="1"/>
    <col min="4363" max="4364" width="12.7109375" style="622" bestFit="1" customWidth="1"/>
    <col min="4365" max="4365" width="10.140625" style="622" bestFit="1" customWidth="1"/>
    <col min="4366" max="4366" width="12.140625" style="622" customWidth="1"/>
    <col min="4367" max="4609" width="9.140625" style="622"/>
    <col min="4610" max="4610" width="24.5703125" style="622" customWidth="1"/>
    <col min="4611" max="4617" width="9.140625" style="622"/>
    <col min="4618" max="4618" width="15.42578125" style="622" bestFit="1" customWidth="1"/>
    <col min="4619" max="4620" width="12.7109375" style="622" bestFit="1" customWidth="1"/>
    <col min="4621" max="4621" width="10.140625" style="622" bestFit="1" customWidth="1"/>
    <col min="4622" max="4622" width="12.140625" style="622" customWidth="1"/>
    <col min="4623" max="4865" width="9.140625" style="622"/>
    <col min="4866" max="4866" width="24.5703125" style="622" customWidth="1"/>
    <col min="4867" max="4873" width="9.140625" style="622"/>
    <col min="4874" max="4874" width="15.42578125" style="622" bestFit="1" customWidth="1"/>
    <col min="4875" max="4876" width="12.7109375" style="622" bestFit="1" customWidth="1"/>
    <col min="4877" max="4877" width="10.140625" style="622" bestFit="1" customWidth="1"/>
    <col min="4878" max="4878" width="12.140625" style="622" customWidth="1"/>
    <col min="4879" max="5121" width="9.140625" style="622"/>
    <col min="5122" max="5122" width="24.5703125" style="622" customWidth="1"/>
    <col min="5123" max="5129" width="9.140625" style="622"/>
    <col min="5130" max="5130" width="15.42578125" style="622" bestFit="1" customWidth="1"/>
    <col min="5131" max="5132" width="12.7109375" style="622" bestFit="1" customWidth="1"/>
    <col min="5133" max="5133" width="10.140625" style="622" bestFit="1" customWidth="1"/>
    <col min="5134" max="5134" width="12.140625" style="622" customWidth="1"/>
    <col min="5135" max="5377" width="9.140625" style="622"/>
    <col min="5378" max="5378" width="24.5703125" style="622" customWidth="1"/>
    <col min="5379" max="5385" width="9.140625" style="622"/>
    <col min="5386" max="5386" width="15.42578125" style="622" bestFit="1" customWidth="1"/>
    <col min="5387" max="5388" width="12.7109375" style="622" bestFit="1" customWidth="1"/>
    <col min="5389" max="5389" width="10.140625" style="622" bestFit="1" customWidth="1"/>
    <col min="5390" max="5390" width="12.140625" style="622" customWidth="1"/>
    <col min="5391" max="5633" width="9.140625" style="622"/>
    <col min="5634" max="5634" width="24.5703125" style="622" customWidth="1"/>
    <col min="5635" max="5641" width="9.140625" style="622"/>
    <col min="5642" max="5642" width="15.42578125" style="622" bestFit="1" customWidth="1"/>
    <col min="5643" max="5644" width="12.7109375" style="622" bestFit="1" customWidth="1"/>
    <col min="5645" max="5645" width="10.140625" style="622" bestFit="1" customWidth="1"/>
    <col min="5646" max="5646" width="12.140625" style="622" customWidth="1"/>
    <col min="5647" max="5889" width="9.140625" style="622"/>
    <col min="5890" max="5890" width="24.5703125" style="622" customWidth="1"/>
    <col min="5891" max="5897" width="9.140625" style="622"/>
    <col min="5898" max="5898" width="15.42578125" style="622" bestFit="1" customWidth="1"/>
    <col min="5899" max="5900" width="12.7109375" style="622" bestFit="1" customWidth="1"/>
    <col min="5901" max="5901" width="10.140625" style="622" bestFit="1" customWidth="1"/>
    <col min="5902" max="5902" width="12.140625" style="622" customWidth="1"/>
    <col min="5903" max="6145" width="9.140625" style="622"/>
    <col min="6146" max="6146" width="24.5703125" style="622" customWidth="1"/>
    <col min="6147" max="6153" width="9.140625" style="622"/>
    <col min="6154" max="6154" width="15.42578125" style="622" bestFit="1" customWidth="1"/>
    <col min="6155" max="6156" width="12.7109375" style="622" bestFit="1" customWidth="1"/>
    <col min="6157" max="6157" width="10.140625" style="622" bestFit="1" customWidth="1"/>
    <col min="6158" max="6158" width="12.140625" style="622" customWidth="1"/>
    <col min="6159" max="6401" width="9.140625" style="622"/>
    <col min="6402" max="6402" width="24.5703125" style="622" customWidth="1"/>
    <col min="6403" max="6409" width="9.140625" style="622"/>
    <col min="6410" max="6410" width="15.42578125" style="622" bestFit="1" customWidth="1"/>
    <col min="6411" max="6412" width="12.7109375" style="622" bestFit="1" customWidth="1"/>
    <col min="6413" max="6413" width="10.140625" style="622" bestFit="1" customWidth="1"/>
    <col min="6414" max="6414" width="12.140625" style="622" customWidth="1"/>
    <col min="6415" max="6657" width="9.140625" style="622"/>
    <col min="6658" max="6658" width="24.5703125" style="622" customWidth="1"/>
    <col min="6659" max="6665" width="9.140625" style="622"/>
    <col min="6666" max="6666" width="15.42578125" style="622" bestFit="1" customWidth="1"/>
    <col min="6667" max="6668" width="12.7109375" style="622" bestFit="1" customWidth="1"/>
    <col min="6669" max="6669" width="10.140625" style="622" bestFit="1" customWidth="1"/>
    <col min="6670" max="6670" width="12.140625" style="622" customWidth="1"/>
    <col min="6671" max="6913" width="9.140625" style="622"/>
    <col min="6914" max="6914" width="24.5703125" style="622" customWidth="1"/>
    <col min="6915" max="6921" width="9.140625" style="622"/>
    <col min="6922" max="6922" width="15.42578125" style="622" bestFit="1" customWidth="1"/>
    <col min="6923" max="6924" width="12.7109375" style="622" bestFit="1" customWidth="1"/>
    <col min="6925" max="6925" width="10.140625" style="622" bestFit="1" customWidth="1"/>
    <col min="6926" max="6926" width="12.140625" style="622" customWidth="1"/>
    <col min="6927" max="7169" width="9.140625" style="622"/>
    <col min="7170" max="7170" width="24.5703125" style="622" customWidth="1"/>
    <col min="7171" max="7177" width="9.140625" style="622"/>
    <col min="7178" max="7178" width="15.42578125" style="622" bestFit="1" customWidth="1"/>
    <col min="7179" max="7180" width="12.7109375" style="622" bestFit="1" customWidth="1"/>
    <col min="7181" max="7181" width="10.140625" style="622" bestFit="1" customWidth="1"/>
    <col min="7182" max="7182" width="12.140625" style="622" customWidth="1"/>
    <col min="7183" max="7425" width="9.140625" style="622"/>
    <col min="7426" max="7426" width="24.5703125" style="622" customWidth="1"/>
    <col min="7427" max="7433" width="9.140625" style="622"/>
    <col min="7434" max="7434" width="15.42578125" style="622" bestFit="1" customWidth="1"/>
    <col min="7435" max="7436" width="12.7109375" style="622" bestFit="1" customWidth="1"/>
    <col min="7437" max="7437" width="10.140625" style="622" bestFit="1" customWidth="1"/>
    <col min="7438" max="7438" width="12.140625" style="622" customWidth="1"/>
    <col min="7439" max="7681" width="9.140625" style="622"/>
    <col min="7682" max="7682" width="24.5703125" style="622" customWidth="1"/>
    <col min="7683" max="7689" width="9.140625" style="622"/>
    <col min="7690" max="7690" width="15.42578125" style="622" bestFit="1" customWidth="1"/>
    <col min="7691" max="7692" width="12.7109375" style="622" bestFit="1" customWidth="1"/>
    <col min="7693" max="7693" width="10.140625" style="622" bestFit="1" customWidth="1"/>
    <col min="7694" max="7694" width="12.140625" style="622" customWidth="1"/>
    <col min="7695" max="7937" width="9.140625" style="622"/>
    <col min="7938" max="7938" width="24.5703125" style="622" customWidth="1"/>
    <col min="7939" max="7945" width="9.140625" style="622"/>
    <col min="7946" max="7946" width="15.42578125" style="622" bestFit="1" customWidth="1"/>
    <col min="7947" max="7948" width="12.7109375" style="622" bestFit="1" customWidth="1"/>
    <col min="7949" max="7949" width="10.140625" style="622" bestFit="1" customWidth="1"/>
    <col min="7950" max="7950" width="12.140625" style="622" customWidth="1"/>
    <col min="7951" max="8193" width="9.140625" style="622"/>
    <col min="8194" max="8194" width="24.5703125" style="622" customWidth="1"/>
    <col min="8195" max="8201" width="9.140625" style="622"/>
    <col min="8202" max="8202" width="15.42578125" style="622" bestFit="1" customWidth="1"/>
    <col min="8203" max="8204" width="12.7109375" style="622" bestFit="1" customWidth="1"/>
    <col min="8205" max="8205" width="10.140625" style="622" bestFit="1" customWidth="1"/>
    <col min="8206" max="8206" width="12.140625" style="622" customWidth="1"/>
    <col min="8207" max="8449" width="9.140625" style="622"/>
    <col min="8450" max="8450" width="24.5703125" style="622" customWidth="1"/>
    <col min="8451" max="8457" width="9.140625" style="622"/>
    <col min="8458" max="8458" width="15.42578125" style="622" bestFit="1" customWidth="1"/>
    <col min="8459" max="8460" width="12.7109375" style="622" bestFit="1" customWidth="1"/>
    <col min="8461" max="8461" width="10.140625" style="622" bestFit="1" customWidth="1"/>
    <col min="8462" max="8462" width="12.140625" style="622" customWidth="1"/>
    <col min="8463" max="8705" width="9.140625" style="622"/>
    <col min="8706" max="8706" width="24.5703125" style="622" customWidth="1"/>
    <col min="8707" max="8713" width="9.140625" style="622"/>
    <col min="8714" max="8714" width="15.42578125" style="622" bestFit="1" customWidth="1"/>
    <col min="8715" max="8716" width="12.7109375" style="622" bestFit="1" customWidth="1"/>
    <col min="8717" max="8717" width="10.140625" style="622" bestFit="1" customWidth="1"/>
    <col min="8718" max="8718" width="12.140625" style="622" customWidth="1"/>
    <col min="8719" max="8961" width="9.140625" style="622"/>
    <col min="8962" max="8962" width="24.5703125" style="622" customWidth="1"/>
    <col min="8963" max="8969" width="9.140625" style="622"/>
    <col min="8970" max="8970" width="15.42578125" style="622" bestFit="1" customWidth="1"/>
    <col min="8971" max="8972" width="12.7109375" style="622" bestFit="1" customWidth="1"/>
    <col min="8973" max="8973" width="10.140625" style="622" bestFit="1" customWidth="1"/>
    <col min="8974" max="8974" width="12.140625" style="622" customWidth="1"/>
    <col min="8975" max="9217" width="9.140625" style="622"/>
    <col min="9218" max="9218" width="24.5703125" style="622" customWidth="1"/>
    <col min="9219" max="9225" width="9.140625" style="622"/>
    <col min="9226" max="9226" width="15.42578125" style="622" bestFit="1" customWidth="1"/>
    <col min="9227" max="9228" width="12.7109375" style="622" bestFit="1" customWidth="1"/>
    <col min="9229" max="9229" width="10.140625" style="622" bestFit="1" customWidth="1"/>
    <col min="9230" max="9230" width="12.140625" style="622" customWidth="1"/>
    <col min="9231" max="9473" width="9.140625" style="622"/>
    <col min="9474" max="9474" width="24.5703125" style="622" customWidth="1"/>
    <col min="9475" max="9481" width="9.140625" style="622"/>
    <col min="9482" max="9482" width="15.42578125" style="622" bestFit="1" customWidth="1"/>
    <col min="9483" max="9484" width="12.7109375" style="622" bestFit="1" customWidth="1"/>
    <col min="9485" max="9485" width="10.140625" style="622" bestFit="1" customWidth="1"/>
    <col min="9486" max="9486" width="12.140625" style="622" customWidth="1"/>
    <col min="9487" max="9729" width="9.140625" style="622"/>
    <col min="9730" max="9730" width="24.5703125" style="622" customWidth="1"/>
    <col min="9731" max="9737" width="9.140625" style="622"/>
    <col min="9738" max="9738" width="15.42578125" style="622" bestFit="1" customWidth="1"/>
    <col min="9739" max="9740" width="12.7109375" style="622" bestFit="1" customWidth="1"/>
    <col min="9741" max="9741" width="10.140625" style="622" bestFit="1" customWidth="1"/>
    <col min="9742" max="9742" width="12.140625" style="622" customWidth="1"/>
    <col min="9743" max="9985" width="9.140625" style="622"/>
    <col min="9986" max="9986" width="24.5703125" style="622" customWidth="1"/>
    <col min="9987" max="9993" width="9.140625" style="622"/>
    <col min="9994" max="9994" width="15.42578125" style="622" bestFit="1" customWidth="1"/>
    <col min="9995" max="9996" width="12.7109375" style="622" bestFit="1" customWidth="1"/>
    <col min="9997" max="9997" width="10.140625" style="622" bestFit="1" customWidth="1"/>
    <col min="9998" max="9998" width="12.140625" style="622" customWidth="1"/>
    <col min="9999" max="10241" width="9.140625" style="622"/>
    <col min="10242" max="10242" width="24.5703125" style="622" customWidth="1"/>
    <col min="10243" max="10249" width="9.140625" style="622"/>
    <col min="10250" max="10250" width="15.42578125" style="622" bestFit="1" customWidth="1"/>
    <col min="10251" max="10252" width="12.7109375" style="622" bestFit="1" customWidth="1"/>
    <col min="10253" max="10253" width="10.140625" style="622" bestFit="1" customWidth="1"/>
    <col min="10254" max="10254" width="12.140625" style="622" customWidth="1"/>
    <col min="10255" max="10497" width="9.140625" style="622"/>
    <col min="10498" max="10498" width="24.5703125" style="622" customWidth="1"/>
    <col min="10499" max="10505" width="9.140625" style="622"/>
    <col min="10506" max="10506" width="15.42578125" style="622" bestFit="1" customWidth="1"/>
    <col min="10507" max="10508" width="12.7109375" style="622" bestFit="1" customWidth="1"/>
    <col min="10509" max="10509" width="10.140625" style="622" bestFit="1" customWidth="1"/>
    <col min="10510" max="10510" width="12.140625" style="622" customWidth="1"/>
    <col min="10511" max="10753" width="9.140625" style="622"/>
    <col min="10754" max="10754" width="24.5703125" style="622" customWidth="1"/>
    <col min="10755" max="10761" width="9.140625" style="622"/>
    <col min="10762" max="10762" width="15.42578125" style="622" bestFit="1" customWidth="1"/>
    <col min="10763" max="10764" width="12.7109375" style="622" bestFit="1" customWidth="1"/>
    <col min="10765" max="10765" width="10.140625" style="622" bestFit="1" customWidth="1"/>
    <col min="10766" max="10766" width="12.140625" style="622" customWidth="1"/>
    <col min="10767" max="11009" width="9.140625" style="622"/>
    <col min="11010" max="11010" width="24.5703125" style="622" customWidth="1"/>
    <col min="11011" max="11017" width="9.140625" style="622"/>
    <col min="11018" max="11018" width="15.42578125" style="622" bestFit="1" customWidth="1"/>
    <col min="11019" max="11020" width="12.7109375" style="622" bestFit="1" customWidth="1"/>
    <col min="11021" max="11021" width="10.140625" style="622" bestFit="1" customWidth="1"/>
    <col min="11022" max="11022" width="12.140625" style="622" customWidth="1"/>
    <col min="11023" max="11265" width="9.140625" style="622"/>
    <col min="11266" max="11266" width="24.5703125" style="622" customWidth="1"/>
    <col min="11267" max="11273" width="9.140625" style="622"/>
    <col min="11274" max="11274" width="15.42578125" style="622" bestFit="1" customWidth="1"/>
    <col min="11275" max="11276" width="12.7109375" style="622" bestFit="1" customWidth="1"/>
    <col min="11277" max="11277" width="10.140625" style="622" bestFit="1" customWidth="1"/>
    <col min="11278" max="11278" width="12.140625" style="622" customWidth="1"/>
    <col min="11279" max="11521" width="9.140625" style="622"/>
    <col min="11522" max="11522" width="24.5703125" style="622" customWidth="1"/>
    <col min="11523" max="11529" width="9.140625" style="622"/>
    <col min="11530" max="11530" width="15.42578125" style="622" bestFit="1" customWidth="1"/>
    <col min="11531" max="11532" width="12.7109375" style="622" bestFit="1" customWidth="1"/>
    <col min="11533" max="11533" width="10.140625" style="622" bestFit="1" customWidth="1"/>
    <col min="11534" max="11534" width="12.140625" style="622" customWidth="1"/>
    <col min="11535" max="11777" width="9.140625" style="622"/>
    <col min="11778" max="11778" width="24.5703125" style="622" customWidth="1"/>
    <col min="11779" max="11785" width="9.140625" style="622"/>
    <col min="11786" max="11786" width="15.42578125" style="622" bestFit="1" customWidth="1"/>
    <col min="11787" max="11788" width="12.7109375" style="622" bestFit="1" customWidth="1"/>
    <col min="11789" max="11789" width="10.140625" style="622" bestFit="1" customWidth="1"/>
    <col min="11790" max="11790" width="12.140625" style="622" customWidth="1"/>
    <col min="11791" max="12033" width="9.140625" style="622"/>
    <col min="12034" max="12034" width="24.5703125" style="622" customWidth="1"/>
    <col min="12035" max="12041" width="9.140625" style="622"/>
    <col min="12042" max="12042" width="15.42578125" style="622" bestFit="1" customWidth="1"/>
    <col min="12043" max="12044" width="12.7109375" style="622" bestFit="1" customWidth="1"/>
    <col min="12045" max="12045" width="10.140625" style="622" bestFit="1" customWidth="1"/>
    <col min="12046" max="12046" width="12.140625" style="622" customWidth="1"/>
    <col min="12047" max="12289" width="9.140625" style="622"/>
    <col min="12290" max="12290" width="24.5703125" style="622" customWidth="1"/>
    <col min="12291" max="12297" width="9.140625" style="622"/>
    <col min="12298" max="12298" width="15.42578125" style="622" bestFit="1" customWidth="1"/>
    <col min="12299" max="12300" width="12.7109375" style="622" bestFit="1" customWidth="1"/>
    <col min="12301" max="12301" width="10.140625" style="622" bestFit="1" customWidth="1"/>
    <col min="12302" max="12302" width="12.140625" style="622" customWidth="1"/>
    <col min="12303" max="12545" width="9.140625" style="622"/>
    <col min="12546" max="12546" width="24.5703125" style="622" customWidth="1"/>
    <col min="12547" max="12553" width="9.140625" style="622"/>
    <col min="12554" max="12554" width="15.42578125" style="622" bestFit="1" customWidth="1"/>
    <col min="12555" max="12556" width="12.7109375" style="622" bestFit="1" customWidth="1"/>
    <col min="12557" max="12557" width="10.140625" style="622" bestFit="1" customWidth="1"/>
    <col min="12558" max="12558" width="12.140625" style="622" customWidth="1"/>
    <col min="12559" max="12801" width="9.140625" style="622"/>
    <col min="12802" max="12802" width="24.5703125" style="622" customWidth="1"/>
    <col min="12803" max="12809" width="9.140625" style="622"/>
    <col min="12810" max="12810" width="15.42578125" style="622" bestFit="1" customWidth="1"/>
    <col min="12811" max="12812" width="12.7109375" style="622" bestFit="1" customWidth="1"/>
    <col min="12813" max="12813" width="10.140625" style="622" bestFit="1" customWidth="1"/>
    <col min="12814" max="12814" width="12.140625" style="622" customWidth="1"/>
    <col min="12815" max="13057" width="9.140625" style="622"/>
    <col min="13058" max="13058" width="24.5703125" style="622" customWidth="1"/>
    <col min="13059" max="13065" width="9.140625" style="622"/>
    <col min="13066" max="13066" width="15.42578125" style="622" bestFit="1" customWidth="1"/>
    <col min="13067" max="13068" width="12.7109375" style="622" bestFit="1" customWidth="1"/>
    <col min="13069" max="13069" width="10.140625" style="622" bestFit="1" customWidth="1"/>
    <col min="13070" max="13070" width="12.140625" style="622" customWidth="1"/>
    <col min="13071" max="13313" width="9.140625" style="622"/>
    <col min="13314" max="13314" width="24.5703125" style="622" customWidth="1"/>
    <col min="13315" max="13321" width="9.140625" style="622"/>
    <col min="13322" max="13322" width="15.42578125" style="622" bestFit="1" customWidth="1"/>
    <col min="13323" max="13324" width="12.7109375" style="622" bestFit="1" customWidth="1"/>
    <col min="13325" max="13325" width="10.140625" style="622" bestFit="1" customWidth="1"/>
    <col min="13326" max="13326" width="12.140625" style="622" customWidth="1"/>
    <col min="13327" max="13569" width="9.140625" style="622"/>
    <col min="13570" max="13570" width="24.5703125" style="622" customWidth="1"/>
    <col min="13571" max="13577" width="9.140625" style="622"/>
    <col min="13578" max="13578" width="15.42578125" style="622" bestFit="1" customWidth="1"/>
    <col min="13579" max="13580" width="12.7109375" style="622" bestFit="1" customWidth="1"/>
    <col min="13581" max="13581" width="10.140625" style="622" bestFit="1" customWidth="1"/>
    <col min="13582" max="13582" width="12.140625" style="622" customWidth="1"/>
    <col min="13583" max="13825" width="9.140625" style="622"/>
    <col min="13826" max="13826" width="24.5703125" style="622" customWidth="1"/>
    <col min="13827" max="13833" width="9.140625" style="622"/>
    <col min="13834" max="13834" width="15.42578125" style="622" bestFit="1" customWidth="1"/>
    <col min="13835" max="13836" width="12.7109375" style="622" bestFit="1" customWidth="1"/>
    <col min="13837" max="13837" width="10.140625" style="622" bestFit="1" customWidth="1"/>
    <col min="13838" max="13838" width="12.140625" style="622" customWidth="1"/>
    <col min="13839" max="14081" width="9.140625" style="622"/>
    <col min="14082" max="14082" width="24.5703125" style="622" customWidth="1"/>
    <col min="14083" max="14089" width="9.140625" style="622"/>
    <col min="14090" max="14090" width="15.42578125" style="622" bestFit="1" customWidth="1"/>
    <col min="14091" max="14092" width="12.7109375" style="622" bestFit="1" customWidth="1"/>
    <col min="14093" max="14093" width="10.140625" style="622" bestFit="1" customWidth="1"/>
    <col min="14094" max="14094" width="12.140625" style="622" customWidth="1"/>
    <col min="14095" max="14337" width="9.140625" style="622"/>
    <col min="14338" max="14338" width="24.5703125" style="622" customWidth="1"/>
    <col min="14339" max="14345" width="9.140625" style="622"/>
    <col min="14346" max="14346" width="15.42578125" style="622" bestFit="1" customWidth="1"/>
    <col min="14347" max="14348" width="12.7109375" style="622" bestFit="1" customWidth="1"/>
    <col min="14349" max="14349" width="10.140625" style="622" bestFit="1" customWidth="1"/>
    <col min="14350" max="14350" width="12.140625" style="622" customWidth="1"/>
    <col min="14351" max="14593" width="9.140625" style="622"/>
    <col min="14594" max="14594" width="24.5703125" style="622" customWidth="1"/>
    <col min="14595" max="14601" width="9.140625" style="622"/>
    <col min="14602" max="14602" width="15.42578125" style="622" bestFit="1" customWidth="1"/>
    <col min="14603" max="14604" width="12.7109375" style="622" bestFit="1" customWidth="1"/>
    <col min="14605" max="14605" width="10.140625" style="622" bestFit="1" customWidth="1"/>
    <col min="14606" max="14606" width="12.140625" style="622" customWidth="1"/>
    <col min="14607" max="14849" width="9.140625" style="622"/>
    <col min="14850" max="14850" width="24.5703125" style="622" customWidth="1"/>
    <col min="14851" max="14857" width="9.140625" style="622"/>
    <col min="14858" max="14858" width="15.42578125" style="622" bestFit="1" customWidth="1"/>
    <col min="14859" max="14860" width="12.7109375" style="622" bestFit="1" customWidth="1"/>
    <col min="14861" max="14861" width="10.140625" style="622" bestFit="1" customWidth="1"/>
    <col min="14862" max="14862" width="12.140625" style="622" customWidth="1"/>
    <col min="14863" max="15105" width="9.140625" style="622"/>
    <col min="15106" max="15106" width="24.5703125" style="622" customWidth="1"/>
    <col min="15107" max="15113" width="9.140625" style="622"/>
    <col min="15114" max="15114" width="15.42578125" style="622" bestFit="1" customWidth="1"/>
    <col min="15115" max="15116" width="12.7109375" style="622" bestFit="1" customWidth="1"/>
    <col min="15117" max="15117" width="10.140625" style="622" bestFit="1" customWidth="1"/>
    <col min="15118" max="15118" width="12.140625" style="622" customWidth="1"/>
    <col min="15119" max="15361" width="9.140625" style="622"/>
    <col min="15362" max="15362" width="24.5703125" style="622" customWidth="1"/>
    <col min="15363" max="15369" width="9.140625" style="622"/>
    <col min="15370" max="15370" width="15.42578125" style="622" bestFit="1" customWidth="1"/>
    <col min="15371" max="15372" width="12.7109375" style="622" bestFit="1" customWidth="1"/>
    <col min="15373" max="15373" width="10.140625" style="622" bestFit="1" customWidth="1"/>
    <col min="15374" max="15374" width="12.140625" style="622" customWidth="1"/>
    <col min="15375" max="15617" width="9.140625" style="622"/>
    <col min="15618" max="15618" width="24.5703125" style="622" customWidth="1"/>
    <col min="15619" max="15625" width="9.140625" style="622"/>
    <col min="15626" max="15626" width="15.42578125" style="622" bestFit="1" customWidth="1"/>
    <col min="15627" max="15628" width="12.7109375" style="622" bestFit="1" customWidth="1"/>
    <col min="15629" max="15629" width="10.140625" style="622" bestFit="1" customWidth="1"/>
    <col min="15630" max="15630" width="12.140625" style="622" customWidth="1"/>
    <col min="15631" max="15873" width="9.140625" style="622"/>
    <col min="15874" max="15874" width="24.5703125" style="622" customWidth="1"/>
    <col min="15875" max="15881" width="9.140625" style="622"/>
    <col min="15882" max="15882" width="15.42578125" style="622" bestFit="1" customWidth="1"/>
    <col min="15883" max="15884" width="12.7109375" style="622" bestFit="1" customWidth="1"/>
    <col min="15885" max="15885" width="10.140625" style="622" bestFit="1" customWidth="1"/>
    <col min="15886" max="15886" width="12.140625" style="622" customWidth="1"/>
    <col min="15887" max="16129" width="9.140625" style="622"/>
    <col min="16130" max="16130" width="24.5703125" style="622" customWidth="1"/>
    <col min="16131" max="16137" width="9.140625" style="622"/>
    <col min="16138" max="16138" width="15.42578125" style="622" bestFit="1" customWidth="1"/>
    <col min="16139" max="16140" width="12.7109375" style="622" bestFit="1" customWidth="1"/>
    <col min="16141" max="16141" width="10.140625" style="622" bestFit="1" customWidth="1"/>
    <col min="16142" max="16142" width="12.140625" style="622" customWidth="1"/>
    <col min="16143" max="16384" width="9.140625" style="622"/>
  </cols>
  <sheetData>
    <row r="1" spans="1:14">
      <c r="A1" s="1557" t="s">
        <v>509</v>
      </c>
      <c r="B1" s="1558"/>
      <c r="C1" s="1558"/>
      <c r="D1" s="1558"/>
      <c r="E1" s="1558"/>
      <c r="F1" s="1558"/>
      <c r="G1" s="1558"/>
      <c r="H1" s="1559"/>
      <c r="I1" s="1541" t="s">
        <v>494</v>
      </c>
      <c r="J1" s="1542"/>
      <c r="K1" s="1542"/>
      <c r="L1" s="1542"/>
      <c r="M1" s="1542"/>
      <c r="N1" s="1545" t="s">
        <v>331</v>
      </c>
    </row>
    <row r="2" spans="1:14">
      <c r="A2" s="1547"/>
      <c r="B2" s="1548"/>
      <c r="C2" s="1548"/>
      <c r="D2" s="1548"/>
      <c r="E2" s="1548"/>
      <c r="F2" s="1548"/>
      <c r="G2" s="1548"/>
      <c r="H2" s="1548"/>
      <c r="I2" s="1543"/>
      <c r="J2" s="1544"/>
      <c r="K2" s="1544"/>
      <c r="L2" s="1544"/>
      <c r="M2" s="1544"/>
      <c r="N2" s="1546"/>
    </row>
    <row r="3" spans="1:14">
      <c r="A3" s="749" t="s">
        <v>747</v>
      </c>
      <c r="B3" s="748" t="str">
        <f>'F1 Forecast Consultant'!C3</f>
        <v>Western</v>
      </c>
      <c r="H3" s="527"/>
      <c r="I3" s="1549" t="s">
        <v>495</v>
      </c>
      <c r="J3" s="1550"/>
      <c r="K3" s="1532">
        <f>'F1  Cover'!K8</f>
        <v>1</v>
      </c>
      <c r="L3" s="1533"/>
      <c r="M3" s="1533"/>
      <c r="N3" s="1534"/>
    </row>
    <row r="4" spans="1:14" ht="13.5" thickBot="1">
      <c r="A4" s="1551"/>
      <c r="B4" s="1552"/>
      <c r="C4" s="1552"/>
      <c r="D4" s="1552"/>
      <c r="E4" s="1552"/>
      <c r="F4" s="1552"/>
      <c r="G4" s="1552"/>
      <c r="H4" s="1552"/>
      <c r="I4" s="1553" t="s">
        <v>496</v>
      </c>
      <c r="J4" s="1554"/>
      <c r="K4" s="1555" t="str">
        <f>'F1 Forecast Combined'!E3</f>
        <v>NRA.N.011-050-2012/1F</v>
      </c>
      <c r="L4" s="1555"/>
      <c r="M4" s="1555"/>
      <c r="N4" s="1556"/>
    </row>
    <row r="5" spans="1:14" ht="13.5" thickBot="1">
      <c r="A5" s="727" t="s">
        <v>497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" thickBot="1">
      <c r="A6" s="724" t="s">
        <v>100</v>
      </c>
      <c r="B6" s="725" t="s">
        <v>0</v>
      </c>
      <c r="C6" s="730" t="s">
        <v>1</v>
      </c>
      <c r="D6" s="716" t="s">
        <v>498</v>
      </c>
      <c r="E6" s="717" t="s">
        <v>499</v>
      </c>
      <c r="F6" s="717" t="s">
        <v>500</v>
      </c>
      <c r="G6" s="717" t="s">
        <v>501</v>
      </c>
      <c r="H6" s="718" t="s">
        <v>502</v>
      </c>
      <c r="I6" s="716" t="s">
        <v>3</v>
      </c>
      <c r="J6" s="717" t="s">
        <v>503</v>
      </c>
      <c r="K6" s="717" t="s">
        <v>504</v>
      </c>
      <c r="L6" s="717" t="s">
        <v>505</v>
      </c>
      <c r="M6" s="717" t="s">
        <v>506</v>
      </c>
      <c r="N6" s="718" t="s">
        <v>507</v>
      </c>
    </row>
    <row r="7" spans="1:14" ht="31.5" customHeight="1">
      <c r="A7" s="624">
        <f>'Pricing Schedule'!A88</f>
        <v>3.4</v>
      </c>
      <c r="B7" s="625" t="str">
        <f>'Pricing Schedule'!B88</f>
        <v>DESIGN DEVELOPMENT STAGE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Schedule'!A90</f>
        <v>3.4.1</v>
      </c>
      <c r="B8" s="630" t="str">
        <f>'Pricing Schedule'!B90</f>
        <v>Concept design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Schedule'!B91</f>
        <v xml:space="preserve">(a) Road works: </v>
      </c>
      <c r="C9" s="643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629"/>
      <c r="B10" s="630" t="str">
        <f>'Pricing Schedule'!B92</f>
        <v>(i)   Fee (based on Employer’s estimated cost of the works)</v>
      </c>
      <c r="C10" s="643" t="str">
        <f>'Pricing Schedule'!C92</f>
        <v>lump sum (LS)</v>
      </c>
      <c r="D10" s="651">
        <v>1</v>
      </c>
      <c r="E10" s="631">
        <v>1</v>
      </c>
      <c r="F10" s="855">
        <f>DATA!$BW$52</f>
        <v>0</v>
      </c>
      <c r="G10" s="722"/>
      <c r="H10" s="632">
        <f>IF((F10+G10)&gt;E10,"◄ ERROR TOO MUCH",(F10+G10))</f>
        <v>0</v>
      </c>
      <c r="I10" s="733">
        <f>'Pricing Schedule'!F92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Schedule'!B93</f>
        <v xml:space="preserve">(ii)  Fee adjustment* </v>
      </c>
      <c r="C11" s="643" t="str">
        <f>'Pricing Schedule'!C93</f>
        <v>lump sum (LS)</v>
      </c>
      <c r="D11" s="651">
        <v>1</v>
      </c>
      <c r="E11" s="631">
        <v>1</v>
      </c>
      <c r="F11" s="855">
        <f>DATA!$GQ$52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 t="e">
        <f>'ADJ-Summary'!$J$9</f>
        <v>#N/A</v>
      </c>
      <c r="K11" s="631" t="e">
        <f>'ADJ-Summary'!$J$16</f>
        <v>#N/A</v>
      </c>
      <c r="L11" s="855">
        <f>DATA!$GR$52</f>
        <v>0</v>
      </c>
      <c r="M11" s="631" t="e">
        <f>+(G11+F11)*K11-L11</f>
        <v>#N/A</v>
      </c>
      <c r="N11" s="632" t="e">
        <f>L11+M11</f>
        <v>#N/A</v>
      </c>
    </row>
    <row r="12" spans="1:14" ht="31.5" customHeight="1">
      <c r="A12" s="629"/>
      <c r="B12" s="630" t="str">
        <f>'Pricing Schedule'!B94</f>
        <v xml:space="preserve">(b) Structures (bridges and other major structures): </v>
      </c>
      <c r="C12" s="643"/>
      <c r="D12" s="750"/>
      <c r="E12" s="751"/>
      <c r="F12" s="751"/>
      <c r="G12" s="751"/>
      <c r="H12" s="752"/>
      <c r="I12" s="753"/>
      <c r="J12" s="751"/>
      <c r="K12" s="751"/>
      <c r="L12" s="751"/>
      <c r="M12" s="751"/>
      <c r="N12" s="752"/>
    </row>
    <row r="13" spans="1:14" ht="31.5" customHeight="1">
      <c r="A13" s="629"/>
      <c r="B13" s="630" t="str">
        <f>'Pricing Schedule'!B95</f>
        <v>(i)   Fee (based on Employer’s estimated cost of the works)</v>
      </c>
      <c r="C13" s="643" t="str">
        <f>'Pricing Schedule'!C95</f>
        <v>lump sum (LS)</v>
      </c>
      <c r="D13" s="651">
        <v>1</v>
      </c>
      <c r="E13" s="631">
        <v>1</v>
      </c>
      <c r="F13" s="855">
        <f>DATA!$BX$52</f>
        <v>0</v>
      </c>
      <c r="G13" s="722"/>
      <c r="H13" s="632">
        <f>IF((F13+G13)&gt;E13,"◄ ERROR TOO MUCH",(F13+G13))</f>
        <v>0</v>
      </c>
      <c r="I13" s="733">
        <f>'Pricing Schedule'!F95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629"/>
      <c r="B14" s="630" t="str">
        <f>'Pricing Schedule'!B96</f>
        <v xml:space="preserve">(ii)  Fee adjustment* </v>
      </c>
      <c r="C14" s="643" t="str">
        <f>'Pricing Schedule'!C96</f>
        <v>lump sum (LS)</v>
      </c>
      <c r="D14" s="651">
        <v>1</v>
      </c>
      <c r="E14" s="631">
        <v>1</v>
      </c>
      <c r="F14" s="855">
        <f>DATA!$GS$52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 t="e">
        <f>'ADJ-Summary'!$J$32</f>
        <v>#N/A</v>
      </c>
      <c r="K14" s="631" t="e">
        <f>'ADJ-Summary'!$J$39</f>
        <v>#N/A</v>
      </c>
      <c r="L14" s="855">
        <f>DATA!$GT$52</f>
        <v>0</v>
      </c>
      <c r="M14" s="631" t="e">
        <f>+(G14+F14)*K14-L14</f>
        <v>#N/A</v>
      </c>
      <c r="N14" s="632" t="e">
        <f>L14+M14</f>
        <v>#N/A</v>
      </c>
    </row>
    <row r="15" spans="1:14" ht="31.5" customHeight="1">
      <c r="A15" s="629"/>
      <c r="B15" s="630" t="str">
        <f>'Pricing Schedule'!B97</f>
        <v>(c) Electrical:</v>
      </c>
      <c r="C15" s="643"/>
      <c r="D15" s="750"/>
      <c r="E15" s="751"/>
      <c r="F15" s="751"/>
      <c r="G15" s="751"/>
      <c r="H15" s="752"/>
      <c r="I15" s="753"/>
      <c r="J15" s="751"/>
      <c r="K15" s="751"/>
      <c r="L15" s="751"/>
      <c r="M15" s="751"/>
      <c r="N15" s="752"/>
    </row>
    <row r="16" spans="1:14" ht="31.5" customHeight="1">
      <c r="A16" s="629"/>
      <c r="B16" s="630" t="str">
        <f>'Pricing Schedule'!B98</f>
        <v>(i)   Fee (based on Employer’s estimated cost of the works)</v>
      </c>
      <c r="C16" s="643" t="str">
        <f>'Pricing Schedule'!C98</f>
        <v>lump sum (LS)</v>
      </c>
      <c r="D16" s="651">
        <v>1</v>
      </c>
      <c r="E16" s="631">
        <v>1</v>
      </c>
      <c r="F16" s="855">
        <f>DATA!$BY$52</f>
        <v>0</v>
      </c>
      <c r="G16" s="722"/>
      <c r="H16" s="632">
        <f>IF((F16+G16)&gt;E16,"◄ ERROR TOO MUCH",(F16+G16))</f>
        <v>0</v>
      </c>
      <c r="I16" s="733">
        <f>'Pricing Schedule'!F98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629"/>
      <c r="B17" s="630" t="str">
        <f>'Pricing Schedule'!B99</f>
        <v xml:space="preserve">(ii)  Fee adjustment* </v>
      </c>
      <c r="C17" s="643" t="str">
        <f>'Pricing Schedule'!C99</f>
        <v>lump sum (LS)</v>
      </c>
      <c r="D17" s="651">
        <v>1</v>
      </c>
      <c r="E17" s="631">
        <v>1</v>
      </c>
      <c r="F17" s="855">
        <f>DATA!$GU$52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 t="e">
        <f>'ADJ-Summary'!$J$56</f>
        <v>#N/A</v>
      </c>
      <c r="K17" s="631" t="e">
        <f>'ADJ-Summary'!$J$63</f>
        <v>#N/A</v>
      </c>
      <c r="L17" s="855">
        <f>DATA!$GV$52</f>
        <v>0</v>
      </c>
      <c r="M17" s="631" t="e">
        <f>+(G17+F17)*K17-L17</f>
        <v>#N/A</v>
      </c>
      <c r="N17" s="632" t="e">
        <f>L17+M17</f>
        <v>#N/A</v>
      </c>
    </row>
    <row r="18" spans="1:14" ht="31.5" customHeight="1">
      <c r="A18" s="629"/>
      <c r="B18" s="630" t="str">
        <f>'Pricing Schedule'!B100</f>
        <v>(d) Buildings:</v>
      </c>
      <c r="C18" s="643"/>
      <c r="D18" s="750"/>
      <c r="E18" s="751"/>
      <c r="F18" s="751"/>
      <c r="G18" s="751"/>
      <c r="H18" s="752"/>
      <c r="I18" s="753"/>
      <c r="J18" s="751"/>
      <c r="K18" s="751"/>
      <c r="L18" s="751"/>
      <c r="M18" s="751"/>
      <c r="N18" s="752"/>
    </row>
    <row r="19" spans="1:14" ht="31.5" customHeight="1">
      <c r="A19" s="629"/>
      <c r="B19" s="630" t="str">
        <f>'Pricing Schedule'!B101</f>
        <v>(i)   Fee (based on Employer’s estimated cost of the works)</v>
      </c>
      <c r="C19" s="643" t="str">
        <f>'Pricing Schedule'!C101</f>
        <v>lump sum (LS)</v>
      </c>
      <c r="D19" s="651">
        <v>1</v>
      </c>
      <c r="E19" s="631">
        <v>1</v>
      </c>
      <c r="F19" s="855">
        <f>DATA!$BZ$52</f>
        <v>0</v>
      </c>
      <c r="G19" s="722"/>
      <c r="H19" s="632">
        <f>IF((F19+G19)&gt;E19,"◄ ERROR TOO MUCH",(F19+G19))</f>
        <v>0</v>
      </c>
      <c r="I19" s="733">
        <f>'Pricing Schedule'!F101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629"/>
      <c r="B20" s="630" t="str">
        <f>'Pricing Schedule'!B102</f>
        <v xml:space="preserve">(ii)  Fee adjustment* </v>
      </c>
      <c r="C20" s="643" t="str">
        <f>'Pricing Schedule'!C102</f>
        <v>lump sum (LS)</v>
      </c>
      <c r="D20" s="651">
        <v>1</v>
      </c>
      <c r="E20" s="631">
        <v>1</v>
      </c>
      <c r="F20" s="855">
        <f>DATA!$GW$52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 t="e">
        <f>'ADJ-Summary'!$J$79</f>
        <v>#N/A</v>
      </c>
      <c r="K20" s="631" t="e">
        <f>'ADJ-Summary'!$J$86</f>
        <v>#N/A</v>
      </c>
      <c r="L20" s="855">
        <f>DATA!$GX$52</f>
        <v>0</v>
      </c>
      <c r="M20" s="631" t="e">
        <f>+(G20+F20)*K20-L20</f>
        <v>#N/A</v>
      </c>
      <c r="N20" s="632" t="e">
        <f>L20+M20</f>
        <v>#N/A</v>
      </c>
    </row>
    <row r="21" spans="1:14" ht="31.5" customHeight="1">
      <c r="A21" s="629"/>
      <c r="B21" s="630" t="str">
        <f>'Pricing Schedule'!B103</f>
        <v>(e) Mechanical:</v>
      </c>
      <c r="C21" s="643"/>
      <c r="D21" s="750"/>
      <c r="E21" s="751"/>
      <c r="F21" s="751"/>
      <c r="G21" s="751"/>
      <c r="H21" s="752"/>
      <c r="I21" s="753"/>
      <c r="J21" s="751"/>
      <c r="K21" s="751"/>
      <c r="L21" s="751"/>
      <c r="M21" s="751"/>
      <c r="N21" s="752"/>
    </row>
    <row r="22" spans="1:14" ht="31.5" customHeight="1">
      <c r="A22" s="629"/>
      <c r="B22" s="630" t="str">
        <f>'Pricing Schedule'!B104</f>
        <v>(i)   Fee (based on Employer’s estimated cost of the works)</v>
      </c>
      <c r="C22" s="643" t="str">
        <f>'Pricing Schedule'!C104</f>
        <v>lump sum (LS)</v>
      </c>
      <c r="D22" s="651">
        <v>1</v>
      </c>
      <c r="E22" s="631">
        <v>1</v>
      </c>
      <c r="F22" s="855">
        <f>DATA!$CA$52</f>
        <v>0</v>
      </c>
      <c r="G22" s="722"/>
      <c r="H22" s="632">
        <f>IF((F22+G22)&gt;E22,"◄ ERROR TOO MUCH",(F22+G22))</f>
        <v>0</v>
      </c>
      <c r="I22" s="733">
        <f>'Pricing Schedule'!F104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Schedule'!B105</f>
        <v xml:space="preserve">(ii)  Fee adjustment* </v>
      </c>
      <c r="C23" s="643" t="str">
        <f>'Pricing Schedule'!C105</f>
        <v>lump sum (LS)</v>
      </c>
      <c r="D23" s="651">
        <v>1</v>
      </c>
      <c r="E23" s="631">
        <v>1</v>
      </c>
      <c r="F23" s="855">
        <f>DATA!$GY$52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 t="e">
        <f>'ADJ-Summary'!$J$102</f>
        <v>#N/A</v>
      </c>
      <c r="K23" s="631" t="e">
        <f>'ADJ-Summary'!$J$109</f>
        <v>#N/A</v>
      </c>
      <c r="L23" s="855">
        <f>DATA!$GZ$52</f>
        <v>0</v>
      </c>
      <c r="M23" s="631" t="e">
        <f>+(G23+F23)*K23-L23</f>
        <v>#N/A</v>
      </c>
      <c r="N23" s="632" t="e">
        <f>L23+M23</f>
        <v>#N/A</v>
      </c>
    </row>
    <row r="24" spans="1:14" ht="31.5" customHeight="1">
      <c r="A24" s="629"/>
      <c r="B24" s="630" t="str">
        <f>'Pricing Schedule'!B106</f>
        <v>(f) Electronic:</v>
      </c>
      <c r="C24" s="643"/>
      <c r="D24" s="750"/>
      <c r="E24" s="751"/>
      <c r="F24" s="751"/>
      <c r="G24" s="751"/>
      <c r="H24" s="752"/>
      <c r="I24" s="753"/>
      <c r="J24" s="751"/>
      <c r="K24" s="751"/>
      <c r="L24" s="751"/>
      <c r="M24" s="751"/>
      <c r="N24" s="752"/>
    </row>
    <row r="25" spans="1:14" ht="31.5" customHeight="1">
      <c r="A25" s="629"/>
      <c r="B25" s="630" t="str">
        <f>'Pricing Schedule'!B107</f>
        <v>(i)   Fee (based on Employer’s estimated cost of the works)</v>
      </c>
      <c r="C25" s="643" t="str">
        <f>'Pricing Schedule'!C107</f>
        <v>lump sum (LS)</v>
      </c>
      <c r="D25" s="651">
        <v>1</v>
      </c>
      <c r="E25" s="631">
        <v>1</v>
      </c>
      <c r="F25" s="855">
        <f>DATA!$CB$52</f>
        <v>0</v>
      </c>
      <c r="G25" s="722"/>
      <c r="H25" s="632">
        <f>IF((F25+G25)&gt;E25,"◄ ERROR TOO MUCH",(F25+G25))</f>
        <v>0</v>
      </c>
      <c r="I25" s="733">
        <f>'Pricing Schedule'!F107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Schedule'!B108</f>
        <v xml:space="preserve">(ii)  Fee adjustment* </v>
      </c>
      <c r="C26" s="643" t="str">
        <f>'Pricing Schedule'!C108</f>
        <v>lump sum (LS)</v>
      </c>
      <c r="D26" s="651">
        <v>1</v>
      </c>
      <c r="E26" s="631">
        <v>1</v>
      </c>
      <c r="F26" s="855">
        <f>DATA!$HA$52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 t="e">
        <f>'ADJ-Summary'!$J$125</f>
        <v>#N/A</v>
      </c>
      <c r="K26" s="631" t="e">
        <f>'ADJ-Summary'!$J$132</f>
        <v>#N/A</v>
      </c>
      <c r="L26" s="855">
        <f>DATA!$HB$52</f>
        <v>0</v>
      </c>
      <c r="M26" s="631" t="e">
        <f>+(G26+F26)*K26-L26</f>
        <v>#N/A</v>
      </c>
      <c r="N26" s="632" t="e">
        <f>L26+M26</f>
        <v>#N/A</v>
      </c>
    </row>
    <row r="27" spans="1:14" ht="31.5" customHeight="1">
      <c r="A27" s="629"/>
      <c r="B27" s="630" t="str">
        <f>'Pricing Schedule'!B109</f>
        <v>(g) Other:</v>
      </c>
      <c r="C27" s="643"/>
      <c r="D27" s="750"/>
      <c r="E27" s="751"/>
      <c r="F27" s="751"/>
      <c r="G27" s="751"/>
      <c r="H27" s="752"/>
      <c r="I27" s="753"/>
      <c r="J27" s="751"/>
      <c r="K27" s="751"/>
      <c r="L27" s="751"/>
      <c r="M27" s="751"/>
      <c r="N27" s="752"/>
    </row>
    <row r="28" spans="1:14" ht="31.5" customHeight="1">
      <c r="A28" s="629"/>
      <c r="B28" s="630" t="str">
        <f>'Pricing Schedule'!B110</f>
        <v>(i)   Fee (based on Employer’s estimated cost of the works)</v>
      </c>
      <c r="C28" s="643" t="str">
        <f>'Pricing Schedule'!C110</f>
        <v>lump sum (LS)</v>
      </c>
      <c r="D28" s="651">
        <v>1</v>
      </c>
      <c r="E28" s="631">
        <v>1</v>
      </c>
      <c r="F28" s="855">
        <f>DATA!$CC$52</f>
        <v>0</v>
      </c>
      <c r="G28" s="722"/>
      <c r="H28" s="632">
        <f>IF((F28+G28)&gt;E28,"◄ ERROR TOO MUCH",(F28+G28))</f>
        <v>0</v>
      </c>
      <c r="I28" s="733">
        <f>'Pricing Schedule'!F110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Schedule'!B111</f>
        <v>(ii)  Fee adjustment*</v>
      </c>
      <c r="C29" s="643" t="str">
        <f>'Pricing Schedule'!C111</f>
        <v>lump sum (LS)</v>
      </c>
      <c r="D29" s="651">
        <v>1</v>
      </c>
      <c r="E29" s="631">
        <v>1</v>
      </c>
      <c r="F29" s="855">
        <f>DATA!$HC$52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 t="e">
        <f>'ADJ-Summary'!$J$148</f>
        <v>#N/A</v>
      </c>
      <c r="K29" s="631" t="e">
        <f>'ADJ-Summary'!$J$155</f>
        <v>#N/A</v>
      </c>
      <c r="L29" s="855">
        <f>DATA!$HD$52</f>
        <v>0</v>
      </c>
      <c r="M29" s="631" t="e">
        <f>+(G29+F29)*K29-L29</f>
        <v>#N/A</v>
      </c>
      <c r="N29" s="632" t="e">
        <f>L29+M29</f>
        <v>#N/A</v>
      </c>
    </row>
    <row r="30" spans="1:14" ht="31.5" customHeight="1">
      <c r="A30" s="629" t="str">
        <f>'Pricing Schedule'!A112</f>
        <v>3.4.2</v>
      </c>
      <c r="B30" s="630" t="str">
        <f>'Pricing Schedule'!B112</f>
        <v>Preliminary design</v>
      </c>
      <c r="C30" s="643"/>
      <c r="D30" s="750"/>
      <c r="E30" s="751"/>
      <c r="F30" s="751"/>
      <c r="G30" s="751"/>
      <c r="H30" s="752"/>
      <c r="I30" s="753"/>
      <c r="J30" s="751"/>
      <c r="K30" s="751"/>
      <c r="L30" s="751"/>
      <c r="M30" s="751"/>
      <c r="N30" s="752"/>
    </row>
    <row r="31" spans="1:14" ht="31.5" customHeight="1">
      <c r="A31" s="629"/>
      <c r="B31" s="630" t="str">
        <f>'Pricing Schedule'!B113</f>
        <v xml:space="preserve">(a) Road works: </v>
      </c>
      <c r="C31" s="643"/>
      <c r="D31" s="750"/>
      <c r="E31" s="751"/>
      <c r="F31" s="751"/>
      <c r="G31" s="751"/>
      <c r="H31" s="752"/>
      <c r="I31" s="753"/>
      <c r="J31" s="751"/>
      <c r="K31" s="751"/>
      <c r="L31" s="751"/>
      <c r="M31" s="751"/>
      <c r="N31" s="752"/>
    </row>
    <row r="32" spans="1:14" ht="31.5" customHeight="1">
      <c r="A32" s="629"/>
      <c r="B32" s="630" t="str">
        <f>'Pricing Schedule'!B114</f>
        <v>(i)   Fee (based on Employer’s estimated cost of the works)</v>
      </c>
      <c r="C32" s="643" t="str">
        <f>'Pricing Schedule'!C114</f>
        <v>lump sum (LS)</v>
      </c>
      <c r="D32" s="651">
        <v>1</v>
      </c>
      <c r="E32" s="631">
        <v>1</v>
      </c>
      <c r="F32" s="855">
        <f>DATA!$CD$52</f>
        <v>0</v>
      </c>
      <c r="G32" s="722"/>
      <c r="H32" s="632">
        <f>IF((F32+G32)&gt;E32,"◄ ERROR TOO MUCH",(F32+G32))</f>
        <v>0</v>
      </c>
      <c r="I32" s="733">
        <f>'Pricing Schedule'!F114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629"/>
      <c r="B33" s="630" t="str">
        <f>'Pricing Schedule'!B115</f>
        <v xml:space="preserve">(ii)  Fee adjustment* </v>
      </c>
      <c r="C33" s="643" t="str">
        <f>'Pricing Schedule'!C115</f>
        <v>lump sum (LS)</v>
      </c>
      <c r="D33" s="651">
        <v>1</v>
      </c>
      <c r="E33" s="631">
        <v>1</v>
      </c>
      <c r="F33" s="855">
        <f>DATA!$HE$52</f>
        <v>0</v>
      </c>
      <c r="G33" s="631">
        <f>G32</f>
        <v>0</v>
      </c>
      <c r="H33" s="632">
        <f>IF((F33+G33)&gt;E33,"◄ ERROR TOO MUCH",IF((F33+G33)&gt;H32,"◄ ERROR &gt; PREV ROW",(F33+G33)))</f>
        <v>0</v>
      </c>
      <c r="I33" s="733">
        <f>E33</f>
        <v>1</v>
      </c>
      <c r="J33" s="631" t="e">
        <f>'ADJ-Summary'!$J$10</f>
        <v>#N/A</v>
      </c>
      <c r="K33" s="631" t="e">
        <f>'ADJ-Summary'!$J$17</f>
        <v>#N/A</v>
      </c>
      <c r="L33" s="855">
        <f>DATA!$HF$52</f>
        <v>0</v>
      </c>
      <c r="M33" s="631" t="e">
        <f>+(G33+F33)*K33-L33</f>
        <v>#N/A</v>
      </c>
      <c r="N33" s="632" t="e">
        <f>L33+M33</f>
        <v>#N/A</v>
      </c>
    </row>
    <row r="34" spans="1:14" ht="31.5" customHeight="1">
      <c r="A34" s="629"/>
      <c r="B34" s="630" t="str">
        <f>'Pricing Schedule'!B116</f>
        <v xml:space="preserve">(b) Structures (bridges and other major structures): </v>
      </c>
      <c r="C34" s="643"/>
      <c r="D34" s="750"/>
      <c r="E34" s="751"/>
      <c r="F34" s="751"/>
      <c r="G34" s="751"/>
      <c r="H34" s="752"/>
      <c r="I34" s="753"/>
      <c r="J34" s="751"/>
      <c r="K34" s="751"/>
      <c r="L34" s="751"/>
      <c r="M34" s="751"/>
      <c r="N34" s="752"/>
    </row>
    <row r="35" spans="1:14" ht="31.5" customHeight="1">
      <c r="A35" s="629"/>
      <c r="B35" s="630" t="str">
        <f>'Pricing Schedule'!B117</f>
        <v>(i)   Fee (based on Employer’s estimated cost of the works)</v>
      </c>
      <c r="C35" s="643" t="str">
        <f>'Pricing Schedule'!C117</f>
        <v>lump sum (LS)</v>
      </c>
      <c r="D35" s="651">
        <v>1</v>
      </c>
      <c r="E35" s="631">
        <v>1</v>
      </c>
      <c r="F35" s="855">
        <f>DATA!$CE$52</f>
        <v>0</v>
      </c>
      <c r="G35" s="722"/>
      <c r="H35" s="632">
        <f>IF((F35+G35)&gt;E35,"◄ ERROR TOO MUCH",(F35+G35))</f>
        <v>0</v>
      </c>
      <c r="I35" s="733">
        <f>'Pricing Schedule'!F117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629"/>
      <c r="B36" s="630" t="str">
        <f>'Pricing Schedule'!B118</f>
        <v xml:space="preserve">(ii)  Fee adjustment* </v>
      </c>
      <c r="C36" s="643" t="str">
        <f>'Pricing Schedule'!C118</f>
        <v>lump sum (LS)</v>
      </c>
      <c r="D36" s="651">
        <v>1</v>
      </c>
      <c r="E36" s="631">
        <v>1</v>
      </c>
      <c r="F36" s="855">
        <f>DATA!$HG$52</f>
        <v>0</v>
      </c>
      <c r="G36" s="631">
        <f>G35</f>
        <v>0</v>
      </c>
      <c r="H36" s="632">
        <f>IF((F36+G36)&gt;E36,"◄ ERROR TOO MUCH",IF((F36+G36)&gt;H35,"◄ ERROR &gt; PREV ROW",(F36+G36)))</f>
        <v>0</v>
      </c>
      <c r="I36" s="733">
        <f>E36</f>
        <v>1</v>
      </c>
      <c r="J36" s="631" t="e">
        <f>'ADJ-Summary'!$J$33</f>
        <v>#N/A</v>
      </c>
      <c r="K36" s="631" t="e">
        <f>'ADJ-Summary'!$J$40</f>
        <v>#N/A</v>
      </c>
      <c r="L36" s="855">
        <f>DATA!$HH$52</f>
        <v>0</v>
      </c>
      <c r="M36" s="631" t="e">
        <f>+(G36+F36)*K36-L36</f>
        <v>#N/A</v>
      </c>
      <c r="N36" s="632" t="e">
        <f>L36+M36</f>
        <v>#N/A</v>
      </c>
    </row>
    <row r="37" spans="1:14" ht="31.5" customHeight="1">
      <c r="A37" s="629"/>
      <c r="B37" s="630" t="str">
        <f>'Pricing Schedule'!B119</f>
        <v>(c) Electrical:</v>
      </c>
      <c r="C37" s="643"/>
      <c r="D37" s="750"/>
      <c r="E37" s="751"/>
      <c r="F37" s="751"/>
      <c r="G37" s="751"/>
      <c r="H37" s="752"/>
      <c r="I37" s="753"/>
      <c r="J37" s="751"/>
      <c r="K37" s="751"/>
      <c r="L37" s="751"/>
      <c r="M37" s="751"/>
      <c r="N37" s="752"/>
    </row>
    <row r="38" spans="1:14" ht="31.5" customHeight="1">
      <c r="A38" s="629"/>
      <c r="B38" s="630" t="str">
        <f>'Pricing Schedule'!B120</f>
        <v>(i)   Fee (based on Employer’s estimated cost of the works)</v>
      </c>
      <c r="C38" s="643" t="str">
        <f>'Pricing Schedule'!C120</f>
        <v>lump sum (LS)</v>
      </c>
      <c r="D38" s="651">
        <v>1</v>
      </c>
      <c r="E38" s="631">
        <v>1</v>
      </c>
      <c r="F38" s="855">
        <f>DATA!$CF$52</f>
        <v>0</v>
      </c>
      <c r="G38" s="722"/>
      <c r="H38" s="632">
        <f>IF((F38+G38)&gt;E38,"◄ ERROR TOO MUCH",(F38+G38))</f>
        <v>0</v>
      </c>
      <c r="I38" s="733">
        <f>'Pricing Schedule'!F120</f>
        <v>0</v>
      </c>
      <c r="J38" s="631">
        <f>D38*I38</f>
        <v>0</v>
      </c>
      <c r="K38" s="631">
        <f>E38*I38</f>
        <v>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629"/>
      <c r="B39" s="630" t="str">
        <f>'Pricing Schedule'!B121</f>
        <v xml:space="preserve">(ii)  Fee adjustment* </v>
      </c>
      <c r="C39" s="643" t="str">
        <f>'Pricing Schedule'!C121</f>
        <v>lump sum (LS)</v>
      </c>
      <c r="D39" s="651">
        <v>1</v>
      </c>
      <c r="E39" s="631">
        <v>1</v>
      </c>
      <c r="F39" s="855">
        <f>DATA!$HI$52</f>
        <v>0</v>
      </c>
      <c r="G39" s="631">
        <f>G38</f>
        <v>0</v>
      </c>
      <c r="H39" s="632">
        <f>IF((F39+G39)&gt;E39,"◄ ERROR TOO MUCH",IF((F39+G39)&gt;H38,"◄ ERROR &gt; PREV ROW",(F39+G39)))</f>
        <v>0</v>
      </c>
      <c r="I39" s="733">
        <f>E39</f>
        <v>1</v>
      </c>
      <c r="J39" s="631" t="e">
        <f>'ADJ-Summary'!$J$57</f>
        <v>#N/A</v>
      </c>
      <c r="K39" s="631" t="e">
        <f>'ADJ-Summary'!$J$64</f>
        <v>#N/A</v>
      </c>
      <c r="L39" s="855">
        <f>DATA!$HJ$52</f>
        <v>0</v>
      </c>
      <c r="M39" s="631" t="e">
        <f>+(G39+F39)*K39-L39</f>
        <v>#N/A</v>
      </c>
      <c r="N39" s="632" t="e">
        <f>L39+M39</f>
        <v>#N/A</v>
      </c>
    </row>
    <row r="40" spans="1:14" ht="31.5" customHeight="1">
      <c r="A40" s="629"/>
      <c r="B40" s="630" t="str">
        <f>'Pricing Schedule'!B122</f>
        <v>(d) Buildings:</v>
      </c>
      <c r="C40" s="643"/>
      <c r="D40" s="750"/>
      <c r="E40" s="751"/>
      <c r="F40" s="751"/>
      <c r="G40" s="751"/>
      <c r="H40" s="752"/>
      <c r="I40" s="753"/>
      <c r="J40" s="751"/>
      <c r="K40" s="751"/>
      <c r="L40" s="751"/>
      <c r="M40" s="751"/>
      <c r="N40" s="752"/>
    </row>
    <row r="41" spans="1:14" ht="31.5" customHeight="1">
      <c r="A41" s="629"/>
      <c r="B41" s="630" t="str">
        <f>'Pricing Schedule'!B123</f>
        <v>(i)   Fee (based on Employer’s estimated cost of the works)</v>
      </c>
      <c r="C41" s="643" t="str">
        <f>'Pricing Schedule'!C123</f>
        <v>lump sum (LS)</v>
      </c>
      <c r="D41" s="651">
        <v>1</v>
      </c>
      <c r="E41" s="631">
        <v>1</v>
      </c>
      <c r="F41" s="855">
        <f>DATA!$CG$52</f>
        <v>0</v>
      </c>
      <c r="G41" s="722"/>
      <c r="H41" s="632">
        <f>IF((F41+G41)&gt;E41,"◄ ERROR TOO MUCH",(F41+G41))</f>
        <v>0</v>
      </c>
      <c r="I41" s="733">
        <f>'Pricing Schedule'!F123</f>
        <v>0</v>
      </c>
      <c r="J41" s="631">
        <f>D41*I41</f>
        <v>0</v>
      </c>
      <c r="K41" s="631">
        <f>E41*I41</f>
        <v>0</v>
      </c>
      <c r="L41" s="631">
        <f>F41*I41</f>
        <v>0</v>
      </c>
      <c r="M41" s="631">
        <f>G41*I41</f>
        <v>0</v>
      </c>
      <c r="N41" s="632">
        <f>H41*I41</f>
        <v>0</v>
      </c>
    </row>
    <row r="42" spans="1:14" ht="31.5" customHeight="1">
      <c r="A42" s="629"/>
      <c r="B42" s="630" t="str">
        <f>'Pricing Schedule'!B124</f>
        <v xml:space="preserve">(ii)  Fee adjustment* </v>
      </c>
      <c r="C42" s="643" t="str">
        <f>'Pricing Schedule'!C124</f>
        <v>lump sum (LS)</v>
      </c>
      <c r="D42" s="651">
        <v>1</v>
      </c>
      <c r="E42" s="631">
        <v>1</v>
      </c>
      <c r="F42" s="855">
        <f>DATA!$HK$52</f>
        <v>0</v>
      </c>
      <c r="G42" s="631">
        <f>G41</f>
        <v>0</v>
      </c>
      <c r="H42" s="632">
        <f>IF((F42+G42)&gt;E42,"◄ ERROR TOO MUCH",IF((F42+G42)&gt;H41,"◄ ERROR &gt; PREV ROW",(F42+G42)))</f>
        <v>0</v>
      </c>
      <c r="I42" s="733">
        <f>E42</f>
        <v>1</v>
      </c>
      <c r="J42" s="631" t="e">
        <f>'ADJ-Summary'!$J$80</f>
        <v>#N/A</v>
      </c>
      <c r="K42" s="631" t="e">
        <f>'ADJ-Summary'!$J$87</f>
        <v>#N/A</v>
      </c>
      <c r="L42" s="855">
        <f>DATA!$HL$52</f>
        <v>0</v>
      </c>
      <c r="M42" s="631" t="e">
        <f>+(G42+F42)*K42-L42</f>
        <v>#N/A</v>
      </c>
      <c r="N42" s="632" t="e">
        <f>L42+M42</f>
        <v>#N/A</v>
      </c>
    </row>
    <row r="43" spans="1:14" ht="31.5" customHeight="1">
      <c r="A43" s="629"/>
      <c r="B43" s="630" t="str">
        <f>'Pricing Schedule'!B125</f>
        <v>(e) Mechanical:</v>
      </c>
      <c r="C43" s="643"/>
      <c r="D43" s="750"/>
      <c r="E43" s="751"/>
      <c r="F43" s="751"/>
      <c r="G43" s="751"/>
      <c r="H43" s="752"/>
      <c r="I43" s="753"/>
      <c r="J43" s="751"/>
      <c r="K43" s="751"/>
      <c r="L43" s="751"/>
      <c r="M43" s="751"/>
      <c r="N43" s="752"/>
    </row>
    <row r="44" spans="1:14" ht="31.5" customHeight="1">
      <c r="A44" s="629"/>
      <c r="B44" s="630" t="str">
        <f>'Pricing Schedule'!B126</f>
        <v>(i)   Fee (based on Employer’s estimated cost of the works)</v>
      </c>
      <c r="C44" s="643" t="str">
        <f>'Pricing Schedule'!C126</f>
        <v>lump sum (LS)</v>
      </c>
      <c r="D44" s="651">
        <v>1</v>
      </c>
      <c r="E44" s="631">
        <v>1</v>
      </c>
      <c r="F44" s="855">
        <f>DATA!$CH$52</f>
        <v>0</v>
      </c>
      <c r="G44" s="722"/>
      <c r="H44" s="632">
        <f>IF((F44+G44)&gt;E44,"◄ ERROR TOO MUCH",(F44+G44))</f>
        <v>0</v>
      </c>
      <c r="I44" s="733">
        <f>'Pricing Schedule'!F126</f>
        <v>0</v>
      </c>
      <c r="J44" s="631">
        <f>D44*I44</f>
        <v>0</v>
      </c>
      <c r="K44" s="631">
        <f>E44*I44</f>
        <v>0</v>
      </c>
      <c r="L44" s="631">
        <f>F44*I44</f>
        <v>0</v>
      </c>
      <c r="M44" s="631">
        <f>G44*I44</f>
        <v>0</v>
      </c>
      <c r="N44" s="632">
        <f>H44*I44</f>
        <v>0</v>
      </c>
    </row>
    <row r="45" spans="1:14" ht="31.5" customHeight="1">
      <c r="A45" s="629"/>
      <c r="B45" s="630" t="str">
        <f>'Pricing Schedule'!B127</f>
        <v xml:space="preserve">(ii)  Fee adjustment* </v>
      </c>
      <c r="C45" s="643" t="str">
        <f>'Pricing Schedule'!C127</f>
        <v>lump sum (LS)</v>
      </c>
      <c r="D45" s="651">
        <v>1</v>
      </c>
      <c r="E45" s="631">
        <v>1</v>
      </c>
      <c r="F45" s="855">
        <f>DATA!$HM$52</f>
        <v>0</v>
      </c>
      <c r="G45" s="631">
        <f>G44</f>
        <v>0</v>
      </c>
      <c r="H45" s="632">
        <f>IF((F45+G45)&gt;E45,"◄ ERROR TOO MUCH",IF((F45+G45)&gt;H44,"◄ ERROR &gt; PREV ROW",(F45+G45)))</f>
        <v>0</v>
      </c>
      <c r="I45" s="733">
        <f>E45</f>
        <v>1</v>
      </c>
      <c r="J45" s="631" t="e">
        <f>'ADJ-Summary'!$J$103</f>
        <v>#N/A</v>
      </c>
      <c r="K45" s="631" t="e">
        <f>'ADJ-Summary'!$J$110</f>
        <v>#N/A</v>
      </c>
      <c r="L45" s="855">
        <f>DATA!$HN$52</f>
        <v>0</v>
      </c>
      <c r="M45" s="631" t="e">
        <f>+(G45+F45)*K45-L45</f>
        <v>#N/A</v>
      </c>
      <c r="N45" s="632" t="e">
        <f>L45+M45</f>
        <v>#N/A</v>
      </c>
    </row>
    <row r="46" spans="1:14" ht="31.5" customHeight="1">
      <c r="A46" s="629"/>
      <c r="B46" s="630" t="str">
        <f>'Pricing Schedule'!B128</f>
        <v>(f) Electronic:</v>
      </c>
      <c r="C46" s="643"/>
      <c r="D46" s="750"/>
      <c r="E46" s="751"/>
      <c r="F46" s="751"/>
      <c r="G46" s="751"/>
      <c r="H46" s="752"/>
      <c r="I46" s="753"/>
      <c r="J46" s="751"/>
      <c r="K46" s="751"/>
      <c r="L46" s="751"/>
      <c r="M46" s="751"/>
      <c r="N46" s="752"/>
    </row>
    <row r="47" spans="1:14" ht="31.5" customHeight="1">
      <c r="A47" s="629"/>
      <c r="B47" s="630" t="str">
        <f>'Pricing Schedule'!B129</f>
        <v>(i)   Fee (based on Employer’s estimated cost of the works)</v>
      </c>
      <c r="C47" s="643" t="str">
        <f>'Pricing Schedule'!C129</f>
        <v>lump sum (LS)</v>
      </c>
      <c r="D47" s="651">
        <v>1</v>
      </c>
      <c r="E47" s="631">
        <v>1</v>
      </c>
      <c r="F47" s="855">
        <f>DATA!$CI$52</f>
        <v>0</v>
      </c>
      <c r="G47" s="722"/>
      <c r="H47" s="632">
        <f>IF((F47+G47)&gt;E47,"◄ ERROR TOO MUCH",(F47+G47))</f>
        <v>0</v>
      </c>
      <c r="I47" s="733">
        <f>'Pricing Schedule'!F129</f>
        <v>0</v>
      </c>
      <c r="J47" s="631">
        <f>D47*I47</f>
        <v>0</v>
      </c>
      <c r="K47" s="631">
        <f>E47*I47</f>
        <v>0</v>
      </c>
      <c r="L47" s="631">
        <f>F47*I47</f>
        <v>0</v>
      </c>
      <c r="M47" s="631">
        <f>G47*I47</f>
        <v>0</v>
      </c>
      <c r="N47" s="632">
        <f>H47*I47</f>
        <v>0</v>
      </c>
    </row>
    <row r="48" spans="1:14" ht="31.5" customHeight="1">
      <c r="A48" s="629"/>
      <c r="B48" s="630" t="str">
        <f>'Pricing Schedule'!B130</f>
        <v xml:space="preserve">(ii)  Fee adjustment* </v>
      </c>
      <c r="C48" s="643" t="str">
        <f>'Pricing Schedule'!C130</f>
        <v>lump sum (LS)</v>
      </c>
      <c r="D48" s="651">
        <v>1</v>
      </c>
      <c r="E48" s="631">
        <v>1</v>
      </c>
      <c r="F48" s="855">
        <f>DATA!$HO$52</f>
        <v>0</v>
      </c>
      <c r="G48" s="631">
        <f>G47</f>
        <v>0</v>
      </c>
      <c r="H48" s="632">
        <f>IF((F48+G48)&gt;E48,"◄ ERROR TOO MUCH",IF((F48+G48)&gt;H47,"◄ ERROR &gt; PREV ROW",(F48+G48)))</f>
        <v>0</v>
      </c>
      <c r="I48" s="733">
        <f>E48</f>
        <v>1</v>
      </c>
      <c r="J48" s="631" t="e">
        <f>'ADJ-Summary'!$J$126</f>
        <v>#N/A</v>
      </c>
      <c r="K48" s="631" t="e">
        <f>'ADJ-Summary'!$J$133</f>
        <v>#N/A</v>
      </c>
      <c r="L48" s="855">
        <f>DATA!$HP$52</f>
        <v>0</v>
      </c>
      <c r="M48" s="631" t="e">
        <f>+(G48+F48)*K48-L48</f>
        <v>#N/A</v>
      </c>
      <c r="N48" s="632" t="e">
        <f>L48+M48</f>
        <v>#N/A</v>
      </c>
    </row>
    <row r="49" spans="1:14" ht="31.5" customHeight="1">
      <c r="A49" s="629"/>
      <c r="B49" s="630" t="str">
        <f>'Pricing Schedule'!B131</f>
        <v>(g) Other:</v>
      </c>
      <c r="C49" s="643"/>
      <c r="D49" s="750"/>
      <c r="E49" s="751"/>
      <c r="F49" s="751"/>
      <c r="G49" s="751"/>
      <c r="H49" s="752"/>
      <c r="I49" s="753"/>
      <c r="J49" s="751"/>
      <c r="K49" s="751"/>
      <c r="L49" s="751"/>
      <c r="M49" s="751"/>
      <c r="N49" s="752"/>
    </row>
    <row r="50" spans="1:14" ht="31.5" customHeight="1">
      <c r="A50" s="629"/>
      <c r="B50" s="630" t="str">
        <f>'Pricing Schedule'!B132</f>
        <v>(i)   Fee (based on Employer’s estimated cost of the works)</v>
      </c>
      <c r="C50" s="643" t="str">
        <f>'Pricing Schedule'!C132</f>
        <v>lump sum (LS)</v>
      </c>
      <c r="D50" s="651">
        <v>1</v>
      </c>
      <c r="E50" s="631">
        <v>1</v>
      </c>
      <c r="F50" s="855">
        <f>DATA!$CJ$52</f>
        <v>0</v>
      </c>
      <c r="G50" s="722"/>
      <c r="H50" s="632">
        <f>IF((F50+G50)&gt;E50,"◄ ERROR TOO MUCH",(F50+G50))</f>
        <v>0</v>
      </c>
      <c r="I50" s="733">
        <f>'Pricing Schedule'!F132</f>
        <v>0</v>
      </c>
      <c r="J50" s="631">
        <f>D50*I50</f>
        <v>0</v>
      </c>
      <c r="K50" s="631">
        <f>E50*I50</f>
        <v>0</v>
      </c>
      <c r="L50" s="631">
        <f>F50*I50</f>
        <v>0</v>
      </c>
      <c r="M50" s="631">
        <f>G50*I50</f>
        <v>0</v>
      </c>
      <c r="N50" s="632">
        <f>H50*I50</f>
        <v>0</v>
      </c>
    </row>
    <row r="51" spans="1:14" ht="31.5" customHeight="1">
      <c r="A51" s="629"/>
      <c r="B51" s="630" t="str">
        <f>'Pricing Schedule'!B133</f>
        <v>(ii)  Fee adjustment*</v>
      </c>
      <c r="C51" s="643" t="str">
        <f>'Pricing Schedule'!C133</f>
        <v>lump sum (LS)</v>
      </c>
      <c r="D51" s="651">
        <v>1</v>
      </c>
      <c r="E51" s="631">
        <v>1</v>
      </c>
      <c r="F51" s="855">
        <f>DATA!$HQ$52</f>
        <v>0</v>
      </c>
      <c r="G51" s="631">
        <f>G50</f>
        <v>0</v>
      </c>
      <c r="H51" s="632">
        <f>IF((F51+G51)&gt;E51,"◄ ERROR TOO MUCH",IF((F51+G51)&gt;H50,"◄ ERROR &gt; PREV ROW",(F51+G51)))</f>
        <v>0</v>
      </c>
      <c r="I51" s="733">
        <f>E51</f>
        <v>1</v>
      </c>
      <c r="J51" s="631" t="e">
        <f>'ADJ-Summary'!$J$149</f>
        <v>#N/A</v>
      </c>
      <c r="K51" s="631" t="e">
        <f>'ADJ-Summary'!$J$156</f>
        <v>#N/A</v>
      </c>
      <c r="L51" s="855">
        <f>DATA!$HR$52</f>
        <v>0</v>
      </c>
      <c r="M51" s="631" t="e">
        <f>+(G51+F51)*K51-L51</f>
        <v>#N/A</v>
      </c>
      <c r="N51" s="632" t="e">
        <f>L51+M51</f>
        <v>#N/A</v>
      </c>
    </row>
    <row r="52" spans="1:14" ht="31.5" customHeight="1">
      <c r="A52" s="629" t="str">
        <f>'Pricing Schedule'!A134</f>
        <v>3.4.3</v>
      </c>
      <c r="B52" s="630" t="str">
        <f>'Pricing Schedule'!B134</f>
        <v>Detailed design</v>
      </c>
      <c r="C52" s="643"/>
      <c r="D52" s="750"/>
      <c r="E52" s="751"/>
      <c r="F52" s="751"/>
      <c r="G52" s="751"/>
      <c r="H52" s="752"/>
      <c r="I52" s="753"/>
      <c r="J52" s="751"/>
      <c r="K52" s="751"/>
      <c r="L52" s="751"/>
      <c r="M52" s="751"/>
      <c r="N52" s="752"/>
    </row>
    <row r="53" spans="1:14" ht="31.5" customHeight="1">
      <c r="A53" s="629"/>
      <c r="B53" s="630" t="str">
        <f>'Pricing Schedule'!B135</f>
        <v xml:space="preserve">(a) Road works: </v>
      </c>
      <c r="C53" s="643"/>
      <c r="D53" s="750"/>
      <c r="E53" s="751"/>
      <c r="F53" s="751"/>
      <c r="G53" s="751"/>
      <c r="H53" s="752"/>
      <c r="I53" s="753"/>
      <c r="J53" s="751"/>
      <c r="K53" s="751"/>
      <c r="L53" s="751"/>
      <c r="M53" s="751"/>
      <c r="N53" s="752"/>
    </row>
    <row r="54" spans="1:14" ht="31.5" customHeight="1">
      <c r="A54" s="629"/>
      <c r="B54" s="630" t="str">
        <f>'Pricing Schedule'!B136</f>
        <v>(i)   Fee (based on Employer’s estimated cost of the works)</v>
      </c>
      <c r="C54" s="643" t="str">
        <f>'Pricing Schedule'!C136</f>
        <v>lump sum (LS)</v>
      </c>
      <c r="D54" s="651">
        <v>1</v>
      </c>
      <c r="E54" s="631">
        <v>1</v>
      </c>
      <c r="F54" s="855">
        <f>DATA!$CK$52</f>
        <v>0</v>
      </c>
      <c r="G54" s="722"/>
      <c r="H54" s="632">
        <f>IF((F54+G54)&gt;E54,"◄ ERROR TOO MUCH",(F54+G54))</f>
        <v>0</v>
      </c>
      <c r="I54" s="733">
        <f>'Pricing Schedule'!F136</f>
        <v>0</v>
      </c>
      <c r="J54" s="631">
        <f>D54*I54</f>
        <v>0</v>
      </c>
      <c r="K54" s="631">
        <f>E54*I54</f>
        <v>0</v>
      </c>
      <c r="L54" s="631">
        <f>F54*I54</f>
        <v>0</v>
      </c>
      <c r="M54" s="631">
        <f>G54*I54</f>
        <v>0</v>
      </c>
      <c r="N54" s="632">
        <f>H54*I54</f>
        <v>0</v>
      </c>
    </row>
    <row r="55" spans="1:14" ht="31.5" customHeight="1">
      <c r="A55" s="629"/>
      <c r="B55" s="630" t="str">
        <f>'Pricing Schedule'!B137</f>
        <v xml:space="preserve">(ii)  Fee adjustment* </v>
      </c>
      <c r="C55" s="643" t="str">
        <f>'Pricing Schedule'!C137</f>
        <v>lump sum (LS)</v>
      </c>
      <c r="D55" s="651">
        <v>1</v>
      </c>
      <c r="E55" s="631">
        <v>1</v>
      </c>
      <c r="F55" s="855">
        <f>DATA!$HS$52</f>
        <v>0</v>
      </c>
      <c r="G55" s="631">
        <f>G54</f>
        <v>0</v>
      </c>
      <c r="H55" s="632">
        <f>IF((F55+G55)&gt;E55,"◄ ERROR TOO MUCH",IF((F55+G55)&gt;H54,"◄ ERROR &gt; PREV ROW",(F55+G55)))</f>
        <v>0</v>
      </c>
      <c r="I55" s="733">
        <f>E55</f>
        <v>1</v>
      </c>
      <c r="J55" s="631" t="e">
        <f>'ADJ-Summary'!$J$11</f>
        <v>#N/A</v>
      </c>
      <c r="K55" s="631" t="e">
        <f>'ADJ-Summary'!$J$18</f>
        <v>#N/A</v>
      </c>
      <c r="L55" s="855">
        <f>DATA!$HT$52</f>
        <v>0</v>
      </c>
      <c r="M55" s="631" t="e">
        <f>+(G55+F55)*K55-L55</f>
        <v>#N/A</v>
      </c>
      <c r="N55" s="632" t="e">
        <f>L55+M55</f>
        <v>#N/A</v>
      </c>
    </row>
    <row r="56" spans="1:14" ht="31.5" customHeight="1">
      <c r="A56" s="629"/>
      <c r="B56" s="630" t="str">
        <f>'Pricing Schedule'!B138</f>
        <v xml:space="preserve">(b) Structures (bridges and other major structures): </v>
      </c>
      <c r="C56" s="643"/>
      <c r="D56" s="750"/>
      <c r="E56" s="751"/>
      <c r="F56" s="751"/>
      <c r="G56" s="751"/>
      <c r="H56" s="752"/>
      <c r="I56" s="753"/>
      <c r="J56" s="751"/>
      <c r="K56" s="751"/>
      <c r="L56" s="751"/>
      <c r="M56" s="751"/>
      <c r="N56" s="752"/>
    </row>
    <row r="57" spans="1:14" ht="31.5" customHeight="1">
      <c r="A57" s="629"/>
      <c r="B57" s="630" t="str">
        <f>'Pricing Schedule'!B139</f>
        <v>(i)   Fee (based on Employer’s estimated cost of the works)</v>
      </c>
      <c r="C57" s="643" t="str">
        <f>'Pricing Schedule'!C139</f>
        <v>lump sum (LS)</v>
      </c>
      <c r="D57" s="651">
        <v>1</v>
      </c>
      <c r="E57" s="631">
        <v>1</v>
      </c>
      <c r="F57" s="855">
        <f>DATA!$CL$52</f>
        <v>0</v>
      </c>
      <c r="G57" s="722"/>
      <c r="H57" s="632">
        <f>IF((F57+G57)&gt;E57,"◄ ERROR TOO MUCH",(F57+G57))</f>
        <v>0</v>
      </c>
      <c r="I57" s="733">
        <f>'Pricing Schedule'!F139</f>
        <v>0</v>
      </c>
      <c r="J57" s="631">
        <f>D57*I57</f>
        <v>0</v>
      </c>
      <c r="K57" s="631">
        <f>E57*I57</f>
        <v>0</v>
      </c>
      <c r="L57" s="631">
        <f>F57*I57</f>
        <v>0</v>
      </c>
      <c r="M57" s="631">
        <f>G57*I57</f>
        <v>0</v>
      </c>
      <c r="N57" s="632">
        <f>H57*I57</f>
        <v>0</v>
      </c>
    </row>
    <row r="58" spans="1:14" ht="31.5" customHeight="1">
      <c r="A58" s="629"/>
      <c r="B58" s="630" t="str">
        <f>'Pricing Schedule'!B140</f>
        <v xml:space="preserve">(ii)  Fee adjustment* </v>
      </c>
      <c r="C58" s="643" t="str">
        <f>'Pricing Schedule'!C140</f>
        <v>lump sum (LS)</v>
      </c>
      <c r="D58" s="651">
        <v>1</v>
      </c>
      <c r="E58" s="631">
        <v>1</v>
      </c>
      <c r="F58" s="855">
        <f>DATA!$HU$52</f>
        <v>0</v>
      </c>
      <c r="G58" s="631">
        <f>G57</f>
        <v>0</v>
      </c>
      <c r="H58" s="632">
        <f>IF((F58+G58)&gt;E58,"◄ ERROR TOO MUCH",IF((F58+G58)&gt;H57,"◄ ERROR &gt; PREV ROW",(F58+G58)))</f>
        <v>0</v>
      </c>
      <c r="I58" s="733">
        <f>E58</f>
        <v>1</v>
      </c>
      <c r="J58" s="631" t="e">
        <f>'ADJ-Summary'!$J$34</f>
        <v>#N/A</v>
      </c>
      <c r="K58" s="631" t="e">
        <f>'ADJ-Summary'!$J$41</f>
        <v>#N/A</v>
      </c>
      <c r="L58" s="855">
        <f>DATA!$HV$52</f>
        <v>0</v>
      </c>
      <c r="M58" s="631" t="e">
        <f>+(G58+F58)*K58-L58</f>
        <v>#N/A</v>
      </c>
      <c r="N58" s="632" t="e">
        <f>L58+M58</f>
        <v>#N/A</v>
      </c>
    </row>
    <row r="59" spans="1:14" ht="31.5" customHeight="1">
      <c r="A59" s="629"/>
      <c r="B59" s="630" t="str">
        <f>'Pricing Schedule'!B141</f>
        <v>(c) Electrical:</v>
      </c>
      <c r="C59" s="643"/>
      <c r="D59" s="750"/>
      <c r="E59" s="751"/>
      <c r="F59" s="751"/>
      <c r="G59" s="751"/>
      <c r="H59" s="752"/>
      <c r="I59" s="753"/>
      <c r="J59" s="751"/>
      <c r="K59" s="751"/>
      <c r="L59" s="751"/>
      <c r="M59" s="751"/>
      <c r="N59" s="752"/>
    </row>
    <row r="60" spans="1:14" ht="31.5" customHeight="1">
      <c r="A60" s="629"/>
      <c r="B60" s="630" t="str">
        <f>'Pricing Schedule'!B142</f>
        <v>(i)   Fee (based on Employer’s estimated cost of the works)</v>
      </c>
      <c r="C60" s="643" t="str">
        <f>'Pricing Schedule'!C142</f>
        <v>lump sum (LS)</v>
      </c>
      <c r="D60" s="651">
        <v>1</v>
      </c>
      <c r="E60" s="631">
        <v>1</v>
      </c>
      <c r="F60" s="855">
        <f>DATA!$CM$52</f>
        <v>0</v>
      </c>
      <c r="G60" s="722"/>
      <c r="H60" s="632">
        <f>IF((F60+G60)&gt;E60,"◄ ERROR TOO MUCH",(F60+G60))</f>
        <v>0</v>
      </c>
      <c r="I60" s="733">
        <f>'Pricing Schedule'!F142</f>
        <v>0</v>
      </c>
      <c r="J60" s="631">
        <f>D60*I60</f>
        <v>0</v>
      </c>
      <c r="K60" s="631">
        <f>E60*I60</f>
        <v>0</v>
      </c>
      <c r="L60" s="631">
        <f>F60*I60</f>
        <v>0</v>
      </c>
      <c r="M60" s="631">
        <f>G60*I60</f>
        <v>0</v>
      </c>
      <c r="N60" s="632">
        <f>H60*I60</f>
        <v>0</v>
      </c>
    </row>
    <row r="61" spans="1:14" ht="31.5" customHeight="1">
      <c r="A61" s="629"/>
      <c r="B61" s="630" t="str">
        <f>'Pricing Schedule'!B143</f>
        <v xml:space="preserve">(ii)  Fee adjustment* </v>
      </c>
      <c r="C61" s="643" t="str">
        <f>'Pricing Schedule'!C143</f>
        <v>lump sum (LS)</v>
      </c>
      <c r="D61" s="651">
        <v>1</v>
      </c>
      <c r="E61" s="631">
        <v>1</v>
      </c>
      <c r="F61" s="855">
        <f>DATA!$HW$52</f>
        <v>0</v>
      </c>
      <c r="G61" s="631">
        <f>G60</f>
        <v>0</v>
      </c>
      <c r="H61" s="632">
        <f>IF((F61+G61)&gt;E61,"◄ ERROR TOO MUCH",IF((F61+G61)&gt;H60,"◄ ERROR &gt; PREV ROW",(F61+G61)))</f>
        <v>0</v>
      </c>
      <c r="I61" s="733">
        <f>E61</f>
        <v>1</v>
      </c>
      <c r="J61" s="631" t="e">
        <f>'ADJ-Summary'!$J$58</f>
        <v>#N/A</v>
      </c>
      <c r="K61" s="631" t="e">
        <f>'ADJ-Summary'!$J$65</f>
        <v>#N/A</v>
      </c>
      <c r="L61" s="855">
        <f>DATA!$HX$52</f>
        <v>0</v>
      </c>
      <c r="M61" s="631" t="e">
        <f>+(G61+F61)*K61-L61</f>
        <v>#N/A</v>
      </c>
      <c r="N61" s="632" t="e">
        <f>L61+M61</f>
        <v>#N/A</v>
      </c>
    </row>
    <row r="62" spans="1:14" ht="31.5" customHeight="1">
      <c r="A62" s="629"/>
      <c r="B62" s="630" t="str">
        <f>'Pricing Schedule'!B144</f>
        <v>(d) Buildings:</v>
      </c>
      <c r="C62" s="643"/>
      <c r="D62" s="750"/>
      <c r="E62" s="751"/>
      <c r="F62" s="751"/>
      <c r="G62" s="751"/>
      <c r="H62" s="752"/>
      <c r="I62" s="753"/>
      <c r="J62" s="751"/>
      <c r="K62" s="751"/>
      <c r="L62" s="751"/>
      <c r="M62" s="751"/>
      <c r="N62" s="752"/>
    </row>
    <row r="63" spans="1:14" ht="31.5" customHeight="1">
      <c r="A63" s="629"/>
      <c r="B63" s="630" t="str">
        <f>'Pricing Schedule'!B145</f>
        <v>(i)   Fee (based on Employer’s estimated cost of the works)</v>
      </c>
      <c r="C63" s="643" t="str">
        <f>'Pricing Schedule'!C145</f>
        <v>lump sum (LS)</v>
      </c>
      <c r="D63" s="651">
        <v>1</v>
      </c>
      <c r="E63" s="631">
        <v>1</v>
      </c>
      <c r="F63" s="855">
        <f>DATA!$CN$52</f>
        <v>0</v>
      </c>
      <c r="G63" s="722"/>
      <c r="H63" s="632">
        <f>IF((F63+G63)&gt;E63,"◄ ERROR TOO MUCH",(F63+G63))</f>
        <v>0</v>
      </c>
      <c r="I63" s="733">
        <f>'Pricing Schedule'!F145</f>
        <v>0</v>
      </c>
      <c r="J63" s="631">
        <f>D63*I63</f>
        <v>0</v>
      </c>
      <c r="K63" s="631">
        <f>E63*I63</f>
        <v>0</v>
      </c>
      <c r="L63" s="631">
        <f>F63*I63</f>
        <v>0</v>
      </c>
      <c r="M63" s="631">
        <f>G63*I63</f>
        <v>0</v>
      </c>
      <c r="N63" s="632">
        <f>H63*I63</f>
        <v>0</v>
      </c>
    </row>
    <row r="64" spans="1:14" ht="31.5" customHeight="1">
      <c r="A64" s="629"/>
      <c r="B64" s="630" t="str">
        <f>'Pricing Schedule'!B146</f>
        <v xml:space="preserve">(ii)  Fee adjustment* </v>
      </c>
      <c r="C64" s="643" t="str">
        <f>'Pricing Schedule'!C146</f>
        <v>lump sum (LS)</v>
      </c>
      <c r="D64" s="651">
        <v>1</v>
      </c>
      <c r="E64" s="631">
        <v>1</v>
      </c>
      <c r="F64" s="855">
        <f>DATA!$HY$52</f>
        <v>0</v>
      </c>
      <c r="G64" s="631">
        <f>G63</f>
        <v>0</v>
      </c>
      <c r="H64" s="632">
        <f>IF((F64+G64)&gt;E64,"◄ ERROR TOO MUCH",IF((F64+G64)&gt;H63,"◄ ERROR &gt; PREV ROW",(F64+G64)))</f>
        <v>0</v>
      </c>
      <c r="I64" s="733">
        <f>E64</f>
        <v>1</v>
      </c>
      <c r="J64" s="631" t="e">
        <f>'ADJ-Summary'!$J$81</f>
        <v>#N/A</v>
      </c>
      <c r="K64" s="631" t="e">
        <f>'ADJ-Summary'!$J$88</f>
        <v>#N/A</v>
      </c>
      <c r="L64" s="855">
        <f>DATA!$HZ$52</f>
        <v>0</v>
      </c>
      <c r="M64" s="631" t="e">
        <f>+(G64+F64)*K64-L64</f>
        <v>#N/A</v>
      </c>
      <c r="N64" s="632" t="e">
        <f>L64+M64</f>
        <v>#N/A</v>
      </c>
    </row>
    <row r="65" spans="1:14" ht="31.5" customHeight="1">
      <c r="A65" s="629"/>
      <c r="B65" s="630" t="str">
        <f>'Pricing Schedule'!B147</f>
        <v>(e) Mechanical:</v>
      </c>
      <c r="C65" s="643"/>
      <c r="D65" s="750"/>
      <c r="E65" s="751"/>
      <c r="F65" s="751"/>
      <c r="G65" s="751"/>
      <c r="H65" s="752"/>
      <c r="I65" s="753"/>
      <c r="J65" s="751"/>
      <c r="K65" s="751"/>
      <c r="L65" s="751"/>
      <c r="M65" s="751"/>
      <c r="N65" s="752"/>
    </row>
    <row r="66" spans="1:14" ht="31.5" customHeight="1">
      <c r="A66" s="629"/>
      <c r="B66" s="630" t="str">
        <f>'Pricing Schedule'!B148</f>
        <v>(i)   Fee (based on Employer’s estimated cost of the works)</v>
      </c>
      <c r="C66" s="643" t="str">
        <f>'Pricing Schedule'!C148</f>
        <v>lump sum (LS)</v>
      </c>
      <c r="D66" s="651">
        <v>1</v>
      </c>
      <c r="E66" s="631">
        <v>1</v>
      </c>
      <c r="F66" s="855">
        <f>DATA!$CO$52</f>
        <v>0</v>
      </c>
      <c r="G66" s="722"/>
      <c r="H66" s="632">
        <f>IF((F66+G66)&gt;E66,"◄ ERROR TOO MUCH",(F66+G66))</f>
        <v>0</v>
      </c>
      <c r="I66" s="733">
        <f>'Pricing Schedule'!F148</f>
        <v>0</v>
      </c>
      <c r="J66" s="631">
        <f>D66*I66</f>
        <v>0</v>
      </c>
      <c r="K66" s="631">
        <f>E66*I66</f>
        <v>0</v>
      </c>
      <c r="L66" s="631">
        <f>F66*I66</f>
        <v>0</v>
      </c>
      <c r="M66" s="631">
        <f>G66*I66</f>
        <v>0</v>
      </c>
      <c r="N66" s="632">
        <f>H66*I66</f>
        <v>0</v>
      </c>
    </row>
    <row r="67" spans="1:14" ht="31.5" customHeight="1">
      <c r="A67" s="629"/>
      <c r="B67" s="630" t="str">
        <f>'Pricing Schedule'!B149</f>
        <v xml:space="preserve">(ii)  Fee adjustment* </v>
      </c>
      <c r="C67" s="643" t="str">
        <f>'Pricing Schedule'!C149</f>
        <v>lump sum (LS)</v>
      </c>
      <c r="D67" s="651">
        <v>1</v>
      </c>
      <c r="E67" s="631">
        <v>1</v>
      </c>
      <c r="F67" s="855">
        <f>DATA!$IA$52</f>
        <v>0</v>
      </c>
      <c r="G67" s="631">
        <f>G66</f>
        <v>0</v>
      </c>
      <c r="H67" s="632">
        <f>IF((F67+G67)&gt;E67,"◄ ERROR TOO MUCH",IF((F67+G67)&gt;H66,"◄ ERROR &gt; PREV ROW",(F67+G67)))</f>
        <v>0</v>
      </c>
      <c r="I67" s="733">
        <f>E67</f>
        <v>1</v>
      </c>
      <c r="J67" s="631" t="e">
        <f>'ADJ-Summary'!$J$104</f>
        <v>#N/A</v>
      </c>
      <c r="K67" s="631" t="e">
        <f>'ADJ-Summary'!$J$111</f>
        <v>#N/A</v>
      </c>
      <c r="L67" s="855">
        <f>DATA!$IB$52</f>
        <v>0</v>
      </c>
      <c r="M67" s="631" t="e">
        <f>+(G67+F67)*K67-L67</f>
        <v>#N/A</v>
      </c>
      <c r="N67" s="632" t="e">
        <f>L67+M67</f>
        <v>#N/A</v>
      </c>
    </row>
    <row r="68" spans="1:14" ht="31.5" customHeight="1">
      <c r="A68" s="629"/>
      <c r="B68" s="630" t="str">
        <f>'Pricing Schedule'!B150</f>
        <v>(f) Electronic:</v>
      </c>
      <c r="C68" s="643"/>
      <c r="D68" s="750"/>
      <c r="E68" s="751"/>
      <c r="F68" s="751"/>
      <c r="G68" s="751"/>
      <c r="H68" s="752"/>
      <c r="I68" s="753"/>
      <c r="J68" s="751"/>
      <c r="K68" s="751"/>
      <c r="L68" s="751"/>
      <c r="M68" s="751"/>
      <c r="N68" s="752"/>
    </row>
    <row r="69" spans="1:14" ht="31.5" customHeight="1">
      <c r="A69" s="629"/>
      <c r="B69" s="630" t="str">
        <f>'Pricing Schedule'!B151</f>
        <v>(i)   Fee (based on Employer’s estimated cost of the works)</v>
      </c>
      <c r="C69" s="643" t="str">
        <f>'Pricing Schedule'!C151</f>
        <v>lump sum (LS)</v>
      </c>
      <c r="D69" s="651">
        <v>1</v>
      </c>
      <c r="E69" s="631">
        <v>1</v>
      </c>
      <c r="F69" s="855">
        <f>DATA!$CP$52</f>
        <v>0</v>
      </c>
      <c r="G69" s="722"/>
      <c r="H69" s="632">
        <f>IF((F69+G69)&gt;E69,"◄ ERROR TOO MUCH",(F69+G69))</f>
        <v>0</v>
      </c>
      <c r="I69" s="733">
        <f>'Pricing Schedule'!F151</f>
        <v>0</v>
      </c>
      <c r="J69" s="631">
        <f>D69*I69</f>
        <v>0</v>
      </c>
      <c r="K69" s="631">
        <f>E69*I69</f>
        <v>0</v>
      </c>
      <c r="L69" s="631">
        <f>F69*I69</f>
        <v>0</v>
      </c>
      <c r="M69" s="631">
        <f>G69*I69</f>
        <v>0</v>
      </c>
      <c r="N69" s="632">
        <f>H69*I69</f>
        <v>0</v>
      </c>
    </row>
    <row r="70" spans="1:14" ht="31.5" customHeight="1">
      <c r="A70" s="629"/>
      <c r="B70" s="630" t="str">
        <f>'Pricing Schedule'!B152</f>
        <v xml:space="preserve">(ii)  Fee adjustment* </v>
      </c>
      <c r="C70" s="643" t="str">
        <f>'Pricing Schedule'!C152</f>
        <v>lump sum (LS)</v>
      </c>
      <c r="D70" s="651">
        <v>1</v>
      </c>
      <c r="E70" s="631">
        <v>1</v>
      </c>
      <c r="F70" s="855">
        <f>DATA!$IC$52</f>
        <v>0</v>
      </c>
      <c r="G70" s="631">
        <f>G69</f>
        <v>0</v>
      </c>
      <c r="H70" s="632">
        <f>IF((F70+G70)&gt;E70,"◄ ERROR TOO MUCH",IF((F70+G70)&gt;H69,"◄ ERROR &gt; PREV ROW",(F70+G70)))</f>
        <v>0</v>
      </c>
      <c r="I70" s="733">
        <f>E70</f>
        <v>1</v>
      </c>
      <c r="J70" s="631" t="e">
        <f>'ADJ-Summary'!$J$127</f>
        <v>#N/A</v>
      </c>
      <c r="K70" s="631" t="e">
        <f>'ADJ-Summary'!$J$134</f>
        <v>#N/A</v>
      </c>
      <c r="L70" s="855">
        <f>DATA!$ID$52</f>
        <v>0</v>
      </c>
      <c r="M70" s="631" t="e">
        <f>+(G70+F70)*K70-L70</f>
        <v>#N/A</v>
      </c>
      <c r="N70" s="632" t="e">
        <f>L70+M70</f>
        <v>#N/A</v>
      </c>
    </row>
    <row r="71" spans="1:14" ht="31.5" customHeight="1">
      <c r="A71" s="629"/>
      <c r="B71" s="630" t="str">
        <f>'Pricing Schedule'!B153</f>
        <v>(g) Other:</v>
      </c>
      <c r="C71" s="643"/>
      <c r="D71" s="750"/>
      <c r="E71" s="751"/>
      <c r="F71" s="751"/>
      <c r="G71" s="751"/>
      <c r="H71" s="752"/>
      <c r="I71" s="753"/>
      <c r="J71" s="751"/>
      <c r="K71" s="751"/>
      <c r="L71" s="751"/>
      <c r="M71" s="751"/>
      <c r="N71" s="752"/>
    </row>
    <row r="72" spans="1:14" ht="31.5" customHeight="1">
      <c r="A72" s="629"/>
      <c r="B72" s="630" t="str">
        <f>'Pricing Schedule'!B154</f>
        <v>(i)   Fee (based on Employer’s estimated cost of the works)</v>
      </c>
      <c r="C72" s="643" t="str">
        <f>'Pricing Schedule'!C154</f>
        <v>lump sum (LS)</v>
      </c>
      <c r="D72" s="651">
        <v>1</v>
      </c>
      <c r="E72" s="631">
        <v>1</v>
      </c>
      <c r="F72" s="855">
        <f>DATA!$CQ$52</f>
        <v>0</v>
      </c>
      <c r="G72" s="722"/>
      <c r="H72" s="632">
        <f>IF((F72+G72)&gt;E72,"◄ ERROR TOO MUCH",(F72+G72))</f>
        <v>0</v>
      </c>
      <c r="I72" s="733">
        <f>'Pricing Schedule'!F154</f>
        <v>0</v>
      </c>
      <c r="J72" s="631">
        <f>D72*I72</f>
        <v>0</v>
      </c>
      <c r="K72" s="631">
        <f>E72*I72</f>
        <v>0</v>
      </c>
      <c r="L72" s="631">
        <f>F72*I72</f>
        <v>0</v>
      </c>
      <c r="M72" s="631">
        <f>G72*I72</f>
        <v>0</v>
      </c>
      <c r="N72" s="632">
        <f>H72*I72</f>
        <v>0</v>
      </c>
    </row>
    <row r="73" spans="1:14" ht="31.5" customHeight="1">
      <c r="A73" s="629"/>
      <c r="B73" s="630" t="str">
        <f>'Pricing Schedule'!B155</f>
        <v>(ii)  Fee adjustment*</v>
      </c>
      <c r="C73" s="643" t="str">
        <f>'Pricing Schedule'!C155</f>
        <v>lump sum (LS)</v>
      </c>
      <c r="D73" s="651">
        <v>1</v>
      </c>
      <c r="E73" s="631">
        <v>1</v>
      </c>
      <c r="F73" s="855">
        <f>DATA!$IE$52</f>
        <v>0</v>
      </c>
      <c r="G73" s="631">
        <f>G72</f>
        <v>0</v>
      </c>
      <c r="H73" s="632">
        <f>IF((F73+G73)&gt;E73,"◄ ERROR TOO MUCH",IF((F73+G73)&gt;H72,"◄ ERROR &gt; PREV ROW",(F73+G73)))</f>
        <v>0</v>
      </c>
      <c r="I73" s="733">
        <f>E73</f>
        <v>1</v>
      </c>
      <c r="J73" s="631" t="e">
        <f>'ADJ-Summary'!$J$150</f>
        <v>#N/A</v>
      </c>
      <c r="K73" s="631" t="e">
        <f>'ADJ-Summary'!$J$157</f>
        <v>#N/A</v>
      </c>
      <c r="L73" s="855">
        <f>DATA!$IF$52</f>
        <v>0</v>
      </c>
      <c r="M73" s="631" t="e">
        <f>+(G73+F73)*K73-L73</f>
        <v>#N/A</v>
      </c>
      <c r="N73" s="632" t="e">
        <f>L73+M73</f>
        <v>#N/A</v>
      </c>
    </row>
    <row r="74" spans="1:14" ht="31.5" customHeight="1">
      <c r="A74" s="629" t="str">
        <f>'Pricing Schedule'!A156</f>
        <v>3.4.4</v>
      </c>
      <c r="B74" s="630" t="str">
        <f>'Pricing Schedule'!B156</f>
        <v>Disbursements</v>
      </c>
      <c r="C74" s="643"/>
      <c r="D74" s="750"/>
      <c r="E74" s="751"/>
      <c r="F74" s="751"/>
      <c r="G74" s="751"/>
      <c r="H74" s="752"/>
      <c r="I74" s="753"/>
      <c r="J74" s="751"/>
      <c r="K74" s="751"/>
      <c r="L74" s="751"/>
      <c r="M74" s="751"/>
      <c r="N74" s="752"/>
    </row>
    <row r="75" spans="1:14" ht="31.5" customHeight="1">
      <c r="A75" s="784"/>
      <c r="B75" s="630" t="str">
        <f>'Pricing Schedule'!B157</f>
        <v>(a)   Concept design</v>
      </c>
      <c r="C75" s="643" t="str">
        <f>'Pricing Schedule'!C157</f>
        <v>lump sum (LS)</v>
      </c>
      <c r="D75" s="651">
        <v>1</v>
      </c>
      <c r="E75" s="1058">
        <v>1</v>
      </c>
      <c r="F75" s="855">
        <f>DATA!$CR$52</f>
        <v>0</v>
      </c>
      <c r="G75" s="722"/>
      <c r="H75" s="632">
        <f>F75+G75</f>
        <v>0</v>
      </c>
      <c r="I75" s="733">
        <f>'Pricing Schedule'!F157</f>
        <v>0</v>
      </c>
      <c r="J75" s="631">
        <f>D75*I75</f>
        <v>0</v>
      </c>
      <c r="K75" s="631">
        <f>E75*I75</f>
        <v>0</v>
      </c>
      <c r="L75" s="631">
        <f>F75*I75</f>
        <v>0</v>
      </c>
      <c r="M75" s="631">
        <f>G75*I75</f>
        <v>0</v>
      </c>
      <c r="N75" s="632">
        <f>H75*I75</f>
        <v>0</v>
      </c>
    </row>
    <row r="76" spans="1:14" ht="31.5" customHeight="1">
      <c r="A76" s="784"/>
      <c r="B76" s="630" t="str">
        <f>'Pricing Schedule'!B158</f>
        <v>(b)   Preliminary design</v>
      </c>
      <c r="C76" s="643" t="str">
        <f>'Pricing Schedule'!C158</f>
        <v>lump sum (LS)</v>
      </c>
      <c r="D76" s="651">
        <v>1</v>
      </c>
      <c r="E76" s="1058">
        <v>1</v>
      </c>
      <c r="F76" s="855">
        <f>DATA!$CS$52</f>
        <v>0</v>
      </c>
      <c r="G76" s="722"/>
      <c r="H76" s="632">
        <f>F76+G76</f>
        <v>0</v>
      </c>
      <c r="I76" s="733">
        <f>'Pricing Schedule'!F158</f>
        <v>0</v>
      </c>
      <c r="J76" s="631">
        <f>D76*I76</f>
        <v>0</v>
      </c>
      <c r="K76" s="631">
        <f>E76*I76</f>
        <v>0</v>
      </c>
      <c r="L76" s="631">
        <f>F76*I76</f>
        <v>0</v>
      </c>
      <c r="M76" s="631">
        <f>G76*I76</f>
        <v>0</v>
      </c>
      <c r="N76" s="632">
        <f>H76*I76</f>
        <v>0</v>
      </c>
    </row>
    <row r="77" spans="1:14" ht="31.5" customHeight="1">
      <c r="A77" s="784"/>
      <c r="B77" s="630" t="str">
        <f>'Pricing Schedule'!B159</f>
        <v>(c)   Detailed design</v>
      </c>
      <c r="C77" s="643" t="str">
        <f>'Pricing Schedule'!C159</f>
        <v>lump sum (LS)</v>
      </c>
      <c r="D77" s="651">
        <v>1</v>
      </c>
      <c r="E77" s="1058">
        <v>1</v>
      </c>
      <c r="F77" s="855">
        <f>DATA!$CT$52</f>
        <v>0</v>
      </c>
      <c r="G77" s="722"/>
      <c r="H77" s="632">
        <f>F77+G77</f>
        <v>0</v>
      </c>
      <c r="I77" s="733">
        <f>'Pricing Schedule'!F159</f>
        <v>0</v>
      </c>
      <c r="J77" s="631">
        <f>D77*I77</f>
        <v>0</v>
      </c>
      <c r="K77" s="631">
        <f>E77*I77</f>
        <v>0</v>
      </c>
      <c r="L77" s="631">
        <f>F77*I77</f>
        <v>0</v>
      </c>
      <c r="M77" s="631">
        <f>G77*I77</f>
        <v>0</v>
      </c>
      <c r="N77" s="632">
        <f>H77*I77</f>
        <v>0</v>
      </c>
    </row>
    <row r="78" spans="1:14" ht="31.5" customHeight="1">
      <c r="A78" s="629" t="str">
        <f>'Pricing Schedule'!A160</f>
        <v>3.4.5</v>
      </c>
      <c r="B78" s="630" t="str">
        <f>'Pricing Schedule'!B160</f>
        <v>Land Requirements</v>
      </c>
      <c r="C78" s="643"/>
      <c r="D78" s="750"/>
      <c r="E78" s="751"/>
      <c r="F78" s="751"/>
      <c r="G78" s="751"/>
      <c r="H78" s="752"/>
      <c r="I78" s="753"/>
      <c r="J78" s="751"/>
      <c r="K78" s="751"/>
      <c r="L78" s="751"/>
      <c r="M78" s="751"/>
      <c r="N78" s="752"/>
    </row>
    <row r="79" spans="1:14" ht="42.75" customHeight="1">
      <c r="A79" s="784"/>
      <c r="B79" s="630" t="str">
        <f>'Pricing Schedule'!B161</f>
        <v>(a)   Compilation of Property Report for each individual property (or portion thereof) required</v>
      </c>
      <c r="C79" s="643" t="str">
        <f>'Pricing Schedule'!C161</f>
        <v>number (No)</v>
      </c>
      <c r="D79" s="651">
        <f>'Pricing Schedule'!D161</f>
        <v>250</v>
      </c>
      <c r="E79" s="722">
        <f t="shared" ref="E79:E81" si="0">D79</f>
        <v>250</v>
      </c>
      <c r="F79" s="855">
        <f>DATA!$CU$52</f>
        <v>0</v>
      </c>
      <c r="G79" s="954"/>
      <c r="H79" s="632">
        <f t="shared" ref="H79:H81" si="1">F79+G79</f>
        <v>0</v>
      </c>
      <c r="I79" s="733">
        <f>'Pricing Schedule'!E161</f>
        <v>0</v>
      </c>
      <c r="J79" s="631">
        <f t="shared" ref="J79" si="2">D79*I79</f>
        <v>0</v>
      </c>
      <c r="K79" s="631">
        <f t="shared" ref="K79" si="3">E79*I79</f>
        <v>0</v>
      </c>
      <c r="L79" s="631">
        <f t="shared" ref="L79" si="4">F79*I79</f>
        <v>0</v>
      </c>
      <c r="M79" s="631">
        <f t="shared" ref="M79" si="5">G79*I79</f>
        <v>0</v>
      </c>
      <c r="N79" s="632">
        <f t="shared" ref="N79" si="6">H79*I79</f>
        <v>0</v>
      </c>
    </row>
    <row r="80" spans="1:14" ht="31.5" customHeight="1">
      <c r="A80" s="784"/>
      <c r="B80" s="630" t="str">
        <f>'Pricing Schedule'!B162</f>
        <v>(b)   Conclusion of SPLUMA Agreement with relevant Municipality(ies)</v>
      </c>
      <c r="C80" s="643" t="str">
        <f>'Pricing Schedule'!C162</f>
        <v>number (No)</v>
      </c>
      <c r="D80" s="651">
        <f>'Pricing Schedule'!D162</f>
        <v>1</v>
      </c>
      <c r="E80" s="722">
        <f t="shared" si="0"/>
        <v>1</v>
      </c>
      <c r="F80" s="855">
        <f>DATA!$KA$52</f>
        <v>0</v>
      </c>
      <c r="G80" s="954"/>
      <c r="H80" s="632">
        <f t="shared" si="1"/>
        <v>0</v>
      </c>
      <c r="I80" s="733">
        <f>'Pricing Schedule'!E162</f>
        <v>0</v>
      </c>
      <c r="J80" s="631">
        <f t="shared" ref="J80:J81" si="7">D80*I80</f>
        <v>0</v>
      </c>
      <c r="K80" s="631">
        <f t="shared" ref="K80:K81" si="8">E80*I80</f>
        <v>0</v>
      </c>
      <c r="L80" s="631">
        <f t="shared" ref="L80:L81" si="9">F80*I80</f>
        <v>0</v>
      </c>
      <c r="M80" s="631">
        <f t="shared" ref="M80:M81" si="10">G80*I80</f>
        <v>0</v>
      </c>
      <c r="N80" s="632">
        <f t="shared" ref="N80:N81" si="11">H80*I80</f>
        <v>0</v>
      </c>
    </row>
    <row r="81" spans="1:14" ht="31.5" customHeight="1">
      <c r="A81" s="784"/>
      <c r="B81" s="630" t="str">
        <f>'Pricing Schedule'!B163</f>
        <v>(c)   Conclusion of addendums to the SPLUMA Agreement(s)</v>
      </c>
      <c r="C81" s="643" t="str">
        <f>'Pricing Schedule'!C163</f>
        <v>number (No)</v>
      </c>
      <c r="D81" s="651">
        <f>'Pricing Schedule'!D163</f>
        <v>1</v>
      </c>
      <c r="E81" s="722">
        <f t="shared" si="0"/>
        <v>1</v>
      </c>
      <c r="F81" s="855">
        <f>DATA!$KB$52</f>
        <v>0</v>
      </c>
      <c r="G81" s="954"/>
      <c r="H81" s="632">
        <f t="shared" si="1"/>
        <v>0</v>
      </c>
      <c r="I81" s="733">
        <f>'Pricing Schedule'!E163</f>
        <v>0</v>
      </c>
      <c r="J81" s="631">
        <f t="shared" si="7"/>
        <v>0</v>
      </c>
      <c r="K81" s="631">
        <f t="shared" si="8"/>
        <v>0</v>
      </c>
      <c r="L81" s="631">
        <f t="shared" si="9"/>
        <v>0</v>
      </c>
      <c r="M81" s="631">
        <f t="shared" si="10"/>
        <v>0</v>
      </c>
      <c r="N81" s="632">
        <f t="shared" si="11"/>
        <v>0</v>
      </c>
    </row>
    <row r="82" spans="1:14" ht="31.5" customHeight="1">
      <c r="A82" s="629" t="str">
        <f>'Pricing Schedule'!A164</f>
        <v>3.4.6</v>
      </c>
      <c r="B82" s="630" t="str">
        <f>'Pricing Schedule'!B164</f>
        <v>Road Safety Audit:  Feasibility/Preliminary/Detail</v>
      </c>
      <c r="C82" s="643"/>
      <c r="D82" s="750"/>
      <c r="E82" s="751"/>
      <c r="F82" s="751"/>
      <c r="G82" s="751"/>
      <c r="H82" s="752"/>
      <c r="I82" s="753"/>
      <c r="J82" s="751"/>
      <c r="K82" s="751"/>
      <c r="L82" s="751"/>
      <c r="M82" s="751"/>
      <c r="N82" s="752"/>
    </row>
    <row r="83" spans="1:14" ht="31.5" customHeight="1">
      <c r="A83" s="629"/>
      <c r="B83" s="630" t="str">
        <f>'Pricing Schedule'!B165</f>
        <v>(a) Road Safety Audit</v>
      </c>
      <c r="C83" s="643" t="str">
        <f>'Pricing Schedule'!C165</f>
        <v>prime cost (PC)</v>
      </c>
      <c r="D83" s="651">
        <v>1</v>
      </c>
      <c r="E83" s="722">
        <f>D83</f>
        <v>1</v>
      </c>
      <c r="F83" s="855">
        <f>DATA!$CV$52</f>
        <v>0</v>
      </c>
      <c r="G83" s="854">
        <f>'Pg 4 P Sums'!K103-'C3.4'!F83</f>
        <v>0</v>
      </c>
      <c r="H83" s="632">
        <f>F83+G83</f>
        <v>0</v>
      </c>
      <c r="I83" s="733">
        <f>'Pricing Schedule'!F165</f>
        <v>1000000</v>
      </c>
      <c r="J83" s="631">
        <f>D83*I83</f>
        <v>1000000</v>
      </c>
      <c r="K83" s="631">
        <f>E83*I83</f>
        <v>1000000</v>
      </c>
      <c r="L83" s="631">
        <f>F83*I83</f>
        <v>0</v>
      </c>
      <c r="M83" s="631">
        <f>G83*I83</f>
        <v>0</v>
      </c>
      <c r="N83" s="632">
        <f>H83*I83</f>
        <v>0</v>
      </c>
    </row>
    <row r="84" spans="1:14" ht="31.5" customHeight="1">
      <c r="A84" s="784"/>
      <c r="B84" s="630" t="str">
        <f>'Pricing Schedule'!B166</f>
        <v>(b) Handling costs i.r.o. sub item 3.4.6(a)</v>
      </c>
      <c r="C84" s="643" t="str">
        <f>'Pricing Schedule'!C166</f>
        <v>lump sum  (LS)</v>
      </c>
      <c r="D84" s="651">
        <v>1</v>
      </c>
      <c r="E84" s="1058">
        <v>1</v>
      </c>
      <c r="F84" s="855">
        <f>DATA!$CW$52</f>
        <v>0</v>
      </c>
      <c r="G84" s="722"/>
      <c r="H84" s="632">
        <f>F84+G84</f>
        <v>0</v>
      </c>
      <c r="I84" s="733">
        <f>'Pricing Schedule'!F166</f>
        <v>0</v>
      </c>
      <c r="J84" s="631">
        <f>D84*I84</f>
        <v>0</v>
      </c>
      <c r="K84" s="631">
        <f>E84*I84</f>
        <v>0</v>
      </c>
      <c r="L84" s="631">
        <f>F84*I84</f>
        <v>0</v>
      </c>
      <c r="M84" s="631">
        <f>G84*I84</f>
        <v>0</v>
      </c>
      <c r="N84" s="632">
        <f>H84*I84</f>
        <v>0</v>
      </c>
    </row>
    <row r="85" spans="1:14" ht="31.5" customHeight="1">
      <c r="A85" s="629" t="str">
        <f>'Pricing Schedule'!A167</f>
        <v>3.4.7</v>
      </c>
      <c r="B85" s="630" t="str">
        <f>'Pricing Schedule'!B167</f>
        <v>Road Safety Audit:  Construction/Pre-opening</v>
      </c>
      <c r="C85" s="643"/>
      <c r="D85" s="750"/>
      <c r="E85" s="751"/>
      <c r="F85" s="751"/>
      <c r="G85" s="751"/>
      <c r="H85" s="752"/>
      <c r="I85" s="753"/>
      <c r="J85" s="751"/>
      <c r="K85" s="751"/>
      <c r="L85" s="751"/>
      <c r="M85" s="751"/>
      <c r="N85" s="752"/>
    </row>
    <row r="86" spans="1:14" ht="31.5" customHeight="1">
      <c r="A86" s="629"/>
      <c r="B86" s="630" t="str">
        <f>'Pricing Schedule'!B168</f>
        <v>(a)  Road Safety Audit</v>
      </c>
      <c r="C86" s="643" t="str">
        <f>'Pricing Schedule'!C168</f>
        <v>prime cost (PC)</v>
      </c>
      <c r="D86" s="651">
        <v>1</v>
      </c>
      <c r="E86" s="722">
        <f>D86</f>
        <v>1</v>
      </c>
      <c r="F86" s="855">
        <f>DATA!$CX$52</f>
        <v>0</v>
      </c>
      <c r="G86" s="854">
        <f>'Pg 4 P Sums'!K112-'C3.4'!F86</f>
        <v>0</v>
      </c>
      <c r="H86" s="632">
        <f>F86+G86</f>
        <v>0</v>
      </c>
      <c r="I86" s="733">
        <f>'Pricing Schedule'!F168</f>
        <v>500000</v>
      </c>
      <c r="J86" s="631">
        <f>D86*I86</f>
        <v>500000</v>
      </c>
      <c r="K86" s="631">
        <f>E86*I86</f>
        <v>500000</v>
      </c>
      <c r="L86" s="631">
        <f>F86*I86</f>
        <v>0</v>
      </c>
      <c r="M86" s="631">
        <f>G86*I86</f>
        <v>0</v>
      </c>
      <c r="N86" s="632">
        <f>H86*I86</f>
        <v>0</v>
      </c>
    </row>
    <row r="87" spans="1:14" ht="31.5" customHeight="1">
      <c r="A87" s="784"/>
      <c r="B87" s="630" t="str">
        <f>'Pricing Schedule'!B169</f>
        <v>(b)  Handling costs i.r.o. sub item 3.4.7(a)</v>
      </c>
      <c r="C87" s="643" t="str">
        <f>'Pricing Schedule'!C169</f>
        <v>lump sum  (LS)</v>
      </c>
      <c r="D87" s="651">
        <v>1</v>
      </c>
      <c r="E87" s="1058">
        <v>1</v>
      </c>
      <c r="F87" s="855">
        <f>DATA!$CY$52</f>
        <v>0</v>
      </c>
      <c r="G87" s="722"/>
      <c r="H87" s="632">
        <f>F87+G87</f>
        <v>0</v>
      </c>
      <c r="I87" s="733">
        <f>'Pricing Schedule'!F169</f>
        <v>0</v>
      </c>
      <c r="J87" s="631">
        <f>D87*I87</f>
        <v>0</v>
      </c>
      <c r="K87" s="631">
        <f>E87*I87</f>
        <v>0</v>
      </c>
      <c r="L87" s="631">
        <f>F87*I87</f>
        <v>0</v>
      </c>
      <c r="M87" s="631">
        <f>G87*I87</f>
        <v>0</v>
      </c>
      <c r="N87" s="632">
        <f>H87*I87</f>
        <v>0</v>
      </c>
    </row>
    <row r="88" spans="1:14" ht="31.5" customHeight="1">
      <c r="A88" s="784" t="str">
        <f>'Pricing Schedule'!A170</f>
        <v>3.4.8</v>
      </c>
      <c r="B88" s="630" t="str">
        <f>'Pricing Schedule'!B170</f>
        <v>Occupational Health and Safety requirements</v>
      </c>
      <c r="C88" s="643" t="str">
        <f>'Pricing Schedule'!C170</f>
        <v>lump sum (LS)</v>
      </c>
      <c r="D88" s="651">
        <v>1</v>
      </c>
      <c r="E88" s="1058">
        <v>1</v>
      </c>
      <c r="F88" s="855">
        <f>DATA!$CZ$52</f>
        <v>0</v>
      </c>
      <c r="G88" s="722"/>
      <c r="H88" s="632">
        <f>F88+G88</f>
        <v>0</v>
      </c>
      <c r="I88" s="733">
        <f>'Pricing Schedule'!F170</f>
        <v>0</v>
      </c>
      <c r="J88" s="631">
        <f>D88*I88</f>
        <v>0</v>
      </c>
      <c r="K88" s="631">
        <f>E88*I88</f>
        <v>0</v>
      </c>
      <c r="L88" s="631">
        <f>F88*I88</f>
        <v>0</v>
      </c>
      <c r="M88" s="631">
        <f>G88*I88</f>
        <v>0</v>
      </c>
      <c r="N88" s="632">
        <f>H88*I88</f>
        <v>0</v>
      </c>
    </row>
    <row r="89" spans="1:14" ht="31.5" customHeight="1">
      <c r="A89" s="629" t="str">
        <f>'Pricing Schedule'!A171</f>
        <v>3.4.9</v>
      </c>
      <c r="B89" s="630" t="str">
        <f>'Pricing Schedule'!B171</f>
        <v>Training</v>
      </c>
      <c r="C89" s="643"/>
      <c r="D89" s="750"/>
      <c r="E89" s="751"/>
      <c r="F89" s="751"/>
      <c r="G89" s="751"/>
      <c r="H89" s="752"/>
      <c r="I89" s="753"/>
      <c r="J89" s="751"/>
      <c r="K89" s="751"/>
      <c r="L89" s="751"/>
      <c r="M89" s="751"/>
      <c r="N89" s="752"/>
    </row>
    <row r="90" spans="1:14" ht="31.5" customHeight="1">
      <c r="A90" s="629"/>
      <c r="B90" s="630" t="str">
        <f>'Pricing Schedule'!B172</f>
        <v>(a)   Service Provider’s staff and Targeted Enterprises:</v>
      </c>
      <c r="C90" s="643"/>
      <c r="D90" s="750"/>
      <c r="E90" s="751"/>
      <c r="F90" s="751"/>
      <c r="G90" s="751"/>
      <c r="H90" s="752"/>
      <c r="I90" s="753"/>
      <c r="J90" s="751"/>
      <c r="K90" s="751"/>
      <c r="L90" s="751"/>
      <c r="M90" s="751"/>
      <c r="N90" s="752"/>
    </row>
    <row r="91" spans="1:14" ht="31.5" customHeight="1">
      <c r="A91" s="629"/>
      <c r="B91" s="630" t="str">
        <f>'Pricing Schedule'!B173</f>
        <v>(i)   Assistant Project Leader (APL)</v>
      </c>
      <c r="C91" s="643" t="str">
        <f>'Pricing Schedule'!C173</f>
        <v>provisional sum (PS)</v>
      </c>
      <c r="D91" s="651">
        <v>1</v>
      </c>
      <c r="E91" s="722">
        <f>D91</f>
        <v>1</v>
      </c>
      <c r="F91" s="855">
        <f>DATA!$DA$52</f>
        <v>0</v>
      </c>
      <c r="G91" s="722"/>
      <c r="H91" s="632">
        <f>F91+G91</f>
        <v>0</v>
      </c>
      <c r="I91" s="733">
        <f>'Pricing Schedule'!F173</f>
        <v>500000</v>
      </c>
      <c r="J91" s="631">
        <f>D91*I91</f>
        <v>500000</v>
      </c>
      <c r="K91" s="631">
        <f>E91*I91</f>
        <v>500000</v>
      </c>
      <c r="L91" s="631">
        <f>F91*I91</f>
        <v>0</v>
      </c>
      <c r="M91" s="631">
        <f>G91*I91</f>
        <v>0</v>
      </c>
      <c r="N91" s="632">
        <f>H91*I91</f>
        <v>0</v>
      </c>
    </row>
    <row r="92" spans="1:14" ht="31.5" customHeight="1">
      <c r="A92" s="629"/>
      <c r="B92" s="630" t="str">
        <f>'Pricing Schedule'!B174</f>
        <v>(ii)  Assistant Design Specialist(s) (ADS)</v>
      </c>
      <c r="C92" s="643" t="str">
        <f>'Pricing Schedule'!C174</f>
        <v>provisional sum (PS)</v>
      </c>
      <c r="D92" s="651">
        <v>1</v>
      </c>
      <c r="E92" s="722">
        <f t="shared" ref="E92:E93" si="12">D92</f>
        <v>1</v>
      </c>
      <c r="F92" s="855">
        <f>DATA!$DB$52</f>
        <v>0</v>
      </c>
      <c r="G92" s="722"/>
      <c r="H92" s="632">
        <f>F92+G92</f>
        <v>0</v>
      </c>
      <c r="I92" s="733">
        <f>'Pricing Schedule'!F174</f>
        <v>1000000</v>
      </c>
      <c r="J92" s="631">
        <f>D92*I92</f>
        <v>1000000</v>
      </c>
      <c r="K92" s="631">
        <f>E92*I92</f>
        <v>1000000</v>
      </c>
      <c r="L92" s="631">
        <f>F92*I92</f>
        <v>0</v>
      </c>
      <c r="M92" s="631">
        <f>G92*I92</f>
        <v>0</v>
      </c>
      <c r="N92" s="632">
        <f>H92*I92</f>
        <v>0</v>
      </c>
    </row>
    <row r="93" spans="1:14" ht="31.5" customHeight="1">
      <c r="A93" s="629"/>
      <c r="B93" s="630" t="str">
        <f>'Pricing Schedule'!B175</f>
        <v>(iii)  Disbursements</v>
      </c>
      <c r="C93" s="643" t="str">
        <f>'Pricing Schedule'!C175</f>
        <v>prime cost (PC)</v>
      </c>
      <c r="D93" s="651">
        <v>1</v>
      </c>
      <c r="E93" s="722">
        <f t="shared" si="12"/>
        <v>1</v>
      </c>
      <c r="F93" s="855">
        <f>DATA!$DC$52</f>
        <v>0</v>
      </c>
      <c r="G93" s="854">
        <f>'Pg 4 P Sums'!K122-'C3.4'!F93</f>
        <v>0</v>
      </c>
      <c r="H93" s="632">
        <f>F93+G93</f>
        <v>0</v>
      </c>
      <c r="I93" s="733">
        <f>'Pricing Schedule'!F175</f>
        <v>150000</v>
      </c>
      <c r="J93" s="631">
        <f>D93*I93</f>
        <v>150000</v>
      </c>
      <c r="K93" s="631">
        <f>E93*I93</f>
        <v>150000</v>
      </c>
      <c r="L93" s="631">
        <f>F93*I93</f>
        <v>0</v>
      </c>
      <c r="M93" s="631">
        <f>G93*I93</f>
        <v>0</v>
      </c>
      <c r="N93" s="632">
        <f>H93*I93</f>
        <v>0</v>
      </c>
    </row>
    <row r="94" spans="1:14" ht="31.5" customHeight="1">
      <c r="A94" s="629"/>
      <c r="B94" s="630" t="str">
        <f>'Pricing Schedule'!B176</f>
        <v>(b)   Employer’s Trainees:</v>
      </c>
      <c r="C94" s="643"/>
      <c r="D94" s="750"/>
      <c r="E94" s="751"/>
      <c r="F94" s="751"/>
      <c r="G94" s="751"/>
      <c r="H94" s="752"/>
      <c r="I94" s="753"/>
      <c r="J94" s="751"/>
      <c r="K94" s="751"/>
      <c r="L94" s="751"/>
      <c r="M94" s="751"/>
      <c r="N94" s="752"/>
    </row>
    <row r="95" spans="1:14" ht="31.5" customHeight="1">
      <c r="A95" s="784"/>
      <c r="B95" s="630" t="str">
        <f>'Pricing Schedule'!B177</f>
        <v>(i)   Candidate engineers</v>
      </c>
      <c r="C95" s="643" t="str">
        <f>'Pricing Schedule'!C177</f>
        <v>person month</v>
      </c>
      <c r="D95" s="651">
        <f>'Pricing Schedule'!D177</f>
        <v>36</v>
      </c>
      <c r="E95" s="722">
        <f>D95</f>
        <v>36</v>
      </c>
      <c r="F95" s="855">
        <f>DATA!$KC$52</f>
        <v>0</v>
      </c>
      <c r="G95" s="722"/>
      <c r="H95" s="632">
        <f>F95+G95</f>
        <v>0</v>
      </c>
      <c r="I95" s="733">
        <f>'Pricing Schedule'!E177</f>
        <v>0</v>
      </c>
      <c r="J95" s="631">
        <f>D95*I95</f>
        <v>0</v>
      </c>
      <c r="K95" s="631">
        <f>E95*I95</f>
        <v>0</v>
      </c>
      <c r="L95" s="631">
        <f>F95*I95</f>
        <v>0</v>
      </c>
      <c r="M95" s="631">
        <f>G95*I95</f>
        <v>0</v>
      </c>
      <c r="N95" s="632">
        <f>H95*I95</f>
        <v>0</v>
      </c>
    </row>
    <row r="96" spans="1:14" ht="31.5" customHeight="1">
      <c r="A96" s="784"/>
      <c r="B96" s="630" t="str">
        <f>'Pricing Schedule'!B178</f>
        <v>(ii)  Students experiential training</v>
      </c>
      <c r="C96" s="643" t="str">
        <f>'Pricing Schedule'!C178</f>
        <v>person month</v>
      </c>
      <c r="D96" s="651">
        <f>'Pricing Schedule'!D178</f>
        <v>48</v>
      </c>
      <c r="E96" s="722">
        <f t="shared" ref="E96:E97" si="13">D96</f>
        <v>48</v>
      </c>
      <c r="F96" s="855">
        <f>DATA!$KD$52</f>
        <v>0</v>
      </c>
      <c r="G96" s="722"/>
      <c r="H96" s="632">
        <f>F96+G96</f>
        <v>0</v>
      </c>
      <c r="I96" s="733">
        <f>'Pricing Schedule'!E178</f>
        <v>0</v>
      </c>
      <c r="J96" s="631">
        <f t="shared" ref="J96:J97" si="14">D96*I96</f>
        <v>0</v>
      </c>
      <c r="K96" s="631">
        <f t="shared" ref="K96:K97" si="15">E96*I96</f>
        <v>0</v>
      </c>
      <c r="L96" s="631">
        <f t="shared" ref="L96:L97" si="16">F96*I96</f>
        <v>0</v>
      </c>
      <c r="M96" s="631">
        <f t="shared" ref="M96:M97" si="17">G96*I96</f>
        <v>0</v>
      </c>
      <c r="N96" s="632">
        <f t="shared" ref="N96:N97" si="18">H96*I96</f>
        <v>0</v>
      </c>
    </row>
    <row r="97" spans="1:14" ht="31.5" customHeight="1">
      <c r="A97" s="629"/>
      <c r="B97" s="630" t="str">
        <f>'Pricing Schedule'!B179</f>
        <v>(iii)  Student stipend</v>
      </c>
      <c r="C97" s="643" t="str">
        <f>'Pricing Schedule'!C179</f>
        <v>provisional sum (PS)</v>
      </c>
      <c r="D97" s="651">
        <v>1</v>
      </c>
      <c r="E97" s="722">
        <f t="shared" si="13"/>
        <v>1</v>
      </c>
      <c r="F97" s="855">
        <f>DATA!$KE$52</f>
        <v>0</v>
      </c>
      <c r="G97" s="854">
        <f>'Pg 4 P Sums'!K131-'C3.4'!F97</f>
        <v>0</v>
      </c>
      <c r="H97" s="632">
        <f>F97+G97</f>
        <v>0</v>
      </c>
      <c r="I97" s="733">
        <f>'Pricing Schedule'!F179</f>
        <v>500000</v>
      </c>
      <c r="J97" s="631">
        <f t="shared" si="14"/>
        <v>500000</v>
      </c>
      <c r="K97" s="631">
        <f t="shared" si="15"/>
        <v>500000</v>
      </c>
      <c r="L97" s="631">
        <f t="shared" si="16"/>
        <v>0</v>
      </c>
      <c r="M97" s="631">
        <f t="shared" si="17"/>
        <v>0</v>
      </c>
      <c r="N97" s="632">
        <f t="shared" si="18"/>
        <v>0</v>
      </c>
    </row>
    <row r="98" spans="1:14" ht="31.5" customHeight="1">
      <c r="A98" s="629" t="str">
        <f>'Pricing Schedule'!A180</f>
        <v>3.4.10</v>
      </c>
      <c r="B98" s="630" t="str">
        <f>'Pricing Schedule'!B180</f>
        <v>Phase / Stage discontinuity</v>
      </c>
      <c r="C98" s="643"/>
      <c r="D98" s="750"/>
      <c r="E98" s="751"/>
      <c r="F98" s="751"/>
      <c r="G98" s="751"/>
      <c r="H98" s="752"/>
      <c r="I98" s="753"/>
      <c r="J98" s="751"/>
      <c r="K98" s="751"/>
      <c r="L98" s="751"/>
      <c r="M98" s="751"/>
      <c r="N98" s="752"/>
    </row>
    <row r="99" spans="1:14" ht="31.5" customHeight="1">
      <c r="A99" s="784"/>
      <c r="B99" s="630" t="str">
        <f>'Pricing Schedule'!B181</f>
        <v>(a)   Review of previous phase / stage</v>
      </c>
      <c r="C99" s="643" t="str">
        <f>'Pricing Schedule'!C181</f>
        <v>lump sum (LS)</v>
      </c>
      <c r="D99" s="651">
        <v>1</v>
      </c>
      <c r="E99" s="1058">
        <v>1</v>
      </c>
      <c r="F99" s="855">
        <f>DATA!$DD$52</f>
        <v>0</v>
      </c>
      <c r="G99" s="722"/>
      <c r="H99" s="632">
        <f>F99+G99</f>
        <v>0</v>
      </c>
      <c r="I99" s="733">
        <f>'Pricing Schedule'!F181</f>
        <v>0</v>
      </c>
      <c r="J99" s="631">
        <f>D99*I99</f>
        <v>0</v>
      </c>
      <c r="K99" s="631">
        <f>E99*I99</f>
        <v>0</v>
      </c>
      <c r="L99" s="631">
        <f>F99*I99</f>
        <v>0</v>
      </c>
      <c r="M99" s="631">
        <f>G99*I99</f>
        <v>0</v>
      </c>
      <c r="N99" s="632">
        <f>H99*I99</f>
        <v>0</v>
      </c>
    </row>
    <row r="100" spans="1:14" ht="31.5" customHeight="1">
      <c r="A100" s="629"/>
      <c r="B100" s="630" t="str">
        <f>'Pricing Schedule'!B182</f>
        <v>(b)   Review of tender documentation by original designer</v>
      </c>
      <c r="C100" s="643" t="str">
        <f>'Pricing Schedule'!C182</f>
        <v>prime cost (PC)</v>
      </c>
      <c r="D100" s="651">
        <v>1</v>
      </c>
      <c r="E100" s="722">
        <f t="shared" ref="E100:E101" si="19">D100</f>
        <v>1</v>
      </c>
      <c r="F100" s="855">
        <f>DATA!$DE$52</f>
        <v>0</v>
      </c>
      <c r="G100" s="854">
        <f>'Pg 4 P Sums'!K140-'C3.4'!F100</f>
        <v>0</v>
      </c>
      <c r="H100" s="632">
        <f>F100+G100</f>
        <v>0</v>
      </c>
      <c r="I100" s="733">
        <f>'Pricing Schedule'!F182</f>
        <v>0</v>
      </c>
      <c r="J100" s="631">
        <f>D100*I100</f>
        <v>0</v>
      </c>
      <c r="K100" s="631">
        <f>E100*I100</f>
        <v>0</v>
      </c>
      <c r="L100" s="631">
        <f>F100*I100</f>
        <v>0</v>
      </c>
      <c r="M100" s="631">
        <f>G100*I100</f>
        <v>0</v>
      </c>
      <c r="N100" s="632">
        <f>H100*I100</f>
        <v>0</v>
      </c>
    </row>
    <row r="101" spans="1:14" ht="31.5" customHeight="1">
      <c r="A101" s="629"/>
      <c r="B101" s="630" t="str">
        <f>'Pricing Schedule'!B183</f>
        <v>(c)   Visit to construction site by original designer</v>
      </c>
      <c r="C101" s="643" t="str">
        <f>'Pricing Schedule'!C183</f>
        <v>prime cost (PC)</v>
      </c>
      <c r="D101" s="651">
        <v>1</v>
      </c>
      <c r="E101" s="722">
        <f t="shared" si="19"/>
        <v>1</v>
      </c>
      <c r="F101" s="855">
        <f>DATA!$DF$52</f>
        <v>0</v>
      </c>
      <c r="G101" s="854">
        <f>'Pg 4 P Sums'!K148-'C3.4'!F101</f>
        <v>0</v>
      </c>
      <c r="H101" s="632">
        <f>F101+G101</f>
        <v>0</v>
      </c>
      <c r="I101" s="733">
        <f>'Pricing Schedule'!F183</f>
        <v>0</v>
      </c>
      <c r="J101" s="631">
        <f>D101*I101</f>
        <v>0</v>
      </c>
      <c r="K101" s="631">
        <f>E101*I101</f>
        <v>0</v>
      </c>
      <c r="L101" s="631">
        <f>F101*I101</f>
        <v>0</v>
      </c>
      <c r="M101" s="631">
        <f>G101*I101</f>
        <v>0</v>
      </c>
      <c r="N101" s="632">
        <f>H101*I101</f>
        <v>0</v>
      </c>
    </row>
    <row r="102" spans="1:14" ht="31.5" customHeight="1">
      <c r="A102" s="629"/>
      <c r="B102" s="630" t="str">
        <f>'Pricing Schedule'!B184</f>
        <v>(d)   Handling cost i.r.o. sub-items 3.4.10(b) and 3.4.10(c)</v>
      </c>
      <c r="C102" s="643" t="str">
        <f>'Pricing Schedule'!C184</f>
        <v>percentage (%)</v>
      </c>
      <c r="D102" s="651">
        <f>'Pricing Schedule'!D184</f>
        <v>0</v>
      </c>
      <c r="E102" s="631">
        <f>K100+K101</f>
        <v>0</v>
      </c>
      <c r="F102" s="631">
        <f t="shared" ref="F102:G102" si="20">L100+L101</f>
        <v>0</v>
      </c>
      <c r="G102" s="631">
        <f t="shared" si="20"/>
        <v>0</v>
      </c>
      <c r="H102" s="632">
        <f>F102+G102</f>
        <v>0</v>
      </c>
      <c r="I102" s="747">
        <f>'Pricing Schedule'!E184</f>
        <v>0</v>
      </c>
      <c r="J102" s="631">
        <f>D102*I102</f>
        <v>0</v>
      </c>
      <c r="K102" s="631">
        <f>E102*I102</f>
        <v>0</v>
      </c>
      <c r="L102" s="631">
        <f>F102*I102</f>
        <v>0</v>
      </c>
      <c r="M102" s="631">
        <f>G102*I102</f>
        <v>0</v>
      </c>
      <c r="N102" s="632">
        <f>H102*I102</f>
        <v>0</v>
      </c>
    </row>
    <row r="103" spans="1:14" ht="31.5" customHeight="1">
      <c r="A103" s="629" t="str">
        <f>'Pricing Schedule'!A185</f>
        <v>3.4.11</v>
      </c>
      <c r="B103" s="630" t="str">
        <f>'Pricing Schedule'!B185</f>
        <v>Field work for identification of material sources by service provider</v>
      </c>
      <c r="C103" s="643"/>
      <c r="D103" s="750"/>
      <c r="E103" s="751"/>
      <c r="F103" s="751"/>
      <c r="G103" s="751"/>
      <c r="H103" s="752"/>
      <c r="I103" s="882"/>
      <c r="J103" s="751"/>
      <c r="K103" s="751"/>
      <c r="L103" s="751"/>
      <c r="M103" s="751"/>
      <c r="N103" s="752"/>
    </row>
    <row r="104" spans="1:14" ht="31.5" customHeight="1">
      <c r="A104" s="629"/>
      <c r="B104" s="630" t="str">
        <f>'Pricing Schedule'!B186</f>
        <v>(a)  Personnel cost</v>
      </c>
      <c r="C104" s="643" t="str">
        <f>'Pricing Schedule'!C186</f>
        <v>provisional sum (PS)</v>
      </c>
      <c r="D104" s="750">
        <v>1</v>
      </c>
      <c r="E104" s="722">
        <f t="shared" ref="E104:E105" si="21">D104</f>
        <v>1</v>
      </c>
      <c r="F104" s="855">
        <f>DATA!$AK$52</f>
        <v>0</v>
      </c>
      <c r="G104" s="854">
        <f>'Pg 4 P Sums'!K157-'C3.4'!F104</f>
        <v>0</v>
      </c>
      <c r="H104" s="632">
        <f>F104+G104</f>
        <v>0</v>
      </c>
      <c r="I104" s="733">
        <f>'Pricing Schedule'!F186</f>
        <v>873432</v>
      </c>
      <c r="J104" s="631">
        <f>D104*I104</f>
        <v>873432</v>
      </c>
      <c r="K104" s="631">
        <f>E104*I104</f>
        <v>873432</v>
      </c>
      <c r="L104" s="631">
        <f>F104*I104</f>
        <v>0</v>
      </c>
      <c r="M104" s="631">
        <f>G104*I104</f>
        <v>0</v>
      </c>
      <c r="N104" s="632">
        <f>H104*I104</f>
        <v>0</v>
      </c>
    </row>
    <row r="105" spans="1:14" ht="31.5" customHeight="1">
      <c r="A105" s="629"/>
      <c r="B105" s="630" t="str">
        <f>'Pricing Schedule'!B187</f>
        <v>(b)  Disbursements</v>
      </c>
      <c r="C105" s="643" t="str">
        <f>'Pricing Schedule'!C187</f>
        <v>prime cost (PC)</v>
      </c>
      <c r="D105" s="750">
        <v>1</v>
      </c>
      <c r="E105" s="722">
        <f t="shared" si="21"/>
        <v>1</v>
      </c>
      <c r="F105" s="855">
        <f>DATA!$AL$52</f>
        <v>0</v>
      </c>
      <c r="G105" s="854">
        <f>'Pg 4 P Sums'!K165-'C3.4'!F105</f>
        <v>0</v>
      </c>
      <c r="H105" s="632">
        <f>F105+G105</f>
        <v>0</v>
      </c>
      <c r="I105" s="733">
        <f>'Pricing Schedule'!F187</f>
        <v>100000</v>
      </c>
      <c r="J105" s="631">
        <f>D105*I105</f>
        <v>100000</v>
      </c>
      <c r="K105" s="631">
        <f>E105*I105</f>
        <v>100000</v>
      </c>
      <c r="L105" s="631">
        <f>F105*I105</f>
        <v>0</v>
      </c>
      <c r="M105" s="631">
        <f>G105*I105</f>
        <v>0</v>
      </c>
      <c r="N105" s="632">
        <f>H105*I105</f>
        <v>0</v>
      </c>
    </row>
    <row r="106" spans="1:14" ht="31.5" customHeight="1">
      <c r="A106" s="629"/>
      <c r="B106" s="630" t="str">
        <f>'Pricing Schedule'!B188</f>
        <v>(c)  Handling cost i.r.o. sub-item 3.4.11(b)</v>
      </c>
      <c r="C106" s="643" t="str">
        <f>'Pricing Schedule'!C188</f>
        <v>percentage  (%)</v>
      </c>
      <c r="D106" s="651">
        <f>'Pricing Schedule'!D188</f>
        <v>100000</v>
      </c>
      <c r="E106" s="631">
        <f>K105</f>
        <v>100000</v>
      </c>
      <c r="F106" s="631">
        <f t="shared" ref="F106" si="22">L105</f>
        <v>0</v>
      </c>
      <c r="G106" s="631">
        <f t="shared" ref="G106" si="23">M105</f>
        <v>0</v>
      </c>
      <c r="H106" s="632">
        <f t="shared" ref="H106" si="24">F106+G106</f>
        <v>0</v>
      </c>
      <c r="I106" s="747">
        <f>'Pricing Schedule'!E188</f>
        <v>0</v>
      </c>
      <c r="J106" s="631">
        <f t="shared" ref="J106" si="25">D106*I106</f>
        <v>0</v>
      </c>
      <c r="K106" s="631">
        <f t="shared" ref="K106" si="26">E106*I106</f>
        <v>0</v>
      </c>
      <c r="L106" s="631">
        <f t="shared" ref="L106" si="27">F106*I106</f>
        <v>0</v>
      </c>
      <c r="M106" s="631">
        <f t="shared" ref="M106" si="28">G106*I106</f>
        <v>0</v>
      </c>
      <c r="N106" s="632">
        <f t="shared" ref="N106" si="29">H106*I106</f>
        <v>0</v>
      </c>
    </row>
    <row r="107" spans="1:14" ht="45.75" customHeight="1">
      <c r="A107" s="629" t="str">
        <f>'Pricing Schedule'!A189</f>
        <v>3.4.12</v>
      </c>
      <c r="B107" s="630" t="str">
        <f>'Pricing Schedule'!B189</f>
        <v>Investigation and sampling for roadbed, borrow pits, quarries, structure founding materials and other areas, e.g. Cuttings</v>
      </c>
      <c r="C107" s="643"/>
      <c r="D107" s="750"/>
      <c r="E107" s="751"/>
      <c r="F107" s="751"/>
      <c r="G107" s="751"/>
      <c r="H107" s="752"/>
      <c r="I107" s="753"/>
      <c r="J107" s="751"/>
      <c r="K107" s="751"/>
      <c r="L107" s="751"/>
      <c r="M107" s="751"/>
      <c r="N107" s="752"/>
    </row>
    <row r="108" spans="1:14" ht="31.5" customHeight="1">
      <c r="A108" s="784"/>
      <c r="B108" s="630" t="str">
        <f>'Pricing Schedule'!B190</f>
        <v>(a)   Establishment of personnel and equipment for test pitting</v>
      </c>
      <c r="C108" s="643" t="str">
        <f>'Pricing Schedule'!C190</f>
        <v>lump sum (LS)</v>
      </c>
      <c r="D108" s="651">
        <v>1</v>
      </c>
      <c r="E108" s="1058">
        <v>1</v>
      </c>
      <c r="F108" s="855">
        <f>DATA!$DG$52</f>
        <v>0</v>
      </c>
      <c r="G108" s="722"/>
      <c r="H108" s="632">
        <f t="shared" ref="H108:H113" si="30">F108+G108</f>
        <v>0</v>
      </c>
      <c r="I108" s="733">
        <f>'Pricing Schedule'!F190</f>
        <v>0</v>
      </c>
      <c r="J108" s="631">
        <f t="shared" ref="J108:J113" si="31">D108*I108</f>
        <v>0</v>
      </c>
      <c r="K108" s="631">
        <f t="shared" ref="K108:K113" si="32">E108*I108</f>
        <v>0</v>
      </c>
      <c r="L108" s="631">
        <f t="shared" ref="L108:L113" si="33">F108*I108</f>
        <v>0</v>
      </c>
      <c r="M108" s="631">
        <f t="shared" ref="M108:M113" si="34">G108*I108</f>
        <v>0</v>
      </c>
      <c r="N108" s="632">
        <f t="shared" ref="N108:N113" si="35">H108*I108</f>
        <v>0</v>
      </c>
    </row>
    <row r="109" spans="1:14" ht="31.5" customHeight="1">
      <c r="A109" s="629"/>
      <c r="B109" s="630" t="str">
        <f>'Pricing Schedule'!B191</f>
        <v>(b)   Hire and operation of excavator</v>
      </c>
      <c r="C109" s="643" t="str">
        <f>'Pricing Schedule'!C191</f>
        <v>prime cost (PC)</v>
      </c>
      <c r="D109" s="651">
        <v>1</v>
      </c>
      <c r="E109" s="722">
        <f>D109</f>
        <v>1</v>
      </c>
      <c r="F109" s="855">
        <f>DATA!$DH$52</f>
        <v>0</v>
      </c>
      <c r="G109" s="854">
        <f>'Pg 4 P Sums'!K174-'C3.4'!F109</f>
        <v>0</v>
      </c>
      <c r="H109" s="632">
        <f t="shared" si="30"/>
        <v>0</v>
      </c>
      <c r="I109" s="733">
        <f>'Pricing Schedule'!F191</f>
        <v>250000</v>
      </c>
      <c r="J109" s="631">
        <f t="shared" si="31"/>
        <v>250000</v>
      </c>
      <c r="K109" s="631">
        <f t="shared" si="32"/>
        <v>250000</v>
      </c>
      <c r="L109" s="631">
        <f t="shared" si="33"/>
        <v>0</v>
      </c>
      <c r="M109" s="631">
        <f t="shared" si="34"/>
        <v>0</v>
      </c>
      <c r="N109" s="632">
        <f t="shared" si="35"/>
        <v>0</v>
      </c>
    </row>
    <row r="110" spans="1:14" ht="31.5" customHeight="1">
      <c r="A110" s="629"/>
      <c r="B110" s="630" t="str">
        <f>'Pricing Schedule'!B192</f>
        <v>(c)   Handling costs in respect of 3.4.12(b)</v>
      </c>
      <c r="C110" s="643" t="str">
        <f>'Pricing Schedule'!C192</f>
        <v>percentage (%)</v>
      </c>
      <c r="D110" s="651">
        <f>'Pricing Schedule'!D192</f>
        <v>250000</v>
      </c>
      <c r="E110" s="631">
        <f>K109</f>
        <v>250000</v>
      </c>
      <c r="F110" s="631">
        <f t="shared" ref="F110:G110" si="36">L109</f>
        <v>0</v>
      </c>
      <c r="G110" s="631">
        <f t="shared" si="36"/>
        <v>0</v>
      </c>
      <c r="H110" s="632">
        <f t="shared" si="30"/>
        <v>0</v>
      </c>
      <c r="I110" s="747">
        <f>'Pricing Schedule'!E192</f>
        <v>0</v>
      </c>
      <c r="J110" s="631">
        <f t="shared" si="31"/>
        <v>0</v>
      </c>
      <c r="K110" s="631">
        <f t="shared" si="32"/>
        <v>0</v>
      </c>
      <c r="L110" s="631">
        <f t="shared" si="33"/>
        <v>0</v>
      </c>
      <c r="M110" s="631">
        <f t="shared" si="34"/>
        <v>0</v>
      </c>
      <c r="N110" s="632">
        <f t="shared" si="35"/>
        <v>0</v>
      </c>
    </row>
    <row r="111" spans="1:14" ht="31.5" customHeight="1">
      <c r="A111" s="784"/>
      <c r="B111" s="630" t="str">
        <f>'Pricing Schedule'!B193</f>
        <v>(d)   Test pit excavation by hand</v>
      </c>
      <c r="C111" s="643" t="str">
        <f>'Pricing Schedule'!C193</f>
        <v>number (No)</v>
      </c>
      <c r="D111" s="651">
        <f>'Pricing Schedule'!D193</f>
        <v>200</v>
      </c>
      <c r="E111" s="722">
        <f>D111</f>
        <v>200</v>
      </c>
      <c r="F111" s="855">
        <f>DATA!$DI$52</f>
        <v>0</v>
      </c>
      <c r="G111" s="722"/>
      <c r="H111" s="632">
        <f t="shared" si="30"/>
        <v>0</v>
      </c>
      <c r="I111" s="733">
        <f>'Pricing Schedule'!E193</f>
        <v>0</v>
      </c>
      <c r="J111" s="631">
        <f t="shared" si="31"/>
        <v>0</v>
      </c>
      <c r="K111" s="631">
        <f t="shared" si="32"/>
        <v>0</v>
      </c>
      <c r="L111" s="631">
        <f t="shared" si="33"/>
        <v>0</v>
      </c>
      <c r="M111" s="631">
        <f t="shared" si="34"/>
        <v>0</v>
      </c>
      <c r="N111" s="632">
        <f t="shared" si="35"/>
        <v>0</v>
      </c>
    </row>
    <row r="112" spans="1:14" ht="31.5" customHeight="1">
      <c r="A112" s="784"/>
      <c r="B112" s="630" t="str">
        <f>'Pricing Schedule'!B194</f>
        <v>(e)   Sampling and profiling of test pits</v>
      </c>
      <c r="C112" s="643" t="str">
        <f>'Pricing Schedule'!C194</f>
        <v>number (No)</v>
      </c>
      <c r="D112" s="651">
        <f>'Pricing Schedule'!D194</f>
        <v>500</v>
      </c>
      <c r="E112" s="722">
        <f t="shared" ref="E112:E113" si="37">D112</f>
        <v>500</v>
      </c>
      <c r="F112" s="855">
        <f>DATA!$DJ$52</f>
        <v>0</v>
      </c>
      <c r="G112" s="722"/>
      <c r="H112" s="632">
        <f t="shared" si="30"/>
        <v>0</v>
      </c>
      <c r="I112" s="733">
        <f>'Pricing Schedule'!E194</f>
        <v>0</v>
      </c>
      <c r="J112" s="631">
        <f t="shared" si="31"/>
        <v>0</v>
      </c>
      <c r="K112" s="631">
        <f t="shared" si="32"/>
        <v>0</v>
      </c>
      <c r="L112" s="631">
        <f t="shared" si="33"/>
        <v>0</v>
      </c>
      <c r="M112" s="631">
        <f t="shared" si="34"/>
        <v>0</v>
      </c>
      <c r="N112" s="632">
        <f t="shared" si="35"/>
        <v>0</v>
      </c>
    </row>
    <row r="113" spans="1:14" ht="31.5" customHeight="1">
      <c r="A113" s="784"/>
      <c r="B113" s="630" t="str">
        <f>'Pricing Schedule'!B195</f>
        <v>(f)    DCP</v>
      </c>
      <c r="C113" s="643" t="str">
        <f>'Pricing Schedule'!C195</f>
        <v>number (No)</v>
      </c>
      <c r="D113" s="651">
        <f>'Pricing Schedule'!D195</f>
        <v>711</v>
      </c>
      <c r="E113" s="722">
        <f t="shared" si="37"/>
        <v>711</v>
      </c>
      <c r="F113" s="855">
        <f>DATA!$DK$52</f>
        <v>0</v>
      </c>
      <c r="G113" s="722"/>
      <c r="H113" s="632">
        <f t="shared" si="30"/>
        <v>0</v>
      </c>
      <c r="I113" s="733">
        <f>'Pricing Schedule'!E195</f>
        <v>0</v>
      </c>
      <c r="J113" s="631">
        <f t="shared" si="31"/>
        <v>0</v>
      </c>
      <c r="K113" s="631">
        <f t="shared" si="32"/>
        <v>0</v>
      </c>
      <c r="L113" s="631">
        <f t="shared" si="33"/>
        <v>0</v>
      </c>
      <c r="M113" s="631">
        <f t="shared" si="34"/>
        <v>0</v>
      </c>
      <c r="N113" s="632">
        <f t="shared" si="35"/>
        <v>0</v>
      </c>
    </row>
    <row r="114" spans="1:14" ht="31.5" customHeight="1">
      <c r="A114" s="629"/>
      <c r="B114" s="630" t="str">
        <f>'Pricing Schedule'!B196</f>
        <v>(g)   Transport of samples to laboratory</v>
      </c>
      <c r="C114" s="643"/>
      <c r="D114" s="750"/>
      <c r="E114" s="751"/>
      <c r="F114" s="751"/>
      <c r="G114" s="751"/>
      <c r="H114" s="752"/>
      <c r="I114" s="753"/>
      <c r="J114" s="751"/>
      <c r="K114" s="751"/>
      <c r="L114" s="751"/>
      <c r="M114" s="751"/>
      <c r="N114" s="752"/>
    </row>
    <row r="115" spans="1:14" ht="31.5" customHeight="1">
      <c r="A115" s="784"/>
      <c r="B115" s="630" t="str">
        <f>'Pricing Schedule'!B197</f>
        <v xml:space="preserve">  (i) Large bags</v>
      </c>
      <c r="C115" s="643" t="str">
        <f>'Pricing Schedule'!C197</f>
        <v>number (No)</v>
      </c>
      <c r="D115" s="651">
        <f>'Pricing Schedule'!D197</f>
        <v>2150</v>
      </c>
      <c r="E115" s="722">
        <f>D115</f>
        <v>2150</v>
      </c>
      <c r="F115" s="855">
        <f>DATA!$DL$52</f>
        <v>0</v>
      </c>
      <c r="G115" s="722"/>
      <c r="H115" s="632">
        <f>F115+G115</f>
        <v>0</v>
      </c>
      <c r="I115" s="733">
        <f>'Pricing Schedule'!E197</f>
        <v>0</v>
      </c>
      <c r="J115" s="631">
        <f>D115*I115</f>
        <v>0</v>
      </c>
      <c r="K115" s="631">
        <f>E115*I115</f>
        <v>0</v>
      </c>
      <c r="L115" s="631">
        <f>F115*I115</f>
        <v>0</v>
      </c>
      <c r="M115" s="631">
        <f>G115*I115</f>
        <v>0</v>
      </c>
      <c r="N115" s="632">
        <f>H115*I115</f>
        <v>0</v>
      </c>
    </row>
    <row r="116" spans="1:14" ht="31.5" customHeight="1">
      <c r="A116" s="784"/>
      <c r="B116" s="630" t="str">
        <f>'Pricing Schedule'!B198</f>
        <v xml:space="preserve">  (ii) Small bags</v>
      </c>
      <c r="C116" s="643" t="str">
        <f>'Pricing Schedule'!C198</f>
        <v>number (No)</v>
      </c>
      <c r="D116" s="651">
        <f>'Pricing Schedule'!D198</f>
        <v>1000</v>
      </c>
      <c r="E116" s="722">
        <f>D116</f>
        <v>1000</v>
      </c>
      <c r="F116" s="855">
        <f>DATA!$DM$52</f>
        <v>0</v>
      </c>
      <c r="G116" s="722"/>
      <c r="H116" s="632">
        <f>F116+G116</f>
        <v>0</v>
      </c>
      <c r="I116" s="733">
        <f>'Pricing Schedule'!E198</f>
        <v>0</v>
      </c>
      <c r="J116" s="631">
        <f>D116*I116</f>
        <v>0</v>
      </c>
      <c r="K116" s="631">
        <f>E116*I116</f>
        <v>0</v>
      </c>
      <c r="L116" s="631">
        <f>F116*I116</f>
        <v>0</v>
      </c>
      <c r="M116" s="631">
        <f>G116*I116</f>
        <v>0</v>
      </c>
      <c r="N116" s="632">
        <f>H116*I116</f>
        <v>0</v>
      </c>
    </row>
    <row r="117" spans="1:14" ht="31.5" customHeight="1">
      <c r="A117" s="629" t="str">
        <f>'Pricing Schedule'!A199</f>
        <v>3.4.13</v>
      </c>
      <c r="B117" s="630" t="str">
        <f>'Pricing Schedule'!B199</f>
        <v>Laboratory testing and reporting</v>
      </c>
      <c r="C117" s="643"/>
      <c r="D117" s="750"/>
      <c r="E117" s="751"/>
      <c r="F117" s="751"/>
      <c r="G117" s="751"/>
      <c r="H117" s="752"/>
      <c r="I117" s="753"/>
      <c r="J117" s="751"/>
      <c r="K117" s="751"/>
      <c r="L117" s="751"/>
      <c r="M117" s="751"/>
      <c r="N117" s="752"/>
    </row>
    <row r="118" spans="1:14" ht="31.5" customHeight="1">
      <c r="A118" s="629"/>
      <c r="B118" s="630" t="str">
        <f>'Pricing Schedule'!B200</f>
        <v>(a)   Standard tests</v>
      </c>
      <c r="C118" s="643"/>
      <c r="D118" s="651"/>
      <c r="E118" s="631"/>
      <c r="F118" s="631"/>
      <c r="G118" s="631"/>
      <c r="H118" s="632"/>
      <c r="I118" s="733"/>
      <c r="J118" s="631"/>
      <c r="K118" s="631"/>
      <c r="L118" s="631"/>
      <c r="M118" s="631"/>
      <c r="N118" s="632"/>
    </row>
    <row r="119" spans="1:14" ht="31.5" customHeight="1">
      <c r="A119" s="784"/>
      <c r="B119" s="630" t="str">
        <f>'Pricing Schedule'!B201</f>
        <v>(i) In-situ density</v>
      </c>
      <c r="C119" s="643" t="str">
        <f>'Pricing Schedule'!C201</f>
        <v>number (No)</v>
      </c>
      <c r="D119" s="651">
        <f>'Pricing Schedule'!D201</f>
        <v>1000</v>
      </c>
      <c r="E119" s="722">
        <f>D119</f>
        <v>1000</v>
      </c>
      <c r="F119" s="855">
        <f>DATA!$DN$52</f>
        <v>0</v>
      </c>
      <c r="G119" s="722"/>
      <c r="H119" s="632">
        <f t="shared" ref="H119:H148" si="38">F119+G119</f>
        <v>0</v>
      </c>
      <c r="I119" s="733">
        <f>'Pricing Schedule'!E201</f>
        <v>0</v>
      </c>
      <c r="J119" s="631">
        <f t="shared" ref="J119:J148" si="39">D119*I119</f>
        <v>0</v>
      </c>
      <c r="K119" s="631">
        <f t="shared" ref="K119:K148" si="40">E119*I119</f>
        <v>0</v>
      </c>
      <c r="L119" s="631">
        <f t="shared" ref="L119:L148" si="41">F119*I119</f>
        <v>0</v>
      </c>
      <c r="M119" s="631">
        <f t="shared" ref="M119:M148" si="42">G119*I119</f>
        <v>0</v>
      </c>
      <c r="N119" s="632">
        <f t="shared" ref="N119:N148" si="43">H119*I119</f>
        <v>0</v>
      </c>
    </row>
    <row r="120" spans="1:14" ht="31.5" customHeight="1">
      <c r="A120" s="784"/>
      <c r="B120" s="630" t="str">
        <f>'Pricing Schedule'!B202</f>
        <v>(ii)   Moisture content</v>
      </c>
      <c r="C120" s="643" t="str">
        <f>'Pricing Schedule'!C202</f>
        <v>number (No)</v>
      </c>
      <c r="D120" s="651">
        <f>'Pricing Schedule'!D202</f>
        <v>1000</v>
      </c>
      <c r="E120" s="722">
        <f t="shared" ref="E120:E147" si="44">D120</f>
        <v>1000</v>
      </c>
      <c r="F120" s="855">
        <f>DATA!$DO$52</f>
        <v>0</v>
      </c>
      <c r="G120" s="722"/>
      <c r="H120" s="632">
        <f t="shared" si="38"/>
        <v>0</v>
      </c>
      <c r="I120" s="733">
        <f>'Pricing Schedule'!E202</f>
        <v>0</v>
      </c>
      <c r="J120" s="631">
        <f t="shared" si="39"/>
        <v>0</v>
      </c>
      <c r="K120" s="631">
        <f t="shared" si="40"/>
        <v>0</v>
      </c>
      <c r="L120" s="631">
        <f t="shared" si="41"/>
        <v>0</v>
      </c>
      <c r="M120" s="631">
        <f t="shared" si="42"/>
        <v>0</v>
      </c>
      <c r="N120" s="632">
        <f t="shared" si="43"/>
        <v>0</v>
      </c>
    </row>
    <row r="121" spans="1:14" ht="31.5" customHeight="1">
      <c r="A121" s="784"/>
      <c r="B121" s="630" t="str">
        <f>'Pricing Schedule'!B203</f>
        <v>(iii)  Sieve analysis</v>
      </c>
      <c r="C121" s="643" t="str">
        <f>'Pricing Schedule'!C203</f>
        <v>number (No)</v>
      </c>
      <c r="D121" s="651">
        <f>'Pricing Schedule'!D203</f>
        <v>1000</v>
      </c>
      <c r="E121" s="722">
        <f t="shared" si="44"/>
        <v>1000</v>
      </c>
      <c r="F121" s="855">
        <f>DATA!$DP$52</f>
        <v>0</v>
      </c>
      <c r="G121" s="722"/>
      <c r="H121" s="632">
        <f t="shared" si="38"/>
        <v>0</v>
      </c>
      <c r="I121" s="733">
        <f>'Pricing Schedule'!E203</f>
        <v>0</v>
      </c>
      <c r="J121" s="631">
        <f t="shared" si="39"/>
        <v>0</v>
      </c>
      <c r="K121" s="631">
        <f t="shared" si="40"/>
        <v>0</v>
      </c>
      <c r="L121" s="631">
        <f t="shared" si="41"/>
        <v>0</v>
      </c>
      <c r="M121" s="631">
        <f t="shared" si="42"/>
        <v>0</v>
      </c>
      <c r="N121" s="632">
        <f t="shared" si="43"/>
        <v>0</v>
      </c>
    </row>
    <row r="122" spans="1:14" ht="31.5" customHeight="1">
      <c r="A122" s="784"/>
      <c r="B122" s="630" t="str">
        <f>'Pricing Schedule'!B204</f>
        <v xml:space="preserve">(iv)   Atterberg limits </v>
      </c>
      <c r="C122" s="643" t="str">
        <f>'Pricing Schedule'!C204</f>
        <v>number (No)</v>
      </c>
      <c r="D122" s="651">
        <f>'Pricing Schedule'!D204</f>
        <v>1000</v>
      </c>
      <c r="E122" s="722">
        <f t="shared" si="44"/>
        <v>1000</v>
      </c>
      <c r="F122" s="855">
        <f>DATA!$DQ$52</f>
        <v>0</v>
      </c>
      <c r="G122" s="722"/>
      <c r="H122" s="632">
        <f t="shared" si="38"/>
        <v>0</v>
      </c>
      <c r="I122" s="733">
        <f>'Pricing Schedule'!E204</f>
        <v>0</v>
      </c>
      <c r="J122" s="631">
        <f t="shared" si="39"/>
        <v>0</v>
      </c>
      <c r="K122" s="631">
        <f t="shared" si="40"/>
        <v>0</v>
      </c>
      <c r="L122" s="631">
        <f t="shared" si="41"/>
        <v>0</v>
      </c>
      <c r="M122" s="631">
        <f t="shared" si="42"/>
        <v>0</v>
      </c>
      <c r="N122" s="632">
        <f t="shared" si="43"/>
        <v>0</v>
      </c>
    </row>
    <row r="123" spans="1:14" ht="31.5" customHeight="1">
      <c r="A123" s="784"/>
      <c r="B123" s="630" t="str">
        <f>'Pricing Schedule'!B205</f>
        <v>(v)   M.D.D + OMC (Mod AASHTO) natural</v>
      </c>
      <c r="C123" s="643" t="str">
        <f>'Pricing Schedule'!C205</f>
        <v>number (No)</v>
      </c>
      <c r="D123" s="651">
        <f>'Pricing Schedule'!D205</f>
        <v>538</v>
      </c>
      <c r="E123" s="722">
        <f t="shared" si="44"/>
        <v>538</v>
      </c>
      <c r="F123" s="855">
        <f>DATA!$DR$52</f>
        <v>0</v>
      </c>
      <c r="G123" s="722"/>
      <c r="H123" s="632">
        <f t="shared" si="38"/>
        <v>0</v>
      </c>
      <c r="I123" s="733">
        <f>'Pricing Schedule'!E205</f>
        <v>0</v>
      </c>
      <c r="J123" s="631">
        <f t="shared" si="39"/>
        <v>0</v>
      </c>
      <c r="K123" s="631">
        <f t="shared" si="40"/>
        <v>0</v>
      </c>
      <c r="L123" s="631">
        <f t="shared" si="41"/>
        <v>0</v>
      </c>
      <c r="M123" s="631">
        <f t="shared" si="42"/>
        <v>0</v>
      </c>
      <c r="N123" s="632">
        <f t="shared" si="43"/>
        <v>0</v>
      </c>
    </row>
    <row r="124" spans="1:14" ht="31.5" customHeight="1">
      <c r="A124" s="784"/>
      <c r="B124" s="630" t="str">
        <f>'Pricing Schedule'!B206</f>
        <v>(vi)   M.D.D + OMC (Mod.AASHTO) stab.</v>
      </c>
      <c r="C124" s="643" t="str">
        <f>'Pricing Schedule'!C206</f>
        <v>number (No)</v>
      </c>
      <c r="D124" s="651">
        <f>'Pricing Schedule'!D206</f>
        <v>356</v>
      </c>
      <c r="E124" s="722">
        <f t="shared" si="44"/>
        <v>356</v>
      </c>
      <c r="F124" s="855">
        <f>DATA!$DS$52</f>
        <v>0</v>
      </c>
      <c r="G124" s="722"/>
      <c r="H124" s="632">
        <f t="shared" si="38"/>
        <v>0</v>
      </c>
      <c r="I124" s="733">
        <f>'Pricing Schedule'!E206</f>
        <v>0</v>
      </c>
      <c r="J124" s="631">
        <f t="shared" si="39"/>
        <v>0</v>
      </c>
      <c r="K124" s="631">
        <f t="shared" si="40"/>
        <v>0</v>
      </c>
      <c r="L124" s="631">
        <f t="shared" si="41"/>
        <v>0</v>
      </c>
      <c r="M124" s="631">
        <f t="shared" si="42"/>
        <v>0</v>
      </c>
      <c r="N124" s="632">
        <f t="shared" si="43"/>
        <v>0</v>
      </c>
    </row>
    <row r="125" spans="1:14" ht="31.5" customHeight="1">
      <c r="A125" s="784"/>
      <c r="B125" s="630" t="str">
        <f>'Pricing Schedule'!B207</f>
        <v>(vii)  CBR</v>
      </c>
      <c r="C125" s="643" t="str">
        <f>'Pricing Schedule'!C207</f>
        <v>number (No)</v>
      </c>
      <c r="D125" s="651">
        <f>'Pricing Schedule'!D207</f>
        <v>538</v>
      </c>
      <c r="E125" s="722">
        <f t="shared" si="44"/>
        <v>538</v>
      </c>
      <c r="F125" s="855">
        <f>DATA!$DT$52</f>
        <v>0</v>
      </c>
      <c r="G125" s="722"/>
      <c r="H125" s="632">
        <f t="shared" si="38"/>
        <v>0</v>
      </c>
      <c r="I125" s="733">
        <f>'Pricing Schedule'!E207</f>
        <v>0</v>
      </c>
      <c r="J125" s="631">
        <f t="shared" si="39"/>
        <v>0</v>
      </c>
      <c r="K125" s="631">
        <f t="shared" si="40"/>
        <v>0</v>
      </c>
      <c r="L125" s="631">
        <f t="shared" si="41"/>
        <v>0</v>
      </c>
      <c r="M125" s="631">
        <f t="shared" si="42"/>
        <v>0</v>
      </c>
      <c r="N125" s="632">
        <f t="shared" si="43"/>
        <v>0</v>
      </c>
    </row>
    <row r="126" spans="1:14" ht="31.5" customHeight="1">
      <c r="A126" s="784"/>
      <c r="B126" s="630" t="str">
        <f>'Pricing Schedule'!B208</f>
        <v>(viii)  ITS (stabilised) (set of 3)</v>
      </c>
      <c r="C126" s="643" t="str">
        <f>'Pricing Schedule'!C208</f>
        <v>number (No)</v>
      </c>
      <c r="D126" s="651">
        <f>'Pricing Schedule'!D208</f>
        <v>356</v>
      </c>
      <c r="E126" s="722">
        <f t="shared" si="44"/>
        <v>356</v>
      </c>
      <c r="F126" s="855">
        <f>DATA!$DU$52</f>
        <v>0</v>
      </c>
      <c r="G126" s="722"/>
      <c r="H126" s="632">
        <f t="shared" si="38"/>
        <v>0</v>
      </c>
      <c r="I126" s="733">
        <f>'Pricing Schedule'!E208</f>
        <v>0</v>
      </c>
      <c r="J126" s="631">
        <f t="shared" si="39"/>
        <v>0</v>
      </c>
      <c r="K126" s="631">
        <f t="shared" si="40"/>
        <v>0</v>
      </c>
      <c r="L126" s="631">
        <f t="shared" si="41"/>
        <v>0</v>
      </c>
      <c r="M126" s="631">
        <f t="shared" si="42"/>
        <v>0</v>
      </c>
      <c r="N126" s="632">
        <f t="shared" si="43"/>
        <v>0</v>
      </c>
    </row>
    <row r="127" spans="1:14" ht="31.5" customHeight="1">
      <c r="A127" s="784"/>
      <c r="B127" s="630" t="str">
        <f>'Pricing Schedule'!B209</f>
        <v>(ix)  UCS (stabilised) (set of 3)</v>
      </c>
      <c r="C127" s="643" t="str">
        <f>'Pricing Schedule'!C209</f>
        <v>number (No)</v>
      </c>
      <c r="D127" s="651">
        <f>'Pricing Schedule'!D209</f>
        <v>356</v>
      </c>
      <c r="E127" s="722">
        <f t="shared" si="44"/>
        <v>356</v>
      </c>
      <c r="F127" s="855">
        <f>DATA!$DV$52</f>
        <v>0</v>
      </c>
      <c r="G127" s="722"/>
      <c r="H127" s="632">
        <f t="shared" si="38"/>
        <v>0</v>
      </c>
      <c r="I127" s="733">
        <f>'Pricing Schedule'!E209</f>
        <v>0</v>
      </c>
      <c r="J127" s="631">
        <f t="shared" si="39"/>
        <v>0</v>
      </c>
      <c r="K127" s="631">
        <f t="shared" si="40"/>
        <v>0</v>
      </c>
      <c r="L127" s="631">
        <f t="shared" si="41"/>
        <v>0</v>
      </c>
      <c r="M127" s="631">
        <f t="shared" si="42"/>
        <v>0</v>
      </c>
      <c r="N127" s="632">
        <f t="shared" si="43"/>
        <v>0</v>
      </c>
    </row>
    <row r="128" spans="1:14" ht="31.5" customHeight="1">
      <c r="A128" s="784"/>
      <c r="B128" s="630" t="str">
        <f>'Pricing Schedule'!B210</f>
        <v>(x)  PH value</v>
      </c>
      <c r="C128" s="643" t="str">
        <f>'Pricing Schedule'!C210</f>
        <v>number (No)</v>
      </c>
      <c r="D128" s="651">
        <f>'Pricing Schedule'!D210</f>
        <v>500</v>
      </c>
      <c r="E128" s="722">
        <f t="shared" si="44"/>
        <v>500</v>
      </c>
      <c r="F128" s="855">
        <f>DATA!$DW$52</f>
        <v>0</v>
      </c>
      <c r="G128" s="722"/>
      <c r="H128" s="632">
        <f t="shared" si="38"/>
        <v>0</v>
      </c>
      <c r="I128" s="733">
        <f>'Pricing Schedule'!E210</f>
        <v>0</v>
      </c>
      <c r="J128" s="631">
        <f t="shared" si="39"/>
        <v>0</v>
      </c>
      <c r="K128" s="631">
        <f t="shared" si="40"/>
        <v>0</v>
      </c>
      <c r="L128" s="631">
        <f t="shared" si="41"/>
        <v>0</v>
      </c>
      <c r="M128" s="631">
        <f t="shared" si="42"/>
        <v>0</v>
      </c>
      <c r="N128" s="632">
        <f t="shared" si="43"/>
        <v>0</v>
      </c>
    </row>
    <row r="129" spans="1:14" ht="31.5" customHeight="1">
      <c r="A129" s="784"/>
      <c r="B129" s="630" t="str">
        <f>'Pricing Schedule'!B211</f>
        <v>(xi)  Wet/dry durability (150mm) (set of 3)</v>
      </c>
      <c r="C129" s="643" t="str">
        <f>'Pricing Schedule'!C211</f>
        <v>number (No)</v>
      </c>
      <c r="D129" s="651">
        <f>'Pricing Schedule'!D211</f>
        <v>89</v>
      </c>
      <c r="E129" s="722">
        <f t="shared" si="44"/>
        <v>89</v>
      </c>
      <c r="F129" s="855">
        <f>DATA!$DX$52</f>
        <v>0</v>
      </c>
      <c r="G129" s="722"/>
      <c r="H129" s="632">
        <f t="shared" si="38"/>
        <v>0</v>
      </c>
      <c r="I129" s="733">
        <f>'Pricing Schedule'!E211</f>
        <v>0</v>
      </c>
      <c r="J129" s="631">
        <f t="shared" si="39"/>
        <v>0</v>
      </c>
      <c r="K129" s="631">
        <f t="shared" si="40"/>
        <v>0</v>
      </c>
      <c r="L129" s="631">
        <f t="shared" si="41"/>
        <v>0</v>
      </c>
      <c r="M129" s="631">
        <f t="shared" si="42"/>
        <v>0</v>
      </c>
      <c r="N129" s="632">
        <f t="shared" si="43"/>
        <v>0</v>
      </c>
    </row>
    <row r="130" spans="1:14" ht="31.5" customHeight="1">
      <c r="A130" s="784"/>
      <c r="B130" s="630" t="str">
        <f>'Pricing Schedule'!B212</f>
        <v>(xii)  Initial consumption lime/cement (ICL)</v>
      </c>
      <c r="C130" s="643" t="str">
        <f>'Pricing Schedule'!C212</f>
        <v>number (No)</v>
      </c>
      <c r="D130" s="651">
        <f>'Pricing Schedule'!D212</f>
        <v>359</v>
      </c>
      <c r="E130" s="722">
        <f t="shared" si="44"/>
        <v>359</v>
      </c>
      <c r="F130" s="855">
        <f>DATA!$DY$52</f>
        <v>0</v>
      </c>
      <c r="G130" s="722"/>
      <c r="H130" s="632">
        <f t="shared" si="38"/>
        <v>0</v>
      </c>
      <c r="I130" s="733">
        <f>'Pricing Schedule'!E212</f>
        <v>0</v>
      </c>
      <c r="J130" s="631">
        <f t="shared" si="39"/>
        <v>0</v>
      </c>
      <c r="K130" s="631">
        <f t="shared" si="40"/>
        <v>0</v>
      </c>
      <c r="L130" s="631">
        <f t="shared" si="41"/>
        <v>0</v>
      </c>
      <c r="M130" s="631">
        <f t="shared" si="42"/>
        <v>0</v>
      </c>
      <c r="N130" s="632">
        <f t="shared" si="43"/>
        <v>0</v>
      </c>
    </row>
    <row r="131" spans="1:14" ht="31.5" customHeight="1">
      <c r="A131" s="784"/>
      <c r="B131" s="630" t="str">
        <f>'Pricing Schedule'!B213</f>
        <v>(xiii)   Ethylene glycol Durability Index</v>
      </c>
      <c r="C131" s="643" t="str">
        <f>'Pricing Schedule'!C213</f>
        <v>number (No)</v>
      </c>
      <c r="D131" s="651">
        <f>'Pricing Schedule'!D213</f>
        <v>67</v>
      </c>
      <c r="E131" s="722">
        <f t="shared" si="44"/>
        <v>67</v>
      </c>
      <c r="F131" s="855">
        <f>DATA!$DZ$52</f>
        <v>0</v>
      </c>
      <c r="G131" s="722"/>
      <c r="H131" s="632">
        <f t="shared" si="38"/>
        <v>0</v>
      </c>
      <c r="I131" s="733">
        <f>'Pricing Schedule'!E213</f>
        <v>0</v>
      </c>
      <c r="J131" s="631">
        <f t="shared" si="39"/>
        <v>0</v>
      </c>
      <c r="K131" s="631">
        <f t="shared" si="40"/>
        <v>0</v>
      </c>
      <c r="L131" s="631">
        <f t="shared" si="41"/>
        <v>0</v>
      </c>
      <c r="M131" s="631">
        <f t="shared" si="42"/>
        <v>0</v>
      </c>
      <c r="N131" s="632">
        <f t="shared" si="43"/>
        <v>0</v>
      </c>
    </row>
    <row r="132" spans="1:14" ht="31.5" customHeight="1">
      <c r="A132" s="784"/>
      <c r="B132" s="630" t="str">
        <f>'Pricing Schedule'!B214</f>
        <v>(xiv)  ACV</v>
      </c>
      <c r="C132" s="643" t="str">
        <f>'Pricing Schedule'!C214</f>
        <v>number (No)</v>
      </c>
      <c r="D132" s="651">
        <f>'Pricing Schedule'!D214</f>
        <v>100</v>
      </c>
      <c r="E132" s="722">
        <f t="shared" si="44"/>
        <v>100</v>
      </c>
      <c r="F132" s="855">
        <f>DATA!$EA$52</f>
        <v>0</v>
      </c>
      <c r="G132" s="722"/>
      <c r="H132" s="632">
        <f t="shared" si="38"/>
        <v>0</v>
      </c>
      <c r="I132" s="733">
        <f>'Pricing Schedule'!E214</f>
        <v>0</v>
      </c>
      <c r="J132" s="631">
        <f t="shared" si="39"/>
        <v>0</v>
      </c>
      <c r="K132" s="631">
        <f t="shared" si="40"/>
        <v>0</v>
      </c>
      <c r="L132" s="631">
        <f t="shared" si="41"/>
        <v>0</v>
      </c>
      <c r="M132" s="631">
        <f t="shared" si="42"/>
        <v>0</v>
      </c>
      <c r="N132" s="632">
        <f t="shared" si="43"/>
        <v>0</v>
      </c>
    </row>
    <row r="133" spans="1:14" ht="31.5" customHeight="1">
      <c r="A133" s="784"/>
      <c r="B133" s="630" t="str">
        <f>'Pricing Schedule'!B215</f>
        <v>(xv)  10% FACT (dry)</v>
      </c>
      <c r="C133" s="643" t="str">
        <f>'Pricing Schedule'!C215</f>
        <v>number (No)</v>
      </c>
      <c r="D133" s="651">
        <f>'Pricing Schedule'!D215</f>
        <v>100</v>
      </c>
      <c r="E133" s="722">
        <f t="shared" si="44"/>
        <v>100</v>
      </c>
      <c r="F133" s="855">
        <f>DATA!$EB$52</f>
        <v>0</v>
      </c>
      <c r="G133" s="722"/>
      <c r="H133" s="632">
        <f t="shared" si="38"/>
        <v>0</v>
      </c>
      <c r="I133" s="733">
        <f>'Pricing Schedule'!E215</f>
        <v>0</v>
      </c>
      <c r="J133" s="631">
        <f t="shared" si="39"/>
        <v>0</v>
      </c>
      <c r="K133" s="631">
        <f t="shared" si="40"/>
        <v>0</v>
      </c>
      <c r="L133" s="631">
        <f t="shared" si="41"/>
        <v>0</v>
      </c>
      <c r="M133" s="631">
        <f t="shared" si="42"/>
        <v>0</v>
      </c>
      <c r="N133" s="632">
        <f t="shared" si="43"/>
        <v>0</v>
      </c>
    </row>
    <row r="134" spans="1:14" ht="31.5" customHeight="1">
      <c r="A134" s="784"/>
      <c r="B134" s="630" t="str">
        <f>'Pricing Schedule'!B216</f>
        <v>(xvi) 10% Fact (wet)</v>
      </c>
      <c r="C134" s="643" t="str">
        <f>'Pricing Schedule'!C216</f>
        <v>number (No)</v>
      </c>
      <c r="D134" s="651">
        <f>'Pricing Schedule'!D216</f>
        <v>100</v>
      </c>
      <c r="E134" s="722">
        <f t="shared" si="44"/>
        <v>100</v>
      </c>
      <c r="F134" s="855">
        <f>DATA!$EC$52</f>
        <v>0</v>
      </c>
      <c r="G134" s="722"/>
      <c r="H134" s="632">
        <f t="shared" si="38"/>
        <v>0</v>
      </c>
      <c r="I134" s="733">
        <f>'Pricing Schedule'!E216</f>
        <v>0</v>
      </c>
      <c r="J134" s="631">
        <f t="shared" si="39"/>
        <v>0</v>
      </c>
      <c r="K134" s="631">
        <f t="shared" si="40"/>
        <v>0</v>
      </c>
      <c r="L134" s="631">
        <f t="shared" si="41"/>
        <v>0</v>
      </c>
      <c r="M134" s="631">
        <f t="shared" si="42"/>
        <v>0</v>
      </c>
      <c r="N134" s="632">
        <f t="shared" si="43"/>
        <v>0</v>
      </c>
    </row>
    <row r="135" spans="1:14" ht="31.5" customHeight="1">
      <c r="A135" s="784"/>
      <c r="B135" s="630" t="str">
        <f>'Pricing Schedule'!B217</f>
        <v>(xvii)  10% Fact (ethylene glycol)</v>
      </c>
      <c r="C135" s="643" t="str">
        <f>'Pricing Schedule'!C217</f>
        <v>number (No)</v>
      </c>
      <c r="D135" s="651">
        <f>'Pricing Schedule'!D217</f>
        <v>34</v>
      </c>
      <c r="E135" s="722">
        <f t="shared" si="44"/>
        <v>34</v>
      </c>
      <c r="F135" s="855">
        <f>DATA!$ED$52</f>
        <v>0</v>
      </c>
      <c r="G135" s="722"/>
      <c r="H135" s="632">
        <f t="shared" si="38"/>
        <v>0</v>
      </c>
      <c r="I135" s="733">
        <f>'Pricing Schedule'!E217</f>
        <v>0</v>
      </c>
      <c r="J135" s="631">
        <f t="shared" si="39"/>
        <v>0</v>
      </c>
      <c r="K135" s="631">
        <f t="shared" si="40"/>
        <v>0</v>
      </c>
      <c r="L135" s="631">
        <f t="shared" si="41"/>
        <v>0</v>
      </c>
      <c r="M135" s="631">
        <f t="shared" si="42"/>
        <v>0</v>
      </c>
      <c r="N135" s="632">
        <f t="shared" si="43"/>
        <v>0</v>
      </c>
    </row>
    <row r="136" spans="1:14" ht="31.5" customHeight="1">
      <c r="A136" s="784"/>
      <c r="B136" s="630" t="str">
        <f>'Pricing Schedule'!B218</f>
        <v>(xviii) Aggregate grading</v>
      </c>
      <c r="C136" s="643" t="str">
        <f>'Pricing Schedule'!C218</f>
        <v>number (No)</v>
      </c>
      <c r="D136" s="651">
        <f>'Pricing Schedule'!D218</f>
        <v>250</v>
      </c>
      <c r="E136" s="722">
        <f t="shared" si="44"/>
        <v>250</v>
      </c>
      <c r="F136" s="855">
        <f>DATA!$EE$52</f>
        <v>0</v>
      </c>
      <c r="G136" s="722"/>
      <c r="H136" s="632">
        <f t="shared" si="38"/>
        <v>0</v>
      </c>
      <c r="I136" s="733">
        <f>'Pricing Schedule'!E218</f>
        <v>0</v>
      </c>
      <c r="J136" s="631">
        <f t="shared" si="39"/>
        <v>0</v>
      </c>
      <c r="K136" s="631">
        <f t="shared" si="40"/>
        <v>0</v>
      </c>
      <c r="L136" s="631">
        <f t="shared" si="41"/>
        <v>0</v>
      </c>
      <c r="M136" s="631">
        <f t="shared" si="42"/>
        <v>0</v>
      </c>
      <c r="N136" s="632">
        <f t="shared" si="43"/>
        <v>0</v>
      </c>
    </row>
    <row r="137" spans="1:14" ht="31.5" customHeight="1">
      <c r="A137" s="784"/>
      <c r="B137" s="630" t="str">
        <f>'Pricing Schedule'!B219</f>
        <v>(xix) Aggregate Flakiness Index</v>
      </c>
      <c r="C137" s="643" t="str">
        <f>'Pricing Schedule'!C219</f>
        <v>number (No)</v>
      </c>
      <c r="D137" s="651">
        <f>'Pricing Schedule'!D219</f>
        <v>250</v>
      </c>
      <c r="E137" s="722">
        <f t="shared" si="44"/>
        <v>250</v>
      </c>
      <c r="F137" s="855">
        <f>DATA!$EF$52</f>
        <v>0</v>
      </c>
      <c r="G137" s="722"/>
      <c r="H137" s="632">
        <f t="shared" si="38"/>
        <v>0</v>
      </c>
      <c r="I137" s="733">
        <f>'Pricing Schedule'!E219</f>
        <v>0</v>
      </c>
      <c r="J137" s="631">
        <f t="shared" si="39"/>
        <v>0</v>
      </c>
      <c r="K137" s="631">
        <f t="shared" si="40"/>
        <v>0</v>
      </c>
      <c r="L137" s="631">
        <f t="shared" si="41"/>
        <v>0</v>
      </c>
      <c r="M137" s="631">
        <f t="shared" si="42"/>
        <v>0</v>
      </c>
      <c r="N137" s="632">
        <f t="shared" si="43"/>
        <v>0</v>
      </c>
    </row>
    <row r="138" spans="1:14" ht="31.5" customHeight="1">
      <c r="A138" s="784"/>
      <c r="B138" s="630" t="str">
        <f>'Pricing Schedule'!B220</f>
        <v>(xx) Aggregate Average Least Dimension</v>
      </c>
      <c r="C138" s="643" t="str">
        <f>'Pricing Schedule'!C220</f>
        <v>number (No)</v>
      </c>
      <c r="D138" s="651">
        <f>'Pricing Schedule'!D220</f>
        <v>250</v>
      </c>
      <c r="E138" s="722">
        <f t="shared" si="44"/>
        <v>250</v>
      </c>
      <c r="F138" s="855">
        <f>DATA!$EG$52</f>
        <v>0</v>
      </c>
      <c r="G138" s="722"/>
      <c r="H138" s="632">
        <f t="shared" si="38"/>
        <v>0</v>
      </c>
      <c r="I138" s="733">
        <f>'Pricing Schedule'!E220</f>
        <v>0</v>
      </c>
      <c r="J138" s="631">
        <f t="shared" si="39"/>
        <v>0</v>
      </c>
      <c r="K138" s="631">
        <f t="shared" si="40"/>
        <v>0</v>
      </c>
      <c r="L138" s="631">
        <f t="shared" si="41"/>
        <v>0</v>
      </c>
      <c r="M138" s="631">
        <f t="shared" si="42"/>
        <v>0</v>
      </c>
      <c r="N138" s="632">
        <f t="shared" si="43"/>
        <v>0</v>
      </c>
    </row>
    <row r="139" spans="1:14" ht="31.5" customHeight="1">
      <c r="A139" s="784"/>
      <c r="B139" s="630" t="str">
        <f>'Pricing Schedule'!B221</f>
        <v>(xxi) Polished Stone Value</v>
      </c>
      <c r="C139" s="643" t="str">
        <f>'Pricing Schedule'!C221</f>
        <v>number (No)</v>
      </c>
      <c r="D139" s="651">
        <f>'Pricing Schedule'!D221</f>
        <v>67</v>
      </c>
      <c r="E139" s="722">
        <f t="shared" si="44"/>
        <v>67</v>
      </c>
      <c r="F139" s="855">
        <f>DATA!$EH$52</f>
        <v>0</v>
      </c>
      <c r="G139" s="722"/>
      <c r="H139" s="632">
        <f t="shared" si="38"/>
        <v>0</v>
      </c>
      <c r="I139" s="733">
        <f>'Pricing Schedule'!E221</f>
        <v>0</v>
      </c>
      <c r="J139" s="631">
        <f t="shared" si="39"/>
        <v>0</v>
      </c>
      <c r="K139" s="631">
        <f t="shared" si="40"/>
        <v>0</v>
      </c>
      <c r="L139" s="631">
        <f t="shared" si="41"/>
        <v>0</v>
      </c>
      <c r="M139" s="631">
        <f t="shared" si="42"/>
        <v>0</v>
      </c>
      <c r="N139" s="632">
        <f t="shared" si="43"/>
        <v>0</v>
      </c>
    </row>
    <row r="140" spans="1:14" ht="31.5" customHeight="1">
      <c r="A140" s="784"/>
      <c r="B140" s="630" t="str">
        <f>'Pricing Schedule'!B222</f>
        <v>(xxii)  Sand Equivalent</v>
      </c>
      <c r="C140" s="643" t="str">
        <f>'Pricing Schedule'!C222</f>
        <v>number (No)</v>
      </c>
      <c r="D140" s="651">
        <f>'Pricing Schedule'!D222</f>
        <v>67</v>
      </c>
      <c r="E140" s="722">
        <f t="shared" si="44"/>
        <v>67</v>
      </c>
      <c r="F140" s="855">
        <f>DATA!$EI$52</f>
        <v>0</v>
      </c>
      <c r="G140" s="722"/>
      <c r="H140" s="632">
        <f t="shared" si="38"/>
        <v>0</v>
      </c>
      <c r="I140" s="733">
        <f>'Pricing Schedule'!E222</f>
        <v>0</v>
      </c>
      <c r="J140" s="631">
        <f t="shared" si="39"/>
        <v>0</v>
      </c>
      <c r="K140" s="631">
        <f t="shared" si="40"/>
        <v>0</v>
      </c>
      <c r="L140" s="631">
        <f t="shared" si="41"/>
        <v>0</v>
      </c>
      <c r="M140" s="631">
        <f t="shared" si="42"/>
        <v>0</v>
      </c>
      <c r="N140" s="632">
        <f t="shared" si="43"/>
        <v>0</v>
      </c>
    </row>
    <row r="141" spans="1:14" ht="31.5" customHeight="1">
      <c r="A141" s="784"/>
      <c r="B141" s="630" t="str">
        <f>'Pricing Schedule'!B223</f>
        <v>(xxiii) Bitumen content and grading</v>
      </c>
      <c r="C141" s="643" t="str">
        <f>'Pricing Schedule'!C223</f>
        <v>number (No)</v>
      </c>
      <c r="D141" s="651">
        <f>'Pricing Schedule'!D223</f>
        <v>0</v>
      </c>
      <c r="E141" s="722">
        <f t="shared" si="44"/>
        <v>0</v>
      </c>
      <c r="F141" s="855">
        <f>DATA!$EJ$52</f>
        <v>0</v>
      </c>
      <c r="G141" s="722"/>
      <c r="H141" s="632">
        <f t="shared" si="38"/>
        <v>0</v>
      </c>
      <c r="I141" s="733">
        <f>'Pricing Schedule'!E223</f>
        <v>0</v>
      </c>
      <c r="J141" s="631">
        <f t="shared" si="39"/>
        <v>0</v>
      </c>
      <c r="K141" s="631">
        <f t="shared" si="40"/>
        <v>0</v>
      </c>
      <c r="L141" s="631">
        <f t="shared" si="41"/>
        <v>0</v>
      </c>
      <c r="M141" s="631">
        <f t="shared" si="42"/>
        <v>0</v>
      </c>
      <c r="N141" s="632">
        <f t="shared" si="43"/>
        <v>0</v>
      </c>
    </row>
    <row r="142" spans="1:14" ht="31.5" customHeight="1">
      <c r="A142" s="784"/>
      <c r="B142" s="630" t="str">
        <f>'Pricing Schedule'!B224</f>
        <v>(xxiv) Asphalt void content (cores)</v>
      </c>
      <c r="C142" s="643" t="str">
        <f>'Pricing Schedule'!C224</f>
        <v>number (No)</v>
      </c>
      <c r="D142" s="651">
        <f>'Pricing Schedule'!D224</f>
        <v>0</v>
      </c>
      <c r="E142" s="722">
        <f t="shared" si="44"/>
        <v>0</v>
      </c>
      <c r="F142" s="855">
        <f>DATA!$EK$52</f>
        <v>0</v>
      </c>
      <c r="G142" s="722"/>
      <c r="H142" s="632">
        <f t="shared" si="38"/>
        <v>0</v>
      </c>
      <c r="I142" s="733">
        <f>'Pricing Schedule'!E224</f>
        <v>0</v>
      </c>
      <c r="J142" s="631">
        <f t="shared" si="39"/>
        <v>0</v>
      </c>
      <c r="K142" s="631">
        <f t="shared" si="40"/>
        <v>0</v>
      </c>
      <c r="L142" s="631">
        <f t="shared" si="41"/>
        <v>0</v>
      </c>
      <c r="M142" s="631">
        <f t="shared" si="42"/>
        <v>0</v>
      </c>
      <c r="N142" s="632">
        <f t="shared" si="43"/>
        <v>0</v>
      </c>
    </row>
    <row r="143" spans="1:14" ht="31.5" customHeight="1">
      <c r="A143" s="784"/>
      <c r="B143" s="630" t="str">
        <f>'Pricing Schedule'!B225</f>
        <v>(xxv)  Binder recovery (Absom)</v>
      </c>
      <c r="C143" s="643" t="str">
        <f>'Pricing Schedule'!C225</f>
        <v>number (No)</v>
      </c>
      <c r="D143" s="651">
        <f>'Pricing Schedule'!D225</f>
        <v>0</v>
      </c>
      <c r="E143" s="722">
        <f t="shared" si="44"/>
        <v>0</v>
      </c>
      <c r="F143" s="855">
        <f>DATA!$EL$52</f>
        <v>0</v>
      </c>
      <c r="G143" s="722"/>
      <c r="H143" s="632">
        <f t="shared" si="38"/>
        <v>0</v>
      </c>
      <c r="I143" s="733">
        <f>'Pricing Schedule'!E225</f>
        <v>0</v>
      </c>
      <c r="J143" s="631">
        <f t="shared" si="39"/>
        <v>0</v>
      </c>
      <c r="K143" s="631">
        <f t="shared" si="40"/>
        <v>0</v>
      </c>
      <c r="L143" s="631">
        <f t="shared" si="41"/>
        <v>0</v>
      </c>
      <c r="M143" s="631">
        <f t="shared" si="42"/>
        <v>0</v>
      </c>
      <c r="N143" s="632">
        <f t="shared" si="43"/>
        <v>0</v>
      </c>
    </row>
    <row r="144" spans="1:14" ht="31.5" customHeight="1">
      <c r="A144" s="784"/>
      <c r="B144" s="630" t="str">
        <f>'Pricing Schedule'!B226</f>
        <v>(xxvi) Bitumen penetration</v>
      </c>
      <c r="C144" s="643" t="str">
        <f>'Pricing Schedule'!C226</f>
        <v>number (No)</v>
      </c>
      <c r="D144" s="651">
        <f>'Pricing Schedule'!D226</f>
        <v>0</v>
      </c>
      <c r="E144" s="722">
        <f t="shared" si="44"/>
        <v>0</v>
      </c>
      <c r="F144" s="855">
        <f>DATA!$EM$52</f>
        <v>0</v>
      </c>
      <c r="G144" s="722"/>
      <c r="H144" s="632">
        <f t="shared" si="38"/>
        <v>0</v>
      </c>
      <c r="I144" s="733">
        <f>'Pricing Schedule'!E226</f>
        <v>0</v>
      </c>
      <c r="J144" s="631">
        <f t="shared" si="39"/>
        <v>0</v>
      </c>
      <c r="K144" s="631">
        <f t="shared" si="40"/>
        <v>0</v>
      </c>
      <c r="L144" s="631">
        <f t="shared" si="41"/>
        <v>0</v>
      </c>
      <c r="M144" s="631">
        <f t="shared" si="42"/>
        <v>0</v>
      </c>
      <c r="N144" s="632">
        <f t="shared" si="43"/>
        <v>0</v>
      </c>
    </row>
    <row r="145" spans="1:14" ht="31.5" customHeight="1">
      <c r="A145" s="784"/>
      <c r="B145" s="630" t="str">
        <f>'Pricing Schedule'!B227</f>
        <v>(xxvii) Bitumen softening point</v>
      </c>
      <c r="C145" s="643" t="str">
        <f>'Pricing Schedule'!C227</f>
        <v>number (No)</v>
      </c>
      <c r="D145" s="651">
        <f>'Pricing Schedule'!D227</f>
        <v>0</v>
      </c>
      <c r="E145" s="722">
        <f t="shared" si="44"/>
        <v>0</v>
      </c>
      <c r="F145" s="855">
        <f>DATA!$EN$52</f>
        <v>0</v>
      </c>
      <c r="G145" s="722"/>
      <c r="H145" s="632">
        <f t="shared" si="38"/>
        <v>0</v>
      </c>
      <c r="I145" s="733">
        <f>'Pricing Schedule'!E227</f>
        <v>0</v>
      </c>
      <c r="J145" s="631">
        <f t="shared" si="39"/>
        <v>0</v>
      </c>
      <c r="K145" s="631">
        <f t="shared" si="40"/>
        <v>0</v>
      </c>
      <c r="L145" s="631">
        <f t="shared" si="41"/>
        <v>0</v>
      </c>
      <c r="M145" s="631">
        <f t="shared" si="42"/>
        <v>0</v>
      </c>
      <c r="N145" s="632">
        <f t="shared" si="43"/>
        <v>0</v>
      </c>
    </row>
    <row r="146" spans="1:14" ht="31.5" customHeight="1">
      <c r="A146" s="784"/>
      <c r="B146" s="630" t="str">
        <f>'Pricing Schedule'!B228</f>
        <v>(xxviii)  Sand Patch</v>
      </c>
      <c r="C146" s="643" t="str">
        <f>'Pricing Schedule'!C228</f>
        <v>number (No)</v>
      </c>
      <c r="D146" s="651">
        <f>'Pricing Schedule'!D228</f>
        <v>0</v>
      </c>
      <c r="E146" s="722">
        <f t="shared" si="44"/>
        <v>0</v>
      </c>
      <c r="F146" s="855">
        <f>DATA!$EO$52</f>
        <v>0</v>
      </c>
      <c r="G146" s="722"/>
      <c r="H146" s="632">
        <f t="shared" si="38"/>
        <v>0</v>
      </c>
      <c r="I146" s="733">
        <f>'Pricing Schedule'!E228</f>
        <v>0</v>
      </c>
      <c r="J146" s="631">
        <f t="shared" si="39"/>
        <v>0</v>
      </c>
      <c r="K146" s="631">
        <f t="shared" si="40"/>
        <v>0</v>
      </c>
      <c r="L146" s="631">
        <f t="shared" si="41"/>
        <v>0</v>
      </c>
      <c r="M146" s="631">
        <f t="shared" si="42"/>
        <v>0</v>
      </c>
      <c r="N146" s="632">
        <f t="shared" si="43"/>
        <v>0</v>
      </c>
    </row>
    <row r="147" spans="1:14" ht="31.5" customHeight="1">
      <c r="A147" s="629"/>
      <c r="B147" s="630" t="str">
        <f>'Pricing Schedule'!B229</f>
        <v>(b)   Laboratory Testing where no schedule is available, or specialised testing</v>
      </c>
      <c r="C147" s="643" t="str">
        <f>'Pricing Schedule'!C229</f>
        <v>prime cost (PC)</v>
      </c>
      <c r="D147" s="651">
        <v>1</v>
      </c>
      <c r="E147" s="722">
        <f t="shared" si="44"/>
        <v>1</v>
      </c>
      <c r="F147" s="855">
        <f>DATA!$EP$52</f>
        <v>0</v>
      </c>
      <c r="G147" s="854">
        <f>'Pg 4 P Sums'!K183-'C3.4'!F147</f>
        <v>0</v>
      </c>
      <c r="H147" s="632">
        <f t="shared" si="38"/>
        <v>0</v>
      </c>
      <c r="I147" s="733">
        <f>'Pricing Schedule'!F229</f>
        <v>850000</v>
      </c>
      <c r="J147" s="631">
        <f t="shared" si="39"/>
        <v>850000</v>
      </c>
      <c r="K147" s="631">
        <f t="shared" si="40"/>
        <v>850000</v>
      </c>
      <c r="L147" s="631">
        <f t="shared" si="41"/>
        <v>0</v>
      </c>
      <c r="M147" s="631">
        <f t="shared" si="42"/>
        <v>0</v>
      </c>
      <c r="N147" s="632">
        <f t="shared" si="43"/>
        <v>0</v>
      </c>
    </row>
    <row r="148" spans="1:14" ht="31.5" customHeight="1">
      <c r="A148" s="629"/>
      <c r="B148" s="630" t="str">
        <f>'Pricing Schedule'!B230</f>
        <v>(c)   Handling costs i.r.o. pay item 3.4.13(b)</v>
      </c>
      <c r="C148" s="943" t="str">
        <f>'Pricing Schedule'!C230</f>
        <v>percentage (%)</v>
      </c>
      <c r="D148" s="651">
        <f>'Pricing Schedule'!D230</f>
        <v>850000</v>
      </c>
      <c r="E148" s="631">
        <f>K147</f>
        <v>850000</v>
      </c>
      <c r="F148" s="631">
        <f t="shared" ref="F148" si="45">L147</f>
        <v>0</v>
      </c>
      <c r="G148" s="631">
        <f t="shared" ref="G148" si="46">M147</f>
        <v>0</v>
      </c>
      <c r="H148" s="632">
        <f t="shared" si="38"/>
        <v>0</v>
      </c>
      <c r="I148" s="747">
        <f>'Pricing Schedule'!E230</f>
        <v>0</v>
      </c>
      <c r="J148" s="631">
        <f t="shared" si="39"/>
        <v>0</v>
      </c>
      <c r="K148" s="631">
        <f t="shared" si="40"/>
        <v>0</v>
      </c>
      <c r="L148" s="631">
        <f t="shared" si="41"/>
        <v>0</v>
      </c>
      <c r="M148" s="631">
        <f t="shared" si="42"/>
        <v>0</v>
      </c>
      <c r="N148" s="632">
        <f t="shared" si="43"/>
        <v>0</v>
      </c>
    </row>
    <row r="149" spans="1:14" ht="36.75" customHeight="1">
      <c r="A149" s="944" t="str">
        <f>'Pricing Schedule'!A231</f>
        <v>3.4.14</v>
      </c>
      <c r="B149" s="630" t="str">
        <f>'Pricing Schedule'!B231</f>
        <v>Protection, removal, realignment and replacement of services prior to construction phase</v>
      </c>
      <c r="C149" s="630"/>
      <c r="D149" s="939"/>
      <c r="E149" s="940"/>
      <c r="F149" s="940"/>
      <c r="G149" s="940"/>
      <c r="H149" s="941"/>
      <c r="I149" s="942"/>
      <c r="J149" s="940"/>
      <c r="K149" s="940"/>
      <c r="L149" s="940"/>
      <c r="M149" s="940"/>
      <c r="N149" s="941"/>
    </row>
    <row r="150" spans="1:14" ht="31.5" customHeight="1">
      <c r="A150" s="944"/>
      <c r="B150" s="630" t="str">
        <f>'Pricing Schedule'!B232</f>
        <v>(a)  Services</v>
      </c>
      <c r="C150" s="630" t="str">
        <f>'Pricing Schedule'!C232</f>
        <v>prime cost (PC)</v>
      </c>
      <c r="D150" s="651">
        <v>1</v>
      </c>
      <c r="E150" s="722">
        <f t="shared" ref="E150" si="47">D150</f>
        <v>1</v>
      </c>
      <c r="F150" s="855">
        <f>DATA!$JK$52</f>
        <v>0</v>
      </c>
      <c r="G150" s="854">
        <f>'Pg 4 P Sums'!K192-'C3.4'!F150</f>
        <v>0</v>
      </c>
      <c r="H150" s="632">
        <f t="shared" ref="H150" si="48">F150+G150</f>
        <v>0</v>
      </c>
      <c r="I150" s="733">
        <f>'Pricing Schedule'!F232</f>
        <v>4500000</v>
      </c>
      <c r="J150" s="631">
        <f t="shared" ref="J150" si="49">D150*I150</f>
        <v>4500000</v>
      </c>
      <c r="K150" s="631">
        <f t="shared" ref="K150" si="50">E150*I150</f>
        <v>4500000</v>
      </c>
      <c r="L150" s="631">
        <f t="shared" ref="L150" si="51">F150*I150</f>
        <v>0</v>
      </c>
      <c r="M150" s="631">
        <f t="shared" ref="M150" si="52">G150*I150</f>
        <v>0</v>
      </c>
      <c r="N150" s="632">
        <f t="shared" ref="N150" si="53">H150*I150</f>
        <v>0</v>
      </c>
    </row>
    <row r="151" spans="1:14" ht="31.5" customHeight="1">
      <c r="A151" s="944"/>
      <c r="B151" s="630" t="str">
        <f>'Pricing Schedule'!B233</f>
        <v>(b)  Handling costs i.r.o. pay item 3.4.14(a)</v>
      </c>
      <c r="C151" s="630" t="str">
        <f>'Pricing Schedule'!C233</f>
        <v>percentage (%)</v>
      </c>
      <c r="D151" s="651">
        <f>'Pricing Schedule'!D233</f>
        <v>4500000</v>
      </c>
      <c r="E151" s="631">
        <f>K150</f>
        <v>4500000</v>
      </c>
      <c r="F151" s="631">
        <f t="shared" ref="F151" si="54">L150</f>
        <v>0</v>
      </c>
      <c r="G151" s="631">
        <f t="shared" ref="G151" si="55">M150</f>
        <v>0</v>
      </c>
      <c r="H151" s="632">
        <f t="shared" ref="H151" si="56">F151+G151</f>
        <v>0</v>
      </c>
      <c r="I151" s="747">
        <f>'Pricing Schedule'!E233</f>
        <v>0</v>
      </c>
      <c r="J151" s="631">
        <f t="shared" ref="J151" si="57">D151*I151</f>
        <v>0</v>
      </c>
      <c r="K151" s="631">
        <f t="shared" ref="K151" si="58">E151*I151</f>
        <v>0</v>
      </c>
      <c r="L151" s="631">
        <f t="shared" ref="L151" si="59">F151*I151</f>
        <v>0</v>
      </c>
      <c r="M151" s="631">
        <f t="shared" ref="M151" si="60">G151*I151</f>
        <v>0</v>
      </c>
      <c r="N151" s="632">
        <f t="shared" ref="N151" si="61">H151*I151</f>
        <v>0</v>
      </c>
    </row>
    <row r="152" spans="1:14" ht="31.5" customHeight="1">
      <c r="A152" s="944" t="str">
        <f>'Pricing Schedule'!A234</f>
        <v>3.4.15</v>
      </c>
      <c r="B152" s="630" t="str">
        <f>'Pricing Schedule'!B234</f>
        <v>Employer’s Gateway Review Process</v>
      </c>
      <c r="C152" s="630"/>
      <c r="D152" s="939"/>
      <c r="E152" s="940"/>
      <c r="F152" s="940"/>
      <c r="G152" s="940"/>
      <c r="H152" s="941"/>
      <c r="I152" s="942"/>
      <c r="J152" s="940"/>
      <c r="K152" s="940"/>
      <c r="L152" s="940"/>
      <c r="M152" s="940"/>
      <c r="N152" s="941"/>
    </row>
    <row r="153" spans="1:14" ht="31.5" customHeight="1">
      <c r="A153" s="782"/>
      <c r="B153" s="630" t="str">
        <f>'Pricing Schedule'!B235</f>
        <v>(a)   Regional Gateway Review</v>
      </c>
      <c r="C153" s="630" t="str">
        <f>'Pricing Schedule'!C235</f>
        <v>lump sum (LS)</v>
      </c>
      <c r="D153" s="651">
        <v>1</v>
      </c>
      <c r="E153" s="1058">
        <v>1</v>
      </c>
      <c r="F153" s="855">
        <f>DATA!$KF$52</f>
        <v>0</v>
      </c>
      <c r="G153" s="722"/>
      <c r="H153" s="632">
        <f t="shared" ref="H153:H154" si="62">F153+G153</f>
        <v>0</v>
      </c>
      <c r="I153" s="733">
        <f>'Pricing Schedule'!F235</f>
        <v>0</v>
      </c>
      <c r="J153" s="631">
        <f t="shared" ref="J153:J154" si="63">D153*I153</f>
        <v>0</v>
      </c>
      <c r="K153" s="631">
        <f t="shared" ref="K153:K154" si="64">E153*I153</f>
        <v>0</v>
      </c>
      <c r="L153" s="631">
        <f t="shared" ref="L153:L154" si="65">F153*I153</f>
        <v>0</v>
      </c>
      <c r="M153" s="631">
        <f t="shared" ref="M153:M154" si="66">G153*I153</f>
        <v>0</v>
      </c>
      <c r="N153" s="632">
        <f t="shared" ref="N153:N154" si="67">H153*I153</f>
        <v>0</v>
      </c>
    </row>
    <row r="154" spans="1:14" ht="31.5" customHeight="1" thickBot="1">
      <c r="A154" s="782"/>
      <c r="B154" s="630" t="str">
        <f>'Pricing Schedule'!B236</f>
        <v>(b)   National Gateway Review</v>
      </c>
      <c r="C154" s="630" t="str">
        <f>'Pricing Schedule'!C236</f>
        <v>lump sum (LS)</v>
      </c>
      <c r="D154" s="651">
        <v>1</v>
      </c>
      <c r="E154" s="1058">
        <v>1</v>
      </c>
      <c r="F154" s="855">
        <f>DATA!$KG$52</f>
        <v>0</v>
      </c>
      <c r="G154" s="722"/>
      <c r="H154" s="632">
        <f t="shared" si="62"/>
        <v>0</v>
      </c>
      <c r="I154" s="733">
        <f>'Pricing Schedule'!F236</f>
        <v>0</v>
      </c>
      <c r="J154" s="631">
        <f t="shared" si="63"/>
        <v>0</v>
      </c>
      <c r="K154" s="631">
        <f t="shared" si="64"/>
        <v>0</v>
      </c>
      <c r="L154" s="631">
        <f t="shared" si="65"/>
        <v>0</v>
      </c>
      <c r="M154" s="631">
        <f t="shared" si="66"/>
        <v>0</v>
      </c>
      <c r="N154" s="632">
        <f t="shared" si="67"/>
        <v>0</v>
      </c>
    </row>
    <row r="155" spans="1:14" ht="31.5" customHeight="1" thickBot="1">
      <c r="A155" s="1514" t="s">
        <v>508</v>
      </c>
      <c r="B155" s="1514"/>
      <c r="C155" s="1514"/>
      <c r="D155" s="716"/>
      <c r="E155" s="717"/>
      <c r="F155" s="717"/>
      <c r="G155" s="717"/>
      <c r="H155" s="718"/>
      <c r="I155" s="716"/>
      <c r="J155" s="720" t="e">
        <f>SUM(J8:J154)</f>
        <v>#N/A</v>
      </c>
      <c r="K155" s="720" t="e">
        <f t="shared" ref="K155:N155" si="68">SUM(K8:K154)</f>
        <v>#N/A</v>
      </c>
      <c r="L155" s="720">
        <f t="shared" si="68"/>
        <v>0</v>
      </c>
      <c r="M155" s="720" t="e">
        <f t="shared" si="68"/>
        <v>#N/A</v>
      </c>
      <c r="N155" s="720" t="e">
        <f t="shared" si="68"/>
        <v>#N/A</v>
      </c>
    </row>
    <row r="158" spans="1:14" ht="30.95" customHeight="1">
      <c r="A158" s="817" t="s">
        <v>653</v>
      </c>
      <c r="B158" s="817"/>
      <c r="J158" s="735">
        <f>J75+J76+J77+J79+J80+J81+J84+J87+J88+J95+J96+J99+J108+J111+J112+J113+J115+J116+J119+J120+J121+J122+J123+J124+J125+J126+J127+J128+J129+J130+J131+J132+J133+J134+J135+J136+J137+J138+J139+J140+J141+J142+J143+J144+J145+J146+J153+J154</f>
        <v>0</v>
      </c>
      <c r="K158" s="735">
        <f t="shared" ref="K158:N158" si="69">K75+K76+K77+K79+K80+K81+K84+K87+K88+K95+K96+K99+K108+K111+K112+K113+K115+K116+K119+K120+K121+K122+K123+K124+K125+K126+K127+K128+K129+K130+K131+K132+K133+K134+K135+K136+K137+K138+K139+K140+K141+K142+K143+K144+K145+K146+K153+K154</f>
        <v>0</v>
      </c>
      <c r="L158" s="735">
        <f t="shared" si="69"/>
        <v>0</v>
      </c>
      <c r="M158" s="735">
        <f t="shared" si="69"/>
        <v>0</v>
      </c>
      <c r="N158" s="735">
        <f t="shared" si="69"/>
        <v>0</v>
      </c>
    </row>
    <row r="159" spans="1:14" ht="30.95" customHeight="1">
      <c r="A159" s="622" t="s">
        <v>655</v>
      </c>
      <c r="J159" s="735" t="e">
        <f>J10+J11+J13+J14+J16+J17+J19+J20+J22+J23+J25+J26+J28+J29+J32+J33+J35++J36+J38+J39+J41+J42+J44+J45+J47+J48+J50+J51+J54+J55+J57+J58+J60+J61+J63+J64+J66+J67+J69+J70+J72+J73+J83+J86+J91+J92+J93+J97+J100+J101+J102+J104+J105+J106+J109+J110+J147+J148+J150+J151</f>
        <v>#N/A</v>
      </c>
      <c r="K159" s="735" t="e">
        <f t="shared" ref="K159:N159" si="70">K10+K11+K13+K14+K16+K17+K19+K20+K22+K23+K25+K26+K28+K29+K32+K33+K35++K36+K38+K39+K41+K42+K44+K45+K47+K48+K50+K51+K54+K55+K57+K58+K60+K61+K63+K64+K66+K67+K69+K70+K72+K73+K83+K86+K91+K92+K93+K97+K100+K101+K102+K104+K105+K106+K109+K110+K147+K148+K150+K151</f>
        <v>#N/A</v>
      </c>
      <c r="L159" s="735">
        <f t="shared" si="70"/>
        <v>0</v>
      </c>
      <c r="M159" s="735" t="e">
        <f t="shared" si="70"/>
        <v>#N/A</v>
      </c>
      <c r="N159" s="735" t="e">
        <f t="shared" si="70"/>
        <v>#N/A</v>
      </c>
    </row>
    <row r="160" spans="1:14" ht="30.95" customHeight="1" thickBot="1">
      <c r="A160" s="622" t="s">
        <v>654</v>
      </c>
      <c r="J160" s="785" t="e">
        <f>SUM(J158:J159)</f>
        <v>#N/A</v>
      </c>
      <c r="K160" s="785" t="e">
        <f t="shared" ref="K160:N160" si="71">SUM(K158:K159)</f>
        <v>#N/A</v>
      </c>
      <c r="L160" s="785">
        <f t="shared" si="71"/>
        <v>0</v>
      </c>
      <c r="M160" s="785" t="e">
        <f t="shared" si="71"/>
        <v>#N/A</v>
      </c>
      <c r="N160" s="785" t="e">
        <f t="shared" si="71"/>
        <v>#N/A</v>
      </c>
    </row>
    <row r="161" ht="13.5" thickTop="1"/>
  </sheetData>
  <mergeCells count="10">
    <mergeCell ref="A4:H4"/>
    <mergeCell ref="I4:J4"/>
    <mergeCell ref="K4:N4"/>
    <mergeCell ref="A155:C155"/>
    <mergeCell ref="A1:H1"/>
    <mergeCell ref="I1:M2"/>
    <mergeCell ref="N1:N2"/>
    <mergeCell ref="A2:H2"/>
    <mergeCell ref="I3:J3"/>
    <mergeCell ref="K3:N3"/>
  </mergeCells>
  <conditionalFormatting sqref="E10">
    <cfRule type="expression" dxfId="2396" priority="82">
      <formula>H10="ERROR TOO MUCH"</formula>
    </cfRule>
  </conditionalFormatting>
  <conditionalFormatting sqref="E13">
    <cfRule type="expression" dxfId="2395" priority="80">
      <formula>H13="ERROR TOO MUCH"</formula>
    </cfRule>
  </conditionalFormatting>
  <conditionalFormatting sqref="E16">
    <cfRule type="expression" dxfId="2394" priority="78">
      <formula>H16="ERROR TOO MUCH"</formula>
    </cfRule>
  </conditionalFormatting>
  <conditionalFormatting sqref="E19">
    <cfRule type="expression" dxfId="2393" priority="76">
      <formula>H19="ERROR TOO MUCH"</formula>
    </cfRule>
  </conditionalFormatting>
  <conditionalFormatting sqref="E22">
    <cfRule type="expression" dxfId="2392" priority="74">
      <formula>H22="ERROR TOO MUCH"</formula>
    </cfRule>
  </conditionalFormatting>
  <conditionalFormatting sqref="E25">
    <cfRule type="expression" dxfId="2391" priority="72">
      <formula>H25="ERROR TOO MUCH"</formula>
    </cfRule>
  </conditionalFormatting>
  <conditionalFormatting sqref="E28">
    <cfRule type="expression" dxfId="2390" priority="70">
      <formula>H28="ERROR TOO MUCH"</formula>
    </cfRule>
  </conditionalFormatting>
  <conditionalFormatting sqref="E32">
    <cfRule type="expression" dxfId="2389" priority="68">
      <formula>H32="ERROR TOO MUCH"</formula>
    </cfRule>
  </conditionalFormatting>
  <conditionalFormatting sqref="E35">
    <cfRule type="expression" dxfId="2388" priority="66">
      <formula>H35="ERROR TOO MUCH"</formula>
    </cfRule>
  </conditionalFormatting>
  <conditionalFormatting sqref="E38">
    <cfRule type="expression" dxfId="2387" priority="64">
      <formula>H38="ERROR TOO MUCH"</formula>
    </cfRule>
  </conditionalFormatting>
  <conditionalFormatting sqref="E41">
    <cfRule type="expression" dxfId="2386" priority="62">
      <formula>H41="ERROR TOO MUCH"</formula>
    </cfRule>
  </conditionalFormatting>
  <conditionalFormatting sqref="E44">
    <cfRule type="expression" dxfId="2385" priority="60">
      <formula>H44="ERROR TOO MUCH"</formula>
    </cfRule>
  </conditionalFormatting>
  <conditionalFormatting sqref="E47">
    <cfRule type="expression" dxfId="2384" priority="58">
      <formula>H47="ERROR TOO MUCH"</formula>
    </cfRule>
  </conditionalFormatting>
  <conditionalFormatting sqref="E50">
    <cfRule type="expression" dxfId="2383" priority="56">
      <formula>H50="ERROR TOO MUCH"</formula>
    </cfRule>
  </conditionalFormatting>
  <conditionalFormatting sqref="E54">
    <cfRule type="expression" dxfId="2382" priority="54">
      <formula>H54="ERROR TOO MUCH"</formula>
    </cfRule>
  </conditionalFormatting>
  <conditionalFormatting sqref="E57">
    <cfRule type="expression" dxfId="2381" priority="52">
      <formula>H57="ERROR TOO MUCH"</formula>
    </cfRule>
  </conditionalFormatting>
  <conditionalFormatting sqref="E60">
    <cfRule type="expression" dxfId="2380" priority="50">
      <formula>H60="ERROR TOO MUCH"</formula>
    </cfRule>
  </conditionalFormatting>
  <conditionalFormatting sqref="E63">
    <cfRule type="expression" dxfId="2379" priority="48">
      <formula>H63="ERROR TOO MUCH"</formula>
    </cfRule>
  </conditionalFormatting>
  <conditionalFormatting sqref="E66">
    <cfRule type="expression" dxfId="2378" priority="46">
      <formula>H66="ERROR TOO MUCH"</formula>
    </cfRule>
  </conditionalFormatting>
  <conditionalFormatting sqref="E69">
    <cfRule type="expression" dxfId="2377" priority="44">
      <formula>H69="ERROR TOO MUCH"</formula>
    </cfRule>
  </conditionalFormatting>
  <conditionalFormatting sqref="E72">
    <cfRule type="expression" dxfId="2376" priority="42">
      <formula>H72="ERROR TOO MUCH"</formula>
    </cfRule>
  </conditionalFormatting>
  <conditionalFormatting sqref="H10:H11">
    <cfRule type="containsText" dxfId="2375" priority="21" operator="containsText" text="ERROR">
      <formula>NOT(ISERROR(SEARCH("ERROR",H10)))</formula>
    </cfRule>
  </conditionalFormatting>
  <conditionalFormatting sqref="H13:H14">
    <cfRule type="containsText" dxfId="2374" priority="20" operator="containsText" text="ERROR">
      <formula>NOT(ISERROR(SEARCH("ERROR",H13)))</formula>
    </cfRule>
  </conditionalFormatting>
  <conditionalFormatting sqref="H16:H17">
    <cfRule type="containsText" dxfId="2373" priority="19" operator="containsText" text="ERROR">
      <formula>NOT(ISERROR(SEARCH("ERROR",H16)))</formula>
    </cfRule>
  </conditionalFormatting>
  <conditionalFormatting sqref="H19:H20">
    <cfRule type="containsText" dxfId="2372" priority="18" operator="containsText" text="ERROR">
      <formula>NOT(ISERROR(SEARCH("ERROR",H19)))</formula>
    </cfRule>
  </conditionalFormatting>
  <conditionalFormatting sqref="H22:H23">
    <cfRule type="containsText" dxfId="2371" priority="17" operator="containsText" text="ERROR">
      <formula>NOT(ISERROR(SEARCH("ERROR",H22)))</formula>
    </cfRule>
  </conditionalFormatting>
  <conditionalFormatting sqref="H25:H26">
    <cfRule type="containsText" dxfId="2370" priority="16" operator="containsText" text="ERROR">
      <formula>NOT(ISERROR(SEARCH("ERROR",H25)))</formula>
    </cfRule>
  </conditionalFormatting>
  <conditionalFormatting sqref="H28:H29">
    <cfRule type="containsText" dxfId="2369" priority="15" operator="containsText" text="ERROR">
      <formula>NOT(ISERROR(SEARCH("ERROR",H28)))</formula>
    </cfRule>
  </conditionalFormatting>
  <conditionalFormatting sqref="H32:H33">
    <cfRule type="containsText" dxfId="2368" priority="14" operator="containsText" text="ERROR">
      <formula>NOT(ISERROR(SEARCH("ERROR",H32)))</formula>
    </cfRule>
  </conditionalFormatting>
  <conditionalFormatting sqref="H35:H36">
    <cfRule type="containsText" dxfId="2367" priority="13" operator="containsText" text="ERROR">
      <formula>NOT(ISERROR(SEARCH("ERROR",H35)))</formula>
    </cfRule>
  </conditionalFormatting>
  <conditionalFormatting sqref="H38:H39">
    <cfRule type="containsText" dxfId="2366" priority="12" operator="containsText" text="ERROR">
      <formula>NOT(ISERROR(SEARCH("ERROR",H38)))</formula>
    </cfRule>
  </conditionalFormatting>
  <conditionalFormatting sqref="H41:H42">
    <cfRule type="containsText" dxfId="2365" priority="11" operator="containsText" text="ERROR">
      <formula>NOT(ISERROR(SEARCH("ERROR",H41)))</formula>
    </cfRule>
  </conditionalFormatting>
  <conditionalFormatting sqref="H44:H45">
    <cfRule type="containsText" dxfId="2364" priority="10" operator="containsText" text="ERROR">
      <formula>NOT(ISERROR(SEARCH("ERROR",H44)))</formula>
    </cfRule>
  </conditionalFormatting>
  <conditionalFormatting sqref="H47:H48">
    <cfRule type="containsText" dxfId="2363" priority="9" operator="containsText" text="ERROR">
      <formula>NOT(ISERROR(SEARCH("ERROR",H47)))</formula>
    </cfRule>
  </conditionalFormatting>
  <conditionalFormatting sqref="H50:H51">
    <cfRule type="containsText" dxfId="2362" priority="8" operator="containsText" text="ERROR">
      <formula>NOT(ISERROR(SEARCH("ERROR",H50)))</formula>
    </cfRule>
  </conditionalFormatting>
  <conditionalFormatting sqref="H54:H55">
    <cfRule type="containsText" dxfId="2361" priority="7" operator="containsText" text="ERROR">
      <formula>NOT(ISERROR(SEARCH("ERROR",H54)))</formula>
    </cfRule>
  </conditionalFormatting>
  <conditionalFormatting sqref="H57:H58">
    <cfRule type="containsText" dxfId="2360" priority="6" operator="containsText" text="ERROR">
      <formula>NOT(ISERROR(SEARCH("ERROR",H57)))</formula>
    </cfRule>
  </conditionalFormatting>
  <conditionalFormatting sqref="H60:H61">
    <cfRule type="containsText" dxfId="2359" priority="5" operator="containsText" text="ERROR">
      <formula>NOT(ISERROR(SEARCH("ERROR",H60)))</formula>
    </cfRule>
  </conditionalFormatting>
  <conditionalFormatting sqref="H63:H64">
    <cfRule type="containsText" dxfId="2358" priority="4" operator="containsText" text="ERROR">
      <formula>NOT(ISERROR(SEARCH("ERROR",H63)))</formula>
    </cfRule>
  </conditionalFormatting>
  <conditionalFormatting sqref="H66:H67">
    <cfRule type="containsText" dxfId="2357" priority="3" operator="containsText" text="ERROR">
      <formula>NOT(ISERROR(SEARCH("ERROR",H66)))</formula>
    </cfRule>
  </conditionalFormatting>
  <conditionalFormatting sqref="H69:H70">
    <cfRule type="containsText" dxfId="2356" priority="2" operator="containsText" text="ERROR">
      <formula>NOT(ISERROR(SEARCH("ERROR",H69)))</formula>
    </cfRule>
  </conditionalFormatting>
  <conditionalFormatting sqref="H72:H73">
    <cfRule type="containsText" dxfId="2355" priority="1" operator="containsText" text="ERROR">
      <formula>NOT(ISERROR(SEARCH("ERROR",H72)))</formula>
    </cfRule>
  </conditionalFormatting>
  <dataValidations count="2">
    <dataValidation type="decimal" operator="lessThanOrEqual" allowBlank="1" showInputMessage="1" showErrorMessage="1" sqref="H69:H70 H10:H11 H13:H14 H16:H17 H19:H20 H22:H23 H25:H26 H28:H29 H32:H33 H35:H36 H38:H39 H41:H42 H44:H45 H47:H48 H50:H51 H54:H55 H57:H58 H60:H61 H63:H64 H66:H67 H72:H73" xr:uid="{00000000-0002-0000-1E00-000000000000}">
      <formula1>1</formula1>
    </dataValidation>
    <dataValidation type="decimal" operator="lessThanOrEqual" allowBlank="1" showInputMessage="1" showErrorMessage="1" error="LUMP SUM CANNOT EXCEED A VALUE OF 1" sqref="G75:G77 G84 G87:G88 G99 G108 G153:G154" xr:uid="{E39BB364-E2D3-43B9-BC06-854DD7DCBB93}">
      <formula1>1</formula1>
    </dataValidation>
  </dataValidations>
  <pageMargins left="0" right="0" top="0.39370078740157483" bottom="0.39370078740157483" header="0.51181102362204722" footer="0.51181102362204722"/>
  <pageSetup paperSize="9" scale="73" fitToHeight="0" orientation="landscape" r:id="rId1"/>
  <headerFooter alignWithMargins="0">
    <oddHeader>&amp;L&amp;"Calibri"&amp;10&amp;K000000Sensitivity - General&amp;1#</oddHeader>
  </headerFooter>
  <rowBreaks count="7" manualBreakCount="7">
    <brk id="23" max="16383" man="1"/>
    <brk id="42" max="16383" man="1"/>
    <brk id="61" max="16383" man="1"/>
    <brk id="81" max="16383" man="1"/>
    <brk id="97" max="16383" man="1"/>
    <brk id="116" max="16383" man="1"/>
    <brk id="151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0">
    <tabColor theme="9"/>
    <pageSetUpPr fitToPage="1"/>
  </sheetPr>
  <dimension ref="A1:N18"/>
  <sheetViews>
    <sheetView workbookViewId="0">
      <selection sqref="A1:H1"/>
    </sheetView>
  </sheetViews>
  <sheetFormatPr defaultRowHeight="12.75"/>
  <cols>
    <col min="1" max="1" width="9.140625" style="622"/>
    <col min="2" max="2" width="36.85546875" style="622" customWidth="1"/>
    <col min="3" max="3" width="19.5703125" style="622" customWidth="1"/>
    <col min="4" max="8" width="11.7109375" style="622" customWidth="1"/>
    <col min="9" max="9" width="11.7109375" style="622" bestFit="1" customWidth="1"/>
    <col min="10" max="11" width="12.85546875" style="622" bestFit="1" customWidth="1"/>
    <col min="12" max="12" width="12.42578125" style="622" customWidth="1"/>
    <col min="13" max="13" width="11.28515625" style="622" bestFit="1" customWidth="1"/>
    <col min="14" max="14" width="11.7109375" style="622" bestFit="1" customWidth="1"/>
    <col min="15" max="257" width="9.140625" style="622"/>
    <col min="258" max="258" width="25.85546875" style="622" customWidth="1"/>
    <col min="259" max="259" width="13.85546875" style="622" customWidth="1"/>
    <col min="260" max="265" width="9.140625" style="622"/>
    <col min="266" max="266" width="13.85546875" style="622" bestFit="1" customWidth="1"/>
    <col min="267" max="268" width="11.7109375" style="622" bestFit="1" customWidth="1"/>
    <col min="269" max="269" width="11.5703125" style="622" customWidth="1"/>
    <col min="270" max="270" width="16.5703125" style="622" customWidth="1"/>
    <col min="271" max="513" width="9.140625" style="622"/>
    <col min="514" max="514" width="25.85546875" style="622" customWidth="1"/>
    <col min="515" max="515" width="13.85546875" style="622" customWidth="1"/>
    <col min="516" max="521" width="9.140625" style="622"/>
    <col min="522" max="522" width="13.85546875" style="622" bestFit="1" customWidth="1"/>
    <col min="523" max="524" width="11.7109375" style="622" bestFit="1" customWidth="1"/>
    <col min="525" max="525" width="11.5703125" style="622" customWidth="1"/>
    <col min="526" max="526" width="16.5703125" style="622" customWidth="1"/>
    <col min="527" max="769" width="9.140625" style="622"/>
    <col min="770" max="770" width="25.85546875" style="622" customWidth="1"/>
    <col min="771" max="771" width="13.85546875" style="622" customWidth="1"/>
    <col min="772" max="777" width="9.140625" style="622"/>
    <col min="778" max="778" width="13.85546875" style="622" bestFit="1" customWidth="1"/>
    <col min="779" max="780" width="11.7109375" style="622" bestFit="1" customWidth="1"/>
    <col min="781" max="781" width="11.5703125" style="622" customWidth="1"/>
    <col min="782" max="782" width="16.5703125" style="622" customWidth="1"/>
    <col min="783" max="1025" width="9.140625" style="622"/>
    <col min="1026" max="1026" width="25.85546875" style="622" customWidth="1"/>
    <col min="1027" max="1027" width="13.85546875" style="622" customWidth="1"/>
    <col min="1028" max="1033" width="9.140625" style="622"/>
    <col min="1034" max="1034" width="13.85546875" style="622" bestFit="1" customWidth="1"/>
    <col min="1035" max="1036" width="11.7109375" style="622" bestFit="1" customWidth="1"/>
    <col min="1037" max="1037" width="11.5703125" style="622" customWidth="1"/>
    <col min="1038" max="1038" width="16.5703125" style="622" customWidth="1"/>
    <col min="1039" max="1281" width="9.140625" style="622"/>
    <col min="1282" max="1282" width="25.85546875" style="622" customWidth="1"/>
    <col min="1283" max="1283" width="13.85546875" style="622" customWidth="1"/>
    <col min="1284" max="1289" width="9.140625" style="622"/>
    <col min="1290" max="1290" width="13.85546875" style="622" bestFit="1" customWidth="1"/>
    <col min="1291" max="1292" width="11.7109375" style="622" bestFit="1" customWidth="1"/>
    <col min="1293" max="1293" width="11.5703125" style="622" customWidth="1"/>
    <col min="1294" max="1294" width="16.5703125" style="622" customWidth="1"/>
    <col min="1295" max="1537" width="9.140625" style="622"/>
    <col min="1538" max="1538" width="25.85546875" style="622" customWidth="1"/>
    <col min="1539" max="1539" width="13.85546875" style="622" customWidth="1"/>
    <col min="1540" max="1545" width="9.140625" style="622"/>
    <col min="1546" max="1546" width="13.85546875" style="622" bestFit="1" customWidth="1"/>
    <col min="1547" max="1548" width="11.7109375" style="622" bestFit="1" customWidth="1"/>
    <col min="1549" max="1549" width="11.5703125" style="622" customWidth="1"/>
    <col min="1550" max="1550" width="16.5703125" style="622" customWidth="1"/>
    <col min="1551" max="1793" width="9.140625" style="622"/>
    <col min="1794" max="1794" width="25.85546875" style="622" customWidth="1"/>
    <col min="1795" max="1795" width="13.85546875" style="622" customWidth="1"/>
    <col min="1796" max="1801" width="9.140625" style="622"/>
    <col min="1802" max="1802" width="13.85546875" style="622" bestFit="1" customWidth="1"/>
    <col min="1803" max="1804" width="11.7109375" style="622" bestFit="1" customWidth="1"/>
    <col min="1805" max="1805" width="11.5703125" style="622" customWidth="1"/>
    <col min="1806" max="1806" width="16.5703125" style="622" customWidth="1"/>
    <col min="1807" max="2049" width="9.140625" style="622"/>
    <col min="2050" max="2050" width="25.85546875" style="622" customWidth="1"/>
    <col min="2051" max="2051" width="13.85546875" style="622" customWidth="1"/>
    <col min="2052" max="2057" width="9.140625" style="622"/>
    <col min="2058" max="2058" width="13.85546875" style="622" bestFit="1" customWidth="1"/>
    <col min="2059" max="2060" width="11.7109375" style="622" bestFit="1" customWidth="1"/>
    <col min="2061" max="2061" width="11.5703125" style="622" customWidth="1"/>
    <col min="2062" max="2062" width="16.5703125" style="622" customWidth="1"/>
    <col min="2063" max="2305" width="9.140625" style="622"/>
    <col min="2306" max="2306" width="25.85546875" style="622" customWidth="1"/>
    <col min="2307" max="2307" width="13.85546875" style="622" customWidth="1"/>
    <col min="2308" max="2313" width="9.140625" style="622"/>
    <col min="2314" max="2314" width="13.85546875" style="622" bestFit="1" customWidth="1"/>
    <col min="2315" max="2316" width="11.7109375" style="622" bestFit="1" customWidth="1"/>
    <col min="2317" max="2317" width="11.5703125" style="622" customWidth="1"/>
    <col min="2318" max="2318" width="16.5703125" style="622" customWidth="1"/>
    <col min="2319" max="2561" width="9.140625" style="622"/>
    <col min="2562" max="2562" width="25.85546875" style="622" customWidth="1"/>
    <col min="2563" max="2563" width="13.85546875" style="622" customWidth="1"/>
    <col min="2564" max="2569" width="9.140625" style="622"/>
    <col min="2570" max="2570" width="13.85546875" style="622" bestFit="1" customWidth="1"/>
    <col min="2571" max="2572" width="11.7109375" style="622" bestFit="1" customWidth="1"/>
    <col min="2573" max="2573" width="11.5703125" style="622" customWidth="1"/>
    <col min="2574" max="2574" width="16.5703125" style="622" customWidth="1"/>
    <col min="2575" max="2817" width="9.140625" style="622"/>
    <col min="2818" max="2818" width="25.85546875" style="622" customWidth="1"/>
    <col min="2819" max="2819" width="13.85546875" style="622" customWidth="1"/>
    <col min="2820" max="2825" width="9.140625" style="622"/>
    <col min="2826" max="2826" width="13.85546875" style="622" bestFit="1" customWidth="1"/>
    <col min="2827" max="2828" width="11.7109375" style="622" bestFit="1" customWidth="1"/>
    <col min="2829" max="2829" width="11.5703125" style="622" customWidth="1"/>
    <col min="2830" max="2830" width="16.5703125" style="622" customWidth="1"/>
    <col min="2831" max="3073" width="9.140625" style="622"/>
    <col min="3074" max="3074" width="25.85546875" style="622" customWidth="1"/>
    <col min="3075" max="3075" width="13.85546875" style="622" customWidth="1"/>
    <col min="3076" max="3081" width="9.140625" style="622"/>
    <col min="3082" max="3082" width="13.85546875" style="622" bestFit="1" customWidth="1"/>
    <col min="3083" max="3084" width="11.7109375" style="622" bestFit="1" customWidth="1"/>
    <col min="3085" max="3085" width="11.5703125" style="622" customWidth="1"/>
    <col min="3086" max="3086" width="16.5703125" style="622" customWidth="1"/>
    <col min="3087" max="3329" width="9.140625" style="622"/>
    <col min="3330" max="3330" width="25.85546875" style="622" customWidth="1"/>
    <col min="3331" max="3331" width="13.85546875" style="622" customWidth="1"/>
    <col min="3332" max="3337" width="9.140625" style="622"/>
    <col min="3338" max="3338" width="13.85546875" style="622" bestFit="1" customWidth="1"/>
    <col min="3339" max="3340" width="11.7109375" style="622" bestFit="1" customWidth="1"/>
    <col min="3341" max="3341" width="11.5703125" style="622" customWidth="1"/>
    <col min="3342" max="3342" width="16.5703125" style="622" customWidth="1"/>
    <col min="3343" max="3585" width="9.140625" style="622"/>
    <col min="3586" max="3586" width="25.85546875" style="622" customWidth="1"/>
    <col min="3587" max="3587" width="13.85546875" style="622" customWidth="1"/>
    <col min="3588" max="3593" width="9.140625" style="622"/>
    <col min="3594" max="3594" width="13.85546875" style="622" bestFit="1" customWidth="1"/>
    <col min="3595" max="3596" width="11.7109375" style="622" bestFit="1" customWidth="1"/>
    <col min="3597" max="3597" width="11.5703125" style="622" customWidth="1"/>
    <col min="3598" max="3598" width="16.5703125" style="622" customWidth="1"/>
    <col min="3599" max="3841" width="9.140625" style="622"/>
    <col min="3842" max="3842" width="25.85546875" style="622" customWidth="1"/>
    <col min="3843" max="3843" width="13.85546875" style="622" customWidth="1"/>
    <col min="3844" max="3849" width="9.140625" style="622"/>
    <col min="3850" max="3850" width="13.85546875" style="622" bestFit="1" customWidth="1"/>
    <col min="3851" max="3852" width="11.7109375" style="622" bestFit="1" customWidth="1"/>
    <col min="3853" max="3853" width="11.5703125" style="622" customWidth="1"/>
    <col min="3854" max="3854" width="16.5703125" style="622" customWidth="1"/>
    <col min="3855" max="4097" width="9.140625" style="622"/>
    <col min="4098" max="4098" width="25.85546875" style="622" customWidth="1"/>
    <col min="4099" max="4099" width="13.85546875" style="622" customWidth="1"/>
    <col min="4100" max="4105" width="9.140625" style="622"/>
    <col min="4106" max="4106" width="13.85546875" style="622" bestFit="1" customWidth="1"/>
    <col min="4107" max="4108" width="11.7109375" style="622" bestFit="1" customWidth="1"/>
    <col min="4109" max="4109" width="11.5703125" style="622" customWidth="1"/>
    <col min="4110" max="4110" width="16.5703125" style="622" customWidth="1"/>
    <col min="4111" max="4353" width="9.140625" style="622"/>
    <col min="4354" max="4354" width="25.85546875" style="622" customWidth="1"/>
    <col min="4355" max="4355" width="13.85546875" style="622" customWidth="1"/>
    <col min="4356" max="4361" width="9.140625" style="622"/>
    <col min="4362" max="4362" width="13.85546875" style="622" bestFit="1" customWidth="1"/>
    <col min="4363" max="4364" width="11.7109375" style="622" bestFit="1" customWidth="1"/>
    <col min="4365" max="4365" width="11.5703125" style="622" customWidth="1"/>
    <col min="4366" max="4366" width="16.5703125" style="622" customWidth="1"/>
    <col min="4367" max="4609" width="9.140625" style="622"/>
    <col min="4610" max="4610" width="25.85546875" style="622" customWidth="1"/>
    <col min="4611" max="4611" width="13.85546875" style="622" customWidth="1"/>
    <col min="4612" max="4617" width="9.140625" style="622"/>
    <col min="4618" max="4618" width="13.85546875" style="622" bestFit="1" customWidth="1"/>
    <col min="4619" max="4620" width="11.7109375" style="622" bestFit="1" customWidth="1"/>
    <col min="4621" max="4621" width="11.5703125" style="622" customWidth="1"/>
    <col min="4622" max="4622" width="16.5703125" style="622" customWidth="1"/>
    <col min="4623" max="4865" width="9.140625" style="622"/>
    <col min="4866" max="4866" width="25.85546875" style="622" customWidth="1"/>
    <col min="4867" max="4867" width="13.85546875" style="622" customWidth="1"/>
    <col min="4868" max="4873" width="9.140625" style="622"/>
    <col min="4874" max="4874" width="13.85546875" style="622" bestFit="1" customWidth="1"/>
    <col min="4875" max="4876" width="11.7109375" style="622" bestFit="1" customWidth="1"/>
    <col min="4877" max="4877" width="11.5703125" style="622" customWidth="1"/>
    <col min="4878" max="4878" width="16.5703125" style="622" customWidth="1"/>
    <col min="4879" max="5121" width="9.140625" style="622"/>
    <col min="5122" max="5122" width="25.85546875" style="622" customWidth="1"/>
    <col min="5123" max="5123" width="13.85546875" style="622" customWidth="1"/>
    <col min="5124" max="5129" width="9.140625" style="622"/>
    <col min="5130" max="5130" width="13.85546875" style="622" bestFit="1" customWidth="1"/>
    <col min="5131" max="5132" width="11.7109375" style="622" bestFit="1" customWidth="1"/>
    <col min="5133" max="5133" width="11.5703125" style="622" customWidth="1"/>
    <col min="5134" max="5134" width="16.5703125" style="622" customWidth="1"/>
    <col min="5135" max="5377" width="9.140625" style="622"/>
    <col min="5378" max="5378" width="25.85546875" style="622" customWidth="1"/>
    <col min="5379" max="5379" width="13.85546875" style="622" customWidth="1"/>
    <col min="5380" max="5385" width="9.140625" style="622"/>
    <col min="5386" max="5386" width="13.85546875" style="622" bestFit="1" customWidth="1"/>
    <col min="5387" max="5388" width="11.7109375" style="622" bestFit="1" customWidth="1"/>
    <col min="5389" max="5389" width="11.5703125" style="622" customWidth="1"/>
    <col min="5390" max="5390" width="16.5703125" style="622" customWidth="1"/>
    <col min="5391" max="5633" width="9.140625" style="622"/>
    <col min="5634" max="5634" width="25.85546875" style="622" customWidth="1"/>
    <col min="5635" max="5635" width="13.85546875" style="622" customWidth="1"/>
    <col min="5636" max="5641" width="9.140625" style="622"/>
    <col min="5642" max="5642" width="13.85546875" style="622" bestFit="1" customWidth="1"/>
    <col min="5643" max="5644" width="11.7109375" style="622" bestFit="1" customWidth="1"/>
    <col min="5645" max="5645" width="11.5703125" style="622" customWidth="1"/>
    <col min="5646" max="5646" width="16.5703125" style="622" customWidth="1"/>
    <col min="5647" max="5889" width="9.140625" style="622"/>
    <col min="5890" max="5890" width="25.85546875" style="622" customWidth="1"/>
    <col min="5891" max="5891" width="13.85546875" style="622" customWidth="1"/>
    <col min="5892" max="5897" width="9.140625" style="622"/>
    <col min="5898" max="5898" width="13.85546875" style="622" bestFit="1" customWidth="1"/>
    <col min="5899" max="5900" width="11.7109375" style="622" bestFit="1" customWidth="1"/>
    <col min="5901" max="5901" width="11.5703125" style="622" customWidth="1"/>
    <col min="5902" max="5902" width="16.5703125" style="622" customWidth="1"/>
    <col min="5903" max="6145" width="9.140625" style="622"/>
    <col min="6146" max="6146" width="25.85546875" style="622" customWidth="1"/>
    <col min="6147" max="6147" width="13.85546875" style="622" customWidth="1"/>
    <col min="6148" max="6153" width="9.140625" style="622"/>
    <col min="6154" max="6154" width="13.85546875" style="622" bestFit="1" customWidth="1"/>
    <col min="6155" max="6156" width="11.7109375" style="622" bestFit="1" customWidth="1"/>
    <col min="6157" max="6157" width="11.5703125" style="622" customWidth="1"/>
    <col min="6158" max="6158" width="16.5703125" style="622" customWidth="1"/>
    <col min="6159" max="6401" width="9.140625" style="622"/>
    <col min="6402" max="6402" width="25.85546875" style="622" customWidth="1"/>
    <col min="6403" max="6403" width="13.85546875" style="622" customWidth="1"/>
    <col min="6404" max="6409" width="9.140625" style="622"/>
    <col min="6410" max="6410" width="13.85546875" style="622" bestFit="1" customWidth="1"/>
    <col min="6411" max="6412" width="11.7109375" style="622" bestFit="1" customWidth="1"/>
    <col min="6413" max="6413" width="11.5703125" style="622" customWidth="1"/>
    <col min="6414" max="6414" width="16.5703125" style="622" customWidth="1"/>
    <col min="6415" max="6657" width="9.140625" style="622"/>
    <col min="6658" max="6658" width="25.85546875" style="622" customWidth="1"/>
    <col min="6659" max="6659" width="13.85546875" style="622" customWidth="1"/>
    <col min="6660" max="6665" width="9.140625" style="622"/>
    <col min="6666" max="6666" width="13.85546875" style="622" bestFit="1" customWidth="1"/>
    <col min="6667" max="6668" width="11.7109375" style="622" bestFit="1" customWidth="1"/>
    <col min="6669" max="6669" width="11.5703125" style="622" customWidth="1"/>
    <col min="6670" max="6670" width="16.5703125" style="622" customWidth="1"/>
    <col min="6671" max="6913" width="9.140625" style="622"/>
    <col min="6914" max="6914" width="25.85546875" style="622" customWidth="1"/>
    <col min="6915" max="6915" width="13.85546875" style="622" customWidth="1"/>
    <col min="6916" max="6921" width="9.140625" style="622"/>
    <col min="6922" max="6922" width="13.85546875" style="622" bestFit="1" customWidth="1"/>
    <col min="6923" max="6924" width="11.7109375" style="622" bestFit="1" customWidth="1"/>
    <col min="6925" max="6925" width="11.5703125" style="622" customWidth="1"/>
    <col min="6926" max="6926" width="16.5703125" style="622" customWidth="1"/>
    <col min="6927" max="7169" width="9.140625" style="622"/>
    <col min="7170" max="7170" width="25.85546875" style="622" customWidth="1"/>
    <col min="7171" max="7171" width="13.85546875" style="622" customWidth="1"/>
    <col min="7172" max="7177" width="9.140625" style="622"/>
    <col min="7178" max="7178" width="13.85546875" style="622" bestFit="1" customWidth="1"/>
    <col min="7179" max="7180" width="11.7109375" style="622" bestFit="1" customWidth="1"/>
    <col min="7181" max="7181" width="11.5703125" style="622" customWidth="1"/>
    <col min="7182" max="7182" width="16.5703125" style="622" customWidth="1"/>
    <col min="7183" max="7425" width="9.140625" style="622"/>
    <col min="7426" max="7426" width="25.85546875" style="622" customWidth="1"/>
    <col min="7427" max="7427" width="13.85546875" style="622" customWidth="1"/>
    <col min="7428" max="7433" width="9.140625" style="622"/>
    <col min="7434" max="7434" width="13.85546875" style="622" bestFit="1" customWidth="1"/>
    <col min="7435" max="7436" width="11.7109375" style="622" bestFit="1" customWidth="1"/>
    <col min="7437" max="7437" width="11.5703125" style="622" customWidth="1"/>
    <col min="7438" max="7438" width="16.5703125" style="622" customWidth="1"/>
    <col min="7439" max="7681" width="9.140625" style="622"/>
    <col min="7682" max="7682" width="25.85546875" style="622" customWidth="1"/>
    <col min="7683" max="7683" width="13.85546875" style="622" customWidth="1"/>
    <col min="7684" max="7689" width="9.140625" style="622"/>
    <col min="7690" max="7690" width="13.85546875" style="622" bestFit="1" customWidth="1"/>
    <col min="7691" max="7692" width="11.7109375" style="622" bestFit="1" customWidth="1"/>
    <col min="7693" max="7693" width="11.5703125" style="622" customWidth="1"/>
    <col min="7694" max="7694" width="16.5703125" style="622" customWidth="1"/>
    <col min="7695" max="7937" width="9.140625" style="622"/>
    <col min="7938" max="7938" width="25.85546875" style="622" customWidth="1"/>
    <col min="7939" max="7939" width="13.85546875" style="622" customWidth="1"/>
    <col min="7940" max="7945" width="9.140625" style="622"/>
    <col min="7946" max="7946" width="13.85546875" style="622" bestFit="1" customWidth="1"/>
    <col min="7947" max="7948" width="11.7109375" style="622" bestFit="1" customWidth="1"/>
    <col min="7949" max="7949" width="11.5703125" style="622" customWidth="1"/>
    <col min="7950" max="7950" width="16.5703125" style="622" customWidth="1"/>
    <col min="7951" max="8193" width="9.140625" style="622"/>
    <col min="8194" max="8194" width="25.85546875" style="622" customWidth="1"/>
    <col min="8195" max="8195" width="13.85546875" style="622" customWidth="1"/>
    <col min="8196" max="8201" width="9.140625" style="622"/>
    <col min="8202" max="8202" width="13.85546875" style="622" bestFit="1" customWidth="1"/>
    <col min="8203" max="8204" width="11.7109375" style="622" bestFit="1" customWidth="1"/>
    <col min="8205" max="8205" width="11.5703125" style="622" customWidth="1"/>
    <col min="8206" max="8206" width="16.5703125" style="622" customWidth="1"/>
    <col min="8207" max="8449" width="9.140625" style="622"/>
    <col min="8450" max="8450" width="25.85546875" style="622" customWidth="1"/>
    <col min="8451" max="8451" width="13.85546875" style="622" customWidth="1"/>
    <col min="8452" max="8457" width="9.140625" style="622"/>
    <col min="8458" max="8458" width="13.85546875" style="622" bestFit="1" customWidth="1"/>
    <col min="8459" max="8460" width="11.7109375" style="622" bestFit="1" customWidth="1"/>
    <col min="8461" max="8461" width="11.5703125" style="622" customWidth="1"/>
    <col min="8462" max="8462" width="16.5703125" style="622" customWidth="1"/>
    <col min="8463" max="8705" width="9.140625" style="622"/>
    <col min="8706" max="8706" width="25.85546875" style="622" customWidth="1"/>
    <col min="8707" max="8707" width="13.85546875" style="622" customWidth="1"/>
    <col min="8708" max="8713" width="9.140625" style="622"/>
    <col min="8714" max="8714" width="13.85546875" style="622" bestFit="1" customWidth="1"/>
    <col min="8715" max="8716" width="11.7109375" style="622" bestFit="1" customWidth="1"/>
    <col min="8717" max="8717" width="11.5703125" style="622" customWidth="1"/>
    <col min="8718" max="8718" width="16.5703125" style="622" customWidth="1"/>
    <col min="8719" max="8961" width="9.140625" style="622"/>
    <col min="8962" max="8962" width="25.85546875" style="622" customWidth="1"/>
    <col min="8963" max="8963" width="13.85546875" style="622" customWidth="1"/>
    <col min="8964" max="8969" width="9.140625" style="622"/>
    <col min="8970" max="8970" width="13.85546875" style="622" bestFit="1" customWidth="1"/>
    <col min="8971" max="8972" width="11.7109375" style="622" bestFit="1" customWidth="1"/>
    <col min="8973" max="8973" width="11.5703125" style="622" customWidth="1"/>
    <col min="8974" max="8974" width="16.5703125" style="622" customWidth="1"/>
    <col min="8975" max="9217" width="9.140625" style="622"/>
    <col min="9218" max="9218" width="25.85546875" style="622" customWidth="1"/>
    <col min="9219" max="9219" width="13.85546875" style="622" customWidth="1"/>
    <col min="9220" max="9225" width="9.140625" style="622"/>
    <col min="9226" max="9226" width="13.85546875" style="622" bestFit="1" customWidth="1"/>
    <col min="9227" max="9228" width="11.7109375" style="622" bestFit="1" customWidth="1"/>
    <col min="9229" max="9229" width="11.5703125" style="622" customWidth="1"/>
    <col min="9230" max="9230" width="16.5703125" style="622" customWidth="1"/>
    <col min="9231" max="9473" width="9.140625" style="622"/>
    <col min="9474" max="9474" width="25.85546875" style="622" customWidth="1"/>
    <col min="9475" max="9475" width="13.85546875" style="622" customWidth="1"/>
    <col min="9476" max="9481" width="9.140625" style="622"/>
    <col min="9482" max="9482" width="13.85546875" style="622" bestFit="1" customWidth="1"/>
    <col min="9483" max="9484" width="11.7109375" style="622" bestFit="1" customWidth="1"/>
    <col min="9485" max="9485" width="11.5703125" style="622" customWidth="1"/>
    <col min="9486" max="9486" width="16.5703125" style="622" customWidth="1"/>
    <col min="9487" max="9729" width="9.140625" style="622"/>
    <col min="9730" max="9730" width="25.85546875" style="622" customWidth="1"/>
    <col min="9731" max="9731" width="13.85546875" style="622" customWidth="1"/>
    <col min="9732" max="9737" width="9.140625" style="622"/>
    <col min="9738" max="9738" width="13.85546875" style="622" bestFit="1" customWidth="1"/>
    <col min="9739" max="9740" width="11.7109375" style="622" bestFit="1" customWidth="1"/>
    <col min="9741" max="9741" width="11.5703125" style="622" customWidth="1"/>
    <col min="9742" max="9742" width="16.5703125" style="622" customWidth="1"/>
    <col min="9743" max="9985" width="9.140625" style="622"/>
    <col min="9986" max="9986" width="25.85546875" style="622" customWidth="1"/>
    <col min="9987" max="9987" width="13.85546875" style="622" customWidth="1"/>
    <col min="9988" max="9993" width="9.140625" style="622"/>
    <col min="9994" max="9994" width="13.85546875" style="622" bestFit="1" customWidth="1"/>
    <col min="9995" max="9996" width="11.7109375" style="622" bestFit="1" customWidth="1"/>
    <col min="9997" max="9997" width="11.5703125" style="622" customWidth="1"/>
    <col min="9998" max="9998" width="16.5703125" style="622" customWidth="1"/>
    <col min="9999" max="10241" width="9.140625" style="622"/>
    <col min="10242" max="10242" width="25.85546875" style="622" customWidth="1"/>
    <col min="10243" max="10243" width="13.85546875" style="622" customWidth="1"/>
    <col min="10244" max="10249" width="9.140625" style="622"/>
    <col min="10250" max="10250" width="13.85546875" style="622" bestFit="1" customWidth="1"/>
    <col min="10251" max="10252" width="11.7109375" style="622" bestFit="1" customWidth="1"/>
    <col min="10253" max="10253" width="11.5703125" style="622" customWidth="1"/>
    <col min="10254" max="10254" width="16.5703125" style="622" customWidth="1"/>
    <col min="10255" max="10497" width="9.140625" style="622"/>
    <col min="10498" max="10498" width="25.85546875" style="622" customWidth="1"/>
    <col min="10499" max="10499" width="13.85546875" style="622" customWidth="1"/>
    <col min="10500" max="10505" width="9.140625" style="622"/>
    <col min="10506" max="10506" width="13.85546875" style="622" bestFit="1" customWidth="1"/>
    <col min="10507" max="10508" width="11.7109375" style="622" bestFit="1" customWidth="1"/>
    <col min="10509" max="10509" width="11.5703125" style="622" customWidth="1"/>
    <col min="10510" max="10510" width="16.5703125" style="622" customWidth="1"/>
    <col min="10511" max="10753" width="9.140625" style="622"/>
    <col min="10754" max="10754" width="25.85546875" style="622" customWidth="1"/>
    <col min="10755" max="10755" width="13.85546875" style="622" customWidth="1"/>
    <col min="10756" max="10761" width="9.140625" style="622"/>
    <col min="10762" max="10762" width="13.85546875" style="622" bestFit="1" customWidth="1"/>
    <col min="10763" max="10764" width="11.7109375" style="622" bestFit="1" customWidth="1"/>
    <col min="10765" max="10765" width="11.5703125" style="622" customWidth="1"/>
    <col min="10766" max="10766" width="16.5703125" style="622" customWidth="1"/>
    <col min="10767" max="11009" width="9.140625" style="622"/>
    <col min="11010" max="11010" width="25.85546875" style="622" customWidth="1"/>
    <col min="11011" max="11011" width="13.85546875" style="622" customWidth="1"/>
    <col min="11012" max="11017" width="9.140625" style="622"/>
    <col min="11018" max="11018" width="13.85546875" style="622" bestFit="1" customWidth="1"/>
    <col min="11019" max="11020" width="11.7109375" style="622" bestFit="1" customWidth="1"/>
    <col min="11021" max="11021" width="11.5703125" style="622" customWidth="1"/>
    <col min="11022" max="11022" width="16.5703125" style="622" customWidth="1"/>
    <col min="11023" max="11265" width="9.140625" style="622"/>
    <col min="11266" max="11266" width="25.85546875" style="622" customWidth="1"/>
    <col min="11267" max="11267" width="13.85546875" style="622" customWidth="1"/>
    <col min="11268" max="11273" width="9.140625" style="622"/>
    <col min="11274" max="11274" width="13.85546875" style="622" bestFit="1" customWidth="1"/>
    <col min="11275" max="11276" width="11.7109375" style="622" bestFit="1" customWidth="1"/>
    <col min="11277" max="11277" width="11.5703125" style="622" customWidth="1"/>
    <col min="11278" max="11278" width="16.5703125" style="622" customWidth="1"/>
    <col min="11279" max="11521" width="9.140625" style="622"/>
    <col min="11522" max="11522" width="25.85546875" style="622" customWidth="1"/>
    <col min="11523" max="11523" width="13.85546875" style="622" customWidth="1"/>
    <col min="11524" max="11529" width="9.140625" style="622"/>
    <col min="11530" max="11530" width="13.85546875" style="622" bestFit="1" customWidth="1"/>
    <col min="11531" max="11532" width="11.7109375" style="622" bestFit="1" customWidth="1"/>
    <col min="11533" max="11533" width="11.5703125" style="622" customWidth="1"/>
    <col min="11534" max="11534" width="16.5703125" style="622" customWidth="1"/>
    <col min="11535" max="11777" width="9.140625" style="622"/>
    <col min="11778" max="11778" width="25.85546875" style="622" customWidth="1"/>
    <col min="11779" max="11779" width="13.85546875" style="622" customWidth="1"/>
    <col min="11780" max="11785" width="9.140625" style="622"/>
    <col min="11786" max="11786" width="13.85546875" style="622" bestFit="1" customWidth="1"/>
    <col min="11787" max="11788" width="11.7109375" style="622" bestFit="1" customWidth="1"/>
    <col min="11789" max="11789" width="11.5703125" style="622" customWidth="1"/>
    <col min="11790" max="11790" width="16.5703125" style="622" customWidth="1"/>
    <col min="11791" max="12033" width="9.140625" style="622"/>
    <col min="12034" max="12034" width="25.85546875" style="622" customWidth="1"/>
    <col min="12035" max="12035" width="13.85546875" style="622" customWidth="1"/>
    <col min="12036" max="12041" width="9.140625" style="622"/>
    <col min="12042" max="12042" width="13.85546875" style="622" bestFit="1" customWidth="1"/>
    <col min="12043" max="12044" width="11.7109375" style="622" bestFit="1" customWidth="1"/>
    <col min="12045" max="12045" width="11.5703125" style="622" customWidth="1"/>
    <col min="12046" max="12046" width="16.5703125" style="622" customWidth="1"/>
    <col min="12047" max="12289" width="9.140625" style="622"/>
    <col min="12290" max="12290" width="25.85546875" style="622" customWidth="1"/>
    <col min="12291" max="12291" width="13.85546875" style="622" customWidth="1"/>
    <col min="12292" max="12297" width="9.140625" style="622"/>
    <col min="12298" max="12298" width="13.85546875" style="622" bestFit="1" customWidth="1"/>
    <col min="12299" max="12300" width="11.7109375" style="622" bestFit="1" customWidth="1"/>
    <col min="12301" max="12301" width="11.5703125" style="622" customWidth="1"/>
    <col min="12302" max="12302" width="16.5703125" style="622" customWidth="1"/>
    <col min="12303" max="12545" width="9.140625" style="622"/>
    <col min="12546" max="12546" width="25.85546875" style="622" customWidth="1"/>
    <col min="12547" max="12547" width="13.85546875" style="622" customWidth="1"/>
    <col min="12548" max="12553" width="9.140625" style="622"/>
    <col min="12554" max="12554" width="13.85546875" style="622" bestFit="1" customWidth="1"/>
    <col min="12555" max="12556" width="11.7109375" style="622" bestFit="1" customWidth="1"/>
    <col min="12557" max="12557" width="11.5703125" style="622" customWidth="1"/>
    <col min="12558" max="12558" width="16.5703125" style="622" customWidth="1"/>
    <col min="12559" max="12801" width="9.140625" style="622"/>
    <col min="12802" max="12802" width="25.85546875" style="622" customWidth="1"/>
    <col min="12803" max="12803" width="13.85546875" style="622" customWidth="1"/>
    <col min="12804" max="12809" width="9.140625" style="622"/>
    <col min="12810" max="12810" width="13.85546875" style="622" bestFit="1" customWidth="1"/>
    <col min="12811" max="12812" width="11.7109375" style="622" bestFit="1" customWidth="1"/>
    <col min="12813" max="12813" width="11.5703125" style="622" customWidth="1"/>
    <col min="12814" max="12814" width="16.5703125" style="622" customWidth="1"/>
    <col min="12815" max="13057" width="9.140625" style="622"/>
    <col min="13058" max="13058" width="25.85546875" style="622" customWidth="1"/>
    <col min="13059" max="13059" width="13.85546875" style="622" customWidth="1"/>
    <col min="13060" max="13065" width="9.140625" style="622"/>
    <col min="13066" max="13066" width="13.85546875" style="622" bestFit="1" customWidth="1"/>
    <col min="13067" max="13068" width="11.7109375" style="622" bestFit="1" customWidth="1"/>
    <col min="13069" max="13069" width="11.5703125" style="622" customWidth="1"/>
    <col min="13070" max="13070" width="16.5703125" style="622" customWidth="1"/>
    <col min="13071" max="13313" width="9.140625" style="622"/>
    <col min="13314" max="13314" width="25.85546875" style="622" customWidth="1"/>
    <col min="13315" max="13315" width="13.85546875" style="622" customWidth="1"/>
    <col min="13316" max="13321" width="9.140625" style="622"/>
    <col min="13322" max="13322" width="13.85546875" style="622" bestFit="1" customWidth="1"/>
    <col min="13323" max="13324" width="11.7109375" style="622" bestFit="1" customWidth="1"/>
    <col min="13325" max="13325" width="11.5703125" style="622" customWidth="1"/>
    <col min="13326" max="13326" width="16.5703125" style="622" customWidth="1"/>
    <col min="13327" max="13569" width="9.140625" style="622"/>
    <col min="13570" max="13570" width="25.85546875" style="622" customWidth="1"/>
    <col min="13571" max="13571" width="13.85546875" style="622" customWidth="1"/>
    <col min="13572" max="13577" width="9.140625" style="622"/>
    <col min="13578" max="13578" width="13.85546875" style="622" bestFit="1" customWidth="1"/>
    <col min="13579" max="13580" width="11.7109375" style="622" bestFit="1" customWidth="1"/>
    <col min="13581" max="13581" width="11.5703125" style="622" customWidth="1"/>
    <col min="13582" max="13582" width="16.5703125" style="622" customWidth="1"/>
    <col min="13583" max="13825" width="9.140625" style="622"/>
    <col min="13826" max="13826" width="25.85546875" style="622" customWidth="1"/>
    <col min="13827" max="13827" width="13.85546875" style="622" customWidth="1"/>
    <col min="13828" max="13833" width="9.140625" style="622"/>
    <col min="13834" max="13834" width="13.85546875" style="622" bestFit="1" customWidth="1"/>
    <col min="13835" max="13836" width="11.7109375" style="622" bestFit="1" customWidth="1"/>
    <col min="13837" max="13837" width="11.5703125" style="622" customWidth="1"/>
    <col min="13838" max="13838" width="16.5703125" style="622" customWidth="1"/>
    <col min="13839" max="14081" width="9.140625" style="622"/>
    <col min="14082" max="14082" width="25.85546875" style="622" customWidth="1"/>
    <col min="14083" max="14083" width="13.85546875" style="622" customWidth="1"/>
    <col min="14084" max="14089" width="9.140625" style="622"/>
    <col min="14090" max="14090" width="13.85546875" style="622" bestFit="1" customWidth="1"/>
    <col min="14091" max="14092" width="11.7109375" style="622" bestFit="1" customWidth="1"/>
    <col min="14093" max="14093" width="11.5703125" style="622" customWidth="1"/>
    <col min="14094" max="14094" width="16.5703125" style="622" customWidth="1"/>
    <col min="14095" max="14337" width="9.140625" style="622"/>
    <col min="14338" max="14338" width="25.85546875" style="622" customWidth="1"/>
    <col min="14339" max="14339" width="13.85546875" style="622" customWidth="1"/>
    <col min="14340" max="14345" width="9.140625" style="622"/>
    <col min="14346" max="14346" width="13.85546875" style="622" bestFit="1" customWidth="1"/>
    <col min="14347" max="14348" width="11.7109375" style="622" bestFit="1" customWidth="1"/>
    <col min="14349" max="14349" width="11.5703125" style="622" customWidth="1"/>
    <col min="14350" max="14350" width="16.5703125" style="622" customWidth="1"/>
    <col min="14351" max="14593" width="9.140625" style="622"/>
    <col min="14594" max="14594" width="25.85546875" style="622" customWidth="1"/>
    <col min="14595" max="14595" width="13.85546875" style="622" customWidth="1"/>
    <col min="14596" max="14601" width="9.140625" style="622"/>
    <col min="14602" max="14602" width="13.85546875" style="622" bestFit="1" customWidth="1"/>
    <col min="14603" max="14604" width="11.7109375" style="622" bestFit="1" customWidth="1"/>
    <col min="14605" max="14605" width="11.5703125" style="622" customWidth="1"/>
    <col min="14606" max="14606" width="16.5703125" style="622" customWidth="1"/>
    <col min="14607" max="14849" width="9.140625" style="622"/>
    <col min="14850" max="14850" width="25.85546875" style="622" customWidth="1"/>
    <col min="14851" max="14851" width="13.85546875" style="622" customWidth="1"/>
    <col min="14852" max="14857" width="9.140625" style="622"/>
    <col min="14858" max="14858" width="13.85546875" style="622" bestFit="1" customWidth="1"/>
    <col min="14859" max="14860" width="11.7109375" style="622" bestFit="1" customWidth="1"/>
    <col min="14861" max="14861" width="11.5703125" style="622" customWidth="1"/>
    <col min="14862" max="14862" width="16.5703125" style="622" customWidth="1"/>
    <col min="14863" max="15105" width="9.140625" style="622"/>
    <col min="15106" max="15106" width="25.85546875" style="622" customWidth="1"/>
    <col min="15107" max="15107" width="13.85546875" style="622" customWidth="1"/>
    <col min="15108" max="15113" width="9.140625" style="622"/>
    <col min="15114" max="15114" width="13.85546875" style="622" bestFit="1" customWidth="1"/>
    <col min="15115" max="15116" width="11.7109375" style="622" bestFit="1" customWidth="1"/>
    <col min="15117" max="15117" width="11.5703125" style="622" customWidth="1"/>
    <col min="15118" max="15118" width="16.5703125" style="622" customWidth="1"/>
    <col min="15119" max="15361" width="9.140625" style="622"/>
    <col min="15362" max="15362" width="25.85546875" style="622" customWidth="1"/>
    <col min="15363" max="15363" width="13.85546875" style="622" customWidth="1"/>
    <col min="15364" max="15369" width="9.140625" style="622"/>
    <col min="15370" max="15370" width="13.85546875" style="622" bestFit="1" customWidth="1"/>
    <col min="15371" max="15372" width="11.7109375" style="622" bestFit="1" customWidth="1"/>
    <col min="15373" max="15373" width="11.5703125" style="622" customWidth="1"/>
    <col min="15374" max="15374" width="16.5703125" style="622" customWidth="1"/>
    <col min="15375" max="15617" width="9.140625" style="622"/>
    <col min="15618" max="15618" width="25.85546875" style="622" customWidth="1"/>
    <col min="15619" max="15619" width="13.85546875" style="622" customWidth="1"/>
    <col min="15620" max="15625" width="9.140625" style="622"/>
    <col min="15626" max="15626" width="13.85546875" style="622" bestFit="1" customWidth="1"/>
    <col min="15627" max="15628" width="11.7109375" style="622" bestFit="1" customWidth="1"/>
    <col min="15629" max="15629" width="11.5703125" style="622" customWidth="1"/>
    <col min="15630" max="15630" width="16.5703125" style="622" customWidth="1"/>
    <col min="15631" max="15873" width="9.140625" style="622"/>
    <col min="15874" max="15874" width="25.85546875" style="622" customWidth="1"/>
    <col min="15875" max="15875" width="13.85546875" style="622" customWidth="1"/>
    <col min="15876" max="15881" width="9.140625" style="622"/>
    <col min="15882" max="15882" width="13.85546875" style="622" bestFit="1" customWidth="1"/>
    <col min="15883" max="15884" width="11.7109375" style="622" bestFit="1" customWidth="1"/>
    <col min="15885" max="15885" width="11.5703125" style="622" customWidth="1"/>
    <col min="15886" max="15886" width="16.5703125" style="622" customWidth="1"/>
    <col min="15887" max="16129" width="9.140625" style="622"/>
    <col min="16130" max="16130" width="25.85546875" style="622" customWidth="1"/>
    <col min="16131" max="16131" width="13.85546875" style="622" customWidth="1"/>
    <col min="16132" max="16137" width="9.140625" style="622"/>
    <col min="16138" max="16138" width="13.85546875" style="622" bestFit="1" customWidth="1"/>
    <col min="16139" max="16140" width="11.7109375" style="622" bestFit="1" customWidth="1"/>
    <col min="16141" max="16141" width="11.5703125" style="622" customWidth="1"/>
    <col min="16142" max="16142" width="16.5703125" style="622" customWidth="1"/>
    <col min="16143" max="16384" width="9.140625" style="622"/>
  </cols>
  <sheetData>
    <row r="1" spans="1:14" ht="12.75" customHeight="1">
      <c r="A1" s="1560" t="s">
        <v>509</v>
      </c>
      <c r="B1" s="1539"/>
      <c r="C1" s="1539"/>
      <c r="D1" s="1539"/>
      <c r="E1" s="1539"/>
      <c r="F1" s="1539"/>
      <c r="G1" s="1539"/>
      <c r="H1" s="1540"/>
      <c r="I1" s="1541" t="s">
        <v>494</v>
      </c>
      <c r="J1" s="1542"/>
      <c r="K1" s="1542"/>
      <c r="L1" s="1542"/>
      <c r="M1" s="1542"/>
      <c r="N1" s="1545" t="s">
        <v>333</v>
      </c>
    </row>
    <row r="2" spans="1:14">
      <c r="A2" s="1561"/>
      <c r="B2" s="1548"/>
      <c r="C2" s="1548"/>
      <c r="D2" s="1548"/>
      <c r="E2" s="1548"/>
      <c r="F2" s="1548"/>
      <c r="G2" s="1548"/>
      <c r="H2" s="1548"/>
      <c r="I2" s="1543"/>
      <c r="J2" s="1544"/>
      <c r="K2" s="1544"/>
      <c r="L2" s="1544"/>
      <c r="M2" s="1544"/>
      <c r="N2" s="1546"/>
    </row>
    <row r="3" spans="1:14">
      <c r="A3" s="749" t="s">
        <v>747</v>
      </c>
      <c r="B3" s="748" t="str">
        <f>'F1 Forecast Consultant'!C3</f>
        <v>Western</v>
      </c>
      <c r="I3" s="1549" t="s">
        <v>495</v>
      </c>
      <c r="J3" s="1550"/>
      <c r="K3" s="1532">
        <f>'F1  Cover'!K8</f>
        <v>1</v>
      </c>
      <c r="L3" s="1533"/>
      <c r="M3" s="1533"/>
      <c r="N3" s="1534"/>
    </row>
    <row r="4" spans="1:14" ht="13.5" thickBot="1">
      <c r="A4" s="1562"/>
      <c r="B4" s="1552"/>
      <c r="C4" s="1552"/>
      <c r="D4" s="1552"/>
      <c r="E4" s="1552"/>
      <c r="F4" s="1552"/>
      <c r="G4" s="1552"/>
      <c r="H4" s="1552"/>
      <c r="I4" s="1553" t="s">
        <v>496</v>
      </c>
      <c r="J4" s="1554"/>
      <c r="K4" s="1555" t="str">
        <f>'F1 Forecast Combined'!E3</f>
        <v>NRA.N.011-050-2012/1F</v>
      </c>
      <c r="L4" s="1555"/>
      <c r="M4" s="1555"/>
      <c r="N4" s="1556"/>
    </row>
    <row r="5" spans="1:14" ht="13.5" thickBot="1">
      <c r="A5" s="727" t="s">
        <v>497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" thickBot="1">
      <c r="A6" s="724" t="s">
        <v>100</v>
      </c>
      <c r="B6" s="725" t="s">
        <v>0</v>
      </c>
      <c r="C6" s="730" t="s">
        <v>1</v>
      </c>
      <c r="D6" s="716" t="s">
        <v>498</v>
      </c>
      <c r="E6" s="717" t="s">
        <v>499</v>
      </c>
      <c r="F6" s="717" t="s">
        <v>500</v>
      </c>
      <c r="G6" s="717" t="s">
        <v>501</v>
      </c>
      <c r="H6" s="718" t="s">
        <v>502</v>
      </c>
      <c r="I6" s="716" t="s">
        <v>3</v>
      </c>
      <c r="J6" s="717" t="s">
        <v>503</v>
      </c>
      <c r="K6" s="717" t="s">
        <v>504</v>
      </c>
      <c r="L6" s="717" t="s">
        <v>505</v>
      </c>
      <c r="M6" s="717" t="s">
        <v>506</v>
      </c>
      <c r="N6" s="718" t="s">
        <v>507</v>
      </c>
    </row>
    <row r="7" spans="1:14" ht="31.5" customHeight="1">
      <c r="A7" s="624">
        <f>'Pricing Schedule'!A238</f>
        <v>3.5</v>
      </c>
      <c r="B7" s="625" t="str">
        <f>'Pricing Schedule'!B238</f>
        <v>TENDER DOCUMENTATION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Schedule'!A239</f>
        <v>3.5.1</v>
      </c>
      <c r="B8" s="630" t="str">
        <f>'Pricing Schedule'!B239</f>
        <v>Tender documentation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784"/>
      <c r="B9" s="630" t="str">
        <f>'Pricing Schedule'!B240</f>
        <v>(a)  Preparation of tender documentation</v>
      </c>
      <c r="C9" s="630" t="str">
        <f>'Pricing Schedule'!C240</f>
        <v>lump sum (LS)</v>
      </c>
      <c r="D9" s="651">
        <v>1</v>
      </c>
      <c r="E9" s="1058">
        <v>1</v>
      </c>
      <c r="F9" s="855">
        <f>DATA!$EQ$52</f>
        <v>0</v>
      </c>
      <c r="G9" s="722"/>
      <c r="H9" s="632">
        <f>F9+G9</f>
        <v>0</v>
      </c>
      <c r="I9" s="733">
        <f>'Pricing Schedule'!F240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784"/>
      <c r="B10" s="630" t="str">
        <f>'Pricing Schedule'!B241</f>
        <v>(b)  Disbursements</v>
      </c>
      <c r="C10" s="630" t="str">
        <f>'Pricing Schedule'!C241</f>
        <v>lump sum (LS)</v>
      </c>
      <c r="D10" s="651">
        <v>1</v>
      </c>
      <c r="E10" s="1058">
        <v>1</v>
      </c>
      <c r="F10" s="855">
        <f>DATA!$ER$52</f>
        <v>0</v>
      </c>
      <c r="G10" s="722"/>
      <c r="H10" s="632">
        <f>F10+G10</f>
        <v>0</v>
      </c>
      <c r="I10" s="733">
        <f>'Pricing Schedule'!F241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 thickBot="1">
      <c r="A11" s="782"/>
      <c r="B11" s="630" t="str">
        <f>'Pricing Schedule'!B242</f>
        <v>(c)  Tender Documents on CD/DVD</v>
      </c>
      <c r="C11" s="630" t="str">
        <f>'Pricing Schedule'!C242</f>
        <v>number (No)</v>
      </c>
      <c r="D11" s="651">
        <f>'Pricing Schedule'!D242</f>
        <v>50</v>
      </c>
      <c r="E11" s="722">
        <f>D11</f>
        <v>50</v>
      </c>
      <c r="F11" s="855">
        <f>DATA!$ES$52</f>
        <v>0</v>
      </c>
      <c r="G11" s="722"/>
      <c r="H11" s="632">
        <f>F11+G11</f>
        <v>0</v>
      </c>
      <c r="I11" s="733">
        <f>'Pricing Schedule'!E242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 thickBot="1">
      <c r="A12" s="1535" t="s">
        <v>508</v>
      </c>
      <c r="B12" s="1536"/>
      <c r="C12" s="1537"/>
      <c r="D12" s="716"/>
      <c r="E12" s="717"/>
      <c r="F12" s="717"/>
      <c r="G12" s="717"/>
      <c r="H12" s="718"/>
      <c r="I12" s="716"/>
      <c r="J12" s="720">
        <f>SUM(J8:J11)</f>
        <v>0</v>
      </c>
      <c r="K12" s="720">
        <f>SUM(K8:K11)</f>
        <v>0</v>
      </c>
      <c r="L12" s="720">
        <f>SUM(L8:L11)</f>
        <v>0</v>
      </c>
      <c r="M12" s="720">
        <f>SUM(M8:M11)</f>
        <v>0</v>
      </c>
      <c r="N12" s="721">
        <f>SUM(N8:N11)</f>
        <v>0</v>
      </c>
    </row>
    <row r="15" spans="1:14" ht="30.95" customHeight="1">
      <c r="A15" s="817" t="s">
        <v>653</v>
      </c>
      <c r="B15" s="817"/>
      <c r="J15" s="735">
        <f>J9+J10+J11</f>
        <v>0</v>
      </c>
      <c r="K15" s="735">
        <f t="shared" ref="K15:N15" si="0">K9+K10+K11</f>
        <v>0</v>
      </c>
      <c r="L15" s="735">
        <f t="shared" si="0"/>
        <v>0</v>
      </c>
      <c r="M15" s="735">
        <f t="shared" si="0"/>
        <v>0</v>
      </c>
      <c r="N15" s="735">
        <f t="shared" si="0"/>
        <v>0</v>
      </c>
    </row>
    <row r="16" spans="1:14" ht="30.95" customHeight="1">
      <c r="A16" s="622" t="s">
        <v>655</v>
      </c>
      <c r="J16" s="735">
        <v>0</v>
      </c>
      <c r="K16" s="735">
        <v>0</v>
      </c>
      <c r="L16" s="735">
        <v>0</v>
      </c>
      <c r="M16" s="735">
        <v>0</v>
      </c>
      <c r="N16" s="735">
        <v>0</v>
      </c>
    </row>
    <row r="17" spans="1:14" ht="30.95" customHeight="1" thickBot="1">
      <c r="A17" s="622" t="s">
        <v>654</v>
      </c>
      <c r="J17" s="785">
        <f>SUM(J15:J16)</f>
        <v>0</v>
      </c>
      <c r="K17" s="785">
        <f t="shared" ref="K17:N17" si="1">SUM(K15:K16)</f>
        <v>0</v>
      </c>
      <c r="L17" s="785">
        <f t="shared" si="1"/>
        <v>0</v>
      </c>
      <c r="M17" s="785">
        <f t="shared" si="1"/>
        <v>0</v>
      </c>
      <c r="N17" s="785">
        <f t="shared" si="1"/>
        <v>0</v>
      </c>
    </row>
    <row r="18" spans="1:14" ht="13.5" thickTop="1"/>
  </sheetData>
  <mergeCells count="10">
    <mergeCell ref="A12:C12"/>
    <mergeCell ref="A1:H1"/>
    <mergeCell ref="A2:H2"/>
    <mergeCell ref="N1:N2"/>
    <mergeCell ref="K3:N3"/>
    <mergeCell ref="A4:H4"/>
    <mergeCell ref="I4:J4"/>
    <mergeCell ref="K4:N4"/>
    <mergeCell ref="I3:J3"/>
    <mergeCell ref="I1:M2"/>
  </mergeCells>
  <dataValidations count="1">
    <dataValidation type="decimal" operator="lessThanOrEqual" allowBlank="1" showInputMessage="1" showErrorMessage="1" error="LUMP SUM CANNOT EXCEED A VALUE OF 1" sqref="G9:G10" xr:uid="{8B278E90-5643-4129-A273-D5E3E2B16055}">
      <formula1>1</formula1>
    </dataValidation>
  </dataValidations>
  <printOptions horizontalCentered="1"/>
  <pageMargins left="0.15748031496062992" right="0" top="0.51181102362204722" bottom="0" header="0.27559055118110237" footer="0.39370078740157483"/>
  <pageSetup paperSize="9" scale="73" fitToHeight="0" orientation="landscape" r:id="rId1"/>
  <headerFooter alignWithMargins="0">
    <oddHeader>&amp;L&amp;"Calibri"&amp;10&amp;K000000Sensitivity - General&amp;1#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1">
    <tabColor theme="9"/>
    <pageSetUpPr fitToPage="1"/>
  </sheetPr>
  <dimension ref="A1:N22"/>
  <sheetViews>
    <sheetView workbookViewId="0">
      <selection activeCell="G9" sqref="G9"/>
    </sheetView>
  </sheetViews>
  <sheetFormatPr defaultRowHeight="12.75"/>
  <cols>
    <col min="1" max="1" width="9.140625" style="622"/>
    <col min="2" max="2" width="36.85546875" style="622" customWidth="1"/>
    <col min="3" max="3" width="19.5703125" style="622" customWidth="1"/>
    <col min="4" max="8" width="11.7109375" style="622" customWidth="1"/>
    <col min="9" max="9" width="11.7109375" style="622" bestFit="1" customWidth="1"/>
    <col min="10" max="11" width="12.85546875" style="622" bestFit="1" customWidth="1"/>
    <col min="12" max="12" width="12.42578125" style="622" customWidth="1"/>
    <col min="13" max="13" width="11.28515625" style="622" bestFit="1" customWidth="1"/>
    <col min="14" max="14" width="11.7109375" style="622" bestFit="1" customWidth="1"/>
    <col min="15" max="257" width="9.140625" style="622"/>
    <col min="258" max="258" width="21.5703125" style="622" customWidth="1"/>
    <col min="259" max="259" width="9.140625" style="622"/>
    <col min="260" max="261" width="10.140625" style="622" bestFit="1" customWidth="1"/>
    <col min="262" max="262" width="9.140625" style="622"/>
    <col min="263" max="264" width="9.28515625" style="622" bestFit="1" customWidth="1"/>
    <col min="265" max="265" width="9.140625" style="622"/>
    <col min="266" max="267" width="11.7109375" style="622" bestFit="1" customWidth="1"/>
    <col min="268" max="270" width="10.140625" style="622" bestFit="1" customWidth="1"/>
    <col min="271" max="513" width="9.140625" style="622"/>
    <col min="514" max="514" width="21.5703125" style="622" customWidth="1"/>
    <col min="515" max="515" width="9.140625" style="622"/>
    <col min="516" max="517" width="10.140625" style="622" bestFit="1" customWidth="1"/>
    <col min="518" max="518" width="9.140625" style="622"/>
    <col min="519" max="520" width="9.28515625" style="622" bestFit="1" customWidth="1"/>
    <col min="521" max="521" width="9.140625" style="622"/>
    <col min="522" max="523" width="11.7109375" style="622" bestFit="1" customWidth="1"/>
    <col min="524" max="526" width="10.140625" style="622" bestFit="1" customWidth="1"/>
    <col min="527" max="769" width="9.140625" style="622"/>
    <col min="770" max="770" width="21.5703125" style="622" customWidth="1"/>
    <col min="771" max="771" width="9.140625" style="622"/>
    <col min="772" max="773" width="10.140625" style="622" bestFit="1" customWidth="1"/>
    <col min="774" max="774" width="9.140625" style="622"/>
    <col min="775" max="776" width="9.28515625" style="622" bestFit="1" customWidth="1"/>
    <col min="777" max="777" width="9.140625" style="622"/>
    <col min="778" max="779" width="11.7109375" style="622" bestFit="1" customWidth="1"/>
    <col min="780" max="782" width="10.140625" style="622" bestFit="1" customWidth="1"/>
    <col min="783" max="1025" width="9.140625" style="622"/>
    <col min="1026" max="1026" width="21.5703125" style="622" customWidth="1"/>
    <col min="1027" max="1027" width="9.140625" style="622"/>
    <col min="1028" max="1029" width="10.140625" style="622" bestFit="1" customWidth="1"/>
    <col min="1030" max="1030" width="9.140625" style="622"/>
    <col min="1031" max="1032" width="9.28515625" style="622" bestFit="1" customWidth="1"/>
    <col min="1033" max="1033" width="9.140625" style="622"/>
    <col min="1034" max="1035" width="11.7109375" style="622" bestFit="1" customWidth="1"/>
    <col min="1036" max="1038" width="10.140625" style="622" bestFit="1" customWidth="1"/>
    <col min="1039" max="1281" width="9.140625" style="622"/>
    <col min="1282" max="1282" width="21.5703125" style="622" customWidth="1"/>
    <col min="1283" max="1283" width="9.140625" style="622"/>
    <col min="1284" max="1285" width="10.140625" style="622" bestFit="1" customWidth="1"/>
    <col min="1286" max="1286" width="9.140625" style="622"/>
    <col min="1287" max="1288" width="9.28515625" style="622" bestFit="1" customWidth="1"/>
    <col min="1289" max="1289" width="9.140625" style="622"/>
    <col min="1290" max="1291" width="11.7109375" style="622" bestFit="1" customWidth="1"/>
    <col min="1292" max="1294" width="10.140625" style="622" bestFit="1" customWidth="1"/>
    <col min="1295" max="1537" width="9.140625" style="622"/>
    <col min="1538" max="1538" width="21.5703125" style="622" customWidth="1"/>
    <col min="1539" max="1539" width="9.140625" style="622"/>
    <col min="1540" max="1541" width="10.140625" style="622" bestFit="1" customWidth="1"/>
    <col min="1542" max="1542" width="9.140625" style="622"/>
    <col min="1543" max="1544" width="9.28515625" style="622" bestFit="1" customWidth="1"/>
    <col min="1545" max="1545" width="9.140625" style="622"/>
    <col min="1546" max="1547" width="11.7109375" style="622" bestFit="1" customWidth="1"/>
    <col min="1548" max="1550" width="10.140625" style="622" bestFit="1" customWidth="1"/>
    <col min="1551" max="1793" width="9.140625" style="622"/>
    <col min="1794" max="1794" width="21.5703125" style="622" customWidth="1"/>
    <col min="1795" max="1795" width="9.140625" style="622"/>
    <col min="1796" max="1797" width="10.140625" style="622" bestFit="1" customWidth="1"/>
    <col min="1798" max="1798" width="9.140625" style="622"/>
    <col min="1799" max="1800" width="9.28515625" style="622" bestFit="1" customWidth="1"/>
    <col min="1801" max="1801" width="9.140625" style="622"/>
    <col min="1802" max="1803" width="11.7109375" style="622" bestFit="1" customWidth="1"/>
    <col min="1804" max="1806" width="10.140625" style="622" bestFit="1" customWidth="1"/>
    <col min="1807" max="2049" width="9.140625" style="622"/>
    <col min="2050" max="2050" width="21.5703125" style="622" customWidth="1"/>
    <col min="2051" max="2051" width="9.140625" style="622"/>
    <col min="2052" max="2053" width="10.140625" style="622" bestFit="1" customWidth="1"/>
    <col min="2054" max="2054" width="9.140625" style="622"/>
    <col min="2055" max="2056" width="9.28515625" style="622" bestFit="1" customWidth="1"/>
    <col min="2057" max="2057" width="9.140625" style="622"/>
    <col min="2058" max="2059" width="11.7109375" style="622" bestFit="1" customWidth="1"/>
    <col min="2060" max="2062" width="10.140625" style="622" bestFit="1" customWidth="1"/>
    <col min="2063" max="2305" width="9.140625" style="622"/>
    <col min="2306" max="2306" width="21.5703125" style="622" customWidth="1"/>
    <col min="2307" max="2307" width="9.140625" style="622"/>
    <col min="2308" max="2309" width="10.140625" style="622" bestFit="1" customWidth="1"/>
    <col min="2310" max="2310" width="9.140625" style="622"/>
    <col min="2311" max="2312" width="9.28515625" style="622" bestFit="1" customWidth="1"/>
    <col min="2313" max="2313" width="9.140625" style="622"/>
    <col min="2314" max="2315" width="11.7109375" style="622" bestFit="1" customWidth="1"/>
    <col min="2316" max="2318" width="10.140625" style="622" bestFit="1" customWidth="1"/>
    <col min="2319" max="2561" width="9.140625" style="622"/>
    <col min="2562" max="2562" width="21.5703125" style="622" customWidth="1"/>
    <col min="2563" max="2563" width="9.140625" style="622"/>
    <col min="2564" max="2565" width="10.140625" style="622" bestFit="1" customWidth="1"/>
    <col min="2566" max="2566" width="9.140625" style="622"/>
    <col min="2567" max="2568" width="9.28515625" style="622" bestFit="1" customWidth="1"/>
    <col min="2569" max="2569" width="9.140625" style="622"/>
    <col min="2570" max="2571" width="11.7109375" style="622" bestFit="1" customWidth="1"/>
    <col min="2572" max="2574" width="10.140625" style="622" bestFit="1" customWidth="1"/>
    <col min="2575" max="2817" width="9.140625" style="622"/>
    <col min="2818" max="2818" width="21.5703125" style="622" customWidth="1"/>
    <col min="2819" max="2819" width="9.140625" style="622"/>
    <col min="2820" max="2821" width="10.140625" style="622" bestFit="1" customWidth="1"/>
    <col min="2822" max="2822" width="9.140625" style="622"/>
    <col min="2823" max="2824" width="9.28515625" style="622" bestFit="1" customWidth="1"/>
    <col min="2825" max="2825" width="9.140625" style="622"/>
    <col min="2826" max="2827" width="11.7109375" style="622" bestFit="1" customWidth="1"/>
    <col min="2828" max="2830" width="10.140625" style="622" bestFit="1" customWidth="1"/>
    <col min="2831" max="3073" width="9.140625" style="622"/>
    <col min="3074" max="3074" width="21.5703125" style="622" customWidth="1"/>
    <col min="3075" max="3075" width="9.140625" style="622"/>
    <col min="3076" max="3077" width="10.140625" style="622" bestFit="1" customWidth="1"/>
    <col min="3078" max="3078" width="9.140625" style="622"/>
    <col min="3079" max="3080" width="9.28515625" style="622" bestFit="1" customWidth="1"/>
    <col min="3081" max="3081" width="9.140625" style="622"/>
    <col min="3082" max="3083" width="11.7109375" style="622" bestFit="1" customWidth="1"/>
    <col min="3084" max="3086" width="10.140625" style="622" bestFit="1" customWidth="1"/>
    <col min="3087" max="3329" width="9.140625" style="622"/>
    <col min="3330" max="3330" width="21.5703125" style="622" customWidth="1"/>
    <col min="3331" max="3331" width="9.140625" style="622"/>
    <col min="3332" max="3333" width="10.140625" style="622" bestFit="1" customWidth="1"/>
    <col min="3334" max="3334" width="9.140625" style="622"/>
    <col min="3335" max="3336" width="9.28515625" style="622" bestFit="1" customWidth="1"/>
    <col min="3337" max="3337" width="9.140625" style="622"/>
    <col min="3338" max="3339" width="11.7109375" style="622" bestFit="1" customWidth="1"/>
    <col min="3340" max="3342" width="10.140625" style="622" bestFit="1" customWidth="1"/>
    <col min="3343" max="3585" width="9.140625" style="622"/>
    <col min="3586" max="3586" width="21.5703125" style="622" customWidth="1"/>
    <col min="3587" max="3587" width="9.140625" style="622"/>
    <col min="3588" max="3589" width="10.140625" style="622" bestFit="1" customWidth="1"/>
    <col min="3590" max="3590" width="9.140625" style="622"/>
    <col min="3591" max="3592" width="9.28515625" style="622" bestFit="1" customWidth="1"/>
    <col min="3593" max="3593" width="9.140625" style="622"/>
    <col min="3594" max="3595" width="11.7109375" style="622" bestFit="1" customWidth="1"/>
    <col min="3596" max="3598" width="10.140625" style="622" bestFit="1" customWidth="1"/>
    <col min="3599" max="3841" width="9.140625" style="622"/>
    <col min="3842" max="3842" width="21.5703125" style="622" customWidth="1"/>
    <col min="3843" max="3843" width="9.140625" style="622"/>
    <col min="3844" max="3845" width="10.140625" style="622" bestFit="1" customWidth="1"/>
    <col min="3846" max="3846" width="9.140625" style="622"/>
    <col min="3847" max="3848" width="9.28515625" style="622" bestFit="1" customWidth="1"/>
    <col min="3849" max="3849" width="9.140625" style="622"/>
    <col min="3850" max="3851" width="11.7109375" style="622" bestFit="1" customWidth="1"/>
    <col min="3852" max="3854" width="10.140625" style="622" bestFit="1" customWidth="1"/>
    <col min="3855" max="4097" width="9.140625" style="622"/>
    <col min="4098" max="4098" width="21.5703125" style="622" customWidth="1"/>
    <col min="4099" max="4099" width="9.140625" style="622"/>
    <col min="4100" max="4101" width="10.140625" style="622" bestFit="1" customWidth="1"/>
    <col min="4102" max="4102" width="9.140625" style="622"/>
    <col min="4103" max="4104" width="9.28515625" style="622" bestFit="1" customWidth="1"/>
    <col min="4105" max="4105" width="9.140625" style="622"/>
    <col min="4106" max="4107" width="11.7109375" style="622" bestFit="1" customWidth="1"/>
    <col min="4108" max="4110" width="10.140625" style="622" bestFit="1" customWidth="1"/>
    <col min="4111" max="4353" width="9.140625" style="622"/>
    <col min="4354" max="4354" width="21.5703125" style="622" customWidth="1"/>
    <col min="4355" max="4355" width="9.140625" style="622"/>
    <col min="4356" max="4357" width="10.140625" style="622" bestFit="1" customWidth="1"/>
    <col min="4358" max="4358" width="9.140625" style="622"/>
    <col min="4359" max="4360" width="9.28515625" style="622" bestFit="1" customWidth="1"/>
    <col min="4361" max="4361" width="9.140625" style="622"/>
    <col min="4362" max="4363" width="11.7109375" style="622" bestFit="1" customWidth="1"/>
    <col min="4364" max="4366" width="10.140625" style="622" bestFit="1" customWidth="1"/>
    <col min="4367" max="4609" width="9.140625" style="622"/>
    <col min="4610" max="4610" width="21.5703125" style="622" customWidth="1"/>
    <col min="4611" max="4611" width="9.140625" style="622"/>
    <col min="4612" max="4613" width="10.140625" style="622" bestFit="1" customWidth="1"/>
    <col min="4614" max="4614" width="9.140625" style="622"/>
    <col min="4615" max="4616" width="9.28515625" style="622" bestFit="1" customWidth="1"/>
    <col min="4617" max="4617" width="9.140625" style="622"/>
    <col min="4618" max="4619" width="11.7109375" style="622" bestFit="1" customWidth="1"/>
    <col min="4620" max="4622" width="10.140625" style="622" bestFit="1" customWidth="1"/>
    <col min="4623" max="4865" width="9.140625" style="622"/>
    <col min="4866" max="4866" width="21.5703125" style="622" customWidth="1"/>
    <col min="4867" max="4867" width="9.140625" style="622"/>
    <col min="4868" max="4869" width="10.140625" style="622" bestFit="1" customWidth="1"/>
    <col min="4870" max="4870" width="9.140625" style="622"/>
    <col min="4871" max="4872" width="9.28515625" style="622" bestFit="1" customWidth="1"/>
    <col min="4873" max="4873" width="9.140625" style="622"/>
    <col min="4874" max="4875" width="11.7109375" style="622" bestFit="1" customWidth="1"/>
    <col min="4876" max="4878" width="10.140625" style="622" bestFit="1" customWidth="1"/>
    <col min="4879" max="5121" width="9.140625" style="622"/>
    <col min="5122" max="5122" width="21.5703125" style="622" customWidth="1"/>
    <col min="5123" max="5123" width="9.140625" style="622"/>
    <col min="5124" max="5125" width="10.140625" style="622" bestFit="1" customWidth="1"/>
    <col min="5126" max="5126" width="9.140625" style="622"/>
    <col min="5127" max="5128" width="9.28515625" style="622" bestFit="1" customWidth="1"/>
    <col min="5129" max="5129" width="9.140625" style="622"/>
    <col min="5130" max="5131" width="11.7109375" style="622" bestFit="1" customWidth="1"/>
    <col min="5132" max="5134" width="10.140625" style="622" bestFit="1" customWidth="1"/>
    <col min="5135" max="5377" width="9.140625" style="622"/>
    <col min="5378" max="5378" width="21.5703125" style="622" customWidth="1"/>
    <col min="5379" max="5379" width="9.140625" style="622"/>
    <col min="5380" max="5381" width="10.140625" style="622" bestFit="1" customWidth="1"/>
    <col min="5382" max="5382" width="9.140625" style="622"/>
    <col min="5383" max="5384" width="9.28515625" style="622" bestFit="1" customWidth="1"/>
    <col min="5385" max="5385" width="9.140625" style="622"/>
    <col min="5386" max="5387" width="11.7109375" style="622" bestFit="1" customWidth="1"/>
    <col min="5388" max="5390" width="10.140625" style="622" bestFit="1" customWidth="1"/>
    <col min="5391" max="5633" width="9.140625" style="622"/>
    <col min="5634" max="5634" width="21.5703125" style="622" customWidth="1"/>
    <col min="5635" max="5635" width="9.140625" style="622"/>
    <col min="5636" max="5637" width="10.140625" style="622" bestFit="1" customWidth="1"/>
    <col min="5638" max="5638" width="9.140625" style="622"/>
    <col min="5639" max="5640" width="9.28515625" style="622" bestFit="1" customWidth="1"/>
    <col min="5641" max="5641" width="9.140625" style="622"/>
    <col min="5642" max="5643" width="11.7109375" style="622" bestFit="1" customWidth="1"/>
    <col min="5644" max="5646" width="10.140625" style="622" bestFit="1" customWidth="1"/>
    <col min="5647" max="5889" width="9.140625" style="622"/>
    <col min="5890" max="5890" width="21.5703125" style="622" customWidth="1"/>
    <col min="5891" max="5891" width="9.140625" style="622"/>
    <col min="5892" max="5893" width="10.140625" style="622" bestFit="1" customWidth="1"/>
    <col min="5894" max="5894" width="9.140625" style="622"/>
    <col min="5895" max="5896" width="9.28515625" style="622" bestFit="1" customWidth="1"/>
    <col min="5897" max="5897" width="9.140625" style="622"/>
    <col min="5898" max="5899" width="11.7109375" style="622" bestFit="1" customWidth="1"/>
    <col min="5900" max="5902" width="10.140625" style="622" bestFit="1" customWidth="1"/>
    <col min="5903" max="6145" width="9.140625" style="622"/>
    <col min="6146" max="6146" width="21.5703125" style="622" customWidth="1"/>
    <col min="6147" max="6147" width="9.140625" style="622"/>
    <col min="6148" max="6149" width="10.140625" style="622" bestFit="1" customWidth="1"/>
    <col min="6150" max="6150" width="9.140625" style="622"/>
    <col min="6151" max="6152" width="9.28515625" style="622" bestFit="1" customWidth="1"/>
    <col min="6153" max="6153" width="9.140625" style="622"/>
    <col min="6154" max="6155" width="11.7109375" style="622" bestFit="1" customWidth="1"/>
    <col min="6156" max="6158" width="10.140625" style="622" bestFit="1" customWidth="1"/>
    <col min="6159" max="6401" width="9.140625" style="622"/>
    <col min="6402" max="6402" width="21.5703125" style="622" customWidth="1"/>
    <col min="6403" max="6403" width="9.140625" style="622"/>
    <col min="6404" max="6405" width="10.140625" style="622" bestFit="1" customWidth="1"/>
    <col min="6406" max="6406" width="9.140625" style="622"/>
    <col min="6407" max="6408" width="9.28515625" style="622" bestFit="1" customWidth="1"/>
    <col min="6409" max="6409" width="9.140625" style="622"/>
    <col min="6410" max="6411" width="11.7109375" style="622" bestFit="1" customWidth="1"/>
    <col min="6412" max="6414" width="10.140625" style="622" bestFit="1" customWidth="1"/>
    <col min="6415" max="6657" width="9.140625" style="622"/>
    <col min="6658" max="6658" width="21.5703125" style="622" customWidth="1"/>
    <col min="6659" max="6659" width="9.140625" style="622"/>
    <col min="6660" max="6661" width="10.140625" style="622" bestFit="1" customWidth="1"/>
    <col min="6662" max="6662" width="9.140625" style="622"/>
    <col min="6663" max="6664" width="9.28515625" style="622" bestFit="1" customWidth="1"/>
    <col min="6665" max="6665" width="9.140625" style="622"/>
    <col min="6666" max="6667" width="11.7109375" style="622" bestFit="1" customWidth="1"/>
    <col min="6668" max="6670" width="10.140625" style="622" bestFit="1" customWidth="1"/>
    <col min="6671" max="6913" width="9.140625" style="622"/>
    <col min="6914" max="6914" width="21.5703125" style="622" customWidth="1"/>
    <col min="6915" max="6915" width="9.140625" style="622"/>
    <col min="6916" max="6917" width="10.140625" style="622" bestFit="1" customWidth="1"/>
    <col min="6918" max="6918" width="9.140625" style="622"/>
    <col min="6919" max="6920" width="9.28515625" style="622" bestFit="1" customWidth="1"/>
    <col min="6921" max="6921" width="9.140625" style="622"/>
    <col min="6922" max="6923" width="11.7109375" style="622" bestFit="1" customWidth="1"/>
    <col min="6924" max="6926" width="10.140625" style="622" bestFit="1" customWidth="1"/>
    <col min="6927" max="7169" width="9.140625" style="622"/>
    <col min="7170" max="7170" width="21.5703125" style="622" customWidth="1"/>
    <col min="7171" max="7171" width="9.140625" style="622"/>
    <col min="7172" max="7173" width="10.140625" style="622" bestFit="1" customWidth="1"/>
    <col min="7174" max="7174" width="9.140625" style="622"/>
    <col min="7175" max="7176" width="9.28515625" style="622" bestFit="1" customWidth="1"/>
    <col min="7177" max="7177" width="9.140625" style="622"/>
    <col min="7178" max="7179" width="11.7109375" style="622" bestFit="1" customWidth="1"/>
    <col min="7180" max="7182" width="10.140625" style="622" bestFit="1" customWidth="1"/>
    <col min="7183" max="7425" width="9.140625" style="622"/>
    <col min="7426" max="7426" width="21.5703125" style="622" customWidth="1"/>
    <col min="7427" max="7427" width="9.140625" style="622"/>
    <col min="7428" max="7429" width="10.140625" style="622" bestFit="1" customWidth="1"/>
    <col min="7430" max="7430" width="9.140625" style="622"/>
    <col min="7431" max="7432" width="9.28515625" style="622" bestFit="1" customWidth="1"/>
    <col min="7433" max="7433" width="9.140625" style="622"/>
    <col min="7434" max="7435" width="11.7109375" style="622" bestFit="1" customWidth="1"/>
    <col min="7436" max="7438" width="10.140625" style="622" bestFit="1" customWidth="1"/>
    <col min="7439" max="7681" width="9.140625" style="622"/>
    <col min="7682" max="7682" width="21.5703125" style="622" customWidth="1"/>
    <col min="7683" max="7683" width="9.140625" style="622"/>
    <col min="7684" max="7685" width="10.140625" style="622" bestFit="1" customWidth="1"/>
    <col min="7686" max="7686" width="9.140625" style="622"/>
    <col min="7687" max="7688" width="9.28515625" style="622" bestFit="1" customWidth="1"/>
    <col min="7689" max="7689" width="9.140625" style="622"/>
    <col min="7690" max="7691" width="11.7109375" style="622" bestFit="1" customWidth="1"/>
    <col min="7692" max="7694" width="10.140625" style="622" bestFit="1" customWidth="1"/>
    <col min="7695" max="7937" width="9.140625" style="622"/>
    <col min="7938" max="7938" width="21.5703125" style="622" customWidth="1"/>
    <col min="7939" max="7939" width="9.140625" style="622"/>
    <col min="7940" max="7941" width="10.140625" style="622" bestFit="1" customWidth="1"/>
    <col min="7942" max="7942" width="9.140625" style="622"/>
    <col min="7943" max="7944" width="9.28515625" style="622" bestFit="1" customWidth="1"/>
    <col min="7945" max="7945" width="9.140625" style="622"/>
    <col min="7946" max="7947" width="11.7109375" style="622" bestFit="1" customWidth="1"/>
    <col min="7948" max="7950" width="10.140625" style="622" bestFit="1" customWidth="1"/>
    <col min="7951" max="8193" width="9.140625" style="622"/>
    <col min="8194" max="8194" width="21.5703125" style="622" customWidth="1"/>
    <col min="8195" max="8195" width="9.140625" style="622"/>
    <col min="8196" max="8197" width="10.140625" style="622" bestFit="1" customWidth="1"/>
    <col min="8198" max="8198" width="9.140625" style="622"/>
    <col min="8199" max="8200" width="9.28515625" style="622" bestFit="1" customWidth="1"/>
    <col min="8201" max="8201" width="9.140625" style="622"/>
    <col min="8202" max="8203" width="11.7109375" style="622" bestFit="1" customWidth="1"/>
    <col min="8204" max="8206" width="10.140625" style="622" bestFit="1" customWidth="1"/>
    <col min="8207" max="8449" width="9.140625" style="622"/>
    <col min="8450" max="8450" width="21.5703125" style="622" customWidth="1"/>
    <col min="8451" max="8451" width="9.140625" style="622"/>
    <col min="8452" max="8453" width="10.140625" style="622" bestFit="1" customWidth="1"/>
    <col min="8454" max="8454" width="9.140625" style="622"/>
    <col min="8455" max="8456" width="9.28515625" style="622" bestFit="1" customWidth="1"/>
    <col min="8457" max="8457" width="9.140625" style="622"/>
    <col min="8458" max="8459" width="11.7109375" style="622" bestFit="1" customWidth="1"/>
    <col min="8460" max="8462" width="10.140625" style="622" bestFit="1" customWidth="1"/>
    <col min="8463" max="8705" width="9.140625" style="622"/>
    <col min="8706" max="8706" width="21.5703125" style="622" customWidth="1"/>
    <col min="8707" max="8707" width="9.140625" style="622"/>
    <col min="8708" max="8709" width="10.140625" style="622" bestFit="1" customWidth="1"/>
    <col min="8710" max="8710" width="9.140625" style="622"/>
    <col min="8711" max="8712" width="9.28515625" style="622" bestFit="1" customWidth="1"/>
    <col min="8713" max="8713" width="9.140625" style="622"/>
    <col min="8714" max="8715" width="11.7109375" style="622" bestFit="1" customWidth="1"/>
    <col min="8716" max="8718" width="10.140625" style="622" bestFit="1" customWidth="1"/>
    <col min="8719" max="8961" width="9.140625" style="622"/>
    <col min="8962" max="8962" width="21.5703125" style="622" customWidth="1"/>
    <col min="8963" max="8963" width="9.140625" style="622"/>
    <col min="8964" max="8965" width="10.140625" style="622" bestFit="1" customWidth="1"/>
    <col min="8966" max="8966" width="9.140625" style="622"/>
    <col min="8967" max="8968" width="9.28515625" style="622" bestFit="1" customWidth="1"/>
    <col min="8969" max="8969" width="9.140625" style="622"/>
    <col min="8970" max="8971" width="11.7109375" style="622" bestFit="1" customWidth="1"/>
    <col min="8972" max="8974" width="10.140625" style="622" bestFit="1" customWidth="1"/>
    <col min="8975" max="9217" width="9.140625" style="622"/>
    <col min="9218" max="9218" width="21.5703125" style="622" customWidth="1"/>
    <col min="9219" max="9219" width="9.140625" style="622"/>
    <col min="9220" max="9221" width="10.140625" style="622" bestFit="1" customWidth="1"/>
    <col min="9222" max="9222" width="9.140625" style="622"/>
    <col min="9223" max="9224" width="9.28515625" style="622" bestFit="1" customWidth="1"/>
    <col min="9225" max="9225" width="9.140625" style="622"/>
    <col min="9226" max="9227" width="11.7109375" style="622" bestFit="1" customWidth="1"/>
    <col min="9228" max="9230" width="10.140625" style="622" bestFit="1" customWidth="1"/>
    <col min="9231" max="9473" width="9.140625" style="622"/>
    <col min="9474" max="9474" width="21.5703125" style="622" customWidth="1"/>
    <col min="9475" max="9475" width="9.140625" style="622"/>
    <col min="9476" max="9477" width="10.140625" style="622" bestFit="1" customWidth="1"/>
    <col min="9478" max="9478" width="9.140625" style="622"/>
    <col min="9479" max="9480" width="9.28515625" style="622" bestFit="1" customWidth="1"/>
    <col min="9481" max="9481" width="9.140625" style="622"/>
    <col min="9482" max="9483" width="11.7109375" style="622" bestFit="1" customWidth="1"/>
    <col min="9484" max="9486" width="10.140625" style="622" bestFit="1" customWidth="1"/>
    <col min="9487" max="9729" width="9.140625" style="622"/>
    <col min="9730" max="9730" width="21.5703125" style="622" customWidth="1"/>
    <col min="9731" max="9731" width="9.140625" style="622"/>
    <col min="9732" max="9733" width="10.140625" style="622" bestFit="1" customWidth="1"/>
    <col min="9734" max="9734" width="9.140625" style="622"/>
    <col min="9735" max="9736" width="9.28515625" style="622" bestFit="1" customWidth="1"/>
    <col min="9737" max="9737" width="9.140625" style="622"/>
    <col min="9738" max="9739" width="11.7109375" style="622" bestFit="1" customWidth="1"/>
    <col min="9740" max="9742" width="10.140625" style="622" bestFit="1" customWidth="1"/>
    <col min="9743" max="9985" width="9.140625" style="622"/>
    <col min="9986" max="9986" width="21.5703125" style="622" customWidth="1"/>
    <col min="9987" max="9987" width="9.140625" style="622"/>
    <col min="9988" max="9989" width="10.140625" style="622" bestFit="1" customWidth="1"/>
    <col min="9990" max="9990" width="9.140625" style="622"/>
    <col min="9991" max="9992" width="9.28515625" style="622" bestFit="1" customWidth="1"/>
    <col min="9993" max="9993" width="9.140625" style="622"/>
    <col min="9994" max="9995" width="11.7109375" style="622" bestFit="1" customWidth="1"/>
    <col min="9996" max="9998" width="10.140625" style="622" bestFit="1" customWidth="1"/>
    <col min="9999" max="10241" width="9.140625" style="622"/>
    <col min="10242" max="10242" width="21.5703125" style="622" customWidth="1"/>
    <col min="10243" max="10243" width="9.140625" style="622"/>
    <col min="10244" max="10245" width="10.140625" style="622" bestFit="1" customWidth="1"/>
    <col min="10246" max="10246" width="9.140625" style="622"/>
    <col min="10247" max="10248" width="9.28515625" style="622" bestFit="1" customWidth="1"/>
    <col min="10249" max="10249" width="9.140625" style="622"/>
    <col min="10250" max="10251" width="11.7109375" style="622" bestFit="1" customWidth="1"/>
    <col min="10252" max="10254" width="10.140625" style="622" bestFit="1" customWidth="1"/>
    <col min="10255" max="10497" width="9.140625" style="622"/>
    <col min="10498" max="10498" width="21.5703125" style="622" customWidth="1"/>
    <col min="10499" max="10499" width="9.140625" style="622"/>
    <col min="10500" max="10501" width="10.140625" style="622" bestFit="1" customWidth="1"/>
    <col min="10502" max="10502" width="9.140625" style="622"/>
    <col min="10503" max="10504" width="9.28515625" style="622" bestFit="1" customWidth="1"/>
    <col min="10505" max="10505" width="9.140625" style="622"/>
    <col min="10506" max="10507" width="11.7109375" style="622" bestFit="1" customWidth="1"/>
    <col min="10508" max="10510" width="10.140625" style="622" bestFit="1" customWidth="1"/>
    <col min="10511" max="10753" width="9.140625" style="622"/>
    <col min="10754" max="10754" width="21.5703125" style="622" customWidth="1"/>
    <col min="10755" max="10755" width="9.140625" style="622"/>
    <col min="10756" max="10757" width="10.140625" style="622" bestFit="1" customWidth="1"/>
    <col min="10758" max="10758" width="9.140625" style="622"/>
    <col min="10759" max="10760" width="9.28515625" style="622" bestFit="1" customWidth="1"/>
    <col min="10761" max="10761" width="9.140625" style="622"/>
    <col min="10762" max="10763" width="11.7109375" style="622" bestFit="1" customWidth="1"/>
    <col min="10764" max="10766" width="10.140625" style="622" bestFit="1" customWidth="1"/>
    <col min="10767" max="11009" width="9.140625" style="622"/>
    <col min="11010" max="11010" width="21.5703125" style="622" customWidth="1"/>
    <col min="11011" max="11011" width="9.140625" style="622"/>
    <col min="11012" max="11013" width="10.140625" style="622" bestFit="1" customWidth="1"/>
    <col min="11014" max="11014" width="9.140625" style="622"/>
    <col min="11015" max="11016" width="9.28515625" style="622" bestFit="1" customWidth="1"/>
    <col min="11017" max="11017" width="9.140625" style="622"/>
    <col min="11018" max="11019" width="11.7109375" style="622" bestFit="1" customWidth="1"/>
    <col min="11020" max="11022" width="10.140625" style="622" bestFit="1" customWidth="1"/>
    <col min="11023" max="11265" width="9.140625" style="622"/>
    <col min="11266" max="11266" width="21.5703125" style="622" customWidth="1"/>
    <col min="11267" max="11267" width="9.140625" style="622"/>
    <col min="11268" max="11269" width="10.140625" style="622" bestFit="1" customWidth="1"/>
    <col min="11270" max="11270" width="9.140625" style="622"/>
    <col min="11271" max="11272" width="9.28515625" style="622" bestFit="1" customWidth="1"/>
    <col min="11273" max="11273" width="9.140625" style="622"/>
    <col min="11274" max="11275" width="11.7109375" style="622" bestFit="1" customWidth="1"/>
    <col min="11276" max="11278" width="10.140625" style="622" bestFit="1" customWidth="1"/>
    <col min="11279" max="11521" width="9.140625" style="622"/>
    <col min="11522" max="11522" width="21.5703125" style="622" customWidth="1"/>
    <col min="11523" max="11523" width="9.140625" style="622"/>
    <col min="11524" max="11525" width="10.140625" style="622" bestFit="1" customWidth="1"/>
    <col min="11526" max="11526" width="9.140625" style="622"/>
    <col min="11527" max="11528" width="9.28515625" style="622" bestFit="1" customWidth="1"/>
    <col min="11529" max="11529" width="9.140625" style="622"/>
    <col min="11530" max="11531" width="11.7109375" style="622" bestFit="1" customWidth="1"/>
    <col min="11532" max="11534" width="10.140625" style="622" bestFit="1" customWidth="1"/>
    <col min="11535" max="11777" width="9.140625" style="622"/>
    <col min="11778" max="11778" width="21.5703125" style="622" customWidth="1"/>
    <col min="11779" max="11779" width="9.140625" style="622"/>
    <col min="11780" max="11781" width="10.140625" style="622" bestFit="1" customWidth="1"/>
    <col min="11782" max="11782" width="9.140625" style="622"/>
    <col min="11783" max="11784" width="9.28515625" style="622" bestFit="1" customWidth="1"/>
    <col min="11785" max="11785" width="9.140625" style="622"/>
    <col min="11786" max="11787" width="11.7109375" style="622" bestFit="1" customWidth="1"/>
    <col min="11788" max="11790" width="10.140625" style="622" bestFit="1" customWidth="1"/>
    <col min="11791" max="12033" width="9.140625" style="622"/>
    <col min="12034" max="12034" width="21.5703125" style="622" customWidth="1"/>
    <col min="12035" max="12035" width="9.140625" style="622"/>
    <col min="12036" max="12037" width="10.140625" style="622" bestFit="1" customWidth="1"/>
    <col min="12038" max="12038" width="9.140625" style="622"/>
    <col min="12039" max="12040" width="9.28515625" style="622" bestFit="1" customWidth="1"/>
    <col min="12041" max="12041" width="9.140625" style="622"/>
    <col min="12042" max="12043" width="11.7109375" style="622" bestFit="1" customWidth="1"/>
    <col min="12044" max="12046" width="10.140625" style="622" bestFit="1" customWidth="1"/>
    <col min="12047" max="12289" width="9.140625" style="622"/>
    <col min="12290" max="12290" width="21.5703125" style="622" customWidth="1"/>
    <col min="12291" max="12291" width="9.140625" style="622"/>
    <col min="12292" max="12293" width="10.140625" style="622" bestFit="1" customWidth="1"/>
    <col min="12294" max="12294" width="9.140625" style="622"/>
    <col min="12295" max="12296" width="9.28515625" style="622" bestFit="1" customWidth="1"/>
    <col min="12297" max="12297" width="9.140625" style="622"/>
    <col min="12298" max="12299" width="11.7109375" style="622" bestFit="1" customWidth="1"/>
    <col min="12300" max="12302" width="10.140625" style="622" bestFit="1" customWidth="1"/>
    <col min="12303" max="12545" width="9.140625" style="622"/>
    <col min="12546" max="12546" width="21.5703125" style="622" customWidth="1"/>
    <col min="12547" max="12547" width="9.140625" style="622"/>
    <col min="12548" max="12549" width="10.140625" style="622" bestFit="1" customWidth="1"/>
    <col min="12550" max="12550" width="9.140625" style="622"/>
    <col min="12551" max="12552" width="9.28515625" style="622" bestFit="1" customWidth="1"/>
    <col min="12553" max="12553" width="9.140625" style="622"/>
    <col min="12554" max="12555" width="11.7109375" style="622" bestFit="1" customWidth="1"/>
    <col min="12556" max="12558" width="10.140625" style="622" bestFit="1" customWidth="1"/>
    <col min="12559" max="12801" width="9.140625" style="622"/>
    <col min="12802" max="12802" width="21.5703125" style="622" customWidth="1"/>
    <col min="12803" max="12803" width="9.140625" style="622"/>
    <col min="12804" max="12805" width="10.140625" style="622" bestFit="1" customWidth="1"/>
    <col min="12806" max="12806" width="9.140625" style="622"/>
    <col min="12807" max="12808" width="9.28515625" style="622" bestFit="1" customWidth="1"/>
    <col min="12809" max="12809" width="9.140625" style="622"/>
    <col min="12810" max="12811" width="11.7109375" style="622" bestFit="1" customWidth="1"/>
    <col min="12812" max="12814" width="10.140625" style="622" bestFit="1" customWidth="1"/>
    <col min="12815" max="13057" width="9.140625" style="622"/>
    <col min="13058" max="13058" width="21.5703125" style="622" customWidth="1"/>
    <col min="13059" max="13059" width="9.140625" style="622"/>
    <col min="13060" max="13061" width="10.140625" style="622" bestFit="1" customWidth="1"/>
    <col min="13062" max="13062" width="9.140625" style="622"/>
    <col min="13063" max="13064" width="9.28515625" style="622" bestFit="1" customWidth="1"/>
    <col min="13065" max="13065" width="9.140625" style="622"/>
    <col min="13066" max="13067" width="11.7109375" style="622" bestFit="1" customWidth="1"/>
    <col min="13068" max="13070" width="10.140625" style="622" bestFit="1" customWidth="1"/>
    <col min="13071" max="13313" width="9.140625" style="622"/>
    <col min="13314" max="13314" width="21.5703125" style="622" customWidth="1"/>
    <col min="13315" max="13315" width="9.140625" style="622"/>
    <col min="13316" max="13317" width="10.140625" style="622" bestFit="1" customWidth="1"/>
    <col min="13318" max="13318" width="9.140625" style="622"/>
    <col min="13319" max="13320" width="9.28515625" style="622" bestFit="1" customWidth="1"/>
    <col min="13321" max="13321" width="9.140625" style="622"/>
    <col min="13322" max="13323" width="11.7109375" style="622" bestFit="1" customWidth="1"/>
    <col min="13324" max="13326" width="10.140625" style="622" bestFit="1" customWidth="1"/>
    <col min="13327" max="13569" width="9.140625" style="622"/>
    <col min="13570" max="13570" width="21.5703125" style="622" customWidth="1"/>
    <col min="13571" max="13571" width="9.140625" style="622"/>
    <col min="13572" max="13573" width="10.140625" style="622" bestFit="1" customWidth="1"/>
    <col min="13574" max="13574" width="9.140625" style="622"/>
    <col min="13575" max="13576" width="9.28515625" style="622" bestFit="1" customWidth="1"/>
    <col min="13577" max="13577" width="9.140625" style="622"/>
    <col min="13578" max="13579" width="11.7109375" style="622" bestFit="1" customWidth="1"/>
    <col min="13580" max="13582" width="10.140625" style="622" bestFit="1" customWidth="1"/>
    <col min="13583" max="13825" width="9.140625" style="622"/>
    <col min="13826" max="13826" width="21.5703125" style="622" customWidth="1"/>
    <col min="13827" max="13827" width="9.140625" style="622"/>
    <col min="13828" max="13829" width="10.140625" style="622" bestFit="1" customWidth="1"/>
    <col min="13830" max="13830" width="9.140625" style="622"/>
    <col min="13831" max="13832" width="9.28515625" style="622" bestFit="1" customWidth="1"/>
    <col min="13833" max="13833" width="9.140625" style="622"/>
    <col min="13834" max="13835" width="11.7109375" style="622" bestFit="1" customWidth="1"/>
    <col min="13836" max="13838" width="10.140625" style="622" bestFit="1" customWidth="1"/>
    <col min="13839" max="14081" width="9.140625" style="622"/>
    <col min="14082" max="14082" width="21.5703125" style="622" customWidth="1"/>
    <col min="14083" max="14083" width="9.140625" style="622"/>
    <col min="14084" max="14085" width="10.140625" style="622" bestFit="1" customWidth="1"/>
    <col min="14086" max="14086" width="9.140625" style="622"/>
    <col min="14087" max="14088" width="9.28515625" style="622" bestFit="1" customWidth="1"/>
    <col min="14089" max="14089" width="9.140625" style="622"/>
    <col min="14090" max="14091" width="11.7109375" style="622" bestFit="1" customWidth="1"/>
    <col min="14092" max="14094" width="10.140625" style="622" bestFit="1" customWidth="1"/>
    <col min="14095" max="14337" width="9.140625" style="622"/>
    <col min="14338" max="14338" width="21.5703125" style="622" customWidth="1"/>
    <col min="14339" max="14339" width="9.140625" style="622"/>
    <col min="14340" max="14341" width="10.140625" style="622" bestFit="1" customWidth="1"/>
    <col min="14342" max="14342" width="9.140625" style="622"/>
    <col min="14343" max="14344" width="9.28515625" style="622" bestFit="1" customWidth="1"/>
    <col min="14345" max="14345" width="9.140625" style="622"/>
    <col min="14346" max="14347" width="11.7109375" style="622" bestFit="1" customWidth="1"/>
    <col min="14348" max="14350" width="10.140625" style="622" bestFit="1" customWidth="1"/>
    <col min="14351" max="14593" width="9.140625" style="622"/>
    <col min="14594" max="14594" width="21.5703125" style="622" customWidth="1"/>
    <col min="14595" max="14595" width="9.140625" style="622"/>
    <col min="14596" max="14597" width="10.140625" style="622" bestFit="1" customWidth="1"/>
    <col min="14598" max="14598" width="9.140625" style="622"/>
    <col min="14599" max="14600" width="9.28515625" style="622" bestFit="1" customWidth="1"/>
    <col min="14601" max="14601" width="9.140625" style="622"/>
    <col min="14602" max="14603" width="11.7109375" style="622" bestFit="1" customWidth="1"/>
    <col min="14604" max="14606" width="10.140625" style="622" bestFit="1" customWidth="1"/>
    <col min="14607" max="14849" width="9.140625" style="622"/>
    <col min="14850" max="14850" width="21.5703125" style="622" customWidth="1"/>
    <col min="14851" max="14851" width="9.140625" style="622"/>
    <col min="14852" max="14853" width="10.140625" style="622" bestFit="1" customWidth="1"/>
    <col min="14854" max="14854" width="9.140625" style="622"/>
    <col min="14855" max="14856" width="9.28515625" style="622" bestFit="1" customWidth="1"/>
    <col min="14857" max="14857" width="9.140625" style="622"/>
    <col min="14858" max="14859" width="11.7109375" style="622" bestFit="1" customWidth="1"/>
    <col min="14860" max="14862" width="10.140625" style="622" bestFit="1" customWidth="1"/>
    <col min="14863" max="15105" width="9.140625" style="622"/>
    <col min="15106" max="15106" width="21.5703125" style="622" customWidth="1"/>
    <col min="15107" max="15107" width="9.140625" style="622"/>
    <col min="15108" max="15109" width="10.140625" style="622" bestFit="1" customWidth="1"/>
    <col min="15110" max="15110" width="9.140625" style="622"/>
    <col min="15111" max="15112" width="9.28515625" style="622" bestFit="1" customWidth="1"/>
    <col min="15113" max="15113" width="9.140625" style="622"/>
    <col min="15114" max="15115" width="11.7109375" style="622" bestFit="1" customWidth="1"/>
    <col min="15116" max="15118" width="10.140625" style="622" bestFit="1" customWidth="1"/>
    <col min="15119" max="15361" width="9.140625" style="622"/>
    <col min="15362" max="15362" width="21.5703125" style="622" customWidth="1"/>
    <col min="15363" max="15363" width="9.140625" style="622"/>
    <col min="15364" max="15365" width="10.140625" style="622" bestFit="1" customWidth="1"/>
    <col min="15366" max="15366" width="9.140625" style="622"/>
    <col min="15367" max="15368" width="9.28515625" style="622" bestFit="1" customWidth="1"/>
    <col min="15369" max="15369" width="9.140625" style="622"/>
    <col min="15370" max="15371" width="11.7109375" style="622" bestFit="1" customWidth="1"/>
    <col min="15372" max="15374" width="10.140625" style="622" bestFit="1" customWidth="1"/>
    <col min="15375" max="15617" width="9.140625" style="622"/>
    <col min="15618" max="15618" width="21.5703125" style="622" customWidth="1"/>
    <col min="15619" max="15619" width="9.140625" style="622"/>
    <col min="15620" max="15621" width="10.140625" style="622" bestFit="1" customWidth="1"/>
    <col min="15622" max="15622" width="9.140625" style="622"/>
    <col min="15623" max="15624" width="9.28515625" style="622" bestFit="1" customWidth="1"/>
    <col min="15625" max="15625" width="9.140625" style="622"/>
    <col min="15626" max="15627" width="11.7109375" style="622" bestFit="1" customWidth="1"/>
    <col min="15628" max="15630" width="10.140625" style="622" bestFit="1" customWidth="1"/>
    <col min="15631" max="15873" width="9.140625" style="622"/>
    <col min="15874" max="15874" width="21.5703125" style="622" customWidth="1"/>
    <col min="15875" max="15875" width="9.140625" style="622"/>
    <col min="15876" max="15877" width="10.140625" style="622" bestFit="1" customWidth="1"/>
    <col min="15878" max="15878" width="9.140625" style="622"/>
    <col min="15879" max="15880" width="9.28515625" style="622" bestFit="1" customWidth="1"/>
    <col min="15881" max="15881" width="9.140625" style="622"/>
    <col min="15882" max="15883" width="11.7109375" style="622" bestFit="1" customWidth="1"/>
    <col min="15884" max="15886" width="10.140625" style="622" bestFit="1" customWidth="1"/>
    <col min="15887" max="16129" width="9.140625" style="622"/>
    <col min="16130" max="16130" width="21.5703125" style="622" customWidth="1"/>
    <col min="16131" max="16131" width="9.140625" style="622"/>
    <col min="16132" max="16133" width="10.140625" style="622" bestFit="1" customWidth="1"/>
    <col min="16134" max="16134" width="9.140625" style="622"/>
    <col min="16135" max="16136" width="9.28515625" style="622" bestFit="1" customWidth="1"/>
    <col min="16137" max="16137" width="9.140625" style="622"/>
    <col min="16138" max="16139" width="11.7109375" style="622" bestFit="1" customWidth="1"/>
    <col min="16140" max="16142" width="10.140625" style="622" bestFit="1" customWidth="1"/>
    <col min="16143" max="16384" width="9.140625" style="622"/>
  </cols>
  <sheetData>
    <row r="1" spans="1:14" ht="12.75" customHeight="1">
      <c r="A1" s="1567" t="s">
        <v>493</v>
      </c>
      <c r="B1" s="1310"/>
      <c r="C1" s="1310"/>
      <c r="D1" s="1310"/>
      <c r="E1" s="1310"/>
      <c r="F1" s="1310"/>
      <c r="G1" s="1310"/>
      <c r="H1" s="1568"/>
      <c r="I1" s="1569" t="s">
        <v>510</v>
      </c>
      <c r="J1" s="1523"/>
      <c r="K1" s="1523"/>
      <c r="L1" s="1523"/>
      <c r="M1" s="1523"/>
      <c r="N1" s="1527" t="s">
        <v>334</v>
      </c>
    </row>
    <row r="2" spans="1:14">
      <c r="A2" s="1571"/>
      <c r="B2" s="1572"/>
      <c r="C2" s="1572"/>
      <c r="D2" s="1572"/>
      <c r="E2" s="1572"/>
      <c r="F2" s="1572"/>
      <c r="G2" s="1572"/>
      <c r="H2" s="1572"/>
      <c r="I2" s="1570"/>
      <c r="J2" s="1525"/>
      <c r="K2" s="1525"/>
      <c r="L2" s="1525"/>
      <c r="M2" s="1525"/>
      <c r="N2" s="1528"/>
    </row>
    <row r="3" spans="1:14">
      <c r="A3" s="749" t="s">
        <v>747</v>
      </c>
      <c r="B3" s="748" t="str">
        <f>'F1 Forecast Consultant'!C3</f>
        <v>Western</v>
      </c>
      <c r="I3" s="1573" t="s">
        <v>495</v>
      </c>
      <c r="J3" s="1531"/>
      <c r="K3" s="1532">
        <f>'F1  Cover'!K8</f>
        <v>1</v>
      </c>
      <c r="L3" s="1533"/>
      <c r="M3" s="1533"/>
      <c r="N3" s="1534"/>
    </row>
    <row r="4" spans="1:14" ht="13.5" thickBot="1">
      <c r="A4" s="1563"/>
      <c r="B4" s="1564"/>
      <c r="C4" s="1564"/>
      <c r="D4" s="1564"/>
      <c r="E4" s="1564"/>
      <c r="F4" s="1564"/>
      <c r="G4" s="1564"/>
      <c r="H4" s="1564"/>
      <c r="I4" s="1565" t="s">
        <v>496</v>
      </c>
      <c r="J4" s="1566"/>
      <c r="K4" s="1555" t="str">
        <f>'F1 Forecast Combined'!E3</f>
        <v>NRA.N.011-050-2012/1F</v>
      </c>
      <c r="L4" s="1555"/>
      <c r="M4" s="1555"/>
      <c r="N4" s="1556"/>
    </row>
    <row r="5" spans="1:14" ht="13.5" thickBot="1">
      <c r="A5" s="727" t="s">
        <v>497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8.25" customHeight="1" thickBot="1">
      <c r="A6" s="624" t="s">
        <v>100</v>
      </c>
      <c r="B6" s="625" t="s">
        <v>0</v>
      </c>
      <c r="C6" s="755" t="s">
        <v>1</v>
      </c>
      <c r="D6" s="756" t="s">
        <v>498</v>
      </c>
      <c r="E6" s="420" t="s">
        <v>499</v>
      </c>
      <c r="F6" s="420" t="s">
        <v>500</v>
      </c>
      <c r="G6" s="420" t="s">
        <v>501</v>
      </c>
      <c r="H6" s="755" t="s">
        <v>502</v>
      </c>
      <c r="I6" s="756" t="s">
        <v>3</v>
      </c>
      <c r="J6" s="420" t="s">
        <v>503</v>
      </c>
      <c r="K6" s="420" t="s">
        <v>504</v>
      </c>
      <c r="L6" s="420" t="s">
        <v>505</v>
      </c>
      <c r="M6" s="420" t="s">
        <v>506</v>
      </c>
      <c r="N6" s="755" t="s">
        <v>507</v>
      </c>
    </row>
    <row r="7" spans="1:14" ht="31.5" customHeight="1">
      <c r="A7" s="624">
        <f>'Pricing Schedule'!A244</f>
        <v>3.6</v>
      </c>
      <c r="B7" s="625" t="str">
        <f>'Pricing Schedule'!B244</f>
        <v>CLARIFICATION MEETING, TENDER PERIOD AND TENDER EVALUATION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Schedule'!A245</f>
        <v>3.6.1</v>
      </c>
      <c r="B8" s="630" t="str">
        <f>'Pricing Schedule'!B245</f>
        <v>Clarification meeting and tender period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784"/>
      <c r="B9" s="630" t="str">
        <f>'Pricing Schedule'!B246</f>
        <v>(a)  Service Provider’s cost</v>
      </c>
      <c r="C9" s="630" t="str">
        <f>'Pricing Schedule'!C246</f>
        <v>lump sum (LS)</v>
      </c>
      <c r="D9" s="651">
        <v>1</v>
      </c>
      <c r="E9" s="1058">
        <v>1</v>
      </c>
      <c r="F9" s="855">
        <f>DATA!$ET$52</f>
        <v>0</v>
      </c>
      <c r="G9" s="722"/>
      <c r="H9" s="632">
        <f>F9+G9</f>
        <v>0</v>
      </c>
      <c r="I9" s="733">
        <f>'Pricing Schedule'!F246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629"/>
      <c r="B10" s="630" t="str">
        <f>'Pricing Schedule'!B247</f>
        <v>(b)  Provision for pre-recorded video</v>
      </c>
      <c r="C10" s="630" t="str">
        <f>'Pricing Schedule'!C247</f>
        <v>prime cost (PC)</v>
      </c>
      <c r="D10" s="651">
        <v>1</v>
      </c>
      <c r="E10" s="722">
        <f>D10</f>
        <v>1</v>
      </c>
      <c r="F10" s="855">
        <f>DATA!$EU$52</f>
        <v>0</v>
      </c>
      <c r="G10" s="854">
        <f>'Pg 4 P Sums'!K214-'C3.6'!F10</f>
        <v>0</v>
      </c>
      <c r="H10" s="632">
        <f>F10+G10</f>
        <v>0</v>
      </c>
      <c r="I10" s="733">
        <f>'Pricing Schedule'!F247</f>
        <v>50000</v>
      </c>
      <c r="J10" s="631">
        <f>D10*I10</f>
        <v>50000</v>
      </c>
      <c r="K10" s="631">
        <f>E10*I10</f>
        <v>50000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Schedule'!B248</f>
        <v>(c)  Handling costs i.r.o. pay item 3.6.1(b)</v>
      </c>
      <c r="C11" s="630" t="str">
        <f>'Pricing Schedule'!C248</f>
        <v>percentage (%)</v>
      </c>
      <c r="D11" s="651">
        <f>'Pricing Schedule'!D248</f>
        <v>50000</v>
      </c>
      <c r="E11" s="631">
        <f>K10</f>
        <v>50000</v>
      </c>
      <c r="F11" s="631">
        <f t="shared" ref="F11:G11" si="0">L10</f>
        <v>0</v>
      </c>
      <c r="G11" s="631">
        <f t="shared" si="0"/>
        <v>0</v>
      </c>
      <c r="H11" s="632">
        <f>F11+G11</f>
        <v>0</v>
      </c>
      <c r="I11" s="747">
        <f>'Pricing Schedule'!E248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>
      <c r="A12" s="629" t="str">
        <f>'Pricing Schedule'!A249</f>
        <v>3.6.2</v>
      </c>
      <c r="B12" s="630" t="str">
        <f>'Pricing Schedule'!B249</f>
        <v>Tender evaluation</v>
      </c>
      <c r="C12" s="643"/>
      <c r="D12" s="651"/>
      <c r="E12" s="631"/>
      <c r="F12" s="631"/>
      <c r="G12" s="631"/>
      <c r="H12" s="632"/>
      <c r="I12" s="754"/>
      <c r="J12" s="631"/>
      <c r="K12" s="631"/>
      <c r="L12" s="631"/>
      <c r="M12" s="631"/>
      <c r="N12" s="632"/>
    </row>
    <row r="13" spans="1:14" ht="31.5" customHeight="1">
      <c r="A13" s="784"/>
      <c r="B13" s="630" t="str">
        <f>'Pricing Schedule'!B250</f>
        <v>(a)   Tender evaluation and report</v>
      </c>
      <c r="C13" s="630" t="str">
        <f>'Pricing Schedule'!C250</f>
        <v>lump sum (LS)</v>
      </c>
      <c r="D13" s="651">
        <v>1</v>
      </c>
      <c r="E13" s="1058">
        <v>1</v>
      </c>
      <c r="F13" s="855">
        <f>DATA!$EV$52</f>
        <v>0</v>
      </c>
      <c r="G13" s="722"/>
      <c r="H13" s="632">
        <f>F13+G13</f>
        <v>0</v>
      </c>
      <c r="I13" s="733">
        <f>'Pricing Schedule'!F250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84"/>
      <c r="B14" s="630" t="str">
        <f>'Pricing Schedule'!B251</f>
        <v>(b)   Disbursements</v>
      </c>
      <c r="C14" s="630" t="str">
        <f>'Pricing Schedule'!C251</f>
        <v>lump sum (LS)</v>
      </c>
      <c r="D14" s="651">
        <v>1</v>
      </c>
      <c r="E14" s="1058">
        <v>1</v>
      </c>
      <c r="F14" s="855">
        <f>DATA!$EW$52</f>
        <v>0</v>
      </c>
      <c r="G14" s="722"/>
      <c r="H14" s="632">
        <f>F14+G14</f>
        <v>0</v>
      </c>
      <c r="I14" s="733">
        <f>'Pricing Schedule'!F251</f>
        <v>0</v>
      </c>
      <c r="J14" s="631">
        <f>D14*I14</f>
        <v>0</v>
      </c>
      <c r="K14" s="631">
        <f>E14*I14</f>
        <v>0</v>
      </c>
      <c r="L14" s="631">
        <f>F14*I14</f>
        <v>0</v>
      </c>
      <c r="M14" s="631">
        <f>G14*I14</f>
        <v>0</v>
      </c>
      <c r="N14" s="632">
        <f>H14*I14</f>
        <v>0</v>
      </c>
    </row>
    <row r="15" spans="1:14" ht="31.5" customHeight="1" thickBot="1">
      <c r="A15" s="784" t="str">
        <f>'Pricing Schedule'!A252</f>
        <v>3.6.3</v>
      </c>
      <c r="B15" s="630" t="str">
        <f>'Pricing Schedule'!B252</f>
        <v>Preparation of Works contract documents</v>
      </c>
      <c r="C15" s="630" t="str">
        <f>'Pricing Schedule'!C252</f>
        <v>lump sum (LS)</v>
      </c>
      <c r="D15" s="651">
        <v>1</v>
      </c>
      <c r="E15" s="1058">
        <v>1</v>
      </c>
      <c r="F15" s="855">
        <f>DATA!$JJ$52</f>
        <v>0</v>
      </c>
      <c r="G15" s="955"/>
      <c r="H15" s="632">
        <f>F15+G15</f>
        <v>0</v>
      </c>
      <c r="I15" s="733">
        <f>'Pricing Schedule'!F252</f>
        <v>0</v>
      </c>
      <c r="J15" s="631">
        <f>D15*I15</f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2">
        <f>H15*I15</f>
        <v>0</v>
      </c>
    </row>
    <row r="16" spans="1:14" ht="31.5" customHeight="1" thickBot="1">
      <c r="A16" s="1514" t="s">
        <v>508</v>
      </c>
      <c r="B16" s="1514"/>
      <c r="C16" s="1514"/>
      <c r="D16" s="716"/>
      <c r="E16" s="717"/>
      <c r="F16" s="717"/>
      <c r="G16" s="717"/>
      <c r="H16" s="718"/>
      <c r="I16" s="716"/>
      <c r="J16" s="720">
        <f>SUM(J8:J15)</f>
        <v>50000</v>
      </c>
      <c r="K16" s="720">
        <f t="shared" ref="K16:N16" si="1">SUM(K8:K15)</f>
        <v>50000</v>
      </c>
      <c r="L16" s="720">
        <f t="shared" si="1"/>
        <v>0</v>
      </c>
      <c r="M16" s="720">
        <f t="shared" si="1"/>
        <v>0</v>
      </c>
      <c r="N16" s="720">
        <f t="shared" si="1"/>
        <v>0</v>
      </c>
    </row>
    <row r="19" spans="1:14" ht="30.95" customHeight="1">
      <c r="A19" s="817" t="s">
        <v>653</v>
      </c>
      <c r="B19" s="817"/>
      <c r="J19" s="735">
        <f>J9+J13+J14+J15</f>
        <v>0</v>
      </c>
      <c r="K19" s="735">
        <f t="shared" ref="K19:N19" si="2">K9+K13+K14</f>
        <v>0</v>
      </c>
      <c r="L19" s="735">
        <f t="shared" si="2"/>
        <v>0</v>
      </c>
      <c r="M19" s="735">
        <f t="shared" si="2"/>
        <v>0</v>
      </c>
      <c r="N19" s="735">
        <f t="shared" si="2"/>
        <v>0</v>
      </c>
    </row>
    <row r="20" spans="1:14" ht="30.95" customHeight="1">
      <c r="A20" s="622" t="s">
        <v>655</v>
      </c>
      <c r="J20" s="735">
        <f>J10+J11</f>
        <v>50000</v>
      </c>
      <c r="K20" s="735">
        <f t="shared" ref="K20:N20" si="3">K10+K11</f>
        <v>50000</v>
      </c>
      <c r="L20" s="735">
        <f t="shared" si="3"/>
        <v>0</v>
      </c>
      <c r="M20" s="735">
        <f t="shared" si="3"/>
        <v>0</v>
      </c>
      <c r="N20" s="735">
        <f t="shared" si="3"/>
        <v>0</v>
      </c>
    </row>
    <row r="21" spans="1:14" ht="30.95" customHeight="1" thickBot="1">
      <c r="A21" s="622" t="s">
        <v>654</v>
      </c>
      <c r="J21" s="785">
        <f>SUM(J19:J20)</f>
        <v>50000</v>
      </c>
      <c r="K21" s="785">
        <f t="shared" ref="K21:N21" si="4">SUM(K19:K20)</f>
        <v>50000</v>
      </c>
      <c r="L21" s="785">
        <f t="shared" si="4"/>
        <v>0</v>
      </c>
      <c r="M21" s="785">
        <f t="shared" si="4"/>
        <v>0</v>
      </c>
      <c r="N21" s="785">
        <f t="shared" si="4"/>
        <v>0</v>
      </c>
    </row>
    <row r="22" spans="1:14" ht="13.5" thickTop="1"/>
  </sheetData>
  <mergeCells count="10">
    <mergeCell ref="A16:C16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dataValidations count="1">
    <dataValidation type="decimal" operator="lessThanOrEqual" allowBlank="1" showInputMessage="1" showErrorMessage="1" error="LUMP SUM CANNOT EXCEED A VALUE OF 1" sqref="G15 G13 G14 G9" xr:uid="{97447B93-049D-466F-9F9F-DB486F6C25C3}">
      <formula1>1</formula1>
    </dataValidation>
  </dataValidations>
  <printOptions horizontalCentered="1"/>
  <pageMargins left="0" right="0" top="0.35433070866141736" bottom="0.15748031496062992" header="0.15748031496062992" footer="0.31496062992125984"/>
  <pageSetup paperSize="9" scale="73" orientation="landscape" r:id="rId1"/>
  <headerFooter alignWithMargins="0">
    <oddHeader>&amp;L&amp;"Calibri"&amp;10&amp;K000000Sensitivity - General&amp;1#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2">
    <tabColor theme="9"/>
    <pageSetUpPr fitToPage="1"/>
  </sheetPr>
  <dimension ref="A1:N75"/>
  <sheetViews>
    <sheetView workbookViewId="0">
      <selection sqref="A1:H1"/>
    </sheetView>
  </sheetViews>
  <sheetFormatPr defaultRowHeight="12.75"/>
  <cols>
    <col min="1" max="1" width="9.28515625" style="622" bestFit="1" customWidth="1"/>
    <col min="2" max="2" width="36.85546875" style="622" customWidth="1"/>
    <col min="3" max="3" width="19.5703125" style="622" customWidth="1"/>
    <col min="4" max="8" width="11.7109375" style="622" customWidth="1"/>
    <col min="9" max="9" width="12.5703125" style="622" bestFit="1" customWidth="1"/>
    <col min="10" max="11" width="13" style="622" bestFit="1" customWidth="1"/>
    <col min="12" max="12" width="12.42578125" style="622" customWidth="1"/>
    <col min="13" max="13" width="11.42578125" style="622" bestFit="1" customWidth="1"/>
    <col min="14" max="14" width="11.85546875" style="622" bestFit="1" customWidth="1"/>
    <col min="15" max="257" width="9.140625" style="622"/>
    <col min="258" max="258" width="33.42578125" style="622" customWidth="1"/>
    <col min="259" max="265" width="9.140625" style="622"/>
    <col min="266" max="268" width="10.140625" style="622" bestFit="1" customWidth="1"/>
    <col min="269" max="270" width="12.140625" style="622" customWidth="1"/>
    <col min="271" max="513" width="9.140625" style="622"/>
    <col min="514" max="514" width="33.42578125" style="622" customWidth="1"/>
    <col min="515" max="521" width="9.140625" style="622"/>
    <col min="522" max="524" width="10.140625" style="622" bestFit="1" customWidth="1"/>
    <col min="525" max="526" width="12.140625" style="622" customWidth="1"/>
    <col min="527" max="769" width="9.140625" style="622"/>
    <col min="770" max="770" width="33.42578125" style="622" customWidth="1"/>
    <col min="771" max="777" width="9.140625" style="622"/>
    <col min="778" max="780" width="10.140625" style="622" bestFit="1" customWidth="1"/>
    <col min="781" max="782" width="12.140625" style="622" customWidth="1"/>
    <col min="783" max="1025" width="9.140625" style="622"/>
    <col min="1026" max="1026" width="33.42578125" style="622" customWidth="1"/>
    <col min="1027" max="1033" width="9.140625" style="622"/>
    <col min="1034" max="1036" width="10.140625" style="622" bestFit="1" customWidth="1"/>
    <col min="1037" max="1038" width="12.140625" style="622" customWidth="1"/>
    <col min="1039" max="1281" width="9.140625" style="622"/>
    <col min="1282" max="1282" width="33.42578125" style="622" customWidth="1"/>
    <col min="1283" max="1289" width="9.140625" style="622"/>
    <col min="1290" max="1292" width="10.140625" style="622" bestFit="1" customWidth="1"/>
    <col min="1293" max="1294" width="12.140625" style="622" customWidth="1"/>
    <col min="1295" max="1537" width="9.140625" style="622"/>
    <col min="1538" max="1538" width="33.42578125" style="622" customWidth="1"/>
    <col min="1539" max="1545" width="9.140625" style="622"/>
    <col min="1546" max="1548" width="10.140625" style="622" bestFit="1" customWidth="1"/>
    <col min="1549" max="1550" width="12.140625" style="622" customWidth="1"/>
    <col min="1551" max="1793" width="9.140625" style="622"/>
    <col min="1794" max="1794" width="33.42578125" style="622" customWidth="1"/>
    <col min="1795" max="1801" width="9.140625" style="622"/>
    <col min="1802" max="1804" width="10.140625" style="622" bestFit="1" customWidth="1"/>
    <col min="1805" max="1806" width="12.140625" style="622" customWidth="1"/>
    <col min="1807" max="2049" width="9.140625" style="622"/>
    <col min="2050" max="2050" width="33.42578125" style="622" customWidth="1"/>
    <col min="2051" max="2057" width="9.140625" style="622"/>
    <col min="2058" max="2060" width="10.140625" style="622" bestFit="1" customWidth="1"/>
    <col min="2061" max="2062" width="12.140625" style="622" customWidth="1"/>
    <col min="2063" max="2305" width="9.140625" style="622"/>
    <col min="2306" max="2306" width="33.42578125" style="622" customWidth="1"/>
    <col min="2307" max="2313" width="9.140625" style="622"/>
    <col min="2314" max="2316" width="10.140625" style="622" bestFit="1" customWidth="1"/>
    <col min="2317" max="2318" width="12.140625" style="622" customWidth="1"/>
    <col min="2319" max="2561" width="9.140625" style="622"/>
    <col min="2562" max="2562" width="33.42578125" style="622" customWidth="1"/>
    <col min="2563" max="2569" width="9.140625" style="622"/>
    <col min="2570" max="2572" width="10.140625" style="622" bestFit="1" customWidth="1"/>
    <col min="2573" max="2574" width="12.140625" style="622" customWidth="1"/>
    <col min="2575" max="2817" width="9.140625" style="622"/>
    <col min="2818" max="2818" width="33.42578125" style="622" customWidth="1"/>
    <col min="2819" max="2825" width="9.140625" style="622"/>
    <col min="2826" max="2828" width="10.140625" style="622" bestFit="1" customWidth="1"/>
    <col min="2829" max="2830" width="12.140625" style="622" customWidth="1"/>
    <col min="2831" max="3073" width="9.140625" style="622"/>
    <col min="3074" max="3074" width="33.42578125" style="622" customWidth="1"/>
    <col min="3075" max="3081" width="9.140625" style="622"/>
    <col min="3082" max="3084" width="10.140625" style="622" bestFit="1" customWidth="1"/>
    <col min="3085" max="3086" width="12.140625" style="622" customWidth="1"/>
    <col min="3087" max="3329" width="9.140625" style="622"/>
    <col min="3330" max="3330" width="33.42578125" style="622" customWidth="1"/>
    <col min="3331" max="3337" width="9.140625" style="622"/>
    <col min="3338" max="3340" width="10.140625" style="622" bestFit="1" customWidth="1"/>
    <col min="3341" max="3342" width="12.140625" style="622" customWidth="1"/>
    <col min="3343" max="3585" width="9.140625" style="622"/>
    <col min="3586" max="3586" width="33.42578125" style="622" customWidth="1"/>
    <col min="3587" max="3593" width="9.140625" style="622"/>
    <col min="3594" max="3596" width="10.140625" style="622" bestFit="1" customWidth="1"/>
    <col min="3597" max="3598" width="12.140625" style="622" customWidth="1"/>
    <col min="3599" max="3841" width="9.140625" style="622"/>
    <col min="3842" max="3842" width="33.42578125" style="622" customWidth="1"/>
    <col min="3843" max="3849" width="9.140625" style="622"/>
    <col min="3850" max="3852" width="10.140625" style="622" bestFit="1" customWidth="1"/>
    <col min="3853" max="3854" width="12.140625" style="622" customWidth="1"/>
    <col min="3855" max="4097" width="9.140625" style="622"/>
    <col min="4098" max="4098" width="33.42578125" style="622" customWidth="1"/>
    <col min="4099" max="4105" width="9.140625" style="622"/>
    <col min="4106" max="4108" width="10.140625" style="622" bestFit="1" customWidth="1"/>
    <col min="4109" max="4110" width="12.140625" style="622" customWidth="1"/>
    <col min="4111" max="4353" width="9.140625" style="622"/>
    <col min="4354" max="4354" width="33.42578125" style="622" customWidth="1"/>
    <col min="4355" max="4361" width="9.140625" style="622"/>
    <col min="4362" max="4364" width="10.140625" style="622" bestFit="1" customWidth="1"/>
    <col min="4365" max="4366" width="12.140625" style="622" customWidth="1"/>
    <col min="4367" max="4609" width="9.140625" style="622"/>
    <col min="4610" max="4610" width="33.42578125" style="622" customWidth="1"/>
    <col min="4611" max="4617" width="9.140625" style="622"/>
    <col min="4618" max="4620" width="10.140625" style="622" bestFit="1" customWidth="1"/>
    <col min="4621" max="4622" width="12.140625" style="622" customWidth="1"/>
    <col min="4623" max="4865" width="9.140625" style="622"/>
    <col min="4866" max="4866" width="33.42578125" style="622" customWidth="1"/>
    <col min="4867" max="4873" width="9.140625" style="622"/>
    <col min="4874" max="4876" width="10.140625" style="622" bestFit="1" customWidth="1"/>
    <col min="4877" max="4878" width="12.140625" style="622" customWidth="1"/>
    <col min="4879" max="5121" width="9.140625" style="622"/>
    <col min="5122" max="5122" width="33.42578125" style="622" customWidth="1"/>
    <col min="5123" max="5129" width="9.140625" style="622"/>
    <col min="5130" max="5132" width="10.140625" style="622" bestFit="1" customWidth="1"/>
    <col min="5133" max="5134" width="12.140625" style="622" customWidth="1"/>
    <col min="5135" max="5377" width="9.140625" style="622"/>
    <col min="5378" max="5378" width="33.42578125" style="622" customWidth="1"/>
    <col min="5379" max="5385" width="9.140625" style="622"/>
    <col min="5386" max="5388" width="10.140625" style="622" bestFit="1" customWidth="1"/>
    <col min="5389" max="5390" width="12.140625" style="622" customWidth="1"/>
    <col min="5391" max="5633" width="9.140625" style="622"/>
    <col min="5634" max="5634" width="33.42578125" style="622" customWidth="1"/>
    <col min="5635" max="5641" width="9.140625" style="622"/>
    <col min="5642" max="5644" width="10.140625" style="622" bestFit="1" customWidth="1"/>
    <col min="5645" max="5646" width="12.140625" style="622" customWidth="1"/>
    <col min="5647" max="5889" width="9.140625" style="622"/>
    <col min="5890" max="5890" width="33.42578125" style="622" customWidth="1"/>
    <col min="5891" max="5897" width="9.140625" style="622"/>
    <col min="5898" max="5900" width="10.140625" style="622" bestFit="1" customWidth="1"/>
    <col min="5901" max="5902" width="12.140625" style="622" customWidth="1"/>
    <col min="5903" max="6145" width="9.140625" style="622"/>
    <col min="6146" max="6146" width="33.42578125" style="622" customWidth="1"/>
    <col min="6147" max="6153" width="9.140625" style="622"/>
    <col min="6154" max="6156" width="10.140625" style="622" bestFit="1" customWidth="1"/>
    <col min="6157" max="6158" width="12.140625" style="622" customWidth="1"/>
    <col min="6159" max="6401" width="9.140625" style="622"/>
    <col min="6402" max="6402" width="33.42578125" style="622" customWidth="1"/>
    <col min="6403" max="6409" width="9.140625" style="622"/>
    <col min="6410" max="6412" width="10.140625" style="622" bestFit="1" customWidth="1"/>
    <col min="6413" max="6414" width="12.140625" style="622" customWidth="1"/>
    <col min="6415" max="6657" width="9.140625" style="622"/>
    <col min="6658" max="6658" width="33.42578125" style="622" customWidth="1"/>
    <col min="6659" max="6665" width="9.140625" style="622"/>
    <col min="6666" max="6668" width="10.140625" style="622" bestFit="1" customWidth="1"/>
    <col min="6669" max="6670" width="12.140625" style="622" customWidth="1"/>
    <col min="6671" max="6913" width="9.140625" style="622"/>
    <col min="6914" max="6914" width="33.42578125" style="622" customWidth="1"/>
    <col min="6915" max="6921" width="9.140625" style="622"/>
    <col min="6922" max="6924" width="10.140625" style="622" bestFit="1" customWidth="1"/>
    <col min="6925" max="6926" width="12.140625" style="622" customWidth="1"/>
    <col min="6927" max="7169" width="9.140625" style="622"/>
    <col min="7170" max="7170" width="33.42578125" style="622" customWidth="1"/>
    <col min="7171" max="7177" width="9.140625" style="622"/>
    <col min="7178" max="7180" width="10.140625" style="622" bestFit="1" customWidth="1"/>
    <col min="7181" max="7182" width="12.140625" style="622" customWidth="1"/>
    <col min="7183" max="7425" width="9.140625" style="622"/>
    <col min="7426" max="7426" width="33.42578125" style="622" customWidth="1"/>
    <col min="7427" max="7433" width="9.140625" style="622"/>
    <col min="7434" max="7436" width="10.140625" style="622" bestFit="1" customWidth="1"/>
    <col min="7437" max="7438" width="12.140625" style="622" customWidth="1"/>
    <col min="7439" max="7681" width="9.140625" style="622"/>
    <col min="7682" max="7682" width="33.42578125" style="622" customWidth="1"/>
    <col min="7683" max="7689" width="9.140625" style="622"/>
    <col min="7690" max="7692" width="10.140625" style="622" bestFit="1" customWidth="1"/>
    <col min="7693" max="7694" width="12.140625" style="622" customWidth="1"/>
    <col min="7695" max="7937" width="9.140625" style="622"/>
    <col min="7938" max="7938" width="33.42578125" style="622" customWidth="1"/>
    <col min="7939" max="7945" width="9.140625" style="622"/>
    <col min="7946" max="7948" width="10.140625" style="622" bestFit="1" customWidth="1"/>
    <col min="7949" max="7950" width="12.140625" style="622" customWidth="1"/>
    <col min="7951" max="8193" width="9.140625" style="622"/>
    <col min="8194" max="8194" width="33.42578125" style="622" customWidth="1"/>
    <col min="8195" max="8201" width="9.140625" style="622"/>
    <col min="8202" max="8204" width="10.140625" style="622" bestFit="1" customWidth="1"/>
    <col min="8205" max="8206" width="12.140625" style="622" customWidth="1"/>
    <col min="8207" max="8449" width="9.140625" style="622"/>
    <col min="8450" max="8450" width="33.42578125" style="622" customWidth="1"/>
    <col min="8451" max="8457" width="9.140625" style="622"/>
    <col min="8458" max="8460" width="10.140625" style="622" bestFit="1" customWidth="1"/>
    <col min="8461" max="8462" width="12.140625" style="622" customWidth="1"/>
    <col min="8463" max="8705" width="9.140625" style="622"/>
    <col min="8706" max="8706" width="33.42578125" style="622" customWidth="1"/>
    <col min="8707" max="8713" width="9.140625" style="622"/>
    <col min="8714" max="8716" width="10.140625" style="622" bestFit="1" customWidth="1"/>
    <col min="8717" max="8718" width="12.140625" style="622" customWidth="1"/>
    <col min="8719" max="8961" width="9.140625" style="622"/>
    <col min="8962" max="8962" width="33.42578125" style="622" customWidth="1"/>
    <col min="8963" max="8969" width="9.140625" style="622"/>
    <col min="8970" max="8972" width="10.140625" style="622" bestFit="1" customWidth="1"/>
    <col min="8973" max="8974" width="12.140625" style="622" customWidth="1"/>
    <col min="8975" max="9217" width="9.140625" style="622"/>
    <col min="9218" max="9218" width="33.42578125" style="622" customWidth="1"/>
    <col min="9219" max="9225" width="9.140625" style="622"/>
    <col min="9226" max="9228" width="10.140625" style="622" bestFit="1" customWidth="1"/>
    <col min="9229" max="9230" width="12.140625" style="622" customWidth="1"/>
    <col min="9231" max="9473" width="9.140625" style="622"/>
    <col min="9474" max="9474" width="33.42578125" style="622" customWidth="1"/>
    <col min="9475" max="9481" width="9.140625" style="622"/>
    <col min="9482" max="9484" width="10.140625" style="622" bestFit="1" customWidth="1"/>
    <col min="9485" max="9486" width="12.140625" style="622" customWidth="1"/>
    <col min="9487" max="9729" width="9.140625" style="622"/>
    <col min="9730" max="9730" width="33.42578125" style="622" customWidth="1"/>
    <col min="9731" max="9737" width="9.140625" style="622"/>
    <col min="9738" max="9740" width="10.140625" style="622" bestFit="1" customWidth="1"/>
    <col min="9741" max="9742" width="12.140625" style="622" customWidth="1"/>
    <col min="9743" max="9985" width="9.140625" style="622"/>
    <col min="9986" max="9986" width="33.42578125" style="622" customWidth="1"/>
    <col min="9987" max="9993" width="9.140625" style="622"/>
    <col min="9994" max="9996" width="10.140625" style="622" bestFit="1" customWidth="1"/>
    <col min="9997" max="9998" width="12.140625" style="622" customWidth="1"/>
    <col min="9999" max="10241" width="9.140625" style="622"/>
    <col min="10242" max="10242" width="33.42578125" style="622" customWidth="1"/>
    <col min="10243" max="10249" width="9.140625" style="622"/>
    <col min="10250" max="10252" width="10.140625" style="622" bestFit="1" customWidth="1"/>
    <col min="10253" max="10254" width="12.140625" style="622" customWidth="1"/>
    <col min="10255" max="10497" width="9.140625" style="622"/>
    <col min="10498" max="10498" width="33.42578125" style="622" customWidth="1"/>
    <col min="10499" max="10505" width="9.140625" style="622"/>
    <col min="10506" max="10508" width="10.140625" style="622" bestFit="1" customWidth="1"/>
    <col min="10509" max="10510" width="12.140625" style="622" customWidth="1"/>
    <col min="10511" max="10753" width="9.140625" style="622"/>
    <col min="10754" max="10754" width="33.42578125" style="622" customWidth="1"/>
    <col min="10755" max="10761" width="9.140625" style="622"/>
    <col min="10762" max="10764" width="10.140625" style="622" bestFit="1" customWidth="1"/>
    <col min="10765" max="10766" width="12.140625" style="622" customWidth="1"/>
    <col min="10767" max="11009" width="9.140625" style="622"/>
    <col min="11010" max="11010" width="33.42578125" style="622" customWidth="1"/>
    <col min="11011" max="11017" width="9.140625" style="622"/>
    <col min="11018" max="11020" width="10.140625" style="622" bestFit="1" customWidth="1"/>
    <col min="11021" max="11022" width="12.140625" style="622" customWidth="1"/>
    <col min="11023" max="11265" width="9.140625" style="622"/>
    <col min="11266" max="11266" width="33.42578125" style="622" customWidth="1"/>
    <col min="11267" max="11273" width="9.140625" style="622"/>
    <col min="11274" max="11276" width="10.140625" style="622" bestFit="1" customWidth="1"/>
    <col min="11277" max="11278" width="12.140625" style="622" customWidth="1"/>
    <col min="11279" max="11521" width="9.140625" style="622"/>
    <col min="11522" max="11522" width="33.42578125" style="622" customWidth="1"/>
    <col min="11523" max="11529" width="9.140625" style="622"/>
    <col min="11530" max="11532" width="10.140625" style="622" bestFit="1" customWidth="1"/>
    <col min="11533" max="11534" width="12.140625" style="622" customWidth="1"/>
    <col min="11535" max="11777" width="9.140625" style="622"/>
    <col min="11778" max="11778" width="33.42578125" style="622" customWidth="1"/>
    <col min="11779" max="11785" width="9.140625" style="622"/>
    <col min="11786" max="11788" width="10.140625" style="622" bestFit="1" customWidth="1"/>
    <col min="11789" max="11790" width="12.140625" style="622" customWidth="1"/>
    <col min="11791" max="12033" width="9.140625" style="622"/>
    <col min="12034" max="12034" width="33.42578125" style="622" customWidth="1"/>
    <col min="12035" max="12041" width="9.140625" style="622"/>
    <col min="12042" max="12044" width="10.140625" style="622" bestFit="1" customWidth="1"/>
    <col min="12045" max="12046" width="12.140625" style="622" customWidth="1"/>
    <col min="12047" max="12289" width="9.140625" style="622"/>
    <col min="12290" max="12290" width="33.42578125" style="622" customWidth="1"/>
    <col min="12291" max="12297" width="9.140625" style="622"/>
    <col min="12298" max="12300" width="10.140625" style="622" bestFit="1" customWidth="1"/>
    <col min="12301" max="12302" width="12.140625" style="622" customWidth="1"/>
    <col min="12303" max="12545" width="9.140625" style="622"/>
    <col min="12546" max="12546" width="33.42578125" style="622" customWidth="1"/>
    <col min="12547" max="12553" width="9.140625" style="622"/>
    <col min="12554" max="12556" width="10.140625" style="622" bestFit="1" customWidth="1"/>
    <col min="12557" max="12558" width="12.140625" style="622" customWidth="1"/>
    <col min="12559" max="12801" width="9.140625" style="622"/>
    <col min="12802" max="12802" width="33.42578125" style="622" customWidth="1"/>
    <col min="12803" max="12809" width="9.140625" style="622"/>
    <col min="12810" max="12812" width="10.140625" style="622" bestFit="1" customWidth="1"/>
    <col min="12813" max="12814" width="12.140625" style="622" customWidth="1"/>
    <col min="12815" max="13057" width="9.140625" style="622"/>
    <col min="13058" max="13058" width="33.42578125" style="622" customWidth="1"/>
    <col min="13059" max="13065" width="9.140625" style="622"/>
    <col min="13066" max="13068" width="10.140625" style="622" bestFit="1" customWidth="1"/>
    <col min="13069" max="13070" width="12.140625" style="622" customWidth="1"/>
    <col min="13071" max="13313" width="9.140625" style="622"/>
    <col min="13314" max="13314" width="33.42578125" style="622" customWidth="1"/>
    <col min="13315" max="13321" width="9.140625" style="622"/>
    <col min="13322" max="13324" width="10.140625" style="622" bestFit="1" customWidth="1"/>
    <col min="13325" max="13326" width="12.140625" style="622" customWidth="1"/>
    <col min="13327" max="13569" width="9.140625" style="622"/>
    <col min="13570" max="13570" width="33.42578125" style="622" customWidth="1"/>
    <col min="13571" max="13577" width="9.140625" style="622"/>
    <col min="13578" max="13580" width="10.140625" style="622" bestFit="1" customWidth="1"/>
    <col min="13581" max="13582" width="12.140625" style="622" customWidth="1"/>
    <col min="13583" max="13825" width="9.140625" style="622"/>
    <col min="13826" max="13826" width="33.42578125" style="622" customWidth="1"/>
    <col min="13827" max="13833" width="9.140625" style="622"/>
    <col min="13834" max="13836" width="10.140625" style="622" bestFit="1" customWidth="1"/>
    <col min="13837" max="13838" width="12.140625" style="622" customWidth="1"/>
    <col min="13839" max="14081" width="9.140625" style="622"/>
    <col min="14082" max="14082" width="33.42578125" style="622" customWidth="1"/>
    <col min="14083" max="14089" width="9.140625" style="622"/>
    <col min="14090" max="14092" width="10.140625" style="622" bestFit="1" customWidth="1"/>
    <col min="14093" max="14094" width="12.140625" style="622" customWidth="1"/>
    <col min="14095" max="14337" width="9.140625" style="622"/>
    <col min="14338" max="14338" width="33.42578125" style="622" customWidth="1"/>
    <col min="14339" max="14345" width="9.140625" style="622"/>
    <col min="14346" max="14348" width="10.140625" style="622" bestFit="1" customWidth="1"/>
    <col min="14349" max="14350" width="12.140625" style="622" customWidth="1"/>
    <col min="14351" max="14593" width="9.140625" style="622"/>
    <col min="14594" max="14594" width="33.42578125" style="622" customWidth="1"/>
    <col min="14595" max="14601" width="9.140625" style="622"/>
    <col min="14602" max="14604" width="10.140625" style="622" bestFit="1" customWidth="1"/>
    <col min="14605" max="14606" width="12.140625" style="622" customWidth="1"/>
    <col min="14607" max="14849" width="9.140625" style="622"/>
    <col min="14850" max="14850" width="33.42578125" style="622" customWidth="1"/>
    <col min="14851" max="14857" width="9.140625" style="622"/>
    <col min="14858" max="14860" width="10.140625" style="622" bestFit="1" customWidth="1"/>
    <col min="14861" max="14862" width="12.140625" style="622" customWidth="1"/>
    <col min="14863" max="15105" width="9.140625" style="622"/>
    <col min="15106" max="15106" width="33.42578125" style="622" customWidth="1"/>
    <col min="15107" max="15113" width="9.140625" style="622"/>
    <col min="15114" max="15116" width="10.140625" style="622" bestFit="1" customWidth="1"/>
    <col min="15117" max="15118" width="12.140625" style="622" customWidth="1"/>
    <col min="15119" max="15361" width="9.140625" style="622"/>
    <col min="15362" max="15362" width="33.42578125" style="622" customWidth="1"/>
    <col min="15363" max="15369" width="9.140625" style="622"/>
    <col min="15370" max="15372" width="10.140625" style="622" bestFit="1" customWidth="1"/>
    <col min="15373" max="15374" width="12.140625" style="622" customWidth="1"/>
    <col min="15375" max="15617" width="9.140625" style="622"/>
    <col min="15618" max="15618" width="33.42578125" style="622" customWidth="1"/>
    <col min="15619" max="15625" width="9.140625" style="622"/>
    <col min="15626" max="15628" width="10.140625" style="622" bestFit="1" customWidth="1"/>
    <col min="15629" max="15630" width="12.140625" style="622" customWidth="1"/>
    <col min="15631" max="15873" width="9.140625" style="622"/>
    <col min="15874" max="15874" width="33.42578125" style="622" customWidth="1"/>
    <col min="15875" max="15881" width="9.140625" style="622"/>
    <col min="15882" max="15884" width="10.140625" style="622" bestFit="1" customWidth="1"/>
    <col min="15885" max="15886" width="12.140625" style="622" customWidth="1"/>
    <col min="15887" max="16129" width="9.140625" style="622"/>
    <col min="16130" max="16130" width="33.42578125" style="622" customWidth="1"/>
    <col min="16131" max="16137" width="9.140625" style="622"/>
    <col min="16138" max="16140" width="10.140625" style="622" bestFit="1" customWidth="1"/>
    <col min="16141" max="16142" width="12.140625" style="622" customWidth="1"/>
    <col min="16143" max="16384" width="9.140625" style="622"/>
  </cols>
  <sheetData>
    <row r="1" spans="1:14" ht="12.75" customHeight="1">
      <c r="A1" s="1560" t="s">
        <v>509</v>
      </c>
      <c r="B1" s="1539"/>
      <c r="C1" s="1539"/>
      <c r="D1" s="1539"/>
      <c r="E1" s="1539"/>
      <c r="F1" s="1539"/>
      <c r="G1" s="1539"/>
      <c r="H1" s="1540"/>
      <c r="I1" s="1541" t="s">
        <v>494</v>
      </c>
      <c r="J1" s="1542"/>
      <c r="K1" s="1542"/>
      <c r="L1" s="1542"/>
      <c r="M1" s="1542"/>
      <c r="N1" s="1545" t="s">
        <v>336</v>
      </c>
    </row>
    <row r="2" spans="1:14">
      <c r="A2" s="1561"/>
      <c r="B2" s="1548"/>
      <c r="C2" s="1548"/>
      <c r="D2" s="1548"/>
      <c r="E2" s="1548"/>
      <c r="F2" s="1548"/>
      <c r="G2" s="1548"/>
      <c r="H2" s="1548"/>
      <c r="I2" s="1543"/>
      <c r="J2" s="1544"/>
      <c r="K2" s="1544"/>
      <c r="L2" s="1544"/>
      <c r="M2" s="1544"/>
      <c r="N2" s="1546"/>
    </row>
    <row r="3" spans="1:14">
      <c r="A3" s="749" t="s">
        <v>748</v>
      </c>
      <c r="B3" s="748" t="str">
        <f>'F1 Forecast Consultant'!C3</f>
        <v>Western</v>
      </c>
      <c r="I3" s="1549" t="s">
        <v>495</v>
      </c>
      <c r="J3" s="1550"/>
      <c r="K3" s="1532">
        <f>'F1  Cover'!K8</f>
        <v>1</v>
      </c>
      <c r="L3" s="1533"/>
      <c r="M3" s="1533"/>
      <c r="N3" s="1534"/>
    </row>
    <row r="4" spans="1:14" ht="13.5" thickBot="1">
      <c r="A4" s="1562"/>
      <c r="B4" s="1552"/>
      <c r="C4" s="1552"/>
      <c r="D4" s="1552"/>
      <c r="E4" s="1552"/>
      <c r="F4" s="1552"/>
      <c r="G4" s="1552"/>
      <c r="H4" s="1552"/>
      <c r="I4" s="1553" t="s">
        <v>496</v>
      </c>
      <c r="J4" s="1554"/>
      <c r="K4" s="1555" t="str">
        <f>'F1 Forecast Combined'!E3</f>
        <v>NRA.N.011-050-2012/1F</v>
      </c>
      <c r="L4" s="1555"/>
      <c r="M4" s="1555"/>
      <c r="N4" s="1556"/>
    </row>
    <row r="5" spans="1:14" ht="13.5" thickBot="1">
      <c r="A5" s="727" t="s">
        <v>497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" thickBot="1">
      <c r="A6" s="724" t="s">
        <v>100</v>
      </c>
      <c r="B6" s="757" t="s">
        <v>0</v>
      </c>
      <c r="C6" s="718" t="s">
        <v>1</v>
      </c>
      <c r="D6" s="716" t="s">
        <v>498</v>
      </c>
      <c r="E6" s="717" t="s">
        <v>499</v>
      </c>
      <c r="F6" s="717" t="s">
        <v>500</v>
      </c>
      <c r="G6" s="717" t="s">
        <v>501</v>
      </c>
      <c r="H6" s="718" t="s">
        <v>502</v>
      </c>
      <c r="I6" s="716" t="s">
        <v>3</v>
      </c>
      <c r="J6" s="717" t="s">
        <v>503</v>
      </c>
      <c r="K6" s="717" t="s">
        <v>504</v>
      </c>
      <c r="L6" s="717" t="s">
        <v>505</v>
      </c>
      <c r="M6" s="717" t="s">
        <v>506</v>
      </c>
      <c r="N6" s="718" t="s">
        <v>507</v>
      </c>
    </row>
    <row r="7" spans="1:14" ht="39" customHeight="1">
      <c r="A7" s="624">
        <f>'Pricing Schedule'!A254</f>
        <v>3.7</v>
      </c>
      <c r="B7" s="625" t="str">
        <f>'Pricing Schedule'!B254</f>
        <v>ADMINISTRATION AND MONITORING OF THE WORKS CONTRACT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Schedule'!A255</f>
        <v>3.7.1</v>
      </c>
      <c r="B8" s="630" t="str">
        <f>'Pricing Schedule'!B255</f>
        <v>ADMINISTRATION AND MONITORING OF THE WORKS CONTRACT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Schedule'!B256</f>
        <v xml:space="preserve">(a) Road works: </v>
      </c>
      <c r="C9" s="630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629"/>
      <c r="B10" s="630" t="str">
        <f>'Pricing Schedule'!B257</f>
        <v>(i)   Fee (based on Employer’s estimated cost of the works)</v>
      </c>
      <c r="C10" s="630" t="str">
        <f>'Pricing Schedule'!C257</f>
        <v>lump sum (LS)</v>
      </c>
      <c r="D10" s="651">
        <v>1</v>
      </c>
      <c r="E10" s="631">
        <v>1</v>
      </c>
      <c r="F10" s="855">
        <f>DATA!$EX$52</f>
        <v>0</v>
      </c>
      <c r="G10" s="722"/>
      <c r="H10" s="632">
        <f>IF((F10+G10)&gt;E10,"◄ ERROR TOO MUCH",(F10+G10))</f>
        <v>0</v>
      </c>
      <c r="I10" s="733">
        <f>'Pricing Schedule'!F257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Schedule'!B258</f>
        <v xml:space="preserve">(ii)  Fee adjustment* </v>
      </c>
      <c r="C11" s="630" t="str">
        <f>'Pricing Schedule'!C258</f>
        <v>lump sum (LS)</v>
      </c>
      <c r="D11" s="651">
        <v>1</v>
      </c>
      <c r="E11" s="631">
        <v>1</v>
      </c>
      <c r="F11" s="855">
        <f>DATA!$IG$52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 t="e">
        <f>'ADJ-Summary'!$J$12</f>
        <v>#N/A</v>
      </c>
      <c r="K11" s="631" t="e">
        <f>'ADJ-Summary'!$J$19</f>
        <v>#N/A</v>
      </c>
      <c r="L11" s="855">
        <f>DATA!$IH$52</f>
        <v>0</v>
      </c>
      <c r="M11" s="631" t="e">
        <f>+(G11+F11)*K11-L11</f>
        <v>#N/A</v>
      </c>
      <c r="N11" s="632" t="e">
        <f>L11+M11</f>
        <v>#N/A</v>
      </c>
    </row>
    <row r="12" spans="1:14" ht="31.5" customHeight="1">
      <c r="A12" s="629"/>
      <c r="B12" s="630" t="str">
        <f>'Pricing Schedule'!B259</f>
        <v xml:space="preserve">(b) Structures (bridges and other major structures): </v>
      </c>
      <c r="C12" s="630"/>
      <c r="D12" s="758"/>
      <c r="E12" s="759"/>
      <c r="F12" s="759"/>
      <c r="G12" s="759"/>
      <c r="H12" s="760"/>
      <c r="I12" s="758"/>
      <c r="J12" s="631"/>
      <c r="K12" s="631"/>
      <c r="L12" s="631"/>
      <c r="M12" s="631"/>
      <c r="N12" s="632"/>
    </row>
    <row r="13" spans="1:14" ht="31.5" customHeight="1">
      <c r="A13" s="629"/>
      <c r="B13" s="630" t="str">
        <f>'Pricing Schedule'!B260</f>
        <v>(i)   Fee (based on Employer’s estimated cost of the works)</v>
      </c>
      <c r="C13" s="630" t="str">
        <f>'Pricing Schedule'!C260</f>
        <v>lump sum (LS)</v>
      </c>
      <c r="D13" s="651">
        <v>1</v>
      </c>
      <c r="E13" s="631">
        <v>1</v>
      </c>
      <c r="F13" s="855">
        <f>DATA!$EY$52</f>
        <v>0</v>
      </c>
      <c r="G13" s="722"/>
      <c r="H13" s="632">
        <f>IF((F13+G13)&gt;E13,"◄ ERROR TOO MUCH",(F13+G13))</f>
        <v>0</v>
      </c>
      <c r="I13" s="733">
        <f>'Pricing Schedule'!F260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629"/>
      <c r="B14" s="630" t="str">
        <f>'Pricing Schedule'!B261</f>
        <v xml:space="preserve">(ii)  Fee adjustment* </v>
      </c>
      <c r="C14" s="630" t="str">
        <f>'Pricing Schedule'!C261</f>
        <v>lump sum (LS)</v>
      </c>
      <c r="D14" s="651">
        <v>1</v>
      </c>
      <c r="E14" s="631">
        <v>1</v>
      </c>
      <c r="F14" s="855">
        <f>DATA!$II$52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 t="e">
        <f>'ADJ-Summary'!$J$35</f>
        <v>#N/A</v>
      </c>
      <c r="K14" s="631" t="e">
        <f>'ADJ-Summary'!$J$42</f>
        <v>#N/A</v>
      </c>
      <c r="L14" s="855">
        <f>DATA!$IJ$52</f>
        <v>0</v>
      </c>
      <c r="M14" s="631" t="e">
        <f>+(G14+F14)*K14-L14</f>
        <v>#N/A</v>
      </c>
      <c r="N14" s="632" t="e">
        <f>L14+M14</f>
        <v>#N/A</v>
      </c>
    </row>
    <row r="15" spans="1:14" ht="31.5" customHeight="1">
      <c r="A15" s="629"/>
      <c r="B15" s="630" t="str">
        <f>'Pricing Schedule'!B262</f>
        <v>(c) Electrical:</v>
      </c>
      <c r="C15" s="630"/>
      <c r="D15" s="758"/>
      <c r="E15" s="759"/>
      <c r="F15" s="759"/>
      <c r="G15" s="759"/>
      <c r="H15" s="760"/>
      <c r="I15" s="758"/>
      <c r="J15" s="631"/>
      <c r="K15" s="631"/>
      <c r="L15" s="631"/>
      <c r="M15" s="631"/>
      <c r="N15" s="632"/>
    </row>
    <row r="16" spans="1:14" ht="31.5" customHeight="1">
      <c r="A16" s="629"/>
      <c r="B16" s="630" t="str">
        <f>'Pricing Schedule'!B263</f>
        <v>(i)   Fee (based on Employer’s estimated cost of the works)</v>
      </c>
      <c r="C16" s="630" t="str">
        <f>'Pricing Schedule'!C263</f>
        <v>lump sum (LS)</v>
      </c>
      <c r="D16" s="651">
        <v>1</v>
      </c>
      <c r="E16" s="631">
        <v>1</v>
      </c>
      <c r="F16" s="855">
        <f>DATA!$EZ$52</f>
        <v>0</v>
      </c>
      <c r="G16" s="722"/>
      <c r="H16" s="632">
        <f>IF((F16+G16)&gt;E16,"◄ ERROR TOO MUCH",(F16+G16))</f>
        <v>0</v>
      </c>
      <c r="I16" s="733">
        <f>'Pricing Schedule'!F263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629"/>
      <c r="B17" s="630" t="str">
        <f>'Pricing Schedule'!B264</f>
        <v xml:space="preserve">(ii)  Fee adjustment* </v>
      </c>
      <c r="C17" s="630" t="str">
        <f>'Pricing Schedule'!C264</f>
        <v>lump sum (LS)</v>
      </c>
      <c r="D17" s="651">
        <v>1</v>
      </c>
      <c r="E17" s="631">
        <v>1</v>
      </c>
      <c r="F17" s="855">
        <f>DATA!$IK$52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 t="e">
        <f>'ADJ-Summary'!$J$59</f>
        <v>#N/A</v>
      </c>
      <c r="K17" s="631" t="e">
        <f>'ADJ-Summary'!$J$66</f>
        <v>#N/A</v>
      </c>
      <c r="L17" s="855">
        <f>DATA!$IL$52</f>
        <v>0</v>
      </c>
      <c r="M17" s="631" t="e">
        <f>+(G17+F17)*K17-L17</f>
        <v>#N/A</v>
      </c>
      <c r="N17" s="632" t="e">
        <f>L17+M17</f>
        <v>#N/A</v>
      </c>
    </row>
    <row r="18" spans="1:14" ht="31.5" customHeight="1">
      <c r="A18" s="629"/>
      <c r="B18" s="630" t="str">
        <f>'Pricing Schedule'!B265</f>
        <v>(d) Buildings:</v>
      </c>
      <c r="C18" s="630"/>
      <c r="D18" s="758"/>
      <c r="E18" s="759"/>
      <c r="F18" s="759"/>
      <c r="G18" s="759"/>
      <c r="H18" s="760"/>
      <c r="I18" s="758"/>
      <c r="J18" s="631"/>
      <c r="K18" s="631"/>
      <c r="L18" s="631"/>
      <c r="M18" s="631"/>
      <c r="N18" s="632"/>
    </row>
    <row r="19" spans="1:14" ht="31.5" customHeight="1">
      <c r="A19" s="629"/>
      <c r="B19" s="630" t="str">
        <f>'Pricing Schedule'!B266</f>
        <v>(i)   Fee (based on Employer’s estimated cost of the works)</v>
      </c>
      <c r="C19" s="630" t="str">
        <f>'Pricing Schedule'!C266</f>
        <v>lump sum (LS)</v>
      </c>
      <c r="D19" s="651">
        <v>1</v>
      </c>
      <c r="E19" s="631">
        <v>1</v>
      </c>
      <c r="F19" s="855">
        <f>DATA!$FA$52</f>
        <v>0</v>
      </c>
      <c r="G19" s="722"/>
      <c r="H19" s="632">
        <f>IF((F19+G19)&gt;E19,"◄ ERROR TOO MUCH",(F19+G19))</f>
        <v>0</v>
      </c>
      <c r="I19" s="733">
        <f>'Pricing Schedule'!F266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629"/>
      <c r="B20" s="630" t="str">
        <f>'Pricing Schedule'!B267</f>
        <v xml:space="preserve">(ii)  Fee adjustment* </v>
      </c>
      <c r="C20" s="630" t="str">
        <f>'Pricing Schedule'!C267</f>
        <v>lump sum (LS)</v>
      </c>
      <c r="D20" s="651">
        <v>1</v>
      </c>
      <c r="E20" s="631">
        <v>1</v>
      </c>
      <c r="F20" s="855">
        <f>DATA!$IM$52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 t="e">
        <f>'ADJ-Summary'!$J$82</f>
        <v>#N/A</v>
      </c>
      <c r="K20" s="631" t="e">
        <f>'ADJ-Summary'!$J$89</f>
        <v>#N/A</v>
      </c>
      <c r="L20" s="855">
        <f>DATA!$IN$52</f>
        <v>0</v>
      </c>
      <c r="M20" s="631" t="e">
        <f>+(G20+F20)*K20-L20</f>
        <v>#N/A</v>
      </c>
      <c r="N20" s="632" t="e">
        <f>L20+M20</f>
        <v>#N/A</v>
      </c>
    </row>
    <row r="21" spans="1:14" ht="31.5" customHeight="1">
      <c r="A21" s="629"/>
      <c r="B21" s="630" t="str">
        <f>'Pricing Schedule'!B268</f>
        <v>(e) Mechanical:</v>
      </c>
      <c r="C21" s="630"/>
      <c r="D21" s="758"/>
      <c r="E21" s="759"/>
      <c r="F21" s="759"/>
      <c r="G21" s="759"/>
      <c r="H21" s="760"/>
      <c r="I21" s="758"/>
      <c r="J21" s="631"/>
      <c r="K21" s="631"/>
      <c r="L21" s="631"/>
      <c r="M21" s="631"/>
      <c r="N21" s="632"/>
    </row>
    <row r="22" spans="1:14" ht="31.5" customHeight="1">
      <c r="A22" s="629"/>
      <c r="B22" s="630" t="str">
        <f>'Pricing Schedule'!B269</f>
        <v>(i)   Fee (based on Employer’s estimated cost of the works)</v>
      </c>
      <c r="C22" s="630" t="str">
        <f>'Pricing Schedule'!C269</f>
        <v>lump sum (LS)</v>
      </c>
      <c r="D22" s="651">
        <v>1</v>
      </c>
      <c r="E22" s="631">
        <v>1</v>
      </c>
      <c r="F22" s="855">
        <f>DATA!$FB$52</f>
        <v>0</v>
      </c>
      <c r="G22" s="722"/>
      <c r="H22" s="632">
        <f>IF((F22+G22)&gt;E22,"◄ ERROR TOO MUCH",(F22+G22))</f>
        <v>0</v>
      </c>
      <c r="I22" s="733">
        <f>'Pricing Schedule'!F269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Schedule'!B270</f>
        <v xml:space="preserve">(ii)  Fee adjustment* </v>
      </c>
      <c r="C23" s="630" t="str">
        <f>'Pricing Schedule'!C270</f>
        <v>lump sum (LS)</v>
      </c>
      <c r="D23" s="651">
        <v>1</v>
      </c>
      <c r="E23" s="631">
        <v>1</v>
      </c>
      <c r="F23" s="855">
        <f>DATA!$IO$52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 t="e">
        <f>'ADJ-Summary'!$J$105</f>
        <v>#N/A</v>
      </c>
      <c r="K23" s="631" t="e">
        <f>'ADJ-Summary'!$J$112</f>
        <v>#N/A</v>
      </c>
      <c r="L23" s="855">
        <f>DATA!$IP$52</f>
        <v>0</v>
      </c>
      <c r="M23" s="631" t="e">
        <f>+(G23+F23)*K23-L23</f>
        <v>#N/A</v>
      </c>
      <c r="N23" s="632" t="e">
        <f>L23+M23</f>
        <v>#N/A</v>
      </c>
    </row>
    <row r="24" spans="1:14" ht="31.5" customHeight="1">
      <c r="A24" s="629"/>
      <c r="B24" s="630" t="str">
        <f>'Pricing Schedule'!B271</f>
        <v>(f) Electronic:</v>
      </c>
      <c r="C24" s="630"/>
      <c r="D24" s="758"/>
      <c r="E24" s="759"/>
      <c r="F24" s="759"/>
      <c r="G24" s="759"/>
      <c r="H24" s="760"/>
      <c r="I24" s="758"/>
      <c r="J24" s="631"/>
      <c r="K24" s="631"/>
      <c r="L24" s="631"/>
      <c r="M24" s="631"/>
      <c r="N24" s="632"/>
    </row>
    <row r="25" spans="1:14" ht="31.5" customHeight="1">
      <c r="A25" s="629"/>
      <c r="B25" s="630" t="str">
        <f>'Pricing Schedule'!B272</f>
        <v>(i)   Fee (based on Employer’s estimated cost of the works)</v>
      </c>
      <c r="C25" s="630" t="str">
        <f>'Pricing Schedule'!C272</f>
        <v>lump sum (LS)</v>
      </c>
      <c r="D25" s="651">
        <v>1</v>
      </c>
      <c r="E25" s="631">
        <v>1</v>
      </c>
      <c r="F25" s="855">
        <f>DATA!$FC$52</f>
        <v>0</v>
      </c>
      <c r="G25" s="722"/>
      <c r="H25" s="632">
        <f>IF((F25+G25)&gt;E25,"◄ ERROR TOO MUCH",(F25+G25))</f>
        <v>0</v>
      </c>
      <c r="I25" s="733">
        <f>'Pricing Schedule'!F272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Schedule'!B273</f>
        <v xml:space="preserve">(ii)  Fee adjustment* </v>
      </c>
      <c r="C26" s="630" t="str">
        <f>'Pricing Schedule'!C273</f>
        <v>lump sum (LS)</v>
      </c>
      <c r="D26" s="651">
        <v>1</v>
      </c>
      <c r="E26" s="631">
        <v>1</v>
      </c>
      <c r="F26" s="855">
        <f>DATA!$IQ$52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 t="e">
        <f>'ADJ-Summary'!$J$128</f>
        <v>#N/A</v>
      </c>
      <c r="K26" s="631" t="e">
        <f>'ADJ-Summary'!$J$135</f>
        <v>#N/A</v>
      </c>
      <c r="L26" s="855">
        <f>DATA!$IR$52</f>
        <v>0</v>
      </c>
      <c r="M26" s="631" t="e">
        <f>+(G26+F26)*K26-L26</f>
        <v>#N/A</v>
      </c>
      <c r="N26" s="632" t="e">
        <f>L26+M26</f>
        <v>#N/A</v>
      </c>
    </row>
    <row r="27" spans="1:14" ht="31.5" customHeight="1">
      <c r="A27" s="629"/>
      <c r="B27" s="630" t="str">
        <f>'Pricing Schedule'!B274</f>
        <v>(g) Other:</v>
      </c>
      <c r="C27" s="630"/>
      <c r="D27" s="758"/>
      <c r="E27" s="759"/>
      <c r="F27" s="759"/>
      <c r="G27" s="759"/>
      <c r="H27" s="760"/>
      <c r="I27" s="758"/>
      <c r="J27" s="631"/>
      <c r="K27" s="631"/>
      <c r="L27" s="631"/>
      <c r="M27" s="631"/>
      <c r="N27" s="632"/>
    </row>
    <row r="28" spans="1:14" ht="31.5" customHeight="1">
      <c r="A28" s="629"/>
      <c r="B28" s="630" t="str">
        <f>'Pricing Schedule'!B275</f>
        <v>(i)   Fee (based on Employer’s estimated cost of the works)</v>
      </c>
      <c r="C28" s="630" t="str">
        <f>'Pricing Schedule'!C275</f>
        <v>lump sum (LS)</v>
      </c>
      <c r="D28" s="651">
        <v>1</v>
      </c>
      <c r="E28" s="631">
        <v>1</v>
      </c>
      <c r="F28" s="855">
        <f>DATA!$FD$52</f>
        <v>0</v>
      </c>
      <c r="G28" s="722"/>
      <c r="H28" s="632">
        <f>IF((F28+G28)&gt;E28,"◄ ERROR TOO MUCH",(F28+G28))</f>
        <v>0</v>
      </c>
      <c r="I28" s="733">
        <f>'Pricing Schedule'!F275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Schedule'!B276</f>
        <v>(ii)  Fee adjustment*</v>
      </c>
      <c r="C29" s="630" t="str">
        <f>'Pricing Schedule'!C276</f>
        <v>lump sum (LS)</v>
      </c>
      <c r="D29" s="651">
        <v>1</v>
      </c>
      <c r="E29" s="631">
        <v>1</v>
      </c>
      <c r="F29" s="855">
        <f>DATA!$IS$52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 t="e">
        <f>'ADJ-Summary'!$J$151</f>
        <v>#N/A</v>
      </c>
      <c r="K29" s="631" t="e">
        <f>'ADJ-Summary'!$J$158</f>
        <v>#N/A</v>
      </c>
      <c r="L29" s="855">
        <f>DATA!$IT$52</f>
        <v>0</v>
      </c>
      <c r="M29" s="631" t="e">
        <f>+(G29+F29)*K29-L29</f>
        <v>#N/A</v>
      </c>
      <c r="N29" s="632" t="e">
        <f>L29+M29</f>
        <v>#N/A</v>
      </c>
    </row>
    <row r="30" spans="1:14" ht="31.5" customHeight="1">
      <c r="A30" s="784"/>
      <c r="B30" s="630" t="str">
        <f>'Pricing Schedule'!B277</f>
        <v>(h) Disbursements</v>
      </c>
      <c r="C30" s="630" t="str">
        <f>'Pricing Schedule'!C277</f>
        <v>month</v>
      </c>
      <c r="D30" s="651">
        <f>'Pricing Schedule'!D277</f>
        <v>27</v>
      </c>
      <c r="E30" s="722">
        <f>D30</f>
        <v>27</v>
      </c>
      <c r="F30" s="855">
        <f>DATA!$GP$52</f>
        <v>0</v>
      </c>
      <c r="G30" s="722"/>
      <c r="H30" s="632">
        <f>F30+G30</f>
        <v>0</v>
      </c>
      <c r="I30" s="733">
        <f>'Pricing Schedule'!E277</f>
        <v>0</v>
      </c>
      <c r="J30" s="631">
        <f>D30*I30</f>
        <v>0</v>
      </c>
      <c r="K30" s="631">
        <f>E30*I30</f>
        <v>0</v>
      </c>
      <c r="L30" s="631">
        <f>F30*I30</f>
        <v>0</v>
      </c>
      <c r="M30" s="631">
        <f>G30*I30</f>
        <v>0</v>
      </c>
      <c r="N30" s="632">
        <f>H30*I30</f>
        <v>0</v>
      </c>
    </row>
    <row r="31" spans="1:14" ht="51">
      <c r="A31" s="784"/>
      <c r="B31" s="630" t="str">
        <f>'Pricing Schedule'!B278</f>
        <v>(i)  Administration and Monitoring of the Works Contract for extended Works Contract period from the original Employer’s estimate</v>
      </c>
      <c r="C31" s="630" t="str">
        <f>'Pricing Schedule'!C278</f>
        <v>month</v>
      </c>
      <c r="D31" s="651">
        <f>'Pricing Schedule'!D278</f>
        <v>5</v>
      </c>
      <c r="E31" s="722">
        <f>D31</f>
        <v>5</v>
      </c>
      <c r="F31" s="855">
        <f>DATA!$KL$52</f>
        <v>0</v>
      </c>
      <c r="G31" s="722"/>
      <c r="H31" s="632">
        <f>F31+G31</f>
        <v>0</v>
      </c>
      <c r="I31" s="733">
        <f>'Pricing Schedule'!E278</f>
        <v>0</v>
      </c>
      <c r="J31" s="631">
        <f>D31*I31</f>
        <v>0</v>
      </c>
      <c r="K31" s="631">
        <f>E31*I31</f>
        <v>0</v>
      </c>
      <c r="L31" s="631">
        <f>F31*I31</f>
        <v>0</v>
      </c>
      <c r="M31" s="631">
        <f>G31*I31</f>
        <v>0</v>
      </c>
      <c r="N31" s="632">
        <f>H31*I31</f>
        <v>0</v>
      </c>
    </row>
    <row r="32" spans="1:14" ht="51">
      <c r="A32" s="784"/>
      <c r="B32" s="630" t="str">
        <f>'Pricing Schedule'!B279</f>
        <v>(j)  Administration and Monitoring of the Works Contract for prolonged site stoppages not under the control of the Employer</v>
      </c>
      <c r="C32" s="630" t="str">
        <f>'Pricing Schedule'!C279</f>
        <v>month</v>
      </c>
      <c r="D32" s="651">
        <f>'Pricing Schedule'!D279</f>
        <v>5</v>
      </c>
      <c r="E32" s="722">
        <f>D32</f>
        <v>5</v>
      </c>
      <c r="F32" s="855">
        <f>DATA!$KM$52</f>
        <v>0</v>
      </c>
      <c r="G32" s="722"/>
      <c r="H32" s="632">
        <f>F32+G32</f>
        <v>0</v>
      </c>
      <c r="I32" s="733">
        <f>'Pricing Schedule'!E279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629"/>
      <c r="B33" s="630" t="str">
        <f>'Pricing Schedule'!B280</f>
        <v>(k)  Training of Service Provider’s staff and Targeted Enterprises:</v>
      </c>
      <c r="C33" s="630"/>
      <c r="D33" s="651"/>
      <c r="E33" s="1058"/>
      <c r="F33" s="631"/>
      <c r="G33" s="1058"/>
      <c r="H33" s="632"/>
      <c r="I33" s="733"/>
      <c r="J33" s="631"/>
      <c r="K33" s="631"/>
      <c r="L33" s="631"/>
      <c r="M33" s="631"/>
      <c r="N33" s="632"/>
    </row>
    <row r="34" spans="1:14" ht="31.5" customHeight="1">
      <c r="A34" s="629"/>
      <c r="B34" s="630" t="str">
        <f>'Pricing Schedule'!B281</f>
        <v>(i)   Assistant Contract Engineer</v>
      </c>
      <c r="C34" s="630" t="str">
        <f>'Pricing Schedule'!C281</f>
        <v>provisional sum (PS)</v>
      </c>
      <c r="D34" s="651">
        <v>1</v>
      </c>
      <c r="E34" s="722">
        <f>D34</f>
        <v>1</v>
      </c>
      <c r="F34" s="855">
        <f>DATA!$KN$52</f>
        <v>0</v>
      </c>
      <c r="G34" s="854">
        <f>'Pg 4 P Sums'!K237-'C3.7'!F34</f>
        <v>0</v>
      </c>
      <c r="H34" s="632">
        <f>F34+G34</f>
        <v>0</v>
      </c>
      <c r="I34" s="733">
        <f>'Pricing Schedule'!F281</f>
        <v>800000</v>
      </c>
      <c r="J34" s="631">
        <f>D34*I34</f>
        <v>800000</v>
      </c>
      <c r="K34" s="631">
        <f>E34*I34</f>
        <v>800000</v>
      </c>
      <c r="L34" s="631">
        <f>F34*I34</f>
        <v>0</v>
      </c>
      <c r="M34" s="631">
        <f>G34*I34</f>
        <v>0</v>
      </c>
      <c r="N34" s="632">
        <f>H34*I34</f>
        <v>0</v>
      </c>
    </row>
    <row r="35" spans="1:14" ht="31.5" customHeight="1">
      <c r="A35" s="629"/>
      <c r="B35" s="630" t="str">
        <f>'Pricing Schedule'!B282</f>
        <v>(ii)  Disbursements</v>
      </c>
      <c r="C35" s="630" t="str">
        <f>'Pricing Schedule'!C282</f>
        <v>prime cost (PC)</v>
      </c>
      <c r="D35" s="651">
        <v>1</v>
      </c>
      <c r="E35" s="722">
        <f>D35</f>
        <v>1</v>
      </c>
      <c r="F35" s="855">
        <f>DATA!$KO$52</f>
        <v>0</v>
      </c>
      <c r="G35" s="854">
        <f>'Pg 4 P Sums'!K245-'C3.7'!F35</f>
        <v>0</v>
      </c>
      <c r="H35" s="632">
        <f>F35+G35</f>
        <v>0</v>
      </c>
      <c r="I35" s="733">
        <f>'Pricing Schedule'!F282</f>
        <v>100000</v>
      </c>
      <c r="J35" s="631">
        <f>D35*I35</f>
        <v>100000</v>
      </c>
      <c r="K35" s="631">
        <f>E35*I35</f>
        <v>100000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629" t="str">
        <f>'Pricing Schedule'!A283</f>
        <v>3.7.2</v>
      </c>
      <c r="B36" s="630" t="str">
        <f>'Pricing Schedule'!B283</f>
        <v>Occupational Health and Safety obligations</v>
      </c>
      <c r="C36" s="630"/>
      <c r="D36" s="758"/>
      <c r="E36" s="759"/>
      <c r="F36" s="759"/>
      <c r="G36" s="759"/>
      <c r="H36" s="760"/>
      <c r="I36" s="758"/>
      <c r="J36" s="631"/>
      <c r="K36" s="631"/>
      <c r="L36" s="631"/>
      <c r="M36" s="631"/>
      <c r="N36" s="632"/>
    </row>
    <row r="37" spans="1:14" ht="31.5" customHeight="1">
      <c r="A37" s="784"/>
      <c r="B37" s="630" t="str">
        <f>'Pricing Schedule'!B284</f>
        <v>(a) Continuous compliance and monthly internal audits</v>
      </c>
      <c r="C37" s="630" t="str">
        <f>'Pricing Schedule'!C284</f>
        <v>month</v>
      </c>
      <c r="D37" s="651">
        <f>'Pricing Schedule'!D284</f>
        <v>24</v>
      </c>
      <c r="E37" s="722">
        <f>D37</f>
        <v>24</v>
      </c>
      <c r="F37" s="855">
        <f>DATA!$FE$52</f>
        <v>0</v>
      </c>
      <c r="G37" s="722"/>
      <c r="H37" s="632">
        <f>F37+G37</f>
        <v>0</v>
      </c>
      <c r="I37" s="733">
        <f>'Pricing Schedule'!E284</f>
        <v>0</v>
      </c>
      <c r="J37" s="631">
        <f>D37*I37</f>
        <v>0</v>
      </c>
      <c r="K37" s="631">
        <f>E37*I37</f>
        <v>0</v>
      </c>
      <c r="L37" s="631">
        <f>F37*I37</f>
        <v>0</v>
      </c>
      <c r="M37" s="631">
        <f>G37*I37</f>
        <v>0</v>
      </c>
      <c r="N37" s="632">
        <f>H37*I37</f>
        <v>0</v>
      </c>
    </row>
    <row r="38" spans="1:14" ht="31.5" customHeight="1">
      <c r="A38" s="629"/>
      <c r="B38" s="630" t="str">
        <f>'Pricing Schedule'!B285</f>
        <v>(b) external site audits</v>
      </c>
      <c r="C38" s="630" t="str">
        <f>'Pricing Schedule'!C285</f>
        <v>provisional sum (PS)</v>
      </c>
      <c r="D38" s="651">
        <v>1</v>
      </c>
      <c r="E38" s="722">
        <f>D38</f>
        <v>1</v>
      </c>
      <c r="F38" s="855">
        <f>DATA!$FF$52</f>
        <v>0</v>
      </c>
      <c r="G38" s="854">
        <f>'Pg 4 P Sums'!K254-'C3.7'!F38</f>
        <v>0</v>
      </c>
      <c r="H38" s="632">
        <f>F38+G38</f>
        <v>0</v>
      </c>
      <c r="I38" s="733">
        <f>'Pricing Schedule'!F285</f>
        <v>250000</v>
      </c>
      <c r="J38" s="631">
        <f>D38*I38</f>
        <v>250000</v>
      </c>
      <c r="K38" s="631">
        <f>E38*I38</f>
        <v>250000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629"/>
      <c r="B39" s="630" t="str">
        <f>'Pricing Schedule'!B286</f>
        <v>(c)  Handling costs i.r.o. pay item 3.7.2 (b)</v>
      </c>
      <c r="C39" s="630" t="str">
        <f>'Pricing Schedule'!C286</f>
        <v>percentage (%)</v>
      </c>
      <c r="D39" s="651">
        <f>'Pricing Schedule'!D286</f>
        <v>250000</v>
      </c>
      <c r="E39" s="631">
        <f>K38</f>
        <v>250000</v>
      </c>
      <c r="F39" s="631">
        <f t="shared" ref="F39:G39" si="0">L38</f>
        <v>0</v>
      </c>
      <c r="G39" s="631">
        <f t="shared" si="0"/>
        <v>0</v>
      </c>
      <c r="H39" s="632">
        <f>F39+G39</f>
        <v>0</v>
      </c>
      <c r="I39" s="747">
        <f>'Pricing Schedule'!E286</f>
        <v>0</v>
      </c>
      <c r="J39" s="631">
        <f>D39*I39</f>
        <v>0</v>
      </c>
      <c r="K39" s="631">
        <f>E39*I39</f>
        <v>0</v>
      </c>
      <c r="L39" s="631">
        <f>F39*I39</f>
        <v>0</v>
      </c>
      <c r="M39" s="631">
        <f>G39*I39</f>
        <v>0</v>
      </c>
      <c r="N39" s="632">
        <f>H39*I39</f>
        <v>0</v>
      </c>
    </row>
    <row r="40" spans="1:14" ht="31.5" customHeight="1">
      <c r="A40" s="629" t="str">
        <f>'Pricing Schedule'!A287</f>
        <v>3.7.3</v>
      </c>
      <c r="B40" s="630" t="str">
        <f>'Pricing Schedule'!B287</f>
        <v>Establishment of supervisory personnel on site</v>
      </c>
      <c r="C40" s="630"/>
      <c r="D40" s="758"/>
      <c r="E40" s="759"/>
      <c r="F40" s="759"/>
      <c r="G40" s="759"/>
      <c r="H40" s="760"/>
      <c r="I40" s="758"/>
      <c r="J40" s="631"/>
      <c r="K40" s="631"/>
      <c r="L40" s="631"/>
      <c r="M40" s="631"/>
      <c r="N40" s="632"/>
    </row>
    <row r="41" spans="1:14" ht="31.5" customHeight="1">
      <c r="A41" s="629"/>
      <c r="B41" s="630" t="str">
        <f>'Pricing Schedule'!B288</f>
        <v>(a) Relocation costs of individual site personnel</v>
      </c>
      <c r="C41" s="630" t="str">
        <f>'Pricing Schedule'!C288</f>
        <v>prime cost (PC)</v>
      </c>
      <c r="D41" s="651">
        <v>1</v>
      </c>
      <c r="E41" s="722">
        <f>D41</f>
        <v>1</v>
      </c>
      <c r="F41" s="855">
        <f>DATA!$FG$52</f>
        <v>0</v>
      </c>
      <c r="G41" s="854">
        <f>'Pg 4 P Sums'!K263-'C3.7'!F41</f>
        <v>0</v>
      </c>
      <c r="H41" s="632">
        <f>F41+G41</f>
        <v>0</v>
      </c>
      <c r="I41" s="733">
        <f>'Pricing Schedule'!F288</f>
        <v>250000</v>
      </c>
      <c r="J41" s="631">
        <f>D41*I41</f>
        <v>250000</v>
      </c>
      <c r="K41" s="631">
        <f>E41*I41</f>
        <v>250000</v>
      </c>
      <c r="L41" s="631">
        <f>F41*I41</f>
        <v>0</v>
      </c>
      <c r="M41" s="631">
        <f>G41*I41</f>
        <v>0</v>
      </c>
      <c r="N41" s="632">
        <f>H41*I41</f>
        <v>0</v>
      </c>
    </row>
    <row r="42" spans="1:14" ht="31.5" customHeight="1">
      <c r="A42" s="629"/>
      <c r="B42" s="630" t="str">
        <f>'Pricing Schedule'!B289</f>
        <v>(b) Handling costs i.r.o. sub item 3.7.3(a)</v>
      </c>
      <c r="C42" s="630" t="str">
        <f>'Pricing Schedule'!C289</f>
        <v>percentage (%)</v>
      </c>
      <c r="D42" s="651">
        <f>'Pricing Schedule'!D289</f>
        <v>250000</v>
      </c>
      <c r="E42" s="631">
        <f>K41</f>
        <v>250000</v>
      </c>
      <c r="F42" s="631">
        <f t="shared" ref="F42" si="1">L41</f>
        <v>0</v>
      </c>
      <c r="G42" s="631">
        <f t="shared" ref="G42" si="2">M41</f>
        <v>0</v>
      </c>
      <c r="H42" s="632">
        <f>F42+G42</f>
        <v>0</v>
      </c>
      <c r="I42" s="747">
        <f>'Pricing Schedule'!E289</f>
        <v>0</v>
      </c>
      <c r="J42" s="631">
        <f>D42*I42</f>
        <v>0</v>
      </c>
      <c r="K42" s="631">
        <f>E42*I42</f>
        <v>0</v>
      </c>
      <c r="L42" s="631">
        <f>F42*I42</f>
        <v>0</v>
      </c>
      <c r="M42" s="631">
        <f>G42*I42</f>
        <v>0</v>
      </c>
      <c r="N42" s="632">
        <f>H42*I42</f>
        <v>0</v>
      </c>
    </row>
    <row r="43" spans="1:14" ht="31.5" customHeight="1">
      <c r="A43" s="784"/>
      <c r="B43" s="630" t="str">
        <f>'Pricing Schedule'!B290</f>
        <v>(c) Establishment of office equipment</v>
      </c>
      <c r="C43" s="630" t="str">
        <f>'Pricing Schedule'!C290</f>
        <v>lump sum (LS)</v>
      </c>
      <c r="D43" s="651">
        <v>1</v>
      </c>
      <c r="E43" s="1058">
        <v>1</v>
      </c>
      <c r="F43" s="855">
        <f>DATA!$FH$52</f>
        <v>0</v>
      </c>
      <c r="G43" s="722"/>
      <c r="H43" s="632">
        <f>F43+G43</f>
        <v>0</v>
      </c>
      <c r="I43" s="733">
        <f>'Pricing Schedule'!F290</f>
        <v>0</v>
      </c>
      <c r="J43" s="631">
        <f>D43*I43</f>
        <v>0</v>
      </c>
      <c r="K43" s="631">
        <f>E43*I43</f>
        <v>0</v>
      </c>
      <c r="L43" s="631">
        <f>F43*I43</f>
        <v>0</v>
      </c>
      <c r="M43" s="631">
        <f>G43*I43</f>
        <v>0</v>
      </c>
      <c r="N43" s="632">
        <f>H43*I43</f>
        <v>0</v>
      </c>
    </row>
    <row r="44" spans="1:14" ht="31.5" customHeight="1">
      <c r="A44" s="629" t="str">
        <f>'Pricing Schedule'!A291</f>
        <v>3.7.4</v>
      </c>
      <c r="B44" s="630" t="str">
        <f>'Pricing Schedule'!B291</f>
        <v>Provision of Supervisory Staff and Equipment</v>
      </c>
      <c r="C44" s="630"/>
      <c r="D44" s="758"/>
      <c r="E44" s="759"/>
      <c r="F44" s="759"/>
      <c r="G44" s="759"/>
      <c r="H44" s="760"/>
      <c r="I44" s="758"/>
      <c r="J44" s="631"/>
      <c r="K44" s="631"/>
      <c r="L44" s="631"/>
      <c r="M44" s="631"/>
      <c r="N44" s="632"/>
    </row>
    <row r="45" spans="1:14" ht="31.5" customHeight="1">
      <c r="A45" s="629"/>
      <c r="B45" s="630" t="str">
        <f>'Pricing Schedule'!B292</f>
        <v>(a) Site supervision staff</v>
      </c>
      <c r="C45" s="630" t="str">
        <f>'Pricing Schedule'!C292</f>
        <v>provisional sum (PS)</v>
      </c>
      <c r="D45" s="651">
        <v>1</v>
      </c>
      <c r="E45" s="722">
        <f>D45</f>
        <v>1</v>
      </c>
      <c r="F45" s="855">
        <f>DATA!$FI$52</f>
        <v>0</v>
      </c>
      <c r="G45" s="854">
        <f>'Pg 4 P Sums'!K272-'C3.7'!F45</f>
        <v>0</v>
      </c>
      <c r="H45" s="632">
        <f t="shared" ref="H45:H53" si="3">F45+G45</f>
        <v>0</v>
      </c>
      <c r="I45" s="733">
        <f>'Pricing Schedule'!F292</f>
        <v>30240000</v>
      </c>
      <c r="J45" s="631">
        <f t="shared" ref="J45:J53" si="4">D45*I45</f>
        <v>30240000</v>
      </c>
      <c r="K45" s="631">
        <f t="shared" ref="K45:K53" si="5">E45*I45</f>
        <v>30240000</v>
      </c>
      <c r="L45" s="631">
        <f t="shared" ref="L45:L53" si="6">F45*I45</f>
        <v>0</v>
      </c>
      <c r="M45" s="631">
        <f t="shared" ref="M45:M53" si="7">G45*I45</f>
        <v>0</v>
      </c>
      <c r="N45" s="632">
        <f t="shared" ref="N45:N53" si="8">H45*I45</f>
        <v>0</v>
      </c>
    </row>
    <row r="46" spans="1:14" ht="31.5" customHeight="1">
      <c r="A46" s="629"/>
      <c r="B46" s="630" t="str">
        <f>'Pricing Schedule'!B293</f>
        <v>(b) Mark up i.r.o sub item 3.7.4 (a)</v>
      </c>
      <c r="C46" s="630" t="str">
        <f>'Pricing Schedule'!C293</f>
        <v>percentage (%)</v>
      </c>
      <c r="D46" s="651">
        <f>'Pricing Schedule'!D293</f>
        <v>30240000</v>
      </c>
      <c r="E46" s="631">
        <f>K45</f>
        <v>30240000</v>
      </c>
      <c r="F46" s="631">
        <f t="shared" ref="F46" si="9">L45</f>
        <v>0</v>
      </c>
      <c r="G46" s="631">
        <f t="shared" ref="G46" si="10">M45</f>
        <v>0</v>
      </c>
      <c r="H46" s="632">
        <f t="shared" si="3"/>
        <v>0</v>
      </c>
      <c r="I46" s="747">
        <f>'Pricing Schedule'!E293</f>
        <v>0</v>
      </c>
      <c r="J46" s="631">
        <f t="shared" si="4"/>
        <v>0</v>
      </c>
      <c r="K46" s="631">
        <f t="shared" si="5"/>
        <v>0</v>
      </c>
      <c r="L46" s="631">
        <f t="shared" si="6"/>
        <v>0</v>
      </c>
      <c r="M46" s="631">
        <f t="shared" si="7"/>
        <v>0</v>
      </c>
      <c r="N46" s="632">
        <f t="shared" si="8"/>
        <v>0</v>
      </c>
    </row>
    <row r="47" spans="1:14" ht="31.5" customHeight="1">
      <c r="A47" s="629"/>
      <c r="B47" s="630" t="str">
        <f>'Pricing Schedule'!B294</f>
        <v>(c) Surveyor and assistants</v>
      </c>
      <c r="C47" s="630" t="str">
        <f>'Pricing Schedule'!C294</f>
        <v>prime cost (PC)</v>
      </c>
      <c r="D47" s="651">
        <v>1</v>
      </c>
      <c r="E47" s="722">
        <f>D47</f>
        <v>1</v>
      </c>
      <c r="F47" s="855">
        <f>DATA!$FJ$52</f>
        <v>0</v>
      </c>
      <c r="G47" s="854">
        <f>'Pg 4 P Sums'!K280-'C3.7'!F47</f>
        <v>0</v>
      </c>
      <c r="H47" s="632">
        <f t="shared" si="3"/>
        <v>0</v>
      </c>
      <c r="I47" s="733">
        <f>'Pricing Schedule'!F294</f>
        <v>1200000</v>
      </c>
      <c r="J47" s="631">
        <f t="shared" si="4"/>
        <v>1200000</v>
      </c>
      <c r="K47" s="631">
        <f t="shared" si="5"/>
        <v>1200000</v>
      </c>
      <c r="L47" s="631">
        <f t="shared" si="6"/>
        <v>0</v>
      </c>
      <c r="M47" s="631">
        <f t="shared" si="7"/>
        <v>0</v>
      </c>
      <c r="N47" s="632">
        <f t="shared" si="8"/>
        <v>0</v>
      </c>
    </row>
    <row r="48" spans="1:14" ht="31.5" customHeight="1">
      <c r="A48" s="629"/>
      <c r="B48" s="630" t="str">
        <f>'Pricing Schedule'!B295</f>
        <v>(d) Handling costs i.r.o. sub item 3.7.4(c)</v>
      </c>
      <c r="C48" s="630" t="str">
        <f>'Pricing Schedule'!C295</f>
        <v>percentage (%)</v>
      </c>
      <c r="D48" s="651">
        <f>'Pricing Schedule'!D295</f>
        <v>1200000</v>
      </c>
      <c r="E48" s="631">
        <f>K47</f>
        <v>1200000</v>
      </c>
      <c r="F48" s="631">
        <f t="shared" ref="F48" si="11">L47</f>
        <v>0</v>
      </c>
      <c r="G48" s="631">
        <f t="shared" ref="G48" si="12">M47</f>
        <v>0</v>
      </c>
      <c r="H48" s="632">
        <f t="shared" si="3"/>
        <v>0</v>
      </c>
      <c r="I48" s="747">
        <f>'Pricing Schedule'!E295</f>
        <v>0</v>
      </c>
      <c r="J48" s="631">
        <f t="shared" si="4"/>
        <v>0</v>
      </c>
      <c r="K48" s="631">
        <f t="shared" si="5"/>
        <v>0</v>
      </c>
      <c r="L48" s="631">
        <f t="shared" si="6"/>
        <v>0</v>
      </c>
      <c r="M48" s="631">
        <f t="shared" si="7"/>
        <v>0</v>
      </c>
      <c r="N48" s="632">
        <f t="shared" si="8"/>
        <v>0</v>
      </c>
    </row>
    <row r="49" spans="1:14" ht="31.5" customHeight="1">
      <c r="A49" s="784"/>
      <c r="B49" s="630" t="str">
        <f>'Pricing Schedule'!B296</f>
        <v>(e) Provision and monthly cost of office equipment</v>
      </c>
      <c r="C49" s="630" t="str">
        <f>'Pricing Schedule'!C296</f>
        <v>month</v>
      </c>
      <c r="D49" s="651">
        <f>'Pricing Schedule'!D296</f>
        <v>27</v>
      </c>
      <c r="E49" s="722">
        <f>D49</f>
        <v>27</v>
      </c>
      <c r="F49" s="855">
        <f>DATA!$FK$52</f>
        <v>0</v>
      </c>
      <c r="G49" s="722"/>
      <c r="H49" s="632">
        <f t="shared" si="3"/>
        <v>0</v>
      </c>
      <c r="I49" s="733">
        <f>'Pricing Schedule'!E296</f>
        <v>0</v>
      </c>
      <c r="J49" s="631">
        <f t="shared" si="4"/>
        <v>0</v>
      </c>
      <c r="K49" s="631">
        <f t="shared" si="5"/>
        <v>0</v>
      </c>
      <c r="L49" s="631">
        <f t="shared" si="6"/>
        <v>0</v>
      </c>
      <c r="M49" s="631">
        <f t="shared" si="7"/>
        <v>0</v>
      </c>
      <c r="N49" s="632">
        <f t="shared" si="8"/>
        <v>0</v>
      </c>
    </row>
    <row r="50" spans="1:14" ht="31.5" customHeight="1">
      <c r="A50" s="629"/>
      <c r="B50" s="630" t="str">
        <f>'Pricing Schedule'!B297</f>
        <v>(f) Project Liaison Officer (PLO)</v>
      </c>
      <c r="C50" s="630" t="str">
        <f>'Pricing Schedule'!C297</f>
        <v>provisional sum (PS)</v>
      </c>
      <c r="D50" s="651">
        <v>1</v>
      </c>
      <c r="E50" s="722">
        <f>D50</f>
        <v>1</v>
      </c>
      <c r="F50" s="855">
        <f>DATA!$FL$52</f>
        <v>0</v>
      </c>
      <c r="G50" s="854">
        <f>'Pg 4 P Sums'!K288-'C3.7'!F50</f>
        <v>0</v>
      </c>
      <c r="H50" s="632">
        <f t="shared" si="3"/>
        <v>0</v>
      </c>
      <c r="I50" s="733">
        <f>'Pricing Schedule'!F297</f>
        <v>540000</v>
      </c>
      <c r="J50" s="631">
        <f t="shared" si="4"/>
        <v>540000</v>
      </c>
      <c r="K50" s="631">
        <f t="shared" si="5"/>
        <v>540000</v>
      </c>
      <c r="L50" s="631">
        <f t="shared" si="6"/>
        <v>0</v>
      </c>
      <c r="M50" s="631">
        <f t="shared" si="7"/>
        <v>0</v>
      </c>
      <c r="N50" s="632">
        <f t="shared" si="8"/>
        <v>0</v>
      </c>
    </row>
    <row r="51" spans="1:14" ht="31.5" customHeight="1">
      <c r="A51" s="629"/>
      <c r="B51" s="630" t="str">
        <f>'Pricing Schedule'!B298</f>
        <v>(g) Mark up i.r.o sub item 3.7.4 (f)</v>
      </c>
      <c r="C51" s="630" t="str">
        <f>'Pricing Schedule'!C298</f>
        <v>percentage (%)</v>
      </c>
      <c r="D51" s="651">
        <f>'Pricing Schedule'!D298</f>
        <v>540000</v>
      </c>
      <c r="E51" s="631">
        <f>K50</f>
        <v>540000</v>
      </c>
      <c r="F51" s="631">
        <f t="shared" ref="F51" si="13">L50</f>
        <v>0</v>
      </c>
      <c r="G51" s="631">
        <f t="shared" ref="G51" si="14">M50</f>
        <v>0</v>
      </c>
      <c r="H51" s="632">
        <f t="shared" si="3"/>
        <v>0</v>
      </c>
      <c r="I51" s="747">
        <f>'Pricing Schedule'!E298</f>
        <v>0</v>
      </c>
      <c r="J51" s="631">
        <f t="shared" si="4"/>
        <v>0</v>
      </c>
      <c r="K51" s="631">
        <f t="shared" si="5"/>
        <v>0</v>
      </c>
      <c r="L51" s="631">
        <f t="shared" si="6"/>
        <v>0</v>
      </c>
      <c r="M51" s="631">
        <f t="shared" si="7"/>
        <v>0</v>
      </c>
      <c r="N51" s="632">
        <f t="shared" si="8"/>
        <v>0</v>
      </c>
    </row>
    <row r="52" spans="1:14" ht="31.5" customHeight="1">
      <c r="A52" s="629"/>
      <c r="B52" s="630" t="str">
        <f>'Pricing Schedule'!B299</f>
        <v>(h) Accommodation for supervisory staff</v>
      </c>
      <c r="C52" s="630" t="str">
        <f>'Pricing Schedule'!C299</f>
        <v>provisional sum (PS)</v>
      </c>
      <c r="D52" s="651">
        <v>1</v>
      </c>
      <c r="E52" s="722">
        <f>D52</f>
        <v>1</v>
      </c>
      <c r="F52" s="855">
        <f>DATA!$FM$52</f>
        <v>0</v>
      </c>
      <c r="G52" s="854">
        <f>'Pg 4 P Sums'!K296-'C3.7'!F52</f>
        <v>0</v>
      </c>
      <c r="H52" s="632">
        <f t="shared" si="3"/>
        <v>0</v>
      </c>
      <c r="I52" s="733">
        <f>'Pricing Schedule'!F299</f>
        <v>2916000</v>
      </c>
      <c r="J52" s="631">
        <f t="shared" si="4"/>
        <v>2916000</v>
      </c>
      <c r="K52" s="631">
        <f t="shared" si="5"/>
        <v>2916000</v>
      </c>
      <c r="L52" s="631">
        <f t="shared" si="6"/>
        <v>0</v>
      </c>
      <c r="M52" s="631">
        <f t="shared" si="7"/>
        <v>0</v>
      </c>
      <c r="N52" s="632">
        <f t="shared" si="8"/>
        <v>0</v>
      </c>
    </row>
    <row r="53" spans="1:14" ht="31.5" customHeight="1">
      <c r="A53" s="629"/>
      <c r="B53" s="630" t="str">
        <f>'Pricing Schedule'!B300</f>
        <v>(i) Mark up i.r.o sub item 3.7.4 (h)</v>
      </c>
      <c r="C53" s="630" t="str">
        <f>'Pricing Schedule'!C300</f>
        <v>percentage (%)</v>
      </c>
      <c r="D53" s="651">
        <f>'Pricing Schedule'!D300</f>
        <v>2916000</v>
      </c>
      <c r="E53" s="631">
        <f>K52</f>
        <v>2916000</v>
      </c>
      <c r="F53" s="631">
        <f t="shared" ref="F53" si="15">L52</f>
        <v>0</v>
      </c>
      <c r="G53" s="631">
        <f t="shared" ref="G53" si="16">M52</f>
        <v>0</v>
      </c>
      <c r="H53" s="632">
        <f t="shared" si="3"/>
        <v>0</v>
      </c>
      <c r="I53" s="747">
        <f>'Pricing Schedule'!E300</f>
        <v>0</v>
      </c>
      <c r="J53" s="631">
        <f t="shared" si="4"/>
        <v>0</v>
      </c>
      <c r="K53" s="631">
        <f t="shared" si="5"/>
        <v>0</v>
      </c>
      <c r="L53" s="631">
        <f t="shared" si="6"/>
        <v>0</v>
      </c>
      <c r="M53" s="631">
        <f t="shared" si="7"/>
        <v>0</v>
      </c>
      <c r="N53" s="632">
        <f t="shared" si="8"/>
        <v>0</v>
      </c>
    </row>
    <row r="54" spans="1:14" ht="31.5" customHeight="1">
      <c r="A54" s="629" t="str">
        <f>'Pricing Schedule'!A301</f>
        <v>3.7.5</v>
      </c>
      <c r="B54" s="630" t="str">
        <f>'Pricing Schedule'!B301</f>
        <v>Training</v>
      </c>
      <c r="C54" s="630"/>
      <c r="D54" s="758"/>
      <c r="E54" s="759"/>
      <c r="F54" s="759"/>
      <c r="G54" s="759"/>
      <c r="H54" s="760"/>
      <c r="I54" s="758"/>
      <c r="J54" s="631"/>
      <c r="K54" s="631"/>
      <c r="L54" s="631"/>
      <c r="M54" s="631"/>
      <c r="N54" s="632"/>
    </row>
    <row r="55" spans="1:14" ht="31.5" customHeight="1">
      <c r="A55" s="784"/>
      <c r="B55" s="630" t="str">
        <f>'Pricing Schedule'!B302</f>
        <v>(a)   Employer’s candidate engineers</v>
      </c>
      <c r="C55" s="630" t="str">
        <f>'Pricing Schedule'!C302</f>
        <v>person month</v>
      </c>
      <c r="D55" s="651">
        <f>'Pricing Schedule'!D302</f>
        <v>24</v>
      </c>
      <c r="E55" s="722">
        <f>D55</f>
        <v>24</v>
      </c>
      <c r="F55" s="855">
        <f>DATA!$FN$52</f>
        <v>0</v>
      </c>
      <c r="G55" s="722"/>
      <c r="H55" s="632">
        <f>F55+G55</f>
        <v>0</v>
      </c>
      <c r="I55" s="733">
        <f>'Pricing Schedule'!E302</f>
        <v>0</v>
      </c>
      <c r="J55" s="631">
        <f>D55*I55</f>
        <v>0</v>
      </c>
      <c r="K55" s="631">
        <f>E55*I55</f>
        <v>0</v>
      </c>
      <c r="L55" s="631">
        <f>F55*I55</f>
        <v>0</v>
      </c>
      <c r="M55" s="631">
        <f>G55*I55</f>
        <v>0</v>
      </c>
      <c r="N55" s="632">
        <f>H55*I55</f>
        <v>0</v>
      </c>
    </row>
    <row r="56" spans="1:14" ht="31.5" customHeight="1">
      <c r="A56" s="784"/>
      <c r="B56" s="630" t="str">
        <f>'Pricing Schedule'!B303</f>
        <v>(b)   Students (engineering or surveying) receiving experiential training</v>
      </c>
      <c r="C56" s="630" t="str">
        <f>'Pricing Schedule'!C303</f>
        <v>person month</v>
      </c>
      <c r="D56" s="651">
        <f>'Pricing Schedule'!D303</f>
        <v>24</v>
      </c>
      <c r="E56" s="722">
        <f t="shared" ref="E56:E57" si="17">D56</f>
        <v>24</v>
      </c>
      <c r="F56" s="855">
        <f>DATA!$FO$52</f>
        <v>0</v>
      </c>
      <c r="G56" s="722"/>
      <c r="H56" s="632">
        <f>F56+G56</f>
        <v>0</v>
      </c>
      <c r="I56" s="733">
        <f>'Pricing Schedule'!E303</f>
        <v>0</v>
      </c>
      <c r="J56" s="631">
        <f>D56*I56</f>
        <v>0</v>
      </c>
      <c r="K56" s="631">
        <f>E56*I56</f>
        <v>0</v>
      </c>
      <c r="L56" s="631">
        <f>F56*I56</f>
        <v>0</v>
      </c>
      <c r="M56" s="631">
        <f>G56*I56</f>
        <v>0</v>
      </c>
      <c r="N56" s="632">
        <f>H56*I56</f>
        <v>0</v>
      </c>
    </row>
    <row r="57" spans="1:14" ht="31.5" customHeight="1">
      <c r="A57" s="629"/>
      <c r="B57" s="630" t="str">
        <f>'Pricing Schedule'!B304</f>
        <v>(c)   Student stipend</v>
      </c>
      <c r="C57" s="630" t="str">
        <f>'Pricing Schedule'!C304</f>
        <v>provisional sum (PS)</v>
      </c>
      <c r="D57" s="651">
        <v>1</v>
      </c>
      <c r="E57" s="722">
        <f t="shared" si="17"/>
        <v>1</v>
      </c>
      <c r="F57" s="855">
        <f>DATA!$FP$52</f>
        <v>0</v>
      </c>
      <c r="G57" s="854">
        <f>'Pg 4 P Sums'!K305-'C3.7'!F57</f>
        <v>0</v>
      </c>
      <c r="H57" s="632">
        <f>F57+G57</f>
        <v>0</v>
      </c>
      <c r="I57" s="733">
        <f>'Pricing Schedule'!F304</f>
        <v>720000</v>
      </c>
      <c r="J57" s="631">
        <f>D57*I57</f>
        <v>720000</v>
      </c>
      <c r="K57" s="631">
        <f>E57*I57</f>
        <v>720000</v>
      </c>
      <c r="L57" s="631">
        <f>F57*I57</f>
        <v>0</v>
      </c>
      <c r="M57" s="631">
        <f>G57*I57</f>
        <v>0</v>
      </c>
      <c r="N57" s="632">
        <f>H57*I57</f>
        <v>0</v>
      </c>
    </row>
    <row r="58" spans="1:14" ht="31.5" customHeight="1">
      <c r="A58" s="629" t="str">
        <f>'Pricing Schedule'!A305</f>
        <v>3.7.6</v>
      </c>
      <c r="B58" s="630" t="str">
        <f>'Pricing Schedule'!B305</f>
        <v>Transport for site supervisory staff and for additional services</v>
      </c>
      <c r="C58" s="630"/>
      <c r="D58" s="758"/>
      <c r="E58" s="759"/>
      <c r="F58" s="759"/>
      <c r="G58" s="759"/>
      <c r="H58" s="760"/>
      <c r="I58" s="758"/>
      <c r="J58" s="631"/>
      <c r="K58" s="631"/>
      <c r="L58" s="631"/>
      <c r="M58" s="631"/>
      <c r="N58" s="632"/>
    </row>
    <row r="59" spans="1:14" ht="31.5" customHeight="1">
      <c r="A59" s="629"/>
      <c r="B59" s="630" t="str">
        <f>'Pricing Schedule'!B306</f>
        <v>(a) Travelling to perform duties</v>
      </c>
      <c r="C59" s="630" t="str">
        <f>'Pricing Schedule'!C306</f>
        <v>provisional sum (PS)</v>
      </c>
      <c r="D59" s="651">
        <v>1</v>
      </c>
      <c r="E59" s="722">
        <f>D59</f>
        <v>1</v>
      </c>
      <c r="F59" s="855">
        <f>DATA!$FQ$52</f>
        <v>0</v>
      </c>
      <c r="G59" s="854">
        <f>'Pg 4 P Sums'!K314-'C3.7'!F59</f>
        <v>0</v>
      </c>
      <c r="H59" s="632">
        <f>F59+G59</f>
        <v>0</v>
      </c>
      <c r="I59" s="733">
        <f>'Pricing Schedule'!F306</f>
        <v>4500000</v>
      </c>
      <c r="J59" s="631">
        <f>D59*I59</f>
        <v>4500000</v>
      </c>
      <c r="K59" s="631">
        <f>E59*I59</f>
        <v>4500000</v>
      </c>
      <c r="L59" s="631">
        <f>F59*I59</f>
        <v>0</v>
      </c>
      <c r="M59" s="631">
        <f>G59*I59</f>
        <v>0</v>
      </c>
      <c r="N59" s="632">
        <f>H59*I59</f>
        <v>0</v>
      </c>
    </row>
    <row r="60" spans="1:14" ht="31.5" customHeight="1">
      <c r="A60" s="629"/>
      <c r="B60" s="630" t="str">
        <f>'Pricing Schedule'!B307</f>
        <v>(b) Mark up i.r.o sub item 3.7.6 (a)</v>
      </c>
      <c r="C60" s="630" t="str">
        <f>'Pricing Schedule'!C307</f>
        <v>percentage (%)</v>
      </c>
      <c r="D60" s="651">
        <f>'Pricing Schedule'!D307</f>
        <v>4500000</v>
      </c>
      <c r="E60" s="631">
        <f>K59</f>
        <v>4500000</v>
      </c>
      <c r="F60" s="631">
        <f t="shared" ref="F60" si="18">L59</f>
        <v>0</v>
      </c>
      <c r="G60" s="631">
        <f t="shared" ref="G60" si="19">M59</f>
        <v>0</v>
      </c>
      <c r="H60" s="632">
        <f>F60+G60</f>
        <v>0</v>
      </c>
      <c r="I60" s="747">
        <f>'Pricing Schedule'!E307</f>
        <v>0</v>
      </c>
      <c r="J60" s="631">
        <f>D60*I60</f>
        <v>0</v>
      </c>
      <c r="K60" s="631">
        <f>E60*I60</f>
        <v>0</v>
      </c>
      <c r="L60" s="631">
        <f>F60*I60</f>
        <v>0</v>
      </c>
      <c r="M60" s="631">
        <f>G60*I60</f>
        <v>0</v>
      </c>
      <c r="N60" s="632">
        <f>H60*I60</f>
        <v>0</v>
      </c>
    </row>
    <row r="61" spans="1:14" ht="31.5" customHeight="1">
      <c r="A61" s="629"/>
      <c r="B61" s="630" t="str">
        <f>'Pricing Schedule'!B308</f>
        <v>(c) Toll fees</v>
      </c>
      <c r="C61" s="630" t="str">
        <f>'Pricing Schedule'!C308</f>
        <v>prime cost (PC)</v>
      </c>
      <c r="D61" s="651">
        <v>1</v>
      </c>
      <c r="E61" s="722">
        <f>D61</f>
        <v>1</v>
      </c>
      <c r="F61" s="855">
        <f>DATA!$JI$52</f>
        <v>0</v>
      </c>
      <c r="G61" s="854">
        <f>'Pg 4 P Sums'!K322-'C3.7'!F61</f>
        <v>0</v>
      </c>
      <c r="H61" s="632">
        <f t="shared" ref="H61" si="20">F61+G61</f>
        <v>0</v>
      </c>
      <c r="I61" s="733">
        <f>'Pricing Schedule'!F308</f>
        <v>50000</v>
      </c>
      <c r="J61" s="631">
        <f t="shared" ref="J61" si="21">D61*I61</f>
        <v>50000</v>
      </c>
      <c r="K61" s="631">
        <f t="shared" ref="K61" si="22">E61*I61</f>
        <v>50000</v>
      </c>
      <c r="L61" s="631">
        <f t="shared" ref="L61" si="23">F61*I61</f>
        <v>0</v>
      </c>
      <c r="M61" s="631">
        <f t="shared" ref="M61" si="24">G61*I61</f>
        <v>0</v>
      </c>
      <c r="N61" s="632">
        <f t="shared" ref="N61" si="25">H61*I61</f>
        <v>0</v>
      </c>
    </row>
    <row r="62" spans="1:14" ht="40.5" customHeight="1">
      <c r="A62" s="629" t="str">
        <f>'Pricing Schedule'!A309</f>
        <v>3.7.7</v>
      </c>
      <c r="B62" s="630" t="str">
        <f>'Pricing Schedule'!B309</f>
        <v>Assistance at Clarification Meeting, Tender Period and Tender Evaluation of Sub-contract Packages</v>
      </c>
      <c r="C62" s="630"/>
      <c r="D62" s="758"/>
      <c r="E62" s="759"/>
      <c r="F62" s="759"/>
      <c r="G62" s="759"/>
      <c r="H62" s="760"/>
      <c r="I62" s="758"/>
      <c r="J62" s="631"/>
      <c r="K62" s="631"/>
      <c r="L62" s="631"/>
      <c r="M62" s="631"/>
      <c r="N62" s="632"/>
    </row>
    <row r="63" spans="1:14" ht="31.5" customHeight="1">
      <c r="A63" s="784"/>
      <c r="B63" s="630" t="str">
        <f>'Pricing Schedule'!B310</f>
        <v>(a)  Service Provider’s cost</v>
      </c>
      <c r="C63" s="630" t="str">
        <f>'Pricing Schedule'!C310</f>
        <v>number (No)</v>
      </c>
      <c r="D63" s="651">
        <f>'Pricing Schedule'!D310</f>
        <v>10</v>
      </c>
      <c r="E63" s="722">
        <f>D63</f>
        <v>10</v>
      </c>
      <c r="F63" s="855">
        <f>DATA!$JL$52</f>
        <v>0</v>
      </c>
      <c r="G63" s="722"/>
      <c r="H63" s="632">
        <f>F63+G63</f>
        <v>0</v>
      </c>
      <c r="I63" s="733">
        <f>'Pricing Schedule'!E310</f>
        <v>0</v>
      </c>
      <c r="J63" s="631">
        <f>D63*I63</f>
        <v>0</v>
      </c>
      <c r="K63" s="631">
        <f>E63*I63</f>
        <v>0</v>
      </c>
      <c r="L63" s="631">
        <f>F63*I63</f>
        <v>0</v>
      </c>
      <c r="M63" s="631">
        <f>G63*I63</f>
        <v>0</v>
      </c>
      <c r="N63" s="632">
        <f>H63*I63</f>
        <v>0</v>
      </c>
    </row>
    <row r="64" spans="1:14" ht="31.5" customHeight="1">
      <c r="A64" s="784"/>
      <c r="B64" s="630" t="str">
        <f>'Pricing Schedule'!B311</f>
        <v>(b)  Tender Evaluation</v>
      </c>
      <c r="C64" s="630" t="str">
        <f>'Pricing Schedule'!C311</f>
        <v>number (No)</v>
      </c>
      <c r="D64" s="651">
        <f>'Pricing Schedule'!D311</f>
        <v>10</v>
      </c>
      <c r="E64" s="722">
        <f>D64</f>
        <v>10</v>
      </c>
      <c r="F64" s="855">
        <f>DATA!$JM$52</f>
        <v>0</v>
      </c>
      <c r="G64" s="722"/>
      <c r="H64" s="632">
        <f>F64+G64</f>
        <v>0</v>
      </c>
      <c r="I64" s="733">
        <f>'Pricing Schedule'!E311</f>
        <v>0</v>
      </c>
      <c r="J64" s="631">
        <f>D64*I64</f>
        <v>0</v>
      </c>
      <c r="K64" s="631">
        <f>E64*I64</f>
        <v>0</v>
      </c>
      <c r="L64" s="631">
        <f>F64*I64</f>
        <v>0</v>
      </c>
      <c r="M64" s="631">
        <f>G64*I64</f>
        <v>0</v>
      </c>
      <c r="N64" s="632">
        <f>H64*I64</f>
        <v>0</v>
      </c>
    </row>
    <row r="65" spans="1:14" ht="31.5" customHeight="1">
      <c r="A65" s="784"/>
      <c r="B65" s="630" t="str">
        <f>'Pricing Schedule'!B312</f>
        <v>(c)  Evaluation Report</v>
      </c>
      <c r="C65" s="630" t="str">
        <f>'Pricing Schedule'!C312</f>
        <v>number (No)</v>
      </c>
      <c r="D65" s="651">
        <f>'Pricing Schedule'!D312</f>
        <v>10</v>
      </c>
      <c r="E65" s="722">
        <f>D65</f>
        <v>10</v>
      </c>
      <c r="F65" s="855">
        <f>DATA!$JN$52</f>
        <v>0</v>
      </c>
      <c r="G65" s="722"/>
      <c r="H65" s="632">
        <f>F65+G65</f>
        <v>0</v>
      </c>
      <c r="I65" s="733">
        <f>'Pricing Schedule'!E312</f>
        <v>0</v>
      </c>
      <c r="J65" s="631">
        <f>D65*I65</f>
        <v>0</v>
      </c>
      <c r="K65" s="631">
        <f>E65*I65</f>
        <v>0</v>
      </c>
      <c r="L65" s="631">
        <f>F65*I65</f>
        <v>0</v>
      </c>
      <c r="M65" s="631">
        <f>G65*I65</f>
        <v>0</v>
      </c>
      <c r="N65" s="632">
        <f>H65*I65</f>
        <v>0</v>
      </c>
    </row>
    <row r="66" spans="1:14" ht="31.5" customHeight="1">
      <c r="A66" s="629" t="str">
        <f>'Pricing Schedule'!A313</f>
        <v>3.7.8</v>
      </c>
      <c r="B66" s="630" t="str">
        <f>'Pricing Schedule'!B313</f>
        <v>Environmental Services during Construction Phase</v>
      </c>
      <c r="C66" s="630"/>
      <c r="D66" s="758"/>
      <c r="E66" s="759"/>
      <c r="F66" s="759"/>
      <c r="G66" s="759"/>
      <c r="H66" s="760"/>
      <c r="I66" s="758"/>
      <c r="J66" s="631"/>
      <c r="K66" s="631"/>
      <c r="L66" s="631"/>
      <c r="M66" s="631"/>
      <c r="N66" s="632"/>
    </row>
    <row r="67" spans="1:14" ht="31.5" customHeight="1">
      <c r="A67" s="629"/>
      <c r="B67" s="630" t="str">
        <f>'Pricing Schedule'!B314</f>
        <v>(a)  Environmental services</v>
      </c>
      <c r="C67" s="630" t="str">
        <f>'Pricing Schedule'!C314</f>
        <v>prime cost (PC)</v>
      </c>
      <c r="D67" s="651">
        <v>1</v>
      </c>
      <c r="E67" s="722">
        <f>D67</f>
        <v>1</v>
      </c>
      <c r="F67" s="855">
        <f>DATA!$KP$52</f>
        <v>0</v>
      </c>
      <c r="G67" s="854">
        <f>'Pg 4 P Sums'!K331-'C3.7'!F67</f>
        <v>0</v>
      </c>
      <c r="H67" s="632">
        <f t="shared" ref="H67" si="26">F67+G67</f>
        <v>0</v>
      </c>
      <c r="I67" s="733">
        <f>'Pricing Schedule'!F314</f>
        <v>1500000</v>
      </c>
      <c r="J67" s="631">
        <f t="shared" ref="J67" si="27">D67*I67</f>
        <v>1500000</v>
      </c>
      <c r="K67" s="631">
        <f t="shared" ref="K67" si="28">E67*I67</f>
        <v>1500000</v>
      </c>
      <c r="L67" s="631">
        <f t="shared" ref="L67" si="29">F67*I67</f>
        <v>0</v>
      </c>
      <c r="M67" s="631">
        <f t="shared" ref="M67" si="30">G67*I67</f>
        <v>0</v>
      </c>
      <c r="N67" s="632">
        <f t="shared" ref="N67" si="31">H67*I67</f>
        <v>0</v>
      </c>
    </row>
    <row r="68" spans="1:14" ht="31.5" customHeight="1" thickBot="1">
      <c r="A68" s="784"/>
      <c r="B68" s="630" t="str">
        <f>'Pricing Schedule'!B315</f>
        <v>(b)  Cost for procuring and managing sub-service provider under sub-item 3.7.8(a)</v>
      </c>
      <c r="C68" s="630" t="str">
        <f>'Pricing Schedule'!C315</f>
        <v>lump sum (LS)</v>
      </c>
      <c r="D68" s="651">
        <v>1</v>
      </c>
      <c r="E68" s="1058">
        <v>1</v>
      </c>
      <c r="F68" s="855">
        <f>DATA!$KH$52</f>
        <v>0</v>
      </c>
      <c r="G68" s="722"/>
      <c r="H68" s="632">
        <f>F68+G68</f>
        <v>0</v>
      </c>
      <c r="I68" s="733">
        <f>'Pricing Schedule'!F315</f>
        <v>0</v>
      </c>
      <c r="J68" s="631">
        <f>D68*I68</f>
        <v>0</v>
      </c>
      <c r="K68" s="631">
        <f>E68*I68</f>
        <v>0</v>
      </c>
      <c r="L68" s="631">
        <f>F68*I68</f>
        <v>0</v>
      </c>
      <c r="M68" s="631">
        <f>G68*I68</f>
        <v>0</v>
      </c>
      <c r="N68" s="632">
        <f>H68*I68</f>
        <v>0</v>
      </c>
    </row>
    <row r="69" spans="1:14" ht="31.5" customHeight="1" thickBot="1">
      <c r="A69" s="1514" t="s">
        <v>508</v>
      </c>
      <c r="B69" s="1514"/>
      <c r="C69" s="1514"/>
      <c r="D69" s="716"/>
      <c r="E69" s="717"/>
      <c r="F69" s="717"/>
      <c r="G69" s="717"/>
      <c r="H69" s="718"/>
      <c r="I69" s="716"/>
      <c r="J69" s="720" t="e">
        <f>SUM(J9:J68)</f>
        <v>#N/A</v>
      </c>
      <c r="K69" s="720" t="e">
        <f t="shared" ref="K69:N69" si="32">SUM(K9:K68)</f>
        <v>#N/A</v>
      </c>
      <c r="L69" s="720">
        <f t="shared" si="32"/>
        <v>0</v>
      </c>
      <c r="M69" s="720" t="e">
        <f t="shared" si="32"/>
        <v>#N/A</v>
      </c>
      <c r="N69" s="720" t="e">
        <f t="shared" si="32"/>
        <v>#N/A</v>
      </c>
    </row>
    <row r="72" spans="1:14" ht="30.95" customHeight="1">
      <c r="A72" s="817" t="s">
        <v>653</v>
      </c>
      <c r="B72" s="817"/>
      <c r="J72" s="735">
        <f>J37+J43+J49+J55+J56+J30+J63+J64+J65+J68+J31+J32</f>
        <v>0</v>
      </c>
      <c r="K72" s="735">
        <f t="shared" ref="K72:N72" si="33">K37+K43+K49+K55+K56+K30+K63+K64+K65+K68+K31+K32</f>
        <v>0</v>
      </c>
      <c r="L72" s="735">
        <f t="shared" si="33"/>
        <v>0</v>
      </c>
      <c r="M72" s="735">
        <f t="shared" si="33"/>
        <v>0</v>
      </c>
      <c r="N72" s="735">
        <f t="shared" si="33"/>
        <v>0</v>
      </c>
    </row>
    <row r="73" spans="1:14" ht="30.95" customHeight="1">
      <c r="A73" s="622" t="s">
        <v>655</v>
      </c>
      <c r="J73" s="735" t="e">
        <f>J10+J11+J13+J14+J16+J17+J19+J20+J22+J23+J25+J26+J28+J29+J38+J39+J41+J42+J45+J46+J47+J48+J50+J51+J52+J53+J57+J59+J60+J61+J67+J34+J35</f>
        <v>#N/A</v>
      </c>
      <c r="K73" s="735" t="e">
        <f t="shared" ref="K73:N73" si="34">K10+K11+K13+K14+K16+K17+K19+K20+K22+K23+K25+K26+K28+K29+K38+K39+K41+K42+K45+K46+K47+K48+K50+K51+K52+K53+K57+K59+K60+K61+K67+K34+K35</f>
        <v>#N/A</v>
      </c>
      <c r="L73" s="735">
        <f t="shared" si="34"/>
        <v>0</v>
      </c>
      <c r="M73" s="735" t="e">
        <f t="shared" si="34"/>
        <v>#N/A</v>
      </c>
      <c r="N73" s="735" t="e">
        <f t="shared" si="34"/>
        <v>#N/A</v>
      </c>
    </row>
    <row r="74" spans="1:14" ht="30.95" customHeight="1" thickBot="1">
      <c r="A74" s="622" t="s">
        <v>654</v>
      </c>
      <c r="J74" s="785" t="e">
        <f>SUM(J72:J73)</f>
        <v>#N/A</v>
      </c>
      <c r="K74" s="785" t="e">
        <f t="shared" ref="K74:N74" si="35">SUM(K72:K73)</f>
        <v>#N/A</v>
      </c>
      <c r="L74" s="785">
        <f t="shared" si="35"/>
        <v>0</v>
      </c>
      <c r="M74" s="785" t="e">
        <f t="shared" si="35"/>
        <v>#N/A</v>
      </c>
      <c r="N74" s="785" t="e">
        <f t="shared" si="35"/>
        <v>#N/A</v>
      </c>
    </row>
    <row r="75" spans="1:14" ht="13.5" thickTop="1"/>
  </sheetData>
  <mergeCells count="10">
    <mergeCell ref="A4:H4"/>
    <mergeCell ref="I4:J4"/>
    <mergeCell ref="K4:N4"/>
    <mergeCell ref="A69:C69"/>
    <mergeCell ref="A1:H1"/>
    <mergeCell ref="I1:M2"/>
    <mergeCell ref="N1:N2"/>
    <mergeCell ref="A2:H2"/>
    <mergeCell ref="I3:J3"/>
    <mergeCell ref="K3:N3"/>
  </mergeCells>
  <conditionalFormatting sqref="E10">
    <cfRule type="expression" dxfId="2354" priority="27">
      <formula>H10="ERROR TOO MUCH"</formula>
    </cfRule>
  </conditionalFormatting>
  <conditionalFormatting sqref="E13">
    <cfRule type="expression" dxfId="2353" priority="25">
      <formula>H13="ERROR TOO MUCH"</formula>
    </cfRule>
  </conditionalFormatting>
  <conditionalFormatting sqref="E16">
    <cfRule type="expression" dxfId="2352" priority="23">
      <formula>H16="ERROR TOO MUCH"</formula>
    </cfRule>
  </conditionalFormatting>
  <conditionalFormatting sqref="E19">
    <cfRule type="expression" dxfId="2351" priority="21">
      <formula>H19="ERROR TOO MUCH"</formula>
    </cfRule>
  </conditionalFormatting>
  <conditionalFormatting sqref="E22">
    <cfRule type="expression" dxfId="2350" priority="19">
      <formula>H22="ERROR TOO MUCH"</formula>
    </cfRule>
  </conditionalFormatting>
  <conditionalFormatting sqref="E25">
    <cfRule type="expression" dxfId="2349" priority="17">
      <formula>H25="ERROR TOO MUCH"</formula>
    </cfRule>
  </conditionalFormatting>
  <conditionalFormatting sqref="E28">
    <cfRule type="expression" dxfId="2348" priority="15">
      <formula>H28="ERROR TOO MUCH"</formula>
    </cfRule>
  </conditionalFormatting>
  <conditionalFormatting sqref="H10:H11">
    <cfRule type="containsText" dxfId="2347" priority="7" operator="containsText" text="ERROR">
      <formula>NOT(ISERROR(SEARCH("ERROR",H10)))</formula>
    </cfRule>
  </conditionalFormatting>
  <conditionalFormatting sqref="H13:H14">
    <cfRule type="containsText" dxfId="2346" priority="6" operator="containsText" text="ERROR">
      <formula>NOT(ISERROR(SEARCH("ERROR",H13)))</formula>
    </cfRule>
  </conditionalFormatting>
  <conditionalFormatting sqref="H16:H17">
    <cfRule type="containsText" dxfId="2345" priority="5" operator="containsText" text="ERROR">
      <formula>NOT(ISERROR(SEARCH("ERROR",H16)))</formula>
    </cfRule>
  </conditionalFormatting>
  <conditionalFormatting sqref="H19:H20">
    <cfRule type="containsText" dxfId="2344" priority="4" operator="containsText" text="ERROR">
      <formula>NOT(ISERROR(SEARCH("ERROR",H19)))</formula>
    </cfRule>
  </conditionalFormatting>
  <conditionalFormatting sqref="H22:H23">
    <cfRule type="containsText" dxfId="2343" priority="3" operator="containsText" text="ERROR">
      <formula>NOT(ISERROR(SEARCH("ERROR",H22)))</formula>
    </cfRule>
  </conditionalFormatting>
  <conditionalFormatting sqref="H25:H26">
    <cfRule type="containsText" dxfId="2342" priority="2" operator="containsText" text="ERROR">
      <formula>NOT(ISERROR(SEARCH("ERROR",H25)))</formula>
    </cfRule>
  </conditionalFormatting>
  <conditionalFormatting sqref="H28:H29">
    <cfRule type="containsText" dxfId="2341" priority="1" operator="containsText" text="ERROR">
      <formula>NOT(ISERROR(SEARCH("ERROR",H28)))</formula>
    </cfRule>
  </conditionalFormatting>
  <dataValidations count="2">
    <dataValidation type="decimal" operator="lessThanOrEqual" allowBlank="1" showInputMessage="1" showErrorMessage="1" sqref="H25:H26 H10:H11 H13:H14 H16:H17 H19:H20 H22:H23 H28:H29" xr:uid="{00000000-0002-0000-2100-000000000000}">
      <formula1>1</formula1>
    </dataValidation>
    <dataValidation type="decimal" operator="lessThanOrEqual" allowBlank="1" showInputMessage="1" showErrorMessage="1" error="LUMP SUM CANNOT EXCEED A VALUE OF 1" sqref="G43 G68" xr:uid="{824EECED-75D4-456E-AF67-98988D0A9E5A}">
      <formula1>1</formula1>
    </dataValidation>
  </dataValidations>
  <pageMargins left="0" right="0" top="0.35" bottom="0.17" header="0.17" footer="0.35"/>
  <pageSetup paperSize="9" scale="72" fitToHeight="0" orientation="landscape" r:id="rId1"/>
  <headerFooter alignWithMargins="0">
    <oddHeader>&amp;L&amp;"Calibri"&amp;10&amp;K000000Sensitivity - General&amp;1#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3">
    <tabColor theme="9"/>
    <pageSetUpPr fitToPage="1"/>
  </sheetPr>
  <dimension ref="A1:N47"/>
  <sheetViews>
    <sheetView workbookViewId="0">
      <selection sqref="A1:H1"/>
    </sheetView>
  </sheetViews>
  <sheetFormatPr defaultRowHeight="12.75"/>
  <cols>
    <col min="1" max="1" width="9.28515625" style="622" bestFit="1" customWidth="1"/>
    <col min="2" max="2" width="36.85546875" style="622" customWidth="1"/>
    <col min="3" max="3" width="19.5703125" style="622" customWidth="1"/>
    <col min="4" max="8" width="11.7109375" style="622" customWidth="1"/>
    <col min="9" max="9" width="12.5703125" style="622" bestFit="1" customWidth="1"/>
    <col min="10" max="11" width="13" style="622" bestFit="1" customWidth="1"/>
    <col min="12" max="12" width="12.42578125" style="622" customWidth="1"/>
    <col min="13" max="13" width="11.42578125" style="622" bestFit="1" customWidth="1"/>
    <col min="14" max="14" width="11.85546875" style="622" bestFit="1" customWidth="1"/>
    <col min="15" max="257" width="9.140625" style="622"/>
    <col min="258" max="258" width="31.42578125" style="622" customWidth="1"/>
    <col min="259" max="259" width="9.140625" style="622"/>
    <col min="260" max="260" width="10.140625" style="622" bestFit="1" customWidth="1"/>
    <col min="261" max="262" width="9.140625" style="622"/>
    <col min="263" max="263" width="10.140625" style="622" bestFit="1" customWidth="1"/>
    <col min="264" max="265" width="9.140625" style="622"/>
    <col min="266" max="267" width="11.7109375" style="622" bestFit="1" customWidth="1"/>
    <col min="268" max="270" width="10.140625" style="622" bestFit="1" customWidth="1"/>
    <col min="271" max="513" width="9.140625" style="622"/>
    <col min="514" max="514" width="31.42578125" style="622" customWidth="1"/>
    <col min="515" max="515" width="9.140625" style="622"/>
    <col min="516" max="516" width="10.140625" style="622" bestFit="1" customWidth="1"/>
    <col min="517" max="518" width="9.140625" style="622"/>
    <col min="519" max="519" width="10.140625" style="622" bestFit="1" customWidth="1"/>
    <col min="520" max="521" width="9.140625" style="622"/>
    <col min="522" max="523" width="11.7109375" style="622" bestFit="1" customWidth="1"/>
    <col min="524" max="526" width="10.140625" style="622" bestFit="1" customWidth="1"/>
    <col min="527" max="769" width="9.140625" style="622"/>
    <col min="770" max="770" width="31.42578125" style="622" customWidth="1"/>
    <col min="771" max="771" width="9.140625" style="622"/>
    <col min="772" max="772" width="10.140625" style="622" bestFit="1" customWidth="1"/>
    <col min="773" max="774" width="9.140625" style="622"/>
    <col min="775" max="775" width="10.140625" style="622" bestFit="1" customWidth="1"/>
    <col min="776" max="777" width="9.140625" style="622"/>
    <col min="778" max="779" width="11.7109375" style="622" bestFit="1" customWidth="1"/>
    <col min="780" max="782" width="10.140625" style="622" bestFit="1" customWidth="1"/>
    <col min="783" max="1025" width="9.140625" style="622"/>
    <col min="1026" max="1026" width="31.42578125" style="622" customWidth="1"/>
    <col min="1027" max="1027" width="9.140625" style="622"/>
    <col min="1028" max="1028" width="10.140625" style="622" bestFit="1" customWidth="1"/>
    <col min="1029" max="1030" width="9.140625" style="622"/>
    <col min="1031" max="1031" width="10.140625" style="622" bestFit="1" customWidth="1"/>
    <col min="1032" max="1033" width="9.140625" style="622"/>
    <col min="1034" max="1035" width="11.7109375" style="622" bestFit="1" customWidth="1"/>
    <col min="1036" max="1038" width="10.140625" style="622" bestFit="1" customWidth="1"/>
    <col min="1039" max="1281" width="9.140625" style="622"/>
    <col min="1282" max="1282" width="31.42578125" style="622" customWidth="1"/>
    <col min="1283" max="1283" width="9.140625" style="622"/>
    <col min="1284" max="1284" width="10.140625" style="622" bestFit="1" customWidth="1"/>
    <col min="1285" max="1286" width="9.140625" style="622"/>
    <col min="1287" max="1287" width="10.140625" style="622" bestFit="1" customWidth="1"/>
    <col min="1288" max="1289" width="9.140625" style="622"/>
    <col min="1290" max="1291" width="11.7109375" style="622" bestFit="1" customWidth="1"/>
    <col min="1292" max="1294" width="10.140625" style="622" bestFit="1" customWidth="1"/>
    <col min="1295" max="1537" width="9.140625" style="622"/>
    <col min="1538" max="1538" width="31.42578125" style="622" customWidth="1"/>
    <col min="1539" max="1539" width="9.140625" style="622"/>
    <col min="1540" max="1540" width="10.140625" style="622" bestFit="1" customWidth="1"/>
    <col min="1541" max="1542" width="9.140625" style="622"/>
    <col min="1543" max="1543" width="10.140625" style="622" bestFit="1" customWidth="1"/>
    <col min="1544" max="1545" width="9.140625" style="622"/>
    <col min="1546" max="1547" width="11.7109375" style="622" bestFit="1" customWidth="1"/>
    <col min="1548" max="1550" width="10.140625" style="622" bestFit="1" customWidth="1"/>
    <col min="1551" max="1793" width="9.140625" style="622"/>
    <col min="1794" max="1794" width="31.42578125" style="622" customWidth="1"/>
    <col min="1795" max="1795" width="9.140625" style="622"/>
    <col min="1796" max="1796" width="10.140625" style="622" bestFit="1" customWidth="1"/>
    <col min="1797" max="1798" width="9.140625" style="622"/>
    <col min="1799" max="1799" width="10.140625" style="622" bestFit="1" customWidth="1"/>
    <col min="1800" max="1801" width="9.140625" style="622"/>
    <col min="1802" max="1803" width="11.7109375" style="622" bestFit="1" customWidth="1"/>
    <col min="1804" max="1806" width="10.140625" style="622" bestFit="1" customWidth="1"/>
    <col min="1807" max="2049" width="9.140625" style="622"/>
    <col min="2050" max="2050" width="31.42578125" style="622" customWidth="1"/>
    <col min="2051" max="2051" width="9.140625" style="622"/>
    <col min="2052" max="2052" width="10.140625" style="622" bestFit="1" customWidth="1"/>
    <col min="2053" max="2054" width="9.140625" style="622"/>
    <col min="2055" max="2055" width="10.140625" style="622" bestFit="1" customWidth="1"/>
    <col min="2056" max="2057" width="9.140625" style="622"/>
    <col min="2058" max="2059" width="11.7109375" style="622" bestFit="1" customWidth="1"/>
    <col min="2060" max="2062" width="10.140625" style="622" bestFit="1" customWidth="1"/>
    <col min="2063" max="2305" width="9.140625" style="622"/>
    <col min="2306" max="2306" width="31.42578125" style="622" customWidth="1"/>
    <col min="2307" max="2307" width="9.140625" style="622"/>
    <col min="2308" max="2308" width="10.140625" style="622" bestFit="1" customWidth="1"/>
    <col min="2309" max="2310" width="9.140625" style="622"/>
    <col min="2311" max="2311" width="10.140625" style="622" bestFit="1" customWidth="1"/>
    <col min="2312" max="2313" width="9.140625" style="622"/>
    <col min="2314" max="2315" width="11.7109375" style="622" bestFit="1" customWidth="1"/>
    <col min="2316" max="2318" width="10.140625" style="622" bestFit="1" customWidth="1"/>
    <col min="2319" max="2561" width="9.140625" style="622"/>
    <col min="2562" max="2562" width="31.42578125" style="622" customWidth="1"/>
    <col min="2563" max="2563" width="9.140625" style="622"/>
    <col min="2564" max="2564" width="10.140625" style="622" bestFit="1" customWidth="1"/>
    <col min="2565" max="2566" width="9.140625" style="622"/>
    <col min="2567" max="2567" width="10.140625" style="622" bestFit="1" customWidth="1"/>
    <col min="2568" max="2569" width="9.140625" style="622"/>
    <col min="2570" max="2571" width="11.7109375" style="622" bestFit="1" customWidth="1"/>
    <col min="2572" max="2574" width="10.140625" style="622" bestFit="1" customWidth="1"/>
    <col min="2575" max="2817" width="9.140625" style="622"/>
    <col min="2818" max="2818" width="31.42578125" style="622" customWidth="1"/>
    <col min="2819" max="2819" width="9.140625" style="622"/>
    <col min="2820" max="2820" width="10.140625" style="622" bestFit="1" customWidth="1"/>
    <col min="2821" max="2822" width="9.140625" style="622"/>
    <col min="2823" max="2823" width="10.140625" style="622" bestFit="1" customWidth="1"/>
    <col min="2824" max="2825" width="9.140625" style="622"/>
    <col min="2826" max="2827" width="11.7109375" style="622" bestFit="1" customWidth="1"/>
    <col min="2828" max="2830" width="10.140625" style="622" bestFit="1" customWidth="1"/>
    <col min="2831" max="3073" width="9.140625" style="622"/>
    <col min="3074" max="3074" width="31.42578125" style="622" customWidth="1"/>
    <col min="3075" max="3075" width="9.140625" style="622"/>
    <col min="3076" max="3076" width="10.140625" style="622" bestFit="1" customWidth="1"/>
    <col min="3077" max="3078" width="9.140625" style="622"/>
    <col min="3079" max="3079" width="10.140625" style="622" bestFit="1" customWidth="1"/>
    <col min="3080" max="3081" width="9.140625" style="622"/>
    <col min="3082" max="3083" width="11.7109375" style="622" bestFit="1" customWidth="1"/>
    <col min="3084" max="3086" width="10.140625" style="622" bestFit="1" customWidth="1"/>
    <col min="3087" max="3329" width="9.140625" style="622"/>
    <col min="3330" max="3330" width="31.42578125" style="622" customWidth="1"/>
    <col min="3331" max="3331" width="9.140625" style="622"/>
    <col min="3332" max="3332" width="10.140625" style="622" bestFit="1" customWidth="1"/>
    <col min="3333" max="3334" width="9.140625" style="622"/>
    <col min="3335" max="3335" width="10.140625" style="622" bestFit="1" customWidth="1"/>
    <col min="3336" max="3337" width="9.140625" style="622"/>
    <col min="3338" max="3339" width="11.7109375" style="622" bestFit="1" customWidth="1"/>
    <col min="3340" max="3342" width="10.140625" style="622" bestFit="1" customWidth="1"/>
    <col min="3343" max="3585" width="9.140625" style="622"/>
    <col min="3586" max="3586" width="31.42578125" style="622" customWidth="1"/>
    <col min="3587" max="3587" width="9.140625" style="622"/>
    <col min="3588" max="3588" width="10.140625" style="622" bestFit="1" customWidth="1"/>
    <col min="3589" max="3590" width="9.140625" style="622"/>
    <col min="3591" max="3591" width="10.140625" style="622" bestFit="1" customWidth="1"/>
    <col min="3592" max="3593" width="9.140625" style="622"/>
    <col min="3594" max="3595" width="11.7109375" style="622" bestFit="1" customWidth="1"/>
    <col min="3596" max="3598" width="10.140625" style="622" bestFit="1" customWidth="1"/>
    <col min="3599" max="3841" width="9.140625" style="622"/>
    <col min="3842" max="3842" width="31.42578125" style="622" customWidth="1"/>
    <col min="3843" max="3843" width="9.140625" style="622"/>
    <col min="3844" max="3844" width="10.140625" style="622" bestFit="1" customWidth="1"/>
    <col min="3845" max="3846" width="9.140625" style="622"/>
    <col min="3847" max="3847" width="10.140625" style="622" bestFit="1" customWidth="1"/>
    <col min="3848" max="3849" width="9.140625" style="622"/>
    <col min="3850" max="3851" width="11.7109375" style="622" bestFit="1" customWidth="1"/>
    <col min="3852" max="3854" width="10.140625" style="622" bestFit="1" customWidth="1"/>
    <col min="3855" max="4097" width="9.140625" style="622"/>
    <col min="4098" max="4098" width="31.42578125" style="622" customWidth="1"/>
    <col min="4099" max="4099" width="9.140625" style="622"/>
    <col min="4100" max="4100" width="10.140625" style="622" bestFit="1" customWidth="1"/>
    <col min="4101" max="4102" width="9.140625" style="622"/>
    <col min="4103" max="4103" width="10.140625" style="622" bestFit="1" customWidth="1"/>
    <col min="4104" max="4105" width="9.140625" style="622"/>
    <col min="4106" max="4107" width="11.7109375" style="622" bestFit="1" customWidth="1"/>
    <col min="4108" max="4110" width="10.140625" style="622" bestFit="1" customWidth="1"/>
    <col min="4111" max="4353" width="9.140625" style="622"/>
    <col min="4354" max="4354" width="31.42578125" style="622" customWidth="1"/>
    <col min="4355" max="4355" width="9.140625" style="622"/>
    <col min="4356" max="4356" width="10.140625" style="622" bestFit="1" customWidth="1"/>
    <col min="4357" max="4358" width="9.140625" style="622"/>
    <col min="4359" max="4359" width="10.140625" style="622" bestFit="1" customWidth="1"/>
    <col min="4360" max="4361" width="9.140625" style="622"/>
    <col min="4362" max="4363" width="11.7109375" style="622" bestFit="1" customWidth="1"/>
    <col min="4364" max="4366" width="10.140625" style="622" bestFit="1" customWidth="1"/>
    <col min="4367" max="4609" width="9.140625" style="622"/>
    <col min="4610" max="4610" width="31.42578125" style="622" customWidth="1"/>
    <col min="4611" max="4611" width="9.140625" style="622"/>
    <col min="4612" max="4612" width="10.140625" style="622" bestFit="1" customWidth="1"/>
    <col min="4613" max="4614" width="9.140625" style="622"/>
    <col min="4615" max="4615" width="10.140625" style="622" bestFit="1" customWidth="1"/>
    <col min="4616" max="4617" width="9.140625" style="622"/>
    <col min="4618" max="4619" width="11.7109375" style="622" bestFit="1" customWidth="1"/>
    <col min="4620" max="4622" width="10.140625" style="622" bestFit="1" customWidth="1"/>
    <col min="4623" max="4865" width="9.140625" style="622"/>
    <col min="4866" max="4866" width="31.42578125" style="622" customWidth="1"/>
    <col min="4867" max="4867" width="9.140625" style="622"/>
    <col min="4868" max="4868" width="10.140625" style="622" bestFit="1" customWidth="1"/>
    <col min="4869" max="4870" width="9.140625" style="622"/>
    <col min="4871" max="4871" width="10.140625" style="622" bestFit="1" customWidth="1"/>
    <col min="4872" max="4873" width="9.140625" style="622"/>
    <col min="4874" max="4875" width="11.7109375" style="622" bestFit="1" customWidth="1"/>
    <col min="4876" max="4878" width="10.140625" style="622" bestFit="1" customWidth="1"/>
    <col min="4879" max="5121" width="9.140625" style="622"/>
    <col min="5122" max="5122" width="31.42578125" style="622" customWidth="1"/>
    <col min="5123" max="5123" width="9.140625" style="622"/>
    <col min="5124" max="5124" width="10.140625" style="622" bestFit="1" customWidth="1"/>
    <col min="5125" max="5126" width="9.140625" style="622"/>
    <col min="5127" max="5127" width="10.140625" style="622" bestFit="1" customWidth="1"/>
    <col min="5128" max="5129" width="9.140625" style="622"/>
    <col min="5130" max="5131" width="11.7109375" style="622" bestFit="1" customWidth="1"/>
    <col min="5132" max="5134" width="10.140625" style="622" bestFit="1" customWidth="1"/>
    <col min="5135" max="5377" width="9.140625" style="622"/>
    <col min="5378" max="5378" width="31.42578125" style="622" customWidth="1"/>
    <col min="5379" max="5379" width="9.140625" style="622"/>
    <col min="5380" max="5380" width="10.140625" style="622" bestFit="1" customWidth="1"/>
    <col min="5381" max="5382" width="9.140625" style="622"/>
    <col min="5383" max="5383" width="10.140625" style="622" bestFit="1" customWidth="1"/>
    <col min="5384" max="5385" width="9.140625" style="622"/>
    <col min="5386" max="5387" width="11.7109375" style="622" bestFit="1" customWidth="1"/>
    <col min="5388" max="5390" width="10.140625" style="622" bestFit="1" customWidth="1"/>
    <col min="5391" max="5633" width="9.140625" style="622"/>
    <col min="5634" max="5634" width="31.42578125" style="622" customWidth="1"/>
    <col min="5635" max="5635" width="9.140625" style="622"/>
    <col min="5636" max="5636" width="10.140625" style="622" bestFit="1" customWidth="1"/>
    <col min="5637" max="5638" width="9.140625" style="622"/>
    <col min="5639" max="5639" width="10.140625" style="622" bestFit="1" customWidth="1"/>
    <col min="5640" max="5641" width="9.140625" style="622"/>
    <col min="5642" max="5643" width="11.7109375" style="622" bestFit="1" customWidth="1"/>
    <col min="5644" max="5646" width="10.140625" style="622" bestFit="1" customWidth="1"/>
    <col min="5647" max="5889" width="9.140625" style="622"/>
    <col min="5890" max="5890" width="31.42578125" style="622" customWidth="1"/>
    <col min="5891" max="5891" width="9.140625" style="622"/>
    <col min="5892" max="5892" width="10.140625" style="622" bestFit="1" customWidth="1"/>
    <col min="5893" max="5894" width="9.140625" style="622"/>
    <col min="5895" max="5895" width="10.140625" style="622" bestFit="1" customWidth="1"/>
    <col min="5896" max="5897" width="9.140625" style="622"/>
    <col min="5898" max="5899" width="11.7109375" style="622" bestFit="1" customWidth="1"/>
    <col min="5900" max="5902" width="10.140625" style="622" bestFit="1" customWidth="1"/>
    <col min="5903" max="6145" width="9.140625" style="622"/>
    <col min="6146" max="6146" width="31.42578125" style="622" customWidth="1"/>
    <col min="6147" max="6147" width="9.140625" style="622"/>
    <col min="6148" max="6148" width="10.140625" style="622" bestFit="1" customWidth="1"/>
    <col min="6149" max="6150" width="9.140625" style="622"/>
    <col min="6151" max="6151" width="10.140625" style="622" bestFit="1" customWidth="1"/>
    <col min="6152" max="6153" width="9.140625" style="622"/>
    <col min="6154" max="6155" width="11.7109375" style="622" bestFit="1" customWidth="1"/>
    <col min="6156" max="6158" width="10.140625" style="622" bestFit="1" customWidth="1"/>
    <col min="6159" max="6401" width="9.140625" style="622"/>
    <col min="6402" max="6402" width="31.42578125" style="622" customWidth="1"/>
    <col min="6403" max="6403" width="9.140625" style="622"/>
    <col min="6404" max="6404" width="10.140625" style="622" bestFit="1" customWidth="1"/>
    <col min="6405" max="6406" width="9.140625" style="622"/>
    <col min="6407" max="6407" width="10.140625" style="622" bestFit="1" customWidth="1"/>
    <col min="6408" max="6409" width="9.140625" style="622"/>
    <col min="6410" max="6411" width="11.7109375" style="622" bestFit="1" customWidth="1"/>
    <col min="6412" max="6414" width="10.140625" style="622" bestFit="1" customWidth="1"/>
    <col min="6415" max="6657" width="9.140625" style="622"/>
    <col min="6658" max="6658" width="31.42578125" style="622" customWidth="1"/>
    <col min="6659" max="6659" width="9.140625" style="622"/>
    <col min="6660" max="6660" width="10.140625" style="622" bestFit="1" customWidth="1"/>
    <col min="6661" max="6662" width="9.140625" style="622"/>
    <col min="6663" max="6663" width="10.140625" style="622" bestFit="1" customWidth="1"/>
    <col min="6664" max="6665" width="9.140625" style="622"/>
    <col min="6666" max="6667" width="11.7109375" style="622" bestFit="1" customWidth="1"/>
    <col min="6668" max="6670" width="10.140625" style="622" bestFit="1" customWidth="1"/>
    <col min="6671" max="6913" width="9.140625" style="622"/>
    <col min="6914" max="6914" width="31.42578125" style="622" customWidth="1"/>
    <col min="6915" max="6915" width="9.140625" style="622"/>
    <col min="6916" max="6916" width="10.140625" style="622" bestFit="1" customWidth="1"/>
    <col min="6917" max="6918" width="9.140625" style="622"/>
    <col min="6919" max="6919" width="10.140625" style="622" bestFit="1" customWidth="1"/>
    <col min="6920" max="6921" width="9.140625" style="622"/>
    <col min="6922" max="6923" width="11.7109375" style="622" bestFit="1" customWidth="1"/>
    <col min="6924" max="6926" width="10.140625" style="622" bestFit="1" customWidth="1"/>
    <col min="6927" max="7169" width="9.140625" style="622"/>
    <col min="7170" max="7170" width="31.42578125" style="622" customWidth="1"/>
    <col min="7171" max="7171" width="9.140625" style="622"/>
    <col min="7172" max="7172" width="10.140625" style="622" bestFit="1" customWidth="1"/>
    <col min="7173" max="7174" width="9.140625" style="622"/>
    <col min="7175" max="7175" width="10.140625" style="622" bestFit="1" customWidth="1"/>
    <col min="7176" max="7177" width="9.140625" style="622"/>
    <col min="7178" max="7179" width="11.7109375" style="622" bestFit="1" customWidth="1"/>
    <col min="7180" max="7182" width="10.140625" style="622" bestFit="1" customWidth="1"/>
    <col min="7183" max="7425" width="9.140625" style="622"/>
    <col min="7426" max="7426" width="31.42578125" style="622" customWidth="1"/>
    <col min="7427" max="7427" width="9.140625" style="622"/>
    <col min="7428" max="7428" width="10.140625" style="622" bestFit="1" customWidth="1"/>
    <col min="7429" max="7430" width="9.140625" style="622"/>
    <col min="7431" max="7431" width="10.140625" style="622" bestFit="1" customWidth="1"/>
    <col min="7432" max="7433" width="9.140625" style="622"/>
    <col min="7434" max="7435" width="11.7109375" style="622" bestFit="1" customWidth="1"/>
    <col min="7436" max="7438" width="10.140625" style="622" bestFit="1" customWidth="1"/>
    <col min="7439" max="7681" width="9.140625" style="622"/>
    <col min="7682" max="7682" width="31.42578125" style="622" customWidth="1"/>
    <col min="7683" max="7683" width="9.140625" style="622"/>
    <col min="7684" max="7684" width="10.140625" style="622" bestFit="1" customWidth="1"/>
    <col min="7685" max="7686" width="9.140625" style="622"/>
    <col min="7687" max="7687" width="10.140625" style="622" bestFit="1" customWidth="1"/>
    <col min="7688" max="7689" width="9.140625" style="622"/>
    <col min="7690" max="7691" width="11.7109375" style="622" bestFit="1" customWidth="1"/>
    <col min="7692" max="7694" width="10.140625" style="622" bestFit="1" customWidth="1"/>
    <col min="7695" max="7937" width="9.140625" style="622"/>
    <col min="7938" max="7938" width="31.42578125" style="622" customWidth="1"/>
    <col min="7939" max="7939" width="9.140625" style="622"/>
    <col min="7940" max="7940" width="10.140625" style="622" bestFit="1" customWidth="1"/>
    <col min="7941" max="7942" width="9.140625" style="622"/>
    <col min="7943" max="7943" width="10.140625" style="622" bestFit="1" customWidth="1"/>
    <col min="7944" max="7945" width="9.140625" style="622"/>
    <col min="7946" max="7947" width="11.7109375" style="622" bestFit="1" customWidth="1"/>
    <col min="7948" max="7950" width="10.140625" style="622" bestFit="1" customWidth="1"/>
    <col min="7951" max="8193" width="9.140625" style="622"/>
    <col min="8194" max="8194" width="31.42578125" style="622" customWidth="1"/>
    <col min="8195" max="8195" width="9.140625" style="622"/>
    <col min="8196" max="8196" width="10.140625" style="622" bestFit="1" customWidth="1"/>
    <col min="8197" max="8198" width="9.140625" style="622"/>
    <col min="8199" max="8199" width="10.140625" style="622" bestFit="1" customWidth="1"/>
    <col min="8200" max="8201" width="9.140625" style="622"/>
    <col min="8202" max="8203" width="11.7109375" style="622" bestFit="1" customWidth="1"/>
    <col min="8204" max="8206" width="10.140625" style="622" bestFit="1" customWidth="1"/>
    <col min="8207" max="8449" width="9.140625" style="622"/>
    <col min="8450" max="8450" width="31.42578125" style="622" customWidth="1"/>
    <col min="8451" max="8451" width="9.140625" style="622"/>
    <col min="8452" max="8452" width="10.140625" style="622" bestFit="1" customWidth="1"/>
    <col min="8453" max="8454" width="9.140625" style="622"/>
    <col min="8455" max="8455" width="10.140625" style="622" bestFit="1" customWidth="1"/>
    <col min="8456" max="8457" width="9.140625" style="622"/>
    <col min="8458" max="8459" width="11.7109375" style="622" bestFit="1" customWidth="1"/>
    <col min="8460" max="8462" width="10.140625" style="622" bestFit="1" customWidth="1"/>
    <col min="8463" max="8705" width="9.140625" style="622"/>
    <col min="8706" max="8706" width="31.42578125" style="622" customWidth="1"/>
    <col min="8707" max="8707" width="9.140625" style="622"/>
    <col min="8708" max="8708" width="10.140625" style="622" bestFit="1" customWidth="1"/>
    <col min="8709" max="8710" width="9.140625" style="622"/>
    <col min="8711" max="8711" width="10.140625" style="622" bestFit="1" customWidth="1"/>
    <col min="8712" max="8713" width="9.140625" style="622"/>
    <col min="8714" max="8715" width="11.7109375" style="622" bestFit="1" customWidth="1"/>
    <col min="8716" max="8718" width="10.140625" style="622" bestFit="1" customWidth="1"/>
    <col min="8719" max="8961" width="9.140625" style="622"/>
    <col min="8962" max="8962" width="31.42578125" style="622" customWidth="1"/>
    <col min="8963" max="8963" width="9.140625" style="622"/>
    <col min="8964" max="8964" width="10.140625" style="622" bestFit="1" customWidth="1"/>
    <col min="8965" max="8966" width="9.140625" style="622"/>
    <col min="8967" max="8967" width="10.140625" style="622" bestFit="1" customWidth="1"/>
    <col min="8968" max="8969" width="9.140625" style="622"/>
    <col min="8970" max="8971" width="11.7109375" style="622" bestFit="1" customWidth="1"/>
    <col min="8972" max="8974" width="10.140625" style="622" bestFit="1" customWidth="1"/>
    <col min="8975" max="9217" width="9.140625" style="622"/>
    <col min="9218" max="9218" width="31.42578125" style="622" customWidth="1"/>
    <col min="9219" max="9219" width="9.140625" style="622"/>
    <col min="9220" max="9220" width="10.140625" style="622" bestFit="1" customWidth="1"/>
    <col min="9221" max="9222" width="9.140625" style="622"/>
    <col min="9223" max="9223" width="10.140625" style="622" bestFit="1" customWidth="1"/>
    <col min="9224" max="9225" width="9.140625" style="622"/>
    <col min="9226" max="9227" width="11.7109375" style="622" bestFit="1" customWidth="1"/>
    <col min="9228" max="9230" width="10.140625" style="622" bestFit="1" customWidth="1"/>
    <col min="9231" max="9473" width="9.140625" style="622"/>
    <col min="9474" max="9474" width="31.42578125" style="622" customWidth="1"/>
    <col min="9475" max="9475" width="9.140625" style="622"/>
    <col min="9476" max="9476" width="10.140625" style="622" bestFit="1" customWidth="1"/>
    <col min="9477" max="9478" width="9.140625" style="622"/>
    <col min="9479" max="9479" width="10.140625" style="622" bestFit="1" customWidth="1"/>
    <col min="9480" max="9481" width="9.140625" style="622"/>
    <col min="9482" max="9483" width="11.7109375" style="622" bestFit="1" customWidth="1"/>
    <col min="9484" max="9486" width="10.140625" style="622" bestFit="1" customWidth="1"/>
    <col min="9487" max="9729" width="9.140625" style="622"/>
    <col min="9730" max="9730" width="31.42578125" style="622" customWidth="1"/>
    <col min="9731" max="9731" width="9.140625" style="622"/>
    <col min="9732" max="9732" width="10.140625" style="622" bestFit="1" customWidth="1"/>
    <col min="9733" max="9734" width="9.140625" style="622"/>
    <col min="9735" max="9735" width="10.140625" style="622" bestFit="1" customWidth="1"/>
    <col min="9736" max="9737" width="9.140625" style="622"/>
    <col min="9738" max="9739" width="11.7109375" style="622" bestFit="1" customWidth="1"/>
    <col min="9740" max="9742" width="10.140625" style="622" bestFit="1" customWidth="1"/>
    <col min="9743" max="9985" width="9.140625" style="622"/>
    <col min="9986" max="9986" width="31.42578125" style="622" customWidth="1"/>
    <col min="9987" max="9987" width="9.140625" style="622"/>
    <col min="9988" max="9988" width="10.140625" style="622" bestFit="1" customWidth="1"/>
    <col min="9989" max="9990" width="9.140625" style="622"/>
    <col min="9991" max="9991" width="10.140625" style="622" bestFit="1" customWidth="1"/>
    <col min="9992" max="9993" width="9.140625" style="622"/>
    <col min="9994" max="9995" width="11.7109375" style="622" bestFit="1" customWidth="1"/>
    <col min="9996" max="9998" width="10.140625" style="622" bestFit="1" customWidth="1"/>
    <col min="9999" max="10241" width="9.140625" style="622"/>
    <col min="10242" max="10242" width="31.42578125" style="622" customWidth="1"/>
    <col min="10243" max="10243" width="9.140625" style="622"/>
    <col min="10244" max="10244" width="10.140625" style="622" bestFit="1" customWidth="1"/>
    <col min="10245" max="10246" width="9.140625" style="622"/>
    <col min="10247" max="10247" width="10.140625" style="622" bestFit="1" customWidth="1"/>
    <col min="10248" max="10249" width="9.140625" style="622"/>
    <col min="10250" max="10251" width="11.7109375" style="622" bestFit="1" customWidth="1"/>
    <col min="10252" max="10254" width="10.140625" style="622" bestFit="1" customWidth="1"/>
    <col min="10255" max="10497" width="9.140625" style="622"/>
    <col min="10498" max="10498" width="31.42578125" style="622" customWidth="1"/>
    <col min="10499" max="10499" width="9.140625" style="622"/>
    <col min="10500" max="10500" width="10.140625" style="622" bestFit="1" customWidth="1"/>
    <col min="10501" max="10502" width="9.140625" style="622"/>
    <col min="10503" max="10503" width="10.140625" style="622" bestFit="1" customWidth="1"/>
    <col min="10504" max="10505" width="9.140625" style="622"/>
    <col min="10506" max="10507" width="11.7109375" style="622" bestFit="1" customWidth="1"/>
    <col min="10508" max="10510" width="10.140625" style="622" bestFit="1" customWidth="1"/>
    <col min="10511" max="10753" width="9.140625" style="622"/>
    <col min="10754" max="10754" width="31.42578125" style="622" customWidth="1"/>
    <col min="10755" max="10755" width="9.140625" style="622"/>
    <col min="10756" max="10756" width="10.140625" style="622" bestFit="1" customWidth="1"/>
    <col min="10757" max="10758" width="9.140625" style="622"/>
    <col min="10759" max="10759" width="10.140625" style="622" bestFit="1" customWidth="1"/>
    <col min="10760" max="10761" width="9.140625" style="622"/>
    <col min="10762" max="10763" width="11.7109375" style="622" bestFit="1" customWidth="1"/>
    <col min="10764" max="10766" width="10.140625" style="622" bestFit="1" customWidth="1"/>
    <col min="10767" max="11009" width="9.140625" style="622"/>
    <col min="11010" max="11010" width="31.42578125" style="622" customWidth="1"/>
    <col min="11011" max="11011" width="9.140625" style="622"/>
    <col min="11012" max="11012" width="10.140625" style="622" bestFit="1" customWidth="1"/>
    <col min="11013" max="11014" width="9.140625" style="622"/>
    <col min="11015" max="11015" width="10.140625" style="622" bestFit="1" customWidth="1"/>
    <col min="11016" max="11017" width="9.140625" style="622"/>
    <col min="11018" max="11019" width="11.7109375" style="622" bestFit="1" customWidth="1"/>
    <col min="11020" max="11022" width="10.140625" style="622" bestFit="1" customWidth="1"/>
    <col min="11023" max="11265" width="9.140625" style="622"/>
    <col min="11266" max="11266" width="31.42578125" style="622" customWidth="1"/>
    <col min="11267" max="11267" width="9.140625" style="622"/>
    <col min="11268" max="11268" width="10.140625" style="622" bestFit="1" customWidth="1"/>
    <col min="11269" max="11270" width="9.140625" style="622"/>
    <col min="11271" max="11271" width="10.140625" style="622" bestFit="1" customWidth="1"/>
    <col min="11272" max="11273" width="9.140625" style="622"/>
    <col min="11274" max="11275" width="11.7109375" style="622" bestFit="1" customWidth="1"/>
    <col min="11276" max="11278" width="10.140625" style="622" bestFit="1" customWidth="1"/>
    <col min="11279" max="11521" width="9.140625" style="622"/>
    <col min="11522" max="11522" width="31.42578125" style="622" customWidth="1"/>
    <col min="11523" max="11523" width="9.140625" style="622"/>
    <col min="11524" max="11524" width="10.140625" style="622" bestFit="1" customWidth="1"/>
    <col min="11525" max="11526" width="9.140625" style="622"/>
    <col min="11527" max="11527" width="10.140625" style="622" bestFit="1" customWidth="1"/>
    <col min="11528" max="11529" width="9.140625" style="622"/>
    <col min="11530" max="11531" width="11.7109375" style="622" bestFit="1" customWidth="1"/>
    <col min="11532" max="11534" width="10.140625" style="622" bestFit="1" customWidth="1"/>
    <col min="11535" max="11777" width="9.140625" style="622"/>
    <col min="11778" max="11778" width="31.42578125" style="622" customWidth="1"/>
    <col min="11779" max="11779" width="9.140625" style="622"/>
    <col min="11780" max="11780" width="10.140625" style="622" bestFit="1" customWidth="1"/>
    <col min="11781" max="11782" width="9.140625" style="622"/>
    <col min="11783" max="11783" width="10.140625" style="622" bestFit="1" customWidth="1"/>
    <col min="11784" max="11785" width="9.140625" style="622"/>
    <col min="11786" max="11787" width="11.7109375" style="622" bestFit="1" customWidth="1"/>
    <col min="11788" max="11790" width="10.140625" style="622" bestFit="1" customWidth="1"/>
    <col min="11791" max="12033" width="9.140625" style="622"/>
    <col min="12034" max="12034" width="31.42578125" style="622" customWidth="1"/>
    <col min="12035" max="12035" width="9.140625" style="622"/>
    <col min="12036" max="12036" width="10.140625" style="622" bestFit="1" customWidth="1"/>
    <col min="12037" max="12038" width="9.140625" style="622"/>
    <col min="12039" max="12039" width="10.140625" style="622" bestFit="1" customWidth="1"/>
    <col min="12040" max="12041" width="9.140625" style="622"/>
    <col min="12042" max="12043" width="11.7109375" style="622" bestFit="1" customWidth="1"/>
    <col min="12044" max="12046" width="10.140625" style="622" bestFit="1" customWidth="1"/>
    <col min="12047" max="12289" width="9.140625" style="622"/>
    <col min="12290" max="12290" width="31.42578125" style="622" customWidth="1"/>
    <col min="12291" max="12291" width="9.140625" style="622"/>
    <col min="12292" max="12292" width="10.140625" style="622" bestFit="1" customWidth="1"/>
    <col min="12293" max="12294" width="9.140625" style="622"/>
    <col min="12295" max="12295" width="10.140625" style="622" bestFit="1" customWidth="1"/>
    <col min="12296" max="12297" width="9.140625" style="622"/>
    <col min="12298" max="12299" width="11.7109375" style="622" bestFit="1" customWidth="1"/>
    <col min="12300" max="12302" width="10.140625" style="622" bestFit="1" customWidth="1"/>
    <col min="12303" max="12545" width="9.140625" style="622"/>
    <col min="12546" max="12546" width="31.42578125" style="622" customWidth="1"/>
    <col min="12547" max="12547" width="9.140625" style="622"/>
    <col min="12548" max="12548" width="10.140625" style="622" bestFit="1" customWidth="1"/>
    <col min="12549" max="12550" width="9.140625" style="622"/>
    <col min="12551" max="12551" width="10.140625" style="622" bestFit="1" customWidth="1"/>
    <col min="12552" max="12553" width="9.140625" style="622"/>
    <col min="12554" max="12555" width="11.7109375" style="622" bestFit="1" customWidth="1"/>
    <col min="12556" max="12558" width="10.140625" style="622" bestFit="1" customWidth="1"/>
    <col min="12559" max="12801" width="9.140625" style="622"/>
    <col min="12802" max="12802" width="31.42578125" style="622" customWidth="1"/>
    <col min="12803" max="12803" width="9.140625" style="622"/>
    <col min="12804" max="12804" width="10.140625" style="622" bestFit="1" customWidth="1"/>
    <col min="12805" max="12806" width="9.140625" style="622"/>
    <col min="12807" max="12807" width="10.140625" style="622" bestFit="1" customWidth="1"/>
    <col min="12808" max="12809" width="9.140625" style="622"/>
    <col min="12810" max="12811" width="11.7109375" style="622" bestFit="1" customWidth="1"/>
    <col min="12812" max="12814" width="10.140625" style="622" bestFit="1" customWidth="1"/>
    <col min="12815" max="13057" width="9.140625" style="622"/>
    <col min="13058" max="13058" width="31.42578125" style="622" customWidth="1"/>
    <col min="13059" max="13059" width="9.140625" style="622"/>
    <col min="13060" max="13060" width="10.140625" style="622" bestFit="1" customWidth="1"/>
    <col min="13061" max="13062" width="9.140625" style="622"/>
    <col min="13063" max="13063" width="10.140625" style="622" bestFit="1" customWidth="1"/>
    <col min="13064" max="13065" width="9.140625" style="622"/>
    <col min="13066" max="13067" width="11.7109375" style="622" bestFit="1" customWidth="1"/>
    <col min="13068" max="13070" width="10.140625" style="622" bestFit="1" customWidth="1"/>
    <col min="13071" max="13313" width="9.140625" style="622"/>
    <col min="13314" max="13314" width="31.42578125" style="622" customWidth="1"/>
    <col min="13315" max="13315" width="9.140625" style="622"/>
    <col min="13316" max="13316" width="10.140625" style="622" bestFit="1" customWidth="1"/>
    <col min="13317" max="13318" width="9.140625" style="622"/>
    <col min="13319" max="13319" width="10.140625" style="622" bestFit="1" customWidth="1"/>
    <col min="13320" max="13321" width="9.140625" style="622"/>
    <col min="13322" max="13323" width="11.7109375" style="622" bestFit="1" customWidth="1"/>
    <col min="13324" max="13326" width="10.140625" style="622" bestFit="1" customWidth="1"/>
    <col min="13327" max="13569" width="9.140625" style="622"/>
    <col min="13570" max="13570" width="31.42578125" style="622" customWidth="1"/>
    <col min="13571" max="13571" width="9.140625" style="622"/>
    <col min="13572" max="13572" width="10.140625" style="622" bestFit="1" customWidth="1"/>
    <col min="13573" max="13574" width="9.140625" style="622"/>
    <col min="13575" max="13575" width="10.140625" style="622" bestFit="1" customWidth="1"/>
    <col min="13576" max="13577" width="9.140625" style="622"/>
    <col min="13578" max="13579" width="11.7109375" style="622" bestFit="1" customWidth="1"/>
    <col min="13580" max="13582" width="10.140625" style="622" bestFit="1" customWidth="1"/>
    <col min="13583" max="13825" width="9.140625" style="622"/>
    <col min="13826" max="13826" width="31.42578125" style="622" customWidth="1"/>
    <col min="13827" max="13827" width="9.140625" style="622"/>
    <col min="13828" max="13828" width="10.140625" style="622" bestFit="1" customWidth="1"/>
    <col min="13829" max="13830" width="9.140625" style="622"/>
    <col min="13831" max="13831" width="10.140625" style="622" bestFit="1" customWidth="1"/>
    <col min="13832" max="13833" width="9.140625" style="622"/>
    <col min="13834" max="13835" width="11.7109375" style="622" bestFit="1" customWidth="1"/>
    <col min="13836" max="13838" width="10.140625" style="622" bestFit="1" customWidth="1"/>
    <col min="13839" max="14081" width="9.140625" style="622"/>
    <col min="14082" max="14082" width="31.42578125" style="622" customWidth="1"/>
    <col min="14083" max="14083" width="9.140625" style="622"/>
    <col min="14084" max="14084" width="10.140625" style="622" bestFit="1" customWidth="1"/>
    <col min="14085" max="14086" width="9.140625" style="622"/>
    <col min="14087" max="14087" width="10.140625" style="622" bestFit="1" customWidth="1"/>
    <col min="14088" max="14089" width="9.140625" style="622"/>
    <col min="14090" max="14091" width="11.7109375" style="622" bestFit="1" customWidth="1"/>
    <col min="14092" max="14094" width="10.140625" style="622" bestFit="1" customWidth="1"/>
    <col min="14095" max="14337" width="9.140625" style="622"/>
    <col min="14338" max="14338" width="31.42578125" style="622" customWidth="1"/>
    <col min="14339" max="14339" width="9.140625" style="622"/>
    <col min="14340" max="14340" width="10.140625" style="622" bestFit="1" customWidth="1"/>
    <col min="14341" max="14342" width="9.140625" style="622"/>
    <col min="14343" max="14343" width="10.140625" style="622" bestFit="1" customWidth="1"/>
    <col min="14344" max="14345" width="9.140625" style="622"/>
    <col min="14346" max="14347" width="11.7109375" style="622" bestFit="1" customWidth="1"/>
    <col min="14348" max="14350" width="10.140625" style="622" bestFit="1" customWidth="1"/>
    <col min="14351" max="14593" width="9.140625" style="622"/>
    <col min="14594" max="14594" width="31.42578125" style="622" customWidth="1"/>
    <col min="14595" max="14595" width="9.140625" style="622"/>
    <col min="14596" max="14596" width="10.140625" style="622" bestFit="1" customWidth="1"/>
    <col min="14597" max="14598" width="9.140625" style="622"/>
    <col min="14599" max="14599" width="10.140625" style="622" bestFit="1" customWidth="1"/>
    <col min="14600" max="14601" width="9.140625" style="622"/>
    <col min="14602" max="14603" width="11.7109375" style="622" bestFit="1" customWidth="1"/>
    <col min="14604" max="14606" width="10.140625" style="622" bestFit="1" customWidth="1"/>
    <col min="14607" max="14849" width="9.140625" style="622"/>
    <col min="14850" max="14850" width="31.42578125" style="622" customWidth="1"/>
    <col min="14851" max="14851" width="9.140625" style="622"/>
    <col min="14852" max="14852" width="10.140625" style="622" bestFit="1" customWidth="1"/>
    <col min="14853" max="14854" width="9.140625" style="622"/>
    <col min="14855" max="14855" width="10.140625" style="622" bestFit="1" customWidth="1"/>
    <col min="14856" max="14857" width="9.140625" style="622"/>
    <col min="14858" max="14859" width="11.7109375" style="622" bestFit="1" customWidth="1"/>
    <col min="14860" max="14862" width="10.140625" style="622" bestFit="1" customWidth="1"/>
    <col min="14863" max="15105" width="9.140625" style="622"/>
    <col min="15106" max="15106" width="31.42578125" style="622" customWidth="1"/>
    <col min="15107" max="15107" width="9.140625" style="622"/>
    <col min="15108" max="15108" width="10.140625" style="622" bestFit="1" customWidth="1"/>
    <col min="15109" max="15110" width="9.140625" style="622"/>
    <col min="15111" max="15111" width="10.140625" style="622" bestFit="1" customWidth="1"/>
    <col min="15112" max="15113" width="9.140625" style="622"/>
    <col min="15114" max="15115" width="11.7109375" style="622" bestFit="1" customWidth="1"/>
    <col min="15116" max="15118" width="10.140625" style="622" bestFit="1" customWidth="1"/>
    <col min="15119" max="15361" width="9.140625" style="622"/>
    <col min="15362" max="15362" width="31.42578125" style="622" customWidth="1"/>
    <col min="15363" max="15363" width="9.140625" style="622"/>
    <col min="15364" max="15364" width="10.140625" style="622" bestFit="1" customWidth="1"/>
    <col min="15365" max="15366" width="9.140625" style="622"/>
    <col min="15367" max="15367" width="10.140625" style="622" bestFit="1" customWidth="1"/>
    <col min="15368" max="15369" width="9.140625" style="622"/>
    <col min="15370" max="15371" width="11.7109375" style="622" bestFit="1" customWidth="1"/>
    <col min="15372" max="15374" width="10.140625" style="622" bestFit="1" customWidth="1"/>
    <col min="15375" max="15617" width="9.140625" style="622"/>
    <col min="15618" max="15618" width="31.42578125" style="622" customWidth="1"/>
    <col min="15619" max="15619" width="9.140625" style="622"/>
    <col min="15620" max="15620" width="10.140625" style="622" bestFit="1" customWidth="1"/>
    <col min="15621" max="15622" width="9.140625" style="622"/>
    <col min="15623" max="15623" width="10.140625" style="622" bestFit="1" customWidth="1"/>
    <col min="15624" max="15625" width="9.140625" style="622"/>
    <col min="15626" max="15627" width="11.7109375" style="622" bestFit="1" customWidth="1"/>
    <col min="15628" max="15630" width="10.140625" style="622" bestFit="1" customWidth="1"/>
    <col min="15631" max="15873" width="9.140625" style="622"/>
    <col min="15874" max="15874" width="31.42578125" style="622" customWidth="1"/>
    <col min="15875" max="15875" width="9.140625" style="622"/>
    <col min="15876" max="15876" width="10.140625" style="622" bestFit="1" customWidth="1"/>
    <col min="15877" max="15878" width="9.140625" style="622"/>
    <col min="15879" max="15879" width="10.140625" style="622" bestFit="1" customWidth="1"/>
    <col min="15880" max="15881" width="9.140625" style="622"/>
    <col min="15882" max="15883" width="11.7109375" style="622" bestFit="1" customWidth="1"/>
    <col min="15884" max="15886" width="10.140625" style="622" bestFit="1" customWidth="1"/>
    <col min="15887" max="16129" width="9.140625" style="622"/>
    <col min="16130" max="16130" width="31.42578125" style="622" customWidth="1"/>
    <col min="16131" max="16131" width="9.140625" style="622"/>
    <col min="16132" max="16132" width="10.140625" style="622" bestFit="1" customWidth="1"/>
    <col min="16133" max="16134" width="9.140625" style="622"/>
    <col min="16135" max="16135" width="10.140625" style="622" bestFit="1" customWidth="1"/>
    <col min="16136" max="16137" width="9.140625" style="622"/>
    <col min="16138" max="16139" width="11.7109375" style="622" bestFit="1" customWidth="1"/>
    <col min="16140" max="16142" width="10.140625" style="622" bestFit="1" customWidth="1"/>
    <col min="16143" max="16384" width="9.140625" style="622"/>
  </cols>
  <sheetData>
    <row r="1" spans="1:14" ht="12.75" customHeight="1">
      <c r="A1" s="1521" t="s">
        <v>493</v>
      </c>
      <c r="B1" s="1310"/>
      <c r="C1" s="1310"/>
      <c r="D1" s="1310"/>
      <c r="E1" s="1310"/>
      <c r="F1" s="1310"/>
      <c r="G1" s="1310"/>
      <c r="H1" s="1568"/>
      <c r="I1" s="1541" t="s">
        <v>494</v>
      </c>
      <c r="J1" s="1542"/>
      <c r="K1" s="1542"/>
      <c r="L1" s="1542"/>
      <c r="M1" s="1542"/>
      <c r="N1" s="1545" t="s">
        <v>339</v>
      </c>
    </row>
    <row r="2" spans="1:14">
      <c r="A2" s="1575"/>
      <c r="B2" s="1572"/>
      <c r="C2" s="1572"/>
      <c r="D2" s="1572"/>
      <c r="E2" s="1572"/>
      <c r="F2" s="1572"/>
      <c r="G2" s="1572"/>
      <c r="H2" s="1572"/>
      <c r="I2" s="1543"/>
      <c r="J2" s="1544"/>
      <c r="K2" s="1544"/>
      <c r="L2" s="1544"/>
      <c r="M2" s="1544"/>
      <c r="N2" s="1546"/>
    </row>
    <row r="3" spans="1:14">
      <c r="A3" s="749" t="s">
        <v>747</v>
      </c>
      <c r="B3" s="748" t="str">
        <f>'F1 Forecast Consultant'!C3</f>
        <v>Western</v>
      </c>
      <c r="I3" s="1549" t="s">
        <v>495</v>
      </c>
      <c r="J3" s="1550"/>
      <c r="K3" s="1532">
        <f>'F1  Cover'!K8</f>
        <v>1</v>
      </c>
      <c r="L3" s="1533"/>
      <c r="M3" s="1533"/>
      <c r="N3" s="1534"/>
    </row>
    <row r="4" spans="1:14" ht="13.5" thickBot="1">
      <c r="A4" s="1574"/>
      <c r="B4" s="1564"/>
      <c r="C4" s="1564"/>
      <c r="D4" s="1564"/>
      <c r="E4" s="1564"/>
      <c r="F4" s="1564"/>
      <c r="G4" s="1564"/>
      <c r="H4" s="1564"/>
      <c r="I4" s="1553" t="s">
        <v>496</v>
      </c>
      <c r="J4" s="1554"/>
      <c r="K4" s="1555" t="str">
        <f>'F1 Forecast Combined'!E3</f>
        <v>NRA.N.011-050-2012/1F</v>
      </c>
      <c r="L4" s="1555"/>
      <c r="M4" s="1555"/>
      <c r="N4" s="1556"/>
    </row>
    <row r="5" spans="1:14" ht="13.5" thickBot="1">
      <c r="A5" s="727" t="s">
        <v>497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75" customHeight="1" thickBot="1">
      <c r="A6" s="724" t="s">
        <v>100</v>
      </c>
      <c r="B6" s="725" t="s">
        <v>0</v>
      </c>
      <c r="C6" s="718" t="s">
        <v>1</v>
      </c>
      <c r="D6" s="716" t="s">
        <v>498</v>
      </c>
      <c r="E6" s="717" t="s">
        <v>499</v>
      </c>
      <c r="F6" s="717" t="s">
        <v>500</v>
      </c>
      <c r="G6" s="717" t="s">
        <v>501</v>
      </c>
      <c r="H6" s="718" t="s">
        <v>502</v>
      </c>
      <c r="I6" s="716" t="s">
        <v>3</v>
      </c>
      <c r="J6" s="717" t="s">
        <v>503</v>
      </c>
      <c r="K6" s="717" t="s">
        <v>504</v>
      </c>
      <c r="L6" s="717" t="s">
        <v>505</v>
      </c>
      <c r="M6" s="717" t="s">
        <v>506</v>
      </c>
      <c r="N6" s="718" t="s">
        <v>507</v>
      </c>
    </row>
    <row r="7" spans="1:14" ht="31.5" customHeight="1">
      <c r="A7" s="624">
        <f>'Pricing Schedule'!A317</f>
        <v>3.8</v>
      </c>
      <c r="B7" s="625" t="str">
        <f>'Pricing Schedule'!B317</f>
        <v>ADDITIONAL DUTIES, SPECIAL SERVICES AND SPECIALIST ADVICE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629" t="str">
        <f>'Pricing Schedule'!A318</f>
        <v>3.8.1</v>
      </c>
      <c r="B8" s="630" t="str">
        <f>'Pricing Schedule'!B318</f>
        <v>Additional duties by Service Provider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629"/>
      <c r="B9" s="630" t="str">
        <f>'Pricing Schedule'!B319</f>
        <v>(a) Personnel cost</v>
      </c>
      <c r="C9" s="630"/>
      <c r="D9" s="651"/>
      <c r="E9" s="631"/>
      <c r="F9" s="631"/>
      <c r="G9" s="631"/>
      <c r="H9" s="632"/>
      <c r="I9" s="651"/>
      <c r="J9" s="631"/>
      <c r="K9" s="631"/>
      <c r="L9" s="631"/>
      <c r="M9" s="631"/>
      <c r="N9" s="633"/>
    </row>
    <row r="10" spans="1:14" ht="31.5" customHeight="1">
      <c r="A10" s="784"/>
      <c r="B10" s="630" t="str">
        <f>'Pricing Schedule'!B320</f>
        <v xml:space="preserve">(i) Category A </v>
      </c>
      <c r="C10" s="630" t="str">
        <f>'Pricing Schedule'!C320</f>
        <v>Hour</v>
      </c>
      <c r="D10" s="651">
        <f>'Pricing Schedule'!D320</f>
        <v>240</v>
      </c>
      <c r="E10" s="722">
        <f>D10</f>
        <v>240</v>
      </c>
      <c r="F10" s="855">
        <f>DATA!$FR$52</f>
        <v>0</v>
      </c>
      <c r="G10" s="722"/>
      <c r="H10" s="632">
        <f t="shared" ref="H10:H16" si="0">F10+G10</f>
        <v>0</v>
      </c>
      <c r="I10" s="733">
        <f>'Pricing Schedule'!E320</f>
        <v>3534</v>
      </c>
      <c r="J10" s="631">
        <f>I10*D10</f>
        <v>848160</v>
      </c>
      <c r="K10" s="631">
        <f t="shared" ref="K10:K16" si="1">E10*I10</f>
        <v>848160</v>
      </c>
      <c r="L10" s="631">
        <f t="shared" ref="L10:L16" si="2">F10*I10</f>
        <v>0</v>
      </c>
      <c r="M10" s="631">
        <f t="shared" ref="M10:M16" si="3">G10*I10</f>
        <v>0</v>
      </c>
      <c r="N10" s="632">
        <f t="shared" ref="N10:N16" si="4">H10*I10</f>
        <v>0</v>
      </c>
    </row>
    <row r="11" spans="1:14" ht="31.5" customHeight="1">
      <c r="A11" s="784"/>
      <c r="B11" s="630" t="str">
        <f>'Pricing Schedule'!B321</f>
        <v xml:space="preserve">(ii) Category B </v>
      </c>
      <c r="C11" s="630" t="str">
        <f>'Pricing Schedule'!C321</f>
        <v>Hour</v>
      </c>
      <c r="D11" s="651">
        <f>'Pricing Schedule'!D321</f>
        <v>240</v>
      </c>
      <c r="E11" s="722">
        <f t="shared" ref="E11:E13" si="5">D11</f>
        <v>240</v>
      </c>
      <c r="F11" s="855">
        <f>DATA!$FS$52</f>
        <v>0</v>
      </c>
      <c r="G11" s="722"/>
      <c r="H11" s="632">
        <f t="shared" si="0"/>
        <v>0</v>
      </c>
      <c r="I11" s="733">
        <f>'Pricing Schedule'!E321</f>
        <v>2796</v>
      </c>
      <c r="J11" s="631">
        <f t="shared" ref="J11:J13" si="6">I11*D11</f>
        <v>671040</v>
      </c>
      <c r="K11" s="631">
        <f t="shared" si="1"/>
        <v>671040</v>
      </c>
      <c r="L11" s="631">
        <f t="shared" si="2"/>
        <v>0</v>
      </c>
      <c r="M11" s="631">
        <f t="shared" si="3"/>
        <v>0</v>
      </c>
      <c r="N11" s="632">
        <f t="shared" si="4"/>
        <v>0</v>
      </c>
    </row>
    <row r="12" spans="1:14" ht="31.5" customHeight="1">
      <c r="A12" s="784"/>
      <c r="B12" s="630" t="str">
        <f>'Pricing Schedule'!B322</f>
        <v xml:space="preserve">(iii) Category C </v>
      </c>
      <c r="C12" s="630" t="str">
        <f>'Pricing Schedule'!C322</f>
        <v>Hour</v>
      </c>
      <c r="D12" s="651">
        <f>'Pricing Schedule'!D322</f>
        <v>480</v>
      </c>
      <c r="E12" s="722">
        <f t="shared" si="5"/>
        <v>480</v>
      </c>
      <c r="F12" s="855">
        <f>DATA!$FT$52</f>
        <v>0</v>
      </c>
      <c r="G12" s="722"/>
      <c r="H12" s="632">
        <f t="shared" si="0"/>
        <v>0</v>
      </c>
      <c r="I12" s="733">
        <f>'Pricing Schedule'!E322</f>
        <v>2403</v>
      </c>
      <c r="J12" s="631">
        <f t="shared" si="6"/>
        <v>1153440</v>
      </c>
      <c r="K12" s="631">
        <f t="shared" si="1"/>
        <v>1153440</v>
      </c>
      <c r="L12" s="631">
        <f t="shared" si="2"/>
        <v>0</v>
      </c>
      <c r="M12" s="631">
        <f t="shared" si="3"/>
        <v>0</v>
      </c>
      <c r="N12" s="632">
        <f t="shared" si="4"/>
        <v>0</v>
      </c>
    </row>
    <row r="13" spans="1:14" ht="31.5" customHeight="1">
      <c r="A13" s="784"/>
      <c r="B13" s="630" t="str">
        <f>'Pricing Schedule'!B323</f>
        <v xml:space="preserve">(iv) Category D </v>
      </c>
      <c r="C13" s="630" t="str">
        <f>'Pricing Schedule'!C323</f>
        <v>Hour</v>
      </c>
      <c r="D13" s="651">
        <f>'Pricing Schedule'!D323</f>
        <v>720</v>
      </c>
      <c r="E13" s="722">
        <f t="shared" si="5"/>
        <v>720</v>
      </c>
      <c r="F13" s="855">
        <f>DATA!$FU$52</f>
        <v>0</v>
      </c>
      <c r="G13" s="722"/>
      <c r="H13" s="632">
        <f t="shared" si="0"/>
        <v>0</v>
      </c>
      <c r="I13" s="733">
        <f>'Pricing Schedule'!E323</f>
        <v>1167</v>
      </c>
      <c r="J13" s="631">
        <f t="shared" si="6"/>
        <v>840240</v>
      </c>
      <c r="K13" s="631">
        <f t="shared" si="1"/>
        <v>840240</v>
      </c>
      <c r="L13" s="631">
        <f t="shared" si="2"/>
        <v>0</v>
      </c>
      <c r="M13" s="631">
        <f t="shared" si="3"/>
        <v>0</v>
      </c>
      <c r="N13" s="632">
        <f t="shared" si="4"/>
        <v>0</v>
      </c>
    </row>
    <row r="14" spans="1:14" ht="31.5" customHeight="1">
      <c r="A14" s="629"/>
      <c r="B14" s="630" t="str">
        <f>'Pricing Schedule'!B324</f>
        <v>(b)  Disbursements</v>
      </c>
      <c r="C14" s="630" t="str">
        <f>'Pricing Schedule'!C324</f>
        <v>prime cost (PC)</v>
      </c>
      <c r="D14" s="651">
        <v>1</v>
      </c>
      <c r="E14" s="722">
        <v>1</v>
      </c>
      <c r="F14" s="855">
        <f>DATA!$FV$52</f>
        <v>0</v>
      </c>
      <c r="G14" s="854">
        <f>'Pg 4 P Sums'!K353-'C3.8'!F14</f>
        <v>0</v>
      </c>
      <c r="H14" s="632">
        <f t="shared" si="0"/>
        <v>0</v>
      </c>
      <c r="I14" s="733">
        <f>'Pricing Schedule'!F324</f>
        <v>50000</v>
      </c>
      <c r="J14" s="631">
        <f>D14*I14</f>
        <v>50000</v>
      </c>
      <c r="K14" s="631">
        <f t="shared" si="1"/>
        <v>50000</v>
      </c>
      <c r="L14" s="631">
        <f t="shared" si="2"/>
        <v>0</v>
      </c>
      <c r="M14" s="631">
        <f t="shared" si="3"/>
        <v>0</v>
      </c>
      <c r="N14" s="632">
        <f t="shared" si="4"/>
        <v>0</v>
      </c>
    </row>
    <row r="15" spans="1:14" ht="31.5" customHeight="1">
      <c r="A15" s="629"/>
      <c r="B15" s="630" t="str">
        <f>'Pricing Schedule'!B325</f>
        <v>(c)  Handling cost i.r.o. sub-item 3.8.1(b)</v>
      </c>
      <c r="C15" s="630" t="str">
        <f>'Pricing Schedule'!C325</f>
        <v>percentage  (%)</v>
      </c>
      <c r="D15" s="651">
        <f>'Pricing Schedule'!D325</f>
        <v>50000</v>
      </c>
      <c r="E15" s="631">
        <f>K14</f>
        <v>50000</v>
      </c>
      <c r="F15" s="631">
        <f t="shared" ref="F15:G15" si="7">L14</f>
        <v>0</v>
      </c>
      <c r="G15" s="631">
        <f t="shared" si="7"/>
        <v>0</v>
      </c>
      <c r="H15" s="632">
        <f t="shared" si="0"/>
        <v>0</v>
      </c>
      <c r="I15" s="747">
        <f>'Pricing Schedule'!E325</f>
        <v>0</v>
      </c>
      <c r="J15" s="631">
        <f>D15*I15</f>
        <v>0</v>
      </c>
      <c r="K15" s="631">
        <f t="shared" si="1"/>
        <v>0</v>
      </c>
      <c r="L15" s="631">
        <f t="shared" si="2"/>
        <v>0</v>
      </c>
      <c r="M15" s="631">
        <f t="shared" si="3"/>
        <v>0</v>
      </c>
      <c r="N15" s="632">
        <f t="shared" si="4"/>
        <v>0</v>
      </c>
    </row>
    <row r="16" spans="1:14" ht="31.5" customHeight="1">
      <c r="A16" s="784" t="str">
        <f>'Pricing Schedule'!A326</f>
        <v>3.8.2</v>
      </c>
      <c r="B16" s="630" t="str">
        <f>'Pricing Schedule'!B326</f>
        <v>Additional duties by the Employer</v>
      </c>
      <c r="C16" s="630" t="str">
        <f>'Pricing Schedule'!C326</f>
        <v>Hour</v>
      </c>
      <c r="D16" s="651">
        <f>'Pricing Schedule'!D326</f>
        <v>0</v>
      </c>
      <c r="E16" s="722">
        <f>D16</f>
        <v>0</v>
      </c>
      <c r="F16" s="855">
        <f>DATA!$FW$52</f>
        <v>0</v>
      </c>
      <c r="G16" s="722"/>
      <c r="H16" s="632">
        <f t="shared" si="0"/>
        <v>0</v>
      </c>
      <c r="I16" s="733">
        <f>'Pricing Schedule'!E326</f>
        <v>-1500</v>
      </c>
      <c r="J16" s="631">
        <v>0</v>
      </c>
      <c r="K16" s="631">
        <f t="shared" si="1"/>
        <v>0</v>
      </c>
      <c r="L16" s="631">
        <f t="shared" si="2"/>
        <v>0</v>
      </c>
      <c r="M16" s="631">
        <f t="shared" si="3"/>
        <v>0</v>
      </c>
      <c r="N16" s="632">
        <f t="shared" si="4"/>
        <v>0</v>
      </c>
    </row>
    <row r="17" spans="1:14" ht="31.5" customHeight="1">
      <c r="A17" s="629" t="str">
        <f>'Pricing Schedule'!A327</f>
        <v>3.8.3</v>
      </c>
      <c r="B17" s="630" t="str">
        <f>'Pricing Schedule'!B327</f>
        <v>Special Services and specialist advice</v>
      </c>
      <c r="C17" s="630"/>
      <c r="D17" s="651"/>
      <c r="E17" s="631"/>
      <c r="F17" s="631"/>
      <c r="G17" s="631"/>
      <c r="H17" s="632"/>
      <c r="I17" s="651"/>
      <c r="J17" s="631"/>
      <c r="K17" s="631"/>
      <c r="L17" s="631"/>
      <c r="M17" s="631"/>
      <c r="N17" s="633"/>
    </row>
    <row r="18" spans="1:14" ht="31.5" customHeight="1">
      <c r="A18" s="629"/>
      <c r="B18" s="630" t="str">
        <f>'Pricing Schedule'!B328</f>
        <v>(a) Special service or advice provided by the service provider</v>
      </c>
      <c r="C18" s="630"/>
      <c r="D18" s="651"/>
      <c r="E18" s="631"/>
      <c r="F18" s="631"/>
      <c r="G18" s="631"/>
      <c r="H18" s="632"/>
      <c r="I18" s="651"/>
      <c r="J18" s="631"/>
      <c r="K18" s="631"/>
      <c r="L18" s="631"/>
      <c r="M18" s="631"/>
      <c r="N18" s="633"/>
    </row>
    <row r="19" spans="1:14" ht="31.5" customHeight="1">
      <c r="A19" s="784"/>
      <c r="B19" s="630" t="str">
        <f>'Pricing Schedule'!B329</f>
        <v xml:space="preserve">(i) Personnel - Category A </v>
      </c>
      <c r="C19" s="630" t="str">
        <f>'Pricing Schedule'!C329</f>
        <v>Hour</v>
      </c>
      <c r="D19" s="651">
        <f>'Pricing Schedule'!D329</f>
        <v>150</v>
      </c>
      <c r="E19" s="722">
        <f>D19</f>
        <v>150</v>
      </c>
      <c r="F19" s="855">
        <f>DATA!$FX$52</f>
        <v>0</v>
      </c>
      <c r="G19" s="722"/>
      <c r="H19" s="632">
        <f t="shared" ref="H19:H26" si="8">F19+G19</f>
        <v>0</v>
      </c>
      <c r="I19" s="733">
        <f>'Pricing Schedule'!E329</f>
        <v>3534</v>
      </c>
      <c r="J19" s="631">
        <f>I19*D19</f>
        <v>530100</v>
      </c>
      <c r="K19" s="631">
        <f t="shared" ref="K19:K26" si="9">E19*I19</f>
        <v>530100</v>
      </c>
      <c r="L19" s="631">
        <f t="shared" ref="L19:L26" si="10">F19*I19</f>
        <v>0</v>
      </c>
      <c r="M19" s="631">
        <f t="shared" ref="M19:M26" si="11">G19*I19</f>
        <v>0</v>
      </c>
      <c r="N19" s="632">
        <f t="shared" ref="N19:N26" si="12">H19*I19</f>
        <v>0</v>
      </c>
    </row>
    <row r="20" spans="1:14" ht="31.5" customHeight="1">
      <c r="A20" s="784"/>
      <c r="B20" s="630" t="str">
        <f>'Pricing Schedule'!B330</f>
        <v xml:space="preserve">(ii) Personnel - Category B </v>
      </c>
      <c r="C20" s="630" t="str">
        <f>'Pricing Schedule'!C330</f>
        <v>Hour</v>
      </c>
      <c r="D20" s="651">
        <f>'Pricing Schedule'!D330</f>
        <v>150</v>
      </c>
      <c r="E20" s="722">
        <f t="shared" ref="E20:E23" si="13">D20</f>
        <v>150</v>
      </c>
      <c r="F20" s="855">
        <f>DATA!$FY$52</f>
        <v>0</v>
      </c>
      <c r="G20" s="722"/>
      <c r="H20" s="632">
        <f t="shared" si="8"/>
        <v>0</v>
      </c>
      <c r="I20" s="733">
        <f>'Pricing Schedule'!E330</f>
        <v>2796</v>
      </c>
      <c r="J20" s="631">
        <f t="shared" ref="J20:J22" si="14">I20*D20</f>
        <v>419400</v>
      </c>
      <c r="K20" s="631">
        <f t="shared" si="9"/>
        <v>419400</v>
      </c>
      <c r="L20" s="631">
        <f t="shared" si="10"/>
        <v>0</v>
      </c>
      <c r="M20" s="631">
        <f t="shared" si="11"/>
        <v>0</v>
      </c>
      <c r="N20" s="632">
        <f t="shared" si="12"/>
        <v>0</v>
      </c>
    </row>
    <row r="21" spans="1:14" ht="31.5" customHeight="1">
      <c r="A21" s="784"/>
      <c r="B21" s="630" t="str">
        <f>'Pricing Schedule'!B331</f>
        <v xml:space="preserve">(iii) Personnel - Category C </v>
      </c>
      <c r="C21" s="630" t="str">
        <f>'Pricing Schedule'!C331</f>
        <v>Hour</v>
      </c>
      <c r="D21" s="651">
        <f>'Pricing Schedule'!D331</f>
        <v>240</v>
      </c>
      <c r="E21" s="722">
        <f t="shared" si="13"/>
        <v>240</v>
      </c>
      <c r="F21" s="855">
        <f>DATA!$FZ$52</f>
        <v>0</v>
      </c>
      <c r="G21" s="722"/>
      <c r="H21" s="632">
        <f t="shared" si="8"/>
        <v>0</v>
      </c>
      <c r="I21" s="733">
        <f>'Pricing Schedule'!E331</f>
        <v>2403</v>
      </c>
      <c r="J21" s="631">
        <f t="shared" si="14"/>
        <v>576720</v>
      </c>
      <c r="K21" s="631">
        <f t="shared" si="9"/>
        <v>576720</v>
      </c>
      <c r="L21" s="631">
        <f t="shared" si="10"/>
        <v>0</v>
      </c>
      <c r="M21" s="631">
        <f t="shared" si="11"/>
        <v>0</v>
      </c>
      <c r="N21" s="632">
        <f t="shared" si="12"/>
        <v>0</v>
      </c>
    </row>
    <row r="22" spans="1:14" ht="31.5" customHeight="1">
      <c r="A22" s="784"/>
      <c r="B22" s="630" t="str">
        <f>'Pricing Schedule'!B332</f>
        <v xml:space="preserve">(iv) Personnel - Category D </v>
      </c>
      <c r="C22" s="630" t="str">
        <f>'Pricing Schedule'!C332</f>
        <v>Hour</v>
      </c>
      <c r="D22" s="651">
        <f>'Pricing Schedule'!D332</f>
        <v>360</v>
      </c>
      <c r="E22" s="722">
        <f t="shared" si="13"/>
        <v>360</v>
      </c>
      <c r="F22" s="855">
        <f>DATA!$GA$52</f>
        <v>0</v>
      </c>
      <c r="G22" s="722"/>
      <c r="H22" s="632">
        <f t="shared" si="8"/>
        <v>0</v>
      </c>
      <c r="I22" s="733">
        <f>'Pricing Schedule'!E332</f>
        <v>1167</v>
      </c>
      <c r="J22" s="631">
        <f t="shared" si="14"/>
        <v>420120</v>
      </c>
      <c r="K22" s="631">
        <f t="shared" si="9"/>
        <v>420120</v>
      </c>
      <c r="L22" s="631">
        <f t="shared" si="10"/>
        <v>0</v>
      </c>
      <c r="M22" s="631">
        <f t="shared" si="11"/>
        <v>0</v>
      </c>
      <c r="N22" s="632">
        <f t="shared" si="12"/>
        <v>0</v>
      </c>
    </row>
    <row r="23" spans="1:14" ht="31.5" customHeight="1">
      <c r="A23" s="629"/>
      <c r="B23" s="630" t="str">
        <f>'Pricing Schedule'!B333</f>
        <v>(b) Service or advice procured by service provider</v>
      </c>
      <c r="C23" s="630" t="str">
        <f>'Pricing Schedule'!C333</f>
        <v>prime cost (PC)</v>
      </c>
      <c r="D23" s="651">
        <v>1</v>
      </c>
      <c r="E23" s="722">
        <f t="shared" si="13"/>
        <v>1</v>
      </c>
      <c r="F23" s="855">
        <f>DATA!$GB$52</f>
        <v>0</v>
      </c>
      <c r="G23" s="854">
        <f>'Pg 4 P Sums'!K362-'C3.8'!F23</f>
        <v>0</v>
      </c>
      <c r="H23" s="632">
        <f t="shared" si="8"/>
        <v>0</v>
      </c>
      <c r="I23" s="733">
        <f>'Pricing Schedule'!F333</f>
        <v>1000000</v>
      </c>
      <c r="J23" s="631">
        <f>D23*I23</f>
        <v>1000000</v>
      </c>
      <c r="K23" s="631">
        <f t="shared" si="9"/>
        <v>1000000</v>
      </c>
      <c r="L23" s="631">
        <f t="shared" si="10"/>
        <v>0</v>
      </c>
      <c r="M23" s="631">
        <f t="shared" si="11"/>
        <v>0</v>
      </c>
      <c r="N23" s="632">
        <f t="shared" si="12"/>
        <v>0</v>
      </c>
    </row>
    <row r="24" spans="1:14" ht="31.5" customHeight="1">
      <c r="A24" s="629"/>
      <c r="B24" s="630" t="str">
        <f>'Pricing Schedule'!B334</f>
        <v>(c)  Handling costs i.r.o. pay item 3.8.3(b)</v>
      </c>
      <c r="C24" s="630" t="str">
        <f>'Pricing Schedule'!C334</f>
        <v>percentage (%)</v>
      </c>
      <c r="D24" s="651">
        <f>'Pricing Schedule'!D334</f>
        <v>1000000</v>
      </c>
      <c r="E24" s="631">
        <f>K23</f>
        <v>1000000</v>
      </c>
      <c r="F24" s="631">
        <f t="shared" ref="F24" si="15">L23</f>
        <v>0</v>
      </c>
      <c r="G24" s="631">
        <f t="shared" ref="G24" si="16">M23</f>
        <v>0</v>
      </c>
      <c r="H24" s="632">
        <f t="shared" si="8"/>
        <v>0</v>
      </c>
      <c r="I24" s="747">
        <f>'Pricing Schedule'!E334</f>
        <v>0</v>
      </c>
      <c r="J24" s="631">
        <f>D24*I24</f>
        <v>0</v>
      </c>
      <c r="K24" s="631">
        <f t="shared" si="9"/>
        <v>0</v>
      </c>
      <c r="L24" s="631">
        <f t="shared" si="10"/>
        <v>0</v>
      </c>
      <c r="M24" s="631">
        <f t="shared" si="11"/>
        <v>0</v>
      </c>
      <c r="N24" s="632">
        <f t="shared" si="12"/>
        <v>0</v>
      </c>
    </row>
    <row r="25" spans="1:14" ht="31.5" customHeight="1">
      <c r="A25" s="629" t="str">
        <f>'Pricing Schedule'!A335</f>
        <v>3.8.4</v>
      </c>
      <c r="B25" s="630" t="str">
        <f>'Pricing Schedule'!B335</f>
        <v>Training of Targeted Enterprise Understudy</v>
      </c>
      <c r="C25" s="630" t="str">
        <f>'Pricing Schedule'!C335</f>
        <v>provisional sum (PS)</v>
      </c>
      <c r="D25" s="651">
        <v>1</v>
      </c>
      <c r="E25" s="722">
        <f>D25</f>
        <v>1</v>
      </c>
      <c r="F25" s="855">
        <f>DATA!$GC$52</f>
        <v>0</v>
      </c>
      <c r="G25" s="854">
        <f>'Pg 4 P Sums'!K370-'C3.8'!F25</f>
        <v>0</v>
      </c>
      <c r="H25" s="632">
        <f t="shared" si="8"/>
        <v>0</v>
      </c>
      <c r="I25" s="733">
        <f>'Pricing Schedule'!F335</f>
        <v>500000</v>
      </c>
      <c r="J25" s="631">
        <f>D25*I25</f>
        <v>500000</v>
      </c>
      <c r="K25" s="631">
        <f t="shared" si="9"/>
        <v>500000</v>
      </c>
      <c r="L25" s="631">
        <f t="shared" si="10"/>
        <v>0</v>
      </c>
      <c r="M25" s="631">
        <f t="shared" si="11"/>
        <v>0</v>
      </c>
      <c r="N25" s="632">
        <f t="shared" si="12"/>
        <v>0</v>
      </c>
    </row>
    <row r="26" spans="1:14" ht="31.5" customHeight="1">
      <c r="A26" s="784" t="str">
        <f>'Pricing Schedule'!A336</f>
        <v>3.8.5</v>
      </c>
      <c r="B26" s="630" t="str">
        <f>'Pricing Schedule'!B336</f>
        <v>Payment and Monthly Reporting cost</v>
      </c>
      <c r="C26" s="630" t="str">
        <f>'Pricing Schedule'!C336</f>
        <v>month</v>
      </c>
      <c r="D26" s="651">
        <f>'Pricing Schedule'!D336</f>
        <v>0</v>
      </c>
      <c r="E26" s="722">
        <f>D26</f>
        <v>0</v>
      </c>
      <c r="F26" s="855">
        <f>DATA!$GD$52</f>
        <v>0</v>
      </c>
      <c r="G26" s="722"/>
      <c r="H26" s="632">
        <f t="shared" si="8"/>
        <v>0</v>
      </c>
      <c r="I26" s="733">
        <f>'Pricing Schedule'!E336</f>
        <v>0</v>
      </c>
      <c r="J26" s="631">
        <f>I26*D26</f>
        <v>0</v>
      </c>
      <c r="K26" s="631">
        <f t="shared" si="9"/>
        <v>0</v>
      </c>
      <c r="L26" s="631">
        <f t="shared" si="10"/>
        <v>0</v>
      </c>
      <c r="M26" s="631">
        <f t="shared" si="11"/>
        <v>0</v>
      </c>
      <c r="N26" s="632">
        <f t="shared" si="12"/>
        <v>0</v>
      </c>
    </row>
    <row r="27" spans="1:14" ht="31.5" customHeight="1">
      <c r="A27" s="629" t="str">
        <f>'Pricing Schedule'!A337</f>
        <v>3.8.6</v>
      </c>
      <c r="B27" s="630" t="str">
        <f>'Pricing Schedule'!B337</f>
        <v>Project Liaison Committee (PLC)</v>
      </c>
      <c r="C27" s="630"/>
      <c r="D27" s="651"/>
      <c r="E27" s="946"/>
      <c r="F27" s="940"/>
      <c r="G27" s="946"/>
      <c r="H27" s="941"/>
      <c r="I27" s="945"/>
      <c r="J27" s="940"/>
      <c r="K27" s="940"/>
      <c r="L27" s="940"/>
      <c r="M27" s="940"/>
      <c r="N27" s="941"/>
    </row>
    <row r="28" spans="1:14" ht="31.5" customHeight="1">
      <c r="A28" s="784"/>
      <c r="B28" s="630" t="str">
        <f>'Pricing Schedule'!B338</f>
        <v>(a) Establishment of PLC</v>
      </c>
      <c r="C28" s="630" t="str">
        <f>'Pricing Schedule'!C338</f>
        <v>lump sum (LS)</v>
      </c>
      <c r="D28" s="651">
        <v>1</v>
      </c>
      <c r="E28" s="631">
        <v>1</v>
      </c>
      <c r="F28" s="855">
        <f>DATA!$JO$52</f>
        <v>0</v>
      </c>
      <c r="G28" s="722"/>
      <c r="H28" s="632">
        <f>IF((F28+G28)&gt;E28,"ERROR TOO MUCH",(F28+G28))</f>
        <v>0</v>
      </c>
      <c r="I28" s="733">
        <f>'Pricing Schedule'!F338</f>
        <v>0</v>
      </c>
      <c r="J28" s="631">
        <f t="shared" ref="J28:J33" si="17"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Schedule'!B339</f>
        <v>(b)   Liaison/Meetings with the PLC during design phase</v>
      </c>
      <c r="C29" s="630" t="str">
        <f>'Pricing Schedule'!C339</f>
        <v>provisional sum (PS)</v>
      </c>
      <c r="D29" s="651">
        <v>1</v>
      </c>
      <c r="E29" s="722">
        <f>D29</f>
        <v>1</v>
      </c>
      <c r="F29" s="855">
        <f>DATA!$JP$52</f>
        <v>0</v>
      </c>
      <c r="G29" s="854">
        <f>'Pg 4 P Sums'!K379-'C3.8'!F29</f>
        <v>0</v>
      </c>
      <c r="H29" s="632">
        <f t="shared" ref="H29:H31" si="18">F29+G29</f>
        <v>0</v>
      </c>
      <c r="I29" s="733">
        <f>'Pricing Schedule'!F339</f>
        <v>250000</v>
      </c>
      <c r="J29" s="631">
        <f t="shared" si="17"/>
        <v>250000</v>
      </c>
      <c r="K29" s="631">
        <f t="shared" ref="K29:K31" si="19">E29*I29</f>
        <v>250000</v>
      </c>
      <c r="L29" s="631">
        <f t="shared" ref="L29:L31" si="20">F29*I29</f>
        <v>0</v>
      </c>
      <c r="M29" s="631">
        <f t="shared" ref="M29:M31" si="21">G29*I29</f>
        <v>0</v>
      </c>
      <c r="N29" s="632">
        <f t="shared" ref="N29:N31" si="22">H29*I29</f>
        <v>0</v>
      </c>
    </row>
    <row r="30" spans="1:14" ht="31.5" customHeight="1">
      <c r="A30" s="629"/>
      <c r="B30" s="630" t="str">
        <f>'Pricing Schedule'!B340</f>
        <v>(c)   PLC stipend</v>
      </c>
      <c r="C30" s="630" t="str">
        <f>'Pricing Schedule'!C340</f>
        <v>provisional sum (PS)</v>
      </c>
      <c r="D30" s="651">
        <v>1</v>
      </c>
      <c r="E30" s="722">
        <f>D30</f>
        <v>1</v>
      </c>
      <c r="F30" s="855">
        <f>DATA!$JQ$52</f>
        <v>0</v>
      </c>
      <c r="G30" s="854">
        <f>'Pg 4 P Sums'!K387-'C3.8'!F30</f>
        <v>0</v>
      </c>
      <c r="H30" s="632">
        <f t="shared" si="18"/>
        <v>0</v>
      </c>
      <c r="I30" s="733">
        <f>'Pricing Schedule'!F340</f>
        <v>300000</v>
      </c>
      <c r="J30" s="631">
        <f t="shared" si="17"/>
        <v>300000</v>
      </c>
      <c r="K30" s="631">
        <f t="shared" si="19"/>
        <v>300000</v>
      </c>
      <c r="L30" s="631">
        <f t="shared" si="20"/>
        <v>0</v>
      </c>
      <c r="M30" s="631">
        <f t="shared" si="21"/>
        <v>0</v>
      </c>
      <c r="N30" s="632">
        <f t="shared" si="22"/>
        <v>0</v>
      </c>
    </row>
    <row r="31" spans="1:14" ht="31.5" customHeight="1">
      <c r="A31" s="629"/>
      <c r="B31" s="630" t="str">
        <f>'Pricing Schedule'!B341</f>
        <v>(d) Handling cost i.r.o. item 3.8.6 (c )</v>
      </c>
      <c r="C31" s="630" t="str">
        <f>'Pricing Schedule'!C341</f>
        <v>percentage (%)</v>
      </c>
      <c r="D31" s="651">
        <f>'Pricing Schedule'!D341</f>
        <v>300000</v>
      </c>
      <c r="E31" s="631">
        <f>K30</f>
        <v>300000</v>
      </c>
      <c r="F31" s="631">
        <f t="shared" ref="F31" si="23">L30</f>
        <v>0</v>
      </c>
      <c r="G31" s="631">
        <f t="shared" ref="G31" si="24">M30</f>
        <v>0</v>
      </c>
      <c r="H31" s="632">
        <f t="shared" si="18"/>
        <v>0</v>
      </c>
      <c r="I31" s="747">
        <f>'Pricing Schedule'!E341</f>
        <v>0</v>
      </c>
      <c r="J31" s="631">
        <f t="shared" si="17"/>
        <v>0</v>
      </c>
      <c r="K31" s="631">
        <f t="shared" si="19"/>
        <v>0</v>
      </c>
      <c r="L31" s="631">
        <f t="shared" si="20"/>
        <v>0</v>
      </c>
      <c r="M31" s="631">
        <f t="shared" si="21"/>
        <v>0</v>
      </c>
      <c r="N31" s="632">
        <f t="shared" si="22"/>
        <v>0</v>
      </c>
    </row>
    <row r="32" spans="1:14" ht="31.5" customHeight="1">
      <c r="A32" s="629"/>
      <c r="B32" s="630" t="str">
        <f>'Pricing Schedule'!B342</f>
        <v>(e) Training of PLC members</v>
      </c>
      <c r="C32" s="630" t="str">
        <f>'Pricing Schedule'!C342</f>
        <v>provisional sum (PS)</v>
      </c>
      <c r="D32" s="651">
        <v>1</v>
      </c>
      <c r="E32" s="722">
        <f>D32</f>
        <v>1</v>
      </c>
      <c r="F32" s="855">
        <f>DATA!$KI$52</f>
        <v>0</v>
      </c>
      <c r="G32" s="854">
        <f>'Pg 4 P Sums'!K395-'C3.8'!F32</f>
        <v>0</v>
      </c>
      <c r="H32" s="632">
        <f t="shared" ref="H32:H33" si="25">F32+G32</f>
        <v>0</v>
      </c>
      <c r="I32" s="733">
        <f>'Pricing Schedule'!F342</f>
        <v>150000</v>
      </c>
      <c r="J32" s="631">
        <f t="shared" si="17"/>
        <v>150000</v>
      </c>
      <c r="K32" s="631">
        <f t="shared" ref="K32:K33" si="26">E32*I32</f>
        <v>150000</v>
      </c>
      <c r="L32" s="631">
        <f t="shared" ref="L32:L33" si="27">F32*I32</f>
        <v>0</v>
      </c>
      <c r="M32" s="631">
        <f t="shared" ref="M32:M33" si="28">G32*I32</f>
        <v>0</v>
      </c>
      <c r="N32" s="632">
        <f t="shared" ref="N32:N33" si="29">H32*I32</f>
        <v>0</v>
      </c>
    </row>
    <row r="33" spans="1:14" ht="31.5" customHeight="1">
      <c r="A33" s="629"/>
      <c r="B33" s="630" t="str">
        <f>'Pricing Schedule'!B343</f>
        <v>(f) Handling cost i.r.o. item 3.8.6 (e )</v>
      </c>
      <c r="C33" s="630" t="str">
        <f>'Pricing Schedule'!C343</f>
        <v>percentage (%)</v>
      </c>
      <c r="D33" s="651">
        <f>'Pricing Schedule'!D343</f>
        <v>150000</v>
      </c>
      <c r="E33" s="631">
        <f>K32</f>
        <v>150000</v>
      </c>
      <c r="F33" s="631">
        <f t="shared" ref="F33" si="30">L32</f>
        <v>0</v>
      </c>
      <c r="G33" s="631">
        <f t="shared" ref="G33" si="31">M32</f>
        <v>0</v>
      </c>
      <c r="H33" s="632">
        <f t="shared" si="25"/>
        <v>0</v>
      </c>
      <c r="I33" s="747">
        <f>'Pricing Schedule'!E343</f>
        <v>0</v>
      </c>
      <c r="J33" s="631">
        <f t="shared" si="17"/>
        <v>0</v>
      </c>
      <c r="K33" s="631">
        <f t="shared" si="26"/>
        <v>0</v>
      </c>
      <c r="L33" s="631">
        <f t="shared" si="27"/>
        <v>0</v>
      </c>
      <c r="M33" s="631">
        <f t="shared" si="28"/>
        <v>0</v>
      </c>
      <c r="N33" s="632">
        <f t="shared" si="29"/>
        <v>0</v>
      </c>
    </row>
    <row r="34" spans="1:14" ht="31.5" customHeight="1">
      <c r="A34" s="629" t="str">
        <f>'Pricing Schedule'!A344</f>
        <v>3.8.7</v>
      </c>
      <c r="B34" s="630" t="str">
        <f>'Pricing Schedule'!B344</f>
        <v>Market Analysis and Databases</v>
      </c>
      <c r="C34" s="630"/>
      <c r="D34" s="651"/>
      <c r="E34" s="946"/>
      <c r="F34" s="940"/>
      <c r="G34" s="946"/>
      <c r="H34" s="941"/>
      <c r="I34" s="945"/>
      <c r="J34" s="940"/>
      <c r="K34" s="940"/>
      <c r="L34" s="940"/>
      <c r="M34" s="940"/>
      <c r="N34" s="941"/>
    </row>
    <row r="35" spans="1:14" ht="31.5" customHeight="1">
      <c r="A35" s="784"/>
      <c r="B35" s="630" t="str">
        <f>'Pricing Schedule'!B345</f>
        <v>(a) Market analysis</v>
      </c>
      <c r="C35" s="630" t="str">
        <f>'Pricing Schedule'!C345</f>
        <v>lump sum (LS)</v>
      </c>
      <c r="D35" s="651">
        <v>1</v>
      </c>
      <c r="E35" s="631">
        <v>1</v>
      </c>
      <c r="F35" s="855">
        <f>DATA!$JR$52</f>
        <v>0</v>
      </c>
      <c r="G35" s="722"/>
      <c r="H35" s="632">
        <f>IF((F35+G35)&gt;E35,"ERROR TOO MUCH",(F35+G35))</f>
        <v>0</v>
      </c>
      <c r="I35" s="733">
        <f>'Pricing Schedule'!F345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784"/>
      <c r="B36" s="630" t="str">
        <f>'Pricing Schedule'!B346</f>
        <v>(b) Establishment and Maintenance of a Targeted Enterprise database</v>
      </c>
      <c r="C36" s="630" t="str">
        <f>'Pricing Schedule'!C346</f>
        <v>month</v>
      </c>
      <c r="D36" s="651">
        <f>'Pricing Schedule'!D346</f>
        <v>5</v>
      </c>
      <c r="E36" s="1059">
        <f>D36</f>
        <v>5</v>
      </c>
      <c r="F36" s="855">
        <f>DATA!$JS$52</f>
        <v>0</v>
      </c>
      <c r="G36" s="722"/>
      <c r="H36" s="632">
        <f>IF((F36+G36)&gt;E36,"ERROR TOO MUCH",(F36+G36))</f>
        <v>0</v>
      </c>
      <c r="I36" s="733">
        <f>'Pricing Schedule'!E346</f>
        <v>0</v>
      </c>
      <c r="J36" s="631">
        <f>D36*I36</f>
        <v>0</v>
      </c>
      <c r="K36" s="631">
        <f>E36*I36</f>
        <v>0</v>
      </c>
      <c r="L36" s="631">
        <f>F36*I36</f>
        <v>0</v>
      </c>
      <c r="M36" s="631">
        <f>G36*I36</f>
        <v>0</v>
      </c>
      <c r="N36" s="632">
        <f>H36*I36</f>
        <v>0</v>
      </c>
    </row>
    <row r="37" spans="1:14" ht="31.5" customHeight="1">
      <c r="A37" s="956"/>
      <c r="B37" s="630" t="str">
        <f>'Pricing Schedule'!B347</f>
        <v>(c) Establishment and Maintenance of a Targeted Labour database</v>
      </c>
      <c r="C37" s="630" t="str">
        <f>'Pricing Schedule'!C347</f>
        <v>month</v>
      </c>
      <c r="D37" s="651">
        <f>'Pricing Schedule'!D347</f>
        <v>5</v>
      </c>
      <c r="E37" s="1059">
        <f>D37</f>
        <v>5</v>
      </c>
      <c r="F37" s="855">
        <f>DATA!$KJ$52</f>
        <v>0</v>
      </c>
      <c r="G37" s="722"/>
      <c r="H37" s="632">
        <f>IF((F37+G37)&gt;E37,"ERROR TOO MUCH",(F37+G37))</f>
        <v>0</v>
      </c>
      <c r="I37" s="733">
        <f>'Pricing Schedule'!E347</f>
        <v>0</v>
      </c>
      <c r="J37" s="631">
        <f>D37*I37</f>
        <v>0</v>
      </c>
      <c r="K37" s="631">
        <f>E37*I37</f>
        <v>0</v>
      </c>
      <c r="L37" s="631">
        <f>F37*I37</f>
        <v>0</v>
      </c>
      <c r="M37" s="631">
        <f>G37*I37</f>
        <v>0</v>
      </c>
      <c r="N37" s="632">
        <f>H37*I37</f>
        <v>0</v>
      </c>
    </row>
    <row r="38" spans="1:14" ht="31.5" customHeight="1">
      <c r="A38" s="629" t="str">
        <f>'Pricing Schedule'!A348</f>
        <v>3.8.8</v>
      </c>
      <c r="B38" s="630" t="str">
        <f>'Pricing Schedule'!B348</f>
        <v>Provision of Social Facilitation Services</v>
      </c>
      <c r="C38" s="630"/>
      <c r="D38" s="651"/>
      <c r="E38" s="946"/>
      <c r="F38" s="940"/>
      <c r="G38" s="946"/>
      <c r="H38" s="941"/>
      <c r="I38" s="945"/>
      <c r="J38" s="940"/>
      <c r="K38" s="940"/>
      <c r="L38" s="940"/>
      <c r="M38" s="940"/>
      <c r="N38" s="941"/>
    </row>
    <row r="39" spans="1:14" ht="31.5" customHeight="1">
      <c r="A39" s="629"/>
      <c r="B39" s="630" t="str">
        <f>'Pricing Schedule'!B349</f>
        <v>(a) Social Facilitator</v>
      </c>
      <c r="C39" s="630" t="str">
        <f>'Pricing Schedule'!C349</f>
        <v>provisional sum (PS)</v>
      </c>
      <c r="D39" s="651">
        <v>1</v>
      </c>
      <c r="E39" s="722">
        <f>D39</f>
        <v>1</v>
      </c>
      <c r="F39" s="855">
        <f>DATA!$KK$52</f>
        <v>0</v>
      </c>
      <c r="G39" s="854">
        <f>'Pg 4 P Sums'!K404-'C3.8'!F39</f>
        <v>0</v>
      </c>
      <c r="H39" s="632">
        <f t="shared" ref="H39:H40" si="32">F39+G39</f>
        <v>0</v>
      </c>
      <c r="I39" s="733">
        <f>'Pricing Schedule'!F349</f>
        <v>1850000</v>
      </c>
      <c r="J39" s="631">
        <f t="shared" ref="J39:J40" si="33">D39*I39</f>
        <v>1850000</v>
      </c>
      <c r="K39" s="631">
        <f t="shared" ref="K39:K40" si="34">E39*I39</f>
        <v>1850000</v>
      </c>
      <c r="L39" s="631">
        <f t="shared" ref="L39:L40" si="35">F39*I39</f>
        <v>0</v>
      </c>
      <c r="M39" s="631">
        <f t="shared" ref="M39:M40" si="36">G39*I39</f>
        <v>0</v>
      </c>
      <c r="N39" s="632">
        <f t="shared" ref="N39:N40" si="37">H39*I39</f>
        <v>0</v>
      </c>
    </row>
    <row r="40" spans="1:14" ht="31.5" customHeight="1" thickBot="1">
      <c r="A40" s="957"/>
      <c r="B40" s="630" t="str">
        <f>'Pricing Schedule'!B350</f>
        <v>(b) Mark-up costs i.t.o. sub-item 3.8.8 (a)</v>
      </c>
      <c r="C40" s="630" t="str">
        <f>'Pricing Schedule'!C350</f>
        <v>percentage (%)</v>
      </c>
      <c r="D40" s="651">
        <f>'Pricing Schedule'!D350</f>
        <v>1850000</v>
      </c>
      <c r="E40" s="631">
        <f>K39</f>
        <v>1850000</v>
      </c>
      <c r="F40" s="631">
        <f t="shared" ref="F40" si="38">L39</f>
        <v>0</v>
      </c>
      <c r="G40" s="631">
        <f t="shared" ref="G40" si="39">M39</f>
        <v>0</v>
      </c>
      <c r="H40" s="632">
        <f t="shared" si="32"/>
        <v>0</v>
      </c>
      <c r="I40" s="747">
        <f>'Pricing Schedule'!E350</f>
        <v>0</v>
      </c>
      <c r="J40" s="631">
        <f t="shared" si="33"/>
        <v>0</v>
      </c>
      <c r="K40" s="631">
        <f t="shared" si="34"/>
        <v>0</v>
      </c>
      <c r="L40" s="631">
        <f t="shared" si="35"/>
        <v>0</v>
      </c>
      <c r="M40" s="631">
        <f t="shared" si="36"/>
        <v>0</v>
      </c>
      <c r="N40" s="632">
        <f t="shared" si="37"/>
        <v>0</v>
      </c>
    </row>
    <row r="41" spans="1:14" ht="31.5" customHeight="1" thickBot="1">
      <c r="A41" s="1514" t="s">
        <v>508</v>
      </c>
      <c r="B41" s="1514"/>
      <c r="C41" s="1514"/>
      <c r="D41" s="716"/>
      <c r="E41" s="717"/>
      <c r="F41" s="717"/>
      <c r="G41" s="717"/>
      <c r="H41" s="718"/>
      <c r="I41" s="716"/>
      <c r="J41" s="720">
        <f>SUM(J8:J40)</f>
        <v>9559220</v>
      </c>
      <c r="K41" s="720">
        <f t="shared" ref="K41:N41" si="40">SUM(K8:K40)</f>
        <v>9559220</v>
      </c>
      <c r="L41" s="720">
        <f t="shared" si="40"/>
        <v>0</v>
      </c>
      <c r="M41" s="720">
        <f t="shared" si="40"/>
        <v>0</v>
      </c>
      <c r="N41" s="720">
        <f t="shared" si="40"/>
        <v>0</v>
      </c>
    </row>
    <row r="44" spans="1:14" ht="30.95" customHeight="1">
      <c r="A44" s="817" t="s">
        <v>653</v>
      </c>
      <c r="B44" s="817"/>
      <c r="J44" s="735">
        <f>J10+J11+J12+J13+J16+J19+J20+J21+J22+J26+J28+J35+J36+J37</f>
        <v>5459220</v>
      </c>
      <c r="K44" s="735">
        <f t="shared" ref="K44:N44" si="41">K10+K11+K12+K13+K16+K19+K20+K21+K22+K26+K28+K35+K36+K37</f>
        <v>5459220</v>
      </c>
      <c r="L44" s="735">
        <f t="shared" si="41"/>
        <v>0</v>
      </c>
      <c r="M44" s="735">
        <f t="shared" si="41"/>
        <v>0</v>
      </c>
      <c r="N44" s="735">
        <f t="shared" si="41"/>
        <v>0</v>
      </c>
    </row>
    <row r="45" spans="1:14" ht="30.95" customHeight="1">
      <c r="A45" s="622" t="s">
        <v>655</v>
      </c>
      <c r="J45" s="735">
        <f>+J14+J15+J23+J24+J25+J29+J30+J31+J32+J33+J39+J40</f>
        <v>4100000</v>
      </c>
      <c r="K45" s="735">
        <f t="shared" ref="K45:N45" si="42">+K14+K15+K23+K24+K25+K29+K30+K31+K32+K33+K39+K40</f>
        <v>4100000</v>
      </c>
      <c r="L45" s="735">
        <f t="shared" si="42"/>
        <v>0</v>
      </c>
      <c r="M45" s="735">
        <f t="shared" si="42"/>
        <v>0</v>
      </c>
      <c r="N45" s="735">
        <f t="shared" si="42"/>
        <v>0</v>
      </c>
    </row>
    <row r="46" spans="1:14" ht="30.95" customHeight="1" thickBot="1">
      <c r="A46" s="622" t="s">
        <v>654</v>
      </c>
      <c r="J46" s="785">
        <f>SUM(J44:J45)</f>
        <v>9559220</v>
      </c>
      <c r="K46" s="785">
        <f t="shared" ref="K46:N46" si="43">SUM(K44:K45)</f>
        <v>9559220</v>
      </c>
      <c r="L46" s="785">
        <f t="shared" si="43"/>
        <v>0</v>
      </c>
      <c r="M46" s="785">
        <f t="shared" si="43"/>
        <v>0</v>
      </c>
      <c r="N46" s="785">
        <f t="shared" si="43"/>
        <v>0</v>
      </c>
    </row>
    <row r="47" spans="1:14" ht="13.5" thickTop="1"/>
  </sheetData>
  <mergeCells count="10">
    <mergeCell ref="A41:C41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E36">
    <cfRule type="expression" dxfId="2340" priority="3">
      <formula>H36="ERROR TOO MUCH"</formula>
    </cfRule>
  </conditionalFormatting>
  <conditionalFormatting sqref="H28">
    <cfRule type="containsText" dxfId="2339" priority="8" operator="containsText" text="ERROR">
      <formula>NOT(ISERROR(SEARCH("ERROR",H28)))</formula>
    </cfRule>
  </conditionalFormatting>
  <conditionalFormatting sqref="E28">
    <cfRule type="expression" dxfId="2338" priority="7">
      <formula>H28="ERROR TOO MUCH"</formula>
    </cfRule>
  </conditionalFormatting>
  <conditionalFormatting sqref="H35">
    <cfRule type="containsText" dxfId="2337" priority="6" operator="containsText" text="ERROR">
      <formula>NOT(ISERROR(SEARCH("ERROR",H35)))</formula>
    </cfRule>
  </conditionalFormatting>
  <conditionalFormatting sqref="E35">
    <cfRule type="expression" dxfId="2336" priority="5">
      <formula>H35="ERROR TOO MUCH"</formula>
    </cfRule>
  </conditionalFormatting>
  <conditionalFormatting sqref="H36">
    <cfRule type="containsText" dxfId="2335" priority="4" operator="containsText" text="ERROR">
      <formula>NOT(ISERROR(SEARCH("ERROR",H36)))</formula>
    </cfRule>
  </conditionalFormatting>
  <conditionalFormatting sqref="E37">
    <cfRule type="expression" dxfId="2334" priority="1">
      <formula>H37="ERROR TOO MUCH"</formula>
    </cfRule>
  </conditionalFormatting>
  <conditionalFormatting sqref="H37">
    <cfRule type="containsText" dxfId="2333" priority="2" operator="containsText" text="ERROR">
      <formula>NOT(ISERROR(SEARCH("ERROR",H37)))</formula>
    </cfRule>
  </conditionalFormatting>
  <dataValidations count="2">
    <dataValidation type="decimal" operator="lessThanOrEqual" allowBlank="1" showInputMessage="1" showErrorMessage="1" sqref="H28 H35:H37" xr:uid="{00000000-0002-0000-2200-000000000000}">
      <formula1>1</formula1>
    </dataValidation>
    <dataValidation type="decimal" operator="lessThanOrEqual" allowBlank="1" showInputMessage="1" showErrorMessage="1" error="LUMP SUM CANNOT EXCEED A VALUE OF 1" sqref="G28 G35" xr:uid="{E5CDBB0A-5B5D-4D20-B0F3-793841CE0C22}">
      <formula1>1</formula1>
    </dataValidation>
  </dataValidations>
  <pageMargins left="0" right="0" top="0.27559055118110237" bottom="0.15748031496062992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</headerFooter>
  <rowBreaks count="1" manualBreakCount="1"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44">
    <tabColor theme="9"/>
    <pageSetUpPr fitToPage="1"/>
  </sheetPr>
  <dimension ref="A1:N19"/>
  <sheetViews>
    <sheetView workbookViewId="0">
      <selection sqref="A1:H1"/>
    </sheetView>
  </sheetViews>
  <sheetFormatPr defaultRowHeight="12.75"/>
  <cols>
    <col min="1" max="1" width="9.28515625" style="622" bestFit="1" customWidth="1"/>
    <col min="2" max="2" width="36.85546875" style="622" customWidth="1"/>
    <col min="3" max="3" width="19.5703125" style="622" customWidth="1"/>
    <col min="4" max="8" width="11.7109375" style="622" customWidth="1"/>
    <col min="9" max="9" width="12.5703125" style="622" bestFit="1" customWidth="1"/>
    <col min="10" max="11" width="13" style="622" bestFit="1" customWidth="1"/>
    <col min="12" max="12" width="12.42578125" style="622" customWidth="1"/>
    <col min="13" max="13" width="11.42578125" style="622" bestFit="1" customWidth="1"/>
    <col min="14" max="14" width="11.85546875" style="622" bestFit="1" customWidth="1"/>
    <col min="15" max="257" width="9.140625" style="622"/>
    <col min="258" max="258" width="36.85546875" style="622" customWidth="1"/>
    <col min="259" max="259" width="9.140625" style="622"/>
    <col min="260" max="262" width="10.140625" style="622" customWidth="1"/>
    <col min="263" max="264" width="10.85546875" style="622" customWidth="1"/>
    <col min="265" max="265" width="9.140625" style="622"/>
    <col min="266" max="267" width="11.7109375" style="622" bestFit="1" customWidth="1"/>
    <col min="268" max="268" width="9.140625" style="622"/>
    <col min="269" max="269" width="10.85546875" style="622" customWidth="1"/>
    <col min="270" max="270" width="12.42578125" style="622" customWidth="1"/>
    <col min="271" max="513" width="9.140625" style="622"/>
    <col min="514" max="514" width="36.85546875" style="622" customWidth="1"/>
    <col min="515" max="515" width="9.140625" style="622"/>
    <col min="516" max="518" width="10.140625" style="622" customWidth="1"/>
    <col min="519" max="520" width="10.85546875" style="622" customWidth="1"/>
    <col min="521" max="521" width="9.140625" style="622"/>
    <col min="522" max="523" width="11.7109375" style="622" bestFit="1" customWidth="1"/>
    <col min="524" max="524" width="9.140625" style="622"/>
    <col min="525" max="525" width="10.85546875" style="622" customWidth="1"/>
    <col min="526" max="526" width="12.42578125" style="622" customWidth="1"/>
    <col min="527" max="769" width="9.140625" style="622"/>
    <col min="770" max="770" width="36.85546875" style="622" customWidth="1"/>
    <col min="771" max="771" width="9.140625" style="622"/>
    <col min="772" max="774" width="10.140625" style="622" customWidth="1"/>
    <col min="775" max="776" width="10.85546875" style="622" customWidth="1"/>
    <col min="777" max="777" width="9.140625" style="622"/>
    <col min="778" max="779" width="11.7109375" style="622" bestFit="1" customWidth="1"/>
    <col min="780" max="780" width="9.140625" style="622"/>
    <col min="781" max="781" width="10.85546875" style="622" customWidth="1"/>
    <col min="782" max="782" width="12.42578125" style="622" customWidth="1"/>
    <col min="783" max="1025" width="9.140625" style="622"/>
    <col min="1026" max="1026" width="36.85546875" style="622" customWidth="1"/>
    <col min="1027" max="1027" width="9.140625" style="622"/>
    <col min="1028" max="1030" width="10.140625" style="622" customWidth="1"/>
    <col min="1031" max="1032" width="10.85546875" style="622" customWidth="1"/>
    <col min="1033" max="1033" width="9.140625" style="622"/>
    <col min="1034" max="1035" width="11.7109375" style="622" bestFit="1" customWidth="1"/>
    <col min="1036" max="1036" width="9.140625" style="622"/>
    <col min="1037" max="1037" width="10.85546875" style="622" customWidth="1"/>
    <col min="1038" max="1038" width="12.42578125" style="622" customWidth="1"/>
    <col min="1039" max="1281" width="9.140625" style="622"/>
    <col min="1282" max="1282" width="36.85546875" style="622" customWidth="1"/>
    <col min="1283" max="1283" width="9.140625" style="622"/>
    <col min="1284" max="1286" width="10.140625" style="622" customWidth="1"/>
    <col min="1287" max="1288" width="10.85546875" style="622" customWidth="1"/>
    <col min="1289" max="1289" width="9.140625" style="622"/>
    <col min="1290" max="1291" width="11.7109375" style="622" bestFit="1" customWidth="1"/>
    <col min="1292" max="1292" width="9.140625" style="622"/>
    <col min="1293" max="1293" width="10.85546875" style="622" customWidth="1"/>
    <col min="1294" max="1294" width="12.42578125" style="622" customWidth="1"/>
    <col min="1295" max="1537" width="9.140625" style="622"/>
    <col min="1538" max="1538" width="36.85546875" style="622" customWidth="1"/>
    <col min="1539" max="1539" width="9.140625" style="622"/>
    <col min="1540" max="1542" width="10.140625" style="622" customWidth="1"/>
    <col min="1543" max="1544" width="10.85546875" style="622" customWidth="1"/>
    <col min="1545" max="1545" width="9.140625" style="622"/>
    <col min="1546" max="1547" width="11.7109375" style="622" bestFit="1" customWidth="1"/>
    <col min="1548" max="1548" width="9.140625" style="622"/>
    <col min="1549" max="1549" width="10.85546875" style="622" customWidth="1"/>
    <col min="1550" max="1550" width="12.42578125" style="622" customWidth="1"/>
    <col min="1551" max="1793" width="9.140625" style="622"/>
    <col min="1794" max="1794" width="36.85546875" style="622" customWidth="1"/>
    <col min="1795" max="1795" width="9.140625" style="622"/>
    <col min="1796" max="1798" width="10.140625" style="622" customWidth="1"/>
    <col min="1799" max="1800" width="10.85546875" style="622" customWidth="1"/>
    <col min="1801" max="1801" width="9.140625" style="622"/>
    <col min="1802" max="1803" width="11.7109375" style="622" bestFit="1" customWidth="1"/>
    <col min="1804" max="1804" width="9.140625" style="622"/>
    <col min="1805" max="1805" width="10.85546875" style="622" customWidth="1"/>
    <col min="1806" max="1806" width="12.42578125" style="622" customWidth="1"/>
    <col min="1807" max="2049" width="9.140625" style="622"/>
    <col min="2050" max="2050" width="36.85546875" style="622" customWidth="1"/>
    <col min="2051" max="2051" width="9.140625" style="622"/>
    <col min="2052" max="2054" width="10.140625" style="622" customWidth="1"/>
    <col min="2055" max="2056" width="10.85546875" style="622" customWidth="1"/>
    <col min="2057" max="2057" width="9.140625" style="622"/>
    <col min="2058" max="2059" width="11.7109375" style="622" bestFit="1" customWidth="1"/>
    <col min="2060" max="2060" width="9.140625" style="622"/>
    <col min="2061" max="2061" width="10.85546875" style="622" customWidth="1"/>
    <col min="2062" max="2062" width="12.42578125" style="622" customWidth="1"/>
    <col min="2063" max="2305" width="9.140625" style="622"/>
    <col min="2306" max="2306" width="36.85546875" style="622" customWidth="1"/>
    <col min="2307" max="2307" width="9.140625" style="622"/>
    <col min="2308" max="2310" width="10.140625" style="622" customWidth="1"/>
    <col min="2311" max="2312" width="10.85546875" style="622" customWidth="1"/>
    <col min="2313" max="2313" width="9.140625" style="622"/>
    <col min="2314" max="2315" width="11.7109375" style="622" bestFit="1" customWidth="1"/>
    <col min="2316" max="2316" width="9.140625" style="622"/>
    <col min="2317" max="2317" width="10.85546875" style="622" customWidth="1"/>
    <col min="2318" max="2318" width="12.42578125" style="622" customWidth="1"/>
    <col min="2319" max="2561" width="9.140625" style="622"/>
    <col min="2562" max="2562" width="36.85546875" style="622" customWidth="1"/>
    <col min="2563" max="2563" width="9.140625" style="622"/>
    <col min="2564" max="2566" width="10.140625" style="622" customWidth="1"/>
    <col min="2567" max="2568" width="10.85546875" style="622" customWidth="1"/>
    <col min="2569" max="2569" width="9.140625" style="622"/>
    <col min="2570" max="2571" width="11.7109375" style="622" bestFit="1" customWidth="1"/>
    <col min="2572" max="2572" width="9.140625" style="622"/>
    <col min="2573" max="2573" width="10.85546875" style="622" customWidth="1"/>
    <col min="2574" max="2574" width="12.42578125" style="622" customWidth="1"/>
    <col min="2575" max="2817" width="9.140625" style="622"/>
    <col min="2818" max="2818" width="36.85546875" style="622" customWidth="1"/>
    <col min="2819" max="2819" width="9.140625" style="622"/>
    <col min="2820" max="2822" width="10.140625" style="622" customWidth="1"/>
    <col min="2823" max="2824" width="10.85546875" style="622" customWidth="1"/>
    <col min="2825" max="2825" width="9.140625" style="622"/>
    <col min="2826" max="2827" width="11.7109375" style="622" bestFit="1" customWidth="1"/>
    <col min="2828" max="2828" width="9.140625" style="622"/>
    <col min="2829" max="2829" width="10.85546875" style="622" customWidth="1"/>
    <col min="2830" max="2830" width="12.42578125" style="622" customWidth="1"/>
    <col min="2831" max="3073" width="9.140625" style="622"/>
    <col min="3074" max="3074" width="36.85546875" style="622" customWidth="1"/>
    <col min="3075" max="3075" width="9.140625" style="622"/>
    <col min="3076" max="3078" width="10.140625" style="622" customWidth="1"/>
    <col min="3079" max="3080" width="10.85546875" style="622" customWidth="1"/>
    <col min="3081" max="3081" width="9.140625" style="622"/>
    <col min="3082" max="3083" width="11.7109375" style="622" bestFit="1" customWidth="1"/>
    <col min="3084" max="3084" width="9.140625" style="622"/>
    <col min="3085" max="3085" width="10.85546875" style="622" customWidth="1"/>
    <col min="3086" max="3086" width="12.42578125" style="622" customWidth="1"/>
    <col min="3087" max="3329" width="9.140625" style="622"/>
    <col min="3330" max="3330" width="36.85546875" style="622" customWidth="1"/>
    <col min="3331" max="3331" width="9.140625" style="622"/>
    <col min="3332" max="3334" width="10.140625" style="622" customWidth="1"/>
    <col min="3335" max="3336" width="10.85546875" style="622" customWidth="1"/>
    <col min="3337" max="3337" width="9.140625" style="622"/>
    <col min="3338" max="3339" width="11.7109375" style="622" bestFit="1" customWidth="1"/>
    <col min="3340" max="3340" width="9.140625" style="622"/>
    <col min="3341" max="3341" width="10.85546875" style="622" customWidth="1"/>
    <col min="3342" max="3342" width="12.42578125" style="622" customWidth="1"/>
    <col min="3343" max="3585" width="9.140625" style="622"/>
    <col min="3586" max="3586" width="36.85546875" style="622" customWidth="1"/>
    <col min="3587" max="3587" width="9.140625" style="622"/>
    <col min="3588" max="3590" width="10.140625" style="622" customWidth="1"/>
    <col min="3591" max="3592" width="10.85546875" style="622" customWidth="1"/>
    <col min="3593" max="3593" width="9.140625" style="622"/>
    <col min="3594" max="3595" width="11.7109375" style="622" bestFit="1" customWidth="1"/>
    <col min="3596" max="3596" width="9.140625" style="622"/>
    <col min="3597" max="3597" width="10.85546875" style="622" customWidth="1"/>
    <col min="3598" max="3598" width="12.42578125" style="622" customWidth="1"/>
    <col min="3599" max="3841" width="9.140625" style="622"/>
    <col min="3842" max="3842" width="36.85546875" style="622" customWidth="1"/>
    <col min="3843" max="3843" width="9.140625" style="622"/>
    <col min="3844" max="3846" width="10.140625" style="622" customWidth="1"/>
    <col min="3847" max="3848" width="10.85546875" style="622" customWidth="1"/>
    <col min="3849" max="3849" width="9.140625" style="622"/>
    <col min="3850" max="3851" width="11.7109375" style="622" bestFit="1" customWidth="1"/>
    <col min="3852" max="3852" width="9.140625" style="622"/>
    <col min="3853" max="3853" width="10.85546875" style="622" customWidth="1"/>
    <col min="3854" max="3854" width="12.42578125" style="622" customWidth="1"/>
    <col min="3855" max="4097" width="9.140625" style="622"/>
    <col min="4098" max="4098" width="36.85546875" style="622" customWidth="1"/>
    <col min="4099" max="4099" width="9.140625" style="622"/>
    <col min="4100" max="4102" width="10.140625" style="622" customWidth="1"/>
    <col min="4103" max="4104" width="10.85546875" style="622" customWidth="1"/>
    <col min="4105" max="4105" width="9.140625" style="622"/>
    <col min="4106" max="4107" width="11.7109375" style="622" bestFit="1" customWidth="1"/>
    <col min="4108" max="4108" width="9.140625" style="622"/>
    <col min="4109" max="4109" width="10.85546875" style="622" customWidth="1"/>
    <col min="4110" max="4110" width="12.42578125" style="622" customWidth="1"/>
    <col min="4111" max="4353" width="9.140625" style="622"/>
    <col min="4354" max="4354" width="36.85546875" style="622" customWidth="1"/>
    <col min="4355" max="4355" width="9.140625" style="622"/>
    <col min="4356" max="4358" width="10.140625" style="622" customWidth="1"/>
    <col min="4359" max="4360" width="10.85546875" style="622" customWidth="1"/>
    <col min="4361" max="4361" width="9.140625" style="622"/>
    <col min="4362" max="4363" width="11.7109375" style="622" bestFit="1" customWidth="1"/>
    <col min="4364" max="4364" width="9.140625" style="622"/>
    <col min="4365" max="4365" width="10.85546875" style="622" customWidth="1"/>
    <col min="4366" max="4366" width="12.42578125" style="622" customWidth="1"/>
    <col min="4367" max="4609" width="9.140625" style="622"/>
    <col min="4610" max="4610" width="36.85546875" style="622" customWidth="1"/>
    <col min="4611" max="4611" width="9.140625" style="622"/>
    <col min="4612" max="4614" width="10.140625" style="622" customWidth="1"/>
    <col min="4615" max="4616" width="10.85546875" style="622" customWidth="1"/>
    <col min="4617" max="4617" width="9.140625" style="622"/>
    <col min="4618" max="4619" width="11.7109375" style="622" bestFit="1" customWidth="1"/>
    <col min="4620" max="4620" width="9.140625" style="622"/>
    <col min="4621" max="4621" width="10.85546875" style="622" customWidth="1"/>
    <col min="4622" max="4622" width="12.42578125" style="622" customWidth="1"/>
    <col min="4623" max="4865" width="9.140625" style="622"/>
    <col min="4866" max="4866" width="36.85546875" style="622" customWidth="1"/>
    <col min="4867" max="4867" width="9.140625" style="622"/>
    <col min="4868" max="4870" width="10.140625" style="622" customWidth="1"/>
    <col min="4871" max="4872" width="10.85546875" style="622" customWidth="1"/>
    <col min="4873" max="4873" width="9.140625" style="622"/>
    <col min="4874" max="4875" width="11.7109375" style="622" bestFit="1" customWidth="1"/>
    <col min="4876" max="4876" width="9.140625" style="622"/>
    <col min="4877" max="4877" width="10.85546875" style="622" customWidth="1"/>
    <col min="4878" max="4878" width="12.42578125" style="622" customWidth="1"/>
    <col min="4879" max="5121" width="9.140625" style="622"/>
    <col min="5122" max="5122" width="36.85546875" style="622" customWidth="1"/>
    <col min="5123" max="5123" width="9.140625" style="622"/>
    <col min="5124" max="5126" width="10.140625" style="622" customWidth="1"/>
    <col min="5127" max="5128" width="10.85546875" style="622" customWidth="1"/>
    <col min="5129" max="5129" width="9.140625" style="622"/>
    <col min="5130" max="5131" width="11.7109375" style="622" bestFit="1" customWidth="1"/>
    <col min="5132" max="5132" width="9.140625" style="622"/>
    <col min="5133" max="5133" width="10.85546875" style="622" customWidth="1"/>
    <col min="5134" max="5134" width="12.42578125" style="622" customWidth="1"/>
    <col min="5135" max="5377" width="9.140625" style="622"/>
    <col min="5378" max="5378" width="36.85546875" style="622" customWidth="1"/>
    <col min="5379" max="5379" width="9.140625" style="622"/>
    <col min="5380" max="5382" width="10.140625" style="622" customWidth="1"/>
    <col min="5383" max="5384" width="10.85546875" style="622" customWidth="1"/>
    <col min="5385" max="5385" width="9.140625" style="622"/>
    <col min="5386" max="5387" width="11.7109375" style="622" bestFit="1" customWidth="1"/>
    <col min="5388" max="5388" width="9.140625" style="622"/>
    <col min="5389" max="5389" width="10.85546875" style="622" customWidth="1"/>
    <col min="5390" max="5390" width="12.42578125" style="622" customWidth="1"/>
    <col min="5391" max="5633" width="9.140625" style="622"/>
    <col min="5634" max="5634" width="36.85546875" style="622" customWidth="1"/>
    <col min="5635" max="5635" width="9.140625" style="622"/>
    <col min="5636" max="5638" width="10.140625" style="622" customWidth="1"/>
    <col min="5639" max="5640" width="10.85546875" style="622" customWidth="1"/>
    <col min="5641" max="5641" width="9.140625" style="622"/>
    <col min="5642" max="5643" width="11.7109375" style="622" bestFit="1" customWidth="1"/>
    <col min="5644" max="5644" width="9.140625" style="622"/>
    <col min="5645" max="5645" width="10.85546875" style="622" customWidth="1"/>
    <col min="5646" max="5646" width="12.42578125" style="622" customWidth="1"/>
    <col min="5647" max="5889" width="9.140625" style="622"/>
    <col min="5890" max="5890" width="36.85546875" style="622" customWidth="1"/>
    <col min="5891" max="5891" width="9.140625" style="622"/>
    <col min="5892" max="5894" width="10.140625" style="622" customWidth="1"/>
    <col min="5895" max="5896" width="10.85546875" style="622" customWidth="1"/>
    <col min="5897" max="5897" width="9.140625" style="622"/>
    <col min="5898" max="5899" width="11.7109375" style="622" bestFit="1" customWidth="1"/>
    <col min="5900" max="5900" width="9.140625" style="622"/>
    <col min="5901" max="5901" width="10.85546875" style="622" customWidth="1"/>
    <col min="5902" max="5902" width="12.42578125" style="622" customWidth="1"/>
    <col min="5903" max="6145" width="9.140625" style="622"/>
    <col min="6146" max="6146" width="36.85546875" style="622" customWidth="1"/>
    <col min="6147" max="6147" width="9.140625" style="622"/>
    <col min="6148" max="6150" width="10.140625" style="622" customWidth="1"/>
    <col min="6151" max="6152" width="10.85546875" style="622" customWidth="1"/>
    <col min="6153" max="6153" width="9.140625" style="622"/>
    <col min="6154" max="6155" width="11.7109375" style="622" bestFit="1" customWidth="1"/>
    <col min="6156" max="6156" width="9.140625" style="622"/>
    <col min="6157" max="6157" width="10.85546875" style="622" customWidth="1"/>
    <col min="6158" max="6158" width="12.42578125" style="622" customWidth="1"/>
    <col min="6159" max="6401" width="9.140625" style="622"/>
    <col min="6402" max="6402" width="36.85546875" style="622" customWidth="1"/>
    <col min="6403" max="6403" width="9.140625" style="622"/>
    <col min="6404" max="6406" width="10.140625" style="622" customWidth="1"/>
    <col min="6407" max="6408" width="10.85546875" style="622" customWidth="1"/>
    <col min="6409" max="6409" width="9.140625" style="622"/>
    <col min="6410" max="6411" width="11.7109375" style="622" bestFit="1" customWidth="1"/>
    <col min="6412" max="6412" width="9.140625" style="622"/>
    <col min="6413" max="6413" width="10.85546875" style="622" customWidth="1"/>
    <col min="6414" max="6414" width="12.42578125" style="622" customWidth="1"/>
    <col min="6415" max="6657" width="9.140625" style="622"/>
    <col min="6658" max="6658" width="36.85546875" style="622" customWidth="1"/>
    <col min="6659" max="6659" width="9.140625" style="622"/>
    <col min="6660" max="6662" width="10.140625" style="622" customWidth="1"/>
    <col min="6663" max="6664" width="10.85546875" style="622" customWidth="1"/>
    <col min="6665" max="6665" width="9.140625" style="622"/>
    <col min="6666" max="6667" width="11.7109375" style="622" bestFit="1" customWidth="1"/>
    <col min="6668" max="6668" width="9.140625" style="622"/>
    <col min="6669" max="6669" width="10.85546875" style="622" customWidth="1"/>
    <col min="6670" max="6670" width="12.42578125" style="622" customWidth="1"/>
    <col min="6671" max="6913" width="9.140625" style="622"/>
    <col min="6914" max="6914" width="36.85546875" style="622" customWidth="1"/>
    <col min="6915" max="6915" width="9.140625" style="622"/>
    <col min="6916" max="6918" width="10.140625" style="622" customWidth="1"/>
    <col min="6919" max="6920" width="10.85546875" style="622" customWidth="1"/>
    <col min="6921" max="6921" width="9.140625" style="622"/>
    <col min="6922" max="6923" width="11.7109375" style="622" bestFit="1" customWidth="1"/>
    <col min="6924" max="6924" width="9.140625" style="622"/>
    <col min="6925" max="6925" width="10.85546875" style="622" customWidth="1"/>
    <col min="6926" max="6926" width="12.42578125" style="622" customWidth="1"/>
    <col min="6927" max="7169" width="9.140625" style="622"/>
    <col min="7170" max="7170" width="36.85546875" style="622" customWidth="1"/>
    <col min="7171" max="7171" width="9.140625" style="622"/>
    <col min="7172" max="7174" width="10.140625" style="622" customWidth="1"/>
    <col min="7175" max="7176" width="10.85546875" style="622" customWidth="1"/>
    <col min="7177" max="7177" width="9.140625" style="622"/>
    <col min="7178" max="7179" width="11.7109375" style="622" bestFit="1" customWidth="1"/>
    <col min="7180" max="7180" width="9.140625" style="622"/>
    <col min="7181" max="7181" width="10.85546875" style="622" customWidth="1"/>
    <col min="7182" max="7182" width="12.42578125" style="622" customWidth="1"/>
    <col min="7183" max="7425" width="9.140625" style="622"/>
    <col min="7426" max="7426" width="36.85546875" style="622" customWidth="1"/>
    <col min="7427" max="7427" width="9.140625" style="622"/>
    <col min="7428" max="7430" width="10.140625" style="622" customWidth="1"/>
    <col min="7431" max="7432" width="10.85546875" style="622" customWidth="1"/>
    <col min="7433" max="7433" width="9.140625" style="622"/>
    <col min="7434" max="7435" width="11.7109375" style="622" bestFit="1" customWidth="1"/>
    <col min="7436" max="7436" width="9.140625" style="622"/>
    <col min="7437" max="7437" width="10.85546875" style="622" customWidth="1"/>
    <col min="7438" max="7438" width="12.42578125" style="622" customWidth="1"/>
    <col min="7439" max="7681" width="9.140625" style="622"/>
    <col min="7682" max="7682" width="36.85546875" style="622" customWidth="1"/>
    <col min="7683" max="7683" width="9.140625" style="622"/>
    <col min="7684" max="7686" width="10.140625" style="622" customWidth="1"/>
    <col min="7687" max="7688" width="10.85546875" style="622" customWidth="1"/>
    <col min="7689" max="7689" width="9.140625" style="622"/>
    <col min="7690" max="7691" width="11.7109375" style="622" bestFit="1" customWidth="1"/>
    <col min="7692" max="7692" width="9.140625" style="622"/>
    <col min="7693" max="7693" width="10.85546875" style="622" customWidth="1"/>
    <col min="7694" max="7694" width="12.42578125" style="622" customWidth="1"/>
    <col min="7695" max="7937" width="9.140625" style="622"/>
    <col min="7938" max="7938" width="36.85546875" style="622" customWidth="1"/>
    <col min="7939" max="7939" width="9.140625" style="622"/>
    <col min="7940" max="7942" width="10.140625" style="622" customWidth="1"/>
    <col min="7943" max="7944" width="10.85546875" style="622" customWidth="1"/>
    <col min="7945" max="7945" width="9.140625" style="622"/>
    <col min="7946" max="7947" width="11.7109375" style="622" bestFit="1" customWidth="1"/>
    <col min="7948" max="7948" width="9.140625" style="622"/>
    <col min="7949" max="7949" width="10.85546875" style="622" customWidth="1"/>
    <col min="7950" max="7950" width="12.42578125" style="622" customWidth="1"/>
    <col min="7951" max="8193" width="9.140625" style="622"/>
    <col min="8194" max="8194" width="36.85546875" style="622" customWidth="1"/>
    <col min="8195" max="8195" width="9.140625" style="622"/>
    <col min="8196" max="8198" width="10.140625" style="622" customWidth="1"/>
    <col min="8199" max="8200" width="10.85546875" style="622" customWidth="1"/>
    <col min="8201" max="8201" width="9.140625" style="622"/>
    <col min="8202" max="8203" width="11.7109375" style="622" bestFit="1" customWidth="1"/>
    <col min="8204" max="8204" width="9.140625" style="622"/>
    <col min="8205" max="8205" width="10.85546875" style="622" customWidth="1"/>
    <col min="8206" max="8206" width="12.42578125" style="622" customWidth="1"/>
    <col min="8207" max="8449" width="9.140625" style="622"/>
    <col min="8450" max="8450" width="36.85546875" style="622" customWidth="1"/>
    <col min="8451" max="8451" width="9.140625" style="622"/>
    <col min="8452" max="8454" width="10.140625" style="622" customWidth="1"/>
    <col min="8455" max="8456" width="10.85546875" style="622" customWidth="1"/>
    <col min="8457" max="8457" width="9.140625" style="622"/>
    <col min="8458" max="8459" width="11.7109375" style="622" bestFit="1" customWidth="1"/>
    <col min="8460" max="8460" width="9.140625" style="622"/>
    <col min="8461" max="8461" width="10.85546875" style="622" customWidth="1"/>
    <col min="8462" max="8462" width="12.42578125" style="622" customWidth="1"/>
    <col min="8463" max="8705" width="9.140625" style="622"/>
    <col min="8706" max="8706" width="36.85546875" style="622" customWidth="1"/>
    <col min="8707" max="8707" width="9.140625" style="622"/>
    <col min="8708" max="8710" width="10.140625" style="622" customWidth="1"/>
    <col min="8711" max="8712" width="10.85546875" style="622" customWidth="1"/>
    <col min="8713" max="8713" width="9.140625" style="622"/>
    <col min="8714" max="8715" width="11.7109375" style="622" bestFit="1" customWidth="1"/>
    <col min="8716" max="8716" width="9.140625" style="622"/>
    <col min="8717" max="8717" width="10.85546875" style="622" customWidth="1"/>
    <col min="8718" max="8718" width="12.42578125" style="622" customWidth="1"/>
    <col min="8719" max="8961" width="9.140625" style="622"/>
    <col min="8962" max="8962" width="36.85546875" style="622" customWidth="1"/>
    <col min="8963" max="8963" width="9.140625" style="622"/>
    <col min="8964" max="8966" width="10.140625" style="622" customWidth="1"/>
    <col min="8967" max="8968" width="10.85546875" style="622" customWidth="1"/>
    <col min="8969" max="8969" width="9.140625" style="622"/>
    <col min="8970" max="8971" width="11.7109375" style="622" bestFit="1" customWidth="1"/>
    <col min="8972" max="8972" width="9.140625" style="622"/>
    <col min="8973" max="8973" width="10.85546875" style="622" customWidth="1"/>
    <col min="8974" max="8974" width="12.42578125" style="622" customWidth="1"/>
    <col min="8975" max="9217" width="9.140625" style="622"/>
    <col min="9218" max="9218" width="36.85546875" style="622" customWidth="1"/>
    <col min="9219" max="9219" width="9.140625" style="622"/>
    <col min="9220" max="9222" width="10.140625" style="622" customWidth="1"/>
    <col min="9223" max="9224" width="10.85546875" style="622" customWidth="1"/>
    <col min="9225" max="9225" width="9.140625" style="622"/>
    <col min="9226" max="9227" width="11.7109375" style="622" bestFit="1" customWidth="1"/>
    <col min="9228" max="9228" width="9.140625" style="622"/>
    <col min="9229" max="9229" width="10.85546875" style="622" customWidth="1"/>
    <col min="9230" max="9230" width="12.42578125" style="622" customWidth="1"/>
    <col min="9231" max="9473" width="9.140625" style="622"/>
    <col min="9474" max="9474" width="36.85546875" style="622" customWidth="1"/>
    <col min="9475" max="9475" width="9.140625" style="622"/>
    <col min="9476" max="9478" width="10.140625" style="622" customWidth="1"/>
    <col min="9479" max="9480" width="10.85546875" style="622" customWidth="1"/>
    <col min="9481" max="9481" width="9.140625" style="622"/>
    <col min="9482" max="9483" width="11.7109375" style="622" bestFit="1" customWidth="1"/>
    <col min="9484" max="9484" width="9.140625" style="622"/>
    <col min="9485" max="9485" width="10.85546875" style="622" customWidth="1"/>
    <col min="9486" max="9486" width="12.42578125" style="622" customWidth="1"/>
    <col min="9487" max="9729" width="9.140625" style="622"/>
    <col min="9730" max="9730" width="36.85546875" style="622" customWidth="1"/>
    <col min="9731" max="9731" width="9.140625" style="622"/>
    <col min="9732" max="9734" width="10.140625" style="622" customWidth="1"/>
    <col min="9735" max="9736" width="10.85546875" style="622" customWidth="1"/>
    <col min="9737" max="9737" width="9.140625" style="622"/>
    <col min="9738" max="9739" width="11.7109375" style="622" bestFit="1" customWidth="1"/>
    <col min="9740" max="9740" width="9.140625" style="622"/>
    <col min="9741" max="9741" width="10.85546875" style="622" customWidth="1"/>
    <col min="9742" max="9742" width="12.42578125" style="622" customWidth="1"/>
    <col min="9743" max="9985" width="9.140625" style="622"/>
    <col min="9986" max="9986" width="36.85546875" style="622" customWidth="1"/>
    <col min="9987" max="9987" width="9.140625" style="622"/>
    <col min="9988" max="9990" width="10.140625" style="622" customWidth="1"/>
    <col min="9991" max="9992" width="10.85546875" style="622" customWidth="1"/>
    <col min="9993" max="9993" width="9.140625" style="622"/>
    <col min="9994" max="9995" width="11.7109375" style="622" bestFit="1" customWidth="1"/>
    <col min="9996" max="9996" width="9.140625" style="622"/>
    <col min="9997" max="9997" width="10.85546875" style="622" customWidth="1"/>
    <col min="9998" max="9998" width="12.42578125" style="622" customWidth="1"/>
    <col min="9999" max="10241" width="9.140625" style="622"/>
    <col min="10242" max="10242" width="36.85546875" style="622" customWidth="1"/>
    <col min="10243" max="10243" width="9.140625" style="622"/>
    <col min="10244" max="10246" width="10.140625" style="622" customWidth="1"/>
    <col min="10247" max="10248" width="10.85546875" style="622" customWidth="1"/>
    <col min="10249" max="10249" width="9.140625" style="622"/>
    <col min="10250" max="10251" width="11.7109375" style="622" bestFit="1" customWidth="1"/>
    <col min="10252" max="10252" width="9.140625" style="622"/>
    <col min="10253" max="10253" width="10.85546875" style="622" customWidth="1"/>
    <col min="10254" max="10254" width="12.42578125" style="622" customWidth="1"/>
    <col min="10255" max="10497" width="9.140625" style="622"/>
    <col min="10498" max="10498" width="36.85546875" style="622" customWidth="1"/>
    <col min="10499" max="10499" width="9.140625" style="622"/>
    <col min="10500" max="10502" width="10.140625" style="622" customWidth="1"/>
    <col min="10503" max="10504" width="10.85546875" style="622" customWidth="1"/>
    <col min="10505" max="10505" width="9.140625" style="622"/>
    <col min="10506" max="10507" width="11.7109375" style="622" bestFit="1" customWidth="1"/>
    <col min="10508" max="10508" width="9.140625" style="622"/>
    <col min="10509" max="10509" width="10.85546875" style="622" customWidth="1"/>
    <col min="10510" max="10510" width="12.42578125" style="622" customWidth="1"/>
    <col min="10511" max="10753" width="9.140625" style="622"/>
    <col min="10754" max="10754" width="36.85546875" style="622" customWidth="1"/>
    <col min="10755" max="10755" width="9.140625" style="622"/>
    <col min="10756" max="10758" width="10.140625" style="622" customWidth="1"/>
    <col min="10759" max="10760" width="10.85546875" style="622" customWidth="1"/>
    <col min="10761" max="10761" width="9.140625" style="622"/>
    <col min="10762" max="10763" width="11.7109375" style="622" bestFit="1" customWidth="1"/>
    <col min="10764" max="10764" width="9.140625" style="622"/>
    <col min="10765" max="10765" width="10.85546875" style="622" customWidth="1"/>
    <col min="10766" max="10766" width="12.42578125" style="622" customWidth="1"/>
    <col min="10767" max="11009" width="9.140625" style="622"/>
    <col min="11010" max="11010" width="36.85546875" style="622" customWidth="1"/>
    <col min="11011" max="11011" width="9.140625" style="622"/>
    <col min="11012" max="11014" width="10.140625" style="622" customWidth="1"/>
    <col min="11015" max="11016" width="10.85546875" style="622" customWidth="1"/>
    <col min="11017" max="11017" width="9.140625" style="622"/>
    <col min="11018" max="11019" width="11.7109375" style="622" bestFit="1" customWidth="1"/>
    <col min="11020" max="11020" width="9.140625" style="622"/>
    <col min="11021" max="11021" width="10.85546875" style="622" customWidth="1"/>
    <col min="11022" max="11022" width="12.42578125" style="622" customWidth="1"/>
    <col min="11023" max="11265" width="9.140625" style="622"/>
    <col min="11266" max="11266" width="36.85546875" style="622" customWidth="1"/>
    <col min="11267" max="11267" width="9.140625" style="622"/>
    <col min="11268" max="11270" width="10.140625" style="622" customWidth="1"/>
    <col min="11271" max="11272" width="10.85546875" style="622" customWidth="1"/>
    <col min="11273" max="11273" width="9.140625" style="622"/>
    <col min="11274" max="11275" width="11.7109375" style="622" bestFit="1" customWidth="1"/>
    <col min="11276" max="11276" width="9.140625" style="622"/>
    <col min="11277" max="11277" width="10.85546875" style="622" customWidth="1"/>
    <col min="11278" max="11278" width="12.42578125" style="622" customWidth="1"/>
    <col min="11279" max="11521" width="9.140625" style="622"/>
    <col min="11522" max="11522" width="36.85546875" style="622" customWidth="1"/>
    <col min="11523" max="11523" width="9.140625" style="622"/>
    <col min="11524" max="11526" width="10.140625" style="622" customWidth="1"/>
    <col min="11527" max="11528" width="10.85546875" style="622" customWidth="1"/>
    <col min="11529" max="11529" width="9.140625" style="622"/>
    <col min="11530" max="11531" width="11.7109375" style="622" bestFit="1" customWidth="1"/>
    <col min="11532" max="11532" width="9.140625" style="622"/>
    <col min="11533" max="11533" width="10.85546875" style="622" customWidth="1"/>
    <col min="11534" max="11534" width="12.42578125" style="622" customWidth="1"/>
    <col min="11535" max="11777" width="9.140625" style="622"/>
    <col min="11778" max="11778" width="36.85546875" style="622" customWidth="1"/>
    <col min="11779" max="11779" width="9.140625" style="622"/>
    <col min="11780" max="11782" width="10.140625" style="622" customWidth="1"/>
    <col min="11783" max="11784" width="10.85546875" style="622" customWidth="1"/>
    <col min="11785" max="11785" width="9.140625" style="622"/>
    <col min="11786" max="11787" width="11.7109375" style="622" bestFit="1" customWidth="1"/>
    <col min="11788" max="11788" width="9.140625" style="622"/>
    <col min="11789" max="11789" width="10.85546875" style="622" customWidth="1"/>
    <col min="11790" max="11790" width="12.42578125" style="622" customWidth="1"/>
    <col min="11791" max="12033" width="9.140625" style="622"/>
    <col min="12034" max="12034" width="36.85546875" style="622" customWidth="1"/>
    <col min="12035" max="12035" width="9.140625" style="622"/>
    <col min="12036" max="12038" width="10.140625" style="622" customWidth="1"/>
    <col min="12039" max="12040" width="10.85546875" style="622" customWidth="1"/>
    <col min="12041" max="12041" width="9.140625" style="622"/>
    <col min="12042" max="12043" width="11.7109375" style="622" bestFit="1" customWidth="1"/>
    <col min="12044" max="12044" width="9.140625" style="622"/>
    <col min="12045" max="12045" width="10.85546875" style="622" customWidth="1"/>
    <col min="12046" max="12046" width="12.42578125" style="622" customWidth="1"/>
    <col min="12047" max="12289" width="9.140625" style="622"/>
    <col min="12290" max="12290" width="36.85546875" style="622" customWidth="1"/>
    <col min="12291" max="12291" width="9.140625" style="622"/>
    <col min="12292" max="12294" width="10.140625" style="622" customWidth="1"/>
    <col min="12295" max="12296" width="10.85546875" style="622" customWidth="1"/>
    <col min="12297" max="12297" width="9.140625" style="622"/>
    <col min="12298" max="12299" width="11.7109375" style="622" bestFit="1" customWidth="1"/>
    <col min="12300" max="12300" width="9.140625" style="622"/>
    <col min="12301" max="12301" width="10.85546875" style="622" customWidth="1"/>
    <col min="12302" max="12302" width="12.42578125" style="622" customWidth="1"/>
    <col min="12303" max="12545" width="9.140625" style="622"/>
    <col min="12546" max="12546" width="36.85546875" style="622" customWidth="1"/>
    <col min="12547" max="12547" width="9.140625" style="622"/>
    <col min="12548" max="12550" width="10.140625" style="622" customWidth="1"/>
    <col min="12551" max="12552" width="10.85546875" style="622" customWidth="1"/>
    <col min="12553" max="12553" width="9.140625" style="622"/>
    <col min="12554" max="12555" width="11.7109375" style="622" bestFit="1" customWidth="1"/>
    <col min="12556" max="12556" width="9.140625" style="622"/>
    <col min="12557" max="12557" width="10.85546875" style="622" customWidth="1"/>
    <col min="12558" max="12558" width="12.42578125" style="622" customWidth="1"/>
    <col min="12559" max="12801" width="9.140625" style="622"/>
    <col min="12802" max="12802" width="36.85546875" style="622" customWidth="1"/>
    <col min="12803" max="12803" width="9.140625" style="622"/>
    <col min="12804" max="12806" width="10.140625" style="622" customWidth="1"/>
    <col min="12807" max="12808" width="10.85546875" style="622" customWidth="1"/>
    <col min="12809" max="12809" width="9.140625" style="622"/>
    <col min="12810" max="12811" width="11.7109375" style="622" bestFit="1" customWidth="1"/>
    <col min="12812" max="12812" width="9.140625" style="622"/>
    <col min="12813" max="12813" width="10.85546875" style="622" customWidth="1"/>
    <col min="12814" max="12814" width="12.42578125" style="622" customWidth="1"/>
    <col min="12815" max="13057" width="9.140625" style="622"/>
    <col min="13058" max="13058" width="36.85546875" style="622" customWidth="1"/>
    <col min="13059" max="13059" width="9.140625" style="622"/>
    <col min="13060" max="13062" width="10.140625" style="622" customWidth="1"/>
    <col min="13063" max="13064" width="10.85546875" style="622" customWidth="1"/>
    <col min="13065" max="13065" width="9.140625" style="622"/>
    <col min="13066" max="13067" width="11.7109375" style="622" bestFit="1" customWidth="1"/>
    <col min="13068" max="13068" width="9.140625" style="622"/>
    <col min="13069" max="13069" width="10.85546875" style="622" customWidth="1"/>
    <col min="13070" max="13070" width="12.42578125" style="622" customWidth="1"/>
    <col min="13071" max="13313" width="9.140625" style="622"/>
    <col min="13314" max="13314" width="36.85546875" style="622" customWidth="1"/>
    <col min="13315" max="13315" width="9.140625" style="622"/>
    <col min="13316" max="13318" width="10.140625" style="622" customWidth="1"/>
    <col min="13319" max="13320" width="10.85546875" style="622" customWidth="1"/>
    <col min="13321" max="13321" width="9.140625" style="622"/>
    <col min="13322" max="13323" width="11.7109375" style="622" bestFit="1" customWidth="1"/>
    <col min="13324" max="13324" width="9.140625" style="622"/>
    <col min="13325" max="13325" width="10.85546875" style="622" customWidth="1"/>
    <col min="13326" max="13326" width="12.42578125" style="622" customWidth="1"/>
    <col min="13327" max="13569" width="9.140625" style="622"/>
    <col min="13570" max="13570" width="36.85546875" style="622" customWidth="1"/>
    <col min="13571" max="13571" width="9.140625" style="622"/>
    <col min="13572" max="13574" width="10.140625" style="622" customWidth="1"/>
    <col min="13575" max="13576" width="10.85546875" style="622" customWidth="1"/>
    <col min="13577" max="13577" width="9.140625" style="622"/>
    <col min="13578" max="13579" width="11.7109375" style="622" bestFit="1" customWidth="1"/>
    <col min="13580" max="13580" width="9.140625" style="622"/>
    <col min="13581" max="13581" width="10.85546875" style="622" customWidth="1"/>
    <col min="13582" max="13582" width="12.42578125" style="622" customWidth="1"/>
    <col min="13583" max="13825" width="9.140625" style="622"/>
    <col min="13826" max="13826" width="36.85546875" style="622" customWidth="1"/>
    <col min="13827" max="13827" width="9.140625" style="622"/>
    <col min="13828" max="13830" width="10.140625" style="622" customWidth="1"/>
    <col min="13831" max="13832" width="10.85546875" style="622" customWidth="1"/>
    <col min="13833" max="13833" width="9.140625" style="622"/>
    <col min="13834" max="13835" width="11.7109375" style="622" bestFit="1" customWidth="1"/>
    <col min="13836" max="13836" width="9.140625" style="622"/>
    <col min="13837" max="13837" width="10.85546875" style="622" customWidth="1"/>
    <col min="13838" max="13838" width="12.42578125" style="622" customWidth="1"/>
    <col min="13839" max="14081" width="9.140625" style="622"/>
    <col min="14082" max="14082" width="36.85546875" style="622" customWidth="1"/>
    <col min="14083" max="14083" width="9.140625" style="622"/>
    <col min="14084" max="14086" width="10.140625" style="622" customWidth="1"/>
    <col min="14087" max="14088" width="10.85546875" style="622" customWidth="1"/>
    <col min="14089" max="14089" width="9.140625" style="622"/>
    <col min="14090" max="14091" width="11.7109375" style="622" bestFit="1" customWidth="1"/>
    <col min="14092" max="14092" width="9.140625" style="622"/>
    <col min="14093" max="14093" width="10.85546875" style="622" customWidth="1"/>
    <col min="14094" max="14094" width="12.42578125" style="622" customWidth="1"/>
    <col min="14095" max="14337" width="9.140625" style="622"/>
    <col min="14338" max="14338" width="36.85546875" style="622" customWidth="1"/>
    <col min="14339" max="14339" width="9.140625" style="622"/>
    <col min="14340" max="14342" width="10.140625" style="622" customWidth="1"/>
    <col min="14343" max="14344" width="10.85546875" style="622" customWidth="1"/>
    <col min="14345" max="14345" width="9.140625" style="622"/>
    <col min="14346" max="14347" width="11.7109375" style="622" bestFit="1" customWidth="1"/>
    <col min="14348" max="14348" width="9.140625" style="622"/>
    <col min="14349" max="14349" width="10.85546875" style="622" customWidth="1"/>
    <col min="14350" max="14350" width="12.42578125" style="622" customWidth="1"/>
    <col min="14351" max="14593" width="9.140625" style="622"/>
    <col min="14594" max="14594" width="36.85546875" style="622" customWidth="1"/>
    <col min="14595" max="14595" width="9.140625" style="622"/>
    <col min="14596" max="14598" width="10.140625" style="622" customWidth="1"/>
    <col min="14599" max="14600" width="10.85546875" style="622" customWidth="1"/>
    <col min="14601" max="14601" width="9.140625" style="622"/>
    <col min="14602" max="14603" width="11.7109375" style="622" bestFit="1" customWidth="1"/>
    <col min="14604" max="14604" width="9.140625" style="622"/>
    <col min="14605" max="14605" width="10.85546875" style="622" customWidth="1"/>
    <col min="14606" max="14606" width="12.42578125" style="622" customWidth="1"/>
    <col min="14607" max="14849" width="9.140625" style="622"/>
    <col min="14850" max="14850" width="36.85546875" style="622" customWidth="1"/>
    <col min="14851" max="14851" width="9.140625" style="622"/>
    <col min="14852" max="14854" width="10.140625" style="622" customWidth="1"/>
    <col min="14855" max="14856" width="10.85546875" style="622" customWidth="1"/>
    <col min="14857" max="14857" width="9.140625" style="622"/>
    <col min="14858" max="14859" width="11.7109375" style="622" bestFit="1" customWidth="1"/>
    <col min="14860" max="14860" width="9.140625" style="622"/>
    <col min="14861" max="14861" width="10.85546875" style="622" customWidth="1"/>
    <col min="14862" max="14862" width="12.42578125" style="622" customWidth="1"/>
    <col min="14863" max="15105" width="9.140625" style="622"/>
    <col min="15106" max="15106" width="36.85546875" style="622" customWidth="1"/>
    <col min="15107" max="15107" width="9.140625" style="622"/>
    <col min="15108" max="15110" width="10.140625" style="622" customWidth="1"/>
    <col min="15111" max="15112" width="10.85546875" style="622" customWidth="1"/>
    <col min="15113" max="15113" width="9.140625" style="622"/>
    <col min="15114" max="15115" width="11.7109375" style="622" bestFit="1" customWidth="1"/>
    <col min="15116" max="15116" width="9.140625" style="622"/>
    <col min="15117" max="15117" width="10.85546875" style="622" customWidth="1"/>
    <col min="15118" max="15118" width="12.42578125" style="622" customWidth="1"/>
    <col min="15119" max="15361" width="9.140625" style="622"/>
    <col min="15362" max="15362" width="36.85546875" style="622" customWidth="1"/>
    <col min="15363" max="15363" width="9.140625" style="622"/>
    <col min="15364" max="15366" width="10.140625" style="622" customWidth="1"/>
    <col min="15367" max="15368" width="10.85546875" style="622" customWidth="1"/>
    <col min="15369" max="15369" width="9.140625" style="622"/>
    <col min="15370" max="15371" width="11.7109375" style="622" bestFit="1" customWidth="1"/>
    <col min="15372" max="15372" width="9.140625" style="622"/>
    <col min="15373" max="15373" width="10.85546875" style="622" customWidth="1"/>
    <col min="15374" max="15374" width="12.42578125" style="622" customWidth="1"/>
    <col min="15375" max="15617" width="9.140625" style="622"/>
    <col min="15618" max="15618" width="36.85546875" style="622" customWidth="1"/>
    <col min="15619" max="15619" width="9.140625" style="622"/>
    <col min="15620" max="15622" width="10.140625" style="622" customWidth="1"/>
    <col min="15623" max="15624" width="10.85546875" style="622" customWidth="1"/>
    <col min="15625" max="15625" width="9.140625" style="622"/>
    <col min="15626" max="15627" width="11.7109375" style="622" bestFit="1" customWidth="1"/>
    <col min="15628" max="15628" width="9.140625" style="622"/>
    <col min="15629" max="15629" width="10.85546875" style="622" customWidth="1"/>
    <col min="15630" max="15630" width="12.42578125" style="622" customWidth="1"/>
    <col min="15631" max="15873" width="9.140625" style="622"/>
    <col min="15874" max="15874" width="36.85546875" style="622" customWidth="1"/>
    <col min="15875" max="15875" width="9.140625" style="622"/>
    <col min="15876" max="15878" width="10.140625" style="622" customWidth="1"/>
    <col min="15879" max="15880" width="10.85546875" style="622" customWidth="1"/>
    <col min="15881" max="15881" width="9.140625" style="622"/>
    <col min="15882" max="15883" width="11.7109375" style="622" bestFit="1" customWidth="1"/>
    <col min="15884" max="15884" width="9.140625" style="622"/>
    <col min="15885" max="15885" width="10.85546875" style="622" customWidth="1"/>
    <col min="15886" max="15886" width="12.42578125" style="622" customWidth="1"/>
    <col min="15887" max="16129" width="9.140625" style="622"/>
    <col min="16130" max="16130" width="36.85546875" style="622" customWidth="1"/>
    <col min="16131" max="16131" width="9.140625" style="622"/>
    <col min="16132" max="16134" width="10.140625" style="622" customWidth="1"/>
    <col min="16135" max="16136" width="10.85546875" style="622" customWidth="1"/>
    <col min="16137" max="16137" width="9.140625" style="622"/>
    <col min="16138" max="16139" width="11.7109375" style="622" bestFit="1" customWidth="1"/>
    <col min="16140" max="16140" width="9.140625" style="622"/>
    <col min="16141" max="16141" width="10.85546875" style="622" customWidth="1"/>
    <col min="16142" max="16142" width="12.42578125" style="622" customWidth="1"/>
    <col min="16143" max="16384" width="9.140625" style="622"/>
  </cols>
  <sheetData>
    <row r="1" spans="1:14" ht="12.75" customHeight="1">
      <c r="A1" s="1521" t="s">
        <v>493</v>
      </c>
      <c r="B1" s="1310"/>
      <c r="C1" s="1310"/>
      <c r="D1" s="1310"/>
      <c r="E1" s="1310"/>
      <c r="F1" s="1310"/>
      <c r="G1" s="1310"/>
      <c r="H1" s="1568"/>
      <c r="I1" s="1569" t="s">
        <v>494</v>
      </c>
      <c r="J1" s="1523"/>
      <c r="K1" s="1523"/>
      <c r="L1" s="1523"/>
      <c r="M1" s="1523"/>
      <c r="N1" s="1545" t="s">
        <v>340</v>
      </c>
    </row>
    <row r="2" spans="1:14" ht="9" customHeight="1">
      <c r="A2" s="1575"/>
      <c r="B2" s="1572"/>
      <c r="C2" s="1572"/>
      <c r="D2" s="1572"/>
      <c r="E2" s="1572"/>
      <c r="F2" s="1572"/>
      <c r="G2" s="1572"/>
      <c r="H2" s="1572"/>
      <c r="I2" s="1570"/>
      <c r="J2" s="1525"/>
      <c r="K2" s="1525"/>
      <c r="L2" s="1525"/>
      <c r="M2" s="1525"/>
      <c r="N2" s="1546"/>
    </row>
    <row r="3" spans="1:14" ht="11.25" customHeight="1">
      <c r="A3" s="749" t="s">
        <v>747</v>
      </c>
      <c r="B3" s="748" t="str">
        <f>'F1 Forecast Consultant'!C3</f>
        <v>Western</v>
      </c>
      <c r="I3" s="1573" t="s">
        <v>495</v>
      </c>
      <c r="J3" s="1531"/>
      <c r="K3" s="1532">
        <f>'F1  Cover'!K8</f>
        <v>1</v>
      </c>
      <c r="L3" s="1533"/>
      <c r="M3" s="1533"/>
      <c r="N3" s="1534"/>
    </row>
    <row r="4" spans="1:14" ht="13.5" thickBot="1">
      <c r="A4" s="1574"/>
      <c r="B4" s="1564"/>
      <c r="C4" s="1564"/>
      <c r="D4" s="1564"/>
      <c r="E4" s="1564"/>
      <c r="F4" s="1564"/>
      <c r="G4" s="1564"/>
      <c r="H4" s="1564"/>
      <c r="I4" s="1565" t="s">
        <v>496</v>
      </c>
      <c r="J4" s="1566"/>
      <c r="K4" s="1555" t="str">
        <f>'F1 Forecast Combined'!E3</f>
        <v>NRA.N.011-050-2012/1F</v>
      </c>
      <c r="L4" s="1555"/>
      <c r="M4" s="1555"/>
      <c r="N4" s="1556"/>
    </row>
    <row r="5" spans="1:14" ht="13.5" thickBot="1">
      <c r="A5" s="727" t="s">
        <v>497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" thickBot="1">
      <c r="A6" s="724" t="s">
        <v>100</v>
      </c>
      <c r="B6" s="725" t="s">
        <v>0</v>
      </c>
      <c r="C6" s="718" t="s">
        <v>1</v>
      </c>
      <c r="D6" s="766" t="s">
        <v>498</v>
      </c>
      <c r="E6" s="767" t="s">
        <v>499</v>
      </c>
      <c r="F6" s="767" t="s">
        <v>500</v>
      </c>
      <c r="G6" s="767" t="s">
        <v>501</v>
      </c>
      <c r="H6" s="768" t="s">
        <v>502</v>
      </c>
      <c r="I6" s="716" t="s">
        <v>3</v>
      </c>
      <c r="J6" s="717" t="s">
        <v>503</v>
      </c>
      <c r="K6" s="717" t="s">
        <v>504</v>
      </c>
      <c r="L6" s="717" t="s">
        <v>505</v>
      </c>
      <c r="M6" s="717" t="s">
        <v>506</v>
      </c>
      <c r="N6" s="718" t="s">
        <v>507</v>
      </c>
    </row>
    <row r="7" spans="1:14" ht="31.5" customHeight="1">
      <c r="A7" s="624">
        <f>'Pricing Schedule'!A352</f>
        <v>3.9</v>
      </c>
      <c r="B7" s="625" t="str">
        <f>'Pricing Schedule'!B352</f>
        <v>QUALITY CONTROL: WORKS CONTRACT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629" t="str">
        <f>'Pricing Schedule'!A353</f>
        <v>3.9.1</v>
      </c>
      <c r="B8" s="630" t="str">
        <f>'Pricing Schedule'!B353</f>
        <v>Laboratory testing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629"/>
      <c r="B9" s="630" t="str">
        <f>'Pricing Schedule'!B354</f>
        <v>(a) Provision of a fully operational laboratory</v>
      </c>
      <c r="C9" s="630" t="str">
        <f>'Pricing Schedule'!C354</f>
        <v>prime cost (PC)</v>
      </c>
      <c r="D9" s="651">
        <v>1</v>
      </c>
      <c r="E9" s="722">
        <f>D9</f>
        <v>1</v>
      </c>
      <c r="F9" s="855">
        <f>DATA!$GE$52</f>
        <v>0</v>
      </c>
      <c r="G9" s="854">
        <f>'Pg 4 P Sums'!K426-'C3.9'!F9</f>
        <v>0</v>
      </c>
      <c r="H9" s="632">
        <f>F9+G9</f>
        <v>0</v>
      </c>
      <c r="I9" s="733">
        <f>'Pricing Schedule'!F354</f>
        <v>28000000</v>
      </c>
      <c r="J9" s="631">
        <f>D9*I9</f>
        <v>28000000</v>
      </c>
      <c r="K9" s="631">
        <f>E9*I9</f>
        <v>28000000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629"/>
      <c r="B10" s="630" t="str">
        <f>'Pricing Schedule'!B355</f>
        <v>(b) Handling cost i.r.o. sub item 3.9.1(a)</v>
      </c>
      <c r="C10" s="630" t="str">
        <f>'Pricing Schedule'!C355</f>
        <v>percentage (%)</v>
      </c>
      <c r="D10" s="651">
        <f>'Pricing Schedule'!D355</f>
        <v>28000000</v>
      </c>
      <c r="E10" s="631">
        <f>K9</f>
        <v>28000000</v>
      </c>
      <c r="F10" s="631">
        <f t="shared" ref="F10:G10" si="0">L9</f>
        <v>0</v>
      </c>
      <c r="G10" s="631">
        <f t="shared" si="0"/>
        <v>0</v>
      </c>
      <c r="H10" s="632">
        <f>F10+G10</f>
        <v>0</v>
      </c>
      <c r="I10" s="747">
        <f>'Pricing Schedule'!E355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Schedule'!B356</f>
        <v>(c) Off-site materials testing</v>
      </c>
      <c r="C11" s="630" t="str">
        <f>'Pricing Schedule'!C356</f>
        <v>prime cost (PC)</v>
      </c>
      <c r="D11" s="651">
        <v>1</v>
      </c>
      <c r="E11" s="722">
        <f>D11</f>
        <v>1</v>
      </c>
      <c r="F11" s="855">
        <f>DATA!$GF$52</f>
        <v>0</v>
      </c>
      <c r="G11" s="854">
        <f>'Pg 4 P Sums'!K434-'C3.9'!F11</f>
        <v>0</v>
      </c>
      <c r="H11" s="632">
        <f>F11+G11</f>
        <v>0</v>
      </c>
      <c r="I11" s="733">
        <f>'Pricing Schedule'!F356</f>
        <v>750000</v>
      </c>
      <c r="J11" s="631">
        <f>D11*I11</f>
        <v>750000</v>
      </c>
      <c r="K11" s="631">
        <f>E11*I11</f>
        <v>750000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 thickBot="1">
      <c r="A12" s="629"/>
      <c r="B12" s="630" t="str">
        <f>'Pricing Schedule'!B357</f>
        <v>(d) Handling cost i.r.o. sub item 3.9.1(c)</v>
      </c>
      <c r="C12" s="630" t="str">
        <f>'Pricing Schedule'!C357</f>
        <v>percentage (%)</v>
      </c>
      <c r="D12" s="651">
        <f>'Pricing Schedule'!D357</f>
        <v>750000</v>
      </c>
      <c r="E12" s="631">
        <f>K11</f>
        <v>750000</v>
      </c>
      <c r="F12" s="631">
        <f t="shared" ref="F12" si="1">L11</f>
        <v>0</v>
      </c>
      <c r="G12" s="631">
        <f t="shared" ref="G12" si="2">M11</f>
        <v>0</v>
      </c>
      <c r="H12" s="632">
        <f>F12+G12</f>
        <v>0</v>
      </c>
      <c r="I12" s="747">
        <f>'Pricing Schedule'!E357</f>
        <v>0</v>
      </c>
      <c r="J12" s="631">
        <f>D12*I12</f>
        <v>0</v>
      </c>
      <c r="K12" s="631">
        <f>E12*I12</f>
        <v>0</v>
      </c>
      <c r="L12" s="631">
        <f>F12*I12</f>
        <v>0</v>
      </c>
      <c r="M12" s="631">
        <f>G12*I12</f>
        <v>0</v>
      </c>
      <c r="N12" s="632">
        <f>H12*I12</f>
        <v>0</v>
      </c>
    </row>
    <row r="13" spans="1:14" ht="31.5" customHeight="1" thickBot="1">
      <c r="A13" s="1514" t="s">
        <v>508</v>
      </c>
      <c r="B13" s="1514"/>
      <c r="C13" s="1514"/>
      <c r="D13" s="716"/>
      <c r="E13" s="717"/>
      <c r="F13" s="717"/>
      <c r="G13" s="717"/>
      <c r="H13" s="718"/>
      <c r="I13" s="716"/>
      <c r="J13" s="720">
        <f>SUM(J8:J12)</f>
        <v>28750000</v>
      </c>
      <c r="K13" s="720">
        <f>SUM(K8:K12)</f>
        <v>28750000</v>
      </c>
      <c r="L13" s="720">
        <f>SUM(L8:L12)</f>
        <v>0</v>
      </c>
      <c r="M13" s="720">
        <f>SUM(M8:M12)</f>
        <v>0</v>
      </c>
      <c r="N13" s="721">
        <f>SUM(N8:N12)</f>
        <v>0</v>
      </c>
    </row>
    <row r="16" spans="1:14" ht="30.95" customHeight="1">
      <c r="A16" s="817" t="s">
        <v>653</v>
      </c>
      <c r="B16" s="817"/>
      <c r="J16" s="735">
        <v>0</v>
      </c>
      <c r="K16" s="735">
        <v>0</v>
      </c>
      <c r="L16" s="735">
        <v>0</v>
      </c>
      <c r="M16" s="735">
        <v>0</v>
      </c>
      <c r="N16" s="735">
        <v>0</v>
      </c>
    </row>
    <row r="17" spans="1:14" ht="30.95" customHeight="1">
      <c r="A17" s="622" t="s">
        <v>655</v>
      </c>
      <c r="J17" s="735">
        <f>J9+J10+J11+J12</f>
        <v>28750000</v>
      </c>
      <c r="K17" s="735">
        <f t="shared" ref="K17:N17" si="3">K9+K10+K11+K12</f>
        <v>28750000</v>
      </c>
      <c r="L17" s="735">
        <f t="shared" si="3"/>
        <v>0</v>
      </c>
      <c r="M17" s="735">
        <f t="shared" si="3"/>
        <v>0</v>
      </c>
      <c r="N17" s="735">
        <f t="shared" si="3"/>
        <v>0</v>
      </c>
    </row>
    <row r="18" spans="1:14" ht="30.95" customHeight="1" thickBot="1">
      <c r="A18" s="622" t="s">
        <v>654</v>
      </c>
      <c r="J18" s="785">
        <f>SUM(J16:J17)</f>
        <v>28750000</v>
      </c>
      <c r="K18" s="785">
        <f t="shared" ref="K18:N18" si="4">SUM(K16:K17)</f>
        <v>28750000</v>
      </c>
      <c r="L18" s="785">
        <f t="shared" si="4"/>
        <v>0</v>
      </c>
      <c r="M18" s="785">
        <f t="shared" si="4"/>
        <v>0</v>
      </c>
      <c r="N18" s="785">
        <f t="shared" si="4"/>
        <v>0</v>
      </c>
    </row>
    <row r="19" spans="1:14" ht="13.5" thickTop="1"/>
  </sheetData>
  <mergeCells count="10">
    <mergeCell ref="N1:N2"/>
    <mergeCell ref="K3:N3"/>
    <mergeCell ref="A4:H4"/>
    <mergeCell ref="I4:J4"/>
    <mergeCell ref="K4:N4"/>
    <mergeCell ref="A13:C13"/>
    <mergeCell ref="A1:H1"/>
    <mergeCell ref="A2:H2"/>
    <mergeCell ref="I3:J3"/>
    <mergeCell ref="I1:M2"/>
  </mergeCells>
  <printOptions horizontalCentered="1"/>
  <pageMargins left="0" right="0" top="0.31496062992125984" bottom="0.35433070866141736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  <oddFooter>&amp;C&amp;A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45">
    <tabColor theme="9"/>
    <pageSetUpPr fitToPage="1"/>
  </sheetPr>
  <dimension ref="A1:N36"/>
  <sheetViews>
    <sheetView workbookViewId="0">
      <selection sqref="A1:H1"/>
    </sheetView>
  </sheetViews>
  <sheetFormatPr defaultRowHeight="12.75"/>
  <cols>
    <col min="1" max="1" width="9.28515625" style="314" bestFit="1" customWidth="1"/>
    <col min="2" max="2" width="36.85546875" style="314" customWidth="1"/>
    <col min="3" max="3" width="19.5703125" style="314" customWidth="1"/>
    <col min="4" max="8" width="11.7109375" style="314" customWidth="1"/>
    <col min="9" max="9" width="12.5703125" style="314" bestFit="1" customWidth="1"/>
    <col min="10" max="11" width="13" style="314" bestFit="1" customWidth="1"/>
    <col min="12" max="12" width="12.42578125" style="314" customWidth="1"/>
    <col min="13" max="13" width="11.42578125" style="314" bestFit="1" customWidth="1"/>
    <col min="14" max="14" width="11.85546875" style="314" bestFit="1" customWidth="1"/>
    <col min="15" max="257" width="9.140625" style="314"/>
    <col min="258" max="258" width="36.85546875" style="314" customWidth="1"/>
    <col min="259" max="259" width="9.140625" style="314"/>
    <col min="260" max="262" width="10.140625" style="314" customWidth="1"/>
    <col min="263" max="264" width="10.85546875" style="314" customWidth="1"/>
    <col min="265" max="265" width="9.140625" style="314"/>
    <col min="266" max="267" width="11.7109375" style="314" bestFit="1" customWidth="1"/>
    <col min="268" max="268" width="9.140625" style="314"/>
    <col min="269" max="269" width="10.85546875" style="314" customWidth="1"/>
    <col min="270" max="270" width="12.42578125" style="314" customWidth="1"/>
    <col min="271" max="513" width="9.140625" style="314"/>
    <col min="514" max="514" width="36.85546875" style="314" customWidth="1"/>
    <col min="515" max="515" width="9.140625" style="314"/>
    <col min="516" max="518" width="10.140625" style="314" customWidth="1"/>
    <col min="519" max="520" width="10.85546875" style="314" customWidth="1"/>
    <col min="521" max="521" width="9.140625" style="314"/>
    <col min="522" max="523" width="11.7109375" style="314" bestFit="1" customWidth="1"/>
    <col min="524" max="524" width="9.140625" style="314"/>
    <col min="525" max="525" width="10.85546875" style="314" customWidth="1"/>
    <col min="526" max="526" width="12.42578125" style="314" customWidth="1"/>
    <col min="527" max="769" width="9.140625" style="314"/>
    <col min="770" max="770" width="36.85546875" style="314" customWidth="1"/>
    <col min="771" max="771" width="9.140625" style="314"/>
    <col min="772" max="774" width="10.140625" style="314" customWidth="1"/>
    <col min="775" max="776" width="10.85546875" style="314" customWidth="1"/>
    <col min="777" max="777" width="9.140625" style="314"/>
    <col min="778" max="779" width="11.7109375" style="314" bestFit="1" customWidth="1"/>
    <col min="780" max="780" width="9.140625" style="314"/>
    <col min="781" max="781" width="10.85546875" style="314" customWidth="1"/>
    <col min="782" max="782" width="12.42578125" style="314" customWidth="1"/>
    <col min="783" max="1025" width="9.140625" style="314"/>
    <col min="1026" max="1026" width="36.85546875" style="314" customWidth="1"/>
    <col min="1027" max="1027" width="9.140625" style="314"/>
    <col min="1028" max="1030" width="10.140625" style="314" customWidth="1"/>
    <col min="1031" max="1032" width="10.85546875" style="314" customWidth="1"/>
    <col min="1033" max="1033" width="9.140625" style="314"/>
    <col min="1034" max="1035" width="11.7109375" style="314" bestFit="1" customWidth="1"/>
    <col min="1036" max="1036" width="9.140625" style="314"/>
    <col min="1037" max="1037" width="10.85546875" style="314" customWidth="1"/>
    <col min="1038" max="1038" width="12.42578125" style="314" customWidth="1"/>
    <col min="1039" max="1281" width="9.140625" style="314"/>
    <col min="1282" max="1282" width="36.85546875" style="314" customWidth="1"/>
    <col min="1283" max="1283" width="9.140625" style="314"/>
    <col min="1284" max="1286" width="10.140625" style="314" customWidth="1"/>
    <col min="1287" max="1288" width="10.85546875" style="314" customWidth="1"/>
    <col min="1289" max="1289" width="9.140625" style="314"/>
    <col min="1290" max="1291" width="11.7109375" style="314" bestFit="1" customWidth="1"/>
    <col min="1292" max="1292" width="9.140625" style="314"/>
    <col min="1293" max="1293" width="10.85546875" style="314" customWidth="1"/>
    <col min="1294" max="1294" width="12.42578125" style="314" customWidth="1"/>
    <col min="1295" max="1537" width="9.140625" style="314"/>
    <col min="1538" max="1538" width="36.85546875" style="314" customWidth="1"/>
    <col min="1539" max="1539" width="9.140625" style="314"/>
    <col min="1540" max="1542" width="10.140625" style="314" customWidth="1"/>
    <col min="1543" max="1544" width="10.85546875" style="314" customWidth="1"/>
    <col min="1545" max="1545" width="9.140625" style="314"/>
    <col min="1546" max="1547" width="11.7109375" style="314" bestFit="1" customWidth="1"/>
    <col min="1548" max="1548" width="9.140625" style="314"/>
    <col min="1549" max="1549" width="10.85546875" style="314" customWidth="1"/>
    <col min="1550" max="1550" width="12.42578125" style="314" customWidth="1"/>
    <col min="1551" max="1793" width="9.140625" style="314"/>
    <col min="1794" max="1794" width="36.85546875" style="314" customWidth="1"/>
    <col min="1795" max="1795" width="9.140625" style="314"/>
    <col min="1796" max="1798" width="10.140625" style="314" customWidth="1"/>
    <col min="1799" max="1800" width="10.85546875" style="314" customWidth="1"/>
    <col min="1801" max="1801" width="9.140625" style="314"/>
    <col min="1802" max="1803" width="11.7109375" style="314" bestFit="1" customWidth="1"/>
    <col min="1804" max="1804" width="9.140625" style="314"/>
    <col min="1805" max="1805" width="10.85546875" style="314" customWidth="1"/>
    <col min="1806" max="1806" width="12.42578125" style="314" customWidth="1"/>
    <col min="1807" max="2049" width="9.140625" style="314"/>
    <col min="2050" max="2050" width="36.85546875" style="314" customWidth="1"/>
    <col min="2051" max="2051" width="9.140625" style="314"/>
    <col min="2052" max="2054" width="10.140625" style="314" customWidth="1"/>
    <col min="2055" max="2056" width="10.85546875" style="314" customWidth="1"/>
    <col min="2057" max="2057" width="9.140625" style="314"/>
    <col min="2058" max="2059" width="11.7109375" style="314" bestFit="1" customWidth="1"/>
    <col min="2060" max="2060" width="9.140625" style="314"/>
    <col min="2061" max="2061" width="10.85546875" style="314" customWidth="1"/>
    <col min="2062" max="2062" width="12.42578125" style="314" customWidth="1"/>
    <col min="2063" max="2305" width="9.140625" style="314"/>
    <col min="2306" max="2306" width="36.85546875" style="314" customWidth="1"/>
    <col min="2307" max="2307" width="9.140625" style="314"/>
    <col min="2308" max="2310" width="10.140625" style="314" customWidth="1"/>
    <col min="2311" max="2312" width="10.85546875" style="314" customWidth="1"/>
    <col min="2313" max="2313" width="9.140625" style="314"/>
    <col min="2314" max="2315" width="11.7109375" style="314" bestFit="1" customWidth="1"/>
    <col min="2316" max="2316" width="9.140625" style="314"/>
    <col min="2317" max="2317" width="10.85546875" style="314" customWidth="1"/>
    <col min="2318" max="2318" width="12.42578125" style="314" customWidth="1"/>
    <col min="2319" max="2561" width="9.140625" style="314"/>
    <col min="2562" max="2562" width="36.85546875" style="314" customWidth="1"/>
    <col min="2563" max="2563" width="9.140625" style="314"/>
    <col min="2564" max="2566" width="10.140625" style="314" customWidth="1"/>
    <col min="2567" max="2568" width="10.85546875" style="314" customWidth="1"/>
    <col min="2569" max="2569" width="9.140625" style="314"/>
    <col min="2570" max="2571" width="11.7109375" style="314" bestFit="1" customWidth="1"/>
    <col min="2572" max="2572" width="9.140625" style="314"/>
    <col min="2573" max="2573" width="10.85546875" style="314" customWidth="1"/>
    <col min="2574" max="2574" width="12.42578125" style="314" customWidth="1"/>
    <col min="2575" max="2817" width="9.140625" style="314"/>
    <col min="2818" max="2818" width="36.85546875" style="314" customWidth="1"/>
    <col min="2819" max="2819" width="9.140625" style="314"/>
    <col min="2820" max="2822" width="10.140625" style="314" customWidth="1"/>
    <col min="2823" max="2824" width="10.85546875" style="314" customWidth="1"/>
    <col min="2825" max="2825" width="9.140625" style="314"/>
    <col min="2826" max="2827" width="11.7109375" style="314" bestFit="1" customWidth="1"/>
    <col min="2828" max="2828" width="9.140625" style="314"/>
    <col min="2829" max="2829" width="10.85546875" style="314" customWidth="1"/>
    <col min="2830" max="2830" width="12.42578125" style="314" customWidth="1"/>
    <col min="2831" max="3073" width="9.140625" style="314"/>
    <col min="3074" max="3074" width="36.85546875" style="314" customWidth="1"/>
    <col min="3075" max="3075" width="9.140625" style="314"/>
    <col min="3076" max="3078" width="10.140625" style="314" customWidth="1"/>
    <col min="3079" max="3080" width="10.85546875" style="314" customWidth="1"/>
    <col min="3081" max="3081" width="9.140625" style="314"/>
    <col min="3082" max="3083" width="11.7109375" style="314" bestFit="1" customWidth="1"/>
    <col min="3084" max="3084" width="9.140625" style="314"/>
    <col min="3085" max="3085" width="10.85546875" style="314" customWidth="1"/>
    <col min="3086" max="3086" width="12.42578125" style="314" customWidth="1"/>
    <col min="3087" max="3329" width="9.140625" style="314"/>
    <col min="3330" max="3330" width="36.85546875" style="314" customWidth="1"/>
    <col min="3331" max="3331" width="9.140625" style="314"/>
    <col min="3332" max="3334" width="10.140625" style="314" customWidth="1"/>
    <col min="3335" max="3336" width="10.85546875" style="314" customWidth="1"/>
    <col min="3337" max="3337" width="9.140625" style="314"/>
    <col min="3338" max="3339" width="11.7109375" style="314" bestFit="1" customWidth="1"/>
    <col min="3340" max="3340" width="9.140625" style="314"/>
    <col min="3341" max="3341" width="10.85546875" style="314" customWidth="1"/>
    <col min="3342" max="3342" width="12.42578125" style="314" customWidth="1"/>
    <col min="3343" max="3585" width="9.140625" style="314"/>
    <col min="3586" max="3586" width="36.85546875" style="314" customWidth="1"/>
    <col min="3587" max="3587" width="9.140625" style="314"/>
    <col min="3588" max="3590" width="10.140625" style="314" customWidth="1"/>
    <col min="3591" max="3592" width="10.85546875" style="314" customWidth="1"/>
    <col min="3593" max="3593" width="9.140625" style="314"/>
    <col min="3594" max="3595" width="11.7109375" style="314" bestFit="1" customWidth="1"/>
    <col min="3596" max="3596" width="9.140625" style="314"/>
    <col min="3597" max="3597" width="10.85546875" style="314" customWidth="1"/>
    <col min="3598" max="3598" width="12.42578125" style="314" customWidth="1"/>
    <col min="3599" max="3841" width="9.140625" style="314"/>
    <col min="3842" max="3842" width="36.85546875" style="314" customWidth="1"/>
    <col min="3843" max="3843" width="9.140625" style="314"/>
    <col min="3844" max="3846" width="10.140625" style="314" customWidth="1"/>
    <col min="3847" max="3848" width="10.85546875" style="314" customWidth="1"/>
    <col min="3849" max="3849" width="9.140625" style="314"/>
    <col min="3850" max="3851" width="11.7109375" style="314" bestFit="1" customWidth="1"/>
    <col min="3852" max="3852" width="9.140625" style="314"/>
    <col min="3853" max="3853" width="10.85546875" style="314" customWidth="1"/>
    <col min="3854" max="3854" width="12.42578125" style="314" customWidth="1"/>
    <col min="3855" max="4097" width="9.140625" style="314"/>
    <col min="4098" max="4098" width="36.85546875" style="314" customWidth="1"/>
    <col min="4099" max="4099" width="9.140625" style="314"/>
    <col min="4100" max="4102" width="10.140625" style="314" customWidth="1"/>
    <col min="4103" max="4104" width="10.85546875" style="314" customWidth="1"/>
    <col min="4105" max="4105" width="9.140625" style="314"/>
    <col min="4106" max="4107" width="11.7109375" style="314" bestFit="1" customWidth="1"/>
    <col min="4108" max="4108" width="9.140625" style="314"/>
    <col min="4109" max="4109" width="10.85546875" style="314" customWidth="1"/>
    <col min="4110" max="4110" width="12.42578125" style="314" customWidth="1"/>
    <col min="4111" max="4353" width="9.140625" style="314"/>
    <col min="4354" max="4354" width="36.85546875" style="314" customWidth="1"/>
    <col min="4355" max="4355" width="9.140625" style="314"/>
    <col min="4356" max="4358" width="10.140625" style="314" customWidth="1"/>
    <col min="4359" max="4360" width="10.85546875" style="314" customWidth="1"/>
    <col min="4361" max="4361" width="9.140625" style="314"/>
    <col min="4362" max="4363" width="11.7109375" style="314" bestFit="1" customWidth="1"/>
    <col min="4364" max="4364" width="9.140625" style="314"/>
    <col min="4365" max="4365" width="10.85546875" style="314" customWidth="1"/>
    <col min="4366" max="4366" width="12.42578125" style="314" customWidth="1"/>
    <col min="4367" max="4609" width="9.140625" style="314"/>
    <col min="4610" max="4610" width="36.85546875" style="314" customWidth="1"/>
    <col min="4611" max="4611" width="9.140625" style="314"/>
    <col min="4612" max="4614" width="10.140625" style="314" customWidth="1"/>
    <col min="4615" max="4616" width="10.85546875" style="314" customWidth="1"/>
    <col min="4617" max="4617" width="9.140625" style="314"/>
    <col min="4618" max="4619" width="11.7109375" style="314" bestFit="1" customWidth="1"/>
    <col min="4620" max="4620" width="9.140625" style="314"/>
    <col min="4621" max="4621" width="10.85546875" style="314" customWidth="1"/>
    <col min="4622" max="4622" width="12.42578125" style="314" customWidth="1"/>
    <col min="4623" max="4865" width="9.140625" style="314"/>
    <col min="4866" max="4866" width="36.85546875" style="314" customWidth="1"/>
    <col min="4867" max="4867" width="9.140625" style="314"/>
    <col min="4868" max="4870" width="10.140625" style="314" customWidth="1"/>
    <col min="4871" max="4872" width="10.85546875" style="314" customWidth="1"/>
    <col min="4873" max="4873" width="9.140625" style="314"/>
    <col min="4874" max="4875" width="11.7109375" style="314" bestFit="1" customWidth="1"/>
    <col min="4876" max="4876" width="9.140625" style="314"/>
    <col min="4877" max="4877" width="10.85546875" style="314" customWidth="1"/>
    <col min="4878" max="4878" width="12.42578125" style="314" customWidth="1"/>
    <col min="4879" max="5121" width="9.140625" style="314"/>
    <col min="5122" max="5122" width="36.85546875" style="314" customWidth="1"/>
    <col min="5123" max="5123" width="9.140625" style="314"/>
    <col min="5124" max="5126" width="10.140625" style="314" customWidth="1"/>
    <col min="5127" max="5128" width="10.85546875" style="314" customWidth="1"/>
    <col min="5129" max="5129" width="9.140625" style="314"/>
    <col min="5130" max="5131" width="11.7109375" style="314" bestFit="1" customWidth="1"/>
    <col min="5132" max="5132" width="9.140625" style="314"/>
    <col min="5133" max="5133" width="10.85546875" style="314" customWidth="1"/>
    <col min="5134" max="5134" width="12.42578125" style="314" customWidth="1"/>
    <col min="5135" max="5377" width="9.140625" style="314"/>
    <col min="5378" max="5378" width="36.85546875" style="314" customWidth="1"/>
    <col min="5379" max="5379" width="9.140625" style="314"/>
    <col min="5380" max="5382" width="10.140625" style="314" customWidth="1"/>
    <col min="5383" max="5384" width="10.85546875" style="314" customWidth="1"/>
    <col min="5385" max="5385" width="9.140625" style="314"/>
    <col min="5386" max="5387" width="11.7109375" style="314" bestFit="1" customWidth="1"/>
    <col min="5388" max="5388" width="9.140625" style="314"/>
    <col min="5389" max="5389" width="10.85546875" style="314" customWidth="1"/>
    <col min="5390" max="5390" width="12.42578125" style="314" customWidth="1"/>
    <col min="5391" max="5633" width="9.140625" style="314"/>
    <col min="5634" max="5634" width="36.85546875" style="314" customWidth="1"/>
    <col min="5635" max="5635" width="9.140625" style="314"/>
    <col min="5636" max="5638" width="10.140625" style="314" customWidth="1"/>
    <col min="5639" max="5640" width="10.85546875" style="314" customWidth="1"/>
    <col min="5641" max="5641" width="9.140625" style="314"/>
    <col min="5642" max="5643" width="11.7109375" style="314" bestFit="1" customWidth="1"/>
    <col min="5644" max="5644" width="9.140625" style="314"/>
    <col min="5645" max="5645" width="10.85546875" style="314" customWidth="1"/>
    <col min="5646" max="5646" width="12.42578125" style="314" customWidth="1"/>
    <col min="5647" max="5889" width="9.140625" style="314"/>
    <col min="5890" max="5890" width="36.85546875" style="314" customWidth="1"/>
    <col min="5891" max="5891" width="9.140625" style="314"/>
    <col min="5892" max="5894" width="10.140625" style="314" customWidth="1"/>
    <col min="5895" max="5896" width="10.85546875" style="314" customWidth="1"/>
    <col min="5897" max="5897" width="9.140625" style="314"/>
    <col min="5898" max="5899" width="11.7109375" style="314" bestFit="1" customWidth="1"/>
    <col min="5900" max="5900" width="9.140625" style="314"/>
    <col min="5901" max="5901" width="10.85546875" style="314" customWidth="1"/>
    <col min="5902" max="5902" width="12.42578125" style="314" customWidth="1"/>
    <col min="5903" max="6145" width="9.140625" style="314"/>
    <col min="6146" max="6146" width="36.85546875" style="314" customWidth="1"/>
    <col min="6147" max="6147" width="9.140625" style="314"/>
    <col min="6148" max="6150" width="10.140625" style="314" customWidth="1"/>
    <col min="6151" max="6152" width="10.85546875" style="314" customWidth="1"/>
    <col min="6153" max="6153" width="9.140625" style="314"/>
    <col min="6154" max="6155" width="11.7109375" style="314" bestFit="1" customWidth="1"/>
    <col min="6156" max="6156" width="9.140625" style="314"/>
    <col min="6157" max="6157" width="10.85546875" style="314" customWidth="1"/>
    <col min="6158" max="6158" width="12.42578125" style="314" customWidth="1"/>
    <col min="6159" max="6401" width="9.140625" style="314"/>
    <col min="6402" max="6402" width="36.85546875" style="314" customWidth="1"/>
    <col min="6403" max="6403" width="9.140625" style="314"/>
    <col min="6404" max="6406" width="10.140625" style="314" customWidth="1"/>
    <col min="6407" max="6408" width="10.85546875" style="314" customWidth="1"/>
    <col min="6409" max="6409" width="9.140625" style="314"/>
    <col min="6410" max="6411" width="11.7109375" style="314" bestFit="1" customWidth="1"/>
    <col min="6412" max="6412" width="9.140625" style="314"/>
    <col min="6413" max="6413" width="10.85546875" style="314" customWidth="1"/>
    <col min="6414" max="6414" width="12.42578125" style="314" customWidth="1"/>
    <col min="6415" max="6657" width="9.140625" style="314"/>
    <col min="6658" max="6658" width="36.85546875" style="314" customWidth="1"/>
    <col min="6659" max="6659" width="9.140625" style="314"/>
    <col min="6660" max="6662" width="10.140625" style="314" customWidth="1"/>
    <col min="6663" max="6664" width="10.85546875" style="314" customWidth="1"/>
    <col min="6665" max="6665" width="9.140625" style="314"/>
    <col min="6666" max="6667" width="11.7109375" style="314" bestFit="1" customWidth="1"/>
    <col min="6668" max="6668" width="9.140625" style="314"/>
    <col min="6669" max="6669" width="10.85546875" style="314" customWidth="1"/>
    <col min="6670" max="6670" width="12.42578125" style="314" customWidth="1"/>
    <col min="6671" max="6913" width="9.140625" style="314"/>
    <col min="6914" max="6914" width="36.85546875" style="314" customWidth="1"/>
    <col min="6915" max="6915" width="9.140625" style="314"/>
    <col min="6916" max="6918" width="10.140625" style="314" customWidth="1"/>
    <col min="6919" max="6920" width="10.85546875" style="314" customWidth="1"/>
    <col min="6921" max="6921" width="9.140625" style="314"/>
    <col min="6922" max="6923" width="11.7109375" style="314" bestFit="1" customWidth="1"/>
    <col min="6924" max="6924" width="9.140625" style="314"/>
    <col min="6925" max="6925" width="10.85546875" style="314" customWidth="1"/>
    <col min="6926" max="6926" width="12.42578125" style="314" customWidth="1"/>
    <col min="6927" max="7169" width="9.140625" style="314"/>
    <col min="7170" max="7170" width="36.85546875" style="314" customWidth="1"/>
    <col min="7171" max="7171" width="9.140625" style="314"/>
    <col min="7172" max="7174" width="10.140625" style="314" customWidth="1"/>
    <col min="7175" max="7176" width="10.85546875" style="314" customWidth="1"/>
    <col min="7177" max="7177" width="9.140625" style="314"/>
    <col min="7178" max="7179" width="11.7109375" style="314" bestFit="1" customWidth="1"/>
    <col min="7180" max="7180" width="9.140625" style="314"/>
    <col min="7181" max="7181" width="10.85546875" style="314" customWidth="1"/>
    <col min="7182" max="7182" width="12.42578125" style="314" customWidth="1"/>
    <col min="7183" max="7425" width="9.140625" style="314"/>
    <col min="7426" max="7426" width="36.85546875" style="314" customWidth="1"/>
    <col min="7427" max="7427" width="9.140625" style="314"/>
    <col min="7428" max="7430" width="10.140625" style="314" customWidth="1"/>
    <col min="7431" max="7432" width="10.85546875" style="314" customWidth="1"/>
    <col min="7433" max="7433" width="9.140625" style="314"/>
    <col min="7434" max="7435" width="11.7109375" style="314" bestFit="1" customWidth="1"/>
    <col min="7436" max="7436" width="9.140625" style="314"/>
    <col min="7437" max="7437" width="10.85546875" style="314" customWidth="1"/>
    <col min="7438" max="7438" width="12.42578125" style="314" customWidth="1"/>
    <col min="7439" max="7681" width="9.140625" style="314"/>
    <col min="7682" max="7682" width="36.85546875" style="314" customWidth="1"/>
    <col min="7683" max="7683" width="9.140625" style="314"/>
    <col min="7684" max="7686" width="10.140625" style="314" customWidth="1"/>
    <col min="7687" max="7688" width="10.85546875" style="314" customWidth="1"/>
    <col min="7689" max="7689" width="9.140625" style="314"/>
    <col min="7690" max="7691" width="11.7109375" style="314" bestFit="1" customWidth="1"/>
    <col min="7692" max="7692" width="9.140625" style="314"/>
    <col min="7693" max="7693" width="10.85546875" style="314" customWidth="1"/>
    <col min="7694" max="7694" width="12.42578125" style="314" customWidth="1"/>
    <col min="7695" max="7937" width="9.140625" style="314"/>
    <col min="7938" max="7938" width="36.85546875" style="314" customWidth="1"/>
    <col min="7939" max="7939" width="9.140625" style="314"/>
    <col min="7940" max="7942" width="10.140625" style="314" customWidth="1"/>
    <col min="7943" max="7944" width="10.85546875" style="314" customWidth="1"/>
    <col min="7945" max="7945" width="9.140625" style="314"/>
    <col min="7946" max="7947" width="11.7109375" style="314" bestFit="1" customWidth="1"/>
    <col min="7948" max="7948" width="9.140625" style="314"/>
    <col min="7949" max="7949" width="10.85546875" style="314" customWidth="1"/>
    <col min="7950" max="7950" width="12.42578125" style="314" customWidth="1"/>
    <col min="7951" max="8193" width="9.140625" style="314"/>
    <col min="8194" max="8194" width="36.85546875" style="314" customWidth="1"/>
    <col min="8195" max="8195" width="9.140625" style="314"/>
    <col min="8196" max="8198" width="10.140625" style="314" customWidth="1"/>
    <col min="8199" max="8200" width="10.85546875" style="314" customWidth="1"/>
    <col min="8201" max="8201" width="9.140625" style="314"/>
    <col min="8202" max="8203" width="11.7109375" style="314" bestFit="1" customWidth="1"/>
    <col min="8204" max="8204" width="9.140625" style="314"/>
    <col min="8205" max="8205" width="10.85546875" style="314" customWidth="1"/>
    <col min="8206" max="8206" width="12.42578125" style="314" customWidth="1"/>
    <col min="8207" max="8449" width="9.140625" style="314"/>
    <col min="8450" max="8450" width="36.85546875" style="314" customWidth="1"/>
    <col min="8451" max="8451" width="9.140625" style="314"/>
    <col min="8452" max="8454" width="10.140625" style="314" customWidth="1"/>
    <col min="8455" max="8456" width="10.85546875" style="314" customWidth="1"/>
    <col min="8457" max="8457" width="9.140625" style="314"/>
    <col min="8458" max="8459" width="11.7109375" style="314" bestFit="1" customWidth="1"/>
    <col min="8460" max="8460" width="9.140625" style="314"/>
    <col min="8461" max="8461" width="10.85546875" style="314" customWidth="1"/>
    <col min="8462" max="8462" width="12.42578125" style="314" customWidth="1"/>
    <col min="8463" max="8705" width="9.140625" style="314"/>
    <col min="8706" max="8706" width="36.85546875" style="314" customWidth="1"/>
    <col min="8707" max="8707" width="9.140625" style="314"/>
    <col min="8708" max="8710" width="10.140625" style="314" customWidth="1"/>
    <col min="8711" max="8712" width="10.85546875" style="314" customWidth="1"/>
    <col min="8713" max="8713" width="9.140625" style="314"/>
    <col min="8714" max="8715" width="11.7109375" style="314" bestFit="1" customWidth="1"/>
    <col min="8716" max="8716" width="9.140625" style="314"/>
    <col min="8717" max="8717" width="10.85546875" style="314" customWidth="1"/>
    <col min="8718" max="8718" width="12.42578125" style="314" customWidth="1"/>
    <col min="8719" max="8961" width="9.140625" style="314"/>
    <col min="8962" max="8962" width="36.85546875" style="314" customWidth="1"/>
    <col min="8963" max="8963" width="9.140625" style="314"/>
    <col min="8964" max="8966" width="10.140625" style="314" customWidth="1"/>
    <col min="8967" max="8968" width="10.85546875" style="314" customWidth="1"/>
    <col min="8969" max="8969" width="9.140625" style="314"/>
    <col min="8970" max="8971" width="11.7109375" style="314" bestFit="1" customWidth="1"/>
    <col min="8972" max="8972" width="9.140625" style="314"/>
    <col min="8973" max="8973" width="10.85546875" style="314" customWidth="1"/>
    <col min="8974" max="8974" width="12.42578125" style="314" customWidth="1"/>
    <col min="8975" max="9217" width="9.140625" style="314"/>
    <col min="9218" max="9218" width="36.85546875" style="314" customWidth="1"/>
    <col min="9219" max="9219" width="9.140625" style="314"/>
    <col min="9220" max="9222" width="10.140625" style="314" customWidth="1"/>
    <col min="9223" max="9224" width="10.85546875" style="314" customWidth="1"/>
    <col min="9225" max="9225" width="9.140625" style="314"/>
    <col min="9226" max="9227" width="11.7109375" style="314" bestFit="1" customWidth="1"/>
    <col min="9228" max="9228" width="9.140625" style="314"/>
    <col min="9229" max="9229" width="10.85546875" style="314" customWidth="1"/>
    <col min="9230" max="9230" width="12.42578125" style="314" customWidth="1"/>
    <col min="9231" max="9473" width="9.140625" style="314"/>
    <col min="9474" max="9474" width="36.85546875" style="314" customWidth="1"/>
    <col min="9475" max="9475" width="9.140625" style="314"/>
    <col min="9476" max="9478" width="10.140625" style="314" customWidth="1"/>
    <col min="9479" max="9480" width="10.85546875" style="314" customWidth="1"/>
    <col min="9481" max="9481" width="9.140625" style="314"/>
    <col min="9482" max="9483" width="11.7109375" style="314" bestFit="1" customWidth="1"/>
    <col min="9484" max="9484" width="9.140625" style="314"/>
    <col min="9485" max="9485" width="10.85546875" style="314" customWidth="1"/>
    <col min="9486" max="9486" width="12.42578125" style="314" customWidth="1"/>
    <col min="9487" max="9729" width="9.140625" style="314"/>
    <col min="9730" max="9730" width="36.85546875" style="314" customWidth="1"/>
    <col min="9731" max="9731" width="9.140625" style="314"/>
    <col min="9732" max="9734" width="10.140625" style="314" customWidth="1"/>
    <col min="9735" max="9736" width="10.85546875" style="314" customWidth="1"/>
    <col min="9737" max="9737" width="9.140625" style="314"/>
    <col min="9738" max="9739" width="11.7109375" style="314" bestFit="1" customWidth="1"/>
    <col min="9740" max="9740" width="9.140625" style="314"/>
    <col min="9741" max="9741" width="10.85546875" style="314" customWidth="1"/>
    <col min="9742" max="9742" width="12.42578125" style="314" customWidth="1"/>
    <col min="9743" max="9985" width="9.140625" style="314"/>
    <col min="9986" max="9986" width="36.85546875" style="314" customWidth="1"/>
    <col min="9987" max="9987" width="9.140625" style="314"/>
    <col min="9988" max="9990" width="10.140625" style="314" customWidth="1"/>
    <col min="9991" max="9992" width="10.85546875" style="314" customWidth="1"/>
    <col min="9993" max="9993" width="9.140625" style="314"/>
    <col min="9994" max="9995" width="11.7109375" style="314" bestFit="1" customWidth="1"/>
    <col min="9996" max="9996" width="9.140625" style="314"/>
    <col min="9997" max="9997" width="10.85546875" style="314" customWidth="1"/>
    <col min="9998" max="9998" width="12.42578125" style="314" customWidth="1"/>
    <col min="9999" max="10241" width="9.140625" style="314"/>
    <col min="10242" max="10242" width="36.85546875" style="314" customWidth="1"/>
    <col min="10243" max="10243" width="9.140625" style="314"/>
    <col min="10244" max="10246" width="10.140625" style="314" customWidth="1"/>
    <col min="10247" max="10248" width="10.85546875" style="314" customWidth="1"/>
    <col min="10249" max="10249" width="9.140625" style="314"/>
    <col min="10250" max="10251" width="11.7109375" style="314" bestFit="1" customWidth="1"/>
    <col min="10252" max="10252" width="9.140625" style="314"/>
    <col min="10253" max="10253" width="10.85546875" style="314" customWidth="1"/>
    <col min="10254" max="10254" width="12.42578125" style="314" customWidth="1"/>
    <col min="10255" max="10497" width="9.140625" style="314"/>
    <col min="10498" max="10498" width="36.85546875" style="314" customWidth="1"/>
    <col min="10499" max="10499" width="9.140625" style="314"/>
    <col min="10500" max="10502" width="10.140625" style="314" customWidth="1"/>
    <col min="10503" max="10504" width="10.85546875" style="314" customWidth="1"/>
    <col min="10505" max="10505" width="9.140625" style="314"/>
    <col min="10506" max="10507" width="11.7109375" style="314" bestFit="1" customWidth="1"/>
    <col min="10508" max="10508" width="9.140625" style="314"/>
    <col min="10509" max="10509" width="10.85546875" style="314" customWidth="1"/>
    <col min="10510" max="10510" width="12.42578125" style="314" customWidth="1"/>
    <col min="10511" max="10753" width="9.140625" style="314"/>
    <col min="10754" max="10754" width="36.85546875" style="314" customWidth="1"/>
    <col min="10755" max="10755" width="9.140625" style="314"/>
    <col min="10756" max="10758" width="10.140625" style="314" customWidth="1"/>
    <col min="10759" max="10760" width="10.85546875" style="314" customWidth="1"/>
    <col min="10761" max="10761" width="9.140625" style="314"/>
    <col min="10762" max="10763" width="11.7109375" style="314" bestFit="1" customWidth="1"/>
    <col min="10764" max="10764" width="9.140625" style="314"/>
    <col min="10765" max="10765" width="10.85546875" style="314" customWidth="1"/>
    <col min="10766" max="10766" width="12.42578125" style="314" customWidth="1"/>
    <col min="10767" max="11009" width="9.140625" style="314"/>
    <col min="11010" max="11010" width="36.85546875" style="314" customWidth="1"/>
    <col min="11011" max="11011" width="9.140625" style="314"/>
    <col min="11012" max="11014" width="10.140625" style="314" customWidth="1"/>
    <col min="11015" max="11016" width="10.85546875" style="314" customWidth="1"/>
    <col min="11017" max="11017" width="9.140625" style="314"/>
    <col min="11018" max="11019" width="11.7109375" style="314" bestFit="1" customWidth="1"/>
    <col min="11020" max="11020" width="9.140625" style="314"/>
    <col min="11021" max="11021" width="10.85546875" style="314" customWidth="1"/>
    <col min="11022" max="11022" width="12.42578125" style="314" customWidth="1"/>
    <col min="11023" max="11265" width="9.140625" style="314"/>
    <col min="11266" max="11266" width="36.85546875" style="314" customWidth="1"/>
    <col min="11267" max="11267" width="9.140625" style="314"/>
    <col min="11268" max="11270" width="10.140625" style="314" customWidth="1"/>
    <col min="11271" max="11272" width="10.85546875" style="314" customWidth="1"/>
    <col min="11273" max="11273" width="9.140625" style="314"/>
    <col min="11274" max="11275" width="11.7109375" style="314" bestFit="1" customWidth="1"/>
    <col min="11276" max="11276" width="9.140625" style="314"/>
    <col min="11277" max="11277" width="10.85546875" style="314" customWidth="1"/>
    <col min="11278" max="11278" width="12.42578125" style="314" customWidth="1"/>
    <col min="11279" max="11521" width="9.140625" style="314"/>
    <col min="11522" max="11522" width="36.85546875" style="314" customWidth="1"/>
    <col min="11523" max="11523" width="9.140625" style="314"/>
    <col min="11524" max="11526" width="10.140625" style="314" customWidth="1"/>
    <col min="11527" max="11528" width="10.85546875" style="314" customWidth="1"/>
    <col min="11529" max="11529" width="9.140625" style="314"/>
    <col min="11530" max="11531" width="11.7109375" style="314" bestFit="1" customWidth="1"/>
    <col min="11532" max="11532" width="9.140625" style="314"/>
    <col min="11533" max="11533" width="10.85546875" style="314" customWidth="1"/>
    <col min="11534" max="11534" width="12.42578125" style="314" customWidth="1"/>
    <col min="11535" max="11777" width="9.140625" style="314"/>
    <col min="11778" max="11778" width="36.85546875" style="314" customWidth="1"/>
    <col min="11779" max="11779" width="9.140625" style="314"/>
    <col min="11780" max="11782" width="10.140625" style="314" customWidth="1"/>
    <col min="11783" max="11784" width="10.85546875" style="314" customWidth="1"/>
    <col min="11785" max="11785" width="9.140625" style="314"/>
    <col min="11786" max="11787" width="11.7109375" style="314" bestFit="1" customWidth="1"/>
    <col min="11788" max="11788" width="9.140625" style="314"/>
    <col min="11789" max="11789" width="10.85546875" style="314" customWidth="1"/>
    <col min="11790" max="11790" width="12.42578125" style="314" customWidth="1"/>
    <col min="11791" max="12033" width="9.140625" style="314"/>
    <col min="12034" max="12034" width="36.85546875" style="314" customWidth="1"/>
    <col min="12035" max="12035" width="9.140625" style="314"/>
    <col min="12036" max="12038" width="10.140625" style="314" customWidth="1"/>
    <col min="12039" max="12040" width="10.85546875" style="314" customWidth="1"/>
    <col min="12041" max="12041" width="9.140625" style="314"/>
    <col min="12042" max="12043" width="11.7109375" style="314" bestFit="1" customWidth="1"/>
    <col min="12044" max="12044" width="9.140625" style="314"/>
    <col min="12045" max="12045" width="10.85546875" style="314" customWidth="1"/>
    <col min="12046" max="12046" width="12.42578125" style="314" customWidth="1"/>
    <col min="12047" max="12289" width="9.140625" style="314"/>
    <col min="12290" max="12290" width="36.85546875" style="314" customWidth="1"/>
    <col min="12291" max="12291" width="9.140625" style="314"/>
    <col min="12292" max="12294" width="10.140625" style="314" customWidth="1"/>
    <col min="12295" max="12296" width="10.85546875" style="314" customWidth="1"/>
    <col min="12297" max="12297" width="9.140625" style="314"/>
    <col min="12298" max="12299" width="11.7109375" style="314" bestFit="1" customWidth="1"/>
    <col min="12300" max="12300" width="9.140625" style="314"/>
    <col min="12301" max="12301" width="10.85546875" style="314" customWidth="1"/>
    <col min="12302" max="12302" width="12.42578125" style="314" customWidth="1"/>
    <col min="12303" max="12545" width="9.140625" style="314"/>
    <col min="12546" max="12546" width="36.85546875" style="314" customWidth="1"/>
    <col min="12547" max="12547" width="9.140625" style="314"/>
    <col min="12548" max="12550" width="10.140625" style="314" customWidth="1"/>
    <col min="12551" max="12552" width="10.85546875" style="314" customWidth="1"/>
    <col min="12553" max="12553" width="9.140625" style="314"/>
    <col min="12554" max="12555" width="11.7109375" style="314" bestFit="1" customWidth="1"/>
    <col min="12556" max="12556" width="9.140625" style="314"/>
    <col min="12557" max="12557" width="10.85546875" style="314" customWidth="1"/>
    <col min="12558" max="12558" width="12.42578125" style="314" customWidth="1"/>
    <col min="12559" max="12801" width="9.140625" style="314"/>
    <col min="12802" max="12802" width="36.85546875" style="314" customWidth="1"/>
    <col min="12803" max="12803" width="9.140625" style="314"/>
    <col min="12804" max="12806" width="10.140625" style="314" customWidth="1"/>
    <col min="12807" max="12808" width="10.85546875" style="314" customWidth="1"/>
    <col min="12809" max="12809" width="9.140625" style="314"/>
    <col min="12810" max="12811" width="11.7109375" style="314" bestFit="1" customWidth="1"/>
    <col min="12812" max="12812" width="9.140625" style="314"/>
    <col min="12813" max="12813" width="10.85546875" style="314" customWidth="1"/>
    <col min="12814" max="12814" width="12.42578125" style="314" customWidth="1"/>
    <col min="12815" max="13057" width="9.140625" style="314"/>
    <col min="13058" max="13058" width="36.85546875" style="314" customWidth="1"/>
    <col min="13059" max="13059" width="9.140625" style="314"/>
    <col min="13060" max="13062" width="10.140625" style="314" customWidth="1"/>
    <col min="13063" max="13064" width="10.85546875" style="314" customWidth="1"/>
    <col min="13065" max="13065" width="9.140625" style="314"/>
    <col min="13066" max="13067" width="11.7109375" style="314" bestFit="1" customWidth="1"/>
    <col min="13068" max="13068" width="9.140625" style="314"/>
    <col min="13069" max="13069" width="10.85546875" style="314" customWidth="1"/>
    <col min="13070" max="13070" width="12.42578125" style="314" customWidth="1"/>
    <col min="13071" max="13313" width="9.140625" style="314"/>
    <col min="13314" max="13314" width="36.85546875" style="314" customWidth="1"/>
    <col min="13315" max="13315" width="9.140625" style="314"/>
    <col min="13316" max="13318" width="10.140625" style="314" customWidth="1"/>
    <col min="13319" max="13320" width="10.85546875" style="314" customWidth="1"/>
    <col min="13321" max="13321" width="9.140625" style="314"/>
    <col min="13322" max="13323" width="11.7109375" style="314" bestFit="1" customWidth="1"/>
    <col min="13324" max="13324" width="9.140625" style="314"/>
    <col min="13325" max="13325" width="10.85546875" style="314" customWidth="1"/>
    <col min="13326" max="13326" width="12.42578125" style="314" customWidth="1"/>
    <col min="13327" max="13569" width="9.140625" style="314"/>
    <col min="13570" max="13570" width="36.85546875" style="314" customWidth="1"/>
    <col min="13571" max="13571" width="9.140625" style="314"/>
    <col min="13572" max="13574" width="10.140625" style="314" customWidth="1"/>
    <col min="13575" max="13576" width="10.85546875" style="314" customWidth="1"/>
    <col min="13577" max="13577" width="9.140625" style="314"/>
    <col min="13578" max="13579" width="11.7109375" style="314" bestFit="1" customWidth="1"/>
    <col min="13580" max="13580" width="9.140625" style="314"/>
    <col min="13581" max="13581" width="10.85546875" style="314" customWidth="1"/>
    <col min="13582" max="13582" width="12.42578125" style="314" customWidth="1"/>
    <col min="13583" max="13825" width="9.140625" style="314"/>
    <col min="13826" max="13826" width="36.85546875" style="314" customWidth="1"/>
    <col min="13827" max="13827" width="9.140625" style="314"/>
    <col min="13828" max="13830" width="10.140625" style="314" customWidth="1"/>
    <col min="13831" max="13832" width="10.85546875" style="314" customWidth="1"/>
    <col min="13833" max="13833" width="9.140625" style="314"/>
    <col min="13834" max="13835" width="11.7109375" style="314" bestFit="1" customWidth="1"/>
    <col min="13836" max="13836" width="9.140625" style="314"/>
    <col min="13837" max="13837" width="10.85546875" style="314" customWidth="1"/>
    <col min="13838" max="13838" width="12.42578125" style="314" customWidth="1"/>
    <col min="13839" max="14081" width="9.140625" style="314"/>
    <col min="14082" max="14082" width="36.85546875" style="314" customWidth="1"/>
    <col min="14083" max="14083" width="9.140625" style="314"/>
    <col min="14084" max="14086" width="10.140625" style="314" customWidth="1"/>
    <col min="14087" max="14088" width="10.85546875" style="314" customWidth="1"/>
    <col min="14089" max="14089" width="9.140625" style="314"/>
    <col min="14090" max="14091" width="11.7109375" style="314" bestFit="1" customWidth="1"/>
    <col min="14092" max="14092" width="9.140625" style="314"/>
    <col min="14093" max="14093" width="10.85546875" style="314" customWidth="1"/>
    <col min="14094" max="14094" width="12.42578125" style="314" customWidth="1"/>
    <col min="14095" max="14337" width="9.140625" style="314"/>
    <col min="14338" max="14338" width="36.85546875" style="314" customWidth="1"/>
    <col min="14339" max="14339" width="9.140625" style="314"/>
    <col min="14340" max="14342" width="10.140625" style="314" customWidth="1"/>
    <col min="14343" max="14344" width="10.85546875" style="314" customWidth="1"/>
    <col min="14345" max="14345" width="9.140625" style="314"/>
    <col min="14346" max="14347" width="11.7109375" style="314" bestFit="1" customWidth="1"/>
    <col min="14348" max="14348" width="9.140625" style="314"/>
    <col min="14349" max="14349" width="10.85546875" style="314" customWidth="1"/>
    <col min="14350" max="14350" width="12.42578125" style="314" customWidth="1"/>
    <col min="14351" max="14593" width="9.140625" style="314"/>
    <col min="14594" max="14594" width="36.85546875" style="314" customWidth="1"/>
    <col min="14595" max="14595" width="9.140625" style="314"/>
    <col min="14596" max="14598" width="10.140625" style="314" customWidth="1"/>
    <col min="14599" max="14600" width="10.85546875" style="314" customWidth="1"/>
    <col min="14601" max="14601" width="9.140625" style="314"/>
    <col min="14602" max="14603" width="11.7109375" style="314" bestFit="1" customWidth="1"/>
    <col min="14604" max="14604" width="9.140625" style="314"/>
    <col min="14605" max="14605" width="10.85546875" style="314" customWidth="1"/>
    <col min="14606" max="14606" width="12.42578125" style="314" customWidth="1"/>
    <col min="14607" max="14849" width="9.140625" style="314"/>
    <col min="14850" max="14850" width="36.85546875" style="314" customWidth="1"/>
    <col min="14851" max="14851" width="9.140625" style="314"/>
    <col min="14852" max="14854" width="10.140625" style="314" customWidth="1"/>
    <col min="14855" max="14856" width="10.85546875" style="314" customWidth="1"/>
    <col min="14857" max="14857" width="9.140625" style="314"/>
    <col min="14858" max="14859" width="11.7109375" style="314" bestFit="1" customWidth="1"/>
    <col min="14860" max="14860" width="9.140625" style="314"/>
    <col min="14861" max="14861" width="10.85546875" style="314" customWidth="1"/>
    <col min="14862" max="14862" width="12.42578125" style="314" customWidth="1"/>
    <col min="14863" max="15105" width="9.140625" style="314"/>
    <col min="15106" max="15106" width="36.85546875" style="314" customWidth="1"/>
    <col min="15107" max="15107" width="9.140625" style="314"/>
    <col min="15108" max="15110" width="10.140625" style="314" customWidth="1"/>
    <col min="15111" max="15112" width="10.85546875" style="314" customWidth="1"/>
    <col min="15113" max="15113" width="9.140625" style="314"/>
    <col min="15114" max="15115" width="11.7109375" style="314" bestFit="1" customWidth="1"/>
    <col min="15116" max="15116" width="9.140625" style="314"/>
    <col min="15117" max="15117" width="10.85546875" style="314" customWidth="1"/>
    <col min="15118" max="15118" width="12.42578125" style="314" customWidth="1"/>
    <col min="15119" max="15361" width="9.140625" style="314"/>
    <col min="15362" max="15362" width="36.85546875" style="314" customWidth="1"/>
    <col min="15363" max="15363" width="9.140625" style="314"/>
    <col min="15364" max="15366" width="10.140625" style="314" customWidth="1"/>
    <col min="15367" max="15368" width="10.85546875" style="314" customWidth="1"/>
    <col min="15369" max="15369" width="9.140625" style="314"/>
    <col min="15370" max="15371" width="11.7109375" style="314" bestFit="1" customWidth="1"/>
    <col min="15372" max="15372" width="9.140625" style="314"/>
    <col min="15373" max="15373" width="10.85546875" style="314" customWidth="1"/>
    <col min="15374" max="15374" width="12.42578125" style="314" customWidth="1"/>
    <col min="15375" max="15617" width="9.140625" style="314"/>
    <col min="15618" max="15618" width="36.85546875" style="314" customWidth="1"/>
    <col min="15619" max="15619" width="9.140625" style="314"/>
    <col min="15620" max="15622" width="10.140625" style="314" customWidth="1"/>
    <col min="15623" max="15624" width="10.85546875" style="314" customWidth="1"/>
    <col min="15625" max="15625" width="9.140625" style="314"/>
    <col min="15626" max="15627" width="11.7109375" style="314" bestFit="1" customWidth="1"/>
    <col min="15628" max="15628" width="9.140625" style="314"/>
    <col min="15629" max="15629" width="10.85546875" style="314" customWidth="1"/>
    <col min="15630" max="15630" width="12.42578125" style="314" customWidth="1"/>
    <col min="15631" max="15873" width="9.140625" style="314"/>
    <col min="15874" max="15874" width="36.85546875" style="314" customWidth="1"/>
    <col min="15875" max="15875" width="9.140625" style="314"/>
    <col min="15876" max="15878" width="10.140625" style="314" customWidth="1"/>
    <col min="15879" max="15880" width="10.85546875" style="314" customWidth="1"/>
    <col min="15881" max="15881" width="9.140625" style="314"/>
    <col min="15882" max="15883" width="11.7109375" style="314" bestFit="1" customWidth="1"/>
    <col min="15884" max="15884" width="9.140625" style="314"/>
    <col min="15885" max="15885" width="10.85546875" style="314" customWidth="1"/>
    <col min="15886" max="15886" width="12.42578125" style="314" customWidth="1"/>
    <col min="15887" max="16129" width="9.140625" style="314"/>
    <col min="16130" max="16130" width="36.85546875" style="314" customWidth="1"/>
    <col min="16131" max="16131" width="9.140625" style="314"/>
    <col min="16132" max="16134" width="10.140625" style="314" customWidth="1"/>
    <col min="16135" max="16136" width="10.85546875" style="314" customWidth="1"/>
    <col min="16137" max="16137" width="9.140625" style="314"/>
    <col min="16138" max="16139" width="11.7109375" style="314" bestFit="1" customWidth="1"/>
    <col min="16140" max="16140" width="9.140625" style="314"/>
    <col min="16141" max="16141" width="10.85546875" style="314" customWidth="1"/>
    <col min="16142" max="16142" width="12.42578125" style="314" customWidth="1"/>
    <col min="16143" max="16384" width="9.140625" style="314"/>
  </cols>
  <sheetData>
    <row r="1" spans="1:14" ht="12.75" customHeight="1">
      <c r="A1" s="1576" t="s">
        <v>493</v>
      </c>
      <c r="B1" s="1276"/>
      <c r="C1" s="1276"/>
      <c r="D1" s="1276"/>
      <c r="E1" s="1276"/>
      <c r="F1" s="1276"/>
      <c r="G1" s="1276"/>
      <c r="H1" s="1577"/>
      <c r="I1" s="1569" t="s">
        <v>494</v>
      </c>
      <c r="J1" s="1523"/>
      <c r="K1" s="1523"/>
      <c r="L1" s="1523"/>
      <c r="M1" s="1523"/>
      <c r="N1" s="1545" t="s">
        <v>599</v>
      </c>
    </row>
    <row r="2" spans="1:14" ht="9" customHeight="1">
      <c r="A2" s="1571"/>
      <c r="B2" s="1572"/>
      <c r="C2" s="1572"/>
      <c r="D2" s="1572"/>
      <c r="E2" s="1572"/>
      <c r="F2" s="1572"/>
      <c r="G2" s="1572"/>
      <c r="H2" s="1572"/>
      <c r="I2" s="1570"/>
      <c r="J2" s="1525"/>
      <c r="K2" s="1525"/>
      <c r="L2" s="1525"/>
      <c r="M2" s="1525"/>
      <c r="N2" s="1546"/>
    </row>
    <row r="3" spans="1:14" ht="11.25" customHeight="1">
      <c r="A3" s="749" t="s">
        <v>747</v>
      </c>
      <c r="B3" s="748" t="str">
        <f>'F1 Forecast Consultant'!C3</f>
        <v>Western</v>
      </c>
      <c r="C3" s="622"/>
      <c r="D3" s="622"/>
      <c r="E3" s="622"/>
      <c r="F3" s="622"/>
      <c r="G3" s="622"/>
      <c r="H3" s="622"/>
      <c r="I3" s="1573" t="s">
        <v>495</v>
      </c>
      <c r="J3" s="1531"/>
      <c r="K3" s="1532">
        <f>'F1  Cover'!K8</f>
        <v>1</v>
      </c>
      <c r="L3" s="1533"/>
      <c r="M3" s="1533"/>
      <c r="N3" s="1534"/>
    </row>
    <row r="4" spans="1:14" ht="13.5" thickBot="1">
      <c r="A4" s="1563"/>
      <c r="B4" s="1564"/>
      <c r="C4" s="1564"/>
      <c r="D4" s="1564"/>
      <c r="E4" s="1564"/>
      <c r="F4" s="1564"/>
      <c r="G4" s="1564"/>
      <c r="H4" s="1564"/>
      <c r="I4" s="1565" t="s">
        <v>496</v>
      </c>
      <c r="J4" s="1566"/>
      <c r="K4" s="1555" t="str">
        <f>'F1 Forecast Combined'!E3</f>
        <v>NRA.N.011-050-2012/1F</v>
      </c>
      <c r="L4" s="1555"/>
      <c r="M4" s="1555"/>
      <c r="N4" s="1556"/>
    </row>
    <row r="5" spans="1:14" ht="13.5" thickBot="1">
      <c r="A5" s="727" t="s">
        <v>497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75" customHeight="1" thickBot="1">
      <c r="A6" s="724" t="s">
        <v>100</v>
      </c>
      <c r="B6" s="725" t="s">
        <v>0</v>
      </c>
      <c r="C6" s="718" t="s">
        <v>1</v>
      </c>
      <c r="D6" s="716" t="s">
        <v>498</v>
      </c>
      <c r="E6" s="717" t="s">
        <v>499</v>
      </c>
      <c r="F6" s="717" t="s">
        <v>500</v>
      </c>
      <c r="G6" s="717" t="s">
        <v>501</v>
      </c>
      <c r="H6" s="718" t="s">
        <v>502</v>
      </c>
      <c r="I6" s="716" t="s">
        <v>3</v>
      </c>
      <c r="J6" s="717" t="s">
        <v>503</v>
      </c>
      <c r="K6" s="717" t="s">
        <v>504</v>
      </c>
      <c r="L6" s="717" t="s">
        <v>505</v>
      </c>
      <c r="M6" s="717" t="s">
        <v>506</v>
      </c>
      <c r="N6" s="718" t="s">
        <v>507</v>
      </c>
    </row>
    <row r="7" spans="1:14" ht="31.5" customHeight="1">
      <c r="A7" s="769">
        <f>'Pricing Schedule'!A359</f>
        <v>3.1</v>
      </c>
      <c r="B7" s="625" t="str">
        <f>'Pricing Schedule'!B359</f>
        <v>CLOSE OUT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770" t="str">
        <f>'Pricing Schedule'!A360</f>
        <v>3.10.1</v>
      </c>
      <c r="B8" s="630" t="str">
        <f>'Pricing Schedule'!B360</f>
        <v>CLOSE OUT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770"/>
      <c r="B9" s="630" t="str">
        <f>'Pricing Schedule'!B361</f>
        <v xml:space="preserve">(a) Road works: </v>
      </c>
      <c r="C9" s="630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770"/>
      <c r="B10" s="630" t="str">
        <f>'Pricing Schedule'!B362</f>
        <v>(i)   Fee (based on Employer’s estimated cost of the works)</v>
      </c>
      <c r="C10" s="630" t="str">
        <f>'Pricing Schedule'!C362</f>
        <v>lump sum (LS)</v>
      </c>
      <c r="D10" s="651">
        <v>1</v>
      </c>
      <c r="E10" s="631">
        <v>1</v>
      </c>
      <c r="F10" s="855">
        <f>DATA!$GG$52</f>
        <v>0</v>
      </c>
      <c r="G10" s="722"/>
      <c r="H10" s="632">
        <f>IF((F10+G10)&gt;E10,"◄ ERROR TOO MUCH",(F10+G10))</f>
        <v>0</v>
      </c>
      <c r="I10" s="733">
        <f>'Pricing Schedule'!F362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770"/>
      <c r="B11" s="630" t="str">
        <f>'Pricing Schedule'!B363</f>
        <v xml:space="preserve">(ii)  Fee adjustment* </v>
      </c>
      <c r="C11" s="630" t="str">
        <f>'Pricing Schedule'!C363</f>
        <v>lump sum (LS)</v>
      </c>
      <c r="D11" s="651">
        <v>1</v>
      </c>
      <c r="E11" s="631">
        <v>1</v>
      </c>
      <c r="F11" s="855">
        <f>DATA!$IU$52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 t="e">
        <f>'ADJ-Summary'!$J$13</f>
        <v>#N/A</v>
      </c>
      <c r="K11" s="631" t="e">
        <f>'ADJ-Summary'!$J$20</f>
        <v>#N/A</v>
      </c>
      <c r="L11" s="855">
        <f>DATA!$IV$52</f>
        <v>0</v>
      </c>
      <c r="M11" s="631" t="e">
        <f>+(G11+F11)*K11-L11</f>
        <v>#N/A</v>
      </c>
      <c r="N11" s="632" t="e">
        <f>L11+M11</f>
        <v>#N/A</v>
      </c>
    </row>
    <row r="12" spans="1:14" ht="31.5" customHeight="1">
      <c r="A12" s="770"/>
      <c r="B12" s="630" t="str">
        <f>'Pricing Schedule'!B364</f>
        <v xml:space="preserve">(b) Structures (bridges and other major structures): </v>
      </c>
      <c r="C12" s="630"/>
      <c r="D12" s="651"/>
      <c r="E12" s="631"/>
      <c r="F12" s="631"/>
      <c r="G12" s="631"/>
      <c r="H12" s="632"/>
      <c r="I12" s="733"/>
      <c r="J12" s="631"/>
      <c r="K12" s="631"/>
      <c r="L12" s="631"/>
      <c r="M12" s="631"/>
      <c r="N12" s="632"/>
    </row>
    <row r="13" spans="1:14" ht="31.5" customHeight="1">
      <c r="A13" s="770"/>
      <c r="B13" s="630" t="str">
        <f>'Pricing Schedule'!B365</f>
        <v>(i)   Fee (based on Employer’s estimated cost of the works)</v>
      </c>
      <c r="C13" s="630" t="str">
        <f>'Pricing Schedule'!C365</f>
        <v>lump sum (LS)</v>
      </c>
      <c r="D13" s="651">
        <v>1</v>
      </c>
      <c r="E13" s="631">
        <v>1</v>
      </c>
      <c r="F13" s="855">
        <f>DATA!$GH$52</f>
        <v>0</v>
      </c>
      <c r="G13" s="722"/>
      <c r="H13" s="632">
        <f>IF((F13+G13)&gt;E13,"◄ ERROR TOO MUCH",(F13+G13))</f>
        <v>0</v>
      </c>
      <c r="I13" s="733">
        <f>'Pricing Schedule'!F365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70"/>
      <c r="B14" s="630" t="str">
        <f>'Pricing Schedule'!B366</f>
        <v xml:space="preserve">(ii)  Fee adjustment* </v>
      </c>
      <c r="C14" s="630" t="str">
        <f>'Pricing Schedule'!C366</f>
        <v>lump sum (LS)</v>
      </c>
      <c r="D14" s="651">
        <v>1</v>
      </c>
      <c r="E14" s="631">
        <v>1</v>
      </c>
      <c r="F14" s="855">
        <f>DATA!$IW$52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 t="e">
        <f>'ADJ-Summary'!$J$36</f>
        <v>#N/A</v>
      </c>
      <c r="K14" s="631" t="e">
        <f>'ADJ-Summary'!$J$43</f>
        <v>#N/A</v>
      </c>
      <c r="L14" s="855">
        <f>DATA!$IX$52</f>
        <v>0</v>
      </c>
      <c r="M14" s="631" t="e">
        <f>+(G14+F14)*K14-L14</f>
        <v>#N/A</v>
      </c>
      <c r="N14" s="632" t="e">
        <f>L14+M14</f>
        <v>#N/A</v>
      </c>
    </row>
    <row r="15" spans="1:14" ht="31.5" customHeight="1">
      <c r="A15" s="770"/>
      <c r="B15" s="630" t="str">
        <f>'Pricing Schedule'!B367</f>
        <v>(c) Electrical:</v>
      </c>
      <c r="C15" s="630"/>
      <c r="D15" s="651"/>
      <c r="E15" s="631"/>
      <c r="F15" s="631"/>
      <c r="G15" s="631"/>
      <c r="H15" s="632"/>
      <c r="I15" s="733"/>
      <c r="J15" s="631"/>
      <c r="K15" s="631"/>
      <c r="L15" s="631"/>
      <c r="M15" s="631"/>
      <c r="N15" s="632"/>
    </row>
    <row r="16" spans="1:14" ht="31.5" customHeight="1">
      <c r="A16" s="770"/>
      <c r="B16" s="630" t="str">
        <f>'Pricing Schedule'!B368</f>
        <v>(i)   Fee (based on Employer’s estimated cost of the works)</v>
      </c>
      <c r="C16" s="630" t="str">
        <f>'Pricing Schedule'!C368</f>
        <v>lump sum (LS)</v>
      </c>
      <c r="D16" s="651">
        <v>1</v>
      </c>
      <c r="E16" s="631">
        <v>1</v>
      </c>
      <c r="F16" s="855">
        <f>DATA!$GI$52</f>
        <v>0</v>
      </c>
      <c r="G16" s="722"/>
      <c r="H16" s="632">
        <f>IF((F16+G16)&gt;E16,"◄ ERROR TOO MUCH",(F16+G16))</f>
        <v>0</v>
      </c>
      <c r="I16" s="733">
        <f>'Pricing Schedule'!F368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770"/>
      <c r="B17" s="630" t="str">
        <f>'Pricing Schedule'!B369</f>
        <v xml:space="preserve">(ii)  Fee adjustment* </v>
      </c>
      <c r="C17" s="630" t="str">
        <f>'Pricing Schedule'!C369</f>
        <v>lump sum (LS)</v>
      </c>
      <c r="D17" s="651">
        <v>1</v>
      </c>
      <c r="E17" s="631">
        <v>1</v>
      </c>
      <c r="F17" s="855">
        <f>DATA!$IY$52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 t="e">
        <f>'ADJ-Summary'!$J$60</f>
        <v>#N/A</v>
      </c>
      <c r="K17" s="631" t="e">
        <f>'ADJ-Summary'!$J$67</f>
        <v>#N/A</v>
      </c>
      <c r="L17" s="855">
        <f>DATA!$IZ$52</f>
        <v>0</v>
      </c>
      <c r="M17" s="631" t="e">
        <f>+(G17+F17)*K17-L17</f>
        <v>#N/A</v>
      </c>
      <c r="N17" s="632" t="e">
        <f>L17+M17</f>
        <v>#N/A</v>
      </c>
    </row>
    <row r="18" spans="1:14" ht="31.5" customHeight="1">
      <c r="A18" s="770"/>
      <c r="B18" s="630" t="str">
        <f>'Pricing Schedule'!B370</f>
        <v>(d) Buildings:</v>
      </c>
      <c r="C18" s="630"/>
      <c r="D18" s="651"/>
      <c r="E18" s="631"/>
      <c r="F18" s="631"/>
      <c r="G18" s="631"/>
      <c r="H18" s="632"/>
      <c r="I18" s="733"/>
      <c r="J18" s="631"/>
      <c r="K18" s="631"/>
      <c r="L18" s="631"/>
      <c r="M18" s="631"/>
      <c r="N18" s="632"/>
    </row>
    <row r="19" spans="1:14" ht="31.5" customHeight="1">
      <c r="A19" s="770"/>
      <c r="B19" s="630" t="str">
        <f>'Pricing Schedule'!B371</f>
        <v>(i)   Fee (based on Employer’s estimated cost of the works)</v>
      </c>
      <c r="C19" s="630" t="str">
        <f>'Pricing Schedule'!C371</f>
        <v>lump sum (LS)</v>
      </c>
      <c r="D19" s="651">
        <v>1</v>
      </c>
      <c r="E19" s="631">
        <v>1</v>
      </c>
      <c r="F19" s="855">
        <f>DATA!$GJ$52</f>
        <v>0</v>
      </c>
      <c r="G19" s="722"/>
      <c r="H19" s="632">
        <f>IF((F19+G19)&gt;E19,"◄ ERROR TOO MUCH",(F19+G19))</f>
        <v>0</v>
      </c>
      <c r="I19" s="733">
        <f>'Pricing Schedule'!F371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770"/>
      <c r="B20" s="630" t="str">
        <f>'Pricing Schedule'!B372</f>
        <v xml:space="preserve">(ii)  Fee adjustment* </v>
      </c>
      <c r="C20" s="630" t="str">
        <f>'Pricing Schedule'!C372</f>
        <v>lump sum (LS)</v>
      </c>
      <c r="D20" s="651">
        <v>1</v>
      </c>
      <c r="E20" s="631">
        <v>1</v>
      </c>
      <c r="F20" s="855">
        <f>DATA!$JA$52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 t="e">
        <f>'ADJ-Summary'!$J$83</f>
        <v>#N/A</v>
      </c>
      <c r="K20" s="631" t="e">
        <f>'ADJ-Summary'!$J$90</f>
        <v>#N/A</v>
      </c>
      <c r="L20" s="855">
        <f>DATA!$JB$52</f>
        <v>0</v>
      </c>
      <c r="M20" s="631" t="e">
        <f>+(G20+F20)*K20-L20</f>
        <v>#N/A</v>
      </c>
      <c r="N20" s="632" t="e">
        <f>L20+M20</f>
        <v>#N/A</v>
      </c>
    </row>
    <row r="21" spans="1:14" ht="31.5" customHeight="1">
      <c r="A21" s="770"/>
      <c r="B21" s="630" t="str">
        <f>'Pricing Schedule'!B373</f>
        <v>(e) Mechanical:</v>
      </c>
      <c r="C21" s="630"/>
      <c r="D21" s="651"/>
      <c r="E21" s="631"/>
      <c r="F21" s="631"/>
      <c r="G21" s="631"/>
      <c r="H21" s="632"/>
      <c r="I21" s="733"/>
      <c r="J21" s="631"/>
      <c r="K21" s="631"/>
      <c r="L21" s="631"/>
      <c r="M21" s="631"/>
      <c r="N21" s="632"/>
    </row>
    <row r="22" spans="1:14" ht="31.5" customHeight="1">
      <c r="A22" s="770"/>
      <c r="B22" s="630" t="str">
        <f>'Pricing Schedule'!B374</f>
        <v>(i)   Fee (based on Employer’s estimated cost of the works)</v>
      </c>
      <c r="C22" s="630" t="str">
        <f>'Pricing Schedule'!C374</f>
        <v>lump sum (LS)</v>
      </c>
      <c r="D22" s="651">
        <v>1</v>
      </c>
      <c r="E22" s="631">
        <v>1</v>
      </c>
      <c r="F22" s="855">
        <f>DATA!$GK$52</f>
        <v>0</v>
      </c>
      <c r="G22" s="722"/>
      <c r="H22" s="632">
        <f>IF((F22+G22)&gt;E22,"◄ ERROR TOO MUCH",(F22+G22))</f>
        <v>0</v>
      </c>
      <c r="I22" s="733">
        <f>'Pricing Schedule'!F374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770"/>
      <c r="B23" s="630" t="str">
        <f>'Pricing Schedule'!B375</f>
        <v xml:space="preserve">(ii)  Fee adjustment* </v>
      </c>
      <c r="C23" s="630" t="str">
        <f>'Pricing Schedule'!C375</f>
        <v>lump sum (LS)</v>
      </c>
      <c r="D23" s="651">
        <v>1</v>
      </c>
      <c r="E23" s="631">
        <v>1</v>
      </c>
      <c r="F23" s="855">
        <f>DATA!$JC$52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 t="e">
        <f>'ADJ-Summary'!$J$106</f>
        <v>#N/A</v>
      </c>
      <c r="K23" s="631" t="e">
        <f>'ADJ-Summary'!$J$113</f>
        <v>#N/A</v>
      </c>
      <c r="L23" s="855">
        <f>DATA!$JD$52</f>
        <v>0</v>
      </c>
      <c r="M23" s="631" t="e">
        <f>+(G23+F23)*K23-L23</f>
        <v>#N/A</v>
      </c>
      <c r="N23" s="632" t="e">
        <f>L23+M23</f>
        <v>#N/A</v>
      </c>
    </row>
    <row r="24" spans="1:14" ht="31.5" customHeight="1">
      <c r="A24" s="770"/>
      <c r="B24" s="630" t="str">
        <f>'Pricing Schedule'!B376</f>
        <v>(f) Electronic:</v>
      </c>
      <c r="C24" s="630"/>
      <c r="D24" s="651"/>
      <c r="E24" s="631"/>
      <c r="F24" s="631"/>
      <c r="G24" s="631"/>
      <c r="H24" s="632"/>
      <c r="I24" s="733"/>
      <c r="J24" s="631"/>
      <c r="K24" s="631"/>
      <c r="L24" s="631"/>
      <c r="M24" s="631"/>
      <c r="N24" s="632"/>
    </row>
    <row r="25" spans="1:14" ht="31.5" customHeight="1">
      <c r="A25" s="770"/>
      <c r="B25" s="630" t="str">
        <f>'Pricing Schedule'!B377</f>
        <v>(i)   Fee (based on Employer’s estimated cost of the works)</v>
      </c>
      <c r="C25" s="630" t="str">
        <f>'Pricing Schedule'!C377</f>
        <v>lump sum (LS)</v>
      </c>
      <c r="D25" s="651">
        <v>1</v>
      </c>
      <c r="E25" s="631">
        <v>1</v>
      </c>
      <c r="F25" s="855">
        <f>DATA!$GL$52</f>
        <v>0</v>
      </c>
      <c r="G25" s="722"/>
      <c r="H25" s="632">
        <f>IF((F25+G25)&gt;E25,"◄ ERROR TOO MUCH",(F25+G25))</f>
        <v>0</v>
      </c>
      <c r="I25" s="733">
        <f>'Pricing Schedule'!F377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770"/>
      <c r="B26" s="630" t="str">
        <f>'Pricing Schedule'!B378</f>
        <v xml:space="preserve">(ii)  Fee adjustment* </v>
      </c>
      <c r="C26" s="630" t="str">
        <f>'Pricing Schedule'!C378</f>
        <v>lump sum (LS)</v>
      </c>
      <c r="D26" s="651">
        <v>1</v>
      </c>
      <c r="E26" s="631">
        <v>1</v>
      </c>
      <c r="F26" s="855">
        <f>DATA!$JE$52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 t="e">
        <f>'ADJ-Summary'!$J$129</f>
        <v>#N/A</v>
      </c>
      <c r="K26" s="631" t="e">
        <f>'ADJ-Summary'!$J$136</f>
        <v>#N/A</v>
      </c>
      <c r="L26" s="855">
        <f>DATA!$JF$52</f>
        <v>0</v>
      </c>
      <c r="M26" s="631" t="e">
        <f>+(G26+F26)*K26-L26</f>
        <v>#N/A</v>
      </c>
      <c r="N26" s="632" t="e">
        <f>L26+M26</f>
        <v>#N/A</v>
      </c>
    </row>
    <row r="27" spans="1:14" ht="31.5" customHeight="1">
      <c r="A27" s="770"/>
      <c r="B27" s="630" t="str">
        <f>'Pricing Schedule'!B379</f>
        <v>(g) Other:</v>
      </c>
      <c r="C27" s="630"/>
      <c r="D27" s="651"/>
      <c r="E27" s="631"/>
      <c r="F27" s="631"/>
      <c r="G27" s="631"/>
      <c r="H27" s="632"/>
      <c r="I27" s="733"/>
      <c r="J27" s="631"/>
      <c r="K27" s="631"/>
      <c r="L27" s="631"/>
      <c r="M27" s="631"/>
      <c r="N27" s="632"/>
    </row>
    <row r="28" spans="1:14" ht="31.5" customHeight="1">
      <c r="A28" s="770"/>
      <c r="B28" s="630" t="str">
        <f>'Pricing Schedule'!B380</f>
        <v>(i)   Fee (based on Employer’s estimated cost of the works)</v>
      </c>
      <c r="C28" s="630" t="str">
        <f>'Pricing Schedule'!C380</f>
        <v>lump sum (LS)</v>
      </c>
      <c r="D28" s="651">
        <v>1</v>
      </c>
      <c r="E28" s="631">
        <v>1</v>
      </c>
      <c r="F28" s="855">
        <f>DATA!$GM$52</f>
        <v>0</v>
      </c>
      <c r="G28" s="722"/>
      <c r="H28" s="632">
        <f>IF((F28+G28)&gt;E28,"◄ ERROR TOO MUCH",(F28+G28))</f>
        <v>0</v>
      </c>
      <c r="I28" s="733">
        <f>'Pricing Schedule'!F380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 thickBot="1">
      <c r="A29" s="770"/>
      <c r="B29" s="630" t="str">
        <f>'Pricing Schedule'!B381</f>
        <v>(ii)  Fee adjustment*</v>
      </c>
      <c r="C29" s="630" t="str">
        <f>'Pricing Schedule'!C381</f>
        <v>lump sum (LS)</v>
      </c>
      <c r="D29" s="651">
        <v>1</v>
      </c>
      <c r="E29" s="631">
        <v>1</v>
      </c>
      <c r="F29" s="855">
        <f>DATA!$JG$52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 t="e">
        <f>'ADJ-Summary'!$J$152</f>
        <v>#N/A</v>
      </c>
      <c r="K29" s="631" t="e">
        <f>'ADJ-Summary'!$J$159</f>
        <v>#N/A</v>
      </c>
      <c r="L29" s="855">
        <f>DATA!$JH$52</f>
        <v>0</v>
      </c>
      <c r="M29" s="631" t="e">
        <f>+(G29+F29)*K29-L29</f>
        <v>#N/A</v>
      </c>
      <c r="N29" s="632" t="e">
        <f>L29+M29</f>
        <v>#N/A</v>
      </c>
    </row>
    <row r="30" spans="1:14" ht="31.5" customHeight="1" thickBot="1">
      <c r="A30" s="1514" t="s">
        <v>508</v>
      </c>
      <c r="B30" s="1514"/>
      <c r="C30" s="1514"/>
      <c r="D30" s="716"/>
      <c r="E30" s="717"/>
      <c r="F30" s="717"/>
      <c r="G30" s="717"/>
      <c r="H30" s="718"/>
      <c r="I30" s="716"/>
      <c r="J30" s="720" t="e">
        <f>SUM(J8:J29)</f>
        <v>#N/A</v>
      </c>
      <c r="K30" s="720" t="e">
        <f>SUM(K8:K29)</f>
        <v>#N/A</v>
      </c>
      <c r="L30" s="720">
        <f>SUM(L8:L29)</f>
        <v>0</v>
      </c>
      <c r="M30" s="720" t="e">
        <f>SUM(M8:M29)</f>
        <v>#N/A</v>
      </c>
      <c r="N30" s="721" t="e">
        <f>SUM(N8:N29)</f>
        <v>#N/A</v>
      </c>
    </row>
    <row r="33" spans="1:14" ht="30.95" customHeight="1">
      <c r="A33" s="817" t="s">
        <v>653</v>
      </c>
      <c r="B33" s="817"/>
      <c r="C33" s="622"/>
      <c r="D33" s="622"/>
      <c r="E33" s="622"/>
      <c r="F33" s="622"/>
      <c r="G33" s="622"/>
      <c r="H33" s="622"/>
      <c r="I33" s="622"/>
      <c r="J33" s="735">
        <v>0</v>
      </c>
      <c r="K33" s="735">
        <v>0</v>
      </c>
      <c r="L33" s="735">
        <v>0</v>
      </c>
      <c r="M33" s="735">
        <v>0</v>
      </c>
      <c r="N33" s="735">
        <v>0</v>
      </c>
    </row>
    <row r="34" spans="1:14" ht="30.95" customHeight="1">
      <c r="A34" s="622" t="s">
        <v>655</v>
      </c>
      <c r="B34" s="622"/>
      <c r="C34" s="622"/>
      <c r="D34" s="622"/>
      <c r="E34" s="622"/>
      <c r="F34" s="622"/>
      <c r="G34" s="622"/>
      <c r="H34" s="622"/>
      <c r="I34" s="622"/>
      <c r="J34" s="735" t="e">
        <f>J10+J11+J13+J14+J16+J17+J19+J20+J22+J23+J25+J26+J28+J29</f>
        <v>#N/A</v>
      </c>
      <c r="K34" s="735" t="e">
        <f t="shared" ref="K34:N34" si="0">K10+K11+K13+K14+K16+K17+K19+K20+K22+K23+K25+K26+K28+K29</f>
        <v>#N/A</v>
      </c>
      <c r="L34" s="735">
        <f t="shared" si="0"/>
        <v>0</v>
      </c>
      <c r="M34" s="735" t="e">
        <f t="shared" si="0"/>
        <v>#N/A</v>
      </c>
      <c r="N34" s="735" t="e">
        <f t="shared" si="0"/>
        <v>#N/A</v>
      </c>
    </row>
    <row r="35" spans="1:14" ht="30.95" customHeight="1" thickBot="1">
      <c r="A35" s="622" t="s">
        <v>654</v>
      </c>
      <c r="B35" s="622"/>
      <c r="C35" s="622"/>
      <c r="D35" s="622"/>
      <c r="E35" s="622"/>
      <c r="F35" s="622"/>
      <c r="G35" s="622"/>
      <c r="H35" s="622"/>
      <c r="I35" s="622"/>
      <c r="J35" s="785" t="e">
        <f>SUM(J33:J34)</f>
        <v>#N/A</v>
      </c>
      <c r="K35" s="785" t="e">
        <f t="shared" ref="K35:N35" si="1">SUM(K33:K34)</f>
        <v>#N/A</v>
      </c>
      <c r="L35" s="785">
        <f t="shared" si="1"/>
        <v>0</v>
      </c>
      <c r="M35" s="785" t="e">
        <f t="shared" si="1"/>
        <v>#N/A</v>
      </c>
      <c r="N35" s="785" t="e">
        <f t="shared" si="1"/>
        <v>#N/A</v>
      </c>
    </row>
    <row r="36" spans="1:14" ht="13.5" thickTop="1"/>
  </sheetData>
  <mergeCells count="10">
    <mergeCell ref="A30:C30"/>
    <mergeCell ref="I1:M2"/>
    <mergeCell ref="N1:N2"/>
    <mergeCell ref="K3:N3"/>
    <mergeCell ref="A1:H1"/>
    <mergeCell ref="A2:H2"/>
    <mergeCell ref="I3:J3"/>
    <mergeCell ref="A4:H4"/>
    <mergeCell ref="I4:J4"/>
    <mergeCell ref="K4:N4"/>
  </mergeCells>
  <conditionalFormatting sqref="E10">
    <cfRule type="expression" dxfId="2332" priority="27">
      <formula>H10="ERROR TOO MUCH"</formula>
    </cfRule>
  </conditionalFormatting>
  <conditionalFormatting sqref="E13">
    <cfRule type="expression" dxfId="2331" priority="25">
      <formula>H13="ERROR TOO MUCH"</formula>
    </cfRule>
  </conditionalFormatting>
  <conditionalFormatting sqref="E16">
    <cfRule type="expression" dxfId="2330" priority="23">
      <formula>H16="ERROR TOO MUCH"</formula>
    </cfRule>
  </conditionalFormatting>
  <conditionalFormatting sqref="E19">
    <cfRule type="expression" dxfId="2329" priority="21">
      <formula>H19="ERROR TOO MUCH"</formula>
    </cfRule>
  </conditionalFormatting>
  <conditionalFormatting sqref="E22">
    <cfRule type="expression" dxfId="2328" priority="19">
      <formula>H22="ERROR TOO MUCH"</formula>
    </cfRule>
  </conditionalFormatting>
  <conditionalFormatting sqref="E25">
    <cfRule type="expression" dxfId="2327" priority="17">
      <formula>H25="ERROR TOO MUCH"</formula>
    </cfRule>
  </conditionalFormatting>
  <conditionalFormatting sqref="E28">
    <cfRule type="expression" dxfId="2326" priority="15">
      <formula>H28="ERROR TOO MUCH"</formula>
    </cfRule>
  </conditionalFormatting>
  <conditionalFormatting sqref="H10:H11">
    <cfRule type="containsText" dxfId="2325" priority="7" operator="containsText" text="ERROR">
      <formula>NOT(ISERROR(SEARCH("ERROR",H10)))</formula>
    </cfRule>
  </conditionalFormatting>
  <conditionalFormatting sqref="H13:H14">
    <cfRule type="containsText" dxfId="2324" priority="6" operator="containsText" text="ERROR">
      <formula>NOT(ISERROR(SEARCH("ERROR",H13)))</formula>
    </cfRule>
  </conditionalFormatting>
  <conditionalFormatting sqref="H16:H17">
    <cfRule type="containsText" dxfId="2323" priority="5" operator="containsText" text="ERROR">
      <formula>NOT(ISERROR(SEARCH("ERROR",H16)))</formula>
    </cfRule>
  </conditionalFormatting>
  <conditionalFormatting sqref="H19:H20">
    <cfRule type="containsText" dxfId="2322" priority="4" operator="containsText" text="ERROR">
      <formula>NOT(ISERROR(SEARCH("ERROR",H19)))</formula>
    </cfRule>
  </conditionalFormatting>
  <conditionalFormatting sqref="H22:H23">
    <cfRule type="containsText" dxfId="2321" priority="3" operator="containsText" text="ERROR">
      <formula>NOT(ISERROR(SEARCH("ERROR",H22)))</formula>
    </cfRule>
  </conditionalFormatting>
  <conditionalFormatting sqref="H25:H26">
    <cfRule type="containsText" dxfId="2320" priority="2" operator="containsText" text="ERROR">
      <formula>NOT(ISERROR(SEARCH("ERROR",H25)))</formula>
    </cfRule>
  </conditionalFormatting>
  <conditionalFormatting sqref="H28:H29">
    <cfRule type="containsText" dxfId="2319" priority="1" operator="containsText" text="ERROR">
      <formula>NOT(ISERROR(SEARCH("ERROR",H28)))</formula>
    </cfRule>
  </conditionalFormatting>
  <dataValidations count="1">
    <dataValidation type="decimal" operator="lessThanOrEqual" allowBlank="1" showInputMessage="1" showErrorMessage="1" sqref="H25:H26 H10:H11 H13:H14 H16:H17 H19:H20 H22:H23 H28:H29" xr:uid="{00000000-0002-0000-2400-000000000000}">
      <formula1>1</formula1>
    </dataValidation>
  </dataValidations>
  <printOptions horizontalCentered="1"/>
  <pageMargins left="0" right="0" top="0.27559055118110237" bottom="0.35433070866141736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  <oddFooter>&amp;C&amp;A</oddFooter>
  </headerFooter>
  <rowBreaks count="1" manualBreakCount="1">
    <brk id="26" max="1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46">
    <tabColor theme="9"/>
    <pageSetUpPr fitToPage="1"/>
  </sheetPr>
  <dimension ref="A1:H44"/>
  <sheetViews>
    <sheetView workbookViewId="0">
      <selection sqref="A1:H1"/>
    </sheetView>
  </sheetViews>
  <sheetFormatPr defaultRowHeight="12.75"/>
  <cols>
    <col min="1" max="1" width="10.85546875" style="314" customWidth="1"/>
    <col min="2" max="2" width="15.7109375" style="314" customWidth="1"/>
    <col min="3" max="3" width="12.85546875" style="314" customWidth="1"/>
    <col min="4" max="4" width="12.140625" style="314" customWidth="1"/>
    <col min="5" max="5" width="7.7109375" style="314" customWidth="1"/>
    <col min="6" max="6" width="7.28515625" style="314" customWidth="1"/>
    <col min="7" max="7" width="28.7109375" style="314" customWidth="1"/>
    <col min="8" max="8" width="42.7109375" style="314" customWidth="1"/>
    <col min="9" max="256" width="9.140625" style="314"/>
    <col min="257" max="257" width="10.85546875" style="314" customWidth="1"/>
    <col min="258" max="258" width="15.7109375" style="314" customWidth="1"/>
    <col min="259" max="259" width="12.85546875" style="314" customWidth="1"/>
    <col min="260" max="260" width="12.140625" style="314" customWidth="1"/>
    <col min="261" max="261" width="7.7109375" style="314" customWidth="1"/>
    <col min="262" max="262" width="5.28515625" style="314" customWidth="1"/>
    <col min="263" max="263" width="28.7109375" style="314" customWidth="1"/>
    <col min="264" max="264" width="42.7109375" style="314" customWidth="1"/>
    <col min="265" max="512" width="9.140625" style="314"/>
    <col min="513" max="513" width="10.85546875" style="314" customWidth="1"/>
    <col min="514" max="514" width="15.7109375" style="314" customWidth="1"/>
    <col min="515" max="515" width="12.85546875" style="314" customWidth="1"/>
    <col min="516" max="516" width="12.140625" style="314" customWidth="1"/>
    <col min="517" max="517" width="7.7109375" style="314" customWidth="1"/>
    <col min="518" max="518" width="5.28515625" style="314" customWidth="1"/>
    <col min="519" max="519" width="28.7109375" style="314" customWidth="1"/>
    <col min="520" max="520" width="42.7109375" style="314" customWidth="1"/>
    <col min="521" max="768" width="9.140625" style="314"/>
    <col min="769" max="769" width="10.85546875" style="314" customWidth="1"/>
    <col min="770" max="770" width="15.7109375" style="314" customWidth="1"/>
    <col min="771" max="771" width="12.85546875" style="314" customWidth="1"/>
    <col min="772" max="772" width="12.140625" style="314" customWidth="1"/>
    <col min="773" max="773" width="7.7109375" style="314" customWidth="1"/>
    <col min="774" max="774" width="5.28515625" style="314" customWidth="1"/>
    <col min="775" max="775" width="28.7109375" style="314" customWidth="1"/>
    <col min="776" max="776" width="42.7109375" style="314" customWidth="1"/>
    <col min="777" max="1024" width="9.140625" style="314"/>
    <col min="1025" max="1025" width="10.85546875" style="314" customWidth="1"/>
    <col min="1026" max="1026" width="15.7109375" style="314" customWidth="1"/>
    <col min="1027" max="1027" width="12.85546875" style="314" customWidth="1"/>
    <col min="1028" max="1028" width="12.140625" style="314" customWidth="1"/>
    <col min="1029" max="1029" width="7.7109375" style="314" customWidth="1"/>
    <col min="1030" max="1030" width="5.28515625" style="314" customWidth="1"/>
    <col min="1031" max="1031" width="28.7109375" style="314" customWidth="1"/>
    <col min="1032" max="1032" width="42.7109375" style="314" customWidth="1"/>
    <col min="1033" max="1280" width="9.140625" style="314"/>
    <col min="1281" max="1281" width="10.85546875" style="314" customWidth="1"/>
    <col min="1282" max="1282" width="15.7109375" style="314" customWidth="1"/>
    <col min="1283" max="1283" width="12.85546875" style="314" customWidth="1"/>
    <col min="1284" max="1284" width="12.140625" style="314" customWidth="1"/>
    <col min="1285" max="1285" width="7.7109375" style="314" customWidth="1"/>
    <col min="1286" max="1286" width="5.28515625" style="314" customWidth="1"/>
    <col min="1287" max="1287" width="28.7109375" style="314" customWidth="1"/>
    <col min="1288" max="1288" width="42.7109375" style="314" customWidth="1"/>
    <col min="1289" max="1536" width="9.140625" style="314"/>
    <col min="1537" max="1537" width="10.85546875" style="314" customWidth="1"/>
    <col min="1538" max="1538" width="15.7109375" style="314" customWidth="1"/>
    <col min="1539" max="1539" width="12.85546875" style="314" customWidth="1"/>
    <col min="1540" max="1540" width="12.140625" style="314" customWidth="1"/>
    <col min="1541" max="1541" width="7.7109375" style="314" customWidth="1"/>
    <col min="1542" max="1542" width="5.28515625" style="314" customWidth="1"/>
    <col min="1543" max="1543" width="28.7109375" style="314" customWidth="1"/>
    <col min="1544" max="1544" width="42.7109375" style="314" customWidth="1"/>
    <col min="1545" max="1792" width="9.140625" style="314"/>
    <col min="1793" max="1793" width="10.85546875" style="314" customWidth="1"/>
    <col min="1794" max="1794" width="15.7109375" style="314" customWidth="1"/>
    <col min="1795" max="1795" width="12.85546875" style="314" customWidth="1"/>
    <col min="1796" max="1796" width="12.140625" style="314" customWidth="1"/>
    <col min="1797" max="1797" width="7.7109375" style="314" customWidth="1"/>
    <col min="1798" max="1798" width="5.28515625" style="314" customWidth="1"/>
    <col min="1799" max="1799" width="28.7109375" style="314" customWidth="1"/>
    <col min="1800" max="1800" width="42.7109375" style="314" customWidth="1"/>
    <col min="1801" max="2048" width="9.140625" style="314"/>
    <col min="2049" max="2049" width="10.85546875" style="314" customWidth="1"/>
    <col min="2050" max="2050" width="15.7109375" style="314" customWidth="1"/>
    <col min="2051" max="2051" width="12.85546875" style="314" customWidth="1"/>
    <col min="2052" max="2052" width="12.140625" style="314" customWidth="1"/>
    <col min="2053" max="2053" width="7.7109375" style="314" customWidth="1"/>
    <col min="2054" max="2054" width="5.28515625" style="314" customWidth="1"/>
    <col min="2055" max="2055" width="28.7109375" style="314" customWidth="1"/>
    <col min="2056" max="2056" width="42.7109375" style="314" customWidth="1"/>
    <col min="2057" max="2304" width="9.140625" style="314"/>
    <col min="2305" max="2305" width="10.85546875" style="314" customWidth="1"/>
    <col min="2306" max="2306" width="15.7109375" style="314" customWidth="1"/>
    <col min="2307" max="2307" width="12.85546875" style="314" customWidth="1"/>
    <col min="2308" max="2308" width="12.140625" style="314" customWidth="1"/>
    <col min="2309" max="2309" width="7.7109375" style="314" customWidth="1"/>
    <col min="2310" max="2310" width="5.28515625" style="314" customWidth="1"/>
    <col min="2311" max="2311" width="28.7109375" style="314" customWidth="1"/>
    <col min="2312" max="2312" width="42.7109375" style="314" customWidth="1"/>
    <col min="2313" max="2560" width="9.140625" style="314"/>
    <col min="2561" max="2561" width="10.85546875" style="314" customWidth="1"/>
    <col min="2562" max="2562" width="15.7109375" style="314" customWidth="1"/>
    <col min="2563" max="2563" width="12.85546875" style="314" customWidth="1"/>
    <col min="2564" max="2564" width="12.140625" style="314" customWidth="1"/>
    <col min="2565" max="2565" width="7.7109375" style="314" customWidth="1"/>
    <col min="2566" max="2566" width="5.28515625" style="314" customWidth="1"/>
    <col min="2567" max="2567" width="28.7109375" style="314" customWidth="1"/>
    <col min="2568" max="2568" width="42.7109375" style="314" customWidth="1"/>
    <col min="2569" max="2816" width="9.140625" style="314"/>
    <col min="2817" max="2817" width="10.85546875" style="314" customWidth="1"/>
    <col min="2818" max="2818" width="15.7109375" style="314" customWidth="1"/>
    <col min="2819" max="2819" width="12.85546875" style="314" customWidth="1"/>
    <col min="2820" max="2820" width="12.140625" style="314" customWidth="1"/>
    <col min="2821" max="2821" width="7.7109375" style="314" customWidth="1"/>
    <col min="2822" max="2822" width="5.28515625" style="314" customWidth="1"/>
    <col min="2823" max="2823" width="28.7109375" style="314" customWidth="1"/>
    <col min="2824" max="2824" width="42.7109375" style="314" customWidth="1"/>
    <col min="2825" max="3072" width="9.140625" style="314"/>
    <col min="3073" max="3073" width="10.85546875" style="314" customWidth="1"/>
    <col min="3074" max="3074" width="15.7109375" style="314" customWidth="1"/>
    <col min="3075" max="3075" width="12.85546875" style="314" customWidth="1"/>
    <col min="3076" max="3076" width="12.140625" style="314" customWidth="1"/>
    <col min="3077" max="3077" width="7.7109375" style="314" customWidth="1"/>
    <col min="3078" max="3078" width="5.28515625" style="314" customWidth="1"/>
    <col min="3079" max="3079" width="28.7109375" style="314" customWidth="1"/>
    <col min="3080" max="3080" width="42.7109375" style="314" customWidth="1"/>
    <col min="3081" max="3328" width="9.140625" style="314"/>
    <col min="3329" max="3329" width="10.85546875" style="314" customWidth="1"/>
    <col min="3330" max="3330" width="15.7109375" style="314" customWidth="1"/>
    <col min="3331" max="3331" width="12.85546875" style="314" customWidth="1"/>
    <col min="3332" max="3332" width="12.140625" style="314" customWidth="1"/>
    <col min="3333" max="3333" width="7.7109375" style="314" customWidth="1"/>
    <col min="3334" max="3334" width="5.28515625" style="314" customWidth="1"/>
    <col min="3335" max="3335" width="28.7109375" style="314" customWidth="1"/>
    <col min="3336" max="3336" width="42.7109375" style="314" customWidth="1"/>
    <col min="3337" max="3584" width="9.140625" style="314"/>
    <col min="3585" max="3585" width="10.85546875" style="314" customWidth="1"/>
    <col min="3586" max="3586" width="15.7109375" style="314" customWidth="1"/>
    <col min="3587" max="3587" width="12.85546875" style="314" customWidth="1"/>
    <col min="3588" max="3588" width="12.140625" style="314" customWidth="1"/>
    <col min="3589" max="3589" width="7.7109375" style="314" customWidth="1"/>
    <col min="3590" max="3590" width="5.28515625" style="314" customWidth="1"/>
    <col min="3591" max="3591" width="28.7109375" style="314" customWidth="1"/>
    <col min="3592" max="3592" width="42.7109375" style="314" customWidth="1"/>
    <col min="3593" max="3840" width="9.140625" style="314"/>
    <col min="3841" max="3841" width="10.85546875" style="314" customWidth="1"/>
    <col min="3842" max="3842" width="15.7109375" style="314" customWidth="1"/>
    <col min="3843" max="3843" width="12.85546875" style="314" customWidth="1"/>
    <col min="3844" max="3844" width="12.140625" style="314" customWidth="1"/>
    <col min="3845" max="3845" width="7.7109375" style="314" customWidth="1"/>
    <col min="3846" max="3846" width="5.28515625" style="314" customWidth="1"/>
    <col min="3847" max="3847" width="28.7109375" style="314" customWidth="1"/>
    <col min="3848" max="3848" width="42.7109375" style="314" customWidth="1"/>
    <col min="3849" max="4096" width="9.140625" style="314"/>
    <col min="4097" max="4097" width="10.85546875" style="314" customWidth="1"/>
    <col min="4098" max="4098" width="15.7109375" style="314" customWidth="1"/>
    <col min="4099" max="4099" width="12.85546875" style="314" customWidth="1"/>
    <col min="4100" max="4100" width="12.140625" style="314" customWidth="1"/>
    <col min="4101" max="4101" width="7.7109375" style="314" customWidth="1"/>
    <col min="4102" max="4102" width="5.28515625" style="314" customWidth="1"/>
    <col min="4103" max="4103" width="28.7109375" style="314" customWidth="1"/>
    <col min="4104" max="4104" width="42.7109375" style="314" customWidth="1"/>
    <col min="4105" max="4352" width="9.140625" style="314"/>
    <col min="4353" max="4353" width="10.85546875" style="314" customWidth="1"/>
    <col min="4354" max="4354" width="15.7109375" style="314" customWidth="1"/>
    <col min="4355" max="4355" width="12.85546875" style="314" customWidth="1"/>
    <col min="4356" max="4356" width="12.140625" style="314" customWidth="1"/>
    <col min="4357" max="4357" width="7.7109375" style="314" customWidth="1"/>
    <col min="4358" max="4358" width="5.28515625" style="314" customWidth="1"/>
    <col min="4359" max="4359" width="28.7109375" style="314" customWidth="1"/>
    <col min="4360" max="4360" width="42.7109375" style="314" customWidth="1"/>
    <col min="4361" max="4608" width="9.140625" style="314"/>
    <col min="4609" max="4609" width="10.85546875" style="314" customWidth="1"/>
    <col min="4610" max="4610" width="15.7109375" style="314" customWidth="1"/>
    <col min="4611" max="4611" width="12.85546875" style="314" customWidth="1"/>
    <col min="4612" max="4612" width="12.140625" style="314" customWidth="1"/>
    <col min="4613" max="4613" width="7.7109375" style="314" customWidth="1"/>
    <col min="4614" max="4614" width="5.28515625" style="314" customWidth="1"/>
    <col min="4615" max="4615" width="28.7109375" style="314" customWidth="1"/>
    <col min="4616" max="4616" width="42.7109375" style="314" customWidth="1"/>
    <col min="4617" max="4864" width="9.140625" style="314"/>
    <col min="4865" max="4865" width="10.85546875" style="314" customWidth="1"/>
    <col min="4866" max="4866" width="15.7109375" style="314" customWidth="1"/>
    <col min="4867" max="4867" width="12.85546875" style="314" customWidth="1"/>
    <col min="4868" max="4868" width="12.140625" style="314" customWidth="1"/>
    <col min="4869" max="4869" width="7.7109375" style="314" customWidth="1"/>
    <col min="4870" max="4870" width="5.28515625" style="314" customWidth="1"/>
    <col min="4871" max="4871" width="28.7109375" style="314" customWidth="1"/>
    <col min="4872" max="4872" width="42.7109375" style="314" customWidth="1"/>
    <col min="4873" max="5120" width="9.140625" style="314"/>
    <col min="5121" max="5121" width="10.85546875" style="314" customWidth="1"/>
    <col min="5122" max="5122" width="15.7109375" style="314" customWidth="1"/>
    <col min="5123" max="5123" width="12.85546875" style="314" customWidth="1"/>
    <col min="5124" max="5124" width="12.140625" style="314" customWidth="1"/>
    <col min="5125" max="5125" width="7.7109375" style="314" customWidth="1"/>
    <col min="5126" max="5126" width="5.28515625" style="314" customWidth="1"/>
    <col min="5127" max="5127" width="28.7109375" style="314" customWidth="1"/>
    <col min="5128" max="5128" width="42.7109375" style="314" customWidth="1"/>
    <col min="5129" max="5376" width="9.140625" style="314"/>
    <col min="5377" max="5377" width="10.85546875" style="314" customWidth="1"/>
    <col min="5378" max="5378" width="15.7109375" style="314" customWidth="1"/>
    <col min="5379" max="5379" width="12.85546875" style="314" customWidth="1"/>
    <col min="5380" max="5380" width="12.140625" style="314" customWidth="1"/>
    <col min="5381" max="5381" width="7.7109375" style="314" customWidth="1"/>
    <col min="5382" max="5382" width="5.28515625" style="314" customWidth="1"/>
    <col min="5383" max="5383" width="28.7109375" style="314" customWidth="1"/>
    <col min="5384" max="5384" width="42.7109375" style="314" customWidth="1"/>
    <col min="5385" max="5632" width="9.140625" style="314"/>
    <col min="5633" max="5633" width="10.85546875" style="314" customWidth="1"/>
    <col min="5634" max="5634" width="15.7109375" style="314" customWidth="1"/>
    <col min="5635" max="5635" width="12.85546875" style="314" customWidth="1"/>
    <col min="5636" max="5636" width="12.140625" style="314" customWidth="1"/>
    <col min="5637" max="5637" width="7.7109375" style="314" customWidth="1"/>
    <col min="5638" max="5638" width="5.28515625" style="314" customWidth="1"/>
    <col min="5639" max="5639" width="28.7109375" style="314" customWidth="1"/>
    <col min="5640" max="5640" width="42.7109375" style="314" customWidth="1"/>
    <col min="5641" max="5888" width="9.140625" style="314"/>
    <col min="5889" max="5889" width="10.85546875" style="314" customWidth="1"/>
    <col min="5890" max="5890" width="15.7109375" style="314" customWidth="1"/>
    <col min="5891" max="5891" width="12.85546875" style="314" customWidth="1"/>
    <col min="5892" max="5892" width="12.140625" style="314" customWidth="1"/>
    <col min="5893" max="5893" width="7.7109375" style="314" customWidth="1"/>
    <col min="5894" max="5894" width="5.28515625" style="314" customWidth="1"/>
    <col min="5895" max="5895" width="28.7109375" style="314" customWidth="1"/>
    <col min="5896" max="5896" width="42.7109375" style="314" customWidth="1"/>
    <col min="5897" max="6144" width="9.140625" style="314"/>
    <col min="6145" max="6145" width="10.85546875" style="314" customWidth="1"/>
    <col min="6146" max="6146" width="15.7109375" style="314" customWidth="1"/>
    <col min="6147" max="6147" width="12.85546875" style="314" customWidth="1"/>
    <col min="6148" max="6148" width="12.140625" style="314" customWidth="1"/>
    <col min="6149" max="6149" width="7.7109375" style="314" customWidth="1"/>
    <col min="6150" max="6150" width="5.28515625" style="314" customWidth="1"/>
    <col min="6151" max="6151" width="28.7109375" style="314" customWidth="1"/>
    <col min="6152" max="6152" width="42.7109375" style="314" customWidth="1"/>
    <col min="6153" max="6400" width="9.140625" style="314"/>
    <col min="6401" max="6401" width="10.85546875" style="314" customWidth="1"/>
    <col min="6402" max="6402" width="15.7109375" style="314" customWidth="1"/>
    <col min="6403" max="6403" width="12.85546875" style="314" customWidth="1"/>
    <col min="6404" max="6404" width="12.140625" style="314" customWidth="1"/>
    <col min="6405" max="6405" width="7.7109375" style="314" customWidth="1"/>
    <col min="6406" max="6406" width="5.28515625" style="314" customWidth="1"/>
    <col min="6407" max="6407" width="28.7109375" style="314" customWidth="1"/>
    <col min="6408" max="6408" width="42.7109375" style="314" customWidth="1"/>
    <col min="6409" max="6656" width="9.140625" style="314"/>
    <col min="6657" max="6657" width="10.85546875" style="314" customWidth="1"/>
    <col min="6658" max="6658" width="15.7109375" style="314" customWidth="1"/>
    <col min="6659" max="6659" width="12.85546875" style="314" customWidth="1"/>
    <col min="6660" max="6660" width="12.140625" style="314" customWidth="1"/>
    <col min="6661" max="6661" width="7.7109375" style="314" customWidth="1"/>
    <col min="6662" max="6662" width="5.28515625" style="314" customWidth="1"/>
    <col min="6663" max="6663" width="28.7109375" style="314" customWidth="1"/>
    <col min="6664" max="6664" width="42.7109375" style="314" customWidth="1"/>
    <col min="6665" max="6912" width="9.140625" style="314"/>
    <col min="6913" max="6913" width="10.85546875" style="314" customWidth="1"/>
    <col min="6914" max="6914" width="15.7109375" style="314" customWidth="1"/>
    <col min="6915" max="6915" width="12.85546875" style="314" customWidth="1"/>
    <col min="6916" max="6916" width="12.140625" style="314" customWidth="1"/>
    <col min="6917" max="6917" width="7.7109375" style="314" customWidth="1"/>
    <col min="6918" max="6918" width="5.28515625" style="314" customWidth="1"/>
    <col min="6919" max="6919" width="28.7109375" style="314" customWidth="1"/>
    <col min="6920" max="6920" width="42.7109375" style="314" customWidth="1"/>
    <col min="6921" max="7168" width="9.140625" style="314"/>
    <col min="7169" max="7169" width="10.85546875" style="314" customWidth="1"/>
    <col min="7170" max="7170" width="15.7109375" style="314" customWidth="1"/>
    <col min="7171" max="7171" width="12.85546875" style="314" customWidth="1"/>
    <col min="7172" max="7172" width="12.140625" style="314" customWidth="1"/>
    <col min="7173" max="7173" width="7.7109375" style="314" customWidth="1"/>
    <col min="7174" max="7174" width="5.28515625" style="314" customWidth="1"/>
    <col min="7175" max="7175" width="28.7109375" style="314" customWidth="1"/>
    <col min="7176" max="7176" width="42.7109375" style="314" customWidth="1"/>
    <col min="7177" max="7424" width="9.140625" style="314"/>
    <col min="7425" max="7425" width="10.85546875" style="314" customWidth="1"/>
    <col min="7426" max="7426" width="15.7109375" style="314" customWidth="1"/>
    <col min="7427" max="7427" width="12.85546875" style="314" customWidth="1"/>
    <col min="7428" max="7428" width="12.140625" style="314" customWidth="1"/>
    <col min="7429" max="7429" width="7.7109375" style="314" customWidth="1"/>
    <col min="7430" max="7430" width="5.28515625" style="314" customWidth="1"/>
    <col min="7431" max="7431" width="28.7109375" style="314" customWidth="1"/>
    <col min="7432" max="7432" width="42.7109375" style="314" customWidth="1"/>
    <col min="7433" max="7680" width="9.140625" style="314"/>
    <col min="7681" max="7681" width="10.85546875" style="314" customWidth="1"/>
    <col min="7682" max="7682" width="15.7109375" style="314" customWidth="1"/>
    <col min="7683" max="7683" width="12.85546875" style="314" customWidth="1"/>
    <col min="7684" max="7684" width="12.140625" style="314" customWidth="1"/>
    <col min="7685" max="7685" width="7.7109375" style="314" customWidth="1"/>
    <col min="7686" max="7686" width="5.28515625" style="314" customWidth="1"/>
    <col min="7687" max="7687" width="28.7109375" style="314" customWidth="1"/>
    <col min="7688" max="7688" width="42.7109375" style="314" customWidth="1"/>
    <col min="7689" max="7936" width="9.140625" style="314"/>
    <col min="7937" max="7937" width="10.85546875" style="314" customWidth="1"/>
    <col min="7938" max="7938" width="15.7109375" style="314" customWidth="1"/>
    <col min="7939" max="7939" width="12.85546875" style="314" customWidth="1"/>
    <col min="7940" max="7940" width="12.140625" style="314" customWidth="1"/>
    <col min="7941" max="7941" width="7.7109375" style="314" customWidth="1"/>
    <col min="7942" max="7942" width="5.28515625" style="314" customWidth="1"/>
    <col min="7943" max="7943" width="28.7109375" style="314" customWidth="1"/>
    <col min="7944" max="7944" width="42.7109375" style="314" customWidth="1"/>
    <col min="7945" max="8192" width="9.140625" style="314"/>
    <col min="8193" max="8193" width="10.85546875" style="314" customWidth="1"/>
    <col min="8194" max="8194" width="15.7109375" style="314" customWidth="1"/>
    <col min="8195" max="8195" width="12.85546875" style="314" customWidth="1"/>
    <col min="8196" max="8196" width="12.140625" style="314" customWidth="1"/>
    <col min="8197" max="8197" width="7.7109375" style="314" customWidth="1"/>
    <col min="8198" max="8198" width="5.28515625" style="314" customWidth="1"/>
    <col min="8199" max="8199" width="28.7109375" style="314" customWidth="1"/>
    <col min="8200" max="8200" width="42.7109375" style="314" customWidth="1"/>
    <col min="8201" max="8448" width="9.140625" style="314"/>
    <col min="8449" max="8449" width="10.85546875" style="314" customWidth="1"/>
    <col min="8450" max="8450" width="15.7109375" style="314" customWidth="1"/>
    <col min="8451" max="8451" width="12.85546875" style="314" customWidth="1"/>
    <col min="8452" max="8452" width="12.140625" style="314" customWidth="1"/>
    <col min="8453" max="8453" width="7.7109375" style="314" customWidth="1"/>
    <col min="8454" max="8454" width="5.28515625" style="314" customWidth="1"/>
    <col min="8455" max="8455" width="28.7109375" style="314" customWidth="1"/>
    <col min="8456" max="8456" width="42.7109375" style="314" customWidth="1"/>
    <col min="8457" max="8704" width="9.140625" style="314"/>
    <col min="8705" max="8705" width="10.85546875" style="314" customWidth="1"/>
    <col min="8706" max="8706" width="15.7109375" style="314" customWidth="1"/>
    <col min="8707" max="8707" width="12.85546875" style="314" customWidth="1"/>
    <col min="8708" max="8708" width="12.140625" style="314" customWidth="1"/>
    <col min="8709" max="8709" width="7.7109375" style="314" customWidth="1"/>
    <col min="8710" max="8710" width="5.28515625" style="314" customWidth="1"/>
    <col min="8711" max="8711" width="28.7109375" style="314" customWidth="1"/>
    <col min="8712" max="8712" width="42.7109375" style="314" customWidth="1"/>
    <col min="8713" max="8960" width="9.140625" style="314"/>
    <col min="8961" max="8961" width="10.85546875" style="314" customWidth="1"/>
    <col min="8962" max="8962" width="15.7109375" style="314" customWidth="1"/>
    <col min="8963" max="8963" width="12.85546875" style="314" customWidth="1"/>
    <col min="8964" max="8964" width="12.140625" style="314" customWidth="1"/>
    <col min="8965" max="8965" width="7.7109375" style="314" customWidth="1"/>
    <col min="8966" max="8966" width="5.28515625" style="314" customWidth="1"/>
    <col min="8967" max="8967" width="28.7109375" style="314" customWidth="1"/>
    <col min="8968" max="8968" width="42.7109375" style="314" customWidth="1"/>
    <col min="8969" max="9216" width="9.140625" style="314"/>
    <col min="9217" max="9217" width="10.85546875" style="314" customWidth="1"/>
    <col min="9218" max="9218" width="15.7109375" style="314" customWidth="1"/>
    <col min="9219" max="9219" width="12.85546875" style="314" customWidth="1"/>
    <col min="9220" max="9220" width="12.140625" style="314" customWidth="1"/>
    <col min="9221" max="9221" width="7.7109375" style="314" customWidth="1"/>
    <col min="9222" max="9222" width="5.28515625" style="314" customWidth="1"/>
    <col min="9223" max="9223" width="28.7109375" style="314" customWidth="1"/>
    <col min="9224" max="9224" width="42.7109375" style="314" customWidth="1"/>
    <col min="9225" max="9472" width="9.140625" style="314"/>
    <col min="9473" max="9473" width="10.85546875" style="314" customWidth="1"/>
    <col min="9474" max="9474" width="15.7109375" style="314" customWidth="1"/>
    <col min="9475" max="9475" width="12.85546875" style="314" customWidth="1"/>
    <col min="9476" max="9476" width="12.140625" style="314" customWidth="1"/>
    <col min="9477" max="9477" width="7.7109375" style="314" customWidth="1"/>
    <col min="9478" max="9478" width="5.28515625" style="314" customWidth="1"/>
    <col min="9479" max="9479" width="28.7109375" style="314" customWidth="1"/>
    <col min="9480" max="9480" width="42.7109375" style="314" customWidth="1"/>
    <col min="9481" max="9728" width="9.140625" style="314"/>
    <col min="9729" max="9729" width="10.85546875" style="314" customWidth="1"/>
    <col min="9730" max="9730" width="15.7109375" style="314" customWidth="1"/>
    <col min="9731" max="9731" width="12.85546875" style="314" customWidth="1"/>
    <col min="9732" max="9732" width="12.140625" style="314" customWidth="1"/>
    <col min="9733" max="9733" width="7.7109375" style="314" customWidth="1"/>
    <col min="9734" max="9734" width="5.28515625" style="314" customWidth="1"/>
    <col min="9735" max="9735" width="28.7109375" style="314" customWidth="1"/>
    <col min="9736" max="9736" width="42.7109375" style="314" customWidth="1"/>
    <col min="9737" max="9984" width="9.140625" style="314"/>
    <col min="9985" max="9985" width="10.85546875" style="314" customWidth="1"/>
    <col min="9986" max="9986" width="15.7109375" style="314" customWidth="1"/>
    <col min="9987" max="9987" width="12.85546875" style="314" customWidth="1"/>
    <col min="9988" max="9988" width="12.140625" style="314" customWidth="1"/>
    <col min="9989" max="9989" width="7.7109375" style="314" customWidth="1"/>
    <col min="9990" max="9990" width="5.28515625" style="314" customWidth="1"/>
    <col min="9991" max="9991" width="28.7109375" style="314" customWidth="1"/>
    <col min="9992" max="9992" width="42.7109375" style="314" customWidth="1"/>
    <col min="9993" max="10240" width="9.140625" style="314"/>
    <col min="10241" max="10241" width="10.85546875" style="314" customWidth="1"/>
    <col min="10242" max="10242" width="15.7109375" style="314" customWidth="1"/>
    <col min="10243" max="10243" width="12.85546875" style="314" customWidth="1"/>
    <col min="10244" max="10244" width="12.140625" style="314" customWidth="1"/>
    <col min="10245" max="10245" width="7.7109375" style="314" customWidth="1"/>
    <col min="10246" max="10246" width="5.28515625" style="314" customWidth="1"/>
    <col min="10247" max="10247" width="28.7109375" style="314" customWidth="1"/>
    <col min="10248" max="10248" width="42.7109375" style="314" customWidth="1"/>
    <col min="10249" max="10496" width="9.140625" style="314"/>
    <col min="10497" max="10497" width="10.85546875" style="314" customWidth="1"/>
    <col min="10498" max="10498" width="15.7109375" style="314" customWidth="1"/>
    <col min="10499" max="10499" width="12.85546875" style="314" customWidth="1"/>
    <col min="10500" max="10500" width="12.140625" style="314" customWidth="1"/>
    <col min="10501" max="10501" width="7.7109375" style="314" customWidth="1"/>
    <col min="10502" max="10502" width="5.28515625" style="314" customWidth="1"/>
    <col min="10503" max="10503" width="28.7109375" style="314" customWidth="1"/>
    <col min="10504" max="10504" width="42.7109375" style="314" customWidth="1"/>
    <col min="10505" max="10752" width="9.140625" style="314"/>
    <col min="10753" max="10753" width="10.85546875" style="314" customWidth="1"/>
    <col min="10754" max="10754" width="15.7109375" style="314" customWidth="1"/>
    <col min="10755" max="10755" width="12.85546875" style="314" customWidth="1"/>
    <col min="10756" max="10756" width="12.140625" style="314" customWidth="1"/>
    <col min="10757" max="10757" width="7.7109375" style="314" customWidth="1"/>
    <col min="10758" max="10758" width="5.28515625" style="314" customWidth="1"/>
    <col min="10759" max="10759" width="28.7109375" style="314" customWidth="1"/>
    <col min="10760" max="10760" width="42.7109375" style="314" customWidth="1"/>
    <col min="10761" max="11008" width="9.140625" style="314"/>
    <col min="11009" max="11009" width="10.85546875" style="314" customWidth="1"/>
    <col min="11010" max="11010" width="15.7109375" style="314" customWidth="1"/>
    <col min="11011" max="11011" width="12.85546875" style="314" customWidth="1"/>
    <col min="11012" max="11012" width="12.140625" style="314" customWidth="1"/>
    <col min="11013" max="11013" width="7.7109375" style="314" customWidth="1"/>
    <col min="11014" max="11014" width="5.28515625" style="314" customWidth="1"/>
    <col min="11015" max="11015" width="28.7109375" style="314" customWidth="1"/>
    <col min="11016" max="11016" width="42.7109375" style="314" customWidth="1"/>
    <col min="11017" max="11264" width="9.140625" style="314"/>
    <col min="11265" max="11265" width="10.85546875" style="314" customWidth="1"/>
    <col min="11266" max="11266" width="15.7109375" style="314" customWidth="1"/>
    <col min="11267" max="11267" width="12.85546875" style="314" customWidth="1"/>
    <col min="11268" max="11268" width="12.140625" style="314" customWidth="1"/>
    <col min="11269" max="11269" width="7.7109375" style="314" customWidth="1"/>
    <col min="11270" max="11270" width="5.28515625" style="314" customWidth="1"/>
    <col min="11271" max="11271" width="28.7109375" style="314" customWidth="1"/>
    <col min="11272" max="11272" width="42.7109375" style="314" customWidth="1"/>
    <col min="11273" max="11520" width="9.140625" style="314"/>
    <col min="11521" max="11521" width="10.85546875" style="314" customWidth="1"/>
    <col min="11522" max="11522" width="15.7109375" style="314" customWidth="1"/>
    <col min="11523" max="11523" width="12.85546875" style="314" customWidth="1"/>
    <col min="11524" max="11524" width="12.140625" style="314" customWidth="1"/>
    <col min="11525" max="11525" width="7.7109375" style="314" customWidth="1"/>
    <col min="11526" max="11526" width="5.28515625" style="314" customWidth="1"/>
    <col min="11527" max="11527" width="28.7109375" style="314" customWidth="1"/>
    <col min="11528" max="11528" width="42.7109375" style="314" customWidth="1"/>
    <col min="11529" max="11776" width="9.140625" style="314"/>
    <col min="11777" max="11777" width="10.85546875" style="314" customWidth="1"/>
    <col min="11778" max="11778" width="15.7109375" style="314" customWidth="1"/>
    <col min="11779" max="11779" width="12.85546875" style="314" customWidth="1"/>
    <col min="11780" max="11780" width="12.140625" style="314" customWidth="1"/>
    <col min="11781" max="11781" width="7.7109375" style="314" customWidth="1"/>
    <col min="11782" max="11782" width="5.28515625" style="314" customWidth="1"/>
    <col min="11783" max="11783" width="28.7109375" style="314" customWidth="1"/>
    <col min="11784" max="11784" width="42.7109375" style="314" customWidth="1"/>
    <col min="11785" max="12032" width="9.140625" style="314"/>
    <col min="12033" max="12033" width="10.85546875" style="314" customWidth="1"/>
    <col min="12034" max="12034" width="15.7109375" style="314" customWidth="1"/>
    <col min="12035" max="12035" width="12.85546875" style="314" customWidth="1"/>
    <col min="12036" max="12036" width="12.140625" style="314" customWidth="1"/>
    <col min="12037" max="12037" width="7.7109375" style="314" customWidth="1"/>
    <col min="12038" max="12038" width="5.28515625" style="314" customWidth="1"/>
    <col min="12039" max="12039" width="28.7109375" style="314" customWidth="1"/>
    <col min="12040" max="12040" width="42.7109375" style="314" customWidth="1"/>
    <col min="12041" max="12288" width="9.140625" style="314"/>
    <col min="12289" max="12289" width="10.85546875" style="314" customWidth="1"/>
    <col min="12290" max="12290" width="15.7109375" style="314" customWidth="1"/>
    <col min="12291" max="12291" width="12.85546875" style="314" customWidth="1"/>
    <col min="12292" max="12292" width="12.140625" style="314" customWidth="1"/>
    <col min="12293" max="12293" width="7.7109375" style="314" customWidth="1"/>
    <col min="12294" max="12294" width="5.28515625" style="314" customWidth="1"/>
    <col min="12295" max="12295" width="28.7109375" style="314" customWidth="1"/>
    <col min="12296" max="12296" width="42.7109375" style="314" customWidth="1"/>
    <col min="12297" max="12544" width="9.140625" style="314"/>
    <col min="12545" max="12545" width="10.85546875" style="314" customWidth="1"/>
    <col min="12546" max="12546" width="15.7109375" style="314" customWidth="1"/>
    <col min="12547" max="12547" width="12.85546875" style="314" customWidth="1"/>
    <col min="12548" max="12548" width="12.140625" style="314" customWidth="1"/>
    <col min="12549" max="12549" width="7.7109375" style="314" customWidth="1"/>
    <col min="12550" max="12550" width="5.28515625" style="314" customWidth="1"/>
    <col min="12551" max="12551" width="28.7109375" style="314" customWidth="1"/>
    <col min="12552" max="12552" width="42.7109375" style="314" customWidth="1"/>
    <col min="12553" max="12800" width="9.140625" style="314"/>
    <col min="12801" max="12801" width="10.85546875" style="314" customWidth="1"/>
    <col min="12802" max="12802" width="15.7109375" style="314" customWidth="1"/>
    <col min="12803" max="12803" width="12.85546875" style="314" customWidth="1"/>
    <col min="12804" max="12804" width="12.140625" style="314" customWidth="1"/>
    <col min="12805" max="12805" width="7.7109375" style="314" customWidth="1"/>
    <col min="12806" max="12806" width="5.28515625" style="314" customWidth="1"/>
    <col min="12807" max="12807" width="28.7109375" style="314" customWidth="1"/>
    <col min="12808" max="12808" width="42.7109375" style="314" customWidth="1"/>
    <col min="12809" max="13056" width="9.140625" style="314"/>
    <col min="13057" max="13057" width="10.85546875" style="314" customWidth="1"/>
    <col min="13058" max="13058" width="15.7109375" style="314" customWidth="1"/>
    <col min="13059" max="13059" width="12.85546875" style="314" customWidth="1"/>
    <col min="13060" max="13060" width="12.140625" style="314" customWidth="1"/>
    <col min="13061" max="13061" width="7.7109375" style="314" customWidth="1"/>
    <col min="13062" max="13062" width="5.28515625" style="314" customWidth="1"/>
    <col min="13063" max="13063" width="28.7109375" style="314" customWidth="1"/>
    <col min="13064" max="13064" width="42.7109375" style="314" customWidth="1"/>
    <col min="13065" max="13312" width="9.140625" style="314"/>
    <col min="13313" max="13313" width="10.85546875" style="314" customWidth="1"/>
    <col min="13314" max="13314" width="15.7109375" style="314" customWidth="1"/>
    <col min="13315" max="13315" width="12.85546875" style="314" customWidth="1"/>
    <col min="13316" max="13316" width="12.140625" style="314" customWidth="1"/>
    <col min="13317" max="13317" width="7.7109375" style="314" customWidth="1"/>
    <col min="13318" max="13318" width="5.28515625" style="314" customWidth="1"/>
    <col min="13319" max="13319" width="28.7109375" style="314" customWidth="1"/>
    <col min="13320" max="13320" width="42.7109375" style="314" customWidth="1"/>
    <col min="13321" max="13568" width="9.140625" style="314"/>
    <col min="13569" max="13569" width="10.85546875" style="314" customWidth="1"/>
    <col min="13570" max="13570" width="15.7109375" style="314" customWidth="1"/>
    <col min="13571" max="13571" width="12.85546875" style="314" customWidth="1"/>
    <col min="13572" max="13572" width="12.140625" style="314" customWidth="1"/>
    <col min="13573" max="13573" width="7.7109375" style="314" customWidth="1"/>
    <col min="13574" max="13574" width="5.28515625" style="314" customWidth="1"/>
    <col min="13575" max="13575" width="28.7109375" style="314" customWidth="1"/>
    <col min="13576" max="13576" width="42.7109375" style="314" customWidth="1"/>
    <col min="13577" max="13824" width="9.140625" style="314"/>
    <col min="13825" max="13825" width="10.85546875" style="314" customWidth="1"/>
    <col min="13826" max="13826" width="15.7109375" style="314" customWidth="1"/>
    <col min="13827" max="13827" width="12.85546875" style="314" customWidth="1"/>
    <col min="13828" max="13828" width="12.140625" style="314" customWidth="1"/>
    <col min="13829" max="13829" width="7.7109375" style="314" customWidth="1"/>
    <col min="13830" max="13830" width="5.28515625" style="314" customWidth="1"/>
    <col min="13831" max="13831" width="28.7109375" style="314" customWidth="1"/>
    <col min="13832" max="13832" width="42.7109375" style="314" customWidth="1"/>
    <col min="13833" max="14080" width="9.140625" style="314"/>
    <col min="14081" max="14081" width="10.85546875" style="314" customWidth="1"/>
    <col min="14082" max="14082" width="15.7109375" style="314" customWidth="1"/>
    <col min="14083" max="14083" width="12.85546875" style="314" customWidth="1"/>
    <col min="14084" max="14084" width="12.140625" style="314" customWidth="1"/>
    <col min="14085" max="14085" width="7.7109375" style="314" customWidth="1"/>
    <col min="14086" max="14086" width="5.28515625" style="314" customWidth="1"/>
    <col min="14087" max="14087" width="28.7109375" style="314" customWidth="1"/>
    <col min="14088" max="14088" width="42.7109375" style="314" customWidth="1"/>
    <col min="14089" max="14336" width="9.140625" style="314"/>
    <col min="14337" max="14337" width="10.85546875" style="314" customWidth="1"/>
    <col min="14338" max="14338" width="15.7109375" style="314" customWidth="1"/>
    <col min="14339" max="14339" width="12.85546875" style="314" customWidth="1"/>
    <col min="14340" max="14340" width="12.140625" style="314" customWidth="1"/>
    <col min="14341" max="14341" width="7.7109375" style="314" customWidth="1"/>
    <col min="14342" max="14342" width="5.28515625" style="314" customWidth="1"/>
    <col min="14343" max="14343" width="28.7109375" style="314" customWidth="1"/>
    <col min="14344" max="14344" width="42.7109375" style="314" customWidth="1"/>
    <col min="14345" max="14592" width="9.140625" style="314"/>
    <col min="14593" max="14593" width="10.85546875" style="314" customWidth="1"/>
    <col min="14594" max="14594" width="15.7109375" style="314" customWidth="1"/>
    <col min="14595" max="14595" width="12.85546875" style="314" customWidth="1"/>
    <col min="14596" max="14596" width="12.140625" style="314" customWidth="1"/>
    <col min="14597" max="14597" width="7.7109375" style="314" customWidth="1"/>
    <col min="14598" max="14598" width="5.28515625" style="314" customWidth="1"/>
    <col min="14599" max="14599" width="28.7109375" style="314" customWidth="1"/>
    <col min="14600" max="14600" width="42.7109375" style="314" customWidth="1"/>
    <col min="14601" max="14848" width="9.140625" style="314"/>
    <col min="14849" max="14849" width="10.85546875" style="314" customWidth="1"/>
    <col min="14850" max="14850" width="15.7109375" style="314" customWidth="1"/>
    <col min="14851" max="14851" width="12.85546875" style="314" customWidth="1"/>
    <col min="14852" max="14852" width="12.140625" style="314" customWidth="1"/>
    <col min="14853" max="14853" width="7.7109375" style="314" customWidth="1"/>
    <col min="14854" max="14854" width="5.28515625" style="314" customWidth="1"/>
    <col min="14855" max="14855" width="28.7109375" style="314" customWidth="1"/>
    <col min="14856" max="14856" width="42.7109375" style="314" customWidth="1"/>
    <col min="14857" max="15104" width="9.140625" style="314"/>
    <col min="15105" max="15105" width="10.85546875" style="314" customWidth="1"/>
    <col min="15106" max="15106" width="15.7109375" style="314" customWidth="1"/>
    <col min="15107" max="15107" width="12.85546875" style="314" customWidth="1"/>
    <col min="15108" max="15108" width="12.140625" style="314" customWidth="1"/>
    <col min="15109" max="15109" width="7.7109375" style="314" customWidth="1"/>
    <col min="15110" max="15110" width="5.28515625" style="314" customWidth="1"/>
    <col min="15111" max="15111" width="28.7109375" style="314" customWidth="1"/>
    <col min="15112" max="15112" width="42.7109375" style="314" customWidth="1"/>
    <col min="15113" max="15360" width="9.140625" style="314"/>
    <col min="15361" max="15361" width="10.85546875" style="314" customWidth="1"/>
    <col min="15362" max="15362" width="15.7109375" style="314" customWidth="1"/>
    <col min="15363" max="15363" width="12.85546875" style="314" customWidth="1"/>
    <col min="15364" max="15364" width="12.140625" style="314" customWidth="1"/>
    <col min="15365" max="15365" width="7.7109375" style="314" customWidth="1"/>
    <col min="15366" max="15366" width="5.28515625" style="314" customWidth="1"/>
    <col min="15367" max="15367" width="28.7109375" style="314" customWidth="1"/>
    <col min="15368" max="15368" width="42.7109375" style="314" customWidth="1"/>
    <col min="15369" max="15616" width="9.140625" style="314"/>
    <col min="15617" max="15617" width="10.85546875" style="314" customWidth="1"/>
    <col min="15618" max="15618" width="15.7109375" style="314" customWidth="1"/>
    <col min="15619" max="15619" width="12.85546875" style="314" customWidth="1"/>
    <col min="15620" max="15620" width="12.140625" style="314" customWidth="1"/>
    <col min="15621" max="15621" width="7.7109375" style="314" customWidth="1"/>
    <col min="15622" max="15622" width="5.28515625" style="314" customWidth="1"/>
    <col min="15623" max="15623" width="28.7109375" style="314" customWidth="1"/>
    <col min="15624" max="15624" width="42.7109375" style="314" customWidth="1"/>
    <col min="15625" max="15872" width="9.140625" style="314"/>
    <col min="15873" max="15873" width="10.85546875" style="314" customWidth="1"/>
    <col min="15874" max="15874" width="15.7109375" style="314" customWidth="1"/>
    <col min="15875" max="15875" width="12.85546875" style="314" customWidth="1"/>
    <col min="15876" max="15876" width="12.140625" style="314" customWidth="1"/>
    <col min="15877" max="15877" width="7.7109375" style="314" customWidth="1"/>
    <col min="15878" max="15878" width="5.28515625" style="314" customWidth="1"/>
    <col min="15879" max="15879" width="28.7109375" style="314" customWidth="1"/>
    <col min="15880" max="15880" width="42.7109375" style="314" customWidth="1"/>
    <col min="15881" max="16128" width="9.140625" style="314"/>
    <col min="16129" max="16129" width="10.85546875" style="314" customWidth="1"/>
    <col min="16130" max="16130" width="15.7109375" style="314" customWidth="1"/>
    <col min="16131" max="16131" width="12.85546875" style="314" customWidth="1"/>
    <col min="16132" max="16132" width="12.140625" style="314" customWidth="1"/>
    <col min="16133" max="16133" width="7.7109375" style="314" customWidth="1"/>
    <col min="16134" max="16134" width="5.28515625" style="314" customWidth="1"/>
    <col min="16135" max="16135" width="28.7109375" style="314" customWidth="1"/>
    <col min="16136" max="16136" width="42.7109375" style="314" customWidth="1"/>
    <col min="16137" max="16384" width="9.140625" style="314"/>
  </cols>
  <sheetData>
    <row r="1" spans="1:8" ht="15.75" customHeight="1">
      <c r="A1" s="1141" t="s">
        <v>511</v>
      </c>
      <c r="B1" s="1605"/>
      <c r="C1" s="1605"/>
      <c r="D1" s="1605"/>
      <c r="E1" s="1605"/>
      <c r="F1" s="1605"/>
      <c r="G1" s="1605"/>
      <c r="H1" s="1606"/>
    </row>
    <row r="2" spans="1:8" ht="15.75" customHeight="1">
      <c r="A2" s="601" t="str">
        <f>'F1 Forecast Combined'!E3</f>
        <v>NRA.N.011-050-2012/1F</v>
      </c>
      <c r="B2" s="602"/>
      <c r="C2" s="602"/>
      <c r="D2" s="602"/>
      <c r="E2" s="602"/>
      <c r="F2" s="602"/>
      <c r="G2" s="602"/>
      <c r="H2" s="603"/>
    </row>
    <row r="3" spans="1:8" ht="15.75" customHeight="1" thickBot="1">
      <c r="A3" s="604"/>
      <c r="B3" s="605"/>
      <c r="C3" s="605"/>
      <c r="D3" s="605"/>
      <c r="E3" s="605"/>
      <c r="F3" s="605"/>
      <c r="G3" s="605"/>
      <c r="H3" s="606"/>
    </row>
    <row r="4" spans="1:8" ht="31.5" customHeight="1">
      <c r="A4" s="607" t="s">
        <v>512</v>
      </c>
      <c r="B4" s="1607"/>
      <c r="C4" s="1607"/>
      <c r="D4" s="1607"/>
      <c r="E4" s="1608" t="s">
        <v>513</v>
      </c>
      <c r="F4" s="1469"/>
      <c r="G4" s="1609"/>
      <c r="H4" s="1610"/>
    </row>
    <row r="5" spans="1:8" ht="31.5" customHeight="1">
      <c r="A5" s="608" t="s">
        <v>514</v>
      </c>
      <c r="B5" s="1611"/>
      <c r="C5" s="1611"/>
      <c r="D5" s="1611"/>
      <c r="E5" s="1432" t="s">
        <v>515</v>
      </c>
      <c r="F5" s="1451"/>
      <c r="G5" s="1593"/>
      <c r="H5" s="1594"/>
    </row>
    <row r="6" spans="1:8" ht="31.5" customHeight="1" thickBot="1">
      <c r="A6" s="608" t="s">
        <v>516</v>
      </c>
      <c r="B6" s="1592"/>
      <c r="C6" s="1592"/>
      <c r="D6" s="1592"/>
      <c r="E6" s="1432" t="s">
        <v>517</v>
      </c>
      <c r="F6" s="1451"/>
      <c r="G6" s="1593"/>
      <c r="H6" s="1594"/>
    </row>
    <row r="7" spans="1:8" ht="21.75" customHeight="1">
      <c r="A7" s="1595" t="s">
        <v>376</v>
      </c>
      <c r="B7" s="1597" t="s">
        <v>518</v>
      </c>
      <c r="C7" s="1390" t="s">
        <v>519</v>
      </c>
      <c r="D7" s="1391"/>
      <c r="E7" s="1391"/>
      <c r="F7" s="1392"/>
      <c r="G7" s="1599" t="s">
        <v>520</v>
      </c>
      <c r="H7" s="1601" t="s">
        <v>521</v>
      </c>
    </row>
    <row r="8" spans="1:8" ht="27" customHeight="1" thickBot="1">
      <c r="A8" s="1596"/>
      <c r="B8" s="1598"/>
      <c r="C8" s="609" t="s">
        <v>522</v>
      </c>
      <c r="D8" s="610" t="s">
        <v>523</v>
      </c>
      <c r="E8" s="1603" t="s">
        <v>524</v>
      </c>
      <c r="F8" s="1603"/>
      <c r="G8" s="1600"/>
      <c r="H8" s="1602"/>
    </row>
    <row r="9" spans="1:8" ht="24.95" customHeight="1">
      <c r="A9" s="774" t="s">
        <v>525</v>
      </c>
      <c r="B9" s="771"/>
      <c r="C9" s="611"/>
      <c r="D9" s="611"/>
      <c r="E9" s="1604"/>
      <c r="F9" s="1604"/>
      <c r="G9" s="611"/>
      <c r="H9" s="612"/>
    </row>
    <row r="10" spans="1:8" ht="24.95" customHeight="1">
      <c r="A10" s="775">
        <v>1</v>
      </c>
      <c r="B10" s="772"/>
      <c r="C10" s="614"/>
      <c r="D10" s="614"/>
      <c r="E10" s="1581"/>
      <c r="F10" s="1581"/>
      <c r="G10" s="613"/>
      <c r="H10" s="615"/>
    </row>
    <row r="11" spans="1:8" ht="24.95" customHeight="1">
      <c r="A11" s="775">
        <v>2</v>
      </c>
      <c r="B11" s="772"/>
      <c r="C11" s="614"/>
      <c r="D11" s="614"/>
      <c r="E11" s="1581"/>
      <c r="F11" s="1581"/>
      <c r="G11" s="613"/>
      <c r="H11" s="615"/>
    </row>
    <row r="12" spans="1:8" ht="24.95" customHeight="1">
      <c r="A12" s="775">
        <v>3</v>
      </c>
      <c r="B12" s="772"/>
      <c r="C12" s="614"/>
      <c r="D12" s="614"/>
      <c r="E12" s="1581"/>
      <c r="F12" s="1581"/>
      <c r="G12" s="613"/>
      <c r="H12" s="615"/>
    </row>
    <row r="13" spans="1:8" ht="24.95" customHeight="1">
      <c r="A13" s="775">
        <v>4</v>
      </c>
      <c r="B13" s="772"/>
      <c r="C13" s="614"/>
      <c r="D13" s="614"/>
      <c r="E13" s="1581"/>
      <c r="F13" s="1581"/>
      <c r="G13" s="613"/>
      <c r="H13" s="615"/>
    </row>
    <row r="14" spans="1:8" ht="24.95" customHeight="1">
      <c r="A14" s="775">
        <v>5</v>
      </c>
      <c r="B14" s="772"/>
      <c r="C14" s="614"/>
      <c r="D14" s="614"/>
      <c r="E14" s="1581"/>
      <c r="F14" s="1581"/>
      <c r="G14" s="613"/>
      <c r="H14" s="615"/>
    </row>
    <row r="15" spans="1:8" ht="24.95" customHeight="1">
      <c r="A15" s="775">
        <v>6</v>
      </c>
      <c r="B15" s="772"/>
      <c r="C15" s="614"/>
      <c r="D15" s="614"/>
      <c r="E15" s="1581"/>
      <c r="F15" s="1581"/>
      <c r="G15" s="613"/>
      <c r="H15" s="615"/>
    </row>
    <row r="16" spans="1:8" ht="24.95" customHeight="1">
      <c r="A16" s="775">
        <v>7</v>
      </c>
      <c r="B16" s="772"/>
      <c r="C16" s="614"/>
      <c r="D16" s="614"/>
      <c r="E16" s="1581"/>
      <c r="F16" s="1581"/>
      <c r="G16" s="613"/>
      <c r="H16" s="615"/>
    </row>
    <row r="17" spans="1:8" ht="24.95" customHeight="1">
      <c r="A17" s="775">
        <v>8</v>
      </c>
      <c r="B17" s="772"/>
      <c r="C17" s="614"/>
      <c r="D17" s="614"/>
      <c r="E17" s="1581"/>
      <c r="F17" s="1581"/>
      <c r="G17" s="613"/>
      <c r="H17" s="615"/>
    </row>
    <row r="18" spans="1:8" ht="24.95" customHeight="1">
      <c r="A18" s="775">
        <v>9</v>
      </c>
      <c r="B18" s="772"/>
      <c r="C18" s="614"/>
      <c r="D18" s="614"/>
      <c r="E18" s="1581"/>
      <c r="F18" s="1581"/>
      <c r="G18" s="613"/>
      <c r="H18" s="615"/>
    </row>
    <row r="19" spans="1:8" ht="24.95" customHeight="1">
      <c r="A19" s="775">
        <v>10</v>
      </c>
      <c r="B19" s="772"/>
      <c r="C19" s="614"/>
      <c r="D19" s="614"/>
      <c r="E19" s="1581"/>
      <c r="F19" s="1581"/>
      <c r="G19" s="613"/>
      <c r="H19" s="615"/>
    </row>
    <row r="20" spans="1:8" ht="24.95" customHeight="1">
      <c r="A20" s="775">
        <v>11</v>
      </c>
      <c r="B20" s="772"/>
      <c r="C20" s="614"/>
      <c r="D20" s="614"/>
      <c r="E20" s="1581"/>
      <c r="F20" s="1581"/>
      <c r="G20" s="613"/>
      <c r="H20" s="615"/>
    </row>
    <row r="21" spans="1:8" ht="24.95" customHeight="1">
      <c r="A21" s="775">
        <v>12</v>
      </c>
      <c r="B21" s="772"/>
      <c r="C21" s="614"/>
      <c r="D21" s="614"/>
      <c r="E21" s="1581"/>
      <c r="F21" s="1581"/>
      <c r="G21" s="613"/>
      <c r="H21" s="615"/>
    </row>
    <row r="22" spans="1:8" ht="24.95" customHeight="1">
      <c r="A22" s="775">
        <v>13</v>
      </c>
      <c r="B22" s="772"/>
      <c r="C22" s="614"/>
      <c r="D22" s="614"/>
      <c r="E22" s="1581"/>
      <c r="F22" s="1581"/>
      <c r="G22" s="613"/>
      <c r="H22" s="615"/>
    </row>
    <row r="23" spans="1:8" ht="24.95" customHeight="1">
      <c r="A23" s="775">
        <v>14</v>
      </c>
      <c r="B23" s="772"/>
      <c r="C23" s="614"/>
      <c r="D23" s="614"/>
      <c r="E23" s="1581"/>
      <c r="F23" s="1581"/>
      <c r="G23" s="613"/>
      <c r="H23" s="615"/>
    </row>
    <row r="24" spans="1:8" ht="24.95" customHeight="1">
      <c r="A24" s="775">
        <v>15</v>
      </c>
      <c r="B24" s="772"/>
      <c r="C24" s="614"/>
      <c r="D24" s="614"/>
      <c r="E24" s="1581"/>
      <c r="F24" s="1581"/>
      <c r="G24" s="613"/>
      <c r="H24" s="615"/>
    </row>
    <row r="25" spans="1:8" ht="24.95" customHeight="1">
      <c r="A25" s="775">
        <v>16</v>
      </c>
      <c r="B25" s="772"/>
      <c r="C25" s="614"/>
      <c r="D25" s="614"/>
      <c r="E25" s="1581"/>
      <c r="F25" s="1581"/>
      <c r="G25" s="613"/>
      <c r="H25" s="615"/>
    </row>
    <row r="26" spans="1:8" ht="24.95" customHeight="1">
      <c r="A26" s="775">
        <v>17</v>
      </c>
      <c r="B26" s="772"/>
      <c r="C26" s="614"/>
      <c r="D26" s="614"/>
      <c r="E26" s="1581"/>
      <c r="F26" s="1581"/>
      <c r="G26" s="613"/>
      <c r="H26" s="615"/>
    </row>
    <row r="27" spans="1:8" ht="24.95" customHeight="1">
      <c r="A27" s="775">
        <v>18</v>
      </c>
      <c r="B27" s="772"/>
      <c r="C27" s="614"/>
      <c r="D27" s="614"/>
      <c r="E27" s="1581"/>
      <c r="F27" s="1581"/>
      <c r="G27" s="613"/>
      <c r="H27" s="615"/>
    </row>
    <row r="28" spans="1:8" ht="24.95" customHeight="1">
      <c r="A28" s="775">
        <v>19</v>
      </c>
      <c r="B28" s="772"/>
      <c r="C28" s="614"/>
      <c r="D28" s="614"/>
      <c r="E28" s="1581"/>
      <c r="F28" s="1581"/>
      <c r="G28" s="613"/>
      <c r="H28" s="615"/>
    </row>
    <row r="29" spans="1:8" ht="24.95" customHeight="1">
      <c r="A29" s="775">
        <v>20</v>
      </c>
      <c r="B29" s="772"/>
      <c r="C29" s="614"/>
      <c r="D29" s="614"/>
      <c r="E29" s="1581"/>
      <c r="F29" s="1581"/>
      <c r="G29" s="613"/>
      <c r="H29" s="615"/>
    </row>
    <row r="30" spans="1:8" ht="24.95" customHeight="1">
      <c r="A30" s="775">
        <v>21</v>
      </c>
      <c r="B30" s="772"/>
      <c r="C30" s="614"/>
      <c r="D30" s="614"/>
      <c r="E30" s="1581"/>
      <c r="F30" s="1581"/>
      <c r="G30" s="613"/>
      <c r="H30" s="615"/>
    </row>
    <row r="31" spans="1:8" ht="24.95" customHeight="1">
      <c r="A31" s="775">
        <v>22</v>
      </c>
      <c r="B31" s="772"/>
      <c r="C31" s="614"/>
      <c r="D31" s="614"/>
      <c r="E31" s="1581"/>
      <c r="F31" s="1581"/>
      <c r="G31" s="613"/>
      <c r="H31" s="615"/>
    </row>
    <row r="32" spans="1:8" ht="24.95" customHeight="1">
      <c r="A32" s="775">
        <v>23</v>
      </c>
      <c r="B32" s="772"/>
      <c r="C32" s="614"/>
      <c r="D32" s="614"/>
      <c r="E32" s="1581"/>
      <c r="F32" s="1581"/>
      <c r="G32" s="613"/>
      <c r="H32" s="615"/>
    </row>
    <row r="33" spans="1:8" ht="24.95" customHeight="1">
      <c r="A33" s="775">
        <v>24</v>
      </c>
      <c r="B33" s="772"/>
      <c r="C33" s="614"/>
      <c r="D33" s="614"/>
      <c r="E33" s="1581"/>
      <c r="F33" s="1581"/>
      <c r="G33" s="613"/>
      <c r="H33" s="615"/>
    </row>
    <row r="34" spans="1:8" ht="24.95" customHeight="1">
      <c r="A34" s="775">
        <v>25</v>
      </c>
      <c r="B34" s="772"/>
      <c r="C34" s="614"/>
      <c r="D34" s="614"/>
      <c r="E34" s="1581"/>
      <c r="F34" s="1581"/>
      <c r="G34" s="613"/>
      <c r="H34" s="615"/>
    </row>
    <row r="35" spans="1:8" ht="24.95" customHeight="1">
      <c r="A35" s="775">
        <v>26</v>
      </c>
      <c r="B35" s="772"/>
      <c r="C35" s="614"/>
      <c r="D35" s="614"/>
      <c r="E35" s="1581"/>
      <c r="F35" s="1581"/>
      <c r="G35" s="613"/>
      <c r="H35" s="615"/>
    </row>
    <row r="36" spans="1:8" ht="24.95" customHeight="1">
      <c r="A36" s="775">
        <v>27</v>
      </c>
      <c r="B36" s="772"/>
      <c r="C36" s="614"/>
      <c r="D36" s="614"/>
      <c r="E36" s="1581"/>
      <c r="F36" s="1581"/>
      <c r="G36" s="613"/>
      <c r="H36" s="615"/>
    </row>
    <row r="37" spans="1:8" ht="24.95" customHeight="1">
      <c r="A37" s="775">
        <v>28</v>
      </c>
      <c r="B37" s="772"/>
      <c r="C37" s="614"/>
      <c r="D37" s="614"/>
      <c r="E37" s="1581"/>
      <c r="F37" s="1581"/>
      <c r="G37" s="613"/>
      <c r="H37" s="615"/>
    </row>
    <row r="38" spans="1:8" ht="24.95" customHeight="1">
      <c r="A38" s="775">
        <v>29</v>
      </c>
      <c r="B38" s="772"/>
      <c r="C38" s="614"/>
      <c r="D38" s="614"/>
      <c r="E38" s="1581"/>
      <c r="F38" s="1581"/>
      <c r="G38" s="613"/>
      <c r="H38" s="615"/>
    </row>
    <row r="39" spans="1:8" ht="24.95" customHeight="1">
      <c r="A39" s="775">
        <v>30</v>
      </c>
      <c r="B39" s="772"/>
      <c r="C39" s="614"/>
      <c r="D39" s="614"/>
      <c r="E39" s="1581"/>
      <c r="F39" s="1581"/>
      <c r="G39" s="613"/>
      <c r="H39" s="615"/>
    </row>
    <row r="40" spans="1:8" ht="24.95" customHeight="1" thickBot="1">
      <c r="A40" s="776">
        <v>31</v>
      </c>
      <c r="B40" s="773"/>
      <c r="C40" s="617"/>
      <c r="D40" s="617"/>
      <c r="E40" s="1582"/>
      <c r="F40" s="1582"/>
      <c r="G40" s="616"/>
      <c r="H40" s="618"/>
    </row>
    <row r="41" spans="1:8" ht="24.95" customHeight="1" thickBot="1">
      <c r="A41" s="619" t="s">
        <v>393</v>
      </c>
      <c r="B41" s="777"/>
      <c r="C41" s="778">
        <f>SUM(C10:C40)</f>
        <v>0</v>
      </c>
      <c r="D41" s="778">
        <f>SUM(D10:D40)</f>
        <v>0</v>
      </c>
      <c r="E41" s="1583">
        <v>0</v>
      </c>
      <c r="F41" s="1583"/>
      <c r="G41" s="1584"/>
      <c r="H41" s="1585"/>
    </row>
    <row r="42" spans="1:8" ht="24.75" customHeight="1">
      <c r="A42" s="1586"/>
      <c r="B42" s="1487"/>
      <c r="C42" s="1487"/>
      <c r="D42" s="1487"/>
      <c r="E42" s="1487"/>
      <c r="F42" s="1487"/>
      <c r="G42" s="1487"/>
      <c r="H42" s="1587"/>
    </row>
    <row r="43" spans="1:8" ht="24.75" customHeight="1">
      <c r="A43" s="1588" t="s">
        <v>526</v>
      </c>
      <c r="B43" s="1589"/>
      <c r="C43" s="1590"/>
      <c r="D43" s="1590"/>
      <c r="E43" s="1591"/>
      <c r="F43" s="1591"/>
      <c r="G43" s="620" t="s">
        <v>527</v>
      </c>
      <c r="H43" s="621"/>
    </row>
    <row r="44" spans="1:8" ht="24.75" customHeight="1" thickBot="1">
      <c r="A44" s="1578"/>
      <c r="B44" s="1579"/>
      <c r="C44" s="1579"/>
      <c r="D44" s="1579"/>
      <c r="E44" s="1579"/>
      <c r="F44" s="1579"/>
      <c r="G44" s="1579"/>
      <c r="H44" s="1580"/>
    </row>
  </sheetData>
  <mergeCells count="55">
    <mergeCell ref="A1:H1"/>
    <mergeCell ref="B4:D4"/>
    <mergeCell ref="E4:F4"/>
    <mergeCell ref="G4:H4"/>
    <mergeCell ref="B5:D5"/>
    <mergeCell ref="E5:F5"/>
    <mergeCell ref="G5:H5"/>
    <mergeCell ref="E14:F14"/>
    <mergeCell ref="B6:D6"/>
    <mergeCell ref="E6:F6"/>
    <mergeCell ref="G6:H6"/>
    <mergeCell ref="A7:A8"/>
    <mergeCell ref="B7:B8"/>
    <mergeCell ref="C7:F7"/>
    <mergeCell ref="G7:G8"/>
    <mergeCell ref="H7:H8"/>
    <mergeCell ref="E8:F8"/>
    <mergeCell ref="E9:F9"/>
    <mergeCell ref="E10:F10"/>
    <mergeCell ref="E11:F11"/>
    <mergeCell ref="E12:F12"/>
    <mergeCell ref="E13:F13"/>
    <mergeCell ref="E26:F26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38:F38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A44:H44"/>
    <mergeCell ref="E39:F39"/>
    <mergeCell ref="E40:F40"/>
    <mergeCell ref="E41:F41"/>
    <mergeCell ref="G41:H41"/>
    <mergeCell ref="A42:H42"/>
    <mergeCell ref="A43:B43"/>
    <mergeCell ref="C43:D43"/>
    <mergeCell ref="E43:F43"/>
  </mergeCells>
  <pageMargins left="0.15748031496062992" right="0" top="0.53" bottom="0.41" header="0.34" footer="0.17"/>
  <pageSetup paperSize="9" scale="73" orientation="portrait" blackAndWhite="1" r:id="rId1"/>
  <headerFooter alignWithMargins="0">
    <oddHeader>&amp;L&amp;"Calibri"&amp;10&amp;K000000Sensitivity - General&amp;1#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14">
    <tabColor rgb="FF7030A0"/>
    <pageSetUpPr fitToPage="1"/>
  </sheetPr>
  <dimension ref="A1:Q166"/>
  <sheetViews>
    <sheetView topLeftCell="A4" workbookViewId="0">
      <selection activeCell="A20" sqref="A20"/>
    </sheetView>
  </sheetViews>
  <sheetFormatPr defaultRowHeight="15"/>
  <cols>
    <col min="1" max="1" width="34" bestFit="1" customWidth="1"/>
    <col min="2" max="2" width="5.7109375" customWidth="1"/>
    <col min="3" max="3" width="19" bestFit="1" customWidth="1"/>
    <col min="4" max="4" width="19.7109375" customWidth="1"/>
    <col min="5" max="5" width="23.140625" bestFit="1" customWidth="1"/>
    <col min="6" max="6" width="24.28515625" bestFit="1" customWidth="1"/>
    <col min="7" max="7" width="19" bestFit="1" customWidth="1"/>
    <col min="8" max="8" width="22.140625" customWidth="1"/>
    <col min="9" max="9" width="8.140625" customWidth="1"/>
    <col min="10" max="10" width="19.140625" bestFit="1" customWidth="1"/>
    <col min="11" max="11" width="18.85546875" customWidth="1"/>
    <col min="12" max="13" width="15" bestFit="1" customWidth="1"/>
  </cols>
  <sheetData>
    <row r="1" spans="1:11" ht="30.75" customHeight="1">
      <c r="A1" s="263" t="str">
        <f>DATA!$C$1004</f>
        <v>NRA.N.011-050-2012/1F</v>
      </c>
      <c r="C1" s="1612" t="str">
        <f>DATA!C1005</f>
        <v>CONSULTING ENGINEERING SERVICES FOR THE PRELIMINARY DESIGN REVIEW,DETAIL DESIGN, CONTRACT DOCUMENTATION AND CONSTRUCTION MONITORING OF THE ERMELO RING ROAD</v>
      </c>
      <c r="D1" s="1612"/>
      <c r="E1" s="1612"/>
      <c r="F1" s="1612"/>
      <c r="G1" s="1612"/>
      <c r="H1" s="1612"/>
    </row>
    <row r="2" spans="1:11">
      <c r="A2" s="232" t="str">
        <f>'All Hours'!D1</f>
        <v>PLEASE INSERT TENDERER NAME ON INPUT DATA SHEET</v>
      </c>
      <c r="G2" s="280" t="s">
        <v>609</v>
      </c>
      <c r="H2" s="736">
        <f>'F1  Cover'!L8</f>
        <v>44804</v>
      </c>
    </row>
    <row r="3" spans="1:11" ht="28.5" customHeight="1">
      <c r="C3" s="163" t="s">
        <v>222</v>
      </c>
      <c r="D3" s="163" t="str">
        <f>'ADJ-1'!A4</f>
        <v xml:space="preserve"> Design stage Adjustment</v>
      </c>
      <c r="E3" s="163" t="str">
        <f>'ADJ-2'!A4</f>
        <v>Delay Adjustment</v>
      </c>
      <c r="F3" s="262" t="str">
        <f>'ADJ-3'!A4</f>
        <v>Tender Value Adjustment</v>
      </c>
      <c r="G3" s="163" t="str">
        <f>'ADJ-4'!A4</f>
        <v>Takeover Value Adjustment</v>
      </c>
      <c r="H3" s="163" t="str">
        <f>'ADJ-5'!A4</f>
        <v>Complete project Value Adjustment</v>
      </c>
    </row>
    <row r="4" spans="1:11">
      <c r="C4" s="746">
        <f>DATA!K1023</f>
        <v>45237</v>
      </c>
      <c r="D4" s="164">
        <f>IF('ADJ-1'!$I$7=0,401768,'ADJ-1'!$I$7)</f>
        <v>401768</v>
      </c>
      <c r="E4" s="164">
        <f>IF('ADJ-2'!$I$7=0,401768,'ADJ-2'!$I$7)</f>
        <v>401768</v>
      </c>
      <c r="F4" s="164">
        <f>IF('ADJ-3'!$I$7=0,401768,'ADJ-3'!$I$7)</f>
        <v>401768</v>
      </c>
      <c r="G4" s="164">
        <f>IF('ADJ-4'!$I$7=0,401768,'ADJ-4'!$I$7)</f>
        <v>401768</v>
      </c>
      <c r="H4" s="164">
        <f>IF('ADJ-5'!$I$7=0,401768,'ADJ-5'!$I$7)</f>
        <v>401768</v>
      </c>
    </row>
    <row r="5" spans="1:11">
      <c r="C5" s="177">
        <f>$H$2-C4</f>
        <v>-433</v>
      </c>
      <c r="D5" s="177">
        <f t="shared" ref="D5:H5" si="0">$H$2-D4</f>
        <v>-356964</v>
      </c>
      <c r="E5" s="177">
        <f t="shared" si="0"/>
        <v>-356964</v>
      </c>
      <c r="F5" s="177">
        <f t="shared" si="0"/>
        <v>-356964</v>
      </c>
      <c r="G5" s="177">
        <f t="shared" si="0"/>
        <v>-356964</v>
      </c>
      <c r="H5" s="177">
        <f t="shared" si="0"/>
        <v>-356964</v>
      </c>
    </row>
    <row r="6" spans="1:11" ht="55.5" customHeight="1">
      <c r="A6" s="266" t="str">
        <f>'ADJ-1'!A8</f>
        <v>Road works</v>
      </c>
      <c r="B6" s="267"/>
      <c r="C6" s="162"/>
      <c r="D6" s="165">
        <f>'ADJ-1'!A20</f>
        <v>0</v>
      </c>
      <c r="E6" s="165">
        <f>'ADJ-2'!A20</f>
        <v>0</v>
      </c>
      <c r="F6" s="165">
        <f>'ADJ-3'!A20</f>
        <v>0</v>
      </c>
      <c r="G6" s="165">
        <f>'ADJ-4'!A20</f>
        <v>0</v>
      </c>
      <c r="H6" s="165">
        <f>'ADJ-5'!A20</f>
        <v>0</v>
      </c>
    </row>
    <row r="7" spans="1:11">
      <c r="E7" s="1"/>
      <c r="I7" s="168"/>
      <c r="J7" s="124" t="s">
        <v>610</v>
      </c>
      <c r="K7" s="124" t="s">
        <v>199</v>
      </c>
    </row>
    <row r="8" spans="1:11">
      <c r="A8" s="124" t="str">
        <f>'ADJ-1'!A9</f>
        <v>EST</v>
      </c>
      <c r="C8" s="152">
        <f>'SUMMARY TENDERED FEE'!B17</f>
        <v>4500000000</v>
      </c>
      <c r="D8" s="158">
        <f>'ADJ-1'!B9</f>
        <v>4500000000</v>
      </c>
      <c r="E8" s="139">
        <f>'ADJ-2'!B9</f>
        <v>4500000000</v>
      </c>
      <c r="F8" s="139">
        <f>'ADJ-3'!B9</f>
        <v>4500000000</v>
      </c>
      <c r="G8" s="139">
        <f>'ADJ-4'!B9</f>
        <v>4500000000</v>
      </c>
      <c r="H8" s="139">
        <f>'ADJ-5'!B9</f>
        <v>4500000000</v>
      </c>
      <c r="I8" s="140"/>
      <c r="J8" s="173" t="e">
        <f>DATA!$N$44</f>
        <v>#N/A</v>
      </c>
      <c r="K8" s="158" t="e">
        <f>IF(J8=0,C8,INDEX(C11:H11,1,MATCH(J8,$C$4:$H$4,0)))</f>
        <v>#N/A</v>
      </c>
    </row>
    <row r="9" spans="1:11">
      <c r="A9" s="124" t="str">
        <f>'ADJ-1'!A10</f>
        <v>Tendered fee value</v>
      </c>
      <c r="C9" s="152">
        <f>'SUMMARY TENDERED FEE'!C17</f>
        <v>0</v>
      </c>
      <c r="D9" s="158">
        <f>'ADJ-1'!B10</f>
        <v>0</v>
      </c>
      <c r="E9" s="139">
        <f>'ADJ-2'!B10</f>
        <v>0</v>
      </c>
      <c r="F9" s="139">
        <f>'ADJ-3'!B10</f>
        <v>0</v>
      </c>
      <c r="G9" s="139">
        <f>'ADJ-4'!B10</f>
        <v>0</v>
      </c>
      <c r="H9" s="139">
        <f>'ADJ-5'!B10</f>
        <v>0</v>
      </c>
      <c r="I9" s="743" t="s">
        <v>75</v>
      </c>
      <c r="J9" s="158" t="e">
        <f>IF(J8=0,C22,INDEX(C22:H22,1,MATCH(J8,$C$4:$H$4,0)))</f>
        <v>#N/A</v>
      </c>
    </row>
    <row r="10" spans="1:11">
      <c r="A10" s="124" t="str">
        <f>'ADJ-1'!A11</f>
        <v>Tendered fee value as %</v>
      </c>
      <c r="C10" s="166">
        <f>'SUMMARY TENDERED FEE'!D17</f>
        <v>0</v>
      </c>
      <c r="D10" s="153">
        <f>'ADJ-1'!B11</f>
        <v>0</v>
      </c>
      <c r="E10" s="167">
        <f>'ADJ-2'!B11</f>
        <v>0</v>
      </c>
      <c r="F10" s="167">
        <f>'ADJ-3'!B11</f>
        <v>0</v>
      </c>
      <c r="G10" s="167">
        <f>'ADJ-4'!B11</f>
        <v>0</v>
      </c>
      <c r="H10" s="167">
        <f>'ADJ-5'!B11</f>
        <v>0</v>
      </c>
      <c r="I10" s="744" t="s">
        <v>76</v>
      </c>
      <c r="J10" s="158" t="e">
        <f>IF(J8=0,C23,INDEX(C23:H23,1,MATCH(J8,$C$4:$H$4,0)))</f>
        <v>#N/A</v>
      </c>
    </row>
    <row r="11" spans="1:11">
      <c r="A11" s="124" t="str">
        <f>'ADJ-1'!A12</f>
        <v>updated COW</v>
      </c>
      <c r="C11" s="140">
        <f>C8</f>
        <v>4500000000</v>
      </c>
      <c r="D11" s="158">
        <f>'ADJ-1'!B12</f>
        <v>0</v>
      </c>
      <c r="E11" s="139">
        <f>'ADJ-2'!B12</f>
        <v>0</v>
      </c>
      <c r="F11" s="139">
        <f>'ADJ-3'!B12</f>
        <v>0</v>
      </c>
      <c r="G11" s="139">
        <f>'ADJ-4'!B12</f>
        <v>0</v>
      </c>
      <c r="H11" s="139">
        <f>'ADJ-5'!B12</f>
        <v>0</v>
      </c>
      <c r="I11" s="280" t="s">
        <v>77</v>
      </c>
      <c r="J11" s="158" t="e">
        <f>IF(J8=0,C24,INDEX(C24:H24,1,MATCH(J8,$C$4:$H$4,0)))</f>
        <v>#N/A</v>
      </c>
    </row>
    <row r="12" spans="1:11">
      <c r="A12" s="124" t="str">
        <f>'ADJ-1'!A13</f>
        <v>a</v>
      </c>
      <c r="D12" s="169">
        <f>'ADJ-1'!B13</f>
        <v>0.8</v>
      </c>
      <c r="E12" s="169">
        <f>'ADJ-2'!B13</f>
        <v>0.8</v>
      </c>
      <c r="F12" s="169">
        <f>'ADJ-3'!B13</f>
        <v>0.8</v>
      </c>
      <c r="G12" s="169">
        <f>'ADJ-4'!B13</f>
        <v>0.8</v>
      </c>
      <c r="H12" s="169">
        <f>'ADJ-5'!B13</f>
        <v>0.8</v>
      </c>
      <c r="I12" s="280" t="s">
        <v>78</v>
      </c>
      <c r="J12" s="158" t="e">
        <f>IF(J8=0,C25,INDEX(C25:H25,1,MATCH(J8,$C$4:$H$4,0)))</f>
        <v>#N/A</v>
      </c>
    </row>
    <row r="13" spans="1:11">
      <c r="A13" s="124" t="str">
        <f>'ADJ-1'!A15</f>
        <v>Adjusted Rand Value ARV</v>
      </c>
      <c r="D13" s="158">
        <f>'ADJ-1'!B15</f>
        <v>0</v>
      </c>
      <c r="E13" s="139">
        <f>'ADJ-2'!B15</f>
        <v>0</v>
      </c>
      <c r="F13" s="139">
        <f>'ADJ-3'!B15</f>
        <v>0</v>
      </c>
      <c r="G13" s="139">
        <f>'ADJ-4'!B15</f>
        <v>0</v>
      </c>
      <c r="H13" s="139">
        <f>'ADJ-5'!B15</f>
        <v>0</v>
      </c>
      <c r="I13" s="280" t="s">
        <v>79</v>
      </c>
      <c r="J13" s="158" t="e">
        <f>IF(J8=0,C26,INDEX(C26:H26,1,MATCH(J8,$C$4:$H$4,0)))</f>
        <v>#N/A</v>
      </c>
      <c r="K13" s="140" t="e">
        <f>SUM(J9:J13)</f>
        <v>#N/A</v>
      </c>
    </row>
    <row r="14" spans="1:11">
      <c r="C14" s="170"/>
      <c r="D14" s="170"/>
      <c r="J14" s="124" t="s">
        <v>198</v>
      </c>
      <c r="K14" s="124" t="s">
        <v>199</v>
      </c>
    </row>
    <row r="15" spans="1:11">
      <c r="A15" s="124" t="str">
        <f>'SUMMARY TENDERED FEE'!E6</f>
        <v>Concept Design (CD)</v>
      </c>
      <c r="B15" s="127">
        <f>'SUMMARY TENDERED FEE'!E7</f>
        <v>0</v>
      </c>
      <c r="C15" s="158">
        <f>'SUMMARY TENDERED FEE'!E17</f>
        <v>0</v>
      </c>
      <c r="D15" s="152">
        <f>B15*$D$13</f>
        <v>0</v>
      </c>
      <c r="E15" s="158">
        <f>$E$13*B15</f>
        <v>0</v>
      </c>
      <c r="F15" s="152">
        <f>$F$13*B15</f>
        <v>0</v>
      </c>
      <c r="G15" s="158">
        <f>$G$13*B15</f>
        <v>0</v>
      </c>
      <c r="H15" s="158">
        <f>$H$13*B15</f>
        <v>0</v>
      </c>
      <c r="J15" s="173" t="e">
        <f>DATA!$N$45</f>
        <v>#N/A</v>
      </c>
      <c r="K15" s="158" t="e">
        <f>IF(J15=0,C8,INDEX(C11:H11,1,MATCH(J15,$C$4:$H$4,0)))</f>
        <v>#N/A</v>
      </c>
    </row>
    <row r="16" spans="1:11">
      <c r="A16" s="124" t="str">
        <f>'SUMMARY TENDERED FEE'!F6</f>
        <v>Preliminary Design (PD)</v>
      </c>
      <c r="B16" s="127">
        <f>'SUMMARY TENDERED FEE'!F7</f>
        <v>0.22</v>
      </c>
      <c r="C16" s="158">
        <f>'SUMMARY TENDERED FEE'!F17</f>
        <v>0</v>
      </c>
      <c r="D16" s="152">
        <f>B16*$D$13</f>
        <v>0</v>
      </c>
      <c r="E16" s="158">
        <f>$E$13*B16</f>
        <v>0</v>
      </c>
      <c r="F16" s="152">
        <f>$F$13*B16</f>
        <v>0</v>
      </c>
      <c r="G16" s="158">
        <f>$G$13*B16</f>
        <v>0</v>
      </c>
      <c r="H16" s="158">
        <f>$H$13*B16</f>
        <v>0</v>
      </c>
      <c r="I16" s="280" t="s">
        <v>75</v>
      </c>
      <c r="J16" s="158" t="e">
        <f>IF(J15=0,C22,INDEX(C22:H22,1,MATCH(J15,$C$4:$H$4,0)))</f>
        <v>#N/A</v>
      </c>
    </row>
    <row r="17" spans="1:11">
      <c r="A17" s="124" t="str">
        <f>'SUMMARY TENDERED FEE'!G6</f>
        <v>Detailed Design (DD)</v>
      </c>
      <c r="B17" s="127">
        <f>'SUMMARY TENDERED FEE'!G7</f>
        <v>0.44</v>
      </c>
      <c r="C17" s="158">
        <f>'SUMMARY TENDERED FEE'!G17</f>
        <v>0</v>
      </c>
      <c r="D17" s="152">
        <f>B17*$D$13</f>
        <v>0</v>
      </c>
      <c r="E17" s="158">
        <f>$E$13*B17</f>
        <v>0</v>
      </c>
      <c r="F17" s="152">
        <f>$F$13*B17</f>
        <v>0</v>
      </c>
      <c r="G17" s="158">
        <f>$G$13*B17</f>
        <v>0</v>
      </c>
      <c r="H17" s="158">
        <f>$H$13*B17</f>
        <v>0</v>
      </c>
      <c r="I17" s="280" t="s">
        <v>76</v>
      </c>
      <c r="J17" s="158" t="e">
        <f>IF(J15=0,C23,INDEX(C23:H23,1,MATCH(J15,$C$4:$H$4,0)))</f>
        <v>#N/A</v>
      </c>
    </row>
    <row r="18" spans="1:11">
      <c r="A18" s="124" t="str">
        <f>'SUMMARY TENDERED FEE'!H6</f>
        <v>Administration &amp; Monitoring (AMW)</v>
      </c>
      <c r="B18" s="127">
        <f>'SUMMARY TENDERED FEE'!H7</f>
        <v>0.28000000000000003</v>
      </c>
      <c r="C18" s="158">
        <f>'SUMMARY TENDERED FEE'!H17</f>
        <v>0</v>
      </c>
      <c r="D18" s="152">
        <f>B18*$D$13</f>
        <v>0</v>
      </c>
      <c r="E18" s="158">
        <f>$E$13*B18</f>
        <v>0</v>
      </c>
      <c r="F18" s="152">
        <f>$F$13*B18</f>
        <v>0</v>
      </c>
      <c r="G18" s="158">
        <f>$G$13*B18</f>
        <v>0</v>
      </c>
      <c r="H18" s="158">
        <f>$H$13*B18</f>
        <v>0</v>
      </c>
      <c r="I18" s="280" t="s">
        <v>77</v>
      </c>
      <c r="J18" s="158" t="e">
        <f>IF(J15=0,C24,INDEX(C24:H24,1,MATCH(J15,$C$4:$H$4,0)))</f>
        <v>#N/A</v>
      </c>
    </row>
    <row r="19" spans="1:11">
      <c r="A19" s="124" t="str">
        <f>'SUMMARY TENDERED FEE'!I6</f>
        <v>Close out (CO)</v>
      </c>
      <c r="B19" s="127">
        <f>'SUMMARY TENDERED FEE'!I7</f>
        <v>0.06</v>
      </c>
      <c r="C19" s="158">
        <f>'SUMMARY TENDERED FEE'!I17</f>
        <v>0</v>
      </c>
      <c r="D19" s="152">
        <f>B19*$D$13</f>
        <v>0</v>
      </c>
      <c r="E19" s="158">
        <f>$E$13*B19</f>
        <v>0</v>
      </c>
      <c r="F19" s="152">
        <f>$F$13*B19</f>
        <v>0</v>
      </c>
      <c r="G19" s="158">
        <f>$G$13*B19</f>
        <v>0</v>
      </c>
      <c r="H19" s="158">
        <f>$H$13*B19</f>
        <v>0</v>
      </c>
      <c r="I19" s="280" t="s">
        <v>78</v>
      </c>
      <c r="J19" s="158" t="e">
        <f>IF(J15=0,C25,INDEX(C25:H25,1,MATCH(J15,$C$4:$H$4,0)))</f>
        <v>#N/A</v>
      </c>
    </row>
    <row r="20" spans="1:11">
      <c r="C20" s="171">
        <f>SUM(C15:C19)</f>
        <v>0</v>
      </c>
      <c r="D20" s="171">
        <f t="shared" ref="D20:H20" si="1">SUM(D15:D19)</f>
        <v>0</v>
      </c>
      <c r="E20" s="171">
        <f t="shared" si="1"/>
        <v>0</v>
      </c>
      <c r="F20" s="171">
        <f t="shared" si="1"/>
        <v>0</v>
      </c>
      <c r="G20" s="171">
        <f t="shared" si="1"/>
        <v>0</v>
      </c>
      <c r="H20" s="171">
        <f t="shared" si="1"/>
        <v>0</v>
      </c>
      <c r="I20" s="280" t="s">
        <v>79</v>
      </c>
      <c r="J20" s="158" t="e">
        <f>IF(J15=0,C26,INDEX(C26:H26,1,MATCH(J15,$C$4:$H$4,0)))</f>
        <v>#N/A</v>
      </c>
      <c r="K20" s="140" t="e">
        <f>SUM(J16:J20)</f>
        <v>#N/A</v>
      </c>
    </row>
    <row r="21" spans="1:11">
      <c r="A21" s="172" t="s">
        <v>99</v>
      </c>
      <c r="J21" s="124" t="s">
        <v>612</v>
      </c>
      <c r="K21" s="124" t="s">
        <v>199</v>
      </c>
    </row>
    <row r="22" spans="1:11">
      <c r="A22" s="124" t="s">
        <v>67</v>
      </c>
      <c r="C22" s="152">
        <v>0</v>
      </c>
      <c r="D22" s="152">
        <f>D15-C15</f>
        <v>0</v>
      </c>
      <c r="E22" s="152">
        <f>E15-C15</f>
        <v>0</v>
      </c>
      <c r="F22" s="152">
        <f>F15-C15</f>
        <v>0</v>
      </c>
      <c r="G22" s="174">
        <f>F22</f>
        <v>0</v>
      </c>
      <c r="H22" s="174">
        <f t="shared" ref="H22:H24" si="2">G22</f>
        <v>0</v>
      </c>
      <c r="J22" s="173" t="e">
        <f>DATA!$N$45</f>
        <v>#N/A</v>
      </c>
      <c r="K22" s="158" t="e">
        <f>K15</f>
        <v>#N/A</v>
      </c>
    </row>
    <row r="23" spans="1:11">
      <c r="A23" s="175" t="s">
        <v>68</v>
      </c>
      <c r="C23" s="152">
        <v>0</v>
      </c>
      <c r="D23" s="152">
        <f>D16-C16</f>
        <v>0</v>
      </c>
      <c r="E23" s="152">
        <f>E16-C16</f>
        <v>0</v>
      </c>
      <c r="F23" s="152">
        <f>F16-C16</f>
        <v>0</v>
      </c>
      <c r="G23" s="174">
        <f>F23</f>
        <v>0</v>
      </c>
      <c r="H23" s="174">
        <f t="shared" si="2"/>
        <v>0</v>
      </c>
      <c r="I23" s="280" t="s">
        <v>75</v>
      </c>
      <c r="J23" s="158" t="e">
        <f>J16-J9</f>
        <v>#N/A</v>
      </c>
    </row>
    <row r="24" spans="1:11">
      <c r="A24" s="124" t="s">
        <v>69</v>
      </c>
      <c r="C24" s="152">
        <v>0</v>
      </c>
      <c r="D24" s="152">
        <f>D17-C17</f>
        <v>0</v>
      </c>
      <c r="E24" s="152">
        <f>E17-C17</f>
        <v>0</v>
      </c>
      <c r="F24" s="152">
        <f>F17-C17</f>
        <v>0</v>
      </c>
      <c r="G24" s="174">
        <f>F24</f>
        <v>0</v>
      </c>
      <c r="H24" s="174">
        <f t="shared" si="2"/>
        <v>0</v>
      </c>
      <c r="I24" s="280" t="s">
        <v>76</v>
      </c>
      <c r="J24" s="158" t="e">
        <f t="shared" ref="J24:J27" si="3">J17-J10</f>
        <v>#N/A</v>
      </c>
    </row>
    <row r="25" spans="1:11">
      <c r="A25" s="124" t="s">
        <v>70</v>
      </c>
      <c r="C25" s="152">
        <v>0</v>
      </c>
      <c r="D25" s="152">
        <f>D18-C18</f>
        <v>0</v>
      </c>
      <c r="E25" s="152">
        <f>E18-C18</f>
        <v>0</v>
      </c>
      <c r="F25" s="152">
        <f>F18-C18</f>
        <v>0</v>
      </c>
      <c r="G25" s="152">
        <f>G18-C18</f>
        <v>0</v>
      </c>
      <c r="H25" s="152">
        <f>H18-C18</f>
        <v>0</v>
      </c>
      <c r="I25" s="280" t="s">
        <v>77</v>
      </c>
      <c r="J25" s="158" t="e">
        <f t="shared" si="3"/>
        <v>#N/A</v>
      </c>
    </row>
    <row r="26" spans="1:11">
      <c r="A26" s="124" t="s">
        <v>71</v>
      </c>
      <c r="C26" s="152">
        <v>0</v>
      </c>
      <c r="D26" s="152">
        <f>D19-C19</f>
        <v>0</v>
      </c>
      <c r="E26" s="152">
        <f>E19-C19</f>
        <v>0</v>
      </c>
      <c r="F26" s="152">
        <f>F19-C19</f>
        <v>0</v>
      </c>
      <c r="G26" s="152">
        <f>G19-C19</f>
        <v>0</v>
      </c>
      <c r="H26" s="152">
        <f>H19-C19</f>
        <v>0</v>
      </c>
      <c r="I26" s="280" t="s">
        <v>78</v>
      </c>
      <c r="J26" s="158" t="e">
        <f t="shared" si="3"/>
        <v>#N/A</v>
      </c>
    </row>
    <row r="27" spans="1:11">
      <c r="I27" s="280" t="s">
        <v>79</v>
      </c>
      <c r="J27" s="158" t="e">
        <f t="shared" si="3"/>
        <v>#N/A</v>
      </c>
      <c r="K27" s="140" t="e">
        <f>SUM(J23:J27)</f>
        <v>#N/A</v>
      </c>
    </row>
    <row r="29" spans="1:11" ht="55.5" customHeight="1">
      <c r="A29" s="264" t="str">
        <f>'ADJ-1'!A24</f>
        <v>Structures</v>
      </c>
      <c r="B29" s="264"/>
      <c r="C29" s="265"/>
      <c r="D29" s="165">
        <f>'ADJ-1'!A36</f>
        <v>0</v>
      </c>
      <c r="E29" s="165">
        <f>'ADJ-2'!A36</f>
        <v>0</v>
      </c>
      <c r="F29" s="165">
        <f>'ADJ-3'!A36</f>
        <v>0</v>
      </c>
      <c r="G29" s="165">
        <f>'ADJ-4'!A36</f>
        <v>0</v>
      </c>
      <c r="H29" s="165">
        <f>'ADJ-5'!A36</f>
        <v>0</v>
      </c>
    </row>
    <row r="30" spans="1:11">
      <c r="I30" s="168"/>
      <c r="J30" s="124" t="s">
        <v>610</v>
      </c>
      <c r="K30" s="124" t="s">
        <v>199</v>
      </c>
    </row>
    <row r="31" spans="1:11">
      <c r="A31" s="124" t="s">
        <v>177</v>
      </c>
      <c r="C31" s="152">
        <f>'SUMMARY TENDERED FEE'!B18</f>
        <v>300000000</v>
      </c>
      <c r="D31" s="158">
        <f>'ADJ-1'!B25</f>
        <v>300000000</v>
      </c>
      <c r="E31" s="139">
        <f>'ADJ-2'!B25</f>
        <v>300000000</v>
      </c>
      <c r="F31" s="139">
        <f>'ADJ-3'!B25</f>
        <v>300000000</v>
      </c>
      <c r="G31" s="139">
        <f>'ADJ-4'!B25</f>
        <v>300000000</v>
      </c>
      <c r="H31" s="139">
        <f>'ADJ-5'!B25</f>
        <v>300000000</v>
      </c>
      <c r="I31" s="140"/>
      <c r="J31" s="173" t="e">
        <f>DATA!$N$44</f>
        <v>#N/A</v>
      </c>
      <c r="K31" s="158" t="e">
        <f>IF(J31=0,C31,INDEX(C34:H34,1,MATCH(J31,$C$4:$H$4,0)))</f>
        <v>#N/A</v>
      </c>
    </row>
    <row r="32" spans="1:11">
      <c r="A32" s="124" t="s">
        <v>178</v>
      </c>
      <c r="C32" s="152">
        <f>'SUMMARY TENDERED FEE'!C18</f>
        <v>0</v>
      </c>
      <c r="D32" s="158">
        <f>'ADJ-1'!B26</f>
        <v>0</v>
      </c>
      <c r="E32" s="139">
        <f>'ADJ-2'!B26</f>
        <v>0</v>
      </c>
      <c r="F32" s="139">
        <f>'ADJ-3'!B26</f>
        <v>0</v>
      </c>
      <c r="G32" s="139">
        <f>'ADJ-4'!B26</f>
        <v>0</v>
      </c>
      <c r="H32" s="139">
        <f>'ADJ-5'!B26</f>
        <v>0</v>
      </c>
      <c r="I32" s="743" t="s">
        <v>75</v>
      </c>
      <c r="J32" s="158" t="e">
        <f>IF(J31=0,C45,INDEX(C45:H45,1,MATCH(J31,$C$4:$H$4,0)))</f>
        <v>#N/A</v>
      </c>
    </row>
    <row r="33" spans="1:11">
      <c r="A33" s="124" t="s">
        <v>179</v>
      </c>
      <c r="C33" s="166">
        <f>'SUMMARY TENDERED FEE'!D18</f>
        <v>0</v>
      </c>
      <c r="D33" s="153">
        <f>'ADJ-1'!B27</f>
        <v>0</v>
      </c>
      <c r="E33" s="167">
        <f>'ADJ-2'!B27</f>
        <v>0</v>
      </c>
      <c r="F33" s="167">
        <f>'ADJ-3'!B27</f>
        <v>0</v>
      </c>
      <c r="G33" s="167">
        <f>'ADJ-4'!B27</f>
        <v>0</v>
      </c>
      <c r="H33" s="167">
        <f>'ADJ-5'!B27</f>
        <v>0</v>
      </c>
      <c r="I33" s="744" t="s">
        <v>76</v>
      </c>
      <c r="J33" s="158" t="e">
        <f>IF(J31=0,C46,INDEX(C46:H46,1,MATCH(J31,$C$4:$H$4,0)))</f>
        <v>#N/A</v>
      </c>
    </row>
    <row r="34" spans="1:11">
      <c r="A34" s="124" t="s">
        <v>180</v>
      </c>
      <c r="C34" s="140">
        <f>C31</f>
        <v>300000000</v>
      </c>
      <c r="D34" s="158">
        <f>'ADJ-1'!B28</f>
        <v>0</v>
      </c>
      <c r="E34" s="139">
        <f>'ADJ-2'!B28</f>
        <v>0</v>
      </c>
      <c r="F34" s="139">
        <f>'ADJ-3'!B28</f>
        <v>0</v>
      </c>
      <c r="G34" s="139">
        <f>'ADJ-4'!B28</f>
        <v>0</v>
      </c>
      <c r="H34" s="139">
        <f>'ADJ-5'!B28</f>
        <v>0</v>
      </c>
      <c r="I34" s="280" t="s">
        <v>77</v>
      </c>
      <c r="J34" s="158" t="e">
        <f>IF(J31=0,C47,INDEX(C47:H47,1,MATCH(J31,$C$4:$H$4,0)))</f>
        <v>#N/A</v>
      </c>
    </row>
    <row r="35" spans="1:11">
      <c r="A35" s="124" t="s">
        <v>181</v>
      </c>
      <c r="D35" s="169">
        <f>'ADJ-1'!B29</f>
        <v>0.8</v>
      </c>
      <c r="E35" s="169">
        <f>'ADJ-2'!B29</f>
        <v>0.8</v>
      </c>
      <c r="F35" s="169">
        <f>'ADJ-3'!B29</f>
        <v>0.8</v>
      </c>
      <c r="G35" s="169">
        <f>'ADJ-4'!B29</f>
        <v>0.8</v>
      </c>
      <c r="H35" s="169">
        <f>'ADJ-5'!B29</f>
        <v>0.8</v>
      </c>
      <c r="I35" s="280" t="s">
        <v>78</v>
      </c>
      <c r="J35" s="158" t="e">
        <f>IF(J31=0,C48,INDEX(C48:H48,1,MATCH(J31,$C$4:$H$4,0)))</f>
        <v>#N/A</v>
      </c>
    </row>
    <row r="36" spans="1:11">
      <c r="A36" s="124" t="s">
        <v>182</v>
      </c>
      <c r="D36" s="158">
        <f>'ADJ-1'!B31</f>
        <v>0</v>
      </c>
      <c r="E36" s="139">
        <f>'ADJ-2'!B31</f>
        <v>0</v>
      </c>
      <c r="F36" s="139">
        <f>'ADJ-3'!B31</f>
        <v>0</v>
      </c>
      <c r="G36" s="139">
        <f>'ADJ-4'!B31</f>
        <v>0</v>
      </c>
      <c r="H36" s="139">
        <f>'ADJ-5'!B31</f>
        <v>0</v>
      </c>
      <c r="I36" s="280" t="s">
        <v>79</v>
      </c>
      <c r="J36" s="158" t="e">
        <f>IF(J31=0,C49,INDEX(C49:H49,1,MATCH(J31,$C$4:$H$4,0)))</f>
        <v>#N/A</v>
      </c>
      <c r="K36" s="140" t="e">
        <f>SUM(J32:J36)</f>
        <v>#N/A</v>
      </c>
    </row>
    <row r="37" spans="1:11">
      <c r="C37" s="170"/>
      <c r="D37" s="170"/>
      <c r="J37" s="124" t="s">
        <v>198</v>
      </c>
      <c r="K37" s="124" t="s">
        <v>199</v>
      </c>
    </row>
    <row r="38" spans="1:11">
      <c r="A38" s="124" t="s">
        <v>67</v>
      </c>
      <c r="B38" s="127">
        <f>'SUMMARY TENDERED FEE'!E8</f>
        <v>0</v>
      </c>
      <c r="C38" s="158">
        <f>'SUMMARY TENDERED FEE'!E18</f>
        <v>0</v>
      </c>
      <c r="D38" s="152">
        <f>$B38*D$36</f>
        <v>0</v>
      </c>
      <c r="E38" s="152">
        <f>$B38*E$36</f>
        <v>0</v>
      </c>
      <c r="F38" s="152">
        <f>$B38*F$36</f>
        <v>0</v>
      </c>
      <c r="G38" s="152">
        <f>$B38*G$36</f>
        <v>0</v>
      </c>
      <c r="H38" s="152">
        <f>$B38*H$36</f>
        <v>0</v>
      </c>
      <c r="J38" s="173" t="e">
        <f>DATA!$N$45</f>
        <v>#N/A</v>
      </c>
      <c r="K38" s="158" t="e">
        <f>IF(J38=0,C31,INDEX(C34:H34,1,MATCH(J38,$C$4:$H$4,0)))</f>
        <v>#N/A</v>
      </c>
    </row>
    <row r="39" spans="1:11">
      <c r="A39" s="124" t="s">
        <v>68</v>
      </c>
      <c r="B39" s="127">
        <f>'SUMMARY TENDERED FEE'!F8</f>
        <v>0.22</v>
      </c>
      <c r="C39" s="158">
        <f>'SUMMARY TENDERED FEE'!F18</f>
        <v>0</v>
      </c>
      <c r="D39" s="152">
        <f t="shared" ref="D39:H42" si="4">$B39*D$36</f>
        <v>0</v>
      </c>
      <c r="E39" s="152">
        <f t="shared" si="4"/>
        <v>0</v>
      </c>
      <c r="F39" s="152">
        <f t="shared" si="4"/>
        <v>0</v>
      </c>
      <c r="G39" s="152">
        <f t="shared" si="4"/>
        <v>0</v>
      </c>
      <c r="H39" s="152">
        <f t="shared" si="4"/>
        <v>0</v>
      </c>
      <c r="I39" s="280" t="s">
        <v>75</v>
      </c>
      <c r="J39" s="158" t="e">
        <f>IF(J38=0,C45,INDEX(C45:H45,1,MATCH(J38,$C$4:$H$4,0)))</f>
        <v>#N/A</v>
      </c>
    </row>
    <row r="40" spans="1:11">
      <c r="A40" s="124" t="s">
        <v>69</v>
      </c>
      <c r="B40" s="127">
        <f>'SUMMARY TENDERED FEE'!G8</f>
        <v>0.44</v>
      </c>
      <c r="C40" s="158">
        <f>'SUMMARY TENDERED FEE'!G18</f>
        <v>0</v>
      </c>
      <c r="D40" s="152">
        <f t="shared" si="4"/>
        <v>0</v>
      </c>
      <c r="E40" s="152">
        <f t="shared" si="4"/>
        <v>0</v>
      </c>
      <c r="F40" s="152">
        <f t="shared" si="4"/>
        <v>0</v>
      </c>
      <c r="G40" s="152">
        <f t="shared" si="4"/>
        <v>0</v>
      </c>
      <c r="H40" s="152">
        <f t="shared" si="4"/>
        <v>0</v>
      </c>
      <c r="I40" s="280" t="s">
        <v>76</v>
      </c>
      <c r="J40" s="158" t="e">
        <f>IF(J38=0,C46,INDEX(C46:H46,1,MATCH(J38,$C$4:$H$4,0)))</f>
        <v>#N/A</v>
      </c>
    </row>
    <row r="41" spans="1:11">
      <c r="A41" s="124" t="s">
        <v>70</v>
      </c>
      <c r="B41" s="127">
        <f>'SUMMARY TENDERED FEE'!H8</f>
        <v>0.28000000000000003</v>
      </c>
      <c r="C41" s="158">
        <f>'SUMMARY TENDERED FEE'!H18</f>
        <v>0</v>
      </c>
      <c r="D41" s="152">
        <f t="shared" si="4"/>
        <v>0</v>
      </c>
      <c r="E41" s="152">
        <f t="shared" si="4"/>
        <v>0</v>
      </c>
      <c r="F41" s="152">
        <f t="shared" si="4"/>
        <v>0</v>
      </c>
      <c r="G41" s="152">
        <f t="shared" si="4"/>
        <v>0</v>
      </c>
      <c r="H41" s="152">
        <f t="shared" si="4"/>
        <v>0</v>
      </c>
      <c r="I41" s="280" t="s">
        <v>77</v>
      </c>
      <c r="J41" s="158" t="e">
        <f>IF(J38=0,C47,INDEX(C47:H47,1,MATCH(J38,$C$4:$H$4,0)))</f>
        <v>#N/A</v>
      </c>
    </row>
    <row r="42" spans="1:11">
      <c r="A42" s="124" t="s">
        <v>71</v>
      </c>
      <c r="B42" s="127">
        <f>'SUMMARY TENDERED FEE'!I8</f>
        <v>0.06</v>
      </c>
      <c r="C42" s="158">
        <f>'SUMMARY TENDERED FEE'!I18</f>
        <v>0</v>
      </c>
      <c r="D42" s="152">
        <f t="shared" si="4"/>
        <v>0</v>
      </c>
      <c r="E42" s="152">
        <f t="shared" si="4"/>
        <v>0</v>
      </c>
      <c r="F42" s="152">
        <f t="shared" si="4"/>
        <v>0</v>
      </c>
      <c r="G42" s="152">
        <f t="shared" si="4"/>
        <v>0</v>
      </c>
      <c r="H42" s="152">
        <f t="shared" si="4"/>
        <v>0</v>
      </c>
      <c r="I42" s="280" t="s">
        <v>78</v>
      </c>
      <c r="J42" s="158" t="e">
        <f>IF(J38=0,C48,INDEX(C48:H48,1,MATCH(J38,$C$4:$H$4,0)))</f>
        <v>#N/A</v>
      </c>
    </row>
    <row r="43" spans="1:11">
      <c r="C43" s="171">
        <f>SUM(C38:C42)</f>
        <v>0</v>
      </c>
      <c r="D43" s="171">
        <f>SUM(D38:D42)</f>
        <v>0</v>
      </c>
      <c r="E43" s="171">
        <f t="shared" ref="E43:H43" si="5">SUM(E38:E42)</f>
        <v>0</v>
      </c>
      <c r="F43" s="171">
        <f t="shared" si="5"/>
        <v>0</v>
      </c>
      <c r="G43" s="171">
        <f t="shared" si="5"/>
        <v>0</v>
      </c>
      <c r="H43" s="171">
        <f t="shared" si="5"/>
        <v>0</v>
      </c>
      <c r="I43" s="280" t="s">
        <v>79</v>
      </c>
      <c r="J43" s="158" t="e">
        <f>IF(J38=0,C49,INDEX(C49:H49,1,MATCH(J38,$C$4:$H$4,0)))</f>
        <v>#N/A</v>
      </c>
      <c r="K43" s="140" t="e">
        <f>SUM(J39:J43)</f>
        <v>#N/A</v>
      </c>
    </row>
    <row r="44" spans="1:11">
      <c r="A44" s="172" t="s">
        <v>99</v>
      </c>
      <c r="J44" s="124" t="s">
        <v>612</v>
      </c>
      <c r="K44" s="124" t="s">
        <v>199</v>
      </c>
    </row>
    <row r="45" spans="1:11">
      <c r="A45" s="124" t="s">
        <v>67</v>
      </c>
      <c r="C45" s="152">
        <v>0</v>
      </c>
      <c r="D45" s="152">
        <f>D38-C38</f>
        <v>0</v>
      </c>
      <c r="E45" s="152">
        <f>E38-C38</f>
        <v>0</v>
      </c>
      <c r="F45" s="152">
        <f>F38-C38</f>
        <v>0</v>
      </c>
      <c r="G45" s="174">
        <f>F45</f>
        <v>0</v>
      </c>
      <c r="H45" s="174">
        <f t="shared" ref="H45:H47" si="6">G45</f>
        <v>0</v>
      </c>
      <c r="J45" s="173" t="e">
        <f>DATA!$N$45</f>
        <v>#N/A</v>
      </c>
      <c r="K45" s="158" t="e">
        <f>K38</f>
        <v>#N/A</v>
      </c>
    </row>
    <row r="46" spans="1:11">
      <c r="A46" s="175" t="s">
        <v>68</v>
      </c>
      <c r="C46" s="152">
        <v>0</v>
      </c>
      <c r="D46" s="152">
        <f>D39-C39</f>
        <v>0</v>
      </c>
      <c r="E46" s="152">
        <f>E39-C39</f>
        <v>0</v>
      </c>
      <c r="F46" s="152">
        <f>F39-C39</f>
        <v>0</v>
      </c>
      <c r="G46" s="174">
        <f>F46</f>
        <v>0</v>
      </c>
      <c r="H46" s="174">
        <f t="shared" si="6"/>
        <v>0</v>
      </c>
      <c r="I46" s="280" t="s">
        <v>75</v>
      </c>
      <c r="J46" s="158" t="e">
        <f>J39-J32</f>
        <v>#N/A</v>
      </c>
    </row>
    <row r="47" spans="1:11">
      <c r="A47" s="124" t="s">
        <v>69</v>
      </c>
      <c r="C47" s="152">
        <v>0</v>
      </c>
      <c r="D47" s="152">
        <f>D40-C40</f>
        <v>0</v>
      </c>
      <c r="E47" s="152">
        <f>E40-C40</f>
        <v>0</v>
      </c>
      <c r="F47" s="152">
        <f>F40-C40</f>
        <v>0</v>
      </c>
      <c r="G47" s="174">
        <f>F47</f>
        <v>0</v>
      </c>
      <c r="H47" s="174">
        <f t="shared" si="6"/>
        <v>0</v>
      </c>
      <c r="I47" s="280" t="s">
        <v>76</v>
      </c>
      <c r="J47" s="158" t="e">
        <f t="shared" ref="J47:J50" si="7">J40-J33</f>
        <v>#N/A</v>
      </c>
    </row>
    <row r="48" spans="1:11">
      <c r="A48" s="124" t="s">
        <v>70</v>
      </c>
      <c r="C48" s="152">
        <v>0</v>
      </c>
      <c r="D48" s="152">
        <f>D41-C41</f>
        <v>0</v>
      </c>
      <c r="E48" s="152">
        <f>E41-C41</f>
        <v>0</v>
      </c>
      <c r="F48" s="152">
        <f>F41-C41</f>
        <v>0</v>
      </c>
      <c r="G48" s="152">
        <f>G41-C41</f>
        <v>0</v>
      </c>
      <c r="H48" s="152">
        <f>H41-C41</f>
        <v>0</v>
      </c>
      <c r="I48" s="280" t="s">
        <v>77</v>
      </c>
      <c r="J48" s="158" t="e">
        <f t="shared" si="7"/>
        <v>#N/A</v>
      </c>
    </row>
    <row r="49" spans="1:17">
      <c r="A49" s="124" t="s">
        <v>71</v>
      </c>
      <c r="C49" s="152">
        <v>0</v>
      </c>
      <c r="D49" s="152">
        <f>D42-C42</f>
        <v>0</v>
      </c>
      <c r="E49" s="152">
        <f>E42-C42</f>
        <v>0</v>
      </c>
      <c r="F49" s="152">
        <f>F42-C42</f>
        <v>0</v>
      </c>
      <c r="G49" s="152">
        <f>G42-C42</f>
        <v>0</v>
      </c>
      <c r="H49" s="152">
        <f>H42-C42</f>
        <v>0</v>
      </c>
      <c r="I49" s="280" t="s">
        <v>78</v>
      </c>
      <c r="J49" s="158" t="e">
        <f t="shared" si="7"/>
        <v>#N/A</v>
      </c>
    </row>
    <row r="50" spans="1:17">
      <c r="A50" s="176"/>
      <c r="I50" s="280" t="s">
        <v>79</v>
      </c>
      <c r="J50" s="158" t="e">
        <f t="shared" si="7"/>
        <v>#N/A</v>
      </c>
      <c r="K50" s="140" t="e">
        <f>SUM(J46:J50)</f>
        <v>#N/A</v>
      </c>
    </row>
    <row r="51" spans="1:17">
      <c r="A51" s="176"/>
    </row>
    <row r="52" spans="1:17">
      <c r="A52" s="176"/>
    </row>
    <row r="53" spans="1:17" ht="54.75" customHeight="1">
      <c r="A53" s="268" t="str">
        <f>'ADJ-1'!A40</f>
        <v>Electrical</v>
      </c>
      <c r="B53" s="268"/>
      <c r="C53" s="265"/>
      <c r="D53" s="269">
        <f>'ADJ-1'!A52</f>
        <v>0</v>
      </c>
      <c r="E53" s="270">
        <f>'ADJ-2'!A52</f>
        <v>0</v>
      </c>
      <c r="F53" s="270">
        <f>'ADJ-3'!A52</f>
        <v>0</v>
      </c>
      <c r="G53" s="270">
        <f>'ADJ-4'!A52</f>
        <v>0</v>
      </c>
      <c r="H53" s="270">
        <f>'ADJ-5'!A52</f>
        <v>0</v>
      </c>
      <c r="L53" s="159"/>
      <c r="M53" s="134"/>
      <c r="N53" s="134"/>
      <c r="O53" s="134"/>
      <c r="P53" s="134"/>
    </row>
    <row r="54" spans="1:17">
      <c r="C54" s="140"/>
      <c r="I54" s="168"/>
      <c r="J54" s="124" t="s">
        <v>610</v>
      </c>
      <c r="K54" s="124" t="s">
        <v>199</v>
      </c>
      <c r="L54" s="159"/>
      <c r="M54" s="134"/>
      <c r="N54" s="134"/>
      <c r="O54" s="134"/>
      <c r="P54" s="134"/>
    </row>
    <row r="55" spans="1:17">
      <c r="A55" s="124" t="s">
        <v>177</v>
      </c>
      <c r="C55" s="152">
        <f>'SUMMARY TENDERED FEE'!B19</f>
        <v>100000000</v>
      </c>
      <c r="D55" s="158">
        <f>'ADJ-1'!B41</f>
        <v>100000000</v>
      </c>
      <c r="E55" s="139">
        <f>'ADJ-2'!B41</f>
        <v>100000000</v>
      </c>
      <c r="F55" s="139">
        <f>'ADJ-3'!B41</f>
        <v>100000000</v>
      </c>
      <c r="G55" s="139">
        <f>'ADJ-4'!B41</f>
        <v>100000000</v>
      </c>
      <c r="H55" s="139">
        <f>'ADJ-5'!B41</f>
        <v>100000000</v>
      </c>
      <c r="I55" s="140"/>
      <c r="J55" s="173" t="e">
        <f>DATA!$N$44</f>
        <v>#N/A</v>
      </c>
      <c r="K55" s="158" t="e">
        <f>IF(J55=0,C55,INDEX(C58:H58,1,MATCH(J55,$C$4:$H$4,0)))</f>
        <v>#N/A</v>
      </c>
      <c r="L55" s="159"/>
      <c r="M55" s="134"/>
      <c r="N55" s="134"/>
      <c r="O55" s="134"/>
      <c r="P55" s="134"/>
    </row>
    <row r="56" spans="1:17">
      <c r="A56" s="124" t="s">
        <v>178</v>
      </c>
      <c r="C56" s="152">
        <f>'SUMMARY TENDERED FEE'!C19</f>
        <v>0</v>
      </c>
      <c r="D56" s="158">
        <f>'ADJ-1'!B42</f>
        <v>0</v>
      </c>
      <c r="E56" s="139">
        <f>'ADJ-2'!B42</f>
        <v>0</v>
      </c>
      <c r="F56" s="139">
        <f>'ADJ-3'!B42</f>
        <v>0</v>
      </c>
      <c r="G56" s="139">
        <f>'ADJ-4'!B42</f>
        <v>0</v>
      </c>
      <c r="H56" s="139">
        <f>'ADJ-5'!B42</f>
        <v>0</v>
      </c>
      <c r="I56" s="743" t="s">
        <v>75</v>
      </c>
      <c r="J56" s="158" t="e">
        <f>IF(J55=0,C69,INDEX(C69:H69,1,MATCH(J55,$C$4:$H$4,0)))</f>
        <v>#N/A</v>
      </c>
      <c r="L56" s="159"/>
      <c r="M56" s="134"/>
      <c r="N56" s="134"/>
      <c r="O56" s="134"/>
      <c r="P56" s="134"/>
    </row>
    <row r="57" spans="1:17">
      <c r="A57" s="124" t="s">
        <v>179</v>
      </c>
      <c r="C57" s="166">
        <f>'SUMMARY TENDERED FEE'!D19</f>
        <v>0</v>
      </c>
      <c r="D57" s="153">
        <f>'ADJ-1'!B43</f>
        <v>0</v>
      </c>
      <c r="E57" s="167">
        <f>'ADJ-2'!B43</f>
        <v>0</v>
      </c>
      <c r="F57" s="167">
        <f>'ADJ-3'!B43</f>
        <v>0</v>
      </c>
      <c r="G57" s="167">
        <f>'ADJ-4'!B43</f>
        <v>0</v>
      </c>
      <c r="H57" s="167">
        <f>'ADJ-5'!B43</f>
        <v>0</v>
      </c>
      <c r="I57" s="744" t="s">
        <v>76</v>
      </c>
      <c r="J57" s="158" t="e">
        <f>IF(J55=0,C70,INDEX(C70:H70,1,MATCH(J55,$C$4:$H$4,0)))</f>
        <v>#N/A</v>
      </c>
      <c r="L57" s="159"/>
      <c r="M57" s="134"/>
      <c r="N57" s="134"/>
      <c r="O57" s="134"/>
      <c r="P57" s="134"/>
    </row>
    <row r="58" spans="1:17">
      <c r="A58" s="124" t="s">
        <v>180</v>
      </c>
      <c r="C58" s="140">
        <f>C55</f>
        <v>100000000</v>
      </c>
      <c r="D58" s="158">
        <f>'ADJ-1'!B44</f>
        <v>0</v>
      </c>
      <c r="E58" s="139">
        <f>'ADJ-2'!B44</f>
        <v>0</v>
      </c>
      <c r="F58" s="139">
        <f>'ADJ-3'!B44</f>
        <v>0</v>
      </c>
      <c r="G58" s="139">
        <f>'ADJ-4'!B44</f>
        <v>0</v>
      </c>
      <c r="H58" s="139">
        <f>'ADJ-5'!B44</f>
        <v>0</v>
      </c>
      <c r="I58" s="280" t="s">
        <v>77</v>
      </c>
      <c r="J58" s="158" t="e">
        <f>IF(J55=0,C71,INDEX(C71:H71,1,MATCH(J55,$C$4:$H$4,0)))</f>
        <v>#N/A</v>
      </c>
      <c r="L58" s="159"/>
      <c r="M58" s="134"/>
      <c r="N58" s="134"/>
      <c r="O58" s="134"/>
      <c r="P58" s="134"/>
    </row>
    <row r="59" spans="1:17">
      <c r="A59" s="124" t="s">
        <v>181</v>
      </c>
      <c r="D59" s="169">
        <f>'ADJ-1'!B45</f>
        <v>0.8</v>
      </c>
      <c r="E59" s="169">
        <f>'ADJ-2'!B45</f>
        <v>0.8</v>
      </c>
      <c r="F59" s="169">
        <f>'ADJ-3'!B45</f>
        <v>0.8</v>
      </c>
      <c r="G59" s="169">
        <f>'ADJ-4'!B45</f>
        <v>0.8</v>
      </c>
      <c r="H59" s="169">
        <f>'ADJ-5'!B45</f>
        <v>0.8</v>
      </c>
      <c r="I59" s="280" t="s">
        <v>78</v>
      </c>
      <c r="J59" s="158" t="e">
        <f>IF(J55=0,C72,INDEX(C72:H72,1,MATCH(J55,$C$4:$H$4,0)))</f>
        <v>#N/A</v>
      </c>
      <c r="L59" s="159"/>
      <c r="M59" s="134"/>
      <c r="N59" s="134"/>
      <c r="O59" s="134"/>
      <c r="P59" s="134"/>
    </row>
    <row r="60" spans="1:17">
      <c r="A60" s="124" t="s">
        <v>182</v>
      </c>
      <c r="D60" s="158">
        <f>'ADJ-1'!B47</f>
        <v>0</v>
      </c>
      <c r="E60" s="139">
        <f>'ADJ-2'!B47</f>
        <v>0</v>
      </c>
      <c r="F60" s="139">
        <f>'ADJ-3'!B47</f>
        <v>0</v>
      </c>
      <c r="G60" s="139">
        <f>'ADJ-4'!B47</f>
        <v>0</v>
      </c>
      <c r="H60" s="139">
        <f>'ADJ-5'!B47</f>
        <v>0</v>
      </c>
      <c r="I60" s="280" t="s">
        <v>79</v>
      </c>
      <c r="J60" s="158" t="e">
        <f>IF(J55=0,C73,INDEX(C73:H73,1,MATCH(J55,$C$4:$H$4,0)))</f>
        <v>#N/A</v>
      </c>
      <c r="K60" s="140" t="e">
        <f>SUM(J56:J60)</f>
        <v>#N/A</v>
      </c>
      <c r="L60" s="159"/>
      <c r="M60" s="134"/>
      <c r="N60" s="134"/>
      <c r="O60" s="134"/>
      <c r="P60" s="134"/>
    </row>
    <row r="61" spans="1:17" s="154" customFormat="1">
      <c r="A61"/>
      <c r="B61"/>
      <c r="C61" s="170"/>
      <c r="D61" s="170"/>
      <c r="E61"/>
      <c r="F61"/>
      <c r="G61"/>
      <c r="H61"/>
      <c r="I61"/>
      <c r="J61" s="124" t="s">
        <v>198</v>
      </c>
      <c r="K61" s="124" t="s">
        <v>199</v>
      </c>
      <c r="L61" s="159"/>
      <c r="M61" s="134"/>
      <c r="N61" s="134"/>
      <c r="O61" s="134"/>
      <c r="P61" s="134"/>
      <c r="Q61" s="121"/>
    </row>
    <row r="62" spans="1:17">
      <c r="A62" s="124" t="s">
        <v>67</v>
      </c>
      <c r="B62" s="127">
        <f>'SUMMARY TENDERED FEE'!E9</f>
        <v>0</v>
      </c>
      <c r="C62" s="158">
        <f>'SUMMARY TENDERED FEE'!E19</f>
        <v>0</v>
      </c>
      <c r="D62" s="152">
        <f>$B62*D$60</f>
        <v>0</v>
      </c>
      <c r="E62" s="152">
        <f t="shared" ref="E62:H66" si="8">$B62*E$60</f>
        <v>0</v>
      </c>
      <c r="F62" s="152">
        <f t="shared" si="8"/>
        <v>0</v>
      </c>
      <c r="G62" s="152">
        <f t="shared" si="8"/>
        <v>0</v>
      </c>
      <c r="H62" s="152">
        <f t="shared" si="8"/>
        <v>0</v>
      </c>
      <c r="J62" s="173" t="e">
        <f>DATA!$N$45</f>
        <v>#N/A</v>
      </c>
      <c r="K62" s="158" t="e">
        <f>IF(J62=0,C55,INDEX(C58:H58,1,MATCH(J62,$C$4:$H$4,0)))</f>
        <v>#N/A</v>
      </c>
      <c r="L62" s="159"/>
      <c r="M62" s="134"/>
      <c r="N62" s="134"/>
      <c r="O62" s="134"/>
      <c r="P62" s="134"/>
    </row>
    <row r="63" spans="1:17">
      <c r="A63" s="124" t="s">
        <v>68</v>
      </c>
      <c r="B63" s="127">
        <f>'SUMMARY TENDERED FEE'!F9</f>
        <v>0.17</v>
      </c>
      <c r="C63" s="158">
        <f>'SUMMARY TENDERED FEE'!F19</f>
        <v>0</v>
      </c>
      <c r="D63" s="152">
        <f t="shared" ref="D63:D66" si="9">$B63*D$60</f>
        <v>0</v>
      </c>
      <c r="E63" s="152">
        <f t="shared" si="8"/>
        <v>0</v>
      </c>
      <c r="F63" s="152">
        <f t="shared" si="8"/>
        <v>0</v>
      </c>
      <c r="G63" s="152">
        <f t="shared" si="8"/>
        <v>0</v>
      </c>
      <c r="H63" s="152">
        <f t="shared" si="8"/>
        <v>0</v>
      </c>
      <c r="I63" s="280" t="s">
        <v>75</v>
      </c>
      <c r="J63" s="158" t="e">
        <f>IF(J62=0,C69,INDEX(C69:H69,1,MATCH(J62,$C$4:$H$4,0)))</f>
        <v>#N/A</v>
      </c>
      <c r="L63" s="159"/>
      <c r="M63" s="134"/>
      <c r="N63" s="134"/>
      <c r="O63" s="134"/>
      <c r="P63" s="134"/>
    </row>
    <row r="64" spans="1:17">
      <c r="A64" s="124" t="s">
        <v>69</v>
      </c>
      <c r="B64" s="127">
        <f>'SUMMARY TENDERED FEE'!G9</f>
        <v>0.39</v>
      </c>
      <c r="C64" s="158">
        <f>'SUMMARY TENDERED FEE'!G19</f>
        <v>0</v>
      </c>
      <c r="D64" s="152">
        <f t="shared" si="9"/>
        <v>0</v>
      </c>
      <c r="E64" s="152">
        <f t="shared" si="8"/>
        <v>0</v>
      </c>
      <c r="F64" s="152">
        <f t="shared" si="8"/>
        <v>0</v>
      </c>
      <c r="G64" s="152">
        <f t="shared" si="8"/>
        <v>0</v>
      </c>
      <c r="H64" s="152">
        <f t="shared" si="8"/>
        <v>0</v>
      </c>
      <c r="I64" s="280" t="s">
        <v>76</v>
      </c>
      <c r="J64" s="158" t="e">
        <f>IF(J62=0,C70,INDEX(C70:H70,1,MATCH(J62,$C$4:$H$4,0)))</f>
        <v>#N/A</v>
      </c>
    </row>
    <row r="65" spans="1:17">
      <c r="A65" s="124" t="s">
        <v>70</v>
      </c>
      <c r="B65" s="127">
        <f>'SUMMARY TENDERED FEE'!H9</f>
        <v>0.39</v>
      </c>
      <c r="C65" s="158">
        <f>'SUMMARY TENDERED FEE'!H19</f>
        <v>0</v>
      </c>
      <c r="D65" s="152">
        <f t="shared" si="9"/>
        <v>0</v>
      </c>
      <c r="E65" s="152">
        <f t="shared" si="8"/>
        <v>0</v>
      </c>
      <c r="F65" s="152">
        <f t="shared" si="8"/>
        <v>0</v>
      </c>
      <c r="G65" s="152">
        <f t="shared" si="8"/>
        <v>0</v>
      </c>
      <c r="H65" s="152">
        <f t="shared" si="8"/>
        <v>0</v>
      </c>
      <c r="I65" s="280" t="s">
        <v>77</v>
      </c>
      <c r="J65" s="158" t="e">
        <f>IF(J62=0,C71,INDEX(C71:H71,1,MATCH(J62,$C$4:$H$4,0)))</f>
        <v>#N/A</v>
      </c>
    </row>
    <row r="66" spans="1:17">
      <c r="A66" s="124" t="s">
        <v>71</v>
      </c>
      <c r="B66" s="127">
        <f>'SUMMARY TENDERED FEE'!I9</f>
        <v>0.05</v>
      </c>
      <c r="C66" s="158">
        <f>'SUMMARY TENDERED FEE'!I19</f>
        <v>0</v>
      </c>
      <c r="D66" s="152">
        <f t="shared" si="9"/>
        <v>0</v>
      </c>
      <c r="E66" s="152">
        <f t="shared" si="8"/>
        <v>0</v>
      </c>
      <c r="F66" s="152">
        <f t="shared" si="8"/>
        <v>0</v>
      </c>
      <c r="G66" s="152">
        <f t="shared" si="8"/>
        <v>0</v>
      </c>
      <c r="H66" s="152">
        <f t="shared" si="8"/>
        <v>0</v>
      </c>
      <c r="I66" s="280" t="s">
        <v>78</v>
      </c>
      <c r="J66" s="158" t="e">
        <f>IF(J62=0,C72,INDEX(C72:H72,1,MATCH(J62,$C$4:$H$4,0)))</f>
        <v>#N/A</v>
      </c>
    </row>
    <row r="67" spans="1:17">
      <c r="C67" s="171">
        <f t="shared" ref="C67:H67" si="10">SUM(C62:C66)</f>
        <v>0</v>
      </c>
      <c r="D67" s="171">
        <f t="shared" si="10"/>
        <v>0</v>
      </c>
      <c r="E67" s="171">
        <f t="shared" si="10"/>
        <v>0</v>
      </c>
      <c r="F67" s="171">
        <f t="shared" si="10"/>
        <v>0</v>
      </c>
      <c r="G67" s="171">
        <f t="shared" si="10"/>
        <v>0</v>
      </c>
      <c r="H67" s="171">
        <f t="shared" si="10"/>
        <v>0</v>
      </c>
      <c r="I67" s="280" t="s">
        <v>79</v>
      </c>
      <c r="J67" s="158" t="e">
        <f>IF(J62=0,C73,INDEX(C73:H73,1,MATCH(J62,$C$4:$H$4,0)))</f>
        <v>#N/A</v>
      </c>
      <c r="K67" s="140" t="e">
        <f>SUM(J63:J67)</f>
        <v>#N/A</v>
      </c>
    </row>
    <row r="68" spans="1:17">
      <c r="A68" s="172" t="s">
        <v>99</v>
      </c>
      <c r="J68" s="124" t="s">
        <v>612</v>
      </c>
      <c r="K68" s="124" t="s">
        <v>199</v>
      </c>
    </row>
    <row r="69" spans="1:17">
      <c r="A69" s="124" t="s">
        <v>67</v>
      </c>
      <c r="C69" s="152">
        <v>0</v>
      </c>
      <c r="D69" s="152">
        <f>D62-C62</f>
        <v>0</v>
      </c>
      <c r="E69" s="152">
        <f>E62-C62</f>
        <v>0</v>
      </c>
      <c r="F69" s="152">
        <f>F62-C62</f>
        <v>0</v>
      </c>
      <c r="G69" s="174">
        <f>F69</f>
        <v>0</v>
      </c>
      <c r="H69" s="174">
        <f t="shared" ref="H69:H71" si="11">G69</f>
        <v>0</v>
      </c>
      <c r="J69" s="173" t="e">
        <f>DATA!$N$45</f>
        <v>#N/A</v>
      </c>
      <c r="K69" s="158" t="e">
        <f>K62</f>
        <v>#N/A</v>
      </c>
    </row>
    <row r="70" spans="1:17">
      <c r="A70" s="175" t="s">
        <v>68</v>
      </c>
      <c r="C70" s="152">
        <v>0</v>
      </c>
      <c r="D70" s="152">
        <f>D63-C63</f>
        <v>0</v>
      </c>
      <c r="E70" s="152">
        <f>E63-C63</f>
        <v>0</v>
      </c>
      <c r="F70" s="152">
        <f>F63-C63</f>
        <v>0</v>
      </c>
      <c r="G70" s="174">
        <f>F70</f>
        <v>0</v>
      </c>
      <c r="H70" s="174">
        <f t="shared" si="11"/>
        <v>0</v>
      </c>
      <c r="I70" s="280" t="s">
        <v>75</v>
      </c>
      <c r="J70" s="158" t="e">
        <f>J63-J56</f>
        <v>#N/A</v>
      </c>
    </row>
    <row r="71" spans="1:17">
      <c r="A71" s="124" t="s">
        <v>69</v>
      </c>
      <c r="C71" s="152">
        <v>0</v>
      </c>
      <c r="D71" s="152">
        <f>D64-C64</f>
        <v>0</v>
      </c>
      <c r="E71" s="152">
        <f>E64-C64</f>
        <v>0</v>
      </c>
      <c r="F71" s="152">
        <f>F64-C64</f>
        <v>0</v>
      </c>
      <c r="G71" s="174">
        <f>F71</f>
        <v>0</v>
      </c>
      <c r="H71" s="174">
        <f t="shared" si="11"/>
        <v>0</v>
      </c>
      <c r="I71" s="280" t="s">
        <v>76</v>
      </c>
      <c r="J71" s="158" t="e">
        <f t="shared" ref="J71:J74" si="12">J64-J57</f>
        <v>#N/A</v>
      </c>
    </row>
    <row r="72" spans="1:17">
      <c r="A72" s="124" t="s">
        <v>70</v>
      </c>
      <c r="C72" s="152">
        <v>0</v>
      </c>
      <c r="D72" s="152">
        <f>D65-C65</f>
        <v>0</v>
      </c>
      <c r="E72" s="152">
        <f>E65-C65</f>
        <v>0</v>
      </c>
      <c r="F72" s="152">
        <f>F65-C65</f>
        <v>0</v>
      </c>
      <c r="G72" s="152">
        <f>G65-C65</f>
        <v>0</v>
      </c>
      <c r="H72" s="152">
        <f>H65-C65</f>
        <v>0</v>
      </c>
      <c r="I72" s="280" t="s">
        <v>77</v>
      </c>
      <c r="J72" s="158" t="e">
        <f t="shared" si="12"/>
        <v>#N/A</v>
      </c>
    </row>
    <row r="73" spans="1:17">
      <c r="A73" s="124" t="s">
        <v>71</v>
      </c>
      <c r="C73" s="152">
        <v>0</v>
      </c>
      <c r="D73" s="152">
        <f>D66-C66</f>
        <v>0</v>
      </c>
      <c r="E73" s="152">
        <f>E66-C66</f>
        <v>0</v>
      </c>
      <c r="F73" s="152">
        <f>F66-C66</f>
        <v>0</v>
      </c>
      <c r="G73" s="152">
        <f>G66-C66</f>
        <v>0</v>
      </c>
      <c r="H73" s="152">
        <f>H66-C66</f>
        <v>0</v>
      </c>
      <c r="I73" s="280" t="s">
        <v>78</v>
      </c>
      <c r="J73" s="158" t="e">
        <f t="shared" si="12"/>
        <v>#N/A</v>
      </c>
    </row>
    <row r="74" spans="1:17">
      <c r="A74" s="176"/>
      <c r="I74" s="280" t="s">
        <v>79</v>
      </c>
      <c r="J74" s="158" t="e">
        <f t="shared" si="12"/>
        <v>#N/A</v>
      </c>
      <c r="K74" s="140" t="e">
        <f>SUM(J70:J74)</f>
        <v>#N/A</v>
      </c>
    </row>
    <row r="75" spans="1:17">
      <c r="A75" s="176"/>
    </row>
    <row r="76" spans="1:17" ht="54.75" customHeight="1">
      <c r="A76" s="271" t="str">
        <f>'ADJ-1'!A56</f>
        <v xml:space="preserve">Building </v>
      </c>
      <c r="B76" s="265"/>
      <c r="C76" s="265"/>
      <c r="D76" s="269">
        <f>'ADJ-1'!A68</f>
        <v>0</v>
      </c>
      <c r="E76" s="270">
        <f>'ADJ-2'!A68</f>
        <v>0</v>
      </c>
      <c r="F76" s="270">
        <f>'ADJ-3'!A68</f>
        <v>0</v>
      </c>
      <c r="G76" s="270">
        <f>'ADJ-4'!A68</f>
        <v>0</v>
      </c>
      <c r="H76" s="270">
        <f>'ADJ-5'!A68</f>
        <v>0</v>
      </c>
    </row>
    <row r="77" spans="1:17">
      <c r="I77" s="168"/>
      <c r="J77" s="124" t="s">
        <v>610</v>
      </c>
      <c r="K77" s="124" t="s">
        <v>199</v>
      </c>
      <c r="L77" s="140"/>
      <c r="M77" s="159"/>
      <c r="N77" s="134"/>
      <c r="O77" s="134"/>
      <c r="P77" s="134"/>
      <c r="Q77" s="134"/>
    </row>
    <row r="78" spans="1:17">
      <c r="A78" s="124" t="s">
        <v>177</v>
      </c>
      <c r="C78" s="152">
        <f>'SUMMARY TENDERED FEE'!B20</f>
        <v>0</v>
      </c>
      <c r="D78" s="158">
        <f>'ADJ-1'!B57</f>
        <v>0</v>
      </c>
      <c r="E78" s="139">
        <f>'ADJ-2'!B57</f>
        <v>0</v>
      </c>
      <c r="F78" s="139">
        <f>'ADJ-3'!B57</f>
        <v>0</v>
      </c>
      <c r="G78" s="139">
        <f>'ADJ-4'!B57</f>
        <v>0</v>
      </c>
      <c r="H78" s="139">
        <f>'ADJ-5'!B57</f>
        <v>0</v>
      </c>
      <c r="I78" s="140"/>
      <c r="J78" s="173" t="e">
        <f>DATA!$N$44</f>
        <v>#N/A</v>
      </c>
      <c r="K78" s="158" t="e">
        <f>IF(J78=0,C78,INDEX(C81:H81,1,MATCH(J78,$C$4:$H$4,0)))</f>
        <v>#N/A</v>
      </c>
      <c r="M78" s="159"/>
      <c r="N78" s="134"/>
      <c r="O78" s="134"/>
      <c r="P78" s="134"/>
      <c r="Q78" s="134"/>
    </row>
    <row r="79" spans="1:17">
      <c r="A79" s="124" t="s">
        <v>178</v>
      </c>
      <c r="C79" s="152">
        <f>'SUMMARY TENDERED FEE'!C20</f>
        <v>0</v>
      </c>
      <c r="D79" s="158">
        <f>'ADJ-1'!B58</f>
        <v>0</v>
      </c>
      <c r="E79" s="139">
        <f>'ADJ-2'!B58</f>
        <v>0</v>
      </c>
      <c r="F79" s="139">
        <f>'ADJ-3'!B58</f>
        <v>0</v>
      </c>
      <c r="G79" s="139">
        <f>'ADJ-4'!B58</f>
        <v>0</v>
      </c>
      <c r="H79" s="139">
        <f>'ADJ-5'!B58</f>
        <v>0</v>
      </c>
      <c r="I79" s="743" t="s">
        <v>75</v>
      </c>
      <c r="J79" s="158" t="e">
        <f>IF(J78=0,C92,INDEX(C92:H92,1,MATCH(J78,$C$4:$H$4,0)))</f>
        <v>#N/A</v>
      </c>
      <c r="M79" s="159"/>
      <c r="N79" s="134"/>
      <c r="O79" s="134"/>
      <c r="P79" s="134"/>
      <c r="Q79" s="134"/>
    </row>
    <row r="80" spans="1:17">
      <c r="A80" s="124" t="s">
        <v>179</v>
      </c>
      <c r="C80" s="166">
        <f>'SUMMARY TENDERED FEE'!D20</f>
        <v>0</v>
      </c>
      <c r="D80" s="153">
        <f>'ADJ-1'!B59</f>
        <v>0</v>
      </c>
      <c r="E80" s="167">
        <f>'ADJ-2'!B59</f>
        <v>0</v>
      </c>
      <c r="F80" s="167">
        <f>'ADJ-3'!B59</f>
        <v>0</v>
      </c>
      <c r="G80" s="167">
        <f>'ADJ-4'!B59</f>
        <v>0</v>
      </c>
      <c r="H80" s="167">
        <f>'ADJ-5'!B59</f>
        <v>0</v>
      </c>
      <c r="I80" s="744" t="s">
        <v>76</v>
      </c>
      <c r="J80" s="158" t="e">
        <f>IF(J78=0,C93,INDEX(C93:H93,1,MATCH(J78,$C$4:$H$4,0)))</f>
        <v>#N/A</v>
      </c>
      <c r="M80" s="159"/>
      <c r="N80" s="134"/>
      <c r="O80" s="134"/>
      <c r="P80" s="134"/>
      <c r="Q80" s="134"/>
    </row>
    <row r="81" spans="1:17">
      <c r="A81" s="124" t="s">
        <v>180</v>
      </c>
      <c r="C81" s="140">
        <f>C78</f>
        <v>0</v>
      </c>
      <c r="D81" s="158">
        <f>'ADJ-1'!B60</f>
        <v>0</v>
      </c>
      <c r="E81" s="139">
        <f>'ADJ-2'!B60</f>
        <v>0</v>
      </c>
      <c r="F81" s="139">
        <f>'ADJ-3'!B60</f>
        <v>0</v>
      </c>
      <c r="G81" s="139">
        <f>'ADJ-4'!B60</f>
        <v>0</v>
      </c>
      <c r="H81" s="139">
        <f>'ADJ-5'!B60</f>
        <v>0</v>
      </c>
      <c r="I81" s="280" t="s">
        <v>77</v>
      </c>
      <c r="J81" s="158" t="e">
        <f>IF(J78=0,C94,INDEX(C94:H94,1,MATCH(J78,$C$4:$H$4,0)))</f>
        <v>#N/A</v>
      </c>
      <c r="M81" s="159"/>
      <c r="N81" s="134"/>
      <c r="O81" s="134"/>
      <c r="P81" s="134"/>
      <c r="Q81" s="134"/>
    </row>
    <row r="82" spans="1:17">
      <c r="A82" s="124" t="s">
        <v>181</v>
      </c>
      <c r="D82" s="169">
        <f>'ADJ-1'!B61</f>
        <v>1</v>
      </c>
      <c r="E82" s="169">
        <f>'ADJ-2'!B61</f>
        <v>1</v>
      </c>
      <c r="F82" s="169">
        <f>'ADJ-3'!B61</f>
        <v>1</v>
      </c>
      <c r="G82" s="169">
        <f>'ADJ-4'!B61</f>
        <v>1</v>
      </c>
      <c r="H82" s="169">
        <f>'ADJ-5'!B61</f>
        <v>1</v>
      </c>
      <c r="I82" s="280" t="s">
        <v>78</v>
      </c>
      <c r="J82" s="158" t="e">
        <f>IF(J78=0,C95,INDEX(C95:H95,1,MATCH(J78,$C$4:$H$4,0)))</f>
        <v>#N/A</v>
      </c>
      <c r="M82" s="159"/>
      <c r="N82" s="134"/>
      <c r="O82" s="134"/>
      <c r="P82" s="134"/>
      <c r="Q82" s="134"/>
    </row>
    <row r="83" spans="1:17">
      <c r="A83" s="124" t="s">
        <v>182</v>
      </c>
      <c r="D83" s="158">
        <f>'ADJ-1'!B63</f>
        <v>0</v>
      </c>
      <c r="E83" s="139">
        <f>'ADJ-2'!B63</f>
        <v>0</v>
      </c>
      <c r="F83" s="139">
        <f>'ADJ-3'!B63</f>
        <v>0</v>
      </c>
      <c r="G83" s="139">
        <f>'ADJ-4'!B63</f>
        <v>0</v>
      </c>
      <c r="H83" s="139">
        <f>'ADJ-5'!B63</f>
        <v>0</v>
      </c>
      <c r="I83" s="280" t="s">
        <v>79</v>
      </c>
      <c r="J83" s="158" t="e">
        <f>IF(J78=0,C96,INDEX(C96:H96,1,MATCH(J78,$C$4:$H$4,0)))</f>
        <v>#N/A</v>
      </c>
      <c r="K83" s="140" t="e">
        <f>SUM(J79:J83)</f>
        <v>#N/A</v>
      </c>
      <c r="M83" s="159"/>
      <c r="N83" s="134"/>
      <c r="O83" s="134"/>
      <c r="P83" s="134"/>
      <c r="Q83" s="134"/>
    </row>
    <row r="84" spans="1:17">
      <c r="C84" s="170"/>
      <c r="D84" s="170"/>
      <c r="J84" s="124" t="s">
        <v>198</v>
      </c>
      <c r="K84" s="124" t="s">
        <v>199</v>
      </c>
      <c r="M84" s="159"/>
      <c r="N84" s="134"/>
      <c r="O84" s="134"/>
      <c r="P84" s="134"/>
      <c r="Q84" s="134"/>
    </row>
    <row r="85" spans="1:17">
      <c r="A85" s="124" t="s">
        <v>67</v>
      </c>
      <c r="B85" s="127">
        <f>'SUMMARY TENDERED FEE'!E10</f>
        <v>0</v>
      </c>
      <c r="C85" s="158">
        <f>'SUMMARY TENDERED FEE'!E20</f>
        <v>0</v>
      </c>
      <c r="D85" s="152">
        <f>$B85*D$83</f>
        <v>0</v>
      </c>
      <c r="E85" s="152">
        <f t="shared" ref="E85:H89" si="13">$B85*E$83</f>
        <v>0</v>
      </c>
      <c r="F85" s="152">
        <f t="shared" si="13"/>
        <v>0</v>
      </c>
      <c r="G85" s="152">
        <f t="shared" si="13"/>
        <v>0</v>
      </c>
      <c r="H85" s="152">
        <f t="shared" si="13"/>
        <v>0</v>
      </c>
      <c r="J85" s="173" t="e">
        <f>DATA!$N$45</f>
        <v>#N/A</v>
      </c>
      <c r="K85" s="158" t="e">
        <f>IF(J85=0,C78,INDEX(C81:H81,1,MATCH(J85,$C$4:$H$4,0)))</f>
        <v>#N/A</v>
      </c>
      <c r="M85" s="159"/>
      <c r="N85" s="134"/>
      <c r="O85" s="134"/>
      <c r="P85" s="134"/>
      <c r="Q85" s="134"/>
    </row>
    <row r="86" spans="1:17">
      <c r="A86" s="124" t="s">
        <v>68</v>
      </c>
      <c r="B86" s="127">
        <f>'SUMMARY TENDERED FEE'!F10</f>
        <v>0</v>
      </c>
      <c r="C86" s="158">
        <f>'SUMMARY TENDERED FEE'!F20</f>
        <v>0</v>
      </c>
      <c r="D86" s="152">
        <f t="shared" ref="D86:D89" si="14">$B86*D$83</f>
        <v>0</v>
      </c>
      <c r="E86" s="152">
        <f t="shared" si="13"/>
        <v>0</v>
      </c>
      <c r="F86" s="152">
        <f t="shared" si="13"/>
        <v>0</v>
      </c>
      <c r="G86" s="152">
        <f t="shared" si="13"/>
        <v>0</v>
      </c>
      <c r="H86" s="152">
        <f t="shared" si="13"/>
        <v>0</v>
      </c>
      <c r="I86" s="280" t="s">
        <v>75</v>
      </c>
      <c r="J86" s="158" t="e">
        <f>IF(J85=0,C92,INDEX(C92:H92,1,MATCH(J85,$C$4:$H$4,0)))</f>
        <v>#N/A</v>
      </c>
      <c r="M86" s="159"/>
      <c r="N86" s="134"/>
      <c r="O86" s="134"/>
      <c r="P86" s="134"/>
      <c r="Q86" s="134"/>
    </row>
    <row r="87" spans="1:17">
      <c r="A87" s="124" t="s">
        <v>69</v>
      </c>
      <c r="B87" s="127">
        <f>'SUMMARY TENDERED FEE'!G10</f>
        <v>0</v>
      </c>
      <c r="C87" s="158">
        <f>'SUMMARY TENDERED FEE'!G20</f>
        <v>0</v>
      </c>
      <c r="D87" s="152">
        <f t="shared" si="14"/>
        <v>0</v>
      </c>
      <c r="E87" s="152">
        <f t="shared" si="13"/>
        <v>0</v>
      </c>
      <c r="F87" s="152">
        <f t="shared" si="13"/>
        <v>0</v>
      </c>
      <c r="G87" s="152">
        <f t="shared" si="13"/>
        <v>0</v>
      </c>
      <c r="H87" s="152">
        <f t="shared" si="13"/>
        <v>0</v>
      </c>
      <c r="I87" s="280" t="s">
        <v>76</v>
      </c>
      <c r="J87" s="158" t="e">
        <f>IF(J85=0,C93,INDEX(C93:H93,1,MATCH(J85,$C$4:$H$4,0)))</f>
        <v>#N/A</v>
      </c>
      <c r="M87" s="159"/>
      <c r="N87" s="134"/>
      <c r="O87" s="134"/>
      <c r="P87" s="134"/>
      <c r="Q87" s="134"/>
    </row>
    <row r="88" spans="1:17">
      <c r="A88" s="124" t="s">
        <v>70</v>
      </c>
      <c r="B88" s="127">
        <f>'SUMMARY TENDERED FEE'!H10</f>
        <v>0</v>
      </c>
      <c r="C88" s="158">
        <f>'SUMMARY TENDERED FEE'!H20</f>
        <v>0</v>
      </c>
      <c r="D88" s="152">
        <f t="shared" si="14"/>
        <v>0</v>
      </c>
      <c r="E88" s="152">
        <f t="shared" si="13"/>
        <v>0</v>
      </c>
      <c r="F88" s="152">
        <f t="shared" si="13"/>
        <v>0</v>
      </c>
      <c r="G88" s="152">
        <f t="shared" si="13"/>
        <v>0</v>
      </c>
      <c r="H88" s="152">
        <f t="shared" si="13"/>
        <v>0</v>
      </c>
      <c r="I88" s="280" t="s">
        <v>77</v>
      </c>
      <c r="J88" s="158" t="e">
        <f>IF(J85=0,C94,INDEX(C94:H94,1,MATCH(J85,$C$4:$H$4,0)))</f>
        <v>#N/A</v>
      </c>
    </row>
    <row r="89" spans="1:17">
      <c r="A89" s="124" t="s">
        <v>71</v>
      </c>
      <c r="B89" s="127">
        <f>'SUMMARY TENDERED FEE'!I10</f>
        <v>0</v>
      </c>
      <c r="C89" s="158">
        <f>'SUMMARY TENDERED FEE'!I20</f>
        <v>0</v>
      </c>
      <c r="D89" s="152">
        <f t="shared" si="14"/>
        <v>0</v>
      </c>
      <c r="E89" s="152">
        <f t="shared" si="13"/>
        <v>0</v>
      </c>
      <c r="F89" s="152">
        <f t="shared" si="13"/>
        <v>0</v>
      </c>
      <c r="G89" s="152">
        <f t="shared" si="13"/>
        <v>0</v>
      </c>
      <c r="H89" s="152">
        <f t="shared" si="13"/>
        <v>0</v>
      </c>
      <c r="I89" s="280" t="s">
        <v>78</v>
      </c>
      <c r="J89" s="158" t="e">
        <f>IF(J85=0,C95,INDEX(C95:H95,1,MATCH(J85,$C$4:$H$4,0)))</f>
        <v>#N/A</v>
      </c>
    </row>
    <row r="90" spans="1:17">
      <c r="C90" s="171">
        <f t="shared" ref="C90:H90" si="15">SUM(C85:C89)</f>
        <v>0</v>
      </c>
      <c r="D90" s="171">
        <f t="shared" si="15"/>
        <v>0</v>
      </c>
      <c r="E90" s="171">
        <f t="shared" si="15"/>
        <v>0</v>
      </c>
      <c r="F90" s="171">
        <f t="shared" si="15"/>
        <v>0</v>
      </c>
      <c r="G90" s="171">
        <f t="shared" si="15"/>
        <v>0</v>
      </c>
      <c r="H90" s="171">
        <f t="shared" si="15"/>
        <v>0</v>
      </c>
      <c r="I90" s="280" t="s">
        <v>79</v>
      </c>
      <c r="J90" s="158" t="e">
        <f>IF(J85=0,C96,INDEX(C96:H96,1,MATCH(J85,$C$4:$H$4,0)))</f>
        <v>#N/A</v>
      </c>
      <c r="K90" s="140" t="e">
        <f>SUM(J86:J90)</f>
        <v>#N/A</v>
      </c>
    </row>
    <row r="91" spans="1:17">
      <c r="A91" s="172" t="s">
        <v>99</v>
      </c>
      <c r="J91" s="124" t="s">
        <v>612</v>
      </c>
      <c r="K91" s="124" t="s">
        <v>199</v>
      </c>
    </row>
    <row r="92" spans="1:17">
      <c r="A92" s="124" t="s">
        <v>67</v>
      </c>
      <c r="C92" s="152">
        <v>0</v>
      </c>
      <c r="D92" s="152">
        <f>D85-C85</f>
        <v>0</v>
      </c>
      <c r="E92" s="152">
        <f>E85-C85</f>
        <v>0</v>
      </c>
      <c r="F92" s="152">
        <f>F85-C85</f>
        <v>0</v>
      </c>
      <c r="G92" s="174">
        <f>F92</f>
        <v>0</v>
      </c>
      <c r="H92" s="174">
        <f t="shared" ref="H92:H94" si="16">G92</f>
        <v>0</v>
      </c>
      <c r="J92" s="173" t="e">
        <f>DATA!$N$45</f>
        <v>#N/A</v>
      </c>
      <c r="K92" s="158" t="e">
        <f>K85</f>
        <v>#N/A</v>
      </c>
    </row>
    <row r="93" spans="1:17">
      <c r="A93" s="175" t="s">
        <v>68</v>
      </c>
      <c r="C93" s="152">
        <v>0</v>
      </c>
      <c r="D93" s="152">
        <f>D86-C86</f>
        <v>0</v>
      </c>
      <c r="E93" s="152">
        <f>E86-C86</f>
        <v>0</v>
      </c>
      <c r="F93" s="152">
        <f>F86-C86</f>
        <v>0</v>
      </c>
      <c r="G93" s="174">
        <f>F93</f>
        <v>0</v>
      </c>
      <c r="H93" s="174">
        <f t="shared" si="16"/>
        <v>0</v>
      </c>
      <c r="I93" s="280" t="s">
        <v>75</v>
      </c>
      <c r="J93" s="158" t="e">
        <f>J86-J79</f>
        <v>#N/A</v>
      </c>
    </row>
    <row r="94" spans="1:17">
      <c r="A94" s="124" t="s">
        <v>69</v>
      </c>
      <c r="C94" s="152">
        <v>0</v>
      </c>
      <c r="D94" s="152">
        <f>D87-C87</f>
        <v>0</v>
      </c>
      <c r="E94" s="152">
        <f>E87-C87</f>
        <v>0</v>
      </c>
      <c r="F94" s="152">
        <f>F87-C87</f>
        <v>0</v>
      </c>
      <c r="G94" s="174">
        <f>F94</f>
        <v>0</v>
      </c>
      <c r="H94" s="174">
        <f t="shared" si="16"/>
        <v>0</v>
      </c>
      <c r="I94" s="280" t="s">
        <v>76</v>
      </c>
      <c r="J94" s="158" t="e">
        <f t="shared" ref="J94:J97" si="17">J87-J80</f>
        <v>#N/A</v>
      </c>
    </row>
    <row r="95" spans="1:17">
      <c r="A95" s="124" t="s">
        <v>70</v>
      </c>
      <c r="C95" s="152">
        <v>0</v>
      </c>
      <c r="D95" s="152">
        <f>D88-C88</f>
        <v>0</v>
      </c>
      <c r="E95" s="152">
        <f>E88-C88</f>
        <v>0</v>
      </c>
      <c r="F95" s="152">
        <f>F88-C88</f>
        <v>0</v>
      </c>
      <c r="G95" s="152">
        <f>G88-C88</f>
        <v>0</v>
      </c>
      <c r="H95" s="152">
        <f>H88-C88</f>
        <v>0</v>
      </c>
      <c r="I95" s="280" t="s">
        <v>77</v>
      </c>
      <c r="J95" s="158" t="e">
        <f t="shared" si="17"/>
        <v>#N/A</v>
      </c>
    </row>
    <row r="96" spans="1:17">
      <c r="A96" s="124" t="s">
        <v>71</v>
      </c>
      <c r="C96" s="152">
        <v>0</v>
      </c>
      <c r="D96" s="152">
        <f>D89-C89</f>
        <v>0</v>
      </c>
      <c r="E96" s="152">
        <f>E89-C89</f>
        <v>0</v>
      </c>
      <c r="F96" s="152">
        <f>F89-C89</f>
        <v>0</v>
      </c>
      <c r="G96" s="152">
        <f>G89-C89</f>
        <v>0</v>
      </c>
      <c r="H96" s="152">
        <f>H89-C89</f>
        <v>0</v>
      </c>
      <c r="I96" s="280" t="s">
        <v>78</v>
      </c>
      <c r="J96" s="158" t="e">
        <f t="shared" si="17"/>
        <v>#N/A</v>
      </c>
    </row>
    <row r="97" spans="1:16">
      <c r="I97" s="280" t="s">
        <v>79</v>
      </c>
      <c r="J97" s="158" t="e">
        <f t="shared" si="17"/>
        <v>#N/A</v>
      </c>
      <c r="K97" s="140" t="e">
        <f>SUM(J93:J97)</f>
        <v>#N/A</v>
      </c>
    </row>
    <row r="99" spans="1:16" ht="55.5" customHeight="1">
      <c r="A99" s="272" t="str">
        <f>'ADJ-1'!A72</f>
        <v>Mechanical</v>
      </c>
      <c r="B99" s="273"/>
      <c r="C99" s="265"/>
      <c r="D99" s="269">
        <f>'ADJ-1'!A84</f>
        <v>0</v>
      </c>
      <c r="E99" s="270">
        <f>'ADJ-2'!A84</f>
        <v>0</v>
      </c>
      <c r="F99" s="270">
        <f>'ADJ-3'!A84</f>
        <v>0</v>
      </c>
      <c r="G99" s="270">
        <f>'ADJ-4'!A84</f>
        <v>0</v>
      </c>
      <c r="H99" s="270">
        <f>'ADJ-5'!A84</f>
        <v>0</v>
      </c>
    </row>
    <row r="100" spans="1:16">
      <c r="I100" s="168"/>
      <c r="J100" s="124" t="s">
        <v>610</v>
      </c>
      <c r="K100" s="124" t="s">
        <v>199</v>
      </c>
      <c r="L100" s="159"/>
      <c r="M100" s="134"/>
      <c r="N100" s="134"/>
      <c r="O100" s="134"/>
      <c r="P100" s="134"/>
    </row>
    <row r="101" spans="1:16">
      <c r="A101" s="124" t="s">
        <v>177</v>
      </c>
      <c r="C101" s="152">
        <f>'SUMMARY TENDERED FEE'!B21</f>
        <v>0</v>
      </c>
      <c r="D101" s="158">
        <f>'ADJ-1'!B73</f>
        <v>0</v>
      </c>
      <c r="E101" s="139">
        <f>'ADJ-2'!B73</f>
        <v>0</v>
      </c>
      <c r="F101" s="139">
        <f>'ADJ-3'!B73</f>
        <v>0</v>
      </c>
      <c r="G101" s="139">
        <f>'ADJ-4'!B73</f>
        <v>0</v>
      </c>
      <c r="H101" s="139">
        <f>'ADJ-5'!B73</f>
        <v>0</v>
      </c>
      <c r="I101" s="140"/>
      <c r="J101" s="173" t="e">
        <f>DATA!$N$44</f>
        <v>#N/A</v>
      </c>
      <c r="K101" s="158" t="e">
        <f>IF(J101=0,C101,INDEX(C104:H104,1,MATCH(J101,$C$4:$H$4,0)))</f>
        <v>#N/A</v>
      </c>
      <c r="L101" s="159"/>
      <c r="M101" s="134"/>
      <c r="N101" s="134"/>
      <c r="O101" s="134"/>
      <c r="P101" s="134"/>
    </row>
    <row r="102" spans="1:16">
      <c r="A102" s="124" t="s">
        <v>178</v>
      </c>
      <c r="C102" s="152">
        <f>'SUMMARY TENDERED FEE'!C21</f>
        <v>0</v>
      </c>
      <c r="D102" s="158">
        <f>'ADJ-1'!B74</f>
        <v>0</v>
      </c>
      <c r="E102" s="139">
        <f>'ADJ-2'!B74</f>
        <v>0</v>
      </c>
      <c r="F102" s="139">
        <f>'ADJ-3'!B74</f>
        <v>0</v>
      </c>
      <c r="G102" s="139">
        <f>'ADJ-4'!B74</f>
        <v>0</v>
      </c>
      <c r="H102" s="139">
        <f>'ADJ-5'!B74</f>
        <v>0</v>
      </c>
      <c r="I102" s="743" t="s">
        <v>75</v>
      </c>
      <c r="J102" s="158" t="e">
        <f>IF(J101=0,C115,INDEX(C115:H115,1,MATCH(J101,$C$4:$H$4,0)))</f>
        <v>#N/A</v>
      </c>
      <c r="L102" s="159"/>
      <c r="M102" s="134"/>
      <c r="N102" s="134"/>
      <c r="O102" s="134"/>
      <c r="P102" s="134"/>
    </row>
    <row r="103" spans="1:16">
      <c r="A103" s="124" t="s">
        <v>179</v>
      </c>
      <c r="C103" s="166">
        <f>'SUMMARY TENDERED FEE'!D21</f>
        <v>0</v>
      </c>
      <c r="D103" s="153">
        <f>'ADJ-1'!B75</f>
        <v>0</v>
      </c>
      <c r="E103" s="167">
        <f>'ADJ-2'!B75</f>
        <v>0</v>
      </c>
      <c r="F103" s="167">
        <f>'ADJ-3'!B75</f>
        <v>0</v>
      </c>
      <c r="G103" s="167">
        <f>'ADJ-4'!B75</f>
        <v>0</v>
      </c>
      <c r="H103" s="167">
        <f>'ADJ-5'!B75</f>
        <v>0</v>
      </c>
      <c r="I103" s="744" t="s">
        <v>76</v>
      </c>
      <c r="J103" s="158" t="e">
        <f>IF(J101=0,C116,INDEX(C116:H116,1,MATCH(J101,$C$4:$H$4,0)))</f>
        <v>#N/A</v>
      </c>
      <c r="L103" s="159"/>
      <c r="M103" s="134"/>
      <c r="N103" s="134"/>
      <c r="O103" s="134"/>
      <c r="P103" s="134"/>
    </row>
    <row r="104" spans="1:16">
      <c r="A104" s="124" t="s">
        <v>180</v>
      </c>
      <c r="C104" s="140">
        <f>C101</f>
        <v>0</v>
      </c>
      <c r="D104" s="158">
        <f>'ADJ-1'!B76</f>
        <v>0</v>
      </c>
      <c r="E104" s="139">
        <f>'ADJ-2'!B76</f>
        <v>0</v>
      </c>
      <c r="F104" s="139">
        <f>'ADJ-3'!B76</f>
        <v>0</v>
      </c>
      <c r="G104" s="139">
        <f>'ADJ-4'!B76</f>
        <v>0</v>
      </c>
      <c r="H104" s="139">
        <f>'ADJ-5'!B76</f>
        <v>0</v>
      </c>
      <c r="I104" s="280" t="s">
        <v>77</v>
      </c>
      <c r="J104" s="158" t="e">
        <f>IF(J101=0,C117,INDEX(C117:H117,1,MATCH(J101,$C$4:$H$4,0)))</f>
        <v>#N/A</v>
      </c>
      <c r="L104" s="159"/>
      <c r="M104" s="134"/>
      <c r="N104" s="134"/>
      <c r="O104" s="134"/>
      <c r="P104" s="134"/>
    </row>
    <row r="105" spans="1:16">
      <c r="A105" s="124" t="s">
        <v>181</v>
      </c>
      <c r="D105" s="169">
        <f>'ADJ-1'!B77</f>
        <v>1</v>
      </c>
      <c r="E105" s="169">
        <f>'ADJ-2'!B77</f>
        <v>1</v>
      </c>
      <c r="F105" s="169">
        <f>'ADJ-3'!B77</f>
        <v>1</v>
      </c>
      <c r="G105" s="169">
        <f>'ADJ-4'!B77</f>
        <v>1</v>
      </c>
      <c r="H105" s="169">
        <f>'ADJ-5'!B77</f>
        <v>1</v>
      </c>
      <c r="I105" s="280" t="s">
        <v>78</v>
      </c>
      <c r="J105" s="158" t="e">
        <f>IF(J101=0,C118,INDEX(C118:H118,1,MATCH(J101,$C$4:$H$4,0)))</f>
        <v>#N/A</v>
      </c>
      <c r="L105" s="159"/>
      <c r="M105" s="134"/>
      <c r="N105" s="134"/>
      <c r="O105" s="134"/>
      <c r="P105" s="134"/>
    </row>
    <row r="106" spans="1:16">
      <c r="A106" s="124" t="s">
        <v>182</v>
      </c>
      <c r="D106" s="158">
        <f>'ADJ-1'!B79</f>
        <v>0</v>
      </c>
      <c r="E106" s="139">
        <f>'ADJ-2'!B79</f>
        <v>0</v>
      </c>
      <c r="F106" s="139">
        <f>'ADJ-3'!B79</f>
        <v>0</v>
      </c>
      <c r="G106" s="139">
        <f>'ADJ-4'!B79</f>
        <v>0</v>
      </c>
      <c r="H106" s="139">
        <f>'ADJ-5'!B79</f>
        <v>0</v>
      </c>
      <c r="I106" s="280" t="s">
        <v>79</v>
      </c>
      <c r="J106" s="158" t="e">
        <f>IF(J101=0,C119,INDEX(C119:H119,1,MATCH(J101,$C$4:$H$4,0)))</f>
        <v>#N/A</v>
      </c>
      <c r="K106" s="140" t="e">
        <f>SUM(J102:J106)</f>
        <v>#N/A</v>
      </c>
      <c r="L106" s="159"/>
      <c r="M106" s="134"/>
      <c r="N106" s="134"/>
      <c r="O106" s="134"/>
      <c r="P106" s="134"/>
    </row>
    <row r="107" spans="1:16">
      <c r="C107" s="170"/>
      <c r="D107" s="170"/>
      <c r="J107" s="124" t="s">
        <v>198</v>
      </c>
      <c r="K107" s="124" t="s">
        <v>199</v>
      </c>
      <c r="L107" s="159"/>
      <c r="M107" s="134"/>
      <c r="N107" s="134"/>
      <c r="O107" s="134"/>
      <c r="P107" s="134"/>
    </row>
    <row r="108" spans="1:16">
      <c r="A108" s="124" t="s">
        <v>67</v>
      </c>
      <c r="B108" s="127">
        <f>'SUMMARY TENDERED FEE'!E11</f>
        <v>0</v>
      </c>
      <c r="C108" s="158">
        <f>'SUMMARY TENDERED FEE'!E21</f>
        <v>0</v>
      </c>
      <c r="D108" s="152">
        <f>$B108*D$106</f>
        <v>0</v>
      </c>
      <c r="E108" s="152">
        <f t="shared" ref="E108:H112" si="18">$B108*E$106</f>
        <v>0</v>
      </c>
      <c r="F108" s="152">
        <f t="shared" si="18"/>
        <v>0</v>
      </c>
      <c r="G108" s="152">
        <f t="shared" si="18"/>
        <v>0</v>
      </c>
      <c r="H108" s="152">
        <f t="shared" si="18"/>
        <v>0</v>
      </c>
      <c r="J108" s="173" t="e">
        <f>DATA!$N$45</f>
        <v>#N/A</v>
      </c>
      <c r="K108" s="158" t="e">
        <f>IF(J108=0,C101,INDEX(C104:H104,1,MATCH(J108,$C$4:$H$4,0)))</f>
        <v>#N/A</v>
      </c>
      <c r="L108" s="159"/>
      <c r="M108" s="134"/>
      <c r="N108" s="134"/>
      <c r="O108" s="134"/>
      <c r="P108" s="134"/>
    </row>
    <row r="109" spans="1:16">
      <c r="A109" s="124" t="s">
        <v>68</v>
      </c>
      <c r="B109" s="127">
        <f>'SUMMARY TENDERED FEE'!F11</f>
        <v>0</v>
      </c>
      <c r="C109" s="158">
        <f>'SUMMARY TENDERED FEE'!F21</f>
        <v>0</v>
      </c>
      <c r="D109" s="152">
        <f t="shared" ref="D109:D112" si="19">$B109*D$106</f>
        <v>0</v>
      </c>
      <c r="E109" s="152">
        <f t="shared" si="18"/>
        <v>0</v>
      </c>
      <c r="F109" s="152">
        <f t="shared" si="18"/>
        <v>0</v>
      </c>
      <c r="G109" s="152">
        <f t="shared" si="18"/>
        <v>0</v>
      </c>
      <c r="H109" s="152">
        <f t="shared" si="18"/>
        <v>0</v>
      </c>
      <c r="I109" s="280" t="s">
        <v>75</v>
      </c>
      <c r="J109" s="158" t="e">
        <f>IF(J108=0,C115,INDEX(C115:H115,1,MATCH(J108,$C$4:$H$4,0)))</f>
        <v>#N/A</v>
      </c>
      <c r="L109" s="159"/>
      <c r="M109" s="134"/>
      <c r="N109" s="134"/>
      <c r="O109" s="134"/>
      <c r="P109" s="134"/>
    </row>
    <row r="110" spans="1:16">
      <c r="A110" s="124" t="s">
        <v>69</v>
      </c>
      <c r="B110" s="127">
        <f>'SUMMARY TENDERED FEE'!G11</f>
        <v>0</v>
      </c>
      <c r="C110" s="158">
        <f>'SUMMARY TENDERED FEE'!G21</f>
        <v>0</v>
      </c>
      <c r="D110" s="152">
        <f t="shared" si="19"/>
        <v>0</v>
      </c>
      <c r="E110" s="152">
        <f t="shared" si="18"/>
        <v>0</v>
      </c>
      <c r="F110" s="152">
        <f t="shared" si="18"/>
        <v>0</v>
      </c>
      <c r="G110" s="152">
        <f t="shared" si="18"/>
        <v>0</v>
      </c>
      <c r="H110" s="152">
        <f t="shared" si="18"/>
        <v>0</v>
      </c>
      <c r="I110" s="280" t="s">
        <v>76</v>
      </c>
      <c r="J110" s="158" t="e">
        <f>IF(J108=0,C116,INDEX(C116:H116,1,MATCH(J108,$C$4:$H$4,0)))</f>
        <v>#N/A</v>
      </c>
      <c r="L110" s="159"/>
      <c r="M110" s="134"/>
      <c r="N110" s="134"/>
      <c r="O110" s="134"/>
      <c r="P110" s="134"/>
    </row>
    <row r="111" spans="1:16">
      <c r="A111" s="124" t="s">
        <v>70</v>
      </c>
      <c r="B111" s="127">
        <f>'SUMMARY TENDERED FEE'!H11</f>
        <v>0</v>
      </c>
      <c r="C111" s="158">
        <f>'SUMMARY TENDERED FEE'!H21</f>
        <v>0</v>
      </c>
      <c r="D111" s="152">
        <f t="shared" si="19"/>
        <v>0</v>
      </c>
      <c r="E111" s="152">
        <f t="shared" si="18"/>
        <v>0</v>
      </c>
      <c r="F111" s="152">
        <f t="shared" si="18"/>
        <v>0</v>
      </c>
      <c r="G111" s="152">
        <f t="shared" si="18"/>
        <v>0</v>
      </c>
      <c r="H111" s="152">
        <f t="shared" si="18"/>
        <v>0</v>
      </c>
      <c r="I111" s="280" t="s">
        <v>77</v>
      </c>
      <c r="J111" s="158" t="e">
        <f>IF(J108=0,C117,INDEX(C117:H117,1,MATCH(J108,$C$4:$H$4,0)))</f>
        <v>#N/A</v>
      </c>
    </row>
    <row r="112" spans="1:16">
      <c r="A112" s="124" t="s">
        <v>71</v>
      </c>
      <c r="B112" s="127">
        <f>'SUMMARY TENDERED FEE'!I11</f>
        <v>0</v>
      </c>
      <c r="C112" s="158">
        <f>'SUMMARY TENDERED FEE'!I21</f>
        <v>0</v>
      </c>
      <c r="D112" s="152">
        <f t="shared" si="19"/>
        <v>0</v>
      </c>
      <c r="E112" s="152">
        <f t="shared" si="18"/>
        <v>0</v>
      </c>
      <c r="F112" s="152">
        <f t="shared" si="18"/>
        <v>0</v>
      </c>
      <c r="G112" s="152">
        <f t="shared" si="18"/>
        <v>0</v>
      </c>
      <c r="H112" s="152">
        <f t="shared" si="18"/>
        <v>0</v>
      </c>
      <c r="I112" s="280" t="s">
        <v>78</v>
      </c>
      <c r="J112" s="158" t="e">
        <f>IF(J108=0,C118,INDEX(C118:H118,1,MATCH(J108,$C$4:$H$4,0)))</f>
        <v>#N/A</v>
      </c>
    </row>
    <row r="113" spans="1:17">
      <c r="C113" s="171">
        <f t="shared" ref="C113:H113" si="20">SUM(C108:C112)</f>
        <v>0</v>
      </c>
      <c r="D113" s="171">
        <f t="shared" si="20"/>
        <v>0</v>
      </c>
      <c r="E113" s="171">
        <f t="shared" si="20"/>
        <v>0</v>
      </c>
      <c r="F113" s="171">
        <f t="shared" si="20"/>
        <v>0</v>
      </c>
      <c r="G113" s="171">
        <f t="shared" si="20"/>
        <v>0</v>
      </c>
      <c r="H113" s="171">
        <f t="shared" si="20"/>
        <v>0</v>
      </c>
      <c r="I113" s="280" t="s">
        <v>79</v>
      </c>
      <c r="J113" s="158" t="e">
        <f>IF(J108=0,C119,INDEX(C119:H119,1,MATCH(J108,$C$4:$H$4,0)))</f>
        <v>#N/A</v>
      </c>
      <c r="K113" s="140" t="e">
        <f>SUM(J109:J113)</f>
        <v>#N/A</v>
      </c>
    </row>
    <row r="114" spans="1:17">
      <c r="A114" s="172" t="s">
        <v>99</v>
      </c>
      <c r="J114" s="124" t="s">
        <v>612</v>
      </c>
      <c r="K114" s="124" t="s">
        <v>199</v>
      </c>
    </row>
    <row r="115" spans="1:17">
      <c r="A115" s="124" t="s">
        <v>67</v>
      </c>
      <c r="C115" s="152">
        <v>0</v>
      </c>
      <c r="D115" s="152">
        <f>D108-C108</f>
        <v>0</v>
      </c>
      <c r="E115" s="152">
        <f>E108-C108</f>
        <v>0</v>
      </c>
      <c r="F115" s="152">
        <f>F108-C108</f>
        <v>0</v>
      </c>
      <c r="G115" s="174">
        <f>F115</f>
        <v>0</v>
      </c>
      <c r="H115" s="174">
        <f t="shared" ref="H115:H117" si="21">G115</f>
        <v>0</v>
      </c>
      <c r="J115" s="173" t="e">
        <f>DATA!$N$45</f>
        <v>#N/A</v>
      </c>
      <c r="K115" s="158" t="e">
        <f>K108</f>
        <v>#N/A</v>
      </c>
    </row>
    <row r="116" spans="1:17">
      <c r="A116" s="175" t="s">
        <v>68</v>
      </c>
      <c r="C116" s="152">
        <v>0</v>
      </c>
      <c r="D116" s="152">
        <f>D109-C109</f>
        <v>0</v>
      </c>
      <c r="E116" s="152">
        <f>E109-C109</f>
        <v>0</v>
      </c>
      <c r="F116" s="152">
        <f>F109-C109</f>
        <v>0</v>
      </c>
      <c r="G116" s="174">
        <f>F116</f>
        <v>0</v>
      </c>
      <c r="H116" s="174">
        <f t="shared" si="21"/>
        <v>0</v>
      </c>
      <c r="I116" s="280" t="s">
        <v>75</v>
      </c>
      <c r="J116" s="158" t="e">
        <f>J109-J102</f>
        <v>#N/A</v>
      </c>
    </row>
    <row r="117" spans="1:17">
      <c r="A117" s="124" t="s">
        <v>69</v>
      </c>
      <c r="C117" s="152">
        <v>0</v>
      </c>
      <c r="D117" s="152">
        <f>D110-C110</f>
        <v>0</v>
      </c>
      <c r="E117" s="152">
        <f>E110-C110</f>
        <v>0</v>
      </c>
      <c r="F117" s="152">
        <f>F110-C110</f>
        <v>0</v>
      </c>
      <c r="G117" s="174">
        <f>F117</f>
        <v>0</v>
      </c>
      <c r="H117" s="174">
        <f t="shared" si="21"/>
        <v>0</v>
      </c>
      <c r="I117" s="280" t="s">
        <v>76</v>
      </c>
      <c r="J117" s="158" t="e">
        <f t="shared" ref="J117:J120" si="22">J110-J103</f>
        <v>#N/A</v>
      </c>
    </row>
    <row r="118" spans="1:17">
      <c r="A118" s="124" t="s">
        <v>70</v>
      </c>
      <c r="C118" s="152">
        <v>0</v>
      </c>
      <c r="D118" s="152">
        <f>D111-C111</f>
        <v>0</v>
      </c>
      <c r="E118" s="152">
        <f>E111-C111</f>
        <v>0</v>
      </c>
      <c r="F118" s="152">
        <f>F111-C111</f>
        <v>0</v>
      </c>
      <c r="G118" s="152">
        <f>G111-C111</f>
        <v>0</v>
      </c>
      <c r="H118" s="152">
        <f>H111-C111</f>
        <v>0</v>
      </c>
      <c r="I118" s="280" t="s">
        <v>77</v>
      </c>
      <c r="J118" s="158" t="e">
        <f t="shared" si="22"/>
        <v>#N/A</v>
      </c>
    </row>
    <row r="119" spans="1:17">
      <c r="A119" s="124" t="s">
        <v>71</v>
      </c>
      <c r="C119" s="152">
        <v>0</v>
      </c>
      <c r="D119" s="152">
        <f>D112-C112</f>
        <v>0</v>
      </c>
      <c r="E119" s="152">
        <f>E112-C112</f>
        <v>0</v>
      </c>
      <c r="F119" s="152">
        <f>F112-C112</f>
        <v>0</v>
      </c>
      <c r="G119" s="152">
        <f>G112-C112</f>
        <v>0</v>
      </c>
      <c r="H119" s="152">
        <f>H112-C112</f>
        <v>0</v>
      </c>
      <c r="I119" s="280" t="s">
        <v>78</v>
      </c>
      <c r="J119" s="158" t="e">
        <f t="shared" si="22"/>
        <v>#N/A</v>
      </c>
    </row>
    <row r="120" spans="1:17">
      <c r="I120" s="280" t="s">
        <v>79</v>
      </c>
      <c r="J120" s="158" t="e">
        <f t="shared" si="22"/>
        <v>#N/A</v>
      </c>
      <c r="K120" s="140" t="e">
        <f>SUM(J116:J120)</f>
        <v>#N/A</v>
      </c>
    </row>
    <row r="122" spans="1:17" ht="55.5" customHeight="1">
      <c r="A122" s="274" t="str">
        <f>'ADJ-1'!A88</f>
        <v>Electronic</v>
      </c>
      <c r="B122" s="274"/>
      <c r="C122" s="265"/>
      <c r="D122" s="269">
        <f>'ADJ-1'!A100</f>
        <v>0</v>
      </c>
      <c r="E122" s="270">
        <f>'ADJ-2'!A100</f>
        <v>0</v>
      </c>
      <c r="F122" s="270">
        <f>'ADJ-3'!A100</f>
        <v>0</v>
      </c>
      <c r="G122" s="270">
        <f>'ADJ-4'!A100</f>
        <v>0</v>
      </c>
      <c r="H122" s="270">
        <f>'ADJ-5'!A100</f>
        <v>0</v>
      </c>
      <c r="M122" s="159"/>
      <c r="N122" s="134"/>
      <c r="O122" s="134"/>
      <c r="P122" s="134"/>
      <c r="Q122" s="134"/>
    </row>
    <row r="123" spans="1:17">
      <c r="I123" s="168"/>
      <c r="J123" s="124" t="s">
        <v>610</v>
      </c>
      <c r="K123" s="124" t="s">
        <v>199</v>
      </c>
      <c r="M123" s="159"/>
      <c r="N123" s="134"/>
      <c r="O123" s="134"/>
      <c r="P123" s="134"/>
      <c r="Q123" s="134"/>
    </row>
    <row r="124" spans="1:17">
      <c r="A124" s="124" t="s">
        <v>177</v>
      </c>
      <c r="C124" s="152">
        <f>'SUMMARY TENDERED FEE'!B22</f>
        <v>0</v>
      </c>
      <c r="D124" s="158">
        <f>'ADJ-1'!B89</f>
        <v>0</v>
      </c>
      <c r="E124" s="139">
        <f>'ADJ-2'!B89</f>
        <v>0</v>
      </c>
      <c r="F124" s="139">
        <f>'ADJ-3'!B89</f>
        <v>0</v>
      </c>
      <c r="G124" s="139">
        <f>'ADJ-4'!B89</f>
        <v>0</v>
      </c>
      <c r="H124" s="139">
        <f>'ADJ-5'!B89</f>
        <v>0</v>
      </c>
      <c r="I124" s="140"/>
      <c r="J124" s="173" t="e">
        <f>DATA!$N$44</f>
        <v>#N/A</v>
      </c>
      <c r="K124" s="158" t="e">
        <f>IF(J124=0,C124,INDEX(C127:H127,1,MATCH(J124,$C$4:$H$4,0)))</f>
        <v>#N/A</v>
      </c>
      <c r="M124" s="159"/>
      <c r="N124" s="134"/>
      <c r="O124" s="134"/>
      <c r="P124" s="134"/>
      <c r="Q124" s="134"/>
    </row>
    <row r="125" spans="1:17">
      <c r="A125" s="124" t="s">
        <v>178</v>
      </c>
      <c r="C125" s="152">
        <f>'SUMMARY TENDERED FEE'!C22</f>
        <v>0</v>
      </c>
      <c r="D125" s="158">
        <f>'ADJ-1'!B90</f>
        <v>0</v>
      </c>
      <c r="E125" s="139">
        <f>'ADJ-2'!B90</f>
        <v>0</v>
      </c>
      <c r="F125" s="139">
        <f>'ADJ-3'!B90</f>
        <v>0</v>
      </c>
      <c r="G125" s="139">
        <f>'ADJ-4'!B90</f>
        <v>0</v>
      </c>
      <c r="H125" s="139">
        <f>'ADJ-5'!B90</f>
        <v>0</v>
      </c>
      <c r="I125" s="743" t="s">
        <v>75</v>
      </c>
      <c r="J125" s="158" t="e">
        <f>IF(J124=0,C138,INDEX(C138:H138,1,MATCH(J124,$C$4:$H$4,0)))</f>
        <v>#N/A</v>
      </c>
      <c r="M125" s="159"/>
      <c r="N125" s="134"/>
      <c r="O125" s="134"/>
      <c r="P125" s="134"/>
      <c r="Q125" s="134"/>
    </row>
    <row r="126" spans="1:17">
      <c r="A126" s="124" t="s">
        <v>179</v>
      </c>
      <c r="C126" s="166">
        <f>'SUMMARY TENDERED FEE'!D22</f>
        <v>0</v>
      </c>
      <c r="D126" s="153">
        <f>'ADJ-1'!B91</f>
        <v>0</v>
      </c>
      <c r="E126" s="167">
        <f>'ADJ-2'!B91</f>
        <v>0</v>
      </c>
      <c r="F126" s="167">
        <f>'ADJ-3'!B91</f>
        <v>0</v>
      </c>
      <c r="G126" s="167">
        <f>'ADJ-4'!B91</f>
        <v>0</v>
      </c>
      <c r="H126" s="167">
        <f>'ADJ-5'!B91</f>
        <v>0</v>
      </c>
      <c r="I126" s="744" t="s">
        <v>76</v>
      </c>
      <c r="J126" s="158" t="e">
        <f>IF(J124=0,C139,INDEX(C139:H139,1,MATCH(J124,$C$4:$H$4,0)))</f>
        <v>#N/A</v>
      </c>
      <c r="M126" s="159"/>
      <c r="N126" s="134"/>
      <c r="O126" s="134"/>
      <c r="P126" s="134"/>
      <c r="Q126" s="134"/>
    </row>
    <row r="127" spans="1:17">
      <c r="A127" s="124" t="s">
        <v>180</v>
      </c>
      <c r="C127" s="140">
        <f>C124</f>
        <v>0</v>
      </c>
      <c r="D127" s="158">
        <f>'ADJ-1'!B92</f>
        <v>0</v>
      </c>
      <c r="E127" s="139">
        <f>'ADJ-2'!B92</f>
        <v>0</v>
      </c>
      <c r="F127" s="139">
        <f>'ADJ-3'!B92</f>
        <v>0</v>
      </c>
      <c r="G127" s="139">
        <f>'ADJ-4'!B92</f>
        <v>0</v>
      </c>
      <c r="H127" s="139">
        <f>'ADJ-5'!B92</f>
        <v>0</v>
      </c>
      <c r="I127" s="280" t="s">
        <v>77</v>
      </c>
      <c r="J127" s="158" t="e">
        <f>IF(J124=0,C140,INDEX(C140:H140,1,MATCH(J124,$C$4:$H$4,0)))</f>
        <v>#N/A</v>
      </c>
      <c r="M127" s="159"/>
      <c r="N127" s="134"/>
      <c r="O127" s="134"/>
      <c r="P127" s="134"/>
      <c r="Q127" s="134"/>
    </row>
    <row r="128" spans="1:17">
      <c r="A128" s="124" t="s">
        <v>181</v>
      </c>
      <c r="D128" s="169">
        <f>'ADJ-1'!B93</f>
        <v>1</v>
      </c>
      <c r="E128" s="169">
        <f>'ADJ-2'!B93</f>
        <v>1</v>
      </c>
      <c r="F128" s="169">
        <f>'ADJ-3'!B93</f>
        <v>1</v>
      </c>
      <c r="G128" s="169">
        <f>'ADJ-4'!B93</f>
        <v>1</v>
      </c>
      <c r="H128" s="169">
        <f>'ADJ-5'!B93</f>
        <v>1</v>
      </c>
      <c r="I128" s="280" t="s">
        <v>78</v>
      </c>
      <c r="J128" s="158" t="e">
        <f>IF(J124=0,C141,INDEX(C141:H141,1,MATCH(J124,$C$4:$H$4,0)))</f>
        <v>#N/A</v>
      </c>
      <c r="M128" s="159"/>
      <c r="N128" s="134"/>
      <c r="O128" s="134"/>
      <c r="P128" s="134"/>
      <c r="Q128" s="134"/>
    </row>
    <row r="129" spans="1:17">
      <c r="A129" s="124" t="s">
        <v>182</v>
      </c>
      <c r="D129" s="158">
        <f>'ADJ-1'!B95</f>
        <v>0</v>
      </c>
      <c r="E129" s="139">
        <f>'ADJ-2'!B95</f>
        <v>0</v>
      </c>
      <c r="F129" s="139">
        <f>'ADJ-3'!B95</f>
        <v>0</v>
      </c>
      <c r="G129" s="139">
        <f>'ADJ-4'!B95</f>
        <v>0</v>
      </c>
      <c r="H129" s="139">
        <f>'ADJ-5'!B95</f>
        <v>0</v>
      </c>
      <c r="I129" s="280" t="s">
        <v>79</v>
      </c>
      <c r="J129" s="158" t="e">
        <f>IF(J124=0,C142,INDEX(C142:H142,1,MATCH(J124,$C$4:$H$4,0)))</f>
        <v>#N/A</v>
      </c>
      <c r="K129" s="140" t="e">
        <f>SUM(J125:J129)</f>
        <v>#N/A</v>
      </c>
      <c r="M129" s="159"/>
      <c r="N129" s="134"/>
      <c r="O129" s="134"/>
      <c r="P129" s="134"/>
      <c r="Q129" s="134"/>
    </row>
    <row r="130" spans="1:17">
      <c r="C130" s="170"/>
      <c r="D130" s="170"/>
      <c r="J130" s="124" t="s">
        <v>198</v>
      </c>
      <c r="K130" s="124" t="s">
        <v>199</v>
      </c>
      <c r="M130" s="159"/>
      <c r="N130" s="134"/>
      <c r="O130" s="134"/>
      <c r="P130" s="134"/>
      <c r="Q130" s="134"/>
    </row>
    <row r="131" spans="1:17">
      <c r="A131" s="124" t="s">
        <v>67</v>
      </c>
      <c r="B131" s="127">
        <f>'SUMMARY TENDERED FEE'!E12</f>
        <v>0</v>
      </c>
      <c r="C131" s="158">
        <f>'SUMMARY TENDERED FEE'!E22</f>
        <v>0</v>
      </c>
      <c r="D131" s="152">
        <f>$B131*D$129</f>
        <v>0</v>
      </c>
      <c r="E131" s="152">
        <f t="shared" ref="E131:H135" si="23">$B131*E$129</f>
        <v>0</v>
      </c>
      <c r="F131" s="152">
        <f t="shared" si="23"/>
        <v>0</v>
      </c>
      <c r="G131" s="152">
        <f t="shared" si="23"/>
        <v>0</v>
      </c>
      <c r="H131" s="152">
        <f t="shared" si="23"/>
        <v>0</v>
      </c>
      <c r="J131" s="173" t="e">
        <f>DATA!$N$45</f>
        <v>#N/A</v>
      </c>
      <c r="K131" s="158" t="e">
        <f>IF(J131=0,C124,INDEX(C127:H127,1,MATCH(J131,$C$4:$H$4,0)))</f>
        <v>#N/A</v>
      </c>
      <c r="M131" s="159"/>
      <c r="N131" s="134"/>
      <c r="O131" s="134"/>
      <c r="P131" s="134"/>
      <c r="Q131" s="134"/>
    </row>
    <row r="132" spans="1:17">
      <c r="A132" s="124" t="s">
        <v>68</v>
      </c>
      <c r="B132" s="127">
        <f>'SUMMARY TENDERED FEE'!F12</f>
        <v>0</v>
      </c>
      <c r="C132" s="158">
        <f>'SUMMARY TENDERED FEE'!F22</f>
        <v>0</v>
      </c>
      <c r="D132" s="152">
        <f t="shared" ref="D132:D135" si="24">$B132*D$129</f>
        <v>0</v>
      </c>
      <c r="E132" s="152">
        <f t="shared" si="23"/>
        <v>0</v>
      </c>
      <c r="F132" s="152">
        <f t="shared" si="23"/>
        <v>0</v>
      </c>
      <c r="G132" s="152">
        <f t="shared" si="23"/>
        <v>0</v>
      </c>
      <c r="H132" s="152">
        <f t="shared" si="23"/>
        <v>0</v>
      </c>
      <c r="I132" s="280" t="s">
        <v>75</v>
      </c>
      <c r="J132" s="158" t="e">
        <f>IF(J131=0,C138,INDEX(C138:H138,1,MATCH(J131,$C$4:$H$4,0)))</f>
        <v>#N/A</v>
      </c>
      <c r="M132" s="159"/>
      <c r="N132" s="134"/>
      <c r="O132" s="134"/>
      <c r="P132" s="134"/>
      <c r="Q132" s="134"/>
    </row>
    <row r="133" spans="1:17">
      <c r="A133" s="124" t="s">
        <v>69</v>
      </c>
      <c r="B133" s="127">
        <f>'SUMMARY TENDERED FEE'!G12</f>
        <v>0</v>
      </c>
      <c r="C133" s="158">
        <f>'SUMMARY TENDERED FEE'!G22</f>
        <v>0</v>
      </c>
      <c r="D133" s="152">
        <f t="shared" si="24"/>
        <v>0</v>
      </c>
      <c r="E133" s="152">
        <f t="shared" si="23"/>
        <v>0</v>
      </c>
      <c r="F133" s="152">
        <f t="shared" si="23"/>
        <v>0</v>
      </c>
      <c r="G133" s="152">
        <f t="shared" si="23"/>
        <v>0</v>
      </c>
      <c r="H133" s="152">
        <f t="shared" si="23"/>
        <v>0</v>
      </c>
      <c r="I133" s="280" t="s">
        <v>76</v>
      </c>
      <c r="J133" s="158" t="e">
        <f>IF(J131=0,C139,INDEX(C139:H139,1,MATCH(J131,$C$4:$H$4,0)))</f>
        <v>#N/A</v>
      </c>
    </row>
    <row r="134" spans="1:17">
      <c r="A134" s="124" t="s">
        <v>70</v>
      </c>
      <c r="B134" s="127">
        <f>'SUMMARY TENDERED FEE'!H12</f>
        <v>0</v>
      </c>
      <c r="C134" s="158">
        <f>'SUMMARY TENDERED FEE'!H22</f>
        <v>0</v>
      </c>
      <c r="D134" s="152">
        <f t="shared" si="24"/>
        <v>0</v>
      </c>
      <c r="E134" s="152">
        <f t="shared" si="23"/>
        <v>0</v>
      </c>
      <c r="F134" s="152">
        <f t="shared" si="23"/>
        <v>0</v>
      </c>
      <c r="G134" s="152">
        <f t="shared" si="23"/>
        <v>0</v>
      </c>
      <c r="H134" s="152">
        <f t="shared" si="23"/>
        <v>0</v>
      </c>
      <c r="I134" s="280" t="s">
        <v>77</v>
      </c>
      <c r="J134" s="158" t="e">
        <f>IF(J131=0,C140,INDEX(C140:H140,1,MATCH(J131,$C$4:$H$4,0)))</f>
        <v>#N/A</v>
      </c>
    </row>
    <row r="135" spans="1:17">
      <c r="A135" s="124" t="s">
        <v>71</v>
      </c>
      <c r="B135" s="127">
        <f>'SUMMARY TENDERED FEE'!I12</f>
        <v>0</v>
      </c>
      <c r="C135" s="158">
        <f>'SUMMARY TENDERED FEE'!I22</f>
        <v>0</v>
      </c>
      <c r="D135" s="152">
        <f t="shared" si="24"/>
        <v>0</v>
      </c>
      <c r="E135" s="152">
        <f t="shared" si="23"/>
        <v>0</v>
      </c>
      <c r="F135" s="152">
        <f t="shared" si="23"/>
        <v>0</v>
      </c>
      <c r="G135" s="152">
        <f t="shared" si="23"/>
        <v>0</v>
      </c>
      <c r="H135" s="152">
        <f t="shared" si="23"/>
        <v>0</v>
      </c>
      <c r="I135" s="280" t="s">
        <v>78</v>
      </c>
      <c r="J135" s="158" t="e">
        <f>IF(J131=0,C141,INDEX(C141:H141,1,MATCH(J131,$C$4:$H$4,0)))</f>
        <v>#N/A</v>
      </c>
    </row>
    <row r="136" spans="1:17">
      <c r="C136" s="171">
        <f t="shared" ref="C136:H136" si="25">SUM(C131:C135)</f>
        <v>0</v>
      </c>
      <c r="D136" s="171">
        <f t="shared" si="25"/>
        <v>0</v>
      </c>
      <c r="E136" s="171">
        <f t="shared" si="25"/>
        <v>0</v>
      </c>
      <c r="F136" s="171">
        <f t="shared" si="25"/>
        <v>0</v>
      </c>
      <c r="G136" s="171">
        <f t="shared" si="25"/>
        <v>0</v>
      </c>
      <c r="H136" s="171">
        <f t="shared" si="25"/>
        <v>0</v>
      </c>
      <c r="I136" s="280" t="s">
        <v>79</v>
      </c>
      <c r="J136" s="158" t="e">
        <f>IF(J131=0,C142,INDEX(C142:H142,1,MATCH(J131,$C$4:$H$4,0)))</f>
        <v>#N/A</v>
      </c>
      <c r="K136" s="140" t="e">
        <f>SUM(J132:J136)</f>
        <v>#N/A</v>
      </c>
    </row>
    <row r="137" spans="1:17">
      <c r="A137" s="172" t="s">
        <v>99</v>
      </c>
      <c r="J137" s="124" t="s">
        <v>612</v>
      </c>
      <c r="K137" s="124" t="s">
        <v>199</v>
      </c>
    </row>
    <row r="138" spans="1:17">
      <c r="A138" s="124" t="s">
        <v>67</v>
      </c>
      <c r="C138" s="152">
        <v>0</v>
      </c>
      <c r="D138" s="152">
        <f>D131-C131</f>
        <v>0</v>
      </c>
      <c r="E138" s="152">
        <f>E131-C131</f>
        <v>0</v>
      </c>
      <c r="F138" s="152">
        <f>F131-C131</f>
        <v>0</v>
      </c>
      <c r="G138" s="174">
        <f>F138</f>
        <v>0</v>
      </c>
      <c r="H138" s="174">
        <f t="shared" ref="H138:H140" si="26">G138</f>
        <v>0</v>
      </c>
      <c r="J138" s="173" t="e">
        <f>DATA!$N$45</f>
        <v>#N/A</v>
      </c>
      <c r="K138" s="158" t="e">
        <f>K131</f>
        <v>#N/A</v>
      </c>
    </row>
    <row r="139" spans="1:17">
      <c r="A139" s="175" t="s">
        <v>68</v>
      </c>
      <c r="C139" s="152">
        <v>0</v>
      </c>
      <c r="D139" s="152">
        <f>D132-C132</f>
        <v>0</v>
      </c>
      <c r="E139" s="152">
        <f>E132-C132</f>
        <v>0</v>
      </c>
      <c r="F139" s="152">
        <f>F132-C132</f>
        <v>0</v>
      </c>
      <c r="G139" s="174">
        <f>F139</f>
        <v>0</v>
      </c>
      <c r="H139" s="174">
        <f t="shared" si="26"/>
        <v>0</v>
      </c>
      <c r="I139" s="280" t="s">
        <v>75</v>
      </c>
      <c r="J139" s="158" t="e">
        <f>J132-J125</f>
        <v>#N/A</v>
      </c>
    </row>
    <row r="140" spans="1:17">
      <c r="A140" s="124" t="s">
        <v>69</v>
      </c>
      <c r="C140" s="152">
        <v>0</v>
      </c>
      <c r="D140" s="152">
        <f>D133-C133</f>
        <v>0</v>
      </c>
      <c r="E140" s="152">
        <f>E133-C133</f>
        <v>0</v>
      </c>
      <c r="F140" s="152">
        <f>F133-C133</f>
        <v>0</v>
      </c>
      <c r="G140" s="174">
        <f>F140</f>
        <v>0</v>
      </c>
      <c r="H140" s="174">
        <f t="shared" si="26"/>
        <v>0</v>
      </c>
      <c r="I140" s="280" t="s">
        <v>76</v>
      </c>
      <c r="J140" s="158" t="e">
        <f t="shared" ref="J140:J143" si="27">J133-J126</f>
        <v>#N/A</v>
      </c>
    </row>
    <row r="141" spans="1:17">
      <c r="A141" s="124" t="s">
        <v>70</v>
      </c>
      <c r="C141" s="152">
        <v>0</v>
      </c>
      <c r="D141" s="152">
        <f>D134-C134</f>
        <v>0</v>
      </c>
      <c r="E141" s="152">
        <f>E134-C134</f>
        <v>0</v>
      </c>
      <c r="F141" s="152">
        <f>F134-C134</f>
        <v>0</v>
      </c>
      <c r="G141" s="152">
        <f>G134-C134</f>
        <v>0</v>
      </c>
      <c r="H141" s="152">
        <f>H134-C134</f>
        <v>0</v>
      </c>
      <c r="I141" s="280" t="s">
        <v>77</v>
      </c>
      <c r="J141" s="158" t="e">
        <f t="shared" si="27"/>
        <v>#N/A</v>
      </c>
    </row>
    <row r="142" spans="1:17">
      <c r="A142" s="124" t="s">
        <v>71</v>
      </c>
      <c r="C142" s="152">
        <v>0</v>
      </c>
      <c r="D142" s="152">
        <f>D135-C135</f>
        <v>0</v>
      </c>
      <c r="E142" s="152">
        <f>E135-C135</f>
        <v>0</v>
      </c>
      <c r="F142" s="152">
        <f>F135-C135</f>
        <v>0</v>
      </c>
      <c r="G142" s="152">
        <f>G135-C135</f>
        <v>0</v>
      </c>
      <c r="H142" s="152">
        <f>H135-C135</f>
        <v>0</v>
      </c>
      <c r="I142" s="280" t="s">
        <v>78</v>
      </c>
      <c r="J142" s="158" t="e">
        <f t="shared" si="27"/>
        <v>#N/A</v>
      </c>
    </row>
    <row r="143" spans="1:17">
      <c r="I143" s="280" t="s">
        <v>79</v>
      </c>
      <c r="J143" s="158" t="e">
        <f t="shared" si="27"/>
        <v>#N/A</v>
      </c>
      <c r="K143" s="140" t="e">
        <f>SUM(J139:J143)</f>
        <v>#N/A</v>
      </c>
    </row>
    <row r="145" spans="1:16" ht="55.5" customHeight="1">
      <c r="A145" s="275" t="str">
        <f>'ADJ-1'!A104</f>
        <v>Other:</v>
      </c>
      <c r="B145" s="275"/>
      <c r="C145" s="265"/>
      <c r="D145" s="269">
        <f>'ADJ-1'!A116</f>
        <v>0</v>
      </c>
      <c r="E145" s="270">
        <f>'ADJ-2'!A116</f>
        <v>0</v>
      </c>
      <c r="F145" s="270">
        <f>'ADJ-3'!A116</f>
        <v>0</v>
      </c>
      <c r="G145" s="270">
        <f>'ADJ-4'!A116</f>
        <v>0</v>
      </c>
      <c r="H145" s="270">
        <f>'ADJ-5'!A116</f>
        <v>0</v>
      </c>
      <c r="L145" s="159"/>
      <c r="M145" s="134"/>
      <c r="N145" s="134"/>
      <c r="O145" s="134"/>
      <c r="P145" s="134"/>
    </row>
    <row r="146" spans="1:16">
      <c r="I146" s="168"/>
      <c r="J146" s="124" t="s">
        <v>610</v>
      </c>
      <c r="K146" s="124" t="s">
        <v>199</v>
      </c>
      <c r="L146" s="159"/>
      <c r="M146" s="134"/>
      <c r="N146" s="134"/>
      <c r="O146" s="134"/>
      <c r="P146" s="134"/>
    </row>
    <row r="147" spans="1:16">
      <c r="A147" s="124" t="s">
        <v>177</v>
      </c>
      <c r="C147" s="152">
        <f>'SUMMARY TENDERED FEE'!B23</f>
        <v>0</v>
      </c>
      <c r="D147" s="158">
        <f>'ADJ-1'!B105</f>
        <v>0</v>
      </c>
      <c r="E147" s="139">
        <f>'ADJ-2'!B105</f>
        <v>0</v>
      </c>
      <c r="F147" s="139">
        <f>'ADJ-3'!B105</f>
        <v>0</v>
      </c>
      <c r="G147" s="139">
        <f>'ADJ-4'!B105</f>
        <v>0</v>
      </c>
      <c r="H147" s="139">
        <f>'ADJ-5'!B105</f>
        <v>0</v>
      </c>
      <c r="I147" s="140"/>
      <c r="J147" s="173" t="e">
        <f>DATA!$N$44</f>
        <v>#N/A</v>
      </c>
      <c r="K147" s="158" t="e">
        <f>IF(J147=0,C147,INDEX(C150:H150,1,MATCH(J147,$C$4:$H$4,0)))</f>
        <v>#N/A</v>
      </c>
      <c r="L147" s="159"/>
      <c r="M147" s="134"/>
      <c r="N147" s="134"/>
      <c r="O147" s="134"/>
      <c r="P147" s="134"/>
    </row>
    <row r="148" spans="1:16">
      <c r="A148" s="124" t="s">
        <v>178</v>
      </c>
      <c r="C148" s="152">
        <f>'SUMMARY TENDERED FEE'!C23</f>
        <v>0</v>
      </c>
      <c r="D148" s="158">
        <f>'ADJ-1'!B106</f>
        <v>0</v>
      </c>
      <c r="E148" s="139">
        <f>'ADJ-2'!B106</f>
        <v>0</v>
      </c>
      <c r="F148" s="139">
        <f>'ADJ-3'!B106</f>
        <v>0</v>
      </c>
      <c r="G148" s="139">
        <f>'ADJ-4'!B106</f>
        <v>0</v>
      </c>
      <c r="H148" s="139">
        <f>'ADJ-5'!B106</f>
        <v>0</v>
      </c>
      <c r="I148" s="743" t="s">
        <v>75</v>
      </c>
      <c r="J148" s="158" t="e">
        <f>IF(J147=0,C161,INDEX(C161:H161,1,MATCH(J147,$C$4:$H$4,0)))</f>
        <v>#N/A</v>
      </c>
      <c r="L148" s="159"/>
      <c r="M148" s="134"/>
      <c r="N148" s="134"/>
      <c r="O148" s="134"/>
      <c r="P148" s="134"/>
    </row>
    <row r="149" spans="1:16">
      <c r="A149" s="124" t="s">
        <v>179</v>
      </c>
      <c r="C149" s="166">
        <f>'SUMMARY TENDERED FEE'!D23</f>
        <v>0</v>
      </c>
      <c r="D149" s="153">
        <f>'ADJ-1'!B107</f>
        <v>0</v>
      </c>
      <c r="E149" s="167">
        <f>'ADJ-2'!B107</f>
        <v>0</v>
      </c>
      <c r="F149" s="167">
        <f>'ADJ-3'!B107</f>
        <v>0</v>
      </c>
      <c r="G149" s="167">
        <f>'ADJ-4'!B107</f>
        <v>0</v>
      </c>
      <c r="H149" s="167">
        <f>'ADJ-5'!B107</f>
        <v>0</v>
      </c>
      <c r="I149" s="744" t="s">
        <v>76</v>
      </c>
      <c r="J149" s="158" t="e">
        <f>IF(J147=0,C162,INDEX(C162:H162,1,MATCH(J147,$C$4:$H$4,0)))</f>
        <v>#N/A</v>
      </c>
      <c r="L149" s="159"/>
      <c r="M149" s="134"/>
      <c r="N149" s="134"/>
      <c r="O149" s="134"/>
      <c r="P149" s="134"/>
    </row>
    <row r="150" spans="1:16">
      <c r="A150" s="124" t="s">
        <v>180</v>
      </c>
      <c r="C150" s="140">
        <f>C147</f>
        <v>0</v>
      </c>
      <c r="D150" s="158">
        <f>'ADJ-1'!B108</f>
        <v>0</v>
      </c>
      <c r="E150" s="139">
        <f>'ADJ-2'!B108</f>
        <v>0</v>
      </c>
      <c r="F150" s="139">
        <f>'ADJ-3'!B108</f>
        <v>0</v>
      </c>
      <c r="G150" s="139">
        <f>'ADJ-4'!B108</f>
        <v>0</v>
      </c>
      <c r="H150" s="139">
        <f>'ADJ-5'!B108</f>
        <v>0</v>
      </c>
      <c r="I150" s="280" t="s">
        <v>77</v>
      </c>
      <c r="J150" s="158" t="e">
        <f>IF(J147=0,C163,INDEX(C163:H163,1,MATCH(J147,$C$4:$H$4,0)))</f>
        <v>#N/A</v>
      </c>
      <c r="L150" s="159"/>
      <c r="M150" s="134"/>
      <c r="N150" s="134"/>
      <c r="O150" s="134"/>
      <c r="P150" s="134"/>
    </row>
    <row r="151" spans="1:16">
      <c r="A151" s="124" t="s">
        <v>181</v>
      </c>
      <c r="D151" s="169">
        <f>'ADJ-1'!B109</f>
        <v>1</v>
      </c>
      <c r="E151" s="169">
        <f>'ADJ-2'!B109</f>
        <v>1</v>
      </c>
      <c r="F151" s="169">
        <f>'ADJ-3'!B109</f>
        <v>1</v>
      </c>
      <c r="G151" s="169">
        <f>'ADJ-4'!B109</f>
        <v>1</v>
      </c>
      <c r="H151" s="169">
        <f>'ADJ-5'!B109</f>
        <v>1</v>
      </c>
      <c r="I151" s="280" t="s">
        <v>78</v>
      </c>
      <c r="J151" s="158" t="e">
        <f>IF(J147=0,C164,INDEX(C164:H164,1,MATCH(J147,$C$4:$H$4,0)))</f>
        <v>#N/A</v>
      </c>
      <c r="L151" s="159"/>
      <c r="M151" s="134"/>
      <c r="N151" s="134"/>
      <c r="O151" s="134"/>
      <c r="P151" s="134"/>
    </row>
    <row r="152" spans="1:16">
      <c r="A152" s="124" t="s">
        <v>182</v>
      </c>
      <c r="D152" s="158">
        <f>'ADJ-1'!B111</f>
        <v>0</v>
      </c>
      <c r="E152" s="139">
        <f>'ADJ-2'!B111</f>
        <v>0</v>
      </c>
      <c r="F152" s="139">
        <f>'ADJ-3'!B111</f>
        <v>0</v>
      </c>
      <c r="G152" s="139">
        <f>'ADJ-4'!B111</f>
        <v>0</v>
      </c>
      <c r="H152" s="139">
        <f>'ADJ-5'!B111</f>
        <v>0</v>
      </c>
      <c r="I152" s="280" t="s">
        <v>79</v>
      </c>
      <c r="J152" s="158" t="e">
        <f>IF(J147=0,C165,INDEX(C165:H165,1,MATCH(J147,$C$4:$H$4,0)))</f>
        <v>#N/A</v>
      </c>
      <c r="K152" s="140" t="e">
        <f>SUM(J148:J152)</f>
        <v>#N/A</v>
      </c>
      <c r="L152" s="159"/>
      <c r="M152" s="134"/>
      <c r="N152" s="134"/>
      <c r="O152" s="134"/>
      <c r="P152" s="134"/>
    </row>
    <row r="153" spans="1:16">
      <c r="C153" s="170"/>
      <c r="D153" s="170"/>
      <c r="J153" s="124" t="s">
        <v>198</v>
      </c>
      <c r="K153" s="124" t="s">
        <v>199</v>
      </c>
      <c r="L153" s="159"/>
      <c r="M153" s="134"/>
      <c r="N153" s="134"/>
      <c r="O153" s="134"/>
      <c r="P153" s="134"/>
    </row>
    <row r="154" spans="1:16">
      <c r="A154" s="124" t="s">
        <v>67</v>
      </c>
      <c r="B154" s="127">
        <f>'SUMMARY TENDERED FEE'!E13</f>
        <v>0</v>
      </c>
      <c r="C154" s="158">
        <f>'SUMMARY TENDERED FEE'!E23</f>
        <v>0</v>
      </c>
      <c r="D154" s="152">
        <f>$B154*D$152</f>
        <v>0</v>
      </c>
      <c r="E154" s="152">
        <f t="shared" ref="E154:H158" si="28">$B154*E$152</f>
        <v>0</v>
      </c>
      <c r="F154" s="152">
        <f t="shared" si="28"/>
        <v>0</v>
      </c>
      <c r="G154" s="152">
        <f t="shared" si="28"/>
        <v>0</v>
      </c>
      <c r="H154" s="152">
        <f t="shared" si="28"/>
        <v>0</v>
      </c>
      <c r="J154" s="173" t="e">
        <f>DATA!$N$45</f>
        <v>#N/A</v>
      </c>
      <c r="K154" s="158" t="e">
        <f>IF(J154=0,C147,INDEX(C150:H150,1,MATCH(J154,$C$4:$H$4,0)))</f>
        <v>#N/A</v>
      </c>
      <c r="L154" s="159"/>
      <c r="M154" s="134"/>
      <c r="N154" s="134"/>
      <c r="O154" s="134"/>
      <c r="P154" s="134"/>
    </row>
    <row r="155" spans="1:16">
      <c r="A155" s="124" t="s">
        <v>68</v>
      </c>
      <c r="B155" s="127">
        <f>'SUMMARY TENDERED FEE'!F13</f>
        <v>0</v>
      </c>
      <c r="C155" s="158">
        <f>'SUMMARY TENDERED FEE'!F23</f>
        <v>0</v>
      </c>
      <c r="D155" s="152">
        <f t="shared" ref="D155:D158" si="29">$B155*D$152</f>
        <v>0</v>
      </c>
      <c r="E155" s="152">
        <f t="shared" si="28"/>
        <v>0</v>
      </c>
      <c r="F155" s="152">
        <f t="shared" si="28"/>
        <v>0</v>
      </c>
      <c r="G155" s="152">
        <f t="shared" si="28"/>
        <v>0</v>
      </c>
      <c r="H155" s="152">
        <f t="shared" si="28"/>
        <v>0</v>
      </c>
      <c r="I155" s="280" t="s">
        <v>75</v>
      </c>
      <c r="J155" s="158" t="e">
        <f>IF(J154=0,C161,INDEX(C161:H161,1,MATCH(J154,$C$4:$H$4,0)))</f>
        <v>#N/A</v>
      </c>
      <c r="L155" s="159"/>
      <c r="M155" s="134"/>
      <c r="N155" s="134"/>
      <c r="O155" s="134"/>
      <c r="P155" s="134"/>
    </row>
    <row r="156" spans="1:16">
      <c r="A156" s="124" t="s">
        <v>69</v>
      </c>
      <c r="B156" s="127">
        <f>'SUMMARY TENDERED FEE'!G13</f>
        <v>0</v>
      </c>
      <c r="C156" s="158">
        <f>'SUMMARY TENDERED FEE'!G23</f>
        <v>0</v>
      </c>
      <c r="D156" s="152">
        <f t="shared" si="29"/>
        <v>0</v>
      </c>
      <c r="E156" s="152">
        <f t="shared" si="28"/>
        <v>0</v>
      </c>
      <c r="F156" s="152">
        <f t="shared" si="28"/>
        <v>0</v>
      </c>
      <c r="G156" s="152">
        <f t="shared" si="28"/>
        <v>0</v>
      </c>
      <c r="H156" s="152">
        <f t="shared" si="28"/>
        <v>0</v>
      </c>
      <c r="I156" s="280" t="s">
        <v>76</v>
      </c>
      <c r="J156" s="158" t="e">
        <f>IF(J154=0,C162,INDEX(C162:H162,1,MATCH(J154,$C$4:$H$4,0)))</f>
        <v>#N/A</v>
      </c>
    </row>
    <row r="157" spans="1:16">
      <c r="A157" s="124" t="s">
        <v>70</v>
      </c>
      <c r="B157" s="127">
        <f>'SUMMARY TENDERED FEE'!H13</f>
        <v>0</v>
      </c>
      <c r="C157" s="158">
        <f>'SUMMARY TENDERED FEE'!H23</f>
        <v>0</v>
      </c>
      <c r="D157" s="152">
        <f t="shared" si="29"/>
        <v>0</v>
      </c>
      <c r="E157" s="152">
        <f t="shared" si="28"/>
        <v>0</v>
      </c>
      <c r="F157" s="152">
        <f t="shared" si="28"/>
        <v>0</v>
      </c>
      <c r="G157" s="152">
        <f t="shared" si="28"/>
        <v>0</v>
      </c>
      <c r="H157" s="152">
        <f t="shared" si="28"/>
        <v>0</v>
      </c>
      <c r="I157" s="280" t="s">
        <v>77</v>
      </c>
      <c r="J157" s="158" t="e">
        <f>IF(J154=0,C163,INDEX(C163:H163,1,MATCH(J154,$C$4:$H$4,0)))</f>
        <v>#N/A</v>
      </c>
    </row>
    <row r="158" spans="1:16">
      <c r="A158" s="124" t="s">
        <v>71</v>
      </c>
      <c r="B158" s="127">
        <f>'SUMMARY TENDERED FEE'!I13</f>
        <v>0</v>
      </c>
      <c r="C158" s="158">
        <f>'SUMMARY TENDERED FEE'!I23</f>
        <v>0</v>
      </c>
      <c r="D158" s="152">
        <f t="shared" si="29"/>
        <v>0</v>
      </c>
      <c r="E158" s="152">
        <f t="shared" si="28"/>
        <v>0</v>
      </c>
      <c r="F158" s="152">
        <f t="shared" si="28"/>
        <v>0</v>
      </c>
      <c r="G158" s="152">
        <f t="shared" si="28"/>
        <v>0</v>
      </c>
      <c r="H158" s="152">
        <f t="shared" si="28"/>
        <v>0</v>
      </c>
      <c r="I158" s="280" t="s">
        <v>78</v>
      </c>
      <c r="J158" s="158" t="e">
        <f>IF(J154=0,C164,INDEX(C164:H164,1,MATCH(J154,$C$4:$H$4,0)))</f>
        <v>#N/A</v>
      </c>
    </row>
    <row r="159" spans="1:16">
      <c r="C159" s="171">
        <f t="shared" ref="C159:H159" si="30">SUM(C154:C158)</f>
        <v>0</v>
      </c>
      <c r="D159" s="171">
        <f t="shared" si="30"/>
        <v>0</v>
      </c>
      <c r="E159" s="171">
        <f t="shared" si="30"/>
        <v>0</v>
      </c>
      <c r="F159" s="171">
        <f t="shared" si="30"/>
        <v>0</v>
      </c>
      <c r="G159" s="171">
        <f t="shared" si="30"/>
        <v>0</v>
      </c>
      <c r="H159" s="171">
        <f t="shared" si="30"/>
        <v>0</v>
      </c>
      <c r="I159" s="280" t="s">
        <v>79</v>
      </c>
      <c r="J159" s="158" t="e">
        <f>IF(J154=0,C165,INDEX(C165:H165,1,MATCH(J154,$C$4:$H$4,0)))</f>
        <v>#N/A</v>
      </c>
      <c r="K159" s="140" t="e">
        <f>SUM(J155:J159)</f>
        <v>#N/A</v>
      </c>
    </row>
    <row r="160" spans="1:16">
      <c r="A160" s="172" t="s">
        <v>99</v>
      </c>
      <c r="J160" s="124" t="s">
        <v>612</v>
      </c>
      <c r="K160" s="124" t="s">
        <v>199</v>
      </c>
    </row>
    <row r="161" spans="1:11">
      <c r="A161" s="124" t="s">
        <v>67</v>
      </c>
      <c r="C161" s="152">
        <v>0</v>
      </c>
      <c r="D161" s="152">
        <f>D154-C154</f>
        <v>0</v>
      </c>
      <c r="E161" s="152">
        <f>E154-C154</f>
        <v>0</v>
      </c>
      <c r="F161" s="152">
        <f>F154-C154</f>
        <v>0</v>
      </c>
      <c r="G161" s="174">
        <f>F161</f>
        <v>0</v>
      </c>
      <c r="H161" s="174">
        <f t="shared" ref="H161:H163" si="31">G161</f>
        <v>0</v>
      </c>
      <c r="J161" s="173" t="e">
        <f>DATA!$N$45</f>
        <v>#N/A</v>
      </c>
      <c r="K161" s="158" t="e">
        <f>K154</f>
        <v>#N/A</v>
      </c>
    </row>
    <row r="162" spans="1:11">
      <c r="A162" s="175" t="s">
        <v>68</v>
      </c>
      <c r="C162" s="152">
        <v>0</v>
      </c>
      <c r="D162" s="152">
        <f>D155-C155</f>
        <v>0</v>
      </c>
      <c r="E162" s="152">
        <f>E155-C155</f>
        <v>0</v>
      </c>
      <c r="F162" s="152">
        <f>F155-C155</f>
        <v>0</v>
      </c>
      <c r="G162" s="174">
        <f>F162</f>
        <v>0</v>
      </c>
      <c r="H162" s="174">
        <f t="shared" si="31"/>
        <v>0</v>
      </c>
      <c r="I162" s="280" t="s">
        <v>75</v>
      </c>
      <c r="J162" s="158" t="e">
        <f>J155-J148</f>
        <v>#N/A</v>
      </c>
    </row>
    <row r="163" spans="1:11">
      <c r="A163" s="124" t="s">
        <v>69</v>
      </c>
      <c r="C163" s="152">
        <v>0</v>
      </c>
      <c r="D163" s="152">
        <f>D156-C156</f>
        <v>0</v>
      </c>
      <c r="E163" s="152">
        <f>E156-C156</f>
        <v>0</v>
      </c>
      <c r="F163" s="152">
        <f>F156-C156</f>
        <v>0</v>
      </c>
      <c r="G163" s="174">
        <f>F163</f>
        <v>0</v>
      </c>
      <c r="H163" s="174">
        <f t="shared" si="31"/>
        <v>0</v>
      </c>
      <c r="I163" s="280" t="s">
        <v>76</v>
      </c>
      <c r="J163" s="158" t="e">
        <f t="shared" ref="J163:J166" si="32">J156-J149</f>
        <v>#N/A</v>
      </c>
    </row>
    <row r="164" spans="1:11">
      <c r="A164" s="124" t="s">
        <v>70</v>
      </c>
      <c r="C164" s="152">
        <v>0</v>
      </c>
      <c r="D164" s="152">
        <f>D157-C157</f>
        <v>0</v>
      </c>
      <c r="E164" s="152">
        <f>E157-C157</f>
        <v>0</v>
      </c>
      <c r="F164" s="152">
        <f>F157-C157</f>
        <v>0</v>
      </c>
      <c r="G164" s="152">
        <f>G157-C157</f>
        <v>0</v>
      </c>
      <c r="H164" s="152">
        <f>H157-C157</f>
        <v>0</v>
      </c>
      <c r="I164" s="280" t="s">
        <v>77</v>
      </c>
      <c r="J164" s="158" t="e">
        <f t="shared" si="32"/>
        <v>#N/A</v>
      </c>
    </row>
    <row r="165" spans="1:11">
      <c r="A165" s="124" t="s">
        <v>71</v>
      </c>
      <c r="C165" s="152">
        <v>0</v>
      </c>
      <c r="D165" s="152">
        <f>D158-C158</f>
        <v>0</v>
      </c>
      <c r="E165" s="152">
        <f>E158-C158</f>
        <v>0</v>
      </c>
      <c r="F165" s="152">
        <f>F158-C158</f>
        <v>0</v>
      </c>
      <c r="G165" s="152">
        <f>G158-C158</f>
        <v>0</v>
      </c>
      <c r="H165" s="152">
        <f>H158-C158</f>
        <v>0</v>
      </c>
      <c r="I165" s="280" t="s">
        <v>78</v>
      </c>
      <c r="J165" s="158" t="e">
        <f t="shared" si="32"/>
        <v>#N/A</v>
      </c>
    </row>
    <row r="166" spans="1:11">
      <c r="I166" s="280" t="s">
        <v>79</v>
      </c>
      <c r="J166" s="158" t="e">
        <f t="shared" si="32"/>
        <v>#N/A</v>
      </c>
      <c r="K166" s="140" t="e">
        <f>SUM(J162:J166)</f>
        <v>#N/A</v>
      </c>
    </row>
  </sheetData>
  <sheetProtection password="CAB3" sheet="1" objects="1" scenarios="1"/>
  <mergeCells count="1">
    <mergeCell ref="C1:H1"/>
  </mergeCells>
  <conditionalFormatting sqref="H6:H165 D4:H4">
    <cfRule type="expression" dxfId="2318" priority="13">
      <formula>IF($H$4=0,TRUE,Flase)</formula>
    </cfRule>
  </conditionalFormatting>
  <conditionalFormatting sqref="G4 G6:G165">
    <cfRule type="expression" dxfId="2317" priority="12">
      <formula>IF($G$4=0,TRUE,FALSE)</formula>
    </cfRule>
  </conditionalFormatting>
  <conditionalFormatting sqref="F4 F6:F165">
    <cfRule type="expression" dxfId="2316" priority="11">
      <formula>IF($F$4=0,TRUE,FALSE)</formula>
    </cfRule>
  </conditionalFormatting>
  <conditionalFormatting sqref="E4 E6:E165">
    <cfRule type="expression" dxfId="2315" priority="10">
      <formula>IF($E$4=0,TRUE,FALSE)</formula>
    </cfRule>
  </conditionalFormatting>
  <conditionalFormatting sqref="D6:D165 C4:D4 C22:C26 C45:C49 C69:C73 C92:C96 C115:C119 C138:C142 C161:C165">
    <cfRule type="expression" dxfId="2314" priority="9">
      <formula>IF($D$4=0,TRUE,FALSE)</formula>
    </cfRule>
  </conditionalFormatting>
  <dataValidations count="1">
    <dataValidation type="whole" allowBlank="1" showInputMessage="1" showErrorMessage="1" errorTitle="Month" error="Month value must be input as a number between 1 and 12" sqref="K16 K9 K125 K139 K79 K56 K32 K93 K102 K116 K23 K46 K70 K39 K63 K86 K109 K132 K155 K148 K162" xr:uid="{00000000-0002-0000-2600-000000000000}">
      <formula1>0</formula1>
      <formula2>12</formula2>
    </dataValidation>
  </dataValidations>
  <pageMargins left="0.31496062992125984" right="0.15748031496062992" top="0.3" bottom="0.2" header="0.17" footer="0.15748031496062992"/>
  <pageSetup paperSize="9" scale="67" fitToHeight="0" orientation="landscape" r:id="rId1"/>
  <headerFooter>
    <oddHeader>&amp;L&amp;"Calibri"&amp;10&amp;K000000Sensitivity - General&amp;1#</oddHeader>
  </headerFooter>
  <rowBreaks count="2" manualBreakCount="2">
    <brk id="97" max="16383" man="1"/>
    <brk id="143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9">
    <tabColor rgb="FF7030A0"/>
    <pageSetUpPr fitToPage="1"/>
  </sheetPr>
  <dimension ref="A1:BQ318"/>
  <sheetViews>
    <sheetView workbookViewId="0">
      <selection activeCell="B15" sqref="B15"/>
    </sheetView>
  </sheetViews>
  <sheetFormatPr defaultRowHeight="15"/>
  <cols>
    <col min="1" max="1" width="24" bestFit="1" customWidth="1"/>
    <col min="2" max="2" width="21.28515625" customWidth="1"/>
    <col min="3" max="6" width="6.7109375" customWidth="1"/>
    <col min="7" max="7" width="16" customWidth="1"/>
    <col min="9" max="9" width="15.5703125" bestFit="1" customWidth="1"/>
    <col min="10" max="10" width="14" bestFit="1" customWidth="1"/>
    <col min="11" max="11" width="16" bestFit="1" customWidth="1"/>
    <col min="12" max="12" width="19.5703125" customWidth="1"/>
    <col min="13" max="16" width="15" bestFit="1" customWidth="1"/>
    <col min="17" max="17" width="18.140625" bestFit="1" customWidth="1"/>
    <col min="18" max="18" width="7.85546875" bestFit="1" customWidth="1"/>
    <col min="19" max="19" width="15" bestFit="1" customWidth="1"/>
    <col min="21" max="21" width="17.42578125" bestFit="1" customWidth="1"/>
    <col min="22" max="22" width="23.85546875" customWidth="1"/>
    <col min="23" max="24" width="15" bestFit="1" customWidth="1"/>
    <col min="25" max="25" width="17.42578125" bestFit="1" customWidth="1"/>
    <col min="26" max="26" width="16" bestFit="1" customWidth="1"/>
    <col min="27" max="27" width="18.14062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4062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40625" bestFit="1" customWidth="1"/>
    <col min="48" max="48" width="7.85546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4062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40625" bestFit="1" customWidth="1"/>
    <col min="69" max="69" width="15" bestFit="1" customWidth="1"/>
  </cols>
  <sheetData>
    <row r="1" spans="1:11" ht="15" customHeight="1">
      <c r="A1" s="263" t="str">
        <f>DATA!$C$1004</f>
        <v>NRA.N.011-050-2012/1F</v>
      </c>
      <c r="C1" s="1612" t="str">
        <f>DATA!$C$1005</f>
        <v>CONSULTING ENGINEERING SERVICES FOR THE PRELIMINARY DESIGN REVIEW,DETAIL DESIGN, CONTRACT DOCUMENTATION AND CONSTRUCTION MONITORING OF THE ERMELO RING ROAD</v>
      </c>
      <c r="D1" s="1612"/>
      <c r="E1" s="1612"/>
      <c r="F1" s="1612"/>
      <c r="G1" s="1612"/>
      <c r="H1" s="1612"/>
      <c r="I1" s="1612"/>
      <c r="J1" s="1612"/>
    </row>
    <row r="2" spans="1:11">
      <c r="C2" s="1612"/>
      <c r="D2" s="1612"/>
      <c r="E2" s="1612"/>
      <c r="F2" s="1612"/>
      <c r="G2" s="1612"/>
      <c r="H2" s="1612"/>
      <c r="I2" s="1612"/>
      <c r="J2" s="1612"/>
    </row>
    <row r="3" spans="1:11">
      <c r="A3" s="232" t="str">
        <f>'All Hours'!$D$1</f>
        <v>PLEASE INSERT TENDERER NAME ON INPUT DATA SHEET</v>
      </c>
    </row>
    <row r="4" spans="1:11">
      <c r="A4" s="1" t="s">
        <v>169</v>
      </c>
      <c r="C4" t="s">
        <v>170</v>
      </c>
    </row>
    <row r="6" spans="1:11">
      <c r="D6" s="124" t="s">
        <v>171</v>
      </c>
      <c r="E6" s="124" t="s">
        <v>172</v>
      </c>
      <c r="F6" s="124" t="s">
        <v>173</v>
      </c>
      <c r="I6" s="144" t="s">
        <v>174</v>
      </c>
    </row>
    <row r="7" spans="1:11">
      <c r="C7" s="125" t="s">
        <v>175</v>
      </c>
      <c r="D7" s="909"/>
      <c r="E7" s="909"/>
      <c r="F7" s="909"/>
      <c r="I7" s="695">
        <f>IF(OR(D7=0,E7=0,F7=0),0,DATEVALUE(F7 &amp; "/" &amp; E7 &amp; "/" &amp;D7))</f>
        <v>0</v>
      </c>
      <c r="K7" t="s">
        <v>176</v>
      </c>
    </row>
    <row r="8" spans="1:11">
      <c r="A8" s="1" t="str">
        <f>DATA!B1010</f>
        <v>Road works</v>
      </c>
    </row>
    <row r="9" spans="1:11">
      <c r="A9" s="124" t="s">
        <v>177</v>
      </c>
      <c r="B9" s="152">
        <f>DATA!$J$1010</f>
        <v>4500000000</v>
      </c>
      <c r="C9" s="140"/>
      <c r="D9" s="140"/>
      <c r="E9" s="140"/>
      <c r="F9" s="140"/>
      <c r="G9" s="140"/>
    </row>
    <row r="10" spans="1:11">
      <c r="A10" s="124" t="s">
        <v>178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1">
      <c r="A11" s="124" t="s">
        <v>807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1">
      <c r="A12" s="124" t="s">
        <v>180</v>
      </c>
      <c r="B12" s="908"/>
    </row>
    <row r="13" spans="1:11">
      <c r="A13" s="124" t="s">
        <v>181</v>
      </c>
      <c r="B13" s="124">
        <f>IF(B12&lt;B9*DATA!$H$1037,DATA!$H$1037,IF(B12&gt;DATA!$H$1036*B9,DATA!$H$1036,1))</f>
        <v>0.8</v>
      </c>
      <c r="C13" s="134"/>
      <c r="D13" s="134"/>
      <c r="E13" s="134"/>
      <c r="F13" s="134"/>
      <c r="G13" s="134"/>
    </row>
    <row r="14" spans="1:11">
      <c r="A14" s="124" t="s">
        <v>804</v>
      </c>
      <c r="B14" s="881">
        <f>IF(OR(B10=0,B9=0),0,B9*(0.261-0.023*LOG10(B9))/B10)</f>
        <v>0</v>
      </c>
    </row>
    <row r="15" spans="1:11">
      <c r="A15" s="124" t="s">
        <v>182</v>
      </c>
      <c r="B15" s="158">
        <f>IF(B12="",0,IF(B13=1,B10,B12*((B10*B14/(B13*B9)+0.023*LOG10(B13*B9/B12)))/B14))</f>
        <v>0</v>
      </c>
    </row>
    <row r="16" spans="1:11">
      <c r="A16" s="124" t="s">
        <v>808</v>
      </c>
      <c r="B16" s="153">
        <f>IF(B12=0,0,(B15/B12))</f>
        <v>0</v>
      </c>
      <c r="D16" s="159"/>
      <c r="E16" s="159"/>
      <c r="F16" s="159"/>
      <c r="G16" s="159"/>
      <c r="H16" s="140"/>
    </row>
    <row r="18" spans="1:10">
      <c r="B18" s="140"/>
    </row>
    <row r="19" spans="1:10">
      <c r="A19" s="129" t="s">
        <v>183</v>
      </c>
      <c r="C19" s="140"/>
      <c r="F19" s="140"/>
      <c r="G19" s="140"/>
    </row>
    <row r="20" spans="1:10">
      <c r="A20" s="1613"/>
      <c r="B20" s="1614"/>
    </row>
    <row r="21" spans="1:10">
      <c r="A21" s="1615"/>
      <c r="B21" s="1616"/>
    </row>
    <row r="22" spans="1:10">
      <c r="A22" s="1617"/>
      <c r="B22" s="1618"/>
    </row>
    <row r="24" spans="1:10">
      <c r="A24" s="1" t="str">
        <f>DATA!B1011</f>
        <v>Structures</v>
      </c>
    </row>
    <row r="25" spans="1:10">
      <c r="A25" s="124" t="s">
        <v>177</v>
      </c>
      <c r="B25" s="152">
        <f>DATA!$J$1011</f>
        <v>300000000</v>
      </c>
    </row>
    <row r="26" spans="1:10">
      <c r="A26" s="124" t="s">
        <v>178</v>
      </c>
      <c r="B26" s="152">
        <f>'SUMMARY TENDERED FEE'!$C$18</f>
        <v>0</v>
      </c>
    </row>
    <row r="27" spans="1:10">
      <c r="A27" s="124" t="s">
        <v>807</v>
      </c>
      <c r="B27" s="166">
        <f>'SUMMARY TENDERED FEE'!$D$18</f>
        <v>0</v>
      </c>
    </row>
    <row r="28" spans="1:10">
      <c r="A28" s="124" t="s">
        <v>180</v>
      </c>
      <c r="B28" s="908"/>
    </row>
    <row r="29" spans="1:10">
      <c r="A29" s="124" t="s">
        <v>181</v>
      </c>
      <c r="B29" s="124">
        <f>IF(B28&lt;B25*DATA!$H$1037,DATA!$H$1037,IF(B28&gt;DATA!$H$1036*B25,DATA!$H$1036,1))</f>
        <v>0.8</v>
      </c>
    </row>
    <row r="30" spans="1:10">
      <c r="A30" s="124" t="s">
        <v>804</v>
      </c>
      <c r="B30" s="881">
        <f>IF(OR(B26=0,B25=0),0,B25*(0.261-0.023*LOG10(B25))/B26)</f>
        <v>0</v>
      </c>
      <c r="J30" s="156"/>
    </row>
    <row r="31" spans="1:10">
      <c r="A31" s="124" t="s">
        <v>182</v>
      </c>
      <c r="B31" s="158">
        <f>IF(B28="",0,IF(B29=1,B26,B28*((B26*B30/(B29*B25)+0.023*LOG10(B29*B25/B28)))/B30))</f>
        <v>0</v>
      </c>
    </row>
    <row r="32" spans="1:10">
      <c r="A32" s="124" t="s">
        <v>808</v>
      </c>
      <c r="B32" s="153">
        <f>IF(B28=0,0,(B31/B28))</f>
        <v>0</v>
      </c>
    </row>
    <row r="33" spans="1:2">
      <c r="B33" s="140"/>
    </row>
    <row r="34" spans="1:2">
      <c r="B34" s="140"/>
    </row>
    <row r="35" spans="1:2">
      <c r="A35" s="129" t="s">
        <v>183</v>
      </c>
      <c r="B35" s="126"/>
    </row>
    <row r="36" spans="1:2">
      <c r="A36" s="1613"/>
      <c r="B36" s="1614"/>
    </row>
    <row r="37" spans="1:2">
      <c r="A37" s="1615"/>
      <c r="B37" s="1616"/>
    </row>
    <row r="38" spans="1:2">
      <c r="A38" s="1617"/>
      <c r="B38" s="1618"/>
    </row>
    <row r="40" spans="1:2">
      <c r="A40" s="1" t="str">
        <f>DATA!B1012</f>
        <v>Electrical</v>
      </c>
    </row>
    <row r="41" spans="1:2">
      <c r="A41" s="124" t="s">
        <v>177</v>
      </c>
      <c r="B41" s="152">
        <f>DATA!$J$1012</f>
        <v>100000000</v>
      </c>
    </row>
    <row r="42" spans="1:2">
      <c r="A42" s="124" t="s">
        <v>178</v>
      </c>
      <c r="B42" s="152">
        <f>'SUMMARY TENDERED FEE'!$C$19</f>
        <v>0</v>
      </c>
    </row>
    <row r="43" spans="1:2">
      <c r="A43" s="124" t="s">
        <v>807</v>
      </c>
      <c r="B43" s="166">
        <f>'SUMMARY TENDERED FEE'!$D$19</f>
        <v>0</v>
      </c>
    </row>
    <row r="44" spans="1:2">
      <c r="A44" s="124" t="s">
        <v>180</v>
      </c>
      <c r="B44" s="908"/>
    </row>
    <row r="45" spans="1:2">
      <c r="A45" s="124" t="s">
        <v>181</v>
      </c>
      <c r="B45" s="124">
        <f>IF(B44&lt;B41*DATA!$H$1037,DATA!$H$1037,IF(B44&gt;DATA!$H$1036*B41,DATA!$H$1036,1))</f>
        <v>0.8</v>
      </c>
    </row>
    <row r="46" spans="1:2">
      <c r="A46" s="124" t="s">
        <v>804</v>
      </c>
      <c r="B46" s="881">
        <f>IF(OR(B42=0,B41=0),0,B41*(0.261-0.023*LOG10(B41))/B42)</f>
        <v>0</v>
      </c>
    </row>
    <row r="47" spans="1:2">
      <c r="A47" s="124" t="s">
        <v>182</v>
      </c>
      <c r="B47" s="158">
        <f>IF(B44="",0,IF(B45=1,B42,B44*((B42*B46/(B45*B41)+0.023*LOG10(B45*B41/B44)))/B46))</f>
        <v>0</v>
      </c>
    </row>
    <row r="48" spans="1:2">
      <c r="A48" s="124" t="s">
        <v>808</v>
      </c>
      <c r="B48" s="153">
        <f>IF(B44=0,0,(B47/B44))</f>
        <v>0</v>
      </c>
    </row>
    <row r="49" spans="1:2">
      <c r="B49" s="140"/>
    </row>
    <row r="50" spans="1:2">
      <c r="B50" s="140"/>
    </row>
    <row r="51" spans="1:2">
      <c r="A51" s="129" t="s">
        <v>183</v>
      </c>
      <c r="B51" s="126"/>
    </row>
    <row r="52" spans="1:2">
      <c r="A52" s="1613"/>
      <c r="B52" s="1614"/>
    </row>
    <row r="53" spans="1:2">
      <c r="A53" s="1615"/>
      <c r="B53" s="1616"/>
    </row>
    <row r="54" spans="1:2">
      <c r="A54" s="1617"/>
      <c r="B54" s="1618"/>
    </row>
    <row r="56" spans="1:2">
      <c r="A56" s="1" t="str">
        <f>DATA!B1013</f>
        <v xml:space="preserve">Building </v>
      </c>
    </row>
    <row r="57" spans="1:2">
      <c r="A57" s="124" t="s">
        <v>177</v>
      </c>
      <c r="B57" s="152">
        <f>DATA!$J$1013</f>
        <v>0</v>
      </c>
    </row>
    <row r="58" spans="1:2">
      <c r="A58" s="124" t="s">
        <v>178</v>
      </c>
      <c r="B58" s="152">
        <f>'SUMMARY TENDERED FEE'!$C$20</f>
        <v>0</v>
      </c>
    </row>
    <row r="59" spans="1:2">
      <c r="A59" s="124" t="s">
        <v>807</v>
      </c>
      <c r="B59" s="166">
        <f>'SUMMARY TENDERED FEE'!$D$20</f>
        <v>0</v>
      </c>
    </row>
    <row r="60" spans="1:2">
      <c r="A60" s="124" t="s">
        <v>180</v>
      </c>
      <c r="B60" s="908"/>
    </row>
    <row r="61" spans="1:2">
      <c r="A61" s="124" t="s">
        <v>181</v>
      </c>
      <c r="B61" s="124">
        <f>IF(B60&lt;B57*DATA!$H$1037,DATA!$H$1037,IF(B60&gt;DATA!$H$1036*B57,DATA!$H$1036,1))</f>
        <v>1</v>
      </c>
    </row>
    <row r="62" spans="1:2">
      <c r="A62" s="124" t="s">
        <v>804</v>
      </c>
      <c r="B62" s="881">
        <f>IF(OR(B58=0,B57=0),0,B57*(0.261-0.023*LOG10(B57))/B58)</f>
        <v>0</v>
      </c>
    </row>
    <row r="63" spans="1:2">
      <c r="A63" s="124" t="s">
        <v>182</v>
      </c>
      <c r="B63" s="158">
        <f>IF(B60="",0,IF(B61=1,B58,B60*((B58*B62/(B61*B57)+0.023*LOG10(B61*B57/B60)))/B62))</f>
        <v>0</v>
      </c>
    </row>
    <row r="64" spans="1:2">
      <c r="A64" s="124" t="s">
        <v>808</v>
      </c>
      <c r="B64" s="153">
        <f>IF(B60=0,0,(B63/B60))</f>
        <v>0</v>
      </c>
    </row>
    <row r="65" spans="1:2">
      <c r="B65" s="140"/>
    </row>
    <row r="66" spans="1:2">
      <c r="B66" s="140"/>
    </row>
    <row r="67" spans="1:2">
      <c r="A67" s="129" t="s">
        <v>183</v>
      </c>
      <c r="B67" s="126"/>
    </row>
    <row r="68" spans="1:2">
      <c r="A68" s="1613"/>
      <c r="B68" s="1614"/>
    </row>
    <row r="69" spans="1:2">
      <c r="A69" s="1615"/>
      <c r="B69" s="1616"/>
    </row>
    <row r="70" spans="1:2">
      <c r="A70" s="1617"/>
      <c r="B70" s="1618"/>
    </row>
    <row r="71" spans="1:2">
      <c r="A71" s="160"/>
      <c r="B71" s="160"/>
    </row>
    <row r="72" spans="1:2">
      <c r="A72" s="1" t="str">
        <f>DATA!B1014</f>
        <v>Mechanical</v>
      </c>
    </row>
    <row r="73" spans="1:2">
      <c r="A73" s="124" t="s">
        <v>177</v>
      </c>
      <c r="B73" s="152">
        <f>DATA!$J$1014</f>
        <v>0</v>
      </c>
    </row>
    <row r="74" spans="1:2">
      <c r="A74" s="124" t="s">
        <v>178</v>
      </c>
      <c r="B74" s="152">
        <f>'SUMMARY TENDERED FEE'!$C$21</f>
        <v>0</v>
      </c>
    </row>
    <row r="75" spans="1:2">
      <c r="A75" s="124" t="s">
        <v>807</v>
      </c>
      <c r="B75" s="166">
        <f>'SUMMARY TENDERED FEE'!$D$21</f>
        <v>0</v>
      </c>
    </row>
    <row r="76" spans="1:2">
      <c r="A76" s="124" t="s">
        <v>180</v>
      </c>
      <c r="B76" s="908"/>
    </row>
    <row r="77" spans="1:2">
      <c r="A77" s="124" t="s">
        <v>181</v>
      </c>
      <c r="B77" s="124">
        <f>IF(B76&lt;B73*DATA!$H$1037,DATA!$H$1037,IF(B76&gt;DATA!$H$1036*B73,DATA!$H$1036,1))</f>
        <v>1</v>
      </c>
    </row>
    <row r="78" spans="1:2">
      <c r="A78" s="124" t="s">
        <v>804</v>
      </c>
      <c r="B78" s="881">
        <f>IF(OR(B74=0,B73=0),0,B73*(0.261-0.023*LOG10(B73))/B74)</f>
        <v>0</v>
      </c>
    </row>
    <row r="79" spans="1:2">
      <c r="A79" s="124" t="s">
        <v>182</v>
      </c>
      <c r="B79" s="158">
        <f>IF(B76="",0,IF(B77=1,B74,B76*((B74*B78/(B77*B73)+0.023*LOG10(B77*B73/B76)))/B78))</f>
        <v>0</v>
      </c>
    </row>
    <row r="80" spans="1:2">
      <c r="A80" s="124" t="s">
        <v>808</v>
      </c>
      <c r="B80" s="153">
        <f>IF(B76=0,0,(B79/B76))</f>
        <v>0</v>
      </c>
    </row>
    <row r="81" spans="1:2">
      <c r="B81" s="140"/>
    </row>
    <row r="82" spans="1:2">
      <c r="B82" s="140"/>
    </row>
    <row r="83" spans="1:2">
      <c r="A83" s="129" t="s">
        <v>183</v>
      </c>
      <c r="B83" s="126"/>
    </row>
    <row r="84" spans="1:2">
      <c r="A84" s="1613"/>
      <c r="B84" s="1614"/>
    </row>
    <row r="85" spans="1:2">
      <c r="A85" s="1615"/>
      <c r="B85" s="1616"/>
    </row>
    <row r="86" spans="1:2">
      <c r="A86" s="1617"/>
      <c r="B86" s="1618"/>
    </row>
    <row r="88" spans="1:2">
      <c r="A88" s="1" t="str">
        <f>DATA!B1015</f>
        <v>Electronic</v>
      </c>
    </row>
    <row r="89" spans="1:2">
      <c r="A89" s="124" t="s">
        <v>177</v>
      </c>
      <c r="B89" s="152">
        <f>DATA!$J$1015</f>
        <v>0</v>
      </c>
    </row>
    <row r="90" spans="1:2">
      <c r="A90" s="124" t="s">
        <v>178</v>
      </c>
      <c r="B90" s="152">
        <f>'SUMMARY TENDERED FEE'!$C$22</f>
        <v>0</v>
      </c>
    </row>
    <row r="91" spans="1:2">
      <c r="A91" s="124" t="s">
        <v>807</v>
      </c>
      <c r="B91" s="166">
        <f>'SUMMARY TENDERED FEE'!$D$22</f>
        <v>0</v>
      </c>
    </row>
    <row r="92" spans="1:2">
      <c r="A92" s="124" t="s">
        <v>180</v>
      </c>
      <c r="B92" s="908"/>
    </row>
    <row r="93" spans="1:2">
      <c r="A93" s="124" t="s">
        <v>181</v>
      </c>
      <c r="B93" s="124">
        <f>IF(B92&lt;B89*DATA!$H$1037,DATA!$H$1037,IF(B92&gt;DATA!$H$1036*B89,DATA!$H$1036,1))</f>
        <v>1</v>
      </c>
    </row>
    <row r="94" spans="1:2">
      <c r="A94" s="124" t="s">
        <v>804</v>
      </c>
      <c r="B94" s="881">
        <f>IF(OR(B90=0,B89=0),0,B89*(0.261-0.023*LOG10(B89))/B90)</f>
        <v>0</v>
      </c>
    </row>
    <row r="95" spans="1:2">
      <c r="A95" s="124" t="s">
        <v>182</v>
      </c>
      <c r="B95" s="158">
        <f>IF(B92="",0,IF(B93=1,B90,B92*((B90*B94/(B93*B89)+0.023*LOG10(B93*B89/B92)))/B94))</f>
        <v>0</v>
      </c>
    </row>
    <row r="96" spans="1:2">
      <c r="A96" s="124" t="s">
        <v>808</v>
      </c>
      <c r="B96" s="153">
        <f>IF(B92=0,0,(B95/B92))</f>
        <v>0</v>
      </c>
    </row>
    <row r="97" spans="1:2">
      <c r="B97" s="140"/>
    </row>
    <row r="98" spans="1:2">
      <c r="B98" s="140"/>
    </row>
    <row r="99" spans="1:2">
      <c r="A99" s="129" t="s">
        <v>183</v>
      </c>
      <c r="B99" s="126"/>
    </row>
    <row r="100" spans="1:2">
      <c r="A100" s="1613"/>
      <c r="B100" s="1614"/>
    </row>
    <row r="101" spans="1:2">
      <c r="A101" s="1615"/>
      <c r="B101" s="1616"/>
    </row>
    <row r="102" spans="1:2">
      <c r="A102" s="1617"/>
      <c r="B102" s="1618"/>
    </row>
    <row r="104" spans="1:2">
      <c r="A104" s="1" t="str">
        <f>DATA!B1016</f>
        <v>Other:</v>
      </c>
    </row>
    <row r="105" spans="1:2">
      <c r="A105" s="124" t="s">
        <v>177</v>
      </c>
      <c r="B105" s="152">
        <f>DATA!$J$1016</f>
        <v>0</v>
      </c>
    </row>
    <row r="106" spans="1:2">
      <c r="A106" s="124" t="s">
        <v>178</v>
      </c>
      <c r="B106" s="152">
        <f>'SUMMARY TENDERED FEE'!$C$23</f>
        <v>0</v>
      </c>
    </row>
    <row r="107" spans="1:2">
      <c r="A107" s="124" t="s">
        <v>807</v>
      </c>
      <c r="B107" s="166">
        <f>'SUMMARY TENDERED FEE'!$D$23</f>
        <v>0</v>
      </c>
    </row>
    <row r="108" spans="1:2">
      <c r="A108" s="124" t="s">
        <v>180</v>
      </c>
      <c r="B108" s="908">
        <f>B105</f>
        <v>0</v>
      </c>
    </row>
    <row r="109" spans="1:2">
      <c r="A109" s="124" t="s">
        <v>181</v>
      </c>
      <c r="B109" s="124">
        <f>IF(B108&lt;B105*DATA!$H$1037,DATA!$H$1037,IF(B108&gt;DATA!$H$1036*B105,DATA!$H$1036,1))</f>
        <v>1</v>
      </c>
    </row>
    <row r="110" spans="1:2">
      <c r="A110" s="124" t="s">
        <v>804</v>
      </c>
      <c r="B110" s="881">
        <f>IF(OR(B106=0,B105=0),0,B105*(0.261-0.023*LOG10(B105))/B106)</f>
        <v>0</v>
      </c>
    </row>
    <row r="111" spans="1:2">
      <c r="A111" s="124" t="s">
        <v>182</v>
      </c>
      <c r="B111" s="158">
        <f>IF(B108="",0,IF(B109=1,B106,B108*((B106*B110/(B109*B105)+0.023*LOG10(B109*B105/B108)))/B110))</f>
        <v>0</v>
      </c>
    </row>
    <row r="112" spans="1:2">
      <c r="A112" s="124" t="s">
        <v>808</v>
      </c>
      <c r="B112" s="153">
        <f>IF(B108=0,0,(B111/B108))</f>
        <v>0</v>
      </c>
    </row>
    <row r="113" spans="1:2">
      <c r="B113" s="140"/>
    </row>
    <row r="114" spans="1:2">
      <c r="B114" s="140"/>
    </row>
    <row r="115" spans="1:2">
      <c r="A115" s="129" t="s">
        <v>183</v>
      </c>
      <c r="B115" s="126"/>
    </row>
    <row r="116" spans="1:2">
      <c r="A116" s="1613"/>
      <c r="B116" s="1614"/>
    </row>
    <row r="117" spans="1:2">
      <c r="A117" s="1615"/>
      <c r="B117" s="1616"/>
    </row>
    <row r="118" spans="1:2">
      <c r="A118" s="1615"/>
      <c r="B118" s="1616"/>
    </row>
    <row r="119" spans="1:2">
      <c r="A119" s="1617"/>
      <c r="B119" s="1618"/>
    </row>
    <row r="133" spans="1:69">
      <c r="A133" t="s">
        <v>177</v>
      </c>
      <c r="B133" s="140">
        <f>B9</f>
        <v>4500000000</v>
      </c>
      <c r="K133" t="s">
        <v>177</v>
      </c>
      <c r="L133" s="140">
        <f>B25</f>
        <v>300000000</v>
      </c>
      <c r="U133" t="s">
        <v>177</v>
      </c>
      <c r="V133" s="140">
        <f>B41</f>
        <v>100000000</v>
      </c>
      <c r="AE133" t="s">
        <v>177</v>
      </c>
      <c r="AF133" s="140">
        <f>B57</f>
        <v>0</v>
      </c>
      <c r="AO133" t="s">
        <v>177</v>
      </c>
      <c r="AP133" s="140">
        <f>B73</f>
        <v>0</v>
      </c>
      <c r="AY133" t="s">
        <v>177</v>
      </c>
      <c r="AZ133" s="140">
        <f>B89</f>
        <v>0</v>
      </c>
      <c r="BI133" t="s">
        <v>177</v>
      </c>
      <c r="BJ133" s="140">
        <f>B105</f>
        <v>0</v>
      </c>
    </row>
    <row r="134" spans="1:69">
      <c r="A134" t="s">
        <v>805</v>
      </c>
      <c r="B134" s="140">
        <f>B10</f>
        <v>0</v>
      </c>
      <c r="K134" t="s">
        <v>805</v>
      </c>
      <c r="L134" s="140">
        <f>B26</f>
        <v>0</v>
      </c>
      <c r="U134" t="s">
        <v>805</v>
      </c>
      <c r="V134" s="140">
        <f>B42</f>
        <v>0</v>
      </c>
      <c r="AA134" s="140"/>
      <c r="AE134" t="s">
        <v>805</v>
      </c>
      <c r="AF134" s="140">
        <f>B58</f>
        <v>0</v>
      </c>
      <c r="AL134" s="140"/>
      <c r="AO134" t="s">
        <v>805</v>
      </c>
      <c r="AP134" s="140">
        <f t="shared" ref="AP134:AP138" si="0">B74</f>
        <v>0</v>
      </c>
      <c r="AV134" s="140"/>
      <c r="AY134" t="s">
        <v>805</v>
      </c>
      <c r="AZ134" s="140">
        <f t="shared" ref="AZ134:AZ138" si="1">B90</f>
        <v>0</v>
      </c>
      <c r="BF134" s="140"/>
      <c r="BI134" t="s">
        <v>805</v>
      </c>
      <c r="BJ134" s="140">
        <f t="shared" ref="BJ134:BJ138" si="2">B106</f>
        <v>0</v>
      </c>
    </row>
    <row r="135" spans="1:69">
      <c r="A135" t="s">
        <v>806</v>
      </c>
      <c r="B135" s="154">
        <f>B11</f>
        <v>0</v>
      </c>
      <c r="K135" t="s">
        <v>806</v>
      </c>
      <c r="L135" s="140">
        <f>B27</f>
        <v>0</v>
      </c>
      <c r="Q135" s="140"/>
      <c r="U135" t="s">
        <v>806</v>
      </c>
      <c r="V135" s="140">
        <f>B43</f>
        <v>0</v>
      </c>
      <c r="AA135" s="140"/>
      <c r="AE135" t="s">
        <v>806</v>
      </c>
      <c r="AF135" s="140">
        <f>B59</f>
        <v>0</v>
      </c>
      <c r="AL135" s="140"/>
      <c r="AO135" t="s">
        <v>806</v>
      </c>
      <c r="AP135" s="140">
        <f t="shared" si="0"/>
        <v>0</v>
      </c>
      <c r="AV135" s="140"/>
      <c r="AY135" t="s">
        <v>806</v>
      </c>
      <c r="AZ135" s="140">
        <f t="shared" si="1"/>
        <v>0</v>
      </c>
      <c r="BF135" s="140"/>
      <c r="BI135" t="s">
        <v>806</v>
      </c>
      <c r="BJ135" s="140">
        <f t="shared" si="2"/>
        <v>0</v>
      </c>
      <c r="BP135" s="140"/>
    </row>
    <row r="136" spans="1:69">
      <c r="A136" t="s">
        <v>185</v>
      </c>
      <c r="B136" s="140">
        <f>IF(B12=0,0.00001,B12)</f>
        <v>1.0000000000000001E-5</v>
      </c>
      <c r="K136" t="s">
        <v>185</v>
      </c>
      <c r="L136" s="140">
        <f>IF(B28=0,0.00001,B28)</f>
        <v>1.0000000000000001E-5</v>
      </c>
      <c r="Q136" s="140"/>
      <c r="U136" t="s">
        <v>185</v>
      </c>
      <c r="V136" s="140">
        <f>IF(B44=0,0.00001,B44)</f>
        <v>1.0000000000000001E-5</v>
      </c>
      <c r="AA136" s="140"/>
      <c r="AE136" t="s">
        <v>185</v>
      </c>
      <c r="AF136" s="140">
        <f>IF(B60=0,0.00001,B60)</f>
        <v>1.0000000000000001E-5</v>
      </c>
      <c r="AL136" s="140"/>
      <c r="AO136" t="s">
        <v>185</v>
      </c>
      <c r="AP136" s="140">
        <f>IF(B76=0,0.00001,B76)</f>
        <v>1.0000000000000001E-5</v>
      </c>
      <c r="AV136" s="140"/>
      <c r="AY136" t="s">
        <v>185</v>
      </c>
      <c r="AZ136" s="140">
        <f>IF(B92=0,0.00001,B92)</f>
        <v>1.0000000000000001E-5</v>
      </c>
      <c r="BF136" s="140"/>
      <c r="BI136" t="s">
        <v>185</v>
      </c>
      <c r="BJ136" s="140">
        <f>IF(B108=0,0.00001,B108)</f>
        <v>1.0000000000000001E-5</v>
      </c>
      <c r="BP136" s="140"/>
    </row>
    <row r="137" spans="1:69">
      <c r="A137" t="s">
        <v>181</v>
      </c>
      <c r="B137">
        <f>B13</f>
        <v>0.8</v>
      </c>
      <c r="K137" t="s">
        <v>181</v>
      </c>
      <c r="L137" s="140">
        <f>B29</f>
        <v>0.8</v>
      </c>
      <c r="Q137" s="140"/>
      <c r="U137" t="s">
        <v>181</v>
      </c>
      <c r="V137" s="140">
        <f>B45</f>
        <v>0.8</v>
      </c>
      <c r="AE137" t="s">
        <v>181</v>
      </c>
      <c r="AF137" s="140">
        <f>B61</f>
        <v>1</v>
      </c>
      <c r="AO137" t="s">
        <v>181</v>
      </c>
      <c r="AP137" s="140">
        <f t="shared" si="0"/>
        <v>1</v>
      </c>
      <c r="AY137" t="s">
        <v>181</v>
      </c>
      <c r="AZ137" s="140">
        <f t="shared" si="1"/>
        <v>1</v>
      </c>
      <c r="BI137" t="s">
        <v>181</v>
      </c>
      <c r="BJ137" s="140">
        <f t="shared" si="2"/>
        <v>1</v>
      </c>
      <c r="BP137" s="140"/>
    </row>
    <row r="138" spans="1:69">
      <c r="A138" t="s">
        <v>804</v>
      </c>
      <c r="B138" s="745">
        <f>B14</f>
        <v>0</v>
      </c>
      <c r="K138" t="s">
        <v>804</v>
      </c>
      <c r="L138" s="140">
        <f>B30</f>
        <v>0</v>
      </c>
      <c r="U138" t="s">
        <v>804</v>
      </c>
      <c r="V138" s="140">
        <f>B46</f>
        <v>0</v>
      </c>
      <c r="AE138" t="s">
        <v>804</v>
      </c>
      <c r="AF138" s="140">
        <f>B62</f>
        <v>0</v>
      </c>
      <c r="AO138" t="s">
        <v>804</v>
      </c>
      <c r="AP138" s="140">
        <f t="shared" si="0"/>
        <v>0</v>
      </c>
      <c r="AY138" t="s">
        <v>804</v>
      </c>
      <c r="AZ138" s="140">
        <f t="shared" si="1"/>
        <v>0</v>
      </c>
      <c r="BI138" t="s">
        <v>804</v>
      </c>
      <c r="BJ138" s="140">
        <f t="shared" si="2"/>
        <v>0</v>
      </c>
    </row>
    <row r="139" spans="1:69">
      <c r="A139" t="s">
        <v>184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184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184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184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184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184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184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H140" s="131"/>
      <c r="I140" s="156"/>
      <c r="R140" s="131"/>
      <c r="S140" s="156"/>
      <c r="AB140" s="131"/>
      <c r="AC140" s="156"/>
      <c r="AL140" s="131"/>
      <c r="AM140" s="156"/>
      <c r="AV140" s="131"/>
      <c r="AW140" s="156"/>
      <c r="BF140" s="131"/>
      <c r="BG140" s="156"/>
      <c r="BP140" s="131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185</v>
      </c>
      <c r="B142" s="132" t="s">
        <v>186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181</v>
      </c>
      <c r="I142" s="132" t="s">
        <v>187</v>
      </c>
      <c r="K142" s="132" t="s">
        <v>185</v>
      </c>
      <c r="L142" s="132" t="s">
        <v>186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181</v>
      </c>
      <c r="S142" s="132" t="s">
        <v>187</v>
      </c>
      <c r="U142" s="132" t="s">
        <v>185</v>
      </c>
      <c r="V142" s="132" t="s">
        <v>186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181</v>
      </c>
      <c r="AC142" s="132" t="s">
        <v>187</v>
      </c>
      <c r="AE142" s="132" t="s">
        <v>185</v>
      </c>
      <c r="AF142" s="132" t="s">
        <v>186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181</v>
      </c>
      <c r="AM142" s="132" t="s">
        <v>187</v>
      </c>
      <c r="AO142" s="132" t="s">
        <v>185</v>
      </c>
      <c r="AP142" s="132" t="s">
        <v>186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181</v>
      </c>
      <c r="AW142" s="132" t="s">
        <v>187</v>
      </c>
      <c r="AY142" s="132" t="s">
        <v>185</v>
      </c>
      <c r="AZ142" s="132" t="s">
        <v>186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181</v>
      </c>
      <c r="BG142" s="132" t="s">
        <v>187</v>
      </c>
      <c r="BI142" s="132" t="s">
        <v>185</v>
      </c>
      <c r="BJ142" s="132" t="s">
        <v>186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181</v>
      </c>
      <c r="BQ142" s="132" t="s">
        <v>187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C143:G158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0.8</v>
      </c>
      <c r="S143" s="156">
        <f t="shared" ref="S143:S174" si="4"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0.8</v>
      </c>
      <c r="AC143" s="156">
        <f t="shared" ref="AC143:AC174" si="5"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 t="shared" ref="AM143:AM174" si="6"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7">B144*B$136</f>
        <v>3.2000000000000003E-6</v>
      </c>
      <c r="B144">
        <v>0.32</v>
      </c>
      <c r="C144" s="140">
        <f t="shared" si="3"/>
        <v>3.1999999999999995E-8</v>
      </c>
      <c r="D144" s="140">
        <f t="shared" si="3"/>
        <v>6.3999999999999991E-8</v>
      </c>
      <c r="E144" s="140">
        <f t="shared" si="3"/>
        <v>9.5999999999999999E-8</v>
      </c>
      <c r="F144" s="140">
        <f t="shared" si="3"/>
        <v>1.2800000000000001E-7</v>
      </c>
      <c r="G144" s="140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175" si="8">IF(OR(B$134=0,$B$133=0),0.0000001,IF(H144=1,$B$134,A144*(($B$134*$B$138)/(H144*$B$133)+0.023*LOG10(H144*$B$133/A144))/$B$138))</f>
        <v>9.9999999999999995E-8</v>
      </c>
      <c r="K144" s="140">
        <f t="shared" ref="K144:K207" si="9">L144*L$136</f>
        <v>3.2000000000000003E-6</v>
      </c>
      <c r="L144">
        <v>0.32</v>
      </c>
      <c r="M144" s="140">
        <f t="shared" ref="M144:M207" si="10">M$142*K144</f>
        <v>3.1999999999999995E-8</v>
      </c>
      <c r="N144" s="140">
        <f t="shared" ref="N144:N207" si="11">N$142*K144</f>
        <v>6.3999999999999991E-8</v>
      </c>
      <c r="O144" s="140">
        <f t="shared" ref="O144:O207" si="12">O$142*K144</f>
        <v>9.5999999999999999E-8</v>
      </c>
      <c r="P144" s="140">
        <f t="shared" ref="P144:P207" si="13">P$142*$K144</f>
        <v>1.2800000000000001E-7</v>
      </c>
      <c r="Q144" s="140">
        <f t="shared" ref="Q144:Q207" si="14">Q$142*K144</f>
        <v>1.6000000000000003E-7</v>
      </c>
      <c r="R144" s="157">
        <f>IF(K144&lt;$B$25*DATA!$H$1037,DATA!$H$1037,IF(K144&gt;DATA!$H$1036*$B$25,DATA!$H$1036,1))</f>
        <v>0.8</v>
      </c>
      <c r="S144" s="156">
        <f t="shared" si="4"/>
        <v>9.9999999999999995E-8</v>
      </c>
      <c r="U144" s="140">
        <f t="shared" ref="U144:U207" si="15">V144*V$136</f>
        <v>3.2000000000000003E-6</v>
      </c>
      <c r="V144">
        <v>0.32</v>
      </c>
      <c r="W144" s="140">
        <f t="shared" ref="W144:W207" si="16">W$142*U144</f>
        <v>3.1999999999999995E-8</v>
      </c>
      <c r="X144" s="140">
        <f t="shared" ref="X144:X207" si="17">X$142*U144</f>
        <v>6.3999999999999991E-8</v>
      </c>
      <c r="Y144" s="140">
        <f t="shared" ref="Y144:Y207" si="18">Y$142*U144</f>
        <v>9.5999999999999999E-8</v>
      </c>
      <c r="Z144" s="140">
        <f t="shared" ref="Z144:Z207" si="19">Z$142*U144</f>
        <v>1.2800000000000001E-7</v>
      </c>
      <c r="AA144" s="140">
        <f t="shared" ref="AA144:AA207" si="20">AA$142*U144</f>
        <v>1.6000000000000003E-7</v>
      </c>
      <c r="AB144" s="157">
        <f>IF(U144&lt;$B$41*DATA!$H$1037,DATA!$H$1037,IF(U144&gt;DATA!$H$1036*$B$41,DATA!$H$1036,1))</f>
        <v>0.8</v>
      </c>
      <c r="AC144" s="156">
        <f t="shared" si="5"/>
        <v>9.9999999999999995E-8</v>
      </c>
      <c r="AE144" s="140">
        <f t="shared" ref="AE144:AE207" si="21">AF144*AF$136</f>
        <v>3.2000000000000003E-6</v>
      </c>
      <c r="AF144">
        <v>0.32</v>
      </c>
      <c r="AG144" s="140">
        <f t="shared" ref="AG144:AG207" si="22">AG$142*AE144</f>
        <v>3.1999999999999995E-8</v>
      </c>
      <c r="AH144" s="140">
        <f t="shared" ref="AH144:AH207" si="23">AH$142*AE144</f>
        <v>6.3999999999999991E-8</v>
      </c>
      <c r="AI144" s="140">
        <f t="shared" ref="AI144:AI207" si="24">AI$142*AE144</f>
        <v>9.5999999999999999E-8</v>
      </c>
      <c r="AJ144" s="140">
        <f t="shared" ref="AJ144:AJ207" si="25">AJ$142*AE144</f>
        <v>1.2800000000000001E-7</v>
      </c>
      <c r="AK144" s="140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si="6"/>
        <v>9.9999999999999995E-8</v>
      </c>
      <c r="AO144" s="140">
        <f t="shared" ref="AO144:AO207" si="27">AP144*AP$136</f>
        <v>3.2000000000000003E-6</v>
      </c>
      <c r="AP144">
        <v>0.32</v>
      </c>
      <c r="AQ144" s="140">
        <f t="shared" ref="AQ144:AQ207" si="28">AQ$142*AO144</f>
        <v>3.1999999999999995E-8</v>
      </c>
      <c r="AR144" s="140">
        <f t="shared" ref="AR144:AR207" si="29">AR$142*AO144</f>
        <v>6.3999999999999991E-8</v>
      </c>
      <c r="AS144" s="140">
        <f t="shared" ref="AS144:AS207" si="30">AS$142*AO144</f>
        <v>9.5999999999999999E-8</v>
      </c>
      <c r="AT144" s="140">
        <f t="shared" ref="AT144:AT207" si="31">AT$142*AO144</f>
        <v>1.2800000000000001E-7</v>
      </c>
      <c r="AU144" s="140">
        <f t="shared" ref="AU144:AU207" si="32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3">IF(OR(AP$134=0,AP$133=0),0.0000001,IF(AV144=1,AP$134,AO144*((AP$134*AP$138)/(AV144*AP$133)+0.023*LOG10(AV144*AP$133/AO144))/AP$138))</f>
        <v>9.9999999999999995E-8</v>
      </c>
      <c r="AY144" s="140">
        <f t="shared" ref="AY144:AY207" si="34">AZ144*AZ$136</f>
        <v>3.2000000000000003E-6</v>
      </c>
      <c r="AZ144">
        <v>0.32</v>
      </c>
      <c r="BA144" s="140">
        <f t="shared" ref="BA144:BA207" si="35">BA$142*AY144</f>
        <v>3.1999999999999995E-8</v>
      </c>
      <c r="BB144" s="140">
        <f t="shared" ref="BB144:BB207" si="36">BB$142*AY144</f>
        <v>6.3999999999999991E-8</v>
      </c>
      <c r="BC144" s="140">
        <f t="shared" ref="BC144:BC207" si="37">BC$142*AY144</f>
        <v>9.5999999999999999E-8</v>
      </c>
      <c r="BD144" s="140">
        <f t="shared" ref="BD144:BD207" si="38">BD$142*AY144</f>
        <v>1.2800000000000001E-7</v>
      </c>
      <c r="BE144" s="140">
        <f t="shared" ref="BE144:BE207" si="39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0">IF(OR(AZ$134=0,AZ$133=0),0.0000001,IF(BF144=1,AZ$134,AY144*((AZ$134*AZ$138)/(BF144*AZ$133)+0.023*LOG10(BF144*AZ$133/AY144))/AZ$138))</f>
        <v>9.9999999999999995E-8</v>
      </c>
      <c r="BI144" s="140">
        <f t="shared" ref="BI144:BI207" si="41">BJ144*BJ$136</f>
        <v>3.2000000000000003E-6</v>
      </c>
      <c r="BJ144">
        <v>0.32</v>
      </c>
      <c r="BK144" s="140">
        <f t="shared" ref="BK144:BK207" si="42">BK$142*BI144</f>
        <v>3.1999999999999995E-8</v>
      </c>
      <c r="BL144" s="140">
        <f t="shared" ref="BL144:BL207" si="43">BL$142*BI144</f>
        <v>6.3999999999999991E-8</v>
      </c>
      <c r="BM144" s="140">
        <f t="shared" ref="BM144:BM207" si="44">BM$142*BI144</f>
        <v>9.5999999999999999E-8</v>
      </c>
      <c r="BN144" s="140">
        <f t="shared" ref="BN144:BN207" si="45">BN$142*$BI144</f>
        <v>1.2800000000000001E-7</v>
      </c>
      <c r="BO144" s="140">
        <f t="shared" ref="BO144:BO207" si="46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7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7"/>
        <v>3.4000000000000005E-6</v>
      </c>
      <c r="B145">
        <v>0.34</v>
      </c>
      <c r="C145" s="140">
        <f t="shared" si="3"/>
        <v>3.3999999999999993E-8</v>
      </c>
      <c r="D145" s="140">
        <f t="shared" si="3"/>
        <v>6.8E-8</v>
      </c>
      <c r="E145" s="140">
        <f t="shared" si="3"/>
        <v>1.0200000000000001E-7</v>
      </c>
      <c r="F145" s="140">
        <f t="shared" si="3"/>
        <v>1.3600000000000003E-7</v>
      </c>
      <c r="G145" s="140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8"/>
        <v>9.9999999999999995E-8</v>
      </c>
      <c r="K145" s="140">
        <f t="shared" si="9"/>
        <v>3.4000000000000005E-6</v>
      </c>
      <c r="L145">
        <v>0.34</v>
      </c>
      <c r="M145" s="140">
        <f t="shared" si="10"/>
        <v>3.3999999999999993E-8</v>
      </c>
      <c r="N145" s="140">
        <f t="shared" si="11"/>
        <v>6.8E-8</v>
      </c>
      <c r="O145" s="140">
        <f t="shared" si="12"/>
        <v>1.0200000000000001E-7</v>
      </c>
      <c r="P145" s="140">
        <f t="shared" si="13"/>
        <v>1.3600000000000003E-7</v>
      </c>
      <c r="Q145" s="140">
        <f t="shared" si="14"/>
        <v>1.7000000000000004E-7</v>
      </c>
      <c r="R145" s="157">
        <f>IF(K145&lt;$B$25*DATA!$H$1037,DATA!$H$1037,IF(K145&gt;DATA!$H$1036*$B$25,DATA!$H$1036,1))</f>
        <v>0.8</v>
      </c>
      <c r="S145" s="156">
        <f t="shared" si="4"/>
        <v>9.9999999999999995E-8</v>
      </c>
      <c r="U145" s="140">
        <f t="shared" si="15"/>
        <v>3.4000000000000005E-6</v>
      </c>
      <c r="V145">
        <v>0.34</v>
      </c>
      <c r="W145" s="140">
        <f t="shared" si="16"/>
        <v>3.3999999999999993E-8</v>
      </c>
      <c r="X145" s="140">
        <f t="shared" si="17"/>
        <v>6.8E-8</v>
      </c>
      <c r="Y145" s="140">
        <f t="shared" si="18"/>
        <v>1.0200000000000001E-7</v>
      </c>
      <c r="Z145" s="140">
        <f t="shared" si="19"/>
        <v>1.3600000000000003E-7</v>
      </c>
      <c r="AA145" s="140">
        <f t="shared" si="20"/>
        <v>1.7000000000000004E-7</v>
      </c>
      <c r="AB145" s="157">
        <f>IF(U145&lt;$B$41*DATA!$H$1037,DATA!$H$1037,IF(U145&gt;DATA!$H$1036*$B$41,DATA!$H$1036,1))</f>
        <v>0.8</v>
      </c>
      <c r="AC145" s="156">
        <f t="shared" si="5"/>
        <v>9.9999999999999995E-8</v>
      </c>
      <c r="AE145" s="140">
        <f t="shared" si="21"/>
        <v>3.4000000000000005E-6</v>
      </c>
      <c r="AF145">
        <v>0.34</v>
      </c>
      <c r="AG145" s="140">
        <f t="shared" si="22"/>
        <v>3.3999999999999993E-8</v>
      </c>
      <c r="AH145" s="140">
        <f t="shared" si="23"/>
        <v>6.8E-8</v>
      </c>
      <c r="AI145" s="140">
        <f t="shared" si="24"/>
        <v>1.0200000000000001E-7</v>
      </c>
      <c r="AJ145" s="140">
        <f t="shared" si="25"/>
        <v>1.3600000000000003E-7</v>
      </c>
      <c r="AK145" s="140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6"/>
        <v>9.9999999999999995E-8</v>
      </c>
      <c r="AO145" s="140">
        <f t="shared" si="27"/>
        <v>3.4000000000000005E-6</v>
      </c>
      <c r="AP145">
        <v>0.34</v>
      </c>
      <c r="AQ145" s="140">
        <f t="shared" si="28"/>
        <v>3.3999999999999993E-8</v>
      </c>
      <c r="AR145" s="140">
        <f t="shared" si="29"/>
        <v>6.8E-8</v>
      </c>
      <c r="AS145" s="140">
        <f t="shared" si="30"/>
        <v>1.0200000000000001E-7</v>
      </c>
      <c r="AT145" s="140">
        <f t="shared" si="31"/>
        <v>1.3600000000000003E-7</v>
      </c>
      <c r="AU145" s="140">
        <f t="shared" si="32"/>
        <v>1.7000000000000004E-7</v>
      </c>
      <c r="AV145" s="157">
        <f>IF(AO145&lt;$B$73*DATA!$H$1037,DATA!$H$1037,IF(AO145&gt;DATA!$H$1036*$B$73,DATA!$H$1036,1))</f>
        <v>1.2</v>
      </c>
      <c r="AW145" s="156">
        <f t="shared" si="33"/>
        <v>9.9999999999999995E-8</v>
      </c>
      <c r="AY145" s="140">
        <f t="shared" si="34"/>
        <v>3.4000000000000005E-6</v>
      </c>
      <c r="AZ145">
        <v>0.34</v>
      </c>
      <c r="BA145" s="140">
        <f t="shared" si="35"/>
        <v>3.3999999999999993E-8</v>
      </c>
      <c r="BB145" s="140">
        <f t="shared" si="36"/>
        <v>6.8E-8</v>
      </c>
      <c r="BC145" s="140">
        <f t="shared" si="37"/>
        <v>1.0200000000000001E-7</v>
      </c>
      <c r="BD145" s="140">
        <f t="shared" si="38"/>
        <v>1.3600000000000003E-7</v>
      </c>
      <c r="BE145" s="140">
        <f t="shared" si="39"/>
        <v>1.7000000000000004E-7</v>
      </c>
      <c r="BF145" s="157">
        <f>IF(AY145&lt;$B$89*DATA!$H$1037,DATA!$H$1037,IF(AY145&gt;DATA!$H$1036*$B$89,DATA!$H$1036,1))</f>
        <v>1.2</v>
      </c>
      <c r="BG145" s="156">
        <f t="shared" si="40"/>
        <v>9.9999999999999995E-8</v>
      </c>
      <c r="BI145" s="140">
        <f t="shared" si="41"/>
        <v>3.4000000000000005E-6</v>
      </c>
      <c r="BJ145">
        <v>0.34</v>
      </c>
      <c r="BK145" s="140">
        <f t="shared" si="42"/>
        <v>3.3999999999999993E-8</v>
      </c>
      <c r="BL145" s="140">
        <f t="shared" si="43"/>
        <v>6.8E-8</v>
      </c>
      <c r="BM145" s="140">
        <f t="shared" si="44"/>
        <v>1.0200000000000001E-7</v>
      </c>
      <c r="BN145" s="140">
        <f t="shared" si="45"/>
        <v>1.3600000000000003E-7</v>
      </c>
      <c r="BO145" s="140">
        <f t="shared" si="46"/>
        <v>1.7000000000000004E-7</v>
      </c>
      <c r="BP145" s="157">
        <f>IF(BI145&lt;$B$105*DATA!$H$1037,DATA!$H$1037,IF(BI145&gt;DATA!$H$1036*$B$105,DATA!$H$1036,1))</f>
        <v>1.2</v>
      </c>
      <c r="BQ145" s="156">
        <f t="shared" si="47"/>
        <v>9.9999999999999995E-8</v>
      </c>
    </row>
    <row r="146" spans="1:69">
      <c r="A146" s="140">
        <f t="shared" si="7"/>
        <v>3.6000000000000003E-6</v>
      </c>
      <c r="B146">
        <v>0.36</v>
      </c>
      <c r="C146" s="140">
        <f t="shared" si="3"/>
        <v>3.5999999999999991E-8</v>
      </c>
      <c r="D146" s="140">
        <f t="shared" si="3"/>
        <v>7.1999999999999996E-8</v>
      </c>
      <c r="E146" s="140">
        <f t="shared" si="3"/>
        <v>1.08E-7</v>
      </c>
      <c r="F146" s="140">
        <f t="shared" si="3"/>
        <v>1.4400000000000002E-7</v>
      </c>
      <c r="G146" s="140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8"/>
        <v>9.9999999999999995E-8</v>
      </c>
      <c r="K146" s="140">
        <f t="shared" si="9"/>
        <v>3.6000000000000003E-6</v>
      </c>
      <c r="L146">
        <v>0.36</v>
      </c>
      <c r="M146" s="140">
        <f t="shared" si="10"/>
        <v>3.5999999999999991E-8</v>
      </c>
      <c r="N146" s="140">
        <f t="shared" si="11"/>
        <v>7.1999999999999996E-8</v>
      </c>
      <c r="O146" s="140">
        <f t="shared" si="12"/>
        <v>1.08E-7</v>
      </c>
      <c r="P146" s="140">
        <f t="shared" si="13"/>
        <v>1.4400000000000002E-7</v>
      </c>
      <c r="Q146" s="140">
        <f t="shared" si="14"/>
        <v>1.8000000000000002E-7</v>
      </c>
      <c r="R146" s="157">
        <f>IF(K146&lt;$B$25*DATA!$H$1037,DATA!$H$1037,IF(K146&gt;DATA!$H$1036*$B$25,DATA!$H$1036,1))</f>
        <v>0.8</v>
      </c>
      <c r="S146" s="156">
        <f t="shared" si="4"/>
        <v>9.9999999999999995E-8</v>
      </c>
      <c r="U146" s="140">
        <f t="shared" si="15"/>
        <v>3.6000000000000003E-6</v>
      </c>
      <c r="V146">
        <v>0.36</v>
      </c>
      <c r="W146" s="140">
        <f t="shared" si="16"/>
        <v>3.5999999999999991E-8</v>
      </c>
      <c r="X146" s="140">
        <f t="shared" si="17"/>
        <v>7.1999999999999996E-8</v>
      </c>
      <c r="Y146" s="140">
        <f t="shared" si="18"/>
        <v>1.08E-7</v>
      </c>
      <c r="Z146" s="140">
        <f t="shared" si="19"/>
        <v>1.4400000000000002E-7</v>
      </c>
      <c r="AA146" s="140">
        <f t="shared" si="20"/>
        <v>1.8000000000000002E-7</v>
      </c>
      <c r="AB146" s="157">
        <f>IF(U146&lt;$B$41*DATA!$H$1037,DATA!$H$1037,IF(U146&gt;DATA!$H$1036*$B$41,DATA!$H$1036,1))</f>
        <v>0.8</v>
      </c>
      <c r="AC146" s="156">
        <f t="shared" si="5"/>
        <v>9.9999999999999995E-8</v>
      </c>
      <c r="AE146" s="140">
        <f t="shared" si="21"/>
        <v>3.6000000000000003E-6</v>
      </c>
      <c r="AF146">
        <v>0.36</v>
      </c>
      <c r="AG146" s="140">
        <f t="shared" si="22"/>
        <v>3.5999999999999991E-8</v>
      </c>
      <c r="AH146" s="140">
        <f t="shared" si="23"/>
        <v>7.1999999999999996E-8</v>
      </c>
      <c r="AI146" s="140">
        <f t="shared" si="24"/>
        <v>1.08E-7</v>
      </c>
      <c r="AJ146" s="140">
        <f t="shared" si="25"/>
        <v>1.4400000000000002E-7</v>
      </c>
      <c r="AK146" s="140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6"/>
        <v>9.9999999999999995E-8</v>
      </c>
      <c r="AO146" s="140">
        <f t="shared" si="27"/>
        <v>3.6000000000000003E-6</v>
      </c>
      <c r="AP146">
        <v>0.36</v>
      </c>
      <c r="AQ146" s="140">
        <f t="shared" si="28"/>
        <v>3.5999999999999991E-8</v>
      </c>
      <c r="AR146" s="140">
        <f t="shared" si="29"/>
        <v>7.1999999999999996E-8</v>
      </c>
      <c r="AS146" s="140">
        <f t="shared" si="30"/>
        <v>1.08E-7</v>
      </c>
      <c r="AT146" s="140">
        <f t="shared" si="31"/>
        <v>1.4400000000000002E-7</v>
      </c>
      <c r="AU146" s="140">
        <f t="shared" si="32"/>
        <v>1.8000000000000002E-7</v>
      </c>
      <c r="AV146" s="157">
        <f>IF(AO146&lt;$B$73*DATA!$H$1037,DATA!$H$1037,IF(AO146&gt;DATA!$H$1036*$B$73,DATA!$H$1036,1))</f>
        <v>1.2</v>
      </c>
      <c r="AW146" s="156">
        <f t="shared" si="33"/>
        <v>9.9999999999999995E-8</v>
      </c>
      <c r="AY146" s="140">
        <f t="shared" si="34"/>
        <v>3.6000000000000003E-6</v>
      </c>
      <c r="AZ146">
        <v>0.36</v>
      </c>
      <c r="BA146" s="140">
        <f t="shared" si="35"/>
        <v>3.5999999999999991E-8</v>
      </c>
      <c r="BB146" s="140">
        <f t="shared" si="36"/>
        <v>7.1999999999999996E-8</v>
      </c>
      <c r="BC146" s="140">
        <f t="shared" si="37"/>
        <v>1.08E-7</v>
      </c>
      <c r="BD146" s="140">
        <f t="shared" si="38"/>
        <v>1.4400000000000002E-7</v>
      </c>
      <c r="BE146" s="140">
        <f t="shared" si="39"/>
        <v>1.8000000000000002E-7</v>
      </c>
      <c r="BF146" s="157">
        <f>IF(AY146&lt;$B$89*DATA!$H$1037,DATA!$H$1037,IF(AY146&gt;DATA!$H$1036*$B$89,DATA!$H$1036,1))</f>
        <v>1.2</v>
      </c>
      <c r="BG146" s="156">
        <f t="shared" si="40"/>
        <v>9.9999999999999995E-8</v>
      </c>
      <c r="BI146" s="140">
        <f t="shared" si="41"/>
        <v>3.6000000000000003E-6</v>
      </c>
      <c r="BJ146">
        <v>0.36</v>
      </c>
      <c r="BK146" s="140">
        <f t="shared" si="42"/>
        <v>3.5999999999999991E-8</v>
      </c>
      <c r="BL146" s="140">
        <f t="shared" si="43"/>
        <v>7.1999999999999996E-8</v>
      </c>
      <c r="BM146" s="140">
        <f t="shared" si="44"/>
        <v>1.08E-7</v>
      </c>
      <c r="BN146" s="140">
        <f t="shared" si="45"/>
        <v>1.4400000000000002E-7</v>
      </c>
      <c r="BO146" s="140">
        <f t="shared" si="46"/>
        <v>1.8000000000000002E-7</v>
      </c>
      <c r="BP146" s="157">
        <f>IF(BI146&lt;$B$105*DATA!$H$1037,DATA!$H$1037,IF(BI146&gt;DATA!$H$1036*$B$105,DATA!$H$1036,1))</f>
        <v>1.2</v>
      </c>
      <c r="BQ146" s="156">
        <f t="shared" si="47"/>
        <v>9.9999999999999995E-8</v>
      </c>
    </row>
    <row r="147" spans="1:69">
      <c r="A147" s="140">
        <f t="shared" si="7"/>
        <v>3.8000000000000005E-6</v>
      </c>
      <c r="B147">
        <v>0.38</v>
      </c>
      <c r="C147" s="140">
        <f t="shared" si="3"/>
        <v>3.799999999999999E-8</v>
      </c>
      <c r="D147" s="140">
        <f t="shared" si="3"/>
        <v>7.5999999999999992E-8</v>
      </c>
      <c r="E147" s="140">
        <f t="shared" si="3"/>
        <v>1.1400000000000001E-7</v>
      </c>
      <c r="F147" s="140">
        <f t="shared" si="3"/>
        <v>1.5200000000000001E-7</v>
      </c>
      <c r="G147" s="140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8"/>
        <v>9.9999999999999995E-8</v>
      </c>
      <c r="K147" s="140">
        <f t="shared" si="9"/>
        <v>3.8000000000000005E-6</v>
      </c>
      <c r="L147">
        <v>0.38</v>
      </c>
      <c r="M147" s="140">
        <f t="shared" si="10"/>
        <v>3.799999999999999E-8</v>
      </c>
      <c r="N147" s="140">
        <f t="shared" si="11"/>
        <v>7.5999999999999992E-8</v>
      </c>
      <c r="O147" s="140">
        <f t="shared" si="12"/>
        <v>1.1400000000000001E-7</v>
      </c>
      <c r="P147" s="140">
        <f t="shared" si="13"/>
        <v>1.5200000000000001E-7</v>
      </c>
      <c r="Q147" s="140">
        <f t="shared" si="14"/>
        <v>1.9000000000000003E-7</v>
      </c>
      <c r="R147" s="157">
        <f>IF(K147&lt;$B$25*DATA!$H$1037,DATA!$H$1037,IF(K147&gt;DATA!$H$1036*$B$25,DATA!$H$1036,1))</f>
        <v>0.8</v>
      </c>
      <c r="S147" s="156">
        <f t="shared" si="4"/>
        <v>9.9999999999999995E-8</v>
      </c>
      <c r="U147" s="140">
        <f t="shared" si="15"/>
        <v>3.8000000000000005E-6</v>
      </c>
      <c r="V147">
        <v>0.38</v>
      </c>
      <c r="W147" s="140">
        <f t="shared" si="16"/>
        <v>3.799999999999999E-8</v>
      </c>
      <c r="X147" s="140">
        <f t="shared" si="17"/>
        <v>7.5999999999999992E-8</v>
      </c>
      <c r="Y147" s="140">
        <f t="shared" si="18"/>
        <v>1.1400000000000001E-7</v>
      </c>
      <c r="Z147" s="140">
        <f t="shared" si="19"/>
        <v>1.5200000000000001E-7</v>
      </c>
      <c r="AA147" s="140">
        <f t="shared" si="20"/>
        <v>1.9000000000000003E-7</v>
      </c>
      <c r="AB147" s="157">
        <f>IF(U147&lt;$B$41*DATA!$H$1037,DATA!$H$1037,IF(U147&gt;DATA!$H$1036*$B$41,DATA!$H$1036,1))</f>
        <v>0.8</v>
      </c>
      <c r="AC147" s="156">
        <f t="shared" si="5"/>
        <v>9.9999999999999995E-8</v>
      </c>
      <c r="AE147" s="140">
        <f t="shared" si="21"/>
        <v>3.8000000000000005E-6</v>
      </c>
      <c r="AF147">
        <v>0.38</v>
      </c>
      <c r="AG147" s="140">
        <f t="shared" si="22"/>
        <v>3.799999999999999E-8</v>
      </c>
      <c r="AH147" s="140">
        <f t="shared" si="23"/>
        <v>7.5999999999999992E-8</v>
      </c>
      <c r="AI147" s="140">
        <f t="shared" si="24"/>
        <v>1.1400000000000001E-7</v>
      </c>
      <c r="AJ147" s="140">
        <f t="shared" si="25"/>
        <v>1.5200000000000001E-7</v>
      </c>
      <c r="AK147" s="140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6"/>
        <v>9.9999999999999995E-8</v>
      </c>
      <c r="AO147" s="140">
        <f t="shared" si="27"/>
        <v>3.8000000000000005E-6</v>
      </c>
      <c r="AP147">
        <v>0.38</v>
      </c>
      <c r="AQ147" s="140">
        <f t="shared" si="28"/>
        <v>3.799999999999999E-8</v>
      </c>
      <c r="AR147" s="140">
        <f t="shared" si="29"/>
        <v>7.5999999999999992E-8</v>
      </c>
      <c r="AS147" s="140">
        <f t="shared" si="30"/>
        <v>1.1400000000000001E-7</v>
      </c>
      <c r="AT147" s="140">
        <f t="shared" si="31"/>
        <v>1.5200000000000001E-7</v>
      </c>
      <c r="AU147" s="140">
        <f t="shared" si="32"/>
        <v>1.9000000000000003E-7</v>
      </c>
      <c r="AV147" s="157">
        <f>IF(AO147&lt;$B$73*DATA!$H$1037,DATA!$H$1037,IF(AO147&gt;DATA!$H$1036*$B$73,DATA!$H$1036,1))</f>
        <v>1.2</v>
      </c>
      <c r="AW147" s="156">
        <f t="shared" si="33"/>
        <v>9.9999999999999995E-8</v>
      </c>
      <c r="AY147" s="140">
        <f t="shared" si="34"/>
        <v>3.8000000000000005E-6</v>
      </c>
      <c r="AZ147">
        <v>0.38</v>
      </c>
      <c r="BA147" s="140">
        <f t="shared" si="35"/>
        <v>3.799999999999999E-8</v>
      </c>
      <c r="BB147" s="140">
        <f t="shared" si="36"/>
        <v>7.5999999999999992E-8</v>
      </c>
      <c r="BC147" s="140">
        <f t="shared" si="37"/>
        <v>1.1400000000000001E-7</v>
      </c>
      <c r="BD147" s="140">
        <f t="shared" si="38"/>
        <v>1.5200000000000001E-7</v>
      </c>
      <c r="BE147" s="140">
        <f t="shared" si="39"/>
        <v>1.9000000000000003E-7</v>
      </c>
      <c r="BF147" s="157">
        <f>IF(AY147&lt;$B$89*DATA!$H$1037,DATA!$H$1037,IF(AY147&gt;DATA!$H$1036*$B$89,DATA!$H$1036,1))</f>
        <v>1.2</v>
      </c>
      <c r="BG147" s="156">
        <f t="shared" si="40"/>
        <v>9.9999999999999995E-8</v>
      </c>
      <c r="BI147" s="140">
        <f t="shared" si="41"/>
        <v>3.8000000000000005E-6</v>
      </c>
      <c r="BJ147">
        <v>0.38</v>
      </c>
      <c r="BK147" s="140">
        <f t="shared" si="42"/>
        <v>3.799999999999999E-8</v>
      </c>
      <c r="BL147" s="140">
        <f t="shared" si="43"/>
        <v>7.5999999999999992E-8</v>
      </c>
      <c r="BM147" s="140">
        <f t="shared" si="44"/>
        <v>1.1400000000000001E-7</v>
      </c>
      <c r="BN147" s="140">
        <f t="shared" si="45"/>
        <v>1.5200000000000001E-7</v>
      </c>
      <c r="BO147" s="140">
        <f t="shared" si="46"/>
        <v>1.9000000000000003E-7</v>
      </c>
      <c r="BP147" s="157">
        <f>IF(BI147&lt;$B$105*DATA!$H$1037,DATA!$H$1037,IF(BI147&gt;DATA!$H$1036*$B$105,DATA!$H$1036,1))</f>
        <v>1.2</v>
      </c>
      <c r="BQ147" s="156">
        <f t="shared" si="47"/>
        <v>9.9999999999999995E-8</v>
      </c>
    </row>
    <row r="148" spans="1:69">
      <c r="A148" s="140">
        <f t="shared" si="7"/>
        <v>4.0000000000000007E-6</v>
      </c>
      <c r="B148">
        <v>0.4</v>
      </c>
      <c r="C148" s="140">
        <f t="shared" si="3"/>
        <v>3.9999999999999994E-8</v>
      </c>
      <c r="D148" s="140">
        <f t="shared" si="3"/>
        <v>8.0000000000000002E-8</v>
      </c>
      <c r="E148" s="140">
        <f t="shared" si="3"/>
        <v>1.2000000000000002E-7</v>
      </c>
      <c r="F148" s="140">
        <f t="shared" si="3"/>
        <v>1.6000000000000003E-7</v>
      </c>
      <c r="G148" s="140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8"/>
        <v>9.9999999999999995E-8</v>
      </c>
      <c r="K148" s="140">
        <f t="shared" si="9"/>
        <v>4.0000000000000007E-6</v>
      </c>
      <c r="L148">
        <v>0.4</v>
      </c>
      <c r="M148" s="140">
        <f t="shared" si="10"/>
        <v>3.9999999999999994E-8</v>
      </c>
      <c r="N148" s="140">
        <f t="shared" si="11"/>
        <v>8.0000000000000002E-8</v>
      </c>
      <c r="O148" s="140">
        <f t="shared" si="12"/>
        <v>1.2000000000000002E-7</v>
      </c>
      <c r="P148" s="140">
        <f t="shared" si="13"/>
        <v>1.6000000000000003E-7</v>
      </c>
      <c r="Q148" s="140">
        <f t="shared" si="14"/>
        <v>2.0000000000000004E-7</v>
      </c>
      <c r="R148" s="157">
        <f>IF(K148&lt;$B$25*DATA!$H$1037,DATA!$H$1037,IF(K148&gt;DATA!$H$1036*$B$25,DATA!$H$1036,1))</f>
        <v>0.8</v>
      </c>
      <c r="S148" s="156">
        <f t="shared" si="4"/>
        <v>9.9999999999999995E-8</v>
      </c>
      <c r="U148" s="140">
        <f t="shared" si="15"/>
        <v>4.0000000000000007E-6</v>
      </c>
      <c r="V148">
        <v>0.4</v>
      </c>
      <c r="W148" s="140">
        <f t="shared" si="16"/>
        <v>3.9999999999999994E-8</v>
      </c>
      <c r="X148" s="140">
        <f t="shared" si="17"/>
        <v>8.0000000000000002E-8</v>
      </c>
      <c r="Y148" s="140">
        <f t="shared" si="18"/>
        <v>1.2000000000000002E-7</v>
      </c>
      <c r="Z148" s="140">
        <f t="shared" si="19"/>
        <v>1.6000000000000003E-7</v>
      </c>
      <c r="AA148" s="140">
        <f t="shared" si="20"/>
        <v>2.0000000000000004E-7</v>
      </c>
      <c r="AB148" s="157">
        <f>IF(U148&lt;$B$41*DATA!$H$1037,DATA!$H$1037,IF(U148&gt;DATA!$H$1036*$B$41,DATA!$H$1036,1))</f>
        <v>0.8</v>
      </c>
      <c r="AC148" s="156">
        <f t="shared" si="5"/>
        <v>9.9999999999999995E-8</v>
      </c>
      <c r="AE148" s="140">
        <f t="shared" si="21"/>
        <v>4.0000000000000007E-6</v>
      </c>
      <c r="AF148">
        <v>0.4</v>
      </c>
      <c r="AG148" s="140">
        <f t="shared" si="22"/>
        <v>3.9999999999999994E-8</v>
      </c>
      <c r="AH148" s="140">
        <f t="shared" si="23"/>
        <v>8.0000000000000002E-8</v>
      </c>
      <c r="AI148" s="140">
        <f t="shared" si="24"/>
        <v>1.2000000000000002E-7</v>
      </c>
      <c r="AJ148" s="140">
        <f t="shared" si="25"/>
        <v>1.6000000000000003E-7</v>
      </c>
      <c r="AK148" s="140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6"/>
        <v>9.9999999999999995E-8</v>
      </c>
      <c r="AO148" s="140">
        <f t="shared" si="27"/>
        <v>4.0000000000000007E-6</v>
      </c>
      <c r="AP148">
        <v>0.4</v>
      </c>
      <c r="AQ148" s="140">
        <f t="shared" si="28"/>
        <v>3.9999999999999994E-8</v>
      </c>
      <c r="AR148" s="140">
        <f t="shared" si="29"/>
        <v>8.0000000000000002E-8</v>
      </c>
      <c r="AS148" s="140">
        <f t="shared" si="30"/>
        <v>1.2000000000000002E-7</v>
      </c>
      <c r="AT148" s="140">
        <f t="shared" si="31"/>
        <v>1.6000000000000003E-7</v>
      </c>
      <c r="AU148" s="140">
        <f t="shared" si="32"/>
        <v>2.0000000000000004E-7</v>
      </c>
      <c r="AV148" s="157">
        <f>IF(AO148&lt;$B$73*DATA!$H$1037,DATA!$H$1037,IF(AO148&gt;DATA!$H$1036*$B$73,DATA!$H$1036,1))</f>
        <v>1.2</v>
      </c>
      <c r="AW148" s="156">
        <f t="shared" si="33"/>
        <v>9.9999999999999995E-8</v>
      </c>
      <c r="AY148" s="140">
        <f t="shared" si="34"/>
        <v>4.0000000000000007E-6</v>
      </c>
      <c r="AZ148">
        <v>0.4</v>
      </c>
      <c r="BA148" s="140">
        <f t="shared" si="35"/>
        <v>3.9999999999999994E-8</v>
      </c>
      <c r="BB148" s="140">
        <f t="shared" si="36"/>
        <v>8.0000000000000002E-8</v>
      </c>
      <c r="BC148" s="140">
        <f t="shared" si="37"/>
        <v>1.2000000000000002E-7</v>
      </c>
      <c r="BD148" s="140">
        <f t="shared" si="38"/>
        <v>1.6000000000000003E-7</v>
      </c>
      <c r="BE148" s="140">
        <f t="shared" si="39"/>
        <v>2.0000000000000004E-7</v>
      </c>
      <c r="BF148" s="157">
        <f>IF(AY148&lt;$B$89*DATA!$H$1037,DATA!$H$1037,IF(AY148&gt;DATA!$H$1036*$B$89,DATA!$H$1036,1))</f>
        <v>1.2</v>
      </c>
      <c r="BG148" s="156">
        <f t="shared" si="40"/>
        <v>9.9999999999999995E-8</v>
      </c>
      <c r="BI148" s="140">
        <f t="shared" si="41"/>
        <v>4.0000000000000007E-6</v>
      </c>
      <c r="BJ148">
        <v>0.4</v>
      </c>
      <c r="BK148" s="140">
        <f t="shared" si="42"/>
        <v>3.9999999999999994E-8</v>
      </c>
      <c r="BL148" s="140">
        <f t="shared" si="43"/>
        <v>8.0000000000000002E-8</v>
      </c>
      <c r="BM148" s="140">
        <f t="shared" si="44"/>
        <v>1.2000000000000002E-7</v>
      </c>
      <c r="BN148" s="140">
        <f t="shared" si="45"/>
        <v>1.6000000000000003E-7</v>
      </c>
      <c r="BO148" s="140">
        <f t="shared" si="46"/>
        <v>2.0000000000000004E-7</v>
      </c>
      <c r="BP148" s="157">
        <f>IF(BI148&lt;$B$105*DATA!$H$1037,DATA!$H$1037,IF(BI148&gt;DATA!$H$1036*$B$105,DATA!$H$1036,1))</f>
        <v>1.2</v>
      </c>
      <c r="BQ148" s="156">
        <f t="shared" si="47"/>
        <v>9.9999999999999995E-8</v>
      </c>
    </row>
    <row r="149" spans="1:69">
      <c r="A149" s="140">
        <f t="shared" si="7"/>
        <v>4.2000000000000004E-6</v>
      </c>
      <c r="B149">
        <v>0.42</v>
      </c>
      <c r="C149" s="140">
        <f t="shared" si="3"/>
        <v>4.1999999999999992E-8</v>
      </c>
      <c r="D149" s="140">
        <f t="shared" si="3"/>
        <v>8.3999999999999998E-8</v>
      </c>
      <c r="E149" s="140">
        <f t="shared" si="3"/>
        <v>1.2600000000000002E-7</v>
      </c>
      <c r="F149" s="140">
        <f t="shared" si="3"/>
        <v>1.6800000000000002E-7</v>
      </c>
      <c r="G149" s="140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8"/>
        <v>9.9999999999999995E-8</v>
      </c>
      <c r="K149" s="140">
        <f t="shared" si="9"/>
        <v>4.2000000000000004E-6</v>
      </c>
      <c r="L149">
        <v>0.42</v>
      </c>
      <c r="M149" s="140">
        <f t="shared" si="10"/>
        <v>4.1999999999999992E-8</v>
      </c>
      <c r="N149" s="140">
        <f t="shared" si="11"/>
        <v>8.3999999999999998E-8</v>
      </c>
      <c r="O149" s="140">
        <f t="shared" si="12"/>
        <v>1.2600000000000002E-7</v>
      </c>
      <c r="P149" s="140">
        <f t="shared" si="13"/>
        <v>1.6800000000000002E-7</v>
      </c>
      <c r="Q149" s="140">
        <f t="shared" si="14"/>
        <v>2.1000000000000003E-7</v>
      </c>
      <c r="R149" s="157">
        <f>IF(K149&lt;$B$25*DATA!$H$1037,DATA!$H$1037,IF(K149&gt;DATA!$H$1036*$B$25,DATA!$H$1036,1))</f>
        <v>0.8</v>
      </c>
      <c r="S149" s="156">
        <f t="shared" si="4"/>
        <v>9.9999999999999995E-8</v>
      </c>
      <c r="U149" s="140">
        <f t="shared" si="15"/>
        <v>4.2000000000000004E-6</v>
      </c>
      <c r="V149">
        <v>0.42</v>
      </c>
      <c r="W149" s="140">
        <f t="shared" si="16"/>
        <v>4.1999999999999992E-8</v>
      </c>
      <c r="X149" s="140">
        <f t="shared" si="17"/>
        <v>8.3999999999999998E-8</v>
      </c>
      <c r="Y149" s="140">
        <f t="shared" si="18"/>
        <v>1.2600000000000002E-7</v>
      </c>
      <c r="Z149" s="140">
        <f t="shared" si="19"/>
        <v>1.6800000000000002E-7</v>
      </c>
      <c r="AA149" s="140">
        <f t="shared" si="20"/>
        <v>2.1000000000000003E-7</v>
      </c>
      <c r="AB149" s="157">
        <f>IF(U149&lt;$B$41*DATA!$H$1037,DATA!$H$1037,IF(U149&gt;DATA!$H$1036*$B$41,DATA!$H$1036,1))</f>
        <v>0.8</v>
      </c>
      <c r="AC149" s="156">
        <f t="shared" si="5"/>
        <v>9.9999999999999995E-8</v>
      </c>
      <c r="AE149" s="140">
        <f t="shared" si="21"/>
        <v>4.2000000000000004E-6</v>
      </c>
      <c r="AF149">
        <v>0.42</v>
      </c>
      <c r="AG149" s="140">
        <f t="shared" si="22"/>
        <v>4.1999999999999992E-8</v>
      </c>
      <c r="AH149" s="140">
        <f t="shared" si="23"/>
        <v>8.3999999999999998E-8</v>
      </c>
      <c r="AI149" s="140">
        <f t="shared" si="24"/>
        <v>1.2600000000000002E-7</v>
      </c>
      <c r="AJ149" s="140">
        <f t="shared" si="25"/>
        <v>1.6800000000000002E-7</v>
      </c>
      <c r="AK149" s="140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6"/>
        <v>9.9999999999999995E-8</v>
      </c>
      <c r="AO149" s="140">
        <f t="shared" si="27"/>
        <v>4.2000000000000004E-6</v>
      </c>
      <c r="AP149">
        <v>0.42</v>
      </c>
      <c r="AQ149" s="140">
        <f t="shared" si="28"/>
        <v>4.1999999999999992E-8</v>
      </c>
      <c r="AR149" s="140">
        <f t="shared" si="29"/>
        <v>8.3999999999999998E-8</v>
      </c>
      <c r="AS149" s="140">
        <f t="shared" si="30"/>
        <v>1.2600000000000002E-7</v>
      </c>
      <c r="AT149" s="140">
        <f t="shared" si="31"/>
        <v>1.6800000000000002E-7</v>
      </c>
      <c r="AU149" s="140">
        <f t="shared" si="32"/>
        <v>2.1000000000000003E-7</v>
      </c>
      <c r="AV149" s="157">
        <f>IF(AO149&lt;$B$73*DATA!$H$1037,DATA!$H$1037,IF(AO149&gt;DATA!$H$1036*$B$73,DATA!$H$1036,1))</f>
        <v>1.2</v>
      </c>
      <c r="AW149" s="156">
        <f t="shared" si="33"/>
        <v>9.9999999999999995E-8</v>
      </c>
      <c r="AY149" s="140">
        <f t="shared" si="34"/>
        <v>4.2000000000000004E-6</v>
      </c>
      <c r="AZ149">
        <v>0.42</v>
      </c>
      <c r="BA149" s="140">
        <f t="shared" si="35"/>
        <v>4.1999999999999992E-8</v>
      </c>
      <c r="BB149" s="140">
        <f t="shared" si="36"/>
        <v>8.3999999999999998E-8</v>
      </c>
      <c r="BC149" s="140">
        <f t="shared" si="37"/>
        <v>1.2600000000000002E-7</v>
      </c>
      <c r="BD149" s="140">
        <f t="shared" si="38"/>
        <v>1.6800000000000002E-7</v>
      </c>
      <c r="BE149" s="140">
        <f t="shared" si="39"/>
        <v>2.1000000000000003E-7</v>
      </c>
      <c r="BF149" s="157">
        <f>IF(AY149&lt;$B$89*DATA!$H$1037,DATA!$H$1037,IF(AY149&gt;DATA!$H$1036*$B$89,DATA!$H$1036,1))</f>
        <v>1.2</v>
      </c>
      <c r="BG149" s="156">
        <f t="shared" si="40"/>
        <v>9.9999999999999995E-8</v>
      </c>
      <c r="BI149" s="140">
        <f t="shared" si="41"/>
        <v>4.2000000000000004E-6</v>
      </c>
      <c r="BJ149">
        <v>0.42</v>
      </c>
      <c r="BK149" s="140">
        <f t="shared" si="42"/>
        <v>4.1999999999999992E-8</v>
      </c>
      <c r="BL149" s="140">
        <f t="shared" si="43"/>
        <v>8.3999999999999998E-8</v>
      </c>
      <c r="BM149" s="140">
        <f t="shared" si="44"/>
        <v>1.2600000000000002E-7</v>
      </c>
      <c r="BN149" s="140">
        <f t="shared" si="45"/>
        <v>1.6800000000000002E-7</v>
      </c>
      <c r="BO149" s="140">
        <f t="shared" si="46"/>
        <v>2.1000000000000003E-7</v>
      </c>
      <c r="BP149" s="157">
        <f>IF(BI149&lt;$B$105*DATA!$H$1037,DATA!$H$1037,IF(BI149&gt;DATA!$H$1036*$B$105,DATA!$H$1036,1))</f>
        <v>1.2</v>
      </c>
      <c r="BQ149" s="156">
        <f t="shared" si="47"/>
        <v>9.9999999999999995E-8</v>
      </c>
    </row>
    <row r="150" spans="1:69">
      <c r="A150" s="140">
        <f t="shared" si="7"/>
        <v>4.4000000000000002E-6</v>
      </c>
      <c r="B150">
        <v>0.44</v>
      </c>
      <c r="C150" s="140">
        <f t="shared" si="3"/>
        <v>4.399999999999999E-8</v>
      </c>
      <c r="D150" s="140">
        <f t="shared" si="3"/>
        <v>8.7999999999999994E-8</v>
      </c>
      <c r="E150" s="140">
        <f t="shared" si="3"/>
        <v>1.3199999999999999E-7</v>
      </c>
      <c r="F150" s="140">
        <f t="shared" si="3"/>
        <v>1.7600000000000001E-7</v>
      </c>
      <c r="G150" s="140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8"/>
        <v>9.9999999999999995E-8</v>
      </c>
      <c r="K150" s="140">
        <f t="shared" si="9"/>
        <v>4.4000000000000002E-6</v>
      </c>
      <c r="L150">
        <v>0.44</v>
      </c>
      <c r="M150" s="140">
        <f t="shared" si="10"/>
        <v>4.399999999999999E-8</v>
      </c>
      <c r="N150" s="140">
        <f t="shared" si="11"/>
        <v>8.7999999999999994E-8</v>
      </c>
      <c r="O150" s="140">
        <f t="shared" si="12"/>
        <v>1.3199999999999999E-7</v>
      </c>
      <c r="P150" s="140">
        <f t="shared" si="13"/>
        <v>1.7600000000000001E-7</v>
      </c>
      <c r="Q150" s="140">
        <f t="shared" si="14"/>
        <v>2.2000000000000001E-7</v>
      </c>
      <c r="R150" s="157">
        <f>IF(K150&lt;$B$25*DATA!$H$1037,DATA!$H$1037,IF(K150&gt;DATA!$H$1036*$B$25,DATA!$H$1036,1))</f>
        <v>0.8</v>
      </c>
      <c r="S150" s="156">
        <f t="shared" si="4"/>
        <v>9.9999999999999995E-8</v>
      </c>
      <c r="U150" s="140">
        <f t="shared" si="15"/>
        <v>4.4000000000000002E-6</v>
      </c>
      <c r="V150">
        <v>0.44</v>
      </c>
      <c r="W150" s="140">
        <f t="shared" si="16"/>
        <v>4.399999999999999E-8</v>
      </c>
      <c r="X150" s="140">
        <f t="shared" si="17"/>
        <v>8.7999999999999994E-8</v>
      </c>
      <c r="Y150" s="140">
        <f t="shared" si="18"/>
        <v>1.3199999999999999E-7</v>
      </c>
      <c r="Z150" s="140">
        <f t="shared" si="19"/>
        <v>1.7600000000000001E-7</v>
      </c>
      <c r="AA150" s="140">
        <f t="shared" si="20"/>
        <v>2.2000000000000001E-7</v>
      </c>
      <c r="AB150" s="157">
        <f>IF(U150&lt;$B$41*DATA!$H$1037,DATA!$H$1037,IF(U150&gt;DATA!$H$1036*$B$41,DATA!$H$1036,1))</f>
        <v>0.8</v>
      </c>
      <c r="AC150" s="156">
        <f t="shared" si="5"/>
        <v>9.9999999999999995E-8</v>
      </c>
      <c r="AE150" s="140">
        <f t="shared" si="21"/>
        <v>4.4000000000000002E-6</v>
      </c>
      <c r="AF150">
        <v>0.44</v>
      </c>
      <c r="AG150" s="140">
        <f t="shared" si="22"/>
        <v>4.399999999999999E-8</v>
      </c>
      <c r="AH150" s="140">
        <f t="shared" si="23"/>
        <v>8.7999999999999994E-8</v>
      </c>
      <c r="AI150" s="140">
        <f t="shared" si="24"/>
        <v>1.3199999999999999E-7</v>
      </c>
      <c r="AJ150" s="140">
        <f t="shared" si="25"/>
        <v>1.7600000000000001E-7</v>
      </c>
      <c r="AK150" s="140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6"/>
        <v>9.9999999999999995E-8</v>
      </c>
      <c r="AO150" s="140">
        <f t="shared" si="27"/>
        <v>4.4000000000000002E-6</v>
      </c>
      <c r="AP150">
        <v>0.44</v>
      </c>
      <c r="AQ150" s="140">
        <f t="shared" si="28"/>
        <v>4.399999999999999E-8</v>
      </c>
      <c r="AR150" s="140">
        <f t="shared" si="29"/>
        <v>8.7999999999999994E-8</v>
      </c>
      <c r="AS150" s="140">
        <f t="shared" si="30"/>
        <v>1.3199999999999999E-7</v>
      </c>
      <c r="AT150" s="140">
        <f t="shared" si="31"/>
        <v>1.7600000000000001E-7</v>
      </c>
      <c r="AU150" s="140">
        <f t="shared" si="32"/>
        <v>2.2000000000000001E-7</v>
      </c>
      <c r="AV150" s="157">
        <f>IF(AO150&lt;$B$73*DATA!$H$1037,DATA!$H$1037,IF(AO150&gt;DATA!$H$1036*$B$73,DATA!$H$1036,1))</f>
        <v>1.2</v>
      </c>
      <c r="AW150" s="156">
        <f t="shared" si="33"/>
        <v>9.9999999999999995E-8</v>
      </c>
      <c r="AY150" s="140">
        <f t="shared" si="34"/>
        <v>4.4000000000000002E-6</v>
      </c>
      <c r="AZ150">
        <v>0.44</v>
      </c>
      <c r="BA150" s="140">
        <f t="shared" si="35"/>
        <v>4.399999999999999E-8</v>
      </c>
      <c r="BB150" s="140">
        <f t="shared" si="36"/>
        <v>8.7999999999999994E-8</v>
      </c>
      <c r="BC150" s="140">
        <f t="shared" si="37"/>
        <v>1.3199999999999999E-7</v>
      </c>
      <c r="BD150" s="140">
        <f t="shared" si="38"/>
        <v>1.7600000000000001E-7</v>
      </c>
      <c r="BE150" s="140">
        <f t="shared" si="39"/>
        <v>2.2000000000000001E-7</v>
      </c>
      <c r="BF150" s="157">
        <f>IF(AY150&lt;$B$89*DATA!$H$1037,DATA!$H$1037,IF(AY150&gt;DATA!$H$1036*$B$89,DATA!$H$1036,1))</f>
        <v>1.2</v>
      </c>
      <c r="BG150" s="156">
        <f t="shared" si="40"/>
        <v>9.9999999999999995E-8</v>
      </c>
      <c r="BI150" s="140">
        <f t="shared" si="41"/>
        <v>4.4000000000000002E-6</v>
      </c>
      <c r="BJ150">
        <v>0.44</v>
      </c>
      <c r="BK150" s="140">
        <f t="shared" si="42"/>
        <v>4.399999999999999E-8</v>
      </c>
      <c r="BL150" s="140">
        <f t="shared" si="43"/>
        <v>8.7999999999999994E-8</v>
      </c>
      <c r="BM150" s="140">
        <f t="shared" si="44"/>
        <v>1.3199999999999999E-7</v>
      </c>
      <c r="BN150" s="140">
        <f t="shared" si="45"/>
        <v>1.7600000000000001E-7</v>
      </c>
      <c r="BO150" s="140">
        <f t="shared" si="46"/>
        <v>2.2000000000000001E-7</v>
      </c>
      <c r="BP150" s="157">
        <f>IF(BI150&lt;$B$105*DATA!$H$1037,DATA!$H$1037,IF(BI150&gt;DATA!$H$1036*$B$105,DATA!$H$1036,1))</f>
        <v>1.2</v>
      </c>
      <c r="BQ150" s="156">
        <f t="shared" si="47"/>
        <v>9.9999999999999995E-8</v>
      </c>
    </row>
    <row r="151" spans="1:69">
      <c r="A151" s="140">
        <f t="shared" si="7"/>
        <v>4.6000000000000009E-6</v>
      </c>
      <c r="B151">
        <v>0.46</v>
      </c>
      <c r="C151" s="140">
        <f t="shared" si="3"/>
        <v>4.5999999999999995E-8</v>
      </c>
      <c r="D151" s="140">
        <f t="shared" si="3"/>
        <v>9.2000000000000003E-8</v>
      </c>
      <c r="E151" s="140">
        <f t="shared" si="3"/>
        <v>1.3800000000000002E-7</v>
      </c>
      <c r="F151" s="140">
        <f t="shared" si="3"/>
        <v>1.8400000000000003E-7</v>
      </c>
      <c r="G151" s="140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8"/>
        <v>9.9999999999999995E-8</v>
      </c>
      <c r="K151" s="140">
        <f t="shared" si="9"/>
        <v>4.6000000000000009E-6</v>
      </c>
      <c r="L151">
        <v>0.46</v>
      </c>
      <c r="M151" s="140">
        <f t="shared" si="10"/>
        <v>4.5999999999999995E-8</v>
      </c>
      <c r="N151" s="140">
        <f t="shared" si="11"/>
        <v>9.2000000000000003E-8</v>
      </c>
      <c r="O151" s="140">
        <f t="shared" si="12"/>
        <v>1.3800000000000002E-7</v>
      </c>
      <c r="P151" s="140">
        <f t="shared" si="13"/>
        <v>1.8400000000000003E-7</v>
      </c>
      <c r="Q151" s="140">
        <f t="shared" si="14"/>
        <v>2.3000000000000005E-7</v>
      </c>
      <c r="R151" s="157">
        <f>IF(K151&lt;$B$25*DATA!$H$1037,DATA!$H$1037,IF(K151&gt;DATA!$H$1036*$B$25,DATA!$H$1036,1))</f>
        <v>0.8</v>
      </c>
      <c r="S151" s="156">
        <f t="shared" si="4"/>
        <v>9.9999999999999995E-8</v>
      </c>
      <c r="U151" s="140">
        <f t="shared" si="15"/>
        <v>4.6000000000000009E-6</v>
      </c>
      <c r="V151">
        <v>0.46</v>
      </c>
      <c r="W151" s="140">
        <f t="shared" si="16"/>
        <v>4.5999999999999995E-8</v>
      </c>
      <c r="X151" s="140">
        <f t="shared" si="17"/>
        <v>9.2000000000000003E-8</v>
      </c>
      <c r="Y151" s="140">
        <f t="shared" si="18"/>
        <v>1.3800000000000002E-7</v>
      </c>
      <c r="Z151" s="140">
        <f t="shared" si="19"/>
        <v>1.8400000000000003E-7</v>
      </c>
      <c r="AA151" s="140">
        <f t="shared" si="20"/>
        <v>2.3000000000000005E-7</v>
      </c>
      <c r="AB151" s="157">
        <f>IF(U151&lt;$B$41*DATA!$H$1037,DATA!$H$1037,IF(U151&gt;DATA!$H$1036*$B$41,DATA!$H$1036,1))</f>
        <v>0.8</v>
      </c>
      <c r="AC151" s="156">
        <f t="shared" si="5"/>
        <v>9.9999999999999995E-8</v>
      </c>
      <c r="AE151" s="140">
        <f t="shared" si="21"/>
        <v>4.6000000000000009E-6</v>
      </c>
      <c r="AF151">
        <v>0.46</v>
      </c>
      <c r="AG151" s="140">
        <f t="shared" si="22"/>
        <v>4.5999999999999995E-8</v>
      </c>
      <c r="AH151" s="140">
        <f t="shared" si="23"/>
        <v>9.2000000000000003E-8</v>
      </c>
      <c r="AI151" s="140">
        <f t="shared" si="24"/>
        <v>1.3800000000000002E-7</v>
      </c>
      <c r="AJ151" s="140">
        <f t="shared" si="25"/>
        <v>1.8400000000000003E-7</v>
      </c>
      <c r="AK151" s="140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6"/>
        <v>9.9999999999999995E-8</v>
      </c>
      <c r="AO151" s="140">
        <f t="shared" si="27"/>
        <v>4.6000000000000009E-6</v>
      </c>
      <c r="AP151">
        <v>0.46</v>
      </c>
      <c r="AQ151" s="140">
        <f t="shared" si="28"/>
        <v>4.5999999999999995E-8</v>
      </c>
      <c r="AR151" s="140">
        <f t="shared" si="29"/>
        <v>9.2000000000000003E-8</v>
      </c>
      <c r="AS151" s="140">
        <f t="shared" si="30"/>
        <v>1.3800000000000002E-7</v>
      </c>
      <c r="AT151" s="140">
        <f t="shared" si="31"/>
        <v>1.8400000000000003E-7</v>
      </c>
      <c r="AU151" s="140">
        <f t="shared" si="32"/>
        <v>2.3000000000000005E-7</v>
      </c>
      <c r="AV151" s="157">
        <f>IF(AO151&lt;$B$73*DATA!$H$1037,DATA!$H$1037,IF(AO151&gt;DATA!$H$1036*$B$73,DATA!$H$1036,1))</f>
        <v>1.2</v>
      </c>
      <c r="AW151" s="156">
        <f t="shared" si="33"/>
        <v>9.9999999999999995E-8</v>
      </c>
      <c r="AY151" s="140">
        <f t="shared" si="34"/>
        <v>4.6000000000000009E-6</v>
      </c>
      <c r="AZ151">
        <v>0.46</v>
      </c>
      <c r="BA151" s="140">
        <f t="shared" si="35"/>
        <v>4.5999999999999995E-8</v>
      </c>
      <c r="BB151" s="140">
        <f t="shared" si="36"/>
        <v>9.2000000000000003E-8</v>
      </c>
      <c r="BC151" s="140">
        <f t="shared" si="37"/>
        <v>1.3800000000000002E-7</v>
      </c>
      <c r="BD151" s="140">
        <f t="shared" si="38"/>
        <v>1.8400000000000003E-7</v>
      </c>
      <c r="BE151" s="140">
        <f t="shared" si="39"/>
        <v>2.3000000000000005E-7</v>
      </c>
      <c r="BF151" s="157">
        <f>IF(AY151&lt;$B$89*DATA!$H$1037,DATA!$H$1037,IF(AY151&gt;DATA!$H$1036*$B$89,DATA!$H$1036,1))</f>
        <v>1.2</v>
      </c>
      <c r="BG151" s="156">
        <f t="shared" si="40"/>
        <v>9.9999999999999995E-8</v>
      </c>
      <c r="BI151" s="140">
        <f t="shared" si="41"/>
        <v>4.6000000000000009E-6</v>
      </c>
      <c r="BJ151">
        <v>0.46</v>
      </c>
      <c r="BK151" s="140">
        <f t="shared" si="42"/>
        <v>4.5999999999999995E-8</v>
      </c>
      <c r="BL151" s="140">
        <f t="shared" si="43"/>
        <v>9.2000000000000003E-8</v>
      </c>
      <c r="BM151" s="140">
        <f t="shared" si="44"/>
        <v>1.3800000000000002E-7</v>
      </c>
      <c r="BN151" s="140">
        <f t="shared" si="45"/>
        <v>1.8400000000000003E-7</v>
      </c>
      <c r="BO151" s="140">
        <f t="shared" si="46"/>
        <v>2.3000000000000005E-7</v>
      </c>
      <c r="BP151" s="157">
        <f>IF(BI151&lt;$B$105*DATA!$H$1037,DATA!$H$1037,IF(BI151&gt;DATA!$H$1036*$B$105,DATA!$H$1036,1))</f>
        <v>1.2</v>
      </c>
      <c r="BQ151" s="156">
        <f t="shared" si="47"/>
        <v>9.9999999999999995E-8</v>
      </c>
    </row>
    <row r="152" spans="1:69">
      <c r="A152" s="140">
        <f t="shared" si="7"/>
        <v>4.8000000000000006E-6</v>
      </c>
      <c r="B152">
        <v>0.48</v>
      </c>
      <c r="C152" s="140">
        <f t="shared" si="3"/>
        <v>4.7999999999999993E-8</v>
      </c>
      <c r="D152" s="140">
        <f t="shared" si="3"/>
        <v>9.5999999999999999E-8</v>
      </c>
      <c r="E152" s="140">
        <f t="shared" si="3"/>
        <v>1.4400000000000002E-7</v>
      </c>
      <c r="F152" s="140">
        <f t="shared" si="3"/>
        <v>1.9200000000000003E-7</v>
      </c>
      <c r="G152" s="140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8"/>
        <v>9.9999999999999995E-8</v>
      </c>
      <c r="K152" s="140">
        <f t="shared" si="9"/>
        <v>4.8000000000000006E-6</v>
      </c>
      <c r="L152">
        <v>0.48</v>
      </c>
      <c r="M152" s="140">
        <f t="shared" si="10"/>
        <v>4.7999999999999993E-8</v>
      </c>
      <c r="N152" s="140">
        <f t="shared" si="11"/>
        <v>9.5999999999999999E-8</v>
      </c>
      <c r="O152" s="140">
        <f t="shared" si="12"/>
        <v>1.4400000000000002E-7</v>
      </c>
      <c r="P152" s="140">
        <f t="shared" si="13"/>
        <v>1.9200000000000003E-7</v>
      </c>
      <c r="Q152" s="140">
        <f t="shared" si="14"/>
        <v>2.4000000000000003E-7</v>
      </c>
      <c r="R152" s="157">
        <f>IF(K152&lt;$B$25*DATA!$H$1037,DATA!$H$1037,IF(K152&gt;DATA!$H$1036*$B$25,DATA!$H$1036,1))</f>
        <v>0.8</v>
      </c>
      <c r="S152" s="156">
        <f t="shared" si="4"/>
        <v>9.9999999999999995E-8</v>
      </c>
      <c r="U152" s="140">
        <f t="shared" si="15"/>
        <v>4.8000000000000006E-6</v>
      </c>
      <c r="V152">
        <v>0.48</v>
      </c>
      <c r="W152" s="140">
        <f t="shared" si="16"/>
        <v>4.7999999999999993E-8</v>
      </c>
      <c r="X152" s="140">
        <f t="shared" si="17"/>
        <v>9.5999999999999999E-8</v>
      </c>
      <c r="Y152" s="140">
        <f t="shared" si="18"/>
        <v>1.4400000000000002E-7</v>
      </c>
      <c r="Z152" s="140">
        <f t="shared" si="19"/>
        <v>1.9200000000000003E-7</v>
      </c>
      <c r="AA152" s="140">
        <f t="shared" si="20"/>
        <v>2.4000000000000003E-7</v>
      </c>
      <c r="AB152" s="157">
        <f>IF(U152&lt;$B$41*DATA!$H$1037,DATA!$H$1037,IF(U152&gt;DATA!$H$1036*$B$41,DATA!$H$1036,1))</f>
        <v>0.8</v>
      </c>
      <c r="AC152" s="156">
        <f t="shared" si="5"/>
        <v>9.9999999999999995E-8</v>
      </c>
      <c r="AE152" s="140">
        <f t="shared" si="21"/>
        <v>4.8000000000000006E-6</v>
      </c>
      <c r="AF152">
        <v>0.48</v>
      </c>
      <c r="AG152" s="140">
        <f t="shared" si="22"/>
        <v>4.7999999999999993E-8</v>
      </c>
      <c r="AH152" s="140">
        <f t="shared" si="23"/>
        <v>9.5999999999999999E-8</v>
      </c>
      <c r="AI152" s="140">
        <f t="shared" si="24"/>
        <v>1.4400000000000002E-7</v>
      </c>
      <c r="AJ152" s="140">
        <f t="shared" si="25"/>
        <v>1.9200000000000003E-7</v>
      </c>
      <c r="AK152" s="140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6"/>
        <v>9.9999999999999995E-8</v>
      </c>
      <c r="AO152" s="140">
        <f t="shared" si="27"/>
        <v>4.8000000000000006E-6</v>
      </c>
      <c r="AP152">
        <v>0.48</v>
      </c>
      <c r="AQ152" s="140">
        <f t="shared" si="28"/>
        <v>4.7999999999999993E-8</v>
      </c>
      <c r="AR152" s="140">
        <f t="shared" si="29"/>
        <v>9.5999999999999999E-8</v>
      </c>
      <c r="AS152" s="140">
        <f t="shared" si="30"/>
        <v>1.4400000000000002E-7</v>
      </c>
      <c r="AT152" s="140">
        <f t="shared" si="31"/>
        <v>1.9200000000000003E-7</v>
      </c>
      <c r="AU152" s="140">
        <f t="shared" si="32"/>
        <v>2.4000000000000003E-7</v>
      </c>
      <c r="AV152" s="157">
        <f>IF(AO152&lt;$B$73*DATA!$H$1037,DATA!$H$1037,IF(AO152&gt;DATA!$H$1036*$B$73,DATA!$H$1036,1))</f>
        <v>1.2</v>
      </c>
      <c r="AW152" s="156">
        <f t="shared" si="33"/>
        <v>9.9999999999999995E-8</v>
      </c>
      <c r="AY152" s="140">
        <f t="shared" si="34"/>
        <v>4.8000000000000006E-6</v>
      </c>
      <c r="AZ152">
        <v>0.48</v>
      </c>
      <c r="BA152" s="140">
        <f t="shared" si="35"/>
        <v>4.7999999999999993E-8</v>
      </c>
      <c r="BB152" s="140">
        <f t="shared" si="36"/>
        <v>9.5999999999999999E-8</v>
      </c>
      <c r="BC152" s="140">
        <f t="shared" si="37"/>
        <v>1.4400000000000002E-7</v>
      </c>
      <c r="BD152" s="140">
        <f t="shared" si="38"/>
        <v>1.9200000000000003E-7</v>
      </c>
      <c r="BE152" s="140">
        <f t="shared" si="39"/>
        <v>2.4000000000000003E-7</v>
      </c>
      <c r="BF152" s="157">
        <f>IF(AY152&lt;$B$89*DATA!$H$1037,DATA!$H$1037,IF(AY152&gt;DATA!$H$1036*$B$89,DATA!$H$1036,1))</f>
        <v>1.2</v>
      </c>
      <c r="BG152" s="156">
        <f t="shared" si="40"/>
        <v>9.9999999999999995E-8</v>
      </c>
      <c r="BI152" s="140">
        <f t="shared" si="41"/>
        <v>4.8000000000000006E-6</v>
      </c>
      <c r="BJ152">
        <v>0.48</v>
      </c>
      <c r="BK152" s="140">
        <f t="shared" si="42"/>
        <v>4.7999999999999993E-8</v>
      </c>
      <c r="BL152" s="140">
        <f t="shared" si="43"/>
        <v>9.5999999999999999E-8</v>
      </c>
      <c r="BM152" s="140">
        <f t="shared" si="44"/>
        <v>1.4400000000000002E-7</v>
      </c>
      <c r="BN152" s="140">
        <f t="shared" si="45"/>
        <v>1.9200000000000003E-7</v>
      </c>
      <c r="BO152" s="140">
        <f t="shared" si="46"/>
        <v>2.4000000000000003E-7</v>
      </c>
      <c r="BP152" s="157">
        <f>IF(BI152&lt;$B$105*DATA!$H$1037,DATA!$H$1037,IF(BI152&gt;DATA!$H$1036*$B$105,DATA!$H$1036,1))</f>
        <v>1.2</v>
      </c>
      <c r="BQ152" s="156">
        <f t="shared" si="47"/>
        <v>9.9999999999999995E-8</v>
      </c>
    </row>
    <row r="153" spans="1:69">
      <c r="A153" s="140">
        <f t="shared" si="7"/>
        <v>5.0000000000000004E-6</v>
      </c>
      <c r="B153">
        <v>0.5</v>
      </c>
      <c r="C153" s="140">
        <f t="shared" si="3"/>
        <v>4.9999999999999985E-8</v>
      </c>
      <c r="D153" s="140">
        <f t="shared" si="3"/>
        <v>9.9999999999999995E-8</v>
      </c>
      <c r="E153" s="140">
        <f t="shared" si="3"/>
        <v>1.5000000000000002E-7</v>
      </c>
      <c r="F153" s="140">
        <f t="shared" si="3"/>
        <v>2.0000000000000002E-7</v>
      </c>
      <c r="G153" s="140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8"/>
        <v>9.9999999999999995E-8</v>
      </c>
      <c r="K153" s="140">
        <f t="shared" si="9"/>
        <v>5.0000000000000004E-6</v>
      </c>
      <c r="L153">
        <v>0.5</v>
      </c>
      <c r="M153" s="140">
        <f t="shared" si="10"/>
        <v>4.9999999999999985E-8</v>
      </c>
      <c r="N153" s="140">
        <f t="shared" si="11"/>
        <v>9.9999999999999995E-8</v>
      </c>
      <c r="O153" s="140">
        <f t="shared" si="12"/>
        <v>1.5000000000000002E-7</v>
      </c>
      <c r="P153" s="140">
        <f t="shared" si="13"/>
        <v>2.0000000000000002E-7</v>
      </c>
      <c r="Q153" s="140">
        <f t="shared" si="14"/>
        <v>2.5000000000000004E-7</v>
      </c>
      <c r="R153" s="157">
        <f>IF(K153&lt;$B$25*DATA!$H$1037,DATA!$H$1037,IF(K153&gt;DATA!$H$1036*$B$25,DATA!$H$1036,1))</f>
        <v>0.8</v>
      </c>
      <c r="S153" s="156">
        <f t="shared" si="4"/>
        <v>9.9999999999999995E-8</v>
      </c>
      <c r="U153" s="140">
        <f t="shared" si="15"/>
        <v>5.0000000000000004E-6</v>
      </c>
      <c r="V153">
        <v>0.5</v>
      </c>
      <c r="W153" s="140">
        <f t="shared" si="16"/>
        <v>4.9999999999999985E-8</v>
      </c>
      <c r="X153" s="140">
        <f t="shared" si="17"/>
        <v>9.9999999999999995E-8</v>
      </c>
      <c r="Y153" s="140">
        <f t="shared" si="18"/>
        <v>1.5000000000000002E-7</v>
      </c>
      <c r="Z153" s="140">
        <f t="shared" si="19"/>
        <v>2.0000000000000002E-7</v>
      </c>
      <c r="AA153" s="140">
        <f t="shared" si="20"/>
        <v>2.5000000000000004E-7</v>
      </c>
      <c r="AB153" s="157">
        <f>IF(U153&lt;$B$41*DATA!$H$1037,DATA!$H$1037,IF(U153&gt;DATA!$H$1036*$B$41,DATA!$H$1036,1))</f>
        <v>0.8</v>
      </c>
      <c r="AC153" s="156">
        <f t="shared" si="5"/>
        <v>9.9999999999999995E-8</v>
      </c>
      <c r="AE153" s="140">
        <f t="shared" si="21"/>
        <v>5.0000000000000004E-6</v>
      </c>
      <c r="AF153">
        <v>0.5</v>
      </c>
      <c r="AG153" s="140">
        <f t="shared" si="22"/>
        <v>4.9999999999999985E-8</v>
      </c>
      <c r="AH153" s="140">
        <f t="shared" si="23"/>
        <v>9.9999999999999995E-8</v>
      </c>
      <c r="AI153" s="140">
        <f t="shared" si="24"/>
        <v>1.5000000000000002E-7</v>
      </c>
      <c r="AJ153" s="140">
        <f t="shared" si="25"/>
        <v>2.0000000000000002E-7</v>
      </c>
      <c r="AK153" s="140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6"/>
        <v>9.9999999999999995E-8</v>
      </c>
      <c r="AO153" s="140">
        <f t="shared" si="27"/>
        <v>5.0000000000000004E-6</v>
      </c>
      <c r="AP153">
        <v>0.5</v>
      </c>
      <c r="AQ153" s="140">
        <f t="shared" si="28"/>
        <v>4.9999999999999985E-8</v>
      </c>
      <c r="AR153" s="140">
        <f t="shared" si="29"/>
        <v>9.9999999999999995E-8</v>
      </c>
      <c r="AS153" s="140">
        <f t="shared" si="30"/>
        <v>1.5000000000000002E-7</v>
      </c>
      <c r="AT153" s="140">
        <f t="shared" si="31"/>
        <v>2.0000000000000002E-7</v>
      </c>
      <c r="AU153" s="140">
        <f t="shared" si="32"/>
        <v>2.5000000000000004E-7</v>
      </c>
      <c r="AV153" s="157">
        <f>IF(AO153&lt;$B$73*DATA!$H$1037,DATA!$H$1037,IF(AO153&gt;DATA!$H$1036*$B$73,DATA!$H$1036,1))</f>
        <v>1.2</v>
      </c>
      <c r="AW153" s="156">
        <f t="shared" si="33"/>
        <v>9.9999999999999995E-8</v>
      </c>
      <c r="AY153" s="140">
        <f t="shared" si="34"/>
        <v>5.0000000000000004E-6</v>
      </c>
      <c r="AZ153">
        <v>0.5</v>
      </c>
      <c r="BA153" s="140">
        <f t="shared" si="35"/>
        <v>4.9999999999999985E-8</v>
      </c>
      <c r="BB153" s="140">
        <f t="shared" si="36"/>
        <v>9.9999999999999995E-8</v>
      </c>
      <c r="BC153" s="140">
        <f t="shared" si="37"/>
        <v>1.5000000000000002E-7</v>
      </c>
      <c r="BD153" s="140">
        <f t="shared" si="38"/>
        <v>2.0000000000000002E-7</v>
      </c>
      <c r="BE153" s="140">
        <f t="shared" si="39"/>
        <v>2.5000000000000004E-7</v>
      </c>
      <c r="BF153" s="157">
        <f>IF(AY153&lt;$B$89*DATA!$H$1037,DATA!$H$1037,IF(AY153&gt;DATA!$H$1036*$B$89,DATA!$H$1036,1))</f>
        <v>1.2</v>
      </c>
      <c r="BG153" s="156">
        <f t="shared" si="40"/>
        <v>9.9999999999999995E-8</v>
      </c>
      <c r="BI153" s="140">
        <f t="shared" si="41"/>
        <v>5.0000000000000004E-6</v>
      </c>
      <c r="BJ153">
        <v>0.5</v>
      </c>
      <c r="BK153" s="140">
        <f t="shared" si="42"/>
        <v>4.9999999999999985E-8</v>
      </c>
      <c r="BL153" s="140">
        <f t="shared" si="43"/>
        <v>9.9999999999999995E-8</v>
      </c>
      <c r="BM153" s="140">
        <f t="shared" si="44"/>
        <v>1.5000000000000002E-7</v>
      </c>
      <c r="BN153" s="140">
        <f t="shared" si="45"/>
        <v>2.0000000000000002E-7</v>
      </c>
      <c r="BO153" s="140">
        <f t="shared" si="46"/>
        <v>2.5000000000000004E-7</v>
      </c>
      <c r="BP153" s="157">
        <f>IF(BI153&lt;$B$105*DATA!$H$1037,DATA!$H$1037,IF(BI153&gt;DATA!$H$1036*$B$105,DATA!$H$1036,1))</f>
        <v>1.2</v>
      </c>
      <c r="BQ153" s="156">
        <f t="shared" si="47"/>
        <v>9.9999999999999995E-8</v>
      </c>
    </row>
    <row r="154" spans="1:69">
      <c r="A154" s="140">
        <f t="shared" si="7"/>
        <v>5.2000000000000002E-6</v>
      </c>
      <c r="B154">
        <v>0.52</v>
      </c>
      <c r="C154" s="140">
        <f t="shared" si="3"/>
        <v>5.1999999999999983E-8</v>
      </c>
      <c r="D154" s="140">
        <f t="shared" si="3"/>
        <v>1.0399999999999999E-7</v>
      </c>
      <c r="E154" s="140">
        <f t="shared" si="3"/>
        <v>1.5599999999999999E-7</v>
      </c>
      <c r="F154" s="140">
        <f t="shared" si="3"/>
        <v>2.0800000000000001E-7</v>
      </c>
      <c r="G154" s="140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8"/>
        <v>9.9999999999999995E-8</v>
      </c>
      <c r="K154" s="140">
        <f t="shared" si="9"/>
        <v>5.2000000000000002E-6</v>
      </c>
      <c r="L154">
        <v>0.52</v>
      </c>
      <c r="M154" s="140">
        <f t="shared" si="10"/>
        <v>5.1999999999999983E-8</v>
      </c>
      <c r="N154" s="140">
        <f t="shared" si="11"/>
        <v>1.0399999999999999E-7</v>
      </c>
      <c r="O154" s="140">
        <f t="shared" si="12"/>
        <v>1.5599999999999999E-7</v>
      </c>
      <c r="P154" s="140">
        <f t="shared" si="13"/>
        <v>2.0800000000000001E-7</v>
      </c>
      <c r="Q154" s="140">
        <f t="shared" si="14"/>
        <v>2.6E-7</v>
      </c>
      <c r="R154" s="157">
        <f>IF(K154&lt;$B$25*DATA!$H$1037,DATA!$H$1037,IF(K154&gt;DATA!$H$1036*$B$25,DATA!$H$1036,1))</f>
        <v>0.8</v>
      </c>
      <c r="S154" s="156">
        <f t="shared" si="4"/>
        <v>9.9999999999999995E-8</v>
      </c>
      <c r="U154" s="140">
        <f t="shared" si="15"/>
        <v>5.2000000000000002E-6</v>
      </c>
      <c r="V154">
        <v>0.52</v>
      </c>
      <c r="W154" s="140">
        <f t="shared" si="16"/>
        <v>5.1999999999999983E-8</v>
      </c>
      <c r="X154" s="140">
        <f t="shared" si="17"/>
        <v>1.0399999999999999E-7</v>
      </c>
      <c r="Y154" s="140">
        <f t="shared" si="18"/>
        <v>1.5599999999999999E-7</v>
      </c>
      <c r="Z154" s="140">
        <f t="shared" si="19"/>
        <v>2.0800000000000001E-7</v>
      </c>
      <c r="AA154" s="140">
        <f t="shared" si="20"/>
        <v>2.6E-7</v>
      </c>
      <c r="AB154" s="157">
        <f>IF(U154&lt;$B$41*DATA!$H$1037,DATA!$H$1037,IF(U154&gt;DATA!$H$1036*$B$41,DATA!$H$1036,1))</f>
        <v>0.8</v>
      </c>
      <c r="AC154" s="156">
        <f t="shared" si="5"/>
        <v>9.9999999999999995E-8</v>
      </c>
      <c r="AE154" s="140">
        <f t="shared" si="21"/>
        <v>5.2000000000000002E-6</v>
      </c>
      <c r="AF154">
        <v>0.52</v>
      </c>
      <c r="AG154" s="140">
        <f t="shared" si="22"/>
        <v>5.1999999999999983E-8</v>
      </c>
      <c r="AH154" s="140">
        <f t="shared" si="23"/>
        <v>1.0399999999999999E-7</v>
      </c>
      <c r="AI154" s="140">
        <f t="shared" si="24"/>
        <v>1.5599999999999999E-7</v>
      </c>
      <c r="AJ154" s="140">
        <f t="shared" si="25"/>
        <v>2.0800000000000001E-7</v>
      </c>
      <c r="AK154" s="140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6"/>
        <v>9.9999999999999995E-8</v>
      </c>
      <c r="AO154" s="140">
        <f t="shared" si="27"/>
        <v>5.2000000000000002E-6</v>
      </c>
      <c r="AP154">
        <v>0.52</v>
      </c>
      <c r="AQ154" s="140">
        <f t="shared" si="28"/>
        <v>5.1999999999999983E-8</v>
      </c>
      <c r="AR154" s="140">
        <f t="shared" si="29"/>
        <v>1.0399999999999999E-7</v>
      </c>
      <c r="AS154" s="140">
        <f t="shared" si="30"/>
        <v>1.5599999999999999E-7</v>
      </c>
      <c r="AT154" s="140">
        <f t="shared" si="31"/>
        <v>2.0800000000000001E-7</v>
      </c>
      <c r="AU154" s="140">
        <f t="shared" si="32"/>
        <v>2.6E-7</v>
      </c>
      <c r="AV154" s="157">
        <f>IF(AO154&lt;$B$73*DATA!$H$1037,DATA!$H$1037,IF(AO154&gt;DATA!$H$1036*$B$73,DATA!$H$1036,1))</f>
        <v>1.2</v>
      </c>
      <c r="AW154" s="156">
        <f t="shared" si="33"/>
        <v>9.9999999999999995E-8</v>
      </c>
      <c r="AY154" s="140">
        <f t="shared" si="34"/>
        <v>5.2000000000000002E-6</v>
      </c>
      <c r="AZ154">
        <v>0.52</v>
      </c>
      <c r="BA154" s="140">
        <f t="shared" si="35"/>
        <v>5.1999999999999983E-8</v>
      </c>
      <c r="BB154" s="140">
        <f t="shared" si="36"/>
        <v>1.0399999999999999E-7</v>
      </c>
      <c r="BC154" s="140">
        <f t="shared" si="37"/>
        <v>1.5599999999999999E-7</v>
      </c>
      <c r="BD154" s="140">
        <f t="shared" si="38"/>
        <v>2.0800000000000001E-7</v>
      </c>
      <c r="BE154" s="140">
        <f t="shared" si="39"/>
        <v>2.6E-7</v>
      </c>
      <c r="BF154" s="157">
        <f>IF(AY154&lt;$B$89*DATA!$H$1037,DATA!$H$1037,IF(AY154&gt;DATA!$H$1036*$B$89,DATA!$H$1036,1))</f>
        <v>1.2</v>
      </c>
      <c r="BG154" s="156">
        <f t="shared" si="40"/>
        <v>9.9999999999999995E-8</v>
      </c>
      <c r="BI154" s="140">
        <f t="shared" si="41"/>
        <v>5.2000000000000002E-6</v>
      </c>
      <c r="BJ154">
        <v>0.52</v>
      </c>
      <c r="BK154" s="140">
        <f t="shared" si="42"/>
        <v>5.1999999999999983E-8</v>
      </c>
      <c r="BL154" s="140">
        <f t="shared" si="43"/>
        <v>1.0399999999999999E-7</v>
      </c>
      <c r="BM154" s="140">
        <f t="shared" si="44"/>
        <v>1.5599999999999999E-7</v>
      </c>
      <c r="BN154" s="140">
        <f t="shared" si="45"/>
        <v>2.0800000000000001E-7</v>
      </c>
      <c r="BO154" s="140">
        <f t="shared" si="46"/>
        <v>2.6E-7</v>
      </c>
      <c r="BP154" s="157">
        <f>IF(BI154&lt;$B$105*DATA!$H$1037,DATA!$H$1037,IF(BI154&gt;DATA!$H$1036*$B$105,DATA!$H$1036,1))</f>
        <v>1.2</v>
      </c>
      <c r="BQ154" s="156">
        <f t="shared" si="47"/>
        <v>9.9999999999999995E-8</v>
      </c>
    </row>
    <row r="155" spans="1:69">
      <c r="A155" s="140">
        <f t="shared" si="7"/>
        <v>5.4000000000000008E-6</v>
      </c>
      <c r="B155">
        <v>0.54</v>
      </c>
      <c r="C155" s="140">
        <f t="shared" si="3"/>
        <v>5.3999999999999987E-8</v>
      </c>
      <c r="D155" s="140">
        <f t="shared" si="3"/>
        <v>1.08E-7</v>
      </c>
      <c r="E155" s="140">
        <f t="shared" si="3"/>
        <v>1.6200000000000002E-7</v>
      </c>
      <c r="F155" s="140">
        <f t="shared" si="3"/>
        <v>2.1600000000000003E-7</v>
      </c>
      <c r="G155" s="140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8"/>
        <v>9.9999999999999995E-8</v>
      </c>
      <c r="K155" s="140">
        <f t="shared" si="9"/>
        <v>5.4000000000000008E-6</v>
      </c>
      <c r="L155">
        <v>0.54</v>
      </c>
      <c r="M155" s="140">
        <f t="shared" si="10"/>
        <v>5.3999999999999987E-8</v>
      </c>
      <c r="N155" s="140">
        <f t="shared" si="11"/>
        <v>1.08E-7</v>
      </c>
      <c r="O155" s="140">
        <f t="shared" si="12"/>
        <v>1.6200000000000002E-7</v>
      </c>
      <c r="P155" s="140">
        <f t="shared" si="13"/>
        <v>2.1600000000000003E-7</v>
      </c>
      <c r="Q155" s="140">
        <f t="shared" si="14"/>
        <v>2.7000000000000006E-7</v>
      </c>
      <c r="R155" s="157">
        <f>IF(K155&lt;$B$25*DATA!$H$1037,DATA!$H$1037,IF(K155&gt;DATA!$H$1036*$B$25,DATA!$H$1036,1))</f>
        <v>0.8</v>
      </c>
      <c r="S155" s="156">
        <f t="shared" si="4"/>
        <v>9.9999999999999995E-8</v>
      </c>
      <c r="U155" s="140">
        <f t="shared" si="15"/>
        <v>5.4000000000000008E-6</v>
      </c>
      <c r="V155">
        <v>0.54</v>
      </c>
      <c r="W155" s="140">
        <f t="shared" si="16"/>
        <v>5.3999999999999987E-8</v>
      </c>
      <c r="X155" s="140">
        <f t="shared" si="17"/>
        <v>1.08E-7</v>
      </c>
      <c r="Y155" s="140">
        <f t="shared" si="18"/>
        <v>1.6200000000000002E-7</v>
      </c>
      <c r="Z155" s="140">
        <f t="shared" si="19"/>
        <v>2.1600000000000003E-7</v>
      </c>
      <c r="AA155" s="140">
        <f t="shared" si="20"/>
        <v>2.7000000000000006E-7</v>
      </c>
      <c r="AB155" s="157">
        <f>IF(U155&lt;$B$41*DATA!$H$1037,DATA!$H$1037,IF(U155&gt;DATA!$H$1036*$B$41,DATA!$H$1036,1))</f>
        <v>0.8</v>
      </c>
      <c r="AC155" s="156">
        <f t="shared" si="5"/>
        <v>9.9999999999999995E-8</v>
      </c>
      <c r="AE155" s="140">
        <f t="shared" si="21"/>
        <v>5.4000000000000008E-6</v>
      </c>
      <c r="AF155">
        <v>0.54</v>
      </c>
      <c r="AG155" s="140">
        <f t="shared" si="22"/>
        <v>5.3999999999999987E-8</v>
      </c>
      <c r="AH155" s="140">
        <f t="shared" si="23"/>
        <v>1.08E-7</v>
      </c>
      <c r="AI155" s="140">
        <f t="shared" si="24"/>
        <v>1.6200000000000002E-7</v>
      </c>
      <c r="AJ155" s="140">
        <f t="shared" si="25"/>
        <v>2.1600000000000003E-7</v>
      </c>
      <c r="AK155" s="140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6"/>
        <v>9.9999999999999995E-8</v>
      </c>
      <c r="AO155" s="140">
        <f t="shared" si="27"/>
        <v>5.4000000000000008E-6</v>
      </c>
      <c r="AP155">
        <v>0.54</v>
      </c>
      <c r="AQ155" s="140">
        <f t="shared" si="28"/>
        <v>5.3999999999999987E-8</v>
      </c>
      <c r="AR155" s="140">
        <f t="shared" si="29"/>
        <v>1.08E-7</v>
      </c>
      <c r="AS155" s="140">
        <f t="shared" si="30"/>
        <v>1.6200000000000002E-7</v>
      </c>
      <c r="AT155" s="140">
        <f t="shared" si="31"/>
        <v>2.1600000000000003E-7</v>
      </c>
      <c r="AU155" s="140">
        <f t="shared" si="32"/>
        <v>2.7000000000000006E-7</v>
      </c>
      <c r="AV155" s="157">
        <f>IF(AO155&lt;$B$73*DATA!$H$1037,DATA!$H$1037,IF(AO155&gt;DATA!$H$1036*$B$73,DATA!$H$1036,1))</f>
        <v>1.2</v>
      </c>
      <c r="AW155" s="156">
        <f t="shared" si="33"/>
        <v>9.9999999999999995E-8</v>
      </c>
      <c r="AY155" s="140">
        <f t="shared" si="34"/>
        <v>5.4000000000000008E-6</v>
      </c>
      <c r="AZ155">
        <v>0.54</v>
      </c>
      <c r="BA155" s="140">
        <f t="shared" si="35"/>
        <v>5.3999999999999987E-8</v>
      </c>
      <c r="BB155" s="140">
        <f t="shared" si="36"/>
        <v>1.08E-7</v>
      </c>
      <c r="BC155" s="140">
        <f t="shared" si="37"/>
        <v>1.6200000000000002E-7</v>
      </c>
      <c r="BD155" s="140">
        <f t="shared" si="38"/>
        <v>2.1600000000000003E-7</v>
      </c>
      <c r="BE155" s="140">
        <f t="shared" si="39"/>
        <v>2.7000000000000006E-7</v>
      </c>
      <c r="BF155" s="157">
        <f>IF(AY155&lt;$B$89*DATA!$H$1037,DATA!$H$1037,IF(AY155&gt;DATA!$H$1036*$B$89,DATA!$H$1036,1))</f>
        <v>1.2</v>
      </c>
      <c r="BG155" s="156">
        <f t="shared" si="40"/>
        <v>9.9999999999999995E-8</v>
      </c>
      <c r="BI155" s="140">
        <f t="shared" si="41"/>
        <v>5.4000000000000008E-6</v>
      </c>
      <c r="BJ155">
        <v>0.54</v>
      </c>
      <c r="BK155" s="140">
        <f t="shared" si="42"/>
        <v>5.3999999999999987E-8</v>
      </c>
      <c r="BL155" s="140">
        <f t="shared" si="43"/>
        <v>1.08E-7</v>
      </c>
      <c r="BM155" s="140">
        <f t="shared" si="44"/>
        <v>1.6200000000000002E-7</v>
      </c>
      <c r="BN155" s="140">
        <f t="shared" si="45"/>
        <v>2.1600000000000003E-7</v>
      </c>
      <c r="BO155" s="140">
        <f t="shared" si="46"/>
        <v>2.7000000000000006E-7</v>
      </c>
      <c r="BP155" s="157">
        <f>IF(BI155&lt;$B$105*DATA!$H$1037,DATA!$H$1037,IF(BI155&gt;DATA!$H$1036*$B$105,DATA!$H$1036,1))</f>
        <v>1.2</v>
      </c>
      <c r="BQ155" s="156">
        <f t="shared" si="47"/>
        <v>9.9999999999999995E-8</v>
      </c>
    </row>
    <row r="156" spans="1:69">
      <c r="A156" s="140">
        <f t="shared" si="7"/>
        <v>5.6000000000000006E-6</v>
      </c>
      <c r="B156">
        <v>0.56000000000000005</v>
      </c>
      <c r="C156" s="140">
        <f t="shared" si="3"/>
        <v>5.5999999999999985E-8</v>
      </c>
      <c r="D156" s="140">
        <f t="shared" si="3"/>
        <v>1.12E-7</v>
      </c>
      <c r="E156" s="140">
        <f t="shared" si="3"/>
        <v>1.6800000000000002E-7</v>
      </c>
      <c r="F156" s="140">
        <f t="shared" si="3"/>
        <v>2.2400000000000002E-7</v>
      </c>
      <c r="G156" s="140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8"/>
        <v>9.9999999999999995E-8</v>
      </c>
      <c r="K156" s="140">
        <f t="shared" si="9"/>
        <v>5.6000000000000006E-6</v>
      </c>
      <c r="L156">
        <v>0.56000000000000005</v>
      </c>
      <c r="M156" s="140">
        <f t="shared" si="10"/>
        <v>5.5999999999999985E-8</v>
      </c>
      <c r="N156" s="140">
        <f t="shared" si="11"/>
        <v>1.12E-7</v>
      </c>
      <c r="O156" s="140">
        <f t="shared" si="12"/>
        <v>1.6800000000000002E-7</v>
      </c>
      <c r="P156" s="140">
        <f t="shared" si="13"/>
        <v>2.2400000000000002E-7</v>
      </c>
      <c r="Q156" s="140">
        <f t="shared" si="14"/>
        <v>2.8000000000000002E-7</v>
      </c>
      <c r="R156" s="157">
        <f>IF(K156&lt;$B$25*DATA!$H$1037,DATA!$H$1037,IF(K156&gt;DATA!$H$1036*$B$25,DATA!$H$1036,1))</f>
        <v>0.8</v>
      </c>
      <c r="S156" s="156">
        <f t="shared" si="4"/>
        <v>9.9999999999999995E-8</v>
      </c>
      <c r="U156" s="140">
        <f t="shared" si="15"/>
        <v>5.6000000000000006E-6</v>
      </c>
      <c r="V156">
        <v>0.56000000000000005</v>
      </c>
      <c r="W156" s="140">
        <f t="shared" si="16"/>
        <v>5.5999999999999985E-8</v>
      </c>
      <c r="X156" s="140">
        <f t="shared" si="17"/>
        <v>1.12E-7</v>
      </c>
      <c r="Y156" s="140">
        <f t="shared" si="18"/>
        <v>1.6800000000000002E-7</v>
      </c>
      <c r="Z156" s="140">
        <f t="shared" si="19"/>
        <v>2.2400000000000002E-7</v>
      </c>
      <c r="AA156" s="140">
        <f t="shared" si="20"/>
        <v>2.8000000000000002E-7</v>
      </c>
      <c r="AB156" s="157">
        <f>IF(U156&lt;$B$41*DATA!$H$1037,DATA!$H$1037,IF(U156&gt;DATA!$H$1036*$B$41,DATA!$H$1036,1))</f>
        <v>0.8</v>
      </c>
      <c r="AC156" s="156">
        <f t="shared" si="5"/>
        <v>9.9999999999999995E-8</v>
      </c>
      <c r="AE156" s="140">
        <f t="shared" si="21"/>
        <v>5.6000000000000006E-6</v>
      </c>
      <c r="AF156">
        <v>0.56000000000000005</v>
      </c>
      <c r="AG156" s="140">
        <f t="shared" si="22"/>
        <v>5.5999999999999985E-8</v>
      </c>
      <c r="AH156" s="140">
        <f t="shared" si="23"/>
        <v>1.12E-7</v>
      </c>
      <c r="AI156" s="140">
        <f t="shared" si="24"/>
        <v>1.6800000000000002E-7</v>
      </c>
      <c r="AJ156" s="140">
        <f t="shared" si="25"/>
        <v>2.2400000000000002E-7</v>
      </c>
      <c r="AK156" s="140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6"/>
        <v>9.9999999999999995E-8</v>
      </c>
      <c r="AO156" s="140">
        <f t="shared" si="27"/>
        <v>5.6000000000000006E-6</v>
      </c>
      <c r="AP156">
        <v>0.56000000000000005</v>
      </c>
      <c r="AQ156" s="140">
        <f t="shared" si="28"/>
        <v>5.5999999999999985E-8</v>
      </c>
      <c r="AR156" s="140">
        <f t="shared" si="29"/>
        <v>1.12E-7</v>
      </c>
      <c r="AS156" s="140">
        <f t="shared" si="30"/>
        <v>1.6800000000000002E-7</v>
      </c>
      <c r="AT156" s="140">
        <f t="shared" si="31"/>
        <v>2.2400000000000002E-7</v>
      </c>
      <c r="AU156" s="140">
        <f t="shared" si="32"/>
        <v>2.8000000000000002E-7</v>
      </c>
      <c r="AV156" s="157">
        <f>IF(AO156&lt;$B$73*DATA!$H$1037,DATA!$H$1037,IF(AO156&gt;DATA!$H$1036*$B$73,DATA!$H$1036,1))</f>
        <v>1.2</v>
      </c>
      <c r="AW156" s="156">
        <f t="shared" si="33"/>
        <v>9.9999999999999995E-8</v>
      </c>
      <c r="AY156" s="140">
        <f t="shared" si="34"/>
        <v>5.6000000000000006E-6</v>
      </c>
      <c r="AZ156">
        <v>0.56000000000000005</v>
      </c>
      <c r="BA156" s="140">
        <f t="shared" si="35"/>
        <v>5.5999999999999985E-8</v>
      </c>
      <c r="BB156" s="140">
        <f t="shared" si="36"/>
        <v>1.12E-7</v>
      </c>
      <c r="BC156" s="140">
        <f t="shared" si="37"/>
        <v>1.6800000000000002E-7</v>
      </c>
      <c r="BD156" s="140">
        <f t="shared" si="38"/>
        <v>2.2400000000000002E-7</v>
      </c>
      <c r="BE156" s="140">
        <f t="shared" si="39"/>
        <v>2.8000000000000002E-7</v>
      </c>
      <c r="BF156" s="157">
        <f>IF(AY156&lt;$B$89*DATA!$H$1037,DATA!$H$1037,IF(AY156&gt;DATA!$H$1036*$B$89,DATA!$H$1036,1))</f>
        <v>1.2</v>
      </c>
      <c r="BG156" s="156">
        <f t="shared" si="40"/>
        <v>9.9999999999999995E-8</v>
      </c>
      <c r="BI156" s="140">
        <f t="shared" si="41"/>
        <v>5.6000000000000006E-6</v>
      </c>
      <c r="BJ156">
        <v>0.56000000000000005</v>
      </c>
      <c r="BK156" s="140">
        <f t="shared" si="42"/>
        <v>5.5999999999999985E-8</v>
      </c>
      <c r="BL156" s="140">
        <f t="shared" si="43"/>
        <v>1.12E-7</v>
      </c>
      <c r="BM156" s="140">
        <f t="shared" si="44"/>
        <v>1.6800000000000002E-7</v>
      </c>
      <c r="BN156" s="140">
        <f t="shared" si="45"/>
        <v>2.2400000000000002E-7</v>
      </c>
      <c r="BO156" s="140">
        <f t="shared" si="46"/>
        <v>2.8000000000000002E-7</v>
      </c>
      <c r="BP156" s="157">
        <f>IF(BI156&lt;$B$105*DATA!$H$1037,DATA!$H$1037,IF(BI156&gt;DATA!$H$1036*$B$105,DATA!$H$1036,1))</f>
        <v>1.2</v>
      </c>
      <c r="BQ156" s="156">
        <f t="shared" si="47"/>
        <v>9.9999999999999995E-8</v>
      </c>
    </row>
    <row r="157" spans="1:69">
      <c r="A157" s="140">
        <f t="shared" si="7"/>
        <v>5.8000000000000004E-6</v>
      </c>
      <c r="B157">
        <v>0.57999999999999996</v>
      </c>
      <c r="C157" s="140">
        <f t="shared" si="3"/>
        <v>5.7999999999999983E-8</v>
      </c>
      <c r="D157" s="140">
        <f t="shared" si="3"/>
        <v>1.1599999999999999E-7</v>
      </c>
      <c r="E157" s="140">
        <f t="shared" si="3"/>
        <v>1.74E-7</v>
      </c>
      <c r="F157" s="140">
        <f t="shared" si="3"/>
        <v>2.3200000000000001E-7</v>
      </c>
      <c r="G157" s="140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8"/>
        <v>9.9999999999999995E-8</v>
      </c>
      <c r="K157" s="140">
        <f t="shared" si="9"/>
        <v>5.8000000000000004E-6</v>
      </c>
      <c r="L157">
        <v>0.57999999999999996</v>
      </c>
      <c r="M157" s="140">
        <f t="shared" si="10"/>
        <v>5.7999999999999983E-8</v>
      </c>
      <c r="N157" s="140">
        <f t="shared" si="11"/>
        <v>1.1599999999999999E-7</v>
      </c>
      <c r="O157" s="140">
        <f t="shared" si="12"/>
        <v>1.74E-7</v>
      </c>
      <c r="P157" s="140">
        <f t="shared" si="13"/>
        <v>2.3200000000000001E-7</v>
      </c>
      <c r="Q157" s="140">
        <f t="shared" si="14"/>
        <v>2.9000000000000003E-7</v>
      </c>
      <c r="R157" s="157">
        <f>IF(K157&lt;$B$25*DATA!$H$1037,DATA!$H$1037,IF(K157&gt;DATA!$H$1036*$B$25,DATA!$H$1036,1))</f>
        <v>0.8</v>
      </c>
      <c r="S157" s="156">
        <f t="shared" si="4"/>
        <v>9.9999999999999995E-8</v>
      </c>
      <c r="U157" s="140">
        <f t="shared" si="15"/>
        <v>5.8000000000000004E-6</v>
      </c>
      <c r="V157">
        <v>0.57999999999999996</v>
      </c>
      <c r="W157" s="140">
        <f t="shared" si="16"/>
        <v>5.7999999999999983E-8</v>
      </c>
      <c r="X157" s="140">
        <f t="shared" si="17"/>
        <v>1.1599999999999999E-7</v>
      </c>
      <c r="Y157" s="140">
        <f t="shared" si="18"/>
        <v>1.74E-7</v>
      </c>
      <c r="Z157" s="140">
        <f t="shared" si="19"/>
        <v>2.3200000000000001E-7</v>
      </c>
      <c r="AA157" s="140">
        <f t="shared" si="20"/>
        <v>2.9000000000000003E-7</v>
      </c>
      <c r="AB157" s="157">
        <f>IF(U157&lt;$B$41*DATA!$H$1037,DATA!$H$1037,IF(U157&gt;DATA!$H$1036*$B$41,DATA!$H$1036,1))</f>
        <v>0.8</v>
      </c>
      <c r="AC157" s="156">
        <f t="shared" si="5"/>
        <v>9.9999999999999995E-8</v>
      </c>
      <c r="AE157" s="140">
        <f t="shared" si="21"/>
        <v>5.8000000000000004E-6</v>
      </c>
      <c r="AF157">
        <v>0.57999999999999996</v>
      </c>
      <c r="AG157" s="140">
        <f t="shared" si="22"/>
        <v>5.7999999999999983E-8</v>
      </c>
      <c r="AH157" s="140">
        <f t="shared" si="23"/>
        <v>1.1599999999999999E-7</v>
      </c>
      <c r="AI157" s="140">
        <f t="shared" si="24"/>
        <v>1.74E-7</v>
      </c>
      <c r="AJ157" s="140">
        <f t="shared" si="25"/>
        <v>2.3200000000000001E-7</v>
      </c>
      <c r="AK157" s="140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6"/>
        <v>9.9999999999999995E-8</v>
      </c>
      <c r="AO157" s="140">
        <f t="shared" si="27"/>
        <v>5.8000000000000004E-6</v>
      </c>
      <c r="AP157">
        <v>0.57999999999999996</v>
      </c>
      <c r="AQ157" s="140">
        <f t="shared" si="28"/>
        <v>5.7999999999999983E-8</v>
      </c>
      <c r="AR157" s="140">
        <f t="shared" si="29"/>
        <v>1.1599999999999999E-7</v>
      </c>
      <c r="AS157" s="140">
        <f t="shared" si="30"/>
        <v>1.74E-7</v>
      </c>
      <c r="AT157" s="140">
        <f t="shared" si="31"/>
        <v>2.3200000000000001E-7</v>
      </c>
      <c r="AU157" s="140">
        <f t="shared" si="32"/>
        <v>2.9000000000000003E-7</v>
      </c>
      <c r="AV157" s="157">
        <f>IF(AO157&lt;$B$73*DATA!$H$1037,DATA!$H$1037,IF(AO157&gt;DATA!$H$1036*$B$73,DATA!$H$1036,1))</f>
        <v>1.2</v>
      </c>
      <c r="AW157" s="156">
        <f t="shared" si="33"/>
        <v>9.9999999999999995E-8</v>
      </c>
      <c r="AY157" s="140">
        <f t="shared" si="34"/>
        <v>5.8000000000000004E-6</v>
      </c>
      <c r="AZ157">
        <v>0.57999999999999996</v>
      </c>
      <c r="BA157" s="140">
        <f t="shared" si="35"/>
        <v>5.7999999999999983E-8</v>
      </c>
      <c r="BB157" s="140">
        <f t="shared" si="36"/>
        <v>1.1599999999999999E-7</v>
      </c>
      <c r="BC157" s="140">
        <f t="shared" si="37"/>
        <v>1.74E-7</v>
      </c>
      <c r="BD157" s="140">
        <f t="shared" si="38"/>
        <v>2.3200000000000001E-7</v>
      </c>
      <c r="BE157" s="140">
        <f t="shared" si="39"/>
        <v>2.9000000000000003E-7</v>
      </c>
      <c r="BF157" s="157">
        <f>IF(AY157&lt;$B$89*DATA!$H$1037,DATA!$H$1037,IF(AY157&gt;DATA!$H$1036*$B$89,DATA!$H$1036,1))</f>
        <v>1.2</v>
      </c>
      <c r="BG157" s="156">
        <f t="shared" si="40"/>
        <v>9.9999999999999995E-8</v>
      </c>
      <c r="BI157" s="140">
        <f t="shared" si="41"/>
        <v>5.8000000000000004E-6</v>
      </c>
      <c r="BJ157">
        <v>0.57999999999999996</v>
      </c>
      <c r="BK157" s="140">
        <f t="shared" si="42"/>
        <v>5.7999999999999983E-8</v>
      </c>
      <c r="BL157" s="140">
        <f t="shared" si="43"/>
        <v>1.1599999999999999E-7</v>
      </c>
      <c r="BM157" s="140">
        <f t="shared" si="44"/>
        <v>1.74E-7</v>
      </c>
      <c r="BN157" s="140">
        <f t="shared" si="45"/>
        <v>2.3200000000000001E-7</v>
      </c>
      <c r="BO157" s="140">
        <f t="shared" si="46"/>
        <v>2.9000000000000003E-7</v>
      </c>
      <c r="BP157" s="157">
        <f>IF(BI157&lt;$B$105*DATA!$H$1037,DATA!$H$1037,IF(BI157&gt;DATA!$H$1036*$B$105,DATA!$H$1036,1))</f>
        <v>1.2</v>
      </c>
      <c r="BQ157" s="156">
        <f t="shared" si="47"/>
        <v>9.9999999999999995E-8</v>
      </c>
    </row>
    <row r="158" spans="1:69">
      <c r="A158" s="140">
        <f t="shared" si="7"/>
        <v>6.0000000000000002E-6</v>
      </c>
      <c r="B158">
        <v>0.6</v>
      </c>
      <c r="C158" s="140">
        <f t="shared" si="3"/>
        <v>5.9999999999999981E-8</v>
      </c>
      <c r="D158" s="140">
        <f t="shared" si="3"/>
        <v>1.1999999999999999E-7</v>
      </c>
      <c r="E158" s="140">
        <f t="shared" si="3"/>
        <v>1.8E-7</v>
      </c>
      <c r="F158" s="140">
        <f t="shared" si="3"/>
        <v>2.4000000000000003E-7</v>
      </c>
      <c r="G158" s="140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8"/>
        <v>9.9999999999999995E-8</v>
      </c>
      <c r="K158" s="140">
        <f t="shared" si="9"/>
        <v>6.0000000000000002E-6</v>
      </c>
      <c r="L158">
        <v>0.6</v>
      </c>
      <c r="M158" s="140">
        <f t="shared" si="10"/>
        <v>5.9999999999999981E-8</v>
      </c>
      <c r="N158" s="140">
        <f t="shared" si="11"/>
        <v>1.1999999999999999E-7</v>
      </c>
      <c r="O158" s="140">
        <f t="shared" si="12"/>
        <v>1.8E-7</v>
      </c>
      <c r="P158" s="140">
        <f t="shared" si="13"/>
        <v>2.4000000000000003E-7</v>
      </c>
      <c r="Q158" s="140">
        <f t="shared" si="14"/>
        <v>3.0000000000000004E-7</v>
      </c>
      <c r="R158" s="157">
        <f>IF(K158&lt;$B$25*DATA!$H$1037,DATA!$H$1037,IF(K158&gt;DATA!$H$1036*$B$25,DATA!$H$1036,1))</f>
        <v>0.8</v>
      </c>
      <c r="S158" s="156">
        <f t="shared" si="4"/>
        <v>9.9999999999999995E-8</v>
      </c>
      <c r="U158" s="140">
        <f t="shared" si="15"/>
        <v>6.0000000000000002E-6</v>
      </c>
      <c r="V158">
        <v>0.6</v>
      </c>
      <c r="W158" s="140">
        <f t="shared" si="16"/>
        <v>5.9999999999999981E-8</v>
      </c>
      <c r="X158" s="140">
        <f t="shared" si="17"/>
        <v>1.1999999999999999E-7</v>
      </c>
      <c r="Y158" s="140">
        <f t="shared" si="18"/>
        <v>1.8E-7</v>
      </c>
      <c r="Z158" s="140">
        <f t="shared" si="19"/>
        <v>2.4000000000000003E-7</v>
      </c>
      <c r="AA158" s="140">
        <f t="shared" si="20"/>
        <v>3.0000000000000004E-7</v>
      </c>
      <c r="AB158" s="157">
        <f>IF(U158&lt;$B$41*DATA!$H$1037,DATA!$H$1037,IF(U158&gt;DATA!$H$1036*$B$41,DATA!$H$1036,1))</f>
        <v>0.8</v>
      </c>
      <c r="AC158" s="156">
        <f t="shared" si="5"/>
        <v>9.9999999999999995E-8</v>
      </c>
      <c r="AE158" s="140">
        <f t="shared" si="21"/>
        <v>6.0000000000000002E-6</v>
      </c>
      <c r="AF158">
        <v>0.6</v>
      </c>
      <c r="AG158" s="140">
        <f t="shared" si="22"/>
        <v>5.9999999999999981E-8</v>
      </c>
      <c r="AH158" s="140">
        <f t="shared" si="23"/>
        <v>1.1999999999999999E-7</v>
      </c>
      <c r="AI158" s="140">
        <f t="shared" si="24"/>
        <v>1.8E-7</v>
      </c>
      <c r="AJ158" s="140">
        <f t="shared" si="25"/>
        <v>2.4000000000000003E-7</v>
      </c>
      <c r="AK158" s="140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6"/>
        <v>9.9999999999999995E-8</v>
      </c>
      <c r="AO158" s="140">
        <f t="shared" si="27"/>
        <v>6.0000000000000002E-6</v>
      </c>
      <c r="AP158">
        <v>0.6</v>
      </c>
      <c r="AQ158" s="140">
        <f t="shared" si="28"/>
        <v>5.9999999999999981E-8</v>
      </c>
      <c r="AR158" s="140">
        <f t="shared" si="29"/>
        <v>1.1999999999999999E-7</v>
      </c>
      <c r="AS158" s="140">
        <f t="shared" si="30"/>
        <v>1.8E-7</v>
      </c>
      <c r="AT158" s="140">
        <f t="shared" si="31"/>
        <v>2.4000000000000003E-7</v>
      </c>
      <c r="AU158" s="140">
        <f t="shared" si="32"/>
        <v>3.0000000000000004E-7</v>
      </c>
      <c r="AV158" s="157">
        <f>IF(AO158&lt;$B$73*DATA!$H$1037,DATA!$H$1037,IF(AO158&gt;DATA!$H$1036*$B$73,DATA!$H$1036,1))</f>
        <v>1.2</v>
      </c>
      <c r="AW158" s="156">
        <f t="shared" si="33"/>
        <v>9.9999999999999995E-8</v>
      </c>
      <c r="AY158" s="140">
        <f t="shared" si="34"/>
        <v>6.0000000000000002E-6</v>
      </c>
      <c r="AZ158">
        <v>0.6</v>
      </c>
      <c r="BA158" s="140">
        <f t="shared" si="35"/>
        <v>5.9999999999999981E-8</v>
      </c>
      <c r="BB158" s="140">
        <f t="shared" si="36"/>
        <v>1.1999999999999999E-7</v>
      </c>
      <c r="BC158" s="140">
        <f t="shared" si="37"/>
        <v>1.8E-7</v>
      </c>
      <c r="BD158" s="140">
        <f t="shared" si="38"/>
        <v>2.4000000000000003E-7</v>
      </c>
      <c r="BE158" s="140">
        <f t="shared" si="39"/>
        <v>3.0000000000000004E-7</v>
      </c>
      <c r="BF158" s="157">
        <f>IF(AY158&lt;$B$89*DATA!$H$1037,DATA!$H$1037,IF(AY158&gt;DATA!$H$1036*$B$89,DATA!$H$1036,1))</f>
        <v>1.2</v>
      </c>
      <c r="BG158" s="156">
        <f t="shared" si="40"/>
        <v>9.9999999999999995E-8</v>
      </c>
      <c r="BI158" s="140">
        <f t="shared" si="41"/>
        <v>6.0000000000000002E-6</v>
      </c>
      <c r="BJ158">
        <v>0.6</v>
      </c>
      <c r="BK158" s="140">
        <f t="shared" si="42"/>
        <v>5.9999999999999981E-8</v>
      </c>
      <c r="BL158" s="140">
        <f t="shared" si="43"/>
        <v>1.1999999999999999E-7</v>
      </c>
      <c r="BM158" s="140">
        <f t="shared" si="44"/>
        <v>1.8E-7</v>
      </c>
      <c r="BN158" s="140">
        <f t="shared" si="45"/>
        <v>2.4000000000000003E-7</v>
      </c>
      <c r="BO158" s="140">
        <f t="shared" si="46"/>
        <v>3.0000000000000004E-7</v>
      </c>
      <c r="BP158" s="157">
        <f>IF(BI158&lt;$B$105*DATA!$H$1037,DATA!$H$1037,IF(BI158&gt;DATA!$H$1036*$B$105,DATA!$H$1036,1))</f>
        <v>1.2</v>
      </c>
      <c r="BQ158" s="156">
        <f t="shared" si="47"/>
        <v>9.9999999999999995E-8</v>
      </c>
    </row>
    <row r="159" spans="1:69">
      <c r="A159" s="140">
        <f t="shared" si="7"/>
        <v>6.2000000000000008E-6</v>
      </c>
      <c r="B159">
        <v>0.62</v>
      </c>
      <c r="C159" s="140">
        <f t="shared" ref="C159:G174" si="48">C$142*$A159</f>
        <v>6.1999999999999986E-8</v>
      </c>
      <c r="D159" s="140">
        <f t="shared" si="48"/>
        <v>1.24E-7</v>
      </c>
      <c r="E159" s="140">
        <f t="shared" si="48"/>
        <v>1.8600000000000002E-7</v>
      </c>
      <c r="F159" s="140">
        <f t="shared" si="48"/>
        <v>2.4800000000000005E-7</v>
      </c>
      <c r="G159" s="140">
        <f t="shared" si="48"/>
        <v>3.1000000000000005E-7</v>
      </c>
      <c r="H159" s="157">
        <f>IF(A159&lt;$B$9*DATA!$H$1037,DATA!$H$1037,IF(A159&gt;DATA!$H$1036*$B$9,DATA!$H$1036,1))</f>
        <v>0.8</v>
      </c>
      <c r="I159" s="156">
        <f t="shared" si="8"/>
        <v>9.9999999999999995E-8</v>
      </c>
      <c r="K159" s="140">
        <f t="shared" si="9"/>
        <v>6.2000000000000008E-6</v>
      </c>
      <c r="L159">
        <v>0.62</v>
      </c>
      <c r="M159" s="140">
        <f t="shared" si="10"/>
        <v>6.1999999999999986E-8</v>
      </c>
      <c r="N159" s="140">
        <f t="shared" si="11"/>
        <v>1.24E-7</v>
      </c>
      <c r="O159" s="140">
        <f t="shared" si="12"/>
        <v>1.8600000000000002E-7</v>
      </c>
      <c r="P159" s="140">
        <f t="shared" si="13"/>
        <v>2.4800000000000005E-7</v>
      </c>
      <c r="Q159" s="140">
        <f t="shared" si="14"/>
        <v>3.1000000000000005E-7</v>
      </c>
      <c r="R159" s="157">
        <f>IF(K159&lt;$B$25*DATA!$H$1037,DATA!$H$1037,IF(K159&gt;DATA!$H$1036*$B$25,DATA!$H$1036,1))</f>
        <v>0.8</v>
      </c>
      <c r="S159" s="156">
        <f t="shared" si="4"/>
        <v>9.9999999999999995E-8</v>
      </c>
      <c r="U159" s="140">
        <f t="shared" si="15"/>
        <v>6.2000000000000008E-6</v>
      </c>
      <c r="V159">
        <v>0.62</v>
      </c>
      <c r="W159" s="140">
        <f t="shared" si="16"/>
        <v>6.1999999999999986E-8</v>
      </c>
      <c r="X159" s="140">
        <f t="shared" si="17"/>
        <v>1.24E-7</v>
      </c>
      <c r="Y159" s="140">
        <f t="shared" si="18"/>
        <v>1.8600000000000002E-7</v>
      </c>
      <c r="Z159" s="140">
        <f t="shared" si="19"/>
        <v>2.4800000000000005E-7</v>
      </c>
      <c r="AA159" s="140">
        <f t="shared" si="20"/>
        <v>3.1000000000000005E-7</v>
      </c>
      <c r="AB159" s="157">
        <f>IF(U159&lt;$B$41*DATA!$H$1037,DATA!$H$1037,IF(U159&gt;DATA!$H$1036*$B$41,DATA!$H$1036,1))</f>
        <v>0.8</v>
      </c>
      <c r="AC159" s="156">
        <f t="shared" si="5"/>
        <v>9.9999999999999995E-8</v>
      </c>
      <c r="AE159" s="140">
        <f t="shared" si="21"/>
        <v>6.2000000000000008E-6</v>
      </c>
      <c r="AF159">
        <v>0.62</v>
      </c>
      <c r="AG159" s="140">
        <f t="shared" si="22"/>
        <v>6.1999999999999986E-8</v>
      </c>
      <c r="AH159" s="140">
        <f t="shared" si="23"/>
        <v>1.24E-7</v>
      </c>
      <c r="AI159" s="140">
        <f t="shared" si="24"/>
        <v>1.8600000000000002E-7</v>
      </c>
      <c r="AJ159" s="140">
        <f t="shared" si="25"/>
        <v>2.4800000000000005E-7</v>
      </c>
      <c r="AK159" s="140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6"/>
        <v>9.9999999999999995E-8</v>
      </c>
      <c r="AO159" s="140">
        <f t="shared" si="27"/>
        <v>6.2000000000000008E-6</v>
      </c>
      <c r="AP159">
        <v>0.62</v>
      </c>
      <c r="AQ159" s="140">
        <f t="shared" si="28"/>
        <v>6.1999999999999986E-8</v>
      </c>
      <c r="AR159" s="140">
        <f t="shared" si="29"/>
        <v>1.24E-7</v>
      </c>
      <c r="AS159" s="140">
        <f t="shared" si="30"/>
        <v>1.8600000000000002E-7</v>
      </c>
      <c r="AT159" s="140">
        <f t="shared" si="31"/>
        <v>2.4800000000000005E-7</v>
      </c>
      <c r="AU159" s="140">
        <f t="shared" si="32"/>
        <v>3.1000000000000005E-7</v>
      </c>
      <c r="AV159" s="157">
        <f>IF(AO159&lt;$B$73*DATA!$H$1037,DATA!$H$1037,IF(AO159&gt;DATA!$H$1036*$B$73,DATA!$H$1036,1))</f>
        <v>1.2</v>
      </c>
      <c r="AW159" s="156">
        <f t="shared" si="33"/>
        <v>9.9999999999999995E-8</v>
      </c>
      <c r="AY159" s="140">
        <f t="shared" si="34"/>
        <v>6.2000000000000008E-6</v>
      </c>
      <c r="AZ159">
        <v>0.62</v>
      </c>
      <c r="BA159" s="140">
        <f t="shared" si="35"/>
        <v>6.1999999999999986E-8</v>
      </c>
      <c r="BB159" s="140">
        <f t="shared" si="36"/>
        <v>1.24E-7</v>
      </c>
      <c r="BC159" s="140">
        <f t="shared" si="37"/>
        <v>1.8600000000000002E-7</v>
      </c>
      <c r="BD159" s="140">
        <f t="shared" si="38"/>
        <v>2.4800000000000005E-7</v>
      </c>
      <c r="BE159" s="140">
        <f t="shared" si="39"/>
        <v>3.1000000000000005E-7</v>
      </c>
      <c r="BF159" s="157">
        <f>IF(AY159&lt;$B$89*DATA!$H$1037,DATA!$H$1037,IF(AY159&gt;DATA!$H$1036*$B$89,DATA!$H$1036,1))</f>
        <v>1.2</v>
      </c>
      <c r="BG159" s="156">
        <f t="shared" si="40"/>
        <v>9.9999999999999995E-8</v>
      </c>
      <c r="BI159" s="140">
        <f t="shared" si="41"/>
        <v>6.2000000000000008E-6</v>
      </c>
      <c r="BJ159">
        <v>0.62</v>
      </c>
      <c r="BK159" s="140">
        <f t="shared" si="42"/>
        <v>6.1999999999999986E-8</v>
      </c>
      <c r="BL159" s="140">
        <f t="shared" si="43"/>
        <v>1.24E-7</v>
      </c>
      <c r="BM159" s="140">
        <f t="shared" si="44"/>
        <v>1.8600000000000002E-7</v>
      </c>
      <c r="BN159" s="140">
        <f t="shared" si="45"/>
        <v>2.4800000000000005E-7</v>
      </c>
      <c r="BO159" s="140">
        <f t="shared" si="46"/>
        <v>3.1000000000000005E-7</v>
      </c>
      <c r="BP159" s="157">
        <f>IF(BI159&lt;$B$105*DATA!$H$1037,DATA!$H$1037,IF(BI159&gt;DATA!$H$1036*$B$105,DATA!$H$1036,1))</f>
        <v>1.2</v>
      </c>
      <c r="BQ159" s="156">
        <f t="shared" si="47"/>
        <v>9.9999999999999995E-8</v>
      </c>
    </row>
    <row r="160" spans="1:69">
      <c r="A160" s="140">
        <f t="shared" si="7"/>
        <v>6.4000000000000006E-6</v>
      </c>
      <c r="B160">
        <v>0.64</v>
      </c>
      <c r="C160" s="140">
        <f t="shared" si="48"/>
        <v>6.3999999999999991E-8</v>
      </c>
      <c r="D160" s="140">
        <f t="shared" si="48"/>
        <v>1.2799999999999998E-7</v>
      </c>
      <c r="E160" s="140">
        <f t="shared" si="48"/>
        <v>1.92E-7</v>
      </c>
      <c r="F160" s="140">
        <f t="shared" si="48"/>
        <v>2.5600000000000002E-7</v>
      </c>
      <c r="G160" s="140">
        <f t="shared" si="48"/>
        <v>3.2000000000000006E-7</v>
      </c>
      <c r="H160" s="157">
        <f>IF(A160&lt;$B$9*DATA!$H$1037,DATA!$H$1037,IF(A160&gt;DATA!$H$1036*$B$9,DATA!$H$1036,1))</f>
        <v>0.8</v>
      </c>
      <c r="I160" s="156">
        <f t="shared" si="8"/>
        <v>9.9999999999999995E-8</v>
      </c>
      <c r="K160" s="140">
        <f t="shared" si="9"/>
        <v>6.4000000000000006E-6</v>
      </c>
      <c r="L160">
        <v>0.64</v>
      </c>
      <c r="M160" s="140">
        <f t="shared" si="10"/>
        <v>6.3999999999999991E-8</v>
      </c>
      <c r="N160" s="140">
        <f t="shared" si="11"/>
        <v>1.2799999999999998E-7</v>
      </c>
      <c r="O160" s="140">
        <f t="shared" si="12"/>
        <v>1.92E-7</v>
      </c>
      <c r="P160" s="140">
        <f t="shared" si="13"/>
        <v>2.5600000000000002E-7</v>
      </c>
      <c r="Q160" s="140">
        <f t="shared" si="14"/>
        <v>3.2000000000000006E-7</v>
      </c>
      <c r="R160" s="157">
        <f>IF(K160&lt;$B$25*DATA!$H$1037,DATA!$H$1037,IF(K160&gt;DATA!$H$1036*$B$25,DATA!$H$1036,1))</f>
        <v>0.8</v>
      </c>
      <c r="S160" s="156">
        <f t="shared" si="4"/>
        <v>9.9999999999999995E-8</v>
      </c>
      <c r="U160" s="140">
        <f t="shared" si="15"/>
        <v>6.4000000000000006E-6</v>
      </c>
      <c r="V160">
        <v>0.64</v>
      </c>
      <c r="W160" s="140">
        <f t="shared" si="16"/>
        <v>6.3999999999999991E-8</v>
      </c>
      <c r="X160" s="140">
        <f t="shared" si="17"/>
        <v>1.2799999999999998E-7</v>
      </c>
      <c r="Y160" s="140">
        <f t="shared" si="18"/>
        <v>1.92E-7</v>
      </c>
      <c r="Z160" s="140">
        <f t="shared" si="19"/>
        <v>2.5600000000000002E-7</v>
      </c>
      <c r="AA160" s="140">
        <f t="shared" si="20"/>
        <v>3.2000000000000006E-7</v>
      </c>
      <c r="AB160" s="157">
        <f>IF(U160&lt;$B$41*DATA!$H$1037,DATA!$H$1037,IF(U160&gt;DATA!$H$1036*$B$41,DATA!$H$1036,1))</f>
        <v>0.8</v>
      </c>
      <c r="AC160" s="156">
        <f t="shared" si="5"/>
        <v>9.9999999999999995E-8</v>
      </c>
      <c r="AE160" s="140">
        <f t="shared" si="21"/>
        <v>6.4000000000000006E-6</v>
      </c>
      <c r="AF160">
        <v>0.64</v>
      </c>
      <c r="AG160" s="140">
        <f t="shared" si="22"/>
        <v>6.3999999999999991E-8</v>
      </c>
      <c r="AH160" s="140">
        <f t="shared" si="23"/>
        <v>1.2799999999999998E-7</v>
      </c>
      <c r="AI160" s="140">
        <f t="shared" si="24"/>
        <v>1.92E-7</v>
      </c>
      <c r="AJ160" s="140">
        <f t="shared" si="25"/>
        <v>2.5600000000000002E-7</v>
      </c>
      <c r="AK160" s="140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6"/>
        <v>9.9999999999999995E-8</v>
      </c>
      <c r="AO160" s="140">
        <f t="shared" si="27"/>
        <v>6.4000000000000006E-6</v>
      </c>
      <c r="AP160">
        <v>0.64</v>
      </c>
      <c r="AQ160" s="140">
        <f t="shared" si="28"/>
        <v>6.3999999999999991E-8</v>
      </c>
      <c r="AR160" s="140">
        <f t="shared" si="29"/>
        <v>1.2799999999999998E-7</v>
      </c>
      <c r="AS160" s="140">
        <f t="shared" si="30"/>
        <v>1.92E-7</v>
      </c>
      <c r="AT160" s="140">
        <f t="shared" si="31"/>
        <v>2.5600000000000002E-7</v>
      </c>
      <c r="AU160" s="140">
        <f t="shared" si="32"/>
        <v>3.2000000000000006E-7</v>
      </c>
      <c r="AV160" s="157">
        <f>IF(AO160&lt;$B$73*DATA!$H$1037,DATA!$H$1037,IF(AO160&gt;DATA!$H$1036*$B$73,DATA!$H$1036,1))</f>
        <v>1.2</v>
      </c>
      <c r="AW160" s="156">
        <f t="shared" si="33"/>
        <v>9.9999999999999995E-8</v>
      </c>
      <c r="AY160" s="140">
        <f t="shared" si="34"/>
        <v>6.4000000000000006E-6</v>
      </c>
      <c r="AZ160">
        <v>0.64</v>
      </c>
      <c r="BA160" s="140">
        <f t="shared" si="35"/>
        <v>6.3999999999999991E-8</v>
      </c>
      <c r="BB160" s="140">
        <f t="shared" si="36"/>
        <v>1.2799999999999998E-7</v>
      </c>
      <c r="BC160" s="140">
        <f t="shared" si="37"/>
        <v>1.92E-7</v>
      </c>
      <c r="BD160" s="140">
        <f t="shared" si="38"/>
        <v>2.5600000000000002E-7</v>
      </c>
      <c r="BE160" s="140">
        <f t="shared" si="39"/>
        <v>3.2000000000000006E-7</v>
      </c>
      <c r="BF160" s="157">
        <f>IF(AY160&lt;$B$89*DATA!$H$1037,DATA!$H$1037,IF(AY160&gt;DATA!$H$1036*$B$89,DATA!$H$1036,1))</f>
        <v>1.2</v>
      </c>
      <c r="BG160" s="156">
        <f t="shared" si="40"/>
        <v>9.9999999999999995E-8</v>
      </c>
      <c r="BI160" s="140">
        <f t="shared" si="41"/>
        <v>6.4000000000000006E-6</v>
      </c>
      <c r="BJ160">
        <v>0.64</v>
      </c>
      <c r="BK160" s="140">
        <f t="shared" si="42"/>
        <v>6.3999999999999991E-8</v>
      </c>
      <c r="BL160" s="140">
        <f t="shared" si="43"/>
        <v>1.2799999999999998E-7</v>
      </c>
      <c r="BM160" s="140">
        <f t="shared" si="44"/>
        <v>1.92E-7</v>
      </c>
      <c r="BN160" s="140">
        <f t="shared" si="45"/>
        <v>2.5600000000000002E-7</v>
      </c>
      <c r="BO160" s="140">
        <f t="shared" si="46"/>
        <v>3.2000000000000006E-7</v>
      </c>
      <c r="BP160" s="157">
        <f>IF(BI160&lt;$B$105*DATA!$H$1037,DATA!$H$1037,IF(BI160&gt;DATA!$H$1036*$B$105,DATA!$H$1036,1))</f>
        <v>1.2</v>
      </c>
      <c r="BQ160" s="156">
        <f t="shared" si="47"/>
        <v>9.9999999999999995E-8</v>
      </c>
    </row>
    <row r="161" spans="1:69">
      <c r="A161" s="140">
        <f t="shared" si="7"/>
        <v>6.6000000000000012E-6</v>
      </c>
      <c r="B161">
        <v>0.66</v>
      </c>
      <c r="C161" s="140">
        <f t="shared" si="48"/>
        <v>6.5999999999999995E-8</v>
      </c>
      <c r="D161" s="140">
        <f t="shared" si="48"/>
        <v>1.3199999999999999E-7</v>
      </c>
      <c r="E161" s="140">
        <f t="shared" si="48"/>
        <v>1.9800000000000003E-7</v>
      </c>
      <c r="F161" s="140">
        <f t="shared" si="48"/>
        <v>2.6400000000000003E-7</v>
      </c>
      <c r="G161" s="140">
        <f t="shared" si="48"/>
        <v>3.3000000000000007E-7</v>
      </c>
      <c r="H161" s="157">
        <f>IF(A161&lt;$B$9*DATA!$H$1037,DATA!$H$1037,IF(A161&gt;DATA!$H$1036*$B$9,DATA!$H$1036,1))</f>
        <v>0.8</v>
      </c>
      <c r="I161" s="156">
        <f t="shared" si="8"/>
        <v>9.9999999999999995E-8</v>
      </c>
      <c r="K161" s="140">
        <f t="shared" si="9"/>
        <v>6.6000000000000012E-6</v>
      </c>
      <c r="L161">
        <v>0.66</v>
      </c>
      <c r="M161" s="140">
        <f t="shared" si="10"/>
        <v>6.5999999999999995E-8</v>
      </c>
      <c r="N161" s="140">
        <f t="shared" si="11"/>
        <v>1.3199999999999999E-7</v>
      </c>
      <c r="O161" s="140">
        <f t="shared" si="12"/>
        <v>1.9800000000000003E-7</v>
      </c>
      <c r="P161" s="140">
        <f t="shared" si="13"/>
        <v>2.6400000000000003E-7</v>
      </c>
      <c r="Q161" s="140">
        <f t="shared" si="14"/>
        <v>3.3000000000000007E-7</v>
      </c>
      <c r="R161" s="157">
        <f>IF(K161&lt;$B$25*DATA!$H$1037,DATA!$H$1037,IF(K161&gt;DATA!$H$1036*$B$25,DATA!$H$1036,1))</f>
        <v>0.8</v>
      </c>
      <c r="S161" s="156">
        <f t="shared" si="4"/>
        <v>9.9999999999999995E-8</v>
      </c>
      <c r="U161" s="140">
        <f t="shared" si="15"/>
        <v>6.6000000000000012E-6</v>
      </c>
      <c r="V161">
        <v>0.66</v>
      </c>
      <c r="W161" s="140">
        <f t="shared" si="16"/>
        <v>6.5999999999999995E-8</v>
      </c>
      <c r="X161" s="140">
        <f t="shared" si="17"/>
        <v>1.3199999999999999E-7</v>
      </c>
      <c r="Y161" s="140">
        <f t="shared" si="18"/>
        <v>1.9800000000000003E-7</v>
      </c>
      <c r="Z161" s="140">
        <f t="shared" si="19"/>
        <v>2.6400000000000003E-7</v>
      </c>
      <c r="AA161" s="140">
        <f t="shared" si="20"/>
        <v>3.3000000000000007E-7</v>
      </c>
      <c r="AB161" s="157">
        <f>IF(U161&lt;$B$41*DATA!$H$1037,DATA!$H$1037,IF(U161&gt;DATA!$H$1036*$B$41,DATA!$H$1036,1))</f>
        <v>0.8</v>
      </c>
      <c r="AC161" s="156">
        <f t="shared" si="5"/>
        <v>9.9999999999999995E-8</v>
      </c>
      <c r="AE161" s="140">
        <f t="shared" si="21"/>
        <v>6.6000000000000012E-6</v>
      </c>
      <c r="AF161">
        <v>0.66</v>
      </c>
      <c r="AG161" s="140">
        <f t="shared" si="22"/>
        <v>6.5999999999999995E-8</v>
      </c>
      <c r="AH161" s="140">
        <f t="shared" si="23"/>
        <v>1.3199999999999999E-7</v>
      </c>
      <c r="AI161" s="140">
        <f t="shared" si="24"/>
        <v>1.9800000000000003E-7</v>
      </c>
      <c r="AJ161" s="140">
        <f t="shared" si="25"/>
        <v>2.6400000000000003E-7</v>
      </c>
      <c r="AK161" s="140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6"/>
        <v>9.9999999999999995E-8</v>
      </c>
      <c r="AO161" s="140">
        <f t="shared" si="27"/>
        <v>6.6000000000000012E-6</v>
      </c>
      <c r="AP161">
        <v>0.66</v>
      </c>
      <c r="AQ161" s="140">
        <f t="shared" si="28"/>
        <v>6.5999999999999995E-8</v>
      </c>
      <c r="AR161" s="140">
        <f t="shared" si="29"/>
        <v>1.3199999999999999E-7</v>
      </c>
      <c r="AS161" s="140">
        <f t="shared" si="30"/>
        <v>1.9800000000000003E-7</v>
      </c>
      <c r="AT161" s="140">
        <f t="shared" si="31"/>
        <v>2.6400000000000003E-7</v>
      </c>
      <c r="AU161" s="140">
        <f t="shared" si="32"/>
        <v>3.3000000000000007E-7</v>
      </c>
      <c r="AV161" s="157">
        <f>IF(AO161&lt;$B$73*DATA!$H$1037,DATA!$H$1037,IF(AO161&gt;DATA!$H$1036*$B$73,DATA!$H$1036,1))</f>
        <v>1.2</v>
      </c>
      <c r="AW161" s="156">
        <f t="shared" si="33"/>
        <v>9.9999999999999995E-8</v>
      </c>
      <c r="AY161" s="140">
        <f t="shared" si="34"/>
        <v>6.6000000000000012E-6</v>
      </c>
      <c r="AZ161">
        <v>0.66</v>
      </c>
      <c r="BA161" s="140">
        <f t="shared" si="35"/>
        <v>6.5999999999999995E-8</v>
      </c>
      <c r="BB161" s="140">
        <f t="shared" si="36"/>
        <v>1.3199999999999999E-7</v>
      </c>
      <c r="BC161" s="140">
        <f t="shared" si="37"/>
        <v>1.9800000000000003E-7</v>
      </c>
      <c r="BD161" s="140">
        <f t="shared" si="38"/>
        <v>2.6400000000000003E-7</v>
      </c>
      <c r="BE161" s="140">
        <f t="shared" si="39"/>
        <v>3.3000000000000007E-7</v>
      </c>
      <c r="BF161" s="157">
        <f>IF(AY161&lt;$B$89*DATA!$H$1037,DATA!$H$1037,IF(AY161&gt;DATA!$H$1036*$B$89,DATA!$H$1036,1))</f>
        <v>1.2</v>
      </c>
      <c r="BG161" s="156">
        <f t="shared" si="40"/>
        <v>9.9999999999999995E-8</v>
      </c>
      <c r="BI161" s="140">
        <f t="shared" si="41"/>
        <v>6.6000000000000012E-6</v>
      </c>
      <c r="BJ161">
        <v>0.66</v>
      </c>
      <c r="BK161" s="140">
        <f t="shared" si="42"/>
        <v>6.5999999999999995E-8</v>
      </c>
      <c r="BL161" s="140">
        <f t="shared" si="43"/>
        <v>1.3199999999999999E-7</v>
      </c>
      <c r="BM161" s="140">
        <f t="shared" si="44"/>
        <v>1.9800000000000003E-7</v>
      </c>
      <c r="BN161" s="140">
        <f t="shared" si="45"/>
        <v>2.6400000000000003E-7</v>
      </c>
      <c r="BO161" s="140">
        <f t="shared" si="46"/>
        <v>3.3000000000000007E-7</v>
      </c>
      <c r="BP161" s="157">
        <f>IF(BI161&lt;$B$105*DATA!$H$1037,DATA!$H$1037,IF(BI161&gt;DATA!$H$1036*$B$105,DATA!$H$1036,1))</f>
        <v>1.2</v>
      </c>
      <c r="BQ161" s="156">
        <f t="shared" si="47"/>
        <v>9.9999999999999995E-8</v>
      </c>
    </row>
    <row r="162" spans="1:69">
      <c r="A162" s="140">
        <f t="shared" si="7"/>
        <v>6.800000000000001E-6</v>
      </c>
      <c r="B162">
        <v>0.68</v>
      </c>
      <c r="C162" s="140">
        <f t="shared" si="48"/>
        <v>6.7999999999999987E-8</v>
      </c>
      <c r="D162" s="140">
        <f t="shared" si="48"/>
        <v>1.36E-7</v>
      </c>
      <c r="E162" s="140">
        <f t="shared" si="48"/>
        <v>2.0400000000000003E-7</v>
      </c>
      <c r="F162" s="140">
        <f t="shared" si="48"/>
        <v>2.7200000000000005E-7</v>
      </c>
      <c r="G162" s="140">
        <f t="shared" si="48"/>
        <v>3.4000000000000008E-7</v>
      </c>
      <c r="H162" s="157">
        <f>IF(A162&lt;$B$9*DATA!$H$1037,DATA!$H$1037,IF(A162&gt;DATA!$H$1036*$B$9,DATA!$H$1036,1))</f>
        <v>0.8</v>
      </c>
      <c r="I162" s="156">
        <f t="shared" si="8"/>
        <v>9.9999999999999995E-8</v>
      </c>
      <c r="K162" s="140">
        <f t="shared" si="9"/>
        <v>6.800000000000001E-6</v>
      </c>
      <c r="L162">
        <v>0.68</v>
      </c>
      <c r="M162" s="140">
        <f t="shared" si="10"/>
        <v>6.7999999999999987E-8</v>
      </c>
      <c r="N162" s="140">
        <f t="shared" si="11"/>
        <v>1.36E-7</v>
      </c>
      <c r="O162" s="140">
        <f t="shared" si="12"/>
        <v>2.0400000000000003E-7</v>
      </c>
      <c r="P162" s="140">
        <f t="shared" si="13"/>
        <v>2.7200000000000005E-7</v>
      </c>
      <c r="Q162" s="140">
        <f t="shared" si="14"/>
        <v>3.4000000000000008E-7</v>
      </c>
      <c r="R162" s="157">
        <f>IF(K162&lt;$B$25*DATA!$H$1037,DATA!$H$1037,IF(K162&gt;DATA!$H$1036*$B$25,DATA!$H$1036,1))</f>
        <v>0.8</v>
      </c>
      <c r="S162" s="156">
        <f t="shared" si="4"/>
        <v>9.9999999999999995E-8</v>
      </c>
      <c r="U162" s="140">
        <f t="shared" si="15"/>
        <v>6.800000000000001E-6</v>
      </c>
      <c r="V162">
        <v>0.68</v>
      </c>
      <c r="W162" s="140">
        <f t="shared" si="16"/>
        <v>6.7999999999999987E-8</v>
      </c>
      <c r="X162" s="140">
        <f t="shared" si="17"/>
        <v>1.36E-7</v>
      </c>
      <c r="Y162" s="140">
        <f t="shared" si="18"/>
        <v>2.0400000000000003E-7</v>
      </c>
      <c r="Z162" s="140">
        <f t="shared" si="19"/>
        <v>2.7200000000000005E-7</v>
      </c>
      <c r="AA162" s="140">
        <f t="shared" si="20"/>
        <v>3.4000000000000008E-7</v>
      </c>
      <c r="AB162" s="157">
        <f>IF(U162&lt;$B$41*DATA!$H$1037,DATA!$H$1037,IF(U162&gt;DATA!$H$1036*$B$41,DATA!$H$1036,1))</f>
        <v>0.8</v>
      </c>
      <c r="AC162" s="156">
        <f t="shared" si="5"/>
        <v>9.9999999999999995E-8</v>
      </c>
      <c r="AE162" s="140">
        <f t="shared" si="21"/>
        <v>6.800000000000001E-6</v>
      </c>
      <c r="AF162">
        <v>0.68</v>
      </c>
      <c r="AG162" s="140">
        <f t="shared" si="22"/>
        <v>6.7999999999999987E-8</v>
      </c>
      <c r="AH162" s="140">
        <f t="shared" si="23"/>
        <v>1.36E-7</v>
      </c>
      <c r="AI162" s="140">
        <f t="shared" si="24"/>
        <v>2.0400000000000003E-7</v>
      </c>
      <c r="AJ162" s="140">
        <f t="shared" si="25"/>
        <v>2.7200000000000005E-7</v>
      </c>
      <c r="AK162" s="140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6"/>
        <v>9.9999999999999995E-8</v>
      </c>
      <c r="AO162" s="140">
        <f t="shared" si="27"/>
        <v>6.800000000000001E-6</v>
      </c>
      <c r="AP162">
        <v>0.68</v>
      </c>
      <c r="AQ162" s="140">
        <f t="shared" si="28"/>
        <v>6.7999999999999987E-8</v>
      </c>
      <c r="AR162" s="140">
        <f t="shared" si="29"/>
        <v>1.36E-7</v>
      </c>
      <c r="AS162" s="140">
        <f t="shared" si="30"/>
        <v>2.0400000000000003E-7</v>
      </c>
      <c r="AT162" s="140">
        <f t="shared" si="31"/>
        <v>2.7200000000000005E-7</v>
      </c>
      <c r="AU162" s="140">
        <f t="shared" si="32"/>
        <v>3.4000000000000008E-7</v>
      </c>
      <c r="AV162" s="157">
        <f>IF(AO162&lt;$B$73*DATA!$H$1037,DATA!$H$1037,IF(AO162&gt;DATA!$H$1036*$B$73,DATA!$H$1036,1))</f>
        <v>1.2</v>
      </c>
      <c r="AW162" s="156">
        <f t="shared" si="33"/>
        <v>9.9999999999999995E-8</v>
      </c>
      <c r="AY162" s="140">
        <f t="shared" si="34"/>
        <v>6.800000000000001E-6</v>
      </c>
      <c r="AZ162">
        <v>0.68</v>
      </c>
      <c r="BA162" s="140">
        <f t="shared" si="35"/>
        <v>6.7999999999999987E-8</v>
      </c>
      <c r="BB162" s="140">
        <f t="shared" si="36"/>
        <v>1.36E-7</v>
      </c>
      <c r="BC162" s="140">
        <f t="shared" si="37"/>
        <v>2.0400000000000003E-7</v>
      </c>
      <c r="BD162" s="140">
        <f t="shared" si="38"/>
        <v>2.7200000000000005E-7</v>
      </c>
      <c r="BE162" s="140">
        <f t="shared" si="39"/>
        <v>3.4000000000000008E-7</v>
      </c>
      <c r="BF162" s="157">
        <f>IF(AY162&lt;$B$89*DATA!$H$1037,DATA!$H$1037,IF(AY162&gt;DATA!$H$1036*$B$89,DATA!$H$1036,1))</f>
        <v>1.2</v>
      </c>
      <c r="BG162" s="156">
        <f t="shared" si="40"/>
        <v>9.9999999999999995E-8</v>
      </c>
      <c r="BI162" s="140">
        <f t="shared" si="41"/>
        <v>6.800000000000001E-6</v>
      </c>
      <c r="BJ162">
        <v>0.68</v>
      </c>
      <c r="BK162" s="140">
        <f t="shared" si="42"/>
        <v>6.7999999999999987E-8</v>
      </c>
      <c r="BL162" s="140">
        <f t="shared" si="43"/>
        <v>1.36E-7</v>
      </c>
      <c r="BM162" s="140">
        <f t="shared" si="44"/>
        <v>2.0400000000000003E-7</v>
      </c>
      <c r="BN162" s="140">
        <f t="shared" si="45"/>
        <v>2.7200000000000005E-7</v>
      </c>
      <c r="BO162" s="140">
        <f t="shared" si="46"/>
        <v>3.4000000000000008E-7</v>
      </c>
      <c r="BP162" s="157">
        <f>IF(BI162&lt;$B$105*DATA!$H$1037,DATA!$H$1037,IF(BI162&gt;DATA!$H$1036*$B$105,DATA!$H$1036,1))</f>
        <v>1.2</v>
      </c>
      <c r="BQ162" s="156">
        <f t="shared" si="47"/>
        <v>9.9999999999999995E-8</v>
      </c>
    </row>
    <row r="163" spans="1:69">
      <c r="A163" s="140">
        <f t="shared" si="7"/>
        <v>6.9999999999999999E-6</v>
      </c>
      <c r="B163">
        <v>0.7</v>
      </c>
      <c r="C163" s="140">
        <f t="shared" si="48"/>
        <v>6.9999999999999978E-8</v>
      </c>
      <c r="D163" s="140">
        <f t="shared" si="48"/>
        <v>1.3999999999999998E-7</v>
      </c>
      <c r="E163" s="140">
        <f t="shared" si="48"/>
        <v>2.1E-7</v>
      </c>
      <c r="F163" s="140">
        <f t="shared" si="48"/>
        <v>2.8000000000000002E-7</v>
      </c>
      <c r="G163" s="140">
        <f t="shared" si="48"/>
        <v>3.5000000000000004E-7</v>
      </c>
      <c r="H163" s="157">
        <f>IF(A163&lt;$B$9*DATA!$H$1037,DATA!$H$1037,IF(A163&gt;DATA!$H$1036*$B$9,DATA!$H$1036,1))</f>
        <v>0.8</v>
      </c>
      <c r="I163" s="156">
        <f t="shared" si="8"/>
        <v>9.9999999999999995E-8</v>
      </c>
      <c r="K163" s="140">
        <f t="shared" si="9"/>
        <v>6.9999999999999999E-6</v>
      </c>
      <c r="L163">
        <v>0.7</v>
      </c>
      <c r="M163" s="140">
        <f t="shared" si="10"/>
        <v>6.9999999999999978E-8</v>
      </c>
      <c r="N163" s="140">
        <f t="shared" si="11"/>
        <v>1.3999999999999998E-7</v>
      </c>
      <c r="O163" s="140">
        <f t="shared" si="12"/>
        <v>2.1E-7</v>
      </c>
      <c r="P163" s="140">
        <f t="shared" si="13"/>
        <v>2.8000000000000002E-7</v>
      </c>
      <c r="Q163" s="140">
        <f t="shared" si="14"/>
        <v>3.5000000000000004E-7</v>
      </c>
      <c r="R163" s="157">
        <f>IF(K163&lt;$B$25*DATA!$H$1037,DATA!$H$1037,IF(K163&gt;DATA!$H$1036*$B$25,DATA!$H$1036,1))</f>
        <v>0.8</v>
      </c>
      <c r="S163" s="156">
        <f t="shared" si="4"/>
        <v>9.9999999999999995E-8</v>
      </c>
      <c r="U163" s="140">
        <f t="shared" si="15"/>
        <v>6.9999999999999999E-6</v>
      </c>
      <c r="V163">
        <v>0.7</v>
      </c>
      <c r="W163" s="140">
        <f t="shared" si="16"/>
        <v>6.9999999999999978E-8</v>
      </c>
      <c r="X163" s="140">
        <f t="shared" si="17"/>
        <v>1.3999999999999998E-7</v>
      </c>
      <c r="Y163" s="140">
        <f t="shared" si="18"/>
        <v>2.1E-7</v>
      </c>
      <c r="Z163" s="140">
        <f t="shared" si="19"/>
        <v>2.8000000000000002E-7</v>
      </c>
      <c r="AA163" s="140">
        <f t="shared" si="20"/>
        <v>3.5000000000000004E-7</v>
      </c>
      <c r="AB163" s="157">
        <f>IF(U163&lt;$B$41*DATA!$H$1037,DATA!$H$1037,IF(U163&gt;DATA!$H$1036*$B$41,DATA!$H$1036,1))</f>
        <v>0.8</v>
      </c>
      <c r="AC163" s="156">
        <f t="shared" si="5"/>
        <v>9.9999999999999995E-8</v>
      </c>
      <c r="AE163" s="140">
        <f t="shared" si="21"/>
        <v>6.9999999999999999E-6</v>
      </c>
      <c r="AF163">
        <v>0.7</v>
      </c>
      <c r="AG163" s="140">
        <f t="shared" si="22"/>
        <v>6.9999999999999978E-8</v>
      </c>
      <c r="AH163" s="140">
        <f t="shared" si="23"/>
        <v>1.3999999999999998E-7</v>
      </c>
      <c r="AI163" s="140">
        <f t="shared" si="24"/>
        <v>2.1E-7</v>
      </c>
      <c r="AJ163" s="140">
        <f t="shared" si="25"/>
        <v>2.8000000000000002E-7</v>
      </c>
      <c r="AK163" s="140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6"/>
        <v>9.9999999999999995E-8</v>
      </c>
      <c r="AO163" s="140">
        <f t="shared" si="27"/>
        <v>6.9999999999999999E-6</v>
      </c>
      <c r="AP163">
        <v>0.7</v>
      </c>
      <c r="AQ163" s="140">
        <f t="shared" si="28"/>
        <v>6.9999999999999978E-8</v>
      </c>
      <c r="AR163" s="140">
        <f t="shared" si="29"/>
        <v>1.3999999999999998E-7</v>
      </c>
      <c r="AS163" s="140">
        <f t="shared" si="30"/>
        <v>2.1E-7</v>
      </c>
      <c r="AT163" s="140">
        <f t="shared" si="31"/>
        <v>2.8000000000000002E-7</v>
      </c>
      <c r="AU163" s="140">
        <f t="shared" si="32"/>
        <v>3.5000000000000004E-7</v>
      </c>
      <c r="AV163" s="157">
        <f>IF(AO163&lt;$B$73*DATA!$H$1037,DATA!$H$1037,IF(AO163&gt;DATA!$H$1036*$B$73,DATA!$H$1036,1))</f>
        <v>1.2</v>
      </c>
      <c r="AW163" s="156">
        <f t="shared" si="33"/>
        <v>9.9999999999999995E-8</v>
      </c>
      <c r="AY163" s="140">
        <f t="shared" si="34"/>
        <v>6.9999999999999999E-6</v>
      </c>
      <c r="AZ163">
        <v>0.7</v>
      </c>
      <c r="BA163" s="140">
        <f t="shared" si="35"/>
        <v>6.9999999999999978E-8</v>
      </c>
      <c r="BB163" s="140">
        <f t="shared" si="36"/>
        <v>1.3999999999999998E-7</v>
      </c>
      <c r="BC163" s="140">
        <f t="shared" si="37"/>
        <v>2.1E-7</v>
      </c>
      <c r="BD163" s="140">
        <f t="shared" si="38"/>
        <v>2.8000000000000002E-7</v>
      </c>
      <c r="BE163" s="140">
        <f t="shared" si="39"/>
        <v>3.5000000000000004E-7</v>
      </c>
      <c r="BF163" s="157">
        <f>IF(AY163&lt;$B$89*DATA!$H$1037,DATA!$H$1037,IF(AY163&gt;DATA!$H$1036*$B$89,DATA!$H$1036,1))</f>
        <v>1.2</v>
      </c>
      <c r="BG163" s="156">
        <f t="shared" si="40"/>
        <v>9.9999999999999995E-8</v>
      </c>
      <c r="BI163" s="140">
        <f t="shared" si="41"/>
        <v>6.9999999999999999E-6</v>
      </c>
      <c r="BJ163">
        <v>0.7</v>
      </c>
      <c r="BK163" s="140">
        <f t="shared" si="42"/>
        <v>6.9999999999999978E-8</v>
      </c>
      <c r="BL163" s="140">
        <f t="shared" si="43"/>
        <v>1.3999999999999998E-7</v>
      </c>
      <c r="BM163" s="140">
        <f t="shared" si="44"/>
        <v>2.1E-7</v>
      </c>
      <c r="BN163" s="140">
        <f t="shared" si="45"/>
        <v>2.8000000000000002E-7</v>
      </c>
      <c r="BO163" s="140">
        <f t="shared" si="46"/>
        <v>3.5000000000000004E-7</v>
      </c>
      <c r="BP163" s="157">
        <f>IF(BI163&lt;$B$105*DATA!$H$1037,DATA!$H$1037,IF(BI163&gt;DATA!$H$1036*$B$105,DATA!$H$1036,1))</f>
        <v>1.2</v>
      </c>
      <c r="BQ163" s="156">
        <f t="shared" si="47"/>
        <v>9.9999999999999995E-8</v>
      </c>
    </row>
    <row r="164" spans="1:69">
      <c r="A164" s="140">
        <f t="shared" si="7"/>
        <v>7.2000000000000005E-6</v>
      </c>
      <c r="B164">
        <v>0.72</v>
      </c>
      <c r="C164" s="140">
        <f t="shared" si="48"/>
        <v>7.1999999999999983E-8</v>
      </c>
      <c r="D164" s="140">
        <f t="shared" si="48"/>
        <v>1.4399999999999999E-7</v>
      </c>
      <c r="E164" s="140">
        <f t="shared" si="48"/>
        <v>2.16E-7</v>
      </c>
      <c r="F164" s="140">
        <f t="shared" si="48"/>
        <v>2.8800000000000004E-7</v>
      </c>
      <c r="G164" s="140">
        <f t="shared" si="48"/>
        <v>3.6000000000000005E-7</v>
      </c>
      <c r="H164" s="157">
        <f>IF(A164&lt;$B$9*DATA!$H$1037,DATA!$H$1037,IF(A164&gt;DATA!$H$1036*$B$9,DATA!$H$1036,1))</f>
        <v>0.8</v>
      </c>
      <c r="I164" s="156">
        <f t="shared" si="8"/>
        <v>9.9999999999999995E-8</v>
      </c>
      <c r="K164" s="140">
        <f t="shared" si="9"/>
        <v>7.2000000000000005E-6</v>
      </c>
      <c r="L164">
        <v>0.72</v>
      </c>
      <c r="M164" s="140">
        <f t="shared" si="10"/>
        <v>7.1999999999999983E-8</v>
      </c>
      <c r="N164" s="140">
        <f t="shared" si="11"/>
        <v>1.4399999999999999E-7</v>
      </c>
      <c r="O164" s="140">
        <f t="shared" si="12"/>
        <v>2.16E-7</v>
      </c>
      <c r="P164" s="140">
        <f t="shared" si="13"/>
        <v>2.8800000000000004E-7</v>
      </c>
      <c r="Q164" s="140">
        <f t="shared" si="14"/>
        <v>3.6000000000000005E-7</v>
      </c>
      <c r="R164" s="157">
        <f>IF(K164&lt;$B$25*DATA!$H$1037,DATA!$H$1037,IF(K164&gt;DATA!$H$1036*$B$25,DATA!$H$1036,1))</f>
        <v>0.8</v>
      </c>
      <c r="S164" s="156">
        <f t="shared" si="4"/>
        <v>9.9999999999999995E-8</v>
      </c>
      <c r="U164" s="140">
        <f t="shared" si="15"/>
        <v>7.2000000000000005E-6</v>
      </c>
      <c r="V164">
        <v>0.72</v>
      </c>
      <c r="W164" s="140">
        <f t="shared" si="16"/>
        <v>7.1999999999999983E-8</v>
      </c>
      <c r="X164" s="140">
        <f t="shared" si="17"/>
        <v>1.4399999999999999E-7</v>
      </c>
      <c r="Y164" s="140">
        <f t="shared" si="18"/>
        <v>2.16E-7</v>
      </c>
      <c r="Z164" s="140">
        <f t="shared" si="19"/>
        <v>2.8800000000000004E-7</v>
      </c>
      <c r="AA164" s="140">
        <f t="shared" si="20"/>
        <v>3.6000000000000005E-7</v>
      </c>
      <c r="AB164" s="157">
        <f>IF(U164&lt;$B$41*DATA!$H$1037,DATA!$H$1037,IF(U164&gt;DATA!$H$1036*$B$41,DATA!$H$1036,1))</f>
        <v>0.8</v>
      </c>
      <c r="AC164" s="156">
        <f t="shared" si="5"/>
        <v>9.9999999999999995E-8</v>
      </c>
      <c r="AE164" s="140">
        <f t="shared" si="21"/>
        <v>7.2000000000000005E-6</v>
      </c>
      <c r="AF164">
        <v>0.72</v>
      </c>
      <c r="AG164" s="140">
        <f t="shared" si="22"/>
        <v>7.1999999999999983E-8</v>
      </c>
      <c r="AH164" s="140">
        <f t="shared" si="23"/>
        <v>1.4399999999999999E-7</v>
      </c>
      <c r="AI164" s="140">
        <f t="shared" si="24"/>
        <v>2.16E-7</v>
      </c>
      <c r="AJ164" s="140">
        <f t="shared" si="25"/>
        <v>2.8800000000000004E-7</v>
      </c>
      <c r="AK164" s="140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6"/>
        <v>9.9999999999999995E-8</v>
      </c>
      <c r="AO164" s="140">
        <f t="shared" si="27"/>
        <v>7.2000000000000005E-6</v>
      </c>
      <c r="AP164">
        <v>0.72</v>
      </c>
      <c r="AQ164" s="140">
        <f t="shared" si="28"/>
        <v>7.1999999999999983E-8</v>
      </c>
      <c r="AR164" s="140">
        <f t="shared" si="29"/>
        <v>1.4399999999999999E-7</v>
      </c>
      <c r="AS164" s="140">
        <f t="shared" si="30"/>
        <v>2.16E-7</v>
      </c>
      <c r="AT164" s="140">
        <f t="shared" si="31"/>
        <v>2.8800000000000004E-7</v>
      </c>
      <c r="AU164" s="140">
        <f t="shared" si="32"/>
        <v>3.6000000000000005E-7</v>
      </c>
      <c r="AV164" s="157">
        <f>IF(AO164&lt;$B$73*DATA!$H$1037,DATA!$H$1037,IF(AO164&gt;DATA!$H$1036*$B$73,DATA!$H$1036,1))</f>
        <v>1.2</v>
      </c>
      <c r="AW164" s="156">
        <f t="shared" si="33"/>
        <v>9.9999999999999995E-8</v>
      </c>
      <c r="AY164" s="140">
        <f t="shared" si="34"/>
        <v>7.2000000000000005E-6</v>
      </c>
      <c r="AZ164">
        <v>0.72</v>
      </c>
      <c r="BA164" s="140">
        <f t="shared" si="35"/>
        <v>7.1999999999999983E-8</v>
      </c>
      <c r="BB164" s="140">
        <f t="shared" si="36"/>
        <v>1.4399999999999999E-7</v>
      </c>
      <c r="BC164" s="140">
        <f t="shared" si="37"/>
        <v>2.16E-7</v>
      </c>
      <c r="BD164" s="140">
        <f t="shared" si="38"/>
        <v>2.8800000000000004E-7</v>
      </c>
      <c r="BE164" s="140">
        <f t="shared" si="39"/>
        <v>3.6000000000000005E-7</v>
      </c>
      <c r="BF164" s="157">
        <f>IF(AY164&lt;$B$89*DATA!$H$1037,DATA!$H$1037,IF(AY164&gt;DATA!$H$1036*$B$89,DATA!$H$1036,1))</f>
        <v>1.2</v>
      </c>
      <c r="BG164" s="156">
        <f t="shared" si="40"/>
        <v>9.9999999999999995E-8</v>
      </c>
      <c r="BI164" s="140">
        <f t="shared" si="41"/>
        <v>7.2000000000000005E-6</v>
      </c>
      <c r="BJ164">
        <v>0.72</v>
      </c>
      <c r="BK164" s="140">
        <f t="shared" si="42"/>
        <v>7.1999999999999983E-8</v>
      </c>
      <c r="BL164" s="140">
        <f t="shared" si="43"/>
        <v>1.4399999999999999E-7</v>
      </c>
      <c r="BM164" s="140">
        <f t="shared" si="44"/>
        <v>2.16E-7</v>
      </c>
      <c r="BN164" s="140">
        <f t="shared" si="45"/>
        <v>2.8800000000000004E-7</v>
      </c>
      <c r="BO164" s="140">
        <f t="shared" si="46"/>
        <v>3.6000000000000005E-7</v>
      </c>
      <c r="BP164" s="157">
        <f>IF(BI164&lt;$B$105*DATA!$H$1037,DATA!$H$1037,IF(BI164&gt;DATA!$H$1036*$B$105,DATA!$H$1036,1))</f>
        <v>1.2</v>
      </c>
      <c r="BQ164" s="156">
        <f t="shared" si="47"/>
        <v>9.9999999999999995E-8</v>
      </c>
    </row>
    <row r="165" spans="1:69">
      <c r="A165" s="140">
        <f t="shared" si="7"/>
        <v>7.4000000000000003E-6</v>
      </c>
      <c r="B165">
        <v>0.74</v>
      </c>
      <c r="C165" s="140">
        <f t="shared" si="48"/>
        <v>7.3999999999999974E-8</v>
      </c>
      <c r="D165" s="140">
        <f t="shared" si="48"/>
        <v>1.4799999999999998E-7</v>
      </c>
      <c r="E165" s="140">
        <f t="shared" si="48"/>
        <v>2.22E-7</v>
      </c>
      <c r="F165" s="140">
        <f t="shared" si="48"/>
        <v>2.96E-7</v>
      </c>
      <c r="G165" s="140">
        <f t="shared" si="48"/>
        <v>3.7000000000000006E-7</v>
      </c>
      <c r="H165" s="157">
        <f>IF(A165&lt;$B$9*DATA!$H$1037,DATA!$H$1037,IF(A165&gt;DATA!$H$1036*$B$9,DATA!$H$1036,1))</f>
        <v>0.8</v>
      </c>
      <c r="I165" s="156">
        <f t="shared" si="8"/>
        <v>9.9999999999999995E-8</v>
      </c>
      <c r="K165" s="140">
        <f t="shared" si="9"/>
        <v>7.4000000000000003E-6</v>
      </c>
      <c r="L165">
        <v>0.74</v>
      </c>
      <c r="M165" s="140">
        <f t="shared" si="10"/>
        <v>7.3999999999999974E-8</v>
      </c>
      <c r="N165" s="140">
        <f t="shared" si="11"/>
        <v>1.4799999999999998E-7</v>
      </c>
      <c r="O165" s="140">
        <f t="shared" si="12"/>
        <v>2.22E-7</v>
      </c>
      <c r="P165" s="140">
        <f t="shared" si="13"/>
        <v>2.96E-7</v>
      </c>
      <c r="Q165" s="140">
        <f t="shared" si="14"/>
        <v>3.7000000000000006E-7</v>
      </c>
      <c r="R165" s="157">
        <f>IF(K165&lt;$B$25*DATA!$H$1037,DATA!$H$1037,IF(K165&gt;DATA!$H$1036*$B$25,DATA!$H$1036,1))</f>
        <v>0.8</v>
      </c>
      <c r="S165" s="156">
        <f t="shared" si="4"/>
        <v>9.9999999999999995E-8</v>
      </c>
      <c r="U165" s="140">
        <f t="shared" si="15"/>
        <v>7.4000000000000003E-6</v>
      </c>
      <c r="V165">
        <v>0.74</v>
      </c>
      <c r="W165" s="140">
        <f t="shared" si="16"/>
        <v>7.3999999999999974E-8</v>
      </c>
      <c r="X165" s="140">
        <f t="shared" si="17"/>
        <v>1.4799999999999998E-7</v>
      </c>
      <c r="Y165" s="140">
        <f t="shared" si="18"/>
        <v>2.22E-7</v>
      </c>
      <c r="Z165" s="140">
        <f t="shared" si="19"/>
        <v>2.96E-7</v>
      </c>
      <c r="AA165" s="140">
        <f t="shared" si="20"/>
        <v>3.7000000000000006E-7</v>
      </c>
      <c r="AB165" s="157">
        <f>IF(U165&lt;$B$41*DATA!$H$1037,DATA!$H$1037,IF(U165&gt;DATA!$H$1036*$B$41,DATA!$H$1036,1))</f>
        <v>0.8</v>
      </c>
      <c r="AC165" s="156">
        <f t="shared" si="5"/>
        <v>9.9999999999999995E-8</v>
      </c>
      <c r="AE165" s="140">
        <f t="shared" si="21"/>
        <v>7.4000000000000003E-6</v>
      </c>
      <c r="AF165">
        <v>0.74</v>
      </c>
      <c r="AG165" s="140">
        <f t="shared" si="22"/>
        <v>7.3999999999999974E-8</v>
      </c>
      <c r="AH165" s="140">
        <f t="shared" si="23"/>
        <v>1.4799999999999998E-7</v>
      </c>
      <c r="AI165" s="140">
        <f t="shared" si="24"/>
        <v>2.22E-7</v>
      </c>
      <c r="AJ165" s="140">
        <f t="shared" si="25"/>
        <v>2.96E-7</v>
      </c>
      <c r="AK165" s="140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6"/>
        <v>9.9999999999999995E-8</v>
      </c>
      <c r="AO165" s="140">
        <f t="shared" si="27"/>
        <v>7.4000000000000003E-6</v>
      </c>
      <c r="AP165">
        <v>0.74</v>
      </c>
      <c r="AQ165" s="140">
        <f t="shared" si="28"/>
        <v>7.3999999999999974E-8</v>
      </c>
      <c r="AR165" s="140">
        <f t="shared" si="29"/>
        <v>1.4799999999999998E-7</v>
      </c>
      <c r="AS165" s="140">
        <f t="shared" si="30"/>
        <v>2.22E-7</v>
      </c>
      <c r="AT165" s="140">
        <f t="shared" si="31"/>
        <v>2.96E-7</v>
      </c>
      <c r="AU165" s="140">
        <f t="shared" si="32"/>
        <v>3.7000000000000006E-7</v>
      </c>
      <c r="AV165" s="157">
        <f>IF(AO165&lt;$B$73*DATA!$H$1037,DATA!$H$1037,IF(AO165&gt;DATA!$H$1036*$B$73,DATA!$H$1036,1))</f>
        <v>1.2</v>
      </c>
      <c r="AW165" s="156">
        <f t="shared" si="33"/>
        <v>9.9999999999999995E-8</v>
      </c>
      <c r="AY165" s="140">
        <f t="shared" si="34"/>
        <v>7.4000000000000003E-6</v>
      </c>
      <c r="AZ165">
        <v>0.74</v>
      </c>
      <c r="BA165" s="140">
        <f t="shared" si="35"/>
        <v>7.3999999999999974E-8</v>
      </c>
      <c r="BB165" s="140">
        <f t="shared" si="36"/>
        <v>1.4799999999999998E-7</v>
      </c>
      <c r="BC165" s="140">
        <f t="shared" si="37"/>
        <v>2.22E-7</v>
      </c>
      <c r="BD165" s="140">
        <f t="shared" si="38"/>
        <v>2.96E-7</v>
      </c>
      <c r="BE165" s="140">
        <f t="shared" si="39"/>
        <v>3.7000000000000006E-7</v>
      </c>
      <c r="BF165" s="157">
        <f>IF(AY165&lt;$B$89*DATA!$H$1037,DATA!$H$1037,IF(AY165&gt;DATA!$H$1036*$B$89,DATA!$H$1036,1))</f>
        <v>1.2</v>
      </c>
      <c r="BG165" s="156">
        <f t="shared" si="40"/>
        <v>9.9999999999999995E-8</v>
      </c>
      <c r="BI165" s="140">
        <f t="shared" si="41"/>
        <v>7.4000000000000003E-6</v>
      </c>
      <c r="BJ165">
        <v>0.74</v>
      </c>
      <c r="BK165" s="140">
        <f t="shared" si="42"/>
        <v>7.3999999999999974E-8</v>
      </c>
      <c r="BL165" s="140">
        <f t="shared" si="43"/>
        <v>1.4799999999999998E-7</v>
      </c>
      <c r="BM165" s="140">
        <f t="shared" si="44"/>
        <v>2.22E-7</v>
      </c>
      <c r="BN165" s="140">
        <f t="shared" si="45"/>
        <v>2.96E-7</v>
      </c>
      <c r="BO165" s="140">
        <f t="shared" si="46"/>
        <v>3.7000000000000006E-7</v>
      </c>
      <c r="BP165" s="157">
        <f>IF(BI165&lt;$B$105*DATA!$H$1037,DATA!$H$1037,IF(BI165&gt;DATA!$H$1036*$B$105,DATA!$H$1036,1))</f>
        <v>1.2</v>
      </c>
      <c r="BQ165" s="156">
        <f t="shared" si="47"/>
        <v>9.9999999999999995E-8</v>
      </c>
    </row>
    <row r="166" spans="1:69">
      <c r="A166" s="140">
        <f t="shared" si="7"/>
        <v>7.6000000000000009E-6</v>
      </c>
      <c r="B166">
        <v>0.76</v>
      </c>
      <c r="C166" s="140">
        <f t="shared" si="48"/>
        <v>7.5999999999999979E-8</v>
      </c>
      <c r="D166" s="140">
        <f t="shared" si="48"/>
        <v>1.5199999999999998E-7</v>
      </c>
      <c r="E166" s="140">
        <f t="shared" si="48"/>
        <v>2.2800000000000003E-7</v>
      </c>
      <c r="F166" s="140">
        <f t="shared" si="48"/>
        <v>3.0400000000000002E-7</v>
      </c>
      <c r="G166" s="140">
        <f t="shared" si="48"/>
        <v>3.8000000000000007E-7</v>
      </c>
      <c r="H166" s="157">
        <f>IF(A166&lt;$B$9*DATA!$H$1037,DATA!$H$1037,IF(A166&gt;DATA!$H$1036*$B$9,DATA!$H$1036,1))</f>
        <v>0.8</v>
      </c>
      <c r="I166" s="156">
        <f t="shared" si="8"/>
        <v>9.9999999999999995E-8</v>
      </c>
      <c r="K166" s="140">
        <f t="shared" si="9"/>
        <v>7.6000000000000009E-6</v>
      </c>
      <c r="L166">
        <v>0.76</v>
      </c>
      <c r="M166" s="140">
        <f t="shared" si="10"/>
        <v>7.5999999999999979E-8</v>
      </c>
      <c r="N166" s="140">
        <f t="shared" si="11"/>
        <v>1.5199999999999998E-7</v>
      </c>
      <c r="O166" s="140">
        <f t="shared" si="12"/>
        <v>2.2800000000000003E-7</v>
      </c>
      <c r="P166" s="140">
        <f t="shared" si="13"/>
        <v>3.0400000000000002E-7</v>
      </c>
      <c r="Q166" s="140">
        <f t="shared" si="14"/>
        <v>3.8000000000000007E-7</v>
      </c>
      <c r="R166" s="157">
        <f>IF(K166&lt;$B$25*DATA!$H$1037,DATA!$H$1037,IF(K166&gt;DATA!$H$1036*$B$25,DATA!$H$1036,1))</f>
        <v>0.8</v>
      </c>
      <c r="S166" s="156">
        <f t="shared" si="4"/>
        <v>9.9999999999999995E-8</v>
      </c>
      <c r="U166" s="140">
        <f t="shared" si="15"/>
        <v>7.6000000000000009E-6</v>
      </c>
      <c r="V166">
        <v>0.76</v>
      </c>
      <c r="W166" s="140">
        <f t="shared" si="16"/>
        <v>7.5999999999999979E-8</v>
      </c>
      <c r="X166" s="140">
        <f t="shared" si="17"/>
        <v>1.5199999999999998E-7</v>
      </c>
      <c r="Y166" s="140">
        <f t="shared" si="18"/>
        <v>2.2800000000000003E-7</v>
      </c>
      <c r="Z166" s="140">
        <f t="shared" si="19"/>
        <v>3.0400000000000002E-7</v>
      </c>
      <c r="AA166" s="140">
        <f t="shared" si="20"/>
        <v>3.8000000000000007E-7</v>
      </c>
      <c r="AB166" s="157">
        <f>IF(U166&lt;$B$41*DATA!$H$1037,DATA!$H$1037,IF(U166&gt;DATA!$H$1036*$B$41,DATA!$H$1036,1))</f>
        <v>0.8</v>
      </c>
      <c r="AC166" s="156">
        <f t="shared" si="5"/>
        <v>9.9999999999999995E-8</v>
      </c>
      <c r="AE166" s="140">
        <f t="shared" si="21"/>
        <v>7.6000000000000009E-6</v>
      </c>
      <c r="AF166">
        <v>0.76</v>
      </c>
      <c r="AG166" s="140">
        <f t="shared" si="22"/>
        <v>7.5999999999999979E-8</v>
      </c>
      <c r="AH166" s="140">
        <f t="shared" si="23"/>
        <v>1.5199999999999998E-7</v>
      </c>
      <c r="AI166" s="140">
        <f t="shared" si="24"/>
        <v>2.2800000000000003E-7</v>
      </c>
      <c r="AJ166" s="140">
        <f t="shared" si="25"/>
        <v>3.0400000000000002E-7</v>
      </c>
      <c r="AK166" s="140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6"/>
        <v>9.9999999999999995E-8</v>
      </c>
      <c r="AO166" s="140">
        <f t="shared" si="27"/>
        <v>7.6000000000000009E-6</v>
      </c>
      <c r="AP166">
        <v>0.76</v>
      </c>
      <c r="AQ166" s="140">
        <f t="shared" si="28"/>
        <v>7.5999999999999979E-8</v>
      </c>
      <c r="AR166" s="140">
        <f t="shared" si="29"/>
        <v>1.5199999999999998E-7</v>
      </c>
      <c r="AS166" s="140">
        <f t="shared" si="30"/>
        <v>2.2800000000000003E-7</v>
      </c>
      <c r="AT166" s="140">
        <f t="shared" si="31"/>
        <v>3.0400000000000002E-7</v>
      </c>
      <c r="AU166" s="140">
        <f t="shared" si="32"/>
        <v>3.8000000000000007E-7</v>
      </c>
      <c r="AV166" s="157">
        <f>IF(AO166&lt;$B$73*DATA!$H$1037,DATA!$H$1037,IF(AO166&gt;DATA!$H$1036*$B$73,DATA!$H$1036,1))</f>
        <v>1.2</v>
      </c>
      <c r="AW166" s="156">
        <f t="shared" si="33"/>
        <v>9.9999999999999995E-8</v>
      </c>
      <c r="AY166" s="140">
        <f t="shared" si="34"/>
        <v>7.6000000000000009E-6</v>
      </c>
      <c r="AZ166">
        <v>0.76</v>
      </c>
      <c r="BA166" s="140">
        <f t="shared" si="35"/>
        <v>7.5999999999999979E-8</v>
      </c>
      <c r="BB166" s="140">
        <f t="shared" si="36"/>
        <v>1.5199999999999998E-7</v>
      </c>
      <c r="BC166" s="140">
        <f t="shared" si="37"/>
        <v>2.2800000000000003E-7</v>
      </c>
      <c r="BD166" s="140">
        <f t="shared" si="38"/>
        <v>3.0400000000000002E-7</v>
      </c>
      <c r="BE166" s="140">
        <f t="shared" si="39"/>
        <v>3.8000000000000007E-7</v>
      </c>
      <c r="BF166" s="157">
        <f>IF(AY166&lt;$B$89*DATA!$H$1037,DATA!$H$1037,IF(AY166&gt;DATA!$H$1036*$B$89,DATA!$H$1036,1))</f>
        <v>1.2</v>
      </c>
      <c r="BG166" s="156">
        <f t="shared" si="40"/>
        <v>9.9999999999999995E-8</v>
      </c>
      <c r="BI166" s="140">
        <f t="shared" si="41"/>
        <v>7.6000000000000009E-6</v>
      </c>
      <c r="BJ166">
        <v>0.76</v>
      </c>
      <c r="BK166" s="140">
        <f t="shared" si="42"/>
        <v>7.5999999999999979E-8</v>
      </c>
      <c r="BL166" s="140">
        <f t="shared" si="43"/>
        <v>1.5199999999999998E-7</v>
      </c>
      <c r="BM166" s="140">
        <f t="shared" si="44"/>
        <v>2.2800000000000003E-7</v>
      </c>
      <c r="BN166" s="140">
        <f t="shared" si="45"/>
        <v>3.0400000000000002E-7</v>
      </c>
      <c r="BO166" s="140">
        <f t="shared" si="46"/>
        <v>3.8000000000000007E-7</v>
      </c>
      <c r="BP166" s="157">
        <f>IF(BI166&lt;$B$105*DATA!$H$1037,DATA!$H$1037,IF(BI166&gt;DATA!$H$1036*$B$105,DATA!$H$1036,1))</f>
        <v>1.2</v>
      </c>
      <c r="BQ166" s="156">
        <f t="shared" si="47"/>
        <v>9.9999999999999995E-8</v>
      </c>
    </row>
    <row r="167" spans="1:69">
      <c r="A167" s="140">
        <f t="shared" si="7"/>
        <v>7.8000000000000016E-6</v>
      </c>
      <c r="B167">
        <v>0.78</v>
      </c>
      <c r="C167" s="140">
        <f t="shared" si="48"/>
        <v>7.7999999999999984E-8</v>
      </c>
      <c r="D167" s="140">
        <f t="shared" si="48"/>
        <v>1.5600000000000002E-7</v>
      </c>
      <c r="E167" s="140">
        <f t="shared" si="48"/>
        <v>2.3400000000000003E-7</v>
      </c>
      <c r="F167" s="140">
        <f t="shared" si="48"/>
        <v>3.1200000000000009E-7</v>
      </c>
      <c r="G167" s="140">
        <f t="shared" si="48"/>
        <v>3.9000000000000008E-7</v>
      </c>
      <c r="H167" s="157">
        <f>IF(A167&lt;$B$9*DATA!$H$1037,DATA!$H$1037,IF(A167&gt;DATA!$H$1036*$B$9,DATA!$H$1036,1))</f>
        <v>0.8</v>
      </c>
      <c r="I167" s="156">
        <f t="shared" si="8"/>
        <v>9.9999999999999995E-8</v>
      </c>
      <c r="K167" s="140">
        <f t="shared" si="9"/>
        <v>7.8000000000000016E-6</v>
      </c>
      <c r="L167">
        <v>0.78</v>
      </c>
      <c r="M167" s="140">
        <f t="shared" si="10"/>
        <v>7.7999999999999984E-8</v>
      </c>
      <c r="N167" s="140">
        <f t="shared" si="11"/>
        <v>1.5600000000000002E-7</v>
      </c>
      <c r="O167" s="140">
        <f t="shared" si="12"/>
        <v>2.3400000000000003E-7</v>
      </c>
      <c r="P167" s="140">
        <f t="shared" si="13"/>
        <v>3.1200000000000009E-7</v>
      </c>
      <c r="Q167" s="140">
        <f t="shared" si="14"/>
        <v>3.9000000000000008E-7</v>
      </c>
      <c r="R167" s="157">
        <f>IF(K167&lt;$B$25*DATA!$H$1037,DATA!$H$1037,IF(K167&gt;DATA!$H$1036*$B$25,DATA!$H$1036,1))</f>
        <v>0.8</v>
      </c>
      <c r="S167" s="156">
        <f t="shared" si="4"/>
        <v>9.9999999999999995E-8</v>
      </c>
      <c r="U167" s="140">
        <f t="shared" si="15"/>
        <v>7.8000000000000016E-6</v>
      </c>
      <c r="V167">
        <v>0.78</v>
      </c>
      <c r="W167" s="140">
        <f t="shared" si="16"/>
        <v>7.7999999999999984E-8</v>
      </c>
      <c r="X167" s="140">
        <f t="shared" si="17"/>
        <v>1.5600000000000002E-7</v>
      </c>
      <c r="Y167" s="140">
        <f t="shared" si="18"/>
        <v>2.3400000000000003E-7</v>
      </c>
      <c r="Z167" s="140">
        <f t="shared" si="19"/>
        <v>3.1200000000000009E-7</v>
      </c>
      <c r="AA167" s="140">
        <f t="shared" si="20"/>
        <v>3.9000000000000008E-7</v>
      </c>
      <c r="AB167" s="157">
        <f>IF(U167&lt;$B$41*DATA!$H$1037,DATA!$H$1037,IF(U167&gt;DATA!$H$1036*$B$41,DATA!$H$1036,1))</f>
        <v>0.8</v>
      </c>
      <c r="AC167" s="156">
        <f t="shared" si="5"/>
        <v>9.9999999999999995E-8</v>
      </c>
      <c r="AE167" s="140">
        <f t="shared" si="21"/>
        <v>7.8000000000000016E-6</v>
      </c>
      <c r="AF167">
        <v>0.78</v>
      </c>
      <c r="AG167" s="140">
        <f t="shared" si="22"/>
        <v>7.7999999999999984E-8</v>
      </c>
      <c r="AH167" s="140">
        <f t="shared" si="23"/>
        <v>1.5600000000000002E-7</v>
      </c>
      <c r="AI167" s="140">
        <f t="shared" si="24"/>
        <v>2.3400000000000003E-7</v>
      </c>
      <c r="AJ167" s="140">
        <f t="shared" si="25"/>
        <v>3.1200000000000009E-7</v>
      </c>
      <c r="AK167" s="140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6"/>
        <v>9.9999999999999995E-8</v>
      </c>
      <c r="AO167" s="140">
        <f t="shared" si="27"/>
        <v>7.8000000000000016E-6</v>
      </c>
      <c r="AP167">
        <v>0.78</v>
      </c>
      <c r="AQ167" s="140">
        <f t="shared" si="28"/>
        <v>7.7999999999999984E-8</v>
      </c>
      <c r="AR167" s="140">
        <f t="shared" si="29"/>
        <v>1.5600000000000002E-7</v>
      </c>
      <c r="AS167" s="140">
        <f t="shared" si="30"/>
        <v>2.3400000000000003E-7</v>
      </c>
      <c r="AT167" s="140">
        <f t="shared" si="31"/>
        <v>3.1200000000000009E-7</v>
      </c>
      <c r="AU167" s="140">
        <f t="shared" si="32"/>
        <v>3.9000000000000008E-7</v>
      </c>
      <c r="AV167" s="157">
        <f>IF(AO167&lt;$B$73*DATA!$H$1037,DATA!$H$1037,IF(AO167&gt;DATA!$H$1036*$B$73,DATA!$H$1036,1))</f>
        <v>1.2</v>
      </c>
      <c r="AW167" s="156">
        <f t="shared" si="33"/>
        <v>9.9999999999999995E-8</v>
      </c>
      <c r="AY167" s="140">
        <f t="shared" si="34"/>
        <v>7.8000000000000016E-6</v>
      </c>
      <c r="AZ167">
        <v>0.78</v>
      </c>
      <c r="BA167" s="140">
        <f t="shared" si="35"/>
        <v>7.7999999999999984E-8</v>
      </c>
      <c r="BB167" s="140">
        <f t="shared" si="36"/>
        <v>1.5600000000000002E-7</v>
      </c>
      <c r="BC167" s="140">
        <f t="shared" si="37"/>
        <v>2.3400000000000003E-7</v>
      </c>
      <c r="BD167" s="140">
        <f t="shared" si="38"/>
        <v>3.1200000000000009E-7</v>
      </c>
      <c r="BE167" s="140">
        <f t="shared" si="39"/>
        <v>3.9000000000000008E-7</v>
      </c>
      <c r="BF167" s="157">
        <f>IF(AY167&lt;$B$89*DATA!$H$1037,DATA!$H$1037,IF(AY167&gt;DATA!$H$1036*$B$89,DATA!$H$1036,1))</f>
        <v>1.2</v>
      </c>
      <c r="BG167" s="156">
        <f t="shared" si="40"/>
        <v>9.9999999999999995E-8</v>
      </c>
      <c r="BI167" s="140">
        <f t="shared" si="41"/>
        <v>7.8000000000000016E-6</v>
      </c>
      <c r="BJ167">
        <v>0.78</v>
      </c>
      <c r="BK167" s="140">
        <f t="shared" si="42"/>
        <v>7.7999999999999984E-8</v>
      </c>
      <c r="BL167" s="140">
        <f t="shared" si="43"/>
        <v>1.5600000000000002E-7</v>
      </c>
      <c r="BM167" s="140">
        <f t="shared" si="44"/>
        <v>2.3400000000000003E-7</v>
      </c>
      <c r="BN167" s="140">
        <f t="shared" si="45"/>
        <v>3.1200000000000009E-7</v>
      </c>
      <c r="BO167" s="140">
        <f t="shared" si="46"/>
        <v>3.9000000000000008E-7</v>
      </c>
      <c r="BP167" s="157">
        <f>IF(BI167&lt;$B$105*DATA!$H$1037,DATA!$H$1037,IF(BI167&gt;DATA!$H$1036*$B$105,DATA!$H$1036,1))</f>
        <v>1.2</v>
      </c>
      <c r="BQ167" s="156">
        <f t="shared" si="47"/>
        <v>9.9999999999999995E-8</v>
      </c>
    </row>
    <row r="168" spans="1:69">
      <c r="A168" s="140">
        <f t="shared" si="7"/>
        <v>8.0000000000000013E-6</v>
      </c>
      <c r="B168">
        <v>0.8</v>
      </c>
      <c r="C168" s="140">
        <f t="shared" si="48"/>
        <v>7.9999999999999988E-8</v>
      </c>
      <c r="D168" s="140">
        <f t="shared" si="48"/>
        <v>1.6E-7</v>
      </c>
      <c r="E168" s="140">
        <f t="shared" si="48"/>
        <v>2.4000000000000003E-7</v>
      </c>
      <c r="F168" s="140">
        <f t="shared" si="48"/>
        <v>3.2000000000000006E-7</v>
      </c>
      <c r="G168" s="140">
        <f t="shared" si="48"/>
        <v>4.0000000000000009E-7</v>
      </c>
      <c r="H168" s="157">
        <f>IF(A168&lt;$B$9*DATA!$H$1037,DATA!$H$1037,IF(A168&gt;DATA!$H$1036*$B$9,DATA!$H$1036,1))</f>
        <v>0.8</v>
      </c>
      <c r="I168" s="156">
        <f t="shared" si="8"/>
        <v>9.9999999999999995E-8</v>
      </c>
      <c r="K168" s="140">
        <f t="shared" si="9"/>
        <v>8.0000000000000013E-6</v>
      </c>
      <c r="L168">
        <v>0.8</v>
      </c>
      <c r="M168" s="140">
        <f t="shared" si="10"/>
        <v>7.9999999999999988E-8</v>
      </c>
      <c r="N168" s="140">
        <f t="shared" si="11"/>
        <v>1.6E-7</v>
      </c>
      <c r="O168" s="140">
        <f t="shared" si="12"/>
        <v>2.4000000000000003E-7</v>
      </c>
      <c r="P168" s="140">
        <f t="shared" si="13"/>
        <v>3.2000000000000006E-7</v>
      </c>
      <c r="Q168" s="140">
        <f t="shared" si="14"/>
        <v>4.0000000000000009E-7</v>
      </c>
      <c r="R168" s="157">
        <f>IF(K168&lt;$B$25*DATA!$H$1037,DATA!$H$1037,IF(K168&gt;DATA!$H$1036*$B$25,DATA!$H$1036,1))</f>
        <v>0.8</v>
      </c>
      <c r="S168" s="156">
        <f t="shared" si="4"/>
        <v>9.9999999999999995E-8</v>
      </c>
      <c r="U168" s="140">
        <f t="shared" si="15"/>
        <v>8.0000000000000013E-6</v>
      </c>
      <c r="V168">
        <v>0.8</v>
      </c>
      <c r="W168" s="140">
        <f t="shared" si="16"/>
        <v>7.9999999999999988E-8</v>
      </c>
      <c r="X168" s="140">
        <f t="shared" si="17"/>
        <v>1.6E-7</v>
      </c>
      <c r="Y168" s="140">
        <f t="shared" si="18"/>
        <v>2.4000000000000003E-7</v>
      </c>
      <c r="Z168" s="140">
        <f t="shared" si="19"/>
        <v>3.2000000000000006E-7</v>
      </c>
      <c r="AA168" s="140">
        <f t="shared" si="20"/>
        <v>4.0000000000000009E-7</v>
      </c>
      <c r="AB168" s="157">
        <f>IF(U168&lt;$B$41*DATA!$H$1037,DATA!$H$1037,IF(U168&gt;DATA!$H$1036*$B$41,DATA!$H$1036,1))</f>
        <v>0.8</v>
      </c>
      <c r="AC168" s="156">
        <f t="shared" si="5"/>
        <v>9.9999999999999995E-8</v>
      </c>
      <c r="AE168" s="140">
        <f t="shared" si="21"/>
        <v>8.0000000000000013E-6</v>
      </c>
      <c r="AF168">
        <v>0.8</v>
      </c>
      <c r="AG168" s="140">
        <f t="shared" si="22"/>
        <v>7.9999999999999988E-8</v>
      </c>
      <c r="AH168" s="140">
        <f t="shared" si="23"/>
        <v>1.6E-7</v>
      </c>
      <c r="AI168" s="140">
        <f t="shared" si="24"/>
        <v>2.4000000000000003E-7</v>
      </c>
      <c r="AJ168" s="140">
        <f t="shared" si="25"/>
        <v>3.2000000000000006E-7</v>
      </c>
      <c r="AK168" s="140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6"/>
        <v>9.9999999999999995E-8</v>
      </c>
      <c r="AO168" s="140">
        <f t="shared" si="27"/>
        <v>8.0000000000000013E-6</v>
      </c>
      <c r="AP168">
        <v>0.8</v>
      </c>
      <c r="AQ168" s="140">
        <f t="shared" si="28"/>
        <v>7.9999999999999988E-8</v>
      </c>
      <c r="AR168" s="140">
        <f t="shared" si="29"/>
        <v>1.6E-7</v>
      </c>
      <c r="AS168" s="140">
        <f t="shared" si="30"/>
        <v>2.4000000000000003E-7</v>
      </c>
      <c r="AT168" s="140">
        <f t="shared" si="31"/>
        <v>3.2000000000000006E-7</v>
      </c>
      <c r="AU168" s="140">
        <f t="shared" si="32"/>
        <v>4.0000000000000009E-7</v>
      </c>
      <c r="AV168" s="157">
        <f>IF(AO168&lt;$B$73*DATA!$H$1037,DATA!$H$1037,IF(AO168&gt;DATA!$H$1036*$B$73,DATA!$H$1036,1))</f>
        <v>1.2</v>
      </c>
      <c r="AW168" s="156">
        <f t="shared" si="33"/>
        <v>9.9999999999999995E-8</v>
      </c>
      <c r="AY168" s="140">
        <f t="shared" si="34"/>
        <v>8.0000000000000013E-6</v>
      </c>
      <c r="AZ168">
        <v>0.8</v>
      </c>
      <c r="BA168" s="140">
        <f t="shared" si="35"/>
        <v>7.9999999999999988E-8</v>
      </c>
      <c r="BB168" s="140">
        <f t="shared" si="36"/>
        <v>1.6E-7</v>
      </c>
      <c r="BC168" s="140">
        <f t="shared" si="37"/>
        <v>2.4000000000000003E-7</v>
      </c>
      <c r="BD168" s="140">
        <f t="shared" si="38"/>
        <v>3.2000000000000006E-7</v>
      </c>
      <c r="BE168" s="140">
        <f t="shared" si="39"/>
        <v>4.0000000000000009E-7</v>
      </c>
      <c r="BF168" s="157">
        <f>IF(AY168&lt;$B$89*DATA!$H$1037,DATA!$H$1037,IF(AY168&gt;DATA!$H$1036*$B$89,DATA!$H$1036,1))</f>
        <v>1.2</v>
      </c>
      <c r="BG168" s="156">
        <f t="shared" si="40"/>
        <v>9.9999999999999995E-8</v>
      </c>
      <c r="BI168" s="140">
        <f t="shared" si="41"/>
        <v>8.0000000000000013E-6</v>
      </c>
      <c r="BJ168">
        <v>0.8</v>
      </c>
      <c r="BK168" s="140">
        <f t="shared" si="42"/>
        <v>7.9999999999999988E-8</v>
      </c>
      <c r="BL168" s="140">
        <f t="shared" si="43"/>
        <v>1.6E-7</v>
      </c>
      <c r="BM168" s="140">
        <f t="shared" si="44"/>
        <v>2.4000000000000003E-7</v>
      </c>
      <c r="BN168" s="140">
        <f t="shared" si="45"/>
        <v>3.2000000000000006E-7</v>
      </c>
      <c r="BO168" s="140">
        <f t="shared" si="46"/>
        <v>4.0000000000000009E-7</v>
      </c>
      <c r="BP168" s="157">
        <f>IF(BI168&lt;$B$105*DATA!$H$1037,DATA!$H$1037,IF(BI168&gt;DATA!$H$1036*$B$105,DATA!$H$1036,1))</f>
        <v>1.2</v>
      </c>
      <c r="BQ168" s="156">
        <f t="shared" si="47"/>
        <v>9.9999999999999995E-8</v>
      </c>
    </row>
    <row r="169" spans="1:69">
      <c r="A169" s="140">
        <f t="shared" si="7"/>
        <v>8.1999999999999994E-6</v>
      </c>
      <c r="B169">
        <v>0.82</v>
      </c>
      <c r="C169" s="140">
        <f t="shared" si="48"/>
        <v>8.1999999999999967E-8</v>
      </c>
      <c r="D169" s="140">
        <f t="shared" si="48"/>
        <v>1.6399999999999996E-7</v>
      </c>
      <c r="E169" s="140">
        <f t="shared" si="48"/>
        <v>2.4599999999999995E-7</v>
      </c>
      <c r="F169" s="140">
        <f t="shared" si="48"/>
        <v>3.2799999999999997E-7</v>
      </c>
      <c r="G169" s="140">
        <f t="shared" si="48"/>
        <v>4.0999999999999999E-7</v>
      </c>
      <c r="H169" s="157">
        <f>IF(A169&lt;$B$9*DATA!$H$1037,DATA!$H$1037,IF(A169&gt;DATA!$H$1036*$B$9,DATA!$H$1036,1))</f>
        <v>0.8</v>
      </c>
      <c r="I169" s="156">
        <f t="shared" si="8"/>
        <v>9.9999999999999995E-8</v>
      </c>
      <c r="K169" s="140">
        <f t="shared" si="9"/>
        <v>8.1999999999999994E-6</v>
      </c>
      <c r="L169">
        <v>0.82</v>
      </c>
      <c r="M169" s="140">
        <f t="shared" si="10"/>
        <v>8.1999999999999967E-8</v>
      </c>
      <c r="N169" s="140">
        <f t="shared" si="11"/>
        <v>1.6399999999999996E-7</v>
      </c>
      <c r="O169" s="140">
        <f t="shared" si="12"/>
        <v>2.4599999999999995E-7</v>
      </c>
      <c r="P169" s="140">
        <f t="shared" si="13"/>
        <v>3.2799999999999997E-7</v>
      </c>
      <c r="Q169" s="140">
        <f t="shared" si="14"/>
        <v>4.0999999999999999E-7</v>
      </c>
      <c r="R169" s="157">
        <f>IF(K169&lt;$B$25*DATA!$H$1037,DATA!$H$1037,IF(K169&gt;DATA!$H$1036*$B$25,DATA!$H$1036,1))</f>
        <v>0.8</v>
      </c>
      <c r="S169" s="156">
        <f t="shared" si="4"/>
        <v>9.9999999999999995E-8</v>
      </c>
      <c r="U169" s="140">
        <f t="shared" si="15"/>
        <v>8.1999999999999994E-6</v>
      </c>
      <c r="V169">
        <v>0.82</v>
      </c>
      <c r="W169" s="140">
        <f t="shared" si="16"/>
        <v>8.1999999999999967E-8</v>
      </c>
      <c r="X169" s="140">
        <f t="shared" si="17"/>
        <v>1.6399999999999996E-7</v>
      </c>
      <c r="Y169" s="140">
        <f t="shared" si="18"/>
        <v>2.4599999999999995E-7</v>
      </c>
      <c r="Z169" s="140">
        <f t="shared" si="19"/>
        <v>3.2799999999999997E-7</v>
      </c>
      <c r="AA169" s="140">
        <f t="shared" si="20"/>
        <v>4.0999999999999999E-7</v>
      </c>
      <c r="AB169" s="157">
        <f>IF(U169&lt;$B$41*DATA!$H$1037,DATA!$H$1037,IF(U169&gt;DATA!$H$1036*$B$41,DATA!$H$1036,1))</f>
        <v>0.8</v>
      </c>
      <c r="AC169" s="156">
        <f t="shared" si="5"/>
        <v>9.9999999999999995E-8</v>
      </c>
      <c r="AE169" s="140">
        <f t="shared" si="21"/>
        <v>8.1999999999999994E-6</v>
      </c>
      <c r="AF169">
        <v>0.82</v>
      </c>
      <c r="AG169" s="140">
        <f t="shared" si="22"/>
        <v>8.1999999999999967E-8</v>
      </c>
      <c r="AH169" s="140">
        <f t="shared" si="23"/>
        <v>1.6399999999999996E-7</v>
      </c>
      <c r="AI169" s="140">
        <f t="shared" si="24"/>
        <v>2.4599999999999995E-7</v>
      </c>
      <c r="AJ169" s="140">
        <f t="shared" si="25"/>
        <v>3.2799999999999997E-7</v>
      </c>
      <c r="AK169" s="140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6"/>
        <v>9.9999999999999995E-8</v>
      </c>
      <c r="AO169" s="140">
        <f t="shared" si="27"/>
        <v>8.1999999999999994E-6</v>
      </c>
      <c r="AP169">
        <v>0.82</v>
      </c>
      <c r="AQ169" s="140">
        <f t="shared" si="28"/>
        <v>8.1999999999999967E-8</v>
      </c>
      <c r="AR169" s="140">
        <f t="shared" si="29"/>
        <v>1.6399999999999996E-7</v>
      </c>
      <c r="AS169" s="140">
        <f t="shared" si="30"/>
        <v>2.4599999999999995E-7</v>
      </c>
      <c r="AT169" s="140">
        <f t="shared" si="31"/>
        <v>3.2799999999999997E-7</v>
      </c>
      <c r="AU169" s="140">
        <f t="shared" si="32"/>
        <v>4.0999999999999999E-7</v>
      </c>
      <c r="AV169" s="157">
        <f>IF(AO169&lt;$B$73*DATA!$H$1037,DATA!$H$1037,IF(AO169&gt;DATA!$H$1036*$B$73,DATA!$H$1036,1))</f>
        <v>1.2</v>
      </c>
      <c r="AW169" s="156">
        <f t="shared" si="33"/>
        <v>9.9999999999999995E-8</v>
      </c>
      <c r="AY169" s="140">
        <f t="shared" si="34"/>
        <v>8.1999999999999994E-6</v>
      </c>
      <c r="AZ169">
        <v>0.82</v>
      </c>
      <c r="BA169" s="140">
        <f t="shared" si="35"/>
        <v>8.1999999999999967E-8</v>
      </c>
      <c r="BB169" s="140">
        <f t="shared" si="36"/>
        <v>1.6399999999999996E-7</v>
      </c>
      <c r="BC169" s="140">
        <f t="shared" si="37"/>
        <v>2.4599999999999995E-7</v>
      </c>
      <c r="BD169" s="140">
        <f t="shared" si="38"/>
        <v>3.2799999999999997E-7</v>
      </c>
      <c r="BE169" s="140">
        <f t="shared" si="39"/>
        <v>4.0999999999999999E-7</v>
      </c>
      <c r="BF169" s="157">
        <f>IF(AY169&lt;$B$89*DATA!$H$1037,DATA!$H$1037,IF(AY169&gt;DATA!$H$1036*$B$89,DATA!$H$1036,1))</f>
        <v>1.2</v>
      </c>
      <c r="BG169" s="156">
        <f t="shared" si="40"/>
        <v>9.9999999999999995E-8</v>
      </c>
      <c r="BI169" s="140">
        <f t="shared" si="41"/>
        <v>8.1999999999999994E-6</v>
      </c>
      <c r="BJ169">
        <v>0.82</v>
      </c>
      <c r="BK169" s="140">
        <f t="shared" si="42"/>
        <v>8.1999999999999967E-8</v>
      </c>
      <c r="BL169" s="140">
        <f t="shared" si="43"/>
        <v>1.6399999999999996E-7</v>
      </c>
      <c r="BM169" s="140">
        <f t="shared" si="44"/>
        <v>2.4599999999999995E-7</v>
      </c>
      <c r="BN169" s="140">
        <f t="shared" si="45"/>
        <v>3.2799999999999997E-7</v>
      </c>
      <c r="BO169" s="140">
        <f t="shared" si="46"/>
        <v>4.0999999999999999E-7</v>
      </c>
      <c r="BP169" s="157">
        <f>IF(BI169&lt;$B$105*DATA!$H$1037,DATA!$H$1037,IF(BI169&gt;DATA!$H$1036*$B$105,DATA!$H$1036,1))</f>
        <v>1.2</v>
      </c>
      <c r="BQ169" s="156">
        <f t="shared" si="47"/>
        <v>9.9999999999999995E-8</v>
      </c>
    </row>
    <row r="170" spans="1:69">
      <c r="A170" s="140">
        <f t="shared" si="7"/>
        <v>8.4000000000000009E-6</v>
      </c>
      <c r="B170">
        <v>0.84</v>
      </c>
      <c r="C170" s="140">
        <f t="shared" si="48"/>
        <v>8.3999999999999985E-8</v>
      </c>
      <c r="D170" s="140">
        <f t="shared" si="48"/>
        <v>1.68E-7</v>
      </c>
      <c r="E170" s="140">
        <f t="shared" si="48"/>
        <v>2.5200000000000003E-7</v>
      </c>
      <c r="F170" s="140">
        <f t="shared" si="48"/>
        <v>3.3600000000000004E-7</v>
      </c>
      <c r="G170" s="140">
        <f t="shared" si="48"/>
        <v>4.2000000000000006E-7</v>
      </c>
      <c r="H170" s="157">
        <f>IF(A170&lt;$B$9*DATA!$H$1037,DATA!$H$1037,IF(A170&gt;DATA!$H$1036*$B$9,DATA!$H$1036,1))</f>
        <v>0.8</v>
      </c>
      <c r="I170" s="156">
        <f t="shared" si="8"/>
        <v>9.9999999999999995E-8</v>
      </c>
      <c r="K170" s="140">
        <f t="shared" si="9"/>
        <v>8.4000000000000009E-6</v>
      </c>
      <c r="L170">
        <v>0.84</v>
      </c>
      <c r="M170" s="140">
        <f t="shared" si="10"/>
        <v>8.3999999999999985E-8</v>
      </c>
      <c r="N170" s="140">
        <f t="shared" si="11"/>
        <v>1.68E-7</v>
      </c>
      <c r="O170" s="140">
        <f t="shared" si="12"/>
        <v>2.5200000000000003E-7</v>
      </c>
      <c r="P170" s="140">
        <f t="shared" si="13"/>
        <v>3.3600000000000004E-7</v>
      </c>
      <c r="Q170" s="140">
        <f t="shared" si="14"/>
        <v>4.2000000000000006E-7</v>
      </c>
      <c r="R170" s="157">
        <f>IF(K170&lt;$B$25*DATA!$H$1037,DATA!$H$1037,IF(K170&gt;DATA!$H$1036*$B$25,DATA!$H$1036,1))</f>
        <v>0.8</v>
      </c>
      <c r="S170" s="156">
        <f t="shared" si="4"/>
        <v>9.9999999999999995E-8</v>
      </c>
      <c r="U170" s="140">
        <f t="shared" si="15"/>
        <v>8.4000000000000009E-6</v>
      </c>
      <c r="V170">
        <v>0.84</v>
      </c>
      <c r="W170" s="140">
        <f t="shared" si="16"/>
        <v>8.3999999999999985E-8</v>
      </c>
      <c r="X170" s="140">
        <f t="shared" si="17"/>
        <v>1.68E-7</v>
      </c>
      <c r="Y170" s="140">
        <f t="shared" si="18"/>
        <v>2.5200000000000003E-7</v>
      </c>
      <c r="Z170" s="140">
        <f t="shared" si="19"/>
        <v>3.3600000000000004E-7</v>
      </c>
      <c r="AA170" s="140">
        <f t="shared" si="20"/>
        <v>4.2000000000000006E-7</v>
      </c>
      <c r="AB170" s="157">
        <f>IF(U170&lt;$B$41*DATA!$H$1037,DATA!$H$1037,IF(U170&gt;DATA!$H$1036*$B$41,DATA!$H$1036,1))</f>
        <v>0.8</v>
      </c>
      <c r="AC170" s="156">
        <f t="shared" si="5"/>
        <v>9.9999999999999995E-8</v>
      </c>
      <c r="AE170" s="140">
        <f t="shared" si="21"/>
        <v>8.4000000000000009E-6</v>
      </c>
      <c r="AF170">
        <v>0.84</v>
      </c>
      <c r="AG170" s="140">
        <f t="shared" si="22"/>
        <v>8.3999999999999985E-8</v>
      </c>
      <c r="AH170" s="140">
        <f t="shared" si="23"/>
        <v>1.68E-7</v>
      </c>
      <c r="AI170" s="140">
        <f t="shared" si="24"/>
        <v>2.5200000000000003E-7</v>
      </c>
      <c r="AJ170" s="140">
        <f t="shared" si="25"/>
        <v>3.3600000000000004E-7</v>
      </c>
      <c r="AK170" s="140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6"/>
        <v>9.9999999999999995E-8</v>
      </c>
      <c r="AO170" s="140">
        <f t="shared" si="27"/>
        <v>8.4000000000000009E-6</v>
      </c>
      <c r="AP170">
        <v>0.84</v>
      </c>
      <c r="AQ170" s="140">
        <f t="shared" si="28"/>
        <v>8.3999999999999985E-8</v>
      </c>
      <c r="AR170" s="140">
        <f t="shared" si="29"/>
        <v>1.68E-7</v>
      </c>
      <c r="AS170" s="140">
        <f t="shared" si="30"/>
        <v>2.5200000000000003E-7</v>
      </c>
      <c r="AT170" s="140">
        <f t="shared" si="31"/>
        <v>3.3600000000000004E-7</v>
      </c>
      <c r="AU170" s="140">
        <f t="shared" si="32"/>
        <v>4.2000000000000006E-7</v>
      </c>
      <c r="AV170" s="157">
        <f>IF(AO170&lt;$B$73*DATA!$H$1037,DATA!$H$1037,IF(AO170&gt;DATA!$H$1036*$B$73,DATA!$H$1036,1))</f>
        <v>1.2</v>
      </c>
      <c r="AW170" s="156">
        <f t="shared" si="33"/>
        <v>9.9999999999999995E-8</v>
      </c>
      <c r="AY170" s="140">
        <f t="shared" si="34"/>
        <v>8.4000000000000009E-6</v>
      </c>
      <c r="AZ170">
        <v>0.84</v>
      </c>
      <c r="BA170" s="140">
        <f t="shared" si="35"/>
        <v>8.3999999999999985E-8</v>
      </c>
      <c r="BB170" s="140">
        <f t="shared" si="36"/>
        <v>1.68E-7</v>
      </c>
      <c r="BC170" s="140">
        <f t="shared" si="37"/>
        <v>2.5200000000000003E-7</v>
      </c>
      <c r="BD170" s="140">
        <f t="shared" si="38"/>
        <v>3.3600000000000004E-7</v>
      </c>
      <c r="BE170" s="140">
        <f t="shared" si="39"/>
        <v>4.2000000000000006E-7</v>
      </c>
      <c r="BF170" s="157">
        <f>IF(AY170&lt;$B$89*DATA!$H$1037,DATA!$H$1037,IF(AY170&gt;DATA!$H$1036*$B$89,DATA!$H$1036,1))</f>
        <v>1.2</v>
      </c>
      <c r="BG170" s="156">
        <f t="shared" si="40"/>
        <v>9.9999999999999995E-8</v>
      </c>
      <c r="BI170" s="140">
        <f t="shared" si="41"/>
        <v>8.4000000000000009E-6</v>
      </c>
      <c r="BJ170">
        <v>0.84</v>
      </c>
      <c r="BK170" s="140">
        <f t="shared" si="42"/>
        <v>8.3999999999999985E-8</v>
      </c>
      <c r="BL170" s="140">
        <f t="shared" si="43"/>
        <v>1.68E-7</v>
      </c>
      <c r="BM170" s="140">
        <f t="shared" si="44"/>
        <v>2.5200000000000003E-7</v>
      </c>
      <c r="BN170" s="140">
        <f t="shared" si="45"/>
        <v>3.3600000000000004E-7</v>
      </c>
      <c r="BO170" s="140">
        <f t="shared" si="46"/>
        <v>4.2000000000000006E-7</v>
      </c>
      <c r="BP170" s="157">
        <f>IF(BI170&lt;$B$105*DATA!$H$1037,DATA!$H$1037,IF(BI170&gt;DATA!$H$1036*$B$105,DATA!$H$1036,1))</f>
        <v>1.2</v>
      </c>
      <c r="BQ170" s="156">
        <f t="shared" si="47"/>
        <v>9.9999999999999995E-8</v>
      </c>
    </row>
    <row r="171" spans="1:69">
      <c r="A171" s="140">
        <f t="shared" si="7"/>
        <v>8.6000000000000007E-6</v>
      </c>
      <c r="B171">
        <v>0.86</v>
      </c>
      <c r="C171" s="140">
        <f t="shared" si="48"/>
        <v>8.5999999999999976E-8</v>
      </c>
      <c r="D171" s="140">
        <f t="shared" si="48"/>
        <v>1.7199999999999998E-7</v>
      </c>
      <c r="E171" s="140">
        <f t="shared" si="48"/>
        <v>2.5800000000000001E-7</v>
      </c>
      <c r="F171" s="140">
        <f t="shared" si="48"/>
        <v>3.4400000000000001E-7</v>
      </c>
      <c r="G171" s="140">
        <f t="shared" si="48"/>
        <v>4.3000000000000007E-7</v>
      </c>
      <c r="H171" s="157">
        <f>IF(A171&lt;$B$9*DATA!$H$1037,DATA!$H$1037,IF(A171&gt;DATA!$H$1036*$B$9,DATA!$H$1036,1))</f>
        <v>0.8</v>
      </c>
      <c r="I171" s="156">
        <f t="shared" si="8"/>
        <v>9.9999999999999995E-8</v>
      </c>
      <c r="K171" s="140">
        <f t="shared" si="9"/>
        <v>8.6000000000000007E-6</v>
      </c>
      <c r="L171">
        <v>0.86</v>
      </c>
      <c r="M171" s="140">
        <f t="shared" si="10"/>
        <v>8.5999999999999976E-8</v>
      </c>
      <c r="N171" s="140">
        <f t="shared" si="11"/>
        <v>1.7199999999999998E-7</v>
      </c>
      <c r="O171" s="140">
        <f t="shared" si="12"/>
        <v>2.5800000000000001E-7</v>
      </c>
      <c r="P171" s="140">
        <f t="shared" si="13"/>
        <v>3.4400000000000001E-7</v>
      </c>
      <c r="Q171" s="140">
        <f t="shared" si="14"/>
        <v>4.3000000000000007E-7</v>
      </c>
      <c r="R171" s="157">
        <f>IF(K171&lt;$B$25*DATA!$H$1037,DATA!$H$1037,IF(K171&gt;DATA!$H$1036*$B$25,DATA!$H$1036,1))</f>
        <v>0.8</v>
      </c>
      <c r="S171" s="156">
        <f t="shared" si="4"/>
        <v>9.9999999999999995E-8</v>
      </c>
      <c r="U171" s="140">
        <f t="shared" si="15"/>
        <v>8.6000000000000007E-6</v>
      </c>
      <c r="V171">
        <v>0.86</v>
      </c>
      <c r="W171" s="140">
        <f t="shared" si="16"/>
        <v>8.5999999999999976E-8</v>
      </c>
      <c r="X171" s="140">
        <f t="shared" si="17"/>
        <v>1.7199999999999998E-7</v>
      </c>
      <c r="Y171" s="140">
        <f t="shared" si="18"/>
        <v>2.5800000000000001E-7</v>
      </c>
      <c r="Z171" s="140">
        <f t="shared" si="19"/>
        <v>3.4400000000000001E-7</v>
      </c>
      <c r="AA171" s="140">
        <f t="shared" si="20"/>
        <v>4.3000000000000007E-7</v>
      </c>
      <c r="AB171" s="157">
        <f>IF(U171&lt;$B$41*DATA!$H$1037,DATA!$H$1037,IF(U171&gt;DATA!$H$1036*$B$41,DATA!$H$1036,1))</f>
        <v>0.8</v>
      </c>
      <c r="AC171" s="156">
        <f t="shared" si="5"/>
        <v>9.9999999999999995E-8</v>
      </c>
      <c r="AE171" s="140">
        <f t="shared" si="21"/>
        <v>8.6000000000000007E-6</v>
      </c>
      <c r="AF171">
        <v>0.86</v>
      </c>
      <c r="AG171" s="140">
        <f t="shared" si="22"/>
        <v>8.5999999999999976E-8</v>
      </c>
      <c r="AH171" s="140">
        <f t="shared" si="23"/>
        <v>1.7199999999999998E-7</v>
      </c>
      <c r="AI171" s="140">
        <f t="shared" si="24"/>
        <v>2.5800000000000001E-7</v>
      </c>
      <c r="AJ171" s="140">
        <f t="shared" si="25"/>
        <v>3.4400000000000001E-7</v>
      </c>
      <c r="AK171" s="140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6"/>
        <v>9.9999999999999995E-8</v>
      </c>
      <c r="AO171" s="140">
        <f t="shared" si="27"/>
        <v>8.6000000000000007E-6</v>
      </c>
      <c r="AP171">
        <v>0.86</v>
      </c>
      <c r="AQ171" s="140">
        <f t="shared" si="28"/>
        <v>8.5999999999999976E-8</v>
      </c>
      <c r="AR171" s="140">
        <f t="shared" si="29"/>
        <v>1.7199999999999998E-7</v>
      </c>
      <c r="AS171" s="140">
        <f t="shared" si="30"/>
        <v>2.5800000000000001E-7</v>
      </c>
      <c r="AT171" s="140">
        <f t="shared" si="31"/>
        <v>3.4400000000000001E-7</v>
      </c>
      <c r="AU171" s="140">
        <f t="shared" si="32"/>
        <v>4.3000000000000007E-7</v>
      </c>
      <c r="AV171" s="157">
        <f>IF(AO171&lt;$B$73*DATA!$H$1037,DATA!$H$1037,IF(AO171&gt;DATA!$H$1036*$B$73,DATA!$H$1036,1))</f>
        <v>1.2</v>
      </c>
      <c r="AW171" s="156">
        <f t="shared" si="33"/>
        <v>9.9999999999999995E-8</v>
      </c>
      <c r="AY171" s="140">
        <f t="shared" si="34"/>
        <v>8.6000000000000007E-6</v>
      </c>
      <c r="AZ171">
        <v>0.86</v>
      </c>
      <c r="BA171" s="140">
        <f t="shared" si="35"/>
        <v>8.5999999999999976E-8</v>
      </c>
      <c r="BB171" s="140">
        <f t="shared" si="36"/>
        <v>1.7199999999999998E-7</v>
      </c>
      <c r="BC171" s="140">
        <f t="shared" si="37"/>
        <v>2.5800000000000001E-7</v>
      </c>
      <c r="BD171" s="140">
        <f t="shared" si="38"/>
        <v>3.4400000000000001E-7</v>
      </c>
      <c r="BE171" s="140">
        <f t="shared" si="39"/>
        <v>4.3000000000000007E-7</v>
      </c>
      <c r="BF171" s="157">
        <f>IF(AY171&lt;$B$89*DATA!$H$1037,DATA!$H$1037,IF(AY171&gt;DATA!$H$1036*$B$89,DATA!$H$1036,1))</f>
        <v>1.2</v>
      </c>
      <c r="BG171" s="156">
        <f t="shared" si="40"/>
        <v>9.9999999999999995E-8</v>
      </c>
      <c r="BI171" s="140">
        <f t="shared" si="41"/>
        <v>8.6000000000000007E-6</v>
      </c>
      <c r="BJ171">
        <v>0.86</v>
      </c>
      <c r="BK171" s="140">
        <f t="shared" si="42"/>
        <v>8.5999999999999976E-8</v>
      </c>
      <c r="BL171" s="140">
        <f t="shared" si="43"/>
        <v>1.7199999999999998E-7</v>
      </c>
      <c r="BM171" s="140">
        <f t="shared" si="44"/>
        <v>2.5800000000000001E-7</v>
      </c>
      <c r="BN171" s="140">
        <f t="shared" si="45"/>
        <v>3.4400000000000001E-7</v>
      </c>
      <c r="BO171" s="140">
        <f t="shared" si="46"/>
        <v>4.3000000000000007E-7</v>
      </c>
      <c r="BP171" s="157">
        <f>IF(BI171&lt;$B$105*DATA!$H$1037,DATA!$H$1037,IF(BI171&gt;DATA!$H$1036*$B$105,DATA!$H$1036,1))</f>
        <v>1.2</v>
      </c>
      <c r="BQ171" s="156">
        <f t="shared" si="47"/>
        <v>9.9999999999999995E-8</v>
      </c>
    </row>
    <row r="172" spans="1:69">
      <c r="A172" s="140">
        <f t="shared" si="7"/>
        <v>8.8000000000000106E-6</v>
      </c>
      <c r="B172">
        <v>0.880000000000001</v>
      </c>
      <c r="C172" s="140">
        <f t="shared" si="48"/>
        <v>8.8000000000000073E-8</v>
      </c>
      <c r="D172" s="140">
        <f t="shared" si="48"/>
        <v>1.7600000000000017E-7</v>
      </c>
      <c r="E172" s="140">
        <f t="shared" si="48"/>
        <v>2.640000000000003E-7</v>
      </c>
      <c r="F172" s="140">
        <f t="shared" si="48"/>
        <v>3.5200000000000045E-7</v>
      </c>
      <c r="G172" s="140">
        <f t="shared" si="48"/>
        <v>4.4000000000000055E-7</v>
      </c>
      <c r="H172" s="157">
        <f>IF(A172&lt;$B$9*DATA!$H$1037,DATA!$H$1037,IF(A172&gt;DATA!$H$1036*$B$9,DATA!$H$1036,1))</f>
        <v>0.8</v>
      </c>
      <c r="I172" s="156">
        <f t="shared" si="8"/>
        <v>9.9999999999999995E-8</v>
      </c>
      <c r="K172" s="140">
        <f t="shared" si="9"/>
        <v>8.8000000000000106E-6</v>
      </c>
      <c r="L172">
        <v>0.880000000000001</v>
      </c>
      <c r="M172" s="140">
        <f t="shared" si="10"/>
        <v>8.8000000000000073E-8</v>
      </c>
      <c r="N172" s="140">
        <f t="shared" si="11"/>
        <v>1.7600000000000017E-7</v>
      </c>
      <c r="O172" s="140">
        <f t="shared" si="12"/>
        <v>2.640000000000003E-7</v>
      </c>
      <c r="P172" s="140">
        <f t="shared" si="13"/>
        <v>3.5200000000000045E-7</v>
      </c>
      <c r="Q172" s="140">
        <f t="shared" si="14"/>
        <v>4.4000000000000055E-7</v>
      </c>
      <c r="R172" s="157">
        <f>IF(K172&lt;$B$25*DATA!$H$1037,DATA!$H$1037,IF(K172&gt;DATA!$H$1036*$B$25,DATA!$H$1036,1))</f>
        <v>0.8</v>
      </c>
      <c r="S172" s="156">
        <f t="shared" si="4"/>
        <v>9.9999999999999995E-8</v>
      </c>
      <c r="U172" s="140">
        <f t="shared" si="15"/>
        <v>8.8000000000000106E-6</v>
      </c>
      <c r="V172">
        <v>0.880000000000001</v>
      </c>
      <c r="W172" s="140">
        <f t="shared" si="16"/>
        <v>8.8000000000000073E-8</v>
      </c>
      <c r="X172" s="140">
        <f t="shared" si="17"/>
        <v>1.7600000000000017E-7</v>
      </c>
      <c r="Y172" s="140">
        <f t="shared" si="18"/>
        <v>2.640000000000003E-7</v>
      </c>
      <c r="Z172" s="140">
        <f t="shared" si="19"/>
        <v>3.5200000000000045E-7</v>
      </c>
      <c r="AA172" s="140">
        <f t="shared" si="20"/>
        <v>4.4000000000000055E-7</v>
      </c>
      <c r="AB172" s="157">
        <f>IF(U172&lt;$B$41*DATA!$H$1037,DATA!$H$1037,IF(U172&gt;DATA!$H$1036*$B$41,DATA!$H$1036,1))</f>
        <v>0.8</v>
      </c>
      <c r="AC172" s="156">
        <f t="shared" si="5"/>
        <v>9.9999999999999995E-8</v>
      </c>
      <c r="AE172" s="140">
        <f t="shared" si="21"/>
        <v>8.8000000000000106E-6</v>
      </c>
      <c r="AF172">
        <v>0.880000000000001</v>
      </c>
      <c r="AG172" s="140">
        <f t="shared" si="22"/>
        <v>8.8000000000000073E-8</v>
      </c>
      <c r="AH172" s="140">
        <f t="shared" si="23"/>
        <v>1.7600000000000017E-7</v>
      </c>
      <c r="AI172" s="140">
        <f t="shared" si="24"/>
        <v>2.640000000000003E-7</v>
      </c>
      <c r="AJ172" s="140">
        <f t="shared" si="25"/>
        <v>3.5200000000000045E-7</v>
      </c>
      <c r="AK172" s="140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6"/>
        <v>9.9999999999999995E-8</v>
      </c>
      <c r="AO172" s="140">
        <f t="shared" si="27"/>
        <v>8.8000000000000106E-6</v>
      </c>
      <c r="AP172">
        <v>0.880000000000001</v>
      </c>
      <c r="AQ172" s="140">
        <f t="shared" si="28"/>
        <v>8.8000000000000073E-8</v>
      </c>
      <c r="AR172" s="140">
        <f t="shared" si="29"/>
        <v>1.7600000000000017E-7</v>
      </c>
      <c r="AS172" s="140">
        <f t="shared" si="30"/>
        <v>2.640000000000003E-7</v>
      </c>
      <c r="AT172" s="140">
        <f t="shared" si="31"/>
        <v>3.5200000000000045E-7</v>
      </c>
      <c r="AU172" s="140">
        <f t="shared" si="32"/>
        <v>4.4000000000000055E-7</v>
      </c>
      <c r="AV172" s="157">
        <f>IF(AO172&lt;$B$73*DATA!$H$1037,DATA!$H$1037,IF(AO172&gt;DATA!$H$1036*$B$73,DATA!$H$1036,1))</f>
        <v>1.2</v>
      </c>
      <c r="AW172" s="156">
        <f t="shared" si="33"/>
        <v>9.9999999999999995E-8</v>
      </c>
      <c r="AY172" s="140">
        <f t="shared" si="34"/>
        <v>8.8000000000000106E-6</v>
      </c>
      <c r="AZ172">
        <v>0.880000000000001</v>
      </c>
      <c r="BA172" s="140">
        <f t="shared" si="35"/>
        <v>8.8000000000000073E-8</v>
      </c>
      <c r="BB172" s="140">
        <f t="shared" si="36"/>
        <v>1.7600000000000017E-7</v>
      </c>
      <c r="BC172" s="140">
        <f t="shared" si="37"/>
        <v>2.640000000000003E-7</v>
      </c>
      <c r="BD172" s="140">
        <f t="shared" si="38"/>
        <v>3.5200000000000045E-7</v>
      </c>
      <c r="BE172" s="140">
        <f t="shared" si="39"/>
        <v>4.4000000000000055E-7</v>
      </c>
      <c r="BF172" s="157">
        <f>IF(AY172&lt;$B$89*DATA!$H$1037,DATA!$H$1037,IF(AY172&gt;DATA!$H$1036*$B$89,DATA!$H$1036,1))</f>
        <v>1.2</v>
      </c>
      <c r="BG172" s="156">
        <f t="shared" si="40"/>
        <v>9.9999999999999995E-8</v>
      </c>
      <c r="BI172" s="140">
        <f t="shared" si="41"/>
        <v>8.8000000000000106E-6</v>
      </c>
      <c r="BJ172">
        <v>0.880000000000001</v>
      </c>
      <c r="BK172" s="140">
        <f t="shared" si="42"/>
        <v>8.8000000000000073E-8</v>
      </c>
      <c r="BL172" s="140">
        <f t="shared" si="43"/>
        <v>1.7600000000000017E-7</v>
      </c>
      <c r="BM172" s="140">
        <f t="shared" si="44"/>
        <v>2.640000000000003E-7</v>
      </c>
      <c r="BN172" s="140">
        <f t="shared" si="45"/>
        <v>3.5200000000000045E-7</v>
      </c>
      <c r="BO172" s="140">
        <f t="shared" si="46"/>
        <v>4.4000000000000055E-7</v>
      </c>
      <c r="BP172" s="157">
        <f>IF(BI172&lt;$B$105*DATA!$H$1037,DATA!$H$1037,IF(BI172&gt;DATA!$H$1036*$B$105,DATA!$H$1036,1))</f>
        <v>1.2</v>
      </c>
      <c r="BQ172" s="156">
        <f t="shared" si="47"/>
        <v>9.9999999999999995E-8</v>
      </c>
    </row>
    <row r="173" spans="1:69">
      <c r="A173" s="140">
        <f t="shared" si="7"/>
        <v>9.0000000000000104E-6</v>
      </c>
      <c r="B173">
        <v>0.90000000000000102</v>
      </c>
      <c r="C173" s="140">
        <f t="shared" si="48"/>
        <v>9.0000000000000078E-8</v>
      </c>
      <c r="D173" s="140">
        <f t="shared" si="48"/>
        <v>1.8000000000000018E-7</v>
      </c>
      <c r="E173" s="140">
        <f t="shared" si="48"/>
        <v>2.7000000000000033E-7</v>
      </c>
      <c r="F173" s="140">
        <f t="shared" si="48"/>
        <v>3.6000000000000042E-7</v>
      </c>
      <c r="G173" s="140">
        <f t="shared" si="48"/>
        <v>4.5000000000000056E-7</v>
      </c>
      <c r="H173" s="157">
        <f>IF(A173&lt;$B$9*DATA!$H$1037,DATA!$H$1037,IF(A173&gt;DATA!$H$1036*$B$9,DATA!$H$1036,1))</f>
        <v>0.8</v>
      </c>
      <c r="I173" s="156">
        <f t="shared" si="8"/>
        <v>9.9999999999999995E-8</v>
      </c>
      <c r="K173" s="140">
        <f t="shared" si="9"/>
        <v>9.0000000000000104E-6</v>
      </c>
      <c r="L173">
        <v>0.90000000000000102</v>
      </c>
      <c r="M173" s="140">
        <f t="shared" si="10"/>
        <v>9.0000000000000078E-8</v>
      </c>
      <c r="N173" s="140">
        <f t="shared" si="11"/>
        <v>1.8000000000000018E-7</v>
      </c>
      <c r="O173" s="140">
        <f t="shared" si="12"/>
        <v>2.7000000000000033E-7</v>
      </c>
      <c r="P173" s="140">
        <f t="shared" si="13"/>
        <v>3.6000000000000042E-7</v>
      </c>
      <c r="Q173" s="140">
        <f t="shared" si="14"/>
        <v>4.5000000000000056E-7</v>
      </c>
      <c r="R173" s="157">
        <f>IF(K173&lt;$B$25*DATA!$H$1037,DATA!$H$1037,IF(K173&gt;DATA!$H$1036*$B$25,DATA!$H$1036,1))</f>
        <v>0.8</v>
      </c>
      <c r="S173" s="156">
        <f t="shared" si="4"/>
        <v>9.9999999999999995E-8</v>
      </c>
      <c r="U173" s="140">
        <f t="shared" si="15"/>
        <v>9.0000000000000104E-6</v>
      </c>
      <c r="V173">
        <v>0.90000000000000102</v>
      </c>
      <c r="W173" s="140">
        <f t="shared" si="16"/>
        <v>9.0000000000000078E-8</v>
      </c>
      <c r="X173" s="140">
        <f t="shared" si="17"/>
        <v>1.8000000000000018E-7</v>
      </c>
      <c r="Y173" s="140">
        <f t="shared" si="18"/>
        <v>2.7000000000000033E-7</v>
      </c>
      <c r="Z173" s="140">
        <f t="shared" si="19"/>
        <v>3.6000000000000042E-7</v>
      </c>
      <c r="AA173" s="140">
        <f t="shared" si="20"/>
        <v>4.5000000000000056E-7</v>
      </c>
      <c r="AB173" s="157">
        <f>IF(U173&lt;$B$41*DATA!$H$1037,DATA!$H$1037,IF(U173&gt;DATA!$H$1036*$B$41,DATA!$H$1036,1))</f>
        <v>0.8</v>
      </c>
      <c r="AC173" s="156">
        <f t="shared" si="5"/>
        <v>9.9999999999999995E-8</v>
      </c>
      <c r="AE173" s="140">
        <f t="shared" si="21"/>
        <v>9.0000000000000104E-6</v>
      </c>
      <c r="AF173">
        <v>0.90000000000000102</v>
      </c>
      <c r="AG173" s="140">
        <f t="shared" si="22"/>
        <v>9.0000000000000078E-8</v>
      </c>
      <c r="AH173" s="140">
        <f t="shared" si="23"/>
        <v>1.8000000000000018E-7</v>
      </c>
      <c r="AI173" s="140">
        <f t="shared" si="24"/>
        <v>2.7000000000000033E-7</v>
      </c>
      <c r="AJ173" s="140">
        <f t="shared" si="25"/>
        <v>3.6000000000000042E-7</v>
      </c>
      <c r="AK173" s="140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6"/>
        <v>9.9999999999999995E-8</v>
      </c>
      <c r="AO173" s="140">
        <f t="shared" si="27"/>
        <v>9.0000000000000104E-6</v>
      </c>
      <c r="AP173">
        <v>0.90000000000000102</v>
      </c>
      <c r="AQ173" s="140">
        <f t="shared" si="28"/>
        <v>9.0000000000000078E-8</v>
      </c>
      <c r="AR173" s="140">
        <f t="shared" si="29"/>
        <v>1.8000000000000018E-7</v>
      </c>
      <c r="AS173" s="140">
        <f t="shared" si="30"/>
        <v>2.7000000000000033E-7</v>
      </c>
      <c r="AT173" s="140">
        <f t="shared" si="31"/>
        <v>3.6000000000000042E-7</v>
      </c>
      <c r="AU173" s="140">
        <f t="shared" si="32"/>
        <v>4.5000000000000056E-7</v>
      </c>
      <c r="AV173" s="157">
        <f>IF(AO173&lt;$B$73*DATA!$H$1037,DATA!$H$1037,IF(AO173&gt;DATA!$H$1036*$B$73,DATA!$H$1036,1))</f>
        <v>1.2</v>
      </c>
      <c r="AW173" s="156">
        <f t="shared" si="33"/>
        <v>9.9999999999999995E-8</v>
      </c>
      <c r="AY173" s="140">
        <f t="shared" si="34"/>
        <v>9.0000000000000104E-6</v>
      </c>
      <c r="AZ173">
        <v>0.90000000000000102</v>
      </c>
      <c r="BA173" s="140">
        <f t="shared" si="35"/>
        <v>9.0000000000000078E-8</v>
      </c>
      <c r="BB173" s="140">
        <f t="shared" si="36"/>
        <v>1.8000000000000018E-7</v>
      </c>
      <c r="BC173" s="140">
        <f t="shared" si="37"/>
        <v>2.7000000000000033E-7</v>
      </c>
      <c r="BD173" s="140">
        <f t="shared" si="38"/>
        <v>3.6000000000000042E-7</v>
      </c>
      <c r="BE173" s="140">
        <f t="shared" si="39"/>
        <v>4.5000000000000056E-7</v>
      </c>
      <c r="BF173" s="157">
        <f>IF(AY173&lt;$B$89*DATA!$H$1037,DATA!$H$1037,IF(AY173&gt;DATA!$H$1036*$B$89,DATA!$H$1036,1))</f>
        <v>1.2</v>
      </c>
      <c r="BG173" s="156">
        <f t="shared" si="40"/>
        <v>9.9999999999999995E-8</v>
      </c>
      <c r="BI173" s="140">
        <f t="shared" si="41"/>
        <v>9.0000000000000104E-6</v>
      </c>
      <c r="BJ173">
        <v>0.90000000000000102</v>
      </c>
      <c r="BK173" s="140">
        <f t="shared" si="42"/>
        <v>9.0000000000000078E-8</v>
      </c>
      <c r="BL173" s="140">
        <f t="shared" si="43"/>
        <v>1.8000000000000018E-7</v>
      </c>
      <c r="BM173" s="140">
        <f t="shared" si="44"/>
        <v>2.7000000000000033E-7</v>
      </c>
      <c r="BN173" s="140">
        <f t="shared" si="45"/>
        <v>3.6000000000000042E-7</v>
      </c>
      <c r="BO173" s="140">
        <f t="shared" si="46"/>
        <v>4.5000000000000056E-7</v>
      </c>
      <c r="BP173" s="157">
        <f>IF(BI173&lt;$B$105*DATA!$H$1037,DATA!$H$1037,IF(BI173&gt;DATA!$H$1036*$B$105,DATA!$H$1036,1))</f>
        <v>1.2</v>
      </c>
      <c r="BQ173" s="156">
        <f t="shared" si="47"/>
        <v>9.9999999999999995E-8</v>
      </c>
    </row>
    <row r="174" spans="1:69">
      <c r="A174" s="140">
        <f t="shared" si="7"/>
        <v>9.2000000000000119E-6</v>
      </c>
      <c r="B174">
        <v>0.92000000000000104</v>
      </c>
      <c r="C174" s="140">
        <f t="shared" si="48"/>
        <v>9.2000000000000083E-8</v>
      </c>
      <c r="D174" s="140">
        <f t="shared" si="48"/>
        <v>1.8400000000000022E-7</v>
      </c>
      <c r="E174" s="140">
        <f t="shared" si="48"/>
        <v>2.7600000000000035E-7</v>
      </c>
      <c r="F174" s="140">
        <f t="shared" si="48"/>
        <v>3.6800000000000049E-7</v>
      </c>
      <c r="G174" s="140">
        <f t="shared" si="48"/>
        <v>4.6000000000000063E-7</v>
      </c>
      <c r="H174" s="157">
        <f>IF(A174&lt;$B$9*DATA!$H$1037,DATA!$H$1037,IF(A174&gt;DATA!$H$1036*$B$9,DATA!$H$1036,1))</f>
        <v>0.8</v>
      </c>
      <c r="I174" s="156">
        <f t="shared" si="8"/>
        <v>9.9999999999999995E-8</v>
      </c>
      <c r="K174" s="140">
        <f t="shared" si="9"/>
        <v>9.2000000000000119E-6</v>
      </c>
      <c r="L174">
        <v>0.92000000000000104</v>
      </c>
      <c r="M174" s="140">
        <f t="shared" si="10"/>
        <v>9.2000000000000083E-8</v>
      </c>
      <c r="N174" s="140">
        <f t="shared" si="11"/>
        <v>1.8400000000000022E-7</v>
      </c>
      <c r="O174" s="140">
        <f t="shared" si="12"/>
        <v>2.7600000000000035E-7</v>
      </c>
      <c r="P174" s="140">
        <f t="shared" si="13"/>
        <v>3.6800000000000049E-7</v>
      </c>
      <c r="Q174" s="140">
        <f t="shared" si="14"/>
        <v>4.6000000000000063E-7</v>
      </c>
      <c r="R174" s="157">
        <f>IF(K174&lt;$B$25*DATA!$H$1037,DATA!$H$1037,IF(K174&gt;DATA!$H$1036*$B$25,DATA!$H$1036,1))</f>
        <v>0.8</v>
      </c>
      <c r="S174" s="156">
        <f t="shared" si="4"/>
        <v>9.9999999999999995E-8</v>
      </c>
      <c r="U174" s="140">
        <f t="shared" si="15"/>
        <v>9.2000000000000119E-6</v>
      </c>
      <c r="V174">
        <v>0.92000000000000104</v>
      </c>
      <c r="W174" s="140">
        <f t="shared" si="16"/>
        <v>9.2000000000000083E-8</v>
      </c>
      <c r="X174" s="140">
        <f t="shared" si="17"/>
        <v>1.8400000000000022E-7</v>
      </c>
      <c r="Y174" s="140">
        <f t="shared" si="18"/>
        <v>2.7600000000000035E-7</v>
      </c>
      <c r="Z174" s="140">
        <f t="shared" si="19"/>
        <v>3.6800000000000049E-7</v>
      </c>
      <c r="AA174" s="140">
        <f t="shared" si="20"/>
        <v>4.6000000000000063E-7</v>
      </c>
      <c r="AB174" s="157">
        <f>IF(U174&lt;$B$41*DATA!$H$1037,DATA!$H$1037,IF(U174&gt;DATA!$H$1036*$B$41,DATA!$H$1036,1))</f>
        <v>0.8</v>
      </c>
      <c r="AC174" s="156">
        <f t="shared" si="5"/>
        <v>9.9999999999999995E-8</v>
      </c>
      <c r="AE174" s="140">
        <f t="shared" si="21"/>
        <v>9.2000000000000119E-6</v>
      </c>
      <c r="AF174">
        <v>0.92000000000000104</v>
      </c>
      <c r="AG174" s="140">
        <f t="shared" si="22"/>
        <v>9.2000000000000083E-8</v>
      </c>
      <c r="AH174" s="140">
        <f t="shared" si="23"/>
        <v>1.8400000000000022E-7</v>
      </c>
      <c r="AI174" s="140">
        <f t="shared" si="24"/>
        <v>2.7600000000000035E-7</v>
      </c>
      <c r="AJ174" s="140">
        <f t="shared" si="25"/>
        <v>3.6800000000000049E-7</v>
      </c>
      <c r="AK174" s="140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6"/>
        <v>9.9999999999999995E-8</v>
      </c>
      <c r="AO174" s="140">
        <f t="shared" si="27"/>
        <v>9.2000000000000119E-6</v>
      </c>
      <c r="AP174">
        <v>0.92000000000000104</v>
      </c>
      <c r="AQ174" s="140">
        <f t="shared" si="28"/>
        <v>9.2000000000000083E-8</v>
      </c>
      <c r="AR174" s="140">
        <f t="shared" si="29"/>
        <v>1.8400000000000022E-7</v>
      </c>
      <c r="AS174" s="140">
        <f t="shared" si="30"/>
        <v>2.7600000000000035E-7</v>
      </c>
      <c r="AT174" s="140">
        <f t="shared" si="31"/>
        <v>3.6800000000000049E-7</v>
      </c>
      <c r="AU174" s="140">
        <f t="shared" si="32"/>
        <v>4.6000000000000063E-7</v>
      </c>
      <c r="AV174" s="157">
        <f>IF(AO174&lt;$B$73*DATA!$H$1037,DATA!$H$1037,IF(AO174&gt;DATA!$H$1036*$B$73,DATA!$H$1036,1))</f>
        <v>1.2</v>
      </c>
      <c r="AW174" s="156">
        <f t="shared" si="33"/>
        <v>9.9999999999999995E-8</v>
      </c>
      <c r="AY174" s="140">
        <f t="shared" si="34"/>
        <v>9.2000000000000119E-6</v>
      </c>
      <c r="AZ174">
        <v>0.92000000000000104</v>
      </c>
      <c r="BA174" s="140">
        <f t="shared" si="35"/>
        <v>9.2000000000000083E-8</v>
      </c>
      <c r="BB174" s="140">
        <f t="shared" si="36"/>
        <v>1.8400000000000022E-7</v>
      </c>
      <c r="BC174" s="140">
        <f t="shared" si="37"/>
        <v>2.7600000000000035E-7</v>
      </c>
      <c r="BD174" s="140">
        <f t="shared" si="38"/>
        <v>3.6800000000000049E-7</v>
      </c>
      <c r="BE174" s="140">
        <f t="shared" si="39"/>
        <v>4.6000000000000063E-7</v>
      </c>
      <c r="BF174" s="157">
        <f>IF(AY174&lt;$B$89*DATA!$H$1037,DATA!$H$1037,IF(AY174&gt;DATA!$H$1036*$B$89,DATA!$H$1036,1))</f>
        <v>1.2</v>
      </c>
      <c r="BG174" s="156">
        <f t="shared" si="40"/>
        <v>9.9999999999999995E-8</v>
      </c>
      <c r="BI174" s="140">
        <f t="shared" si="41"/>
        <v>9.2000000000000119E-6</v>
      </c>
      <c r="BJ174">
        <v>0.92000000000000104</v>
      </c>
      <c r="BK174" s="140">
        <f t="shared" si="42"/>
        <v>9.2000000000000083E-8</v>
      </c>
      <c r="BL174" s="140">
        <f t="shared" si="43"/>
        <v>1.8400000000000022E-7</v>
      </c>
      <c r="BM174" s="140">
        <f t="shared" si="44"/>
        <v>2.7600000000000035E-7</v>
      </c>
      <c r="BN174" s="140">
        <f t="shared" si="45"/>
        <v>3.6800000000000049E-7</v>
      </c>
      <c r="BO174" s="140">
        <f t="shared" si="46"/>
        <v>4.6000000000000063E-7</v>
      </c>
      <c r="BP174" s="157">
        <f>IF(BI174&lt;$B$105*DATA!$H$1037,DATA!$H$1037,IF(BI174&gt;DATA!$H$1036*$B$105,DATA!$H$1036,1))</f>
        <v>1.2</v>
      </c>
      <c r="BQ174" s="156">
        <f t="shared" si="47"/>
        <v>9.9999999999999995E-8</v>
      </c>
    </row>
    <row r="175" spans="1:69">
      <c r="A175" s="140">
        <f t="shared" si="7"/>
        <v>9.40000000000001E-6</v>
      </c>
      <c r="B175">
        <v>0.94000000000000095</v>
      </c>
      <c r="C175" s="140">
        <f t="shared" ref="C175:G190" si="49">C$142*$A175</f>
        <v>9.4000000000000074E-8</v>
      </c>
      <c r="D175" s="140">
        <f t="shared" si="49"/>
        <v>1.8800000000000017E-7</v>
      </c>
      <c r="E175" s="140">
        <f t="shared" si="49"/>
        <v>2.8200000000000028E-7</v>
      </c>
      <c r="F175" s="140">
        <f t="shared" si="49"/>
        <v>3.760000000000004E-7</v>
      </c>
      <c r="G175" s="140">
        <f t="shared" si="49"/>
        <v>4.7000000000000053E-7</v>
      </c>
      <c r="H175" s="157">
        <f>IF(A175&lt;$B$9*DATA!$H$1037,DATA!$H$1037,IF(A175&gt;DATA!$H$1036*$B$9,DATA!$H$1036,1))</f>
        <v>0.8</v>
      </c>
      <c r="I175" s="156">
        <f t="shared" si="8"/>
        <v>9.9999999999999995E-8</v>
      </c>
      <c r="K175" s="140">
        <f t="shared" si="9"/>
        <v>9.40000000000001E-6</v>
      </c>
      <c r="L175">
        <v>0.94000000000000095</v>
      </c>
      <c r="M175" s="140">
        <f t="shared" si="10"/>
        <v>9.4000000000000074E-8</v>
      </c>
      <c r="N175" s="140">
        <f t="shared" si="11"/>
        <v>1.8800000000000017E-7</v>
      </c>
      <c r="O175" s="140">
        <f t="shared" si="12"/>
        <v>2.8200000000000028E-7</v>
      </c>
      <c r="P175" s="140">
        <f t="shared" si="13"/>
        <v>3.760000000000004E-7</v>
      </c>
      <c r="Q175" s="140">
        <f t="shared" si="14"/>
        <v>4.7000000000000053E-7</v>
      </c>
      <c r="R175" s="157">
        <f>IF(K175&lt;$B$25*DATA!$H$1037,DATA!$H$1037,IF(K175&gt;DATA!$H$1036*$B$25,DATA!$H$1036,1))</f>
        <v>0.8</v>
      </c>
      <c r="S175" s="156">
        <f t="shared" ref="S175:S206" si="50">IF(OR(L$134=0,L$133=0),0.0000001,IF(R175=1,L$134,K175*((L$134*L$138)/(R175*L$133)+0.023*LOG10(R175*L$133/K175))/L$138))</f>
        <v>9.9999999999999995E-8</v>
      </c>
      <c r="U175" s="140">
        <f t="shared" si="15"/>
        <v>9.40000000000001E-6</v>
      </c>
      <c r="V175">
        <v>0.94000000000000095</v>
      </c>
      <c r="W175" s="140">
        <f t="shared" si="16"/>
        <v>9.4000000000000074E-8</v>
      </c>
      <c r="X175" s="140">
        <f t="shared" si="17"/>
        <v>1.8800000000000017E-7</v>
      </c>
      <c r="Y175" s="140">
        <f t="shared" si="18"/>
        <v>2.8200000000000028E-7</v>
      </c>
      <c r="Z175" s="140">
        <f t="shared" si="19"/>
        <v>3.760000000000004E-7</v>
      </c>
      <c r="AA175" s="140">
        <f t="shared" si="20"/>
        <v>4.7000000000000053E-7</v>
      </c>
      <c r="AB175" s="157">
        <f>IF(U175&lt;$B$41*DATA!$H$1037,DATA!$H$1037,IF(U175&gt;DATA!$H$1036*$B$41,DATA!$H$1036,1))</f>
        <v>0.8</v>
      </c>
      <c r="AC175" s="156">
        <f t="shared" ref="AC175:AC206" si="51">IF(OR(V$134=0,V$133=0),0.0000001,IF(AB175=1,V$134,U175*((V$134*V$138)/(AB175*V$133)+0.023*LOG10(AB175*V$133/U175))/V$138))</f>
        <v>9.9999999999999995E-8</v>
      </c>
      <c r="AE175" s="140">
        <f t="shared" si="21"/>
        <v>9.40000000000001E-6</v>
      </c>
      <c r="AF175">
        <v>0.94000000000000095</v>
      </c>
      <c r="AG175" s="140">
        <f t="shared" si="22"/>
        <v>9.4000000000000074E-8</v>
      </c>
      <c r="AH175" s="140">
        <f t="shared" si="23"/>
        <v>1.8800000000000017E-7</v>
      </c>
      <c r="AI175" s="140">
        <f t="shared" si="24"/>
        <v>2.8200000000000028E-7</v>
      </c>
      <c r="AJ175" s="140">
        <f t="shared" si="25"/>
        <v>3.760000000000004E-7</v>
      </c>
      <c r="AK175" s="140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ref="AM175:AM206" si="52">IF(OR(AF$134=0,AF$133=0),0.0000001,IF(AL175=1,AF$134,AE175*((AF$134*AF$138)/(AL175*AF$133)+0.023*LOG10(AL175*AF$133/AE175))/AF$138))</f>
        <v>9.9999999999999995E-8</v>
      </c>
      <c r="AO175" s="140">
        <f t="shared" si="27"/>
        <v>9.40000000000001E-6</v>
      </c>
      <c r="AP175">
        <v>0.94000000000000095</v>
      </c>
      <c r="AQ175" s="140">
        <f t="shared" si="28"/>
        <v>9.4000000000000074E-8</v>
      </c>
      <c r="AR175" s="140">
        <f t="shared" si="29"/>
        <v>1.8800000000000017E-7</v>
      </c>
      <c r="AS175" s="140">
        <f t="shared" si="30"/>
        <v>2.8200000000000028E-7</v>
      </c>
      <c r="AT175" s="140">
        <f t="shared" si="31"/>
        <v>3.760000000000004E-7</v>
      </c>
      <c r="AU175" s="140">
        <f t="shared" si="32"/>
        <v>4.7000000000000053E-7</v>
      </c>
      <c r="AV175" s="157">
        <f>IF(AO175&lt;$B$73*DATA!$H$1037,DATA!$H$1037,IF(AO175&gt;DATA!$H$1036*$B$73,DATA!$H$1036,1))</f>
        <v>1.2</v>
      </c>
      <c r="AW175" s="156">
        <f t="shared" si="33"/>
        <v>9.9999999999999995E-8</v>
      </c>
      <c r="AY175" s="140">
        <f t="shared" si="34"/>
        <v>9.40000000000001E-6</v>
      </c>
      <c r="AZ175">
        <v>0.94000000000000095</v>
      </c>
      <c r="BA175" s="140">
        <f t="shared" si="35"/>
        <v>9.4000000000000074E-8</v>
      </c>
      <c r="BB175" s="140">
        <f t="shared" si="36"/>
        <v>1.8800000000000017E-7</v>
      </c>
      <c r="BC175" s="140">
        <f t="shared" si="37"/>
        <v>2.8200000000000028E-7</v>
      </c>
      <c r="BD175" s="140">
        <f t="shared" si="38"/>
        <v>3.760000000000004E-7</v>
      </c>
      <c r="BE175" s="140">
        <f t="shared" si="39"/>
        <v>4.7000000000000053E-7</v>
      </c>
      <c r="BF175" s="157">
        <f>IF(AY175&lt;$B$89*DATA!$H$1037,DATA!$H$1037,IF(AY175&gt;DATA!$H$1036*$B$89,DATA!$H$1036,1))</f>
        <v>1.2</v>
      </c>
      <c r="BG175" s="156">
        <f t="shared" si="40"/>
        <v>9.9999999999999995E-8</v>
      </c>
      <c r="BI175" s="140">
        <f t="shared" si="41"/>
        <v>9.40000000000001E-6</v>
      </c>
      <c r="BJ175">
        <v>0.94000000000000095</v>
      </c>
      <c r="BK175" s="140">
        <f t="shared" si="42"/>
        <v>9.4000000000000074E-8</v>
      </c>
      <c r="BL175" s="140">
        <f t="shared" si="43"/>
        <v>1.8800000000000017E-7</v>
      </c>
      <c r="BM175" s="140">
        <f t="shared" si="44"/>
        <v>2.8200000000000028E-7</v>
      </c>
      <c r="BN175" s="140">
        <f t="shared" si="45"/>
        <v>3.760000000000004E-7</v>
      </c>
      <c r="BO175" s="140">
        <f t="shared" si="46"/>
        <v>4.7000000000000053E-7</v>
      </c>
      <c r="BP175" s="157">
        <f>IF(BI175&lt;$B$105*DATA!$H$1037,DATA!$H$1037,IF(BI175&gt;DATA!$H$1036*$B$105,DATA!$H$1036,1))</f>
        <v>1.2</v>
      </c>
      <c r="BQ175" s="156">
        <f t="shared" si="47"/>
        <v>9.9999999999999995E-8</v>
      </c>
    </row>
    <row r="176" spans="1:69">
      <c r="A176" s="140">
        <f t="shared" si="7"/>
        <v>9.6000000000000097E-6</v>
      </c>
      <c r="B176">
        <v>0.96000000000000096</v>
      </c>
      <c r="C176" s="140">
        <f t="shared" si="49"/>
        <v>9.6000000000000066E-8</v>
      </c>
      <c r="D176" s="140">
        <f t="shared" si="49"/>
        <v>1.9200000000000016E-7</v>
      </c>
      <c r="E176" s="140">
        <f t="shared" si="49"/>
        <v>2.880000000000003E-7</v>
      </c>
      <c r="F176" s="140">
        <f t="shared" si="49"/>
        <v>3.8400000000000042E-7</v>
      </c>
      <c r="G176" s="140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ref="I176:I207" si="53">IF(OR(B$134=0,$B$133=0),0.0000001,IF(H176=1,$B$134,A176*(($B$134*$B$138)/(H176*$B$133)+0.023*LOG10(H176*$B$133/A176))/$B$138))</f>
        <v>9.9999999999999995E-8</v>
      </c>
      <c r="K176" s="140">
        <f t="shared" si="9"/>
        <v>9.6000000000000097E-6</v>
      </c>
      <c r="L176">
        <v>0.96000000000000096</v>
      </c>
      <c r="M176" s="140">
        <f t="shared" si="10"/>
        <v>9.6000000000000066E-8</v>
      </c>
      <c r="N176" s="140">
        <f t="shared" si="11"/>
        <v>1.9200000000000016E-7</v>
      </c>
      <c r="O176" s="140">
        <f t="shared" si="12"/>
        <v>2.880000000000003E-7</v>
      </c>
      <c r="P176" s="140">
        <f t="shared" si="13"/>
        <v>3.8400000000000042E-7</v>
      </c>
      <c r="Q176" s="140">
        <f t="shared" si="14"/>
        <v>4.8000000000000049E-7</v>
      </c>
      <c r="R176" s="157">
        <f>IF(K176&lt;$B$25*DATA!$H$1037,DATA!$H$1037,IF(K176&gt;DATA!$H$1036*$B$25,DATA!$H$1036,1))</f>
        <v>0.8</v>
      </c>
      <c r="S176" s="156">
        <f t="shared" si="50"/>
        <v>9.9999999999999995E-8</v>
      </c>
      <c r="U176" s="140">
        <f t="shared" si="15"/>
        <v>9.6000000000000097E-6</v>
      </c>
      <c r="V176">
        <v>0.96000000000000096</v>
      </c>
      <c r="W176" s="140">
        <f t="shared" si="16"/>
        <v>9.6000000000000066E-8</v>
      </c>
      <c r="X176" s="140">
        <f t="shared" si="17"/>
        <v>1.9200000000000016E-7</v>
      </c>
      <c r="Y176" s="140">
        <f t="shared" si="18"/>
        <v>2.880000000000003E-7</v>
      </c>
      <c r="Z176" s="140">
        <f t="shared" si="19"/>
        <v>3.8400000000000042E-7</v>
      </c>
      <c r="AA176" s="140">
        <f t="shared" si="20"/>
        <v>4.8000000000000049E-7</v>
      </c>
      <c r="AB176" s="157">
        <f>IF(U176&lt;$B$41*DATA!$H$1037,DATA!$H$1037,IF(U176&gt;DATA!$H$1036*$B$41,DATA!$H$1036,1))</f>
        <v>0.8</v>
      </c>
      <c r="AC176" s="156">
        <f t="shared" si="51"/>
        <v>9.9999999999999995E-8</v>
      </c>
      <c r="AE176" s="140">
        <f t="shared" si="21"/>
        <v>9.6000000000000097E-6</v>
      </c>
      <c r="AF176">
        <v>0.96000000000000096</v>
      </c>
      <c r="AG176" s="140">
        <f t="shared" si="22"/>
        <v>9.6000000000000066E-8</v>
      </c>
      <c r="AH176" s="140">
        <f t="shared" si="23"/>
        <v>1.9200000000000016E-7</v>
      </c>
      <c r="AI176" s="140">
        <f t="shared" si="24"/>
        <v>2.880000000000003E-7</v>
      </c>
      <c r="AJ176" s="140">
        <f t="shared" si="25"/>
        <v>3.8400000000000042E-7</v>
      </c>
      <c r="AK176" s="140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52"/>
        <v>9.9999999999999995E-8</v>
      </c>
      <c r="AO176" s="140">
        <f t="shared" si="27"/>
        <v>9.6000000000000097E-6</v>
      </c>
      <c r="AP176">
        <v>0.96000000000000096</v>
      </c>
      <c r="AQ176" s="140">
        <f t="shared" si="28"/>
        <v>9.6000000000000066E-8</v>
      </c>
      <c r="AR176" s="140">
        <f t="shared" si="29"/>
        <v>1.9200000000000016E-7</v>
      </c>
      <c r="AS176" s="140">
        <f t="shared" si="30"/>
        <v>2.880000000000003E-7</v>
      </c>
      <c r="AT176" s="140">
        <f t="shared" si="31"/>
        <v>3.8400000000000042E-7</v>
      </c>
      <c r="AU176" s="140">
        <f t="shared" si="32"/>
        <v>4.8000000000000049E-7</v>
      </c>
      <c r="AV176" s="157">
        <f>IF(AO176&lt;$B$73*DATA!$H$1037,DATA!$H$1037,IF(AO176&gt;DATA!$H$1036*$B$73,DATA!$H$1036,1))</f>
        <v>1.2</v>
      </c>
      <c r="AW176" s="156">
        <f t="shared" si="33"/>
        <v>9.9999999999999995E-8</v>
      </c>
      <c r="AY176" s="140">
        <f t="shared" si="34"/>
        <v>9.6000000000000097E-6</v>
      </c>
      <c r="AZ176">
        <v>0.96000000000000096</v>
      </c>
      <c r="BA176" s="140">
        <f t="shared" si="35"/>
        <v>9.6000000000000066E-8</v>
      </c>
      <c r="BB176" s="140">
        <f t="shared" si="36"/>
        <v>1.9200000000000016E-7</v>
      </c>
      <c r="BC176" s="140">
        <f t="shared" si="37"/>
        <v>2.880000000000003E-7</v>
      </c>
      <c r="BD176" s="140">
        <f t="shared" si="38"/>
        <v>3.8400000000000042E-7</v>
      </c>
      <c r="BE176" s="140">
        <f t="shared" si="39"/>
        <v>4.8000000000000049E-7</v>
      </c>
      <c r="BF176" s="157">
        <f>IF(AY176&lt;$B$89*DATA!$H$1037,DATA!$H$1037,IF(AY176&gt;DATA!$H$1036*$B$89,DATA!$H$1036,1))</f>
        <v>1.2</v>
      </c>
      <c r="BG176" s="156">
        <f t="shared" si="40"/>
        <v>9.9999999999999995E-8</v>
      </c>
      <c r="BI176" s="140">
        <f t="shared" si="41"/>
        <v>9.6000000000000097E-6</v>
      </c>
      <c r="BJ176">
        <v>0.96000000000000096</v>
      </c>
      <c r="BK176" s="140">
        <f t="shared" si="42"/>
        <v>9.6000000000000066E-8</v>
      </c>
      <c r="BL176" s="140">
        <f t="shared" si="43"/>
        <v>1.9200000000000016E-7</v>
      </c>
      <c r="BM176" s="140">
        <f t="shared" si="44"/>
        <v>2.880000000000003E-7</v>
      </c>
      <c r="BN176" s="140">
        <f t="shared" si="45"/>
        <v>3.8400000000000042E-7</v>
      </c>
      <c r="BO176" s="140">
        <f t="shared" si="46"/>
        <v>4.8000000000000049E-7</v>
      </c>
      <c r="BP176" s="157">
        <f>IF(BI176&lt;$B$105*DATA!$H$1037,DATA!$H$1037,IF(BI176&gt;DATA!$H$1036*$B$105,DATA!$H$1036,1))</f>
        <v>1.2</v>
      </c>
      <c r="BQ176" s="156">
        <f t="shared" si="47"/>
        <v>9.9999999999999995E-8</v>
      </c>
    </row>
    <row r="177" spans="1:69">
      <c r="A177" s="140">
        <f t="shared" si="7"/>
        <v>9.8000000000000112E-6</v>
      </c>
      <c r="B177">
        <v>0.98000000000000098</v>
      </c>
      <c r="C177" s="140">
        <f t="shared" si="49"/>
        <v>9.8000000000000083E-8</v>
      </c>
      <c r="D177" s="140">
        <f t="shared" si="49"/>
        <v>1.9600000000000019E-7</v>
      </c>
      <c r="E177" s="140">
        <f t="shared" si="49"/>
        <v>2.9400000000000033E-7</v>
      </c>
      <c r="F177" s="140">
        <f t="shared" si="49"/>
        <v>3.9200000000000044E-7</v>
      </c>
      <c r="G177" s="140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53"/>
        <v>9.9999999999999995E-8</v>
      </c>
      <c r="K177" s="140">
        <f t="shared" si="9"/>
        <v>9.8000000000000112E-6</v>
      </c>
      <c r="L177">
        <v>0.98000000000000098</v>
      </c>
      <c r="M177" s="140">
        <f t="shared" si="10"/>
        <v>9.8000000000000083E-8</v>
      </c>
      <c r="N177" s="140">
        <f t="shared" si="11"/>
        <v>1.9600000000000019E-7</v>
      </c>
      <c r="O177" s="140">
        <f t="shared" si="12"/>
        <v>2.9400000000000033E-7</v>
      </c>
      <c r="P177" s="140">
        <f t="shared" si="13"/>
        <v>3.9200000000000044E-7</v>
      </c>
      <c r="Q177" s="140">
        <f t="shared" si="14"/>
        <v>4.900000000000006E-7</v>
      </c>
      <c r="R177" s="157">
        <f>IF(K177&lt;$B$25*DATA!$H$1037,DATA!$H$1037,IF(K177&gt;DATA!$H$1036*$B$25,DATA!$H$1036,1))</f>
        <v>0.8</v>
      </c>
      <c r="S177" s="156">
        <f t="shared" si="50"/>
        <v>9.9999999999999995E-8</v>
      </c>
      <c r="U177" s="140">
        <f t="shared" si="15"/>
        <v>9.8000000000000112E-6</v>
      </c>
      <c r="V177">
        <v>0.98000000000000098</v>
      </c>
      <c r="W177" s="140">
        <f t="shared" si="16"/>
        <v>9.8000000000000083E-8</v>
      </c>
      <c r="X177" s="140">
        <f t="shared" si="17"/>
        <v>1.9600000000000019E-7</v>
      </c>
      <c r="Y177" s="140">
        <f t="shared" si="18"/>
        <v>2.9400000000000033E-7</v>
      </c>
      <c r="Z177" s="140">
        <f t="shared" si="19"/>
        <v>3.9200000000000044E-7</v>
      </c>
      <c r="AA177" s="140">
        <f t="shared" si="20"/>
        <v>4.900000000000006E-7</v>
      </c>
      <c r="AB177" s="157">
        <f>IF(U177&lt;$B$41*DATA!$H$1037,DATA!$H$1037,IF(U177&gt;DATA!$H$1036*$B$41,DATA!$H$1036,1))</f>
        <v>0.8</v>
      </c>
      <c r="AC177" s="156">
        <f t="shared" si="51"/>
        <v>9.9999999999999995E-8</v>
      </c>
      <c r="AE177" s="140">
        <f t="shared" si="21"/>
        <v>9.8000000000000112E-6</v>
      </c>
      <c r="AF177">
        <v>0.98000000000000098</v>
      </c>
      <c r="AG177" s="140">
        <f t="shared" si="22"/>
        <v>9.8000000000000083E-8</v>
      </c>
      <c r="AH177" s="140">
        <f t="shared" si="23"/>
        <v>1.9600000000000019E-7</v>
      </c>
      <c r="AI177" s="140">
        <f t="shared" si="24"/>
        <v>2.9400000000000033E-7</v>
      </c>
      <c r="AJ177" s="140">
        <f t="shared" si="25"/>
        <v>3.9200000000000044E-7</v>
      </c>
      <c r="AK177" s="140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52"/>
        <v>9.9999999999999995E-8</v>
      </c>
      <c r="AO177" s="140">
        <f t="shared" si="27"/>
        <v>9.8000000000000112E-6</v>
      </c>
      <c r="AP177">
        <v>0.98000000000000098</v>
      </c>
      <c r="AQ177" s="140">
        <f t="shared" si="28"/>
        <v>9.8000000000000083E-8</v>
      </c>
      <c r="AR177" s="140">
        <f t="shared" si="29"/>
        <v>1.9600000000000019E-7</v>
      </c>
      <c r="AS177" s="140">
        <f t="shared" si="30"/>
        <v>2.9400000000000033E-7</v>
      </c>
      <c r="AT177" s="140">
        <f t="shared" si="31"/>
        <v>3.9200000000000044E-7</v>
      </c>
      <c r="AU177" s="140">
        <f t="shared" si="32"/>
        <v>4.900000000000006E-7</v>
      </c>
      <c r="AV177" s="157">
        <f>IF(AO177&lt;$B$73*DATA!$H$1037,DATA!$H$1037,IF(AO177&gt;DATA!$H$1036*$B$73,DATA!$H$1036,1))</f>
        <v>1.2</v>
      </c>
      <c r="AW177" s="156">
        <f t="shared" si="33"/>
        <v>9.9999999999999995E-8</v>
      </c>
      <c r="AY177" s="140">
        <f t="shared" si="34"/>
        <v>9.8000000000000112E-6</v>
      </c>
      <c r="AZ177">
        <v>0.98000000000000098</v>
      </c>
      <c r="BA177" s="140">
        <f t="shared" si="35"/>
        <v>9.8000000000000083E-8</v>
      </c>
      <c r="BB177" s="140">
        <f t="shared" si="36"/>
        <v>1.9600000000000019E-7</v>
      </c>
      <c r="BC177" s="140">
        <f t="shared" si="37"/>
        <v>2.9400000000000033E-7</v>
      </c>
      <c r="BD177" s="140">
        <f t="shared" si="38"/>
        <v>3.9200000000000044E-7</v>
      </c>
      <c r="BE177" s="140">
        <f t="shared" si="39"/>
        <v>4.900000000000006E-7</v>
      </c>
      <c r="BF177" s="157">
        <f>IF(AY177&lt;$B$89*DATA!$H$1037,DATA!$H$1037,IF(AY177&gt;DATA!$H$1036*$B$89,DATA!$H$1036,1))</f>
        <v>1.2</v>
      </c>
      <c r="BG177" s="156">
        <f t="shared" si="40"/>
        <v>9.9999999999999995E-8</v>
      </c>
      <c r="BI177" s="140">
        <f t="shared" si="41"/>
        <v>9.8000000000000112E-6</v>
      </c>
      <c r="BJ177">
        <v>0.98000000000000098</v>
      </c>
      <c r="BK177" s="140">
        <f t="shared" si="42"/>
        <v>9.8000000000000083E-8</v>
      </c>
      <c r="BL177" s="140">
        <f t="shared" si="43"/>
        <v>1.9600000000000019E-7</v>
      </c>
      <c r="BM177" s="140">
        <f t="shared" si="44"/>
        <v>2.9400000000000033E-7</v>
      </c>
      <c r="BN177" s="140">
        <f t="shared" si="45"/>
        <v>3.9200000000000044E-7</v>
      </c>
      <c r="BO177" s="140">
        <f t="shared" si="46"/>
        <v>4.900000000000006E-7</v>
      </c>
      <c r="BP177" s="157">
        <f>IF(BI177&lt;$B$105*DATA!$H$1037,DATA!$H$1037,IF(BI177&gt;DATA!$H$1036*$B$105,DATA!$H$1036,1))</f>
        <v>1.2</v>
      </c>
      <c r="BQ177" s="156">
        <f t="shared" si="47"/>
        <v>9.9999999999999995E-8</v>
      </c>
    </row>
    <row r="178" spans="1:69">
      <c r="A178" s="140">
        <f t="shared" si="7"/>
        <v>1.0000000000000001E-5</v>
      </c>
      <c r="B178">
        <v>1</v>
      </c>
      <c r="C178" s="140">
        <f t="shared" si="49"/>
        <v>9.9999999999999969E-8</v>
      </c>
      <c r="D178" s="140">
        <f t="shared" si="49"/>
        <v>1.9999999999999999E-7</v>
      </c>
      <c r="E178" s="140">
        <f t="shared" si="49"/>
        <v>3.0000000000000004E-7</v>
      </c>
      <c r="F178" s="140">
        <f t="shared" si="49"/>
        <v>4.0000000000000003E-7</v>
      </c>
      <c r="G178" s="140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53"/>
        <v>9.9999999999999995E-8</v>
      </c>
      <c r="K178" s="140">
        <f t="shared" si="9"/>
        <v>1.0000000000000001E-5</v>
      </c>
      <c r="L178">
        <v>1</v>
      </c>
      <c r="M178" s="140">
        <f t="shared" si="10"/>
        <v>9.9999999999999969E-8</v>
      </c>
      <c r="N178" s="140">
        <f t="shared" si="11"/>
        <v>1.9999999999999999E-7</v>
      </c>
      <c r="O178" s="140">
        <f t="shared" si="12"/>
        <v>3.0000000000000004E-7</v>
      </c>
      <c r="P178" s="140">
        <f t="shared" si="13"/>
        <v>4.0000000000000003E-7</v>
      </c>
      <c r="Q178" s="140">
        <f t="shared" si="14"/>
        <v>5.0000000000000008E-7</v>
      </c>
      <c r="R178" s="157">
        <f>IF(K178&lt;$B$25*DATA!$H$1037,DATA!$H$1037,IF(K178&gt;DATA!$H$1036*$B$25,DATA!$H$1036,1))</f>
        <v>0.8</v>
      </c>
      <c r="S178" s="156">
        <f t="shared" si="50"/>
        <v>9.9999999999999995E-8</v>
      </c>
      <c r="U178" s="140">
        <f t="shared" si="15"/>
        <v>1.0000000000000001E-5</v>
      </c>
      <c r="V178">
        <v>1</v>
      </c>
      <c r="W178" s="140">
        <f t="shared" si="16"/>
        <v>9.9999999999999969E-8</v>
      </c>
      <c r="X178" s="140">
        <f t="shared" si="17"/>
        <v>1.9999999999999999E-7</v>
      </c>
      <c r="Y178" s="140">
        <f t="shared" si="18"/>
        <v>3.0000000000000004E-7</v>
      </c>
      <c r="Z178" s="140">
        <f t="shared" si="19"/>
        <v>4.0000000000000003E-7</v>
      </c>
      <c r="AA178" s="140">
        <f t="shared" si="20"/>
        <v>5.0000000000000008E-7</v>
      </c>
      <c r="AB178" s="157">
        <f>IF(U178&lt;$B$41*DATA!$H$1037,DATA!$H$1037,IF(U178&gt;DATA!$H$1036*$B$41,DATA!$H$1036,1))</f>
        <v>0.8</v>
      </c>
      <c r="AC178" s="156">
        <f t="shared" si="51"/>
        <v>9.9999999999999995E-8</v>
      </c>
      <c r="AE178" s="140">
        <f t="shared" si="21"/>
        <v>1.0000000000000001E-5</v>
      </c>
      <c r="AF178">
        <v>1</v>
      </c>
      <c r="AG178" s="140">
        <f t="shared" si="22"/>
        <v>9.9999999999999969E-8</v>
      </c>
      <c r="AH178" s="140">
        <f t="shared" si="23"/>
        <v>1.9999999999999999E-7</v>
      </c>
      <c r="AI178" s="140">
        <f t="shared" si="24"/>
        <v>3.0000000000000004E-7</v>
      </c>
      <c r="AJ178" s="140">
        <f t="shared" si="25"/>
        <v>4.0000000000000003E-7</v>
      </c>
      <c r="AK178" s="140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52"/>
        <v>9.9999999999999995E-8</v>
      </c>
      <c r="AO178" s="140">
        <f t="shared" si="27"/>
        <v>1.0000000000000001E-5</v>
      </c>
      <c r="AP178">
        <v>1</v>
      </c>
      <c r="AQ178" s="140">
        <f t="shared" si="28"/>
        <v>9.9999999999999969E-8</v>
      </c>
      <c r="AR178" s="140">
        <f t="shared" si="29"/>
        <v>1.9999999999999999E-7</v>
      </c>
      <c r="AS178" s="140">
        <f t="shared" si="30"/>
        <v>3.0000000000000004E-7</v>
      </c>
      <c r="AT178" s="140">
        <f t="shared" si="31"/>
        <v>4.0000000000000003E-7</v>
      </c>
      <c r="AU178" s="140">
        <f t="shared" si="32"/>
        <v>5.0000000000000008E-7</v>
      </c>
      <c r="AV178" s="157">
        <f>IF(AO178&lt;$B$73*DATA!$H$1037,DATA!$H$1037,IF(AO178&gt;DATA!$H$1036*$B$73,DATA!$H$1036,1))</f>
        <v>1.2</v>
      </c>
      <c r="AW178" s="156">
        <f t="shared" si="33"/>
        <v>9.9999999999999995E-8</v>
      </c>
      <c r="AY178" s="140">
        <f t="shared" si="34"/>
        <v>1.0000000000000001E-5</v>
      </c>
      <c r="AZ178">
        <v>1</v>
      </c>
      <c r="BA178" s="140">
        <f t="shared" si="35"/>
        <v>9.9999999999999969E-8</v>
      </c>
      <c r="BB178" s="140">
        <f t="shared" si="36"/>
        <v>1.9999999999999999E-7</v>
      </c>
      <c r="BC178" s="140">
        <f t="shared" si="37"/>
        <v>3.0000000000000004E-7</v>
      </c>
      <c r="BD178" s="140">
        <f t="shared" si="38"/>
        <v>4.0000000000000003E-7</v>
      </c>
      <c r="BE178" s="140">
        <f t="shared" si="39"/>
        <v>5.0000000000000008E-7</v>
      </c>
      <c r="BF178" s="157">
        <f>IF(AY178&lt;$B$89*DATA!$H$1037,DATA!$H$1037,IF(AY178&gt;DATA!$H$1036*$B$89,DATA!$H$1036,1))</f>
        <v>1.2</v>
      </c>
      <c r="BG178" s="156">
        <f t="shared" si="40"/>
        <v>9.9999999999999995E-8</v>
      </c>
      <c r="BI178" s="140">
        <f t="shared" si="41"/>
        <v>1.0000000000000001E-5</v>
      </c>
      <c r="BJ178">
        <v>1</v>
      </c>
      <c r="BK178" s="140">
        <f t="shared" si="42"/>
        <v>9.9999999999999969E-8</v>
      </c>
      <c r="BL178" s="140">
        <f t="shared" si="43"/>
        <v>1.9999999999999999E-7</v>
      </c>
      <c r="BM178" s="140">
        <f t="shared" si="44"/>
        <v>3.0000000000000004E-7</v>
      </c>
      <c r="BN178" s="140">
        <f t="shared" si="45"/>
        <v>4.0000000000000003E-7</v>
      </c>
      <c r="BO178" s="140">
        <f t="shared" si="46"/>
        <v>5.0000000000000008E-7</v>
      </c>
      <c r="BP178" s="157">
        <f>IF(BI178&lt;$B$105*DATA!$H$1037,DATA!$H$1037,IF(BI178&gt;DATA!$H$1036*$B$105,DATA!$H$1036,1))</f>
        <v>1.2</v>
      </c>
      <c r="BQ178" s="156">
        <f t="shared" si="47"/>
        <v>9.9999999999999995E-8</v>
      </c>
    </row>
    <row r="179" spans="1:69">
      <c r="A179" s="140">
        <f t="shared" si="7"/>
        <v>1.0200000000000001E-5</v>
      </c>
      <c r="B179">
        <v>1.02</v>
      </c>
      <c r="C179" s="140">
        <f t="shared" si="49"/>
        <v>1.0199999999999997E-7</v>
      </c>
      <c r="D179" s="140">
        <f t="shared" si="49"/>
        <v>2.0399999999999997E-7</v>
      </c>
      <c r="E179" s="140">
        <f t="shared" si="49"/>
        <v>3.0600000000000001E-7</v>
      </c>
      <c r="F179" s="140">
        <f t="shared" si="49"/>
        <v>4.0800000000000005E-7</v>
      </c>
      <c r="G179" s="140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53"/>
        <v>9.9999999999999995E-8</v>
      </c>
      <c r="K179" s="140">
        <f t="shared" si="9"/>
        <v>1.0200000000000001E-5</v>
      </c>
      <c r="L179">
        <v>1.02</v>
      </c>
      <c r="M179" s="140">
        <f t="shared" si="10"/>
        <v>1.0199999999999997E-7</v>
      </c>
      <c r="N179" s="140">
        <f t="shared" si="11"/>
        <v>2.0399999999999997E-7</v>
      </c>
      <c r="O179" s="140">
        <f t="shared" si="12"/>
        <v>3.0600000000000001E-7</v>
      </c>
      <c r="P179" s="140">
        <f t="shared" si="13"/>
        <v>4.0800000000000005E-7</v>
      </c>
      <c r="Q179" s="140">
        <f t="shared" si="14"/>
        <v>5.1000000000000009E-7</v>
      </c>
      <c r="R179" s="157">
        <f>IF(K179&lt;$B$25*DATA!$H$1037,DATA!$H$1037,IF(K179&gt;DATA!$H$1036*$B$25,DATA!$H$1036,1))</f>
        <v>0.8</v>
      </c>
      <c r="S179" s="156">
        <f t="shared" si="50"/>
        <v>9.9999999999999995E-8</v>
      </c>
      <c r="U179" s="140">
        <f t="shared" si="15"/>
        <v>1.0200000000000001E-5</v>
      </c>
      <c r="V179">
        <v>1.02</v>
      </c>
      <c r="W179" s="140">
        <f t="shared" si="16"/>
        <v>1.0199999999999997E-7</v>
      </c>
      <c r="X179" s="140">
        <f t="shared" si="17"/>
        <v>2.0399999999999997E-7</v>
      </c>
      <c r="Y179" s="140">
        <f t="shared" si="18"/>
        <v>3.0600000000000001E-7</v>
      </c>
      <c r="Z179" s="140">
        <f t="shared" si="19"/>
        <v>4.0800000000000005E-7</v>
      </c>
      <c r="AA179" s="140">
        <f t="shared" si="20"/>
        <v>5.1000000000000009E-7</v>
      </c>
      <c r="AB179" s="157">
        <f>IF(U179&lt;$B$41*DATA!$H$1037,DATA!$H$1037,IF(U179&gt;DATA!$H$1036*$B$41,DATA!$H$1036,1))</f>
        <v>0.8</v>
      </c>
      <c r="AC179" s="156">
        <f t="shared" si="51"/>
        <v>9.9999999999999995E-8</v>
      </c>
      <c r="AE179" s="140">
        <f t="shared" si="21"/>
        <v>1.0200000000000001E-5</v>
      </c>
      <c r="AF179">
        <v>1.02</v>
      </c>
      <c r="AG179" s="140">
        <f t="shared" si="22"/>
        <v>1.0199999999999997E-7</v>
      </c>
      <c r="AH179" s="140">
        <f t="shared" si="23"/>
        <v>2.0399999999999997E-7</v>
      </c>
      <c r="AI179" s="140">
        <f t="shared" si="24"/>
        <v>3.0600000000000001E-7</v>
      </c>
      <c r="AJ179" s="140">
        <f t="shared" si="25"/>
        <v>4.0800000000000005E-7</v>
      </c>
      <c r="AK179" s="140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52"/>
        <v>9.9999999999999995E-8</v>
      </c>
      <c r="AO179" s="140">
        <f t="shared" si="27"/>
        <v>1.0200000000000001E-5</v>
      </c>
      <c r="AP179">
        <v>1.02</v>
      </c>
      <c r="AQ179" s="140">
        <f t="shared" si="28"/>
        <v>1.0199999999999997E-7</v>
      </c>
      <c r="AR179" s="140">
        <f t="shared" si="29"/>
        <v>2.0399999999999997E-7</v>
      </c>
      <c r="AS179" s="140">
        <f t="shared" si="30"/>
        <v>3.0600000000000001E-7</v>
      </c>
      <c r="AT179" s="140">
        <f t="shared" si="31"/>
        <v>4.0800000000000005E-7</v>
      </c>
      <c r="AU179" s="140">
        <f t="shared" si="32"/>
        <v>5.1000000000000009E-7</v>
      </c>
      <c r="AV179" s="157">
        <f>IF(AO179&lt;$B$73*DATA!$H$1037,DATA!$H$1037,IF(AO179&gt;DATA!$H$1036*$B$73,DATA!$H$1036,1))</f>
        <v>1.2</v>
      </c>
      <c r="AW179" s="156">
        <f t="shared" si="33"/>
        <v>9.9999999999999995E-8</v>
      </c>
      <c r="AY179" s="140">
        <f t="shared" si="34"/>
        <v>1.0200000000000001E-5</v>
      </c>
      <c r="AZ179">
        <v>1.02</v>
      </c>
      <c r="BA179" s="140">
        <f t="shared" si="35"/>
        <v>1.0199999999999997E-7</v>
      </c>
      <c r="BB179" s="140">
        <f t="shared" si="36"/>
        <v>2.0399999999999997E-7</v>
      </c>
      <c r="BC179" s="140">
        <f t="shared" si="37"/>
        <v>3.0600000000000001E-7</v>
      </c>
      <c r="BD179" s="140">
        <f t="shared" si="38"/>
        <v>4.0800000000000005E-7</v>
      </c>
      <c r="BE179" s="140">
        <f t="shared" si="39"/>
        <v>5.1000000000000009E-7</v>
      </c>
      <c r="BF179" s="157">
        <f>IF(AY179&lt;$B$89*DATA!$H$1037,DATA!$H$1037,IF(AY179&gt;DATA!$H$1036*$B$89,DATA!$H$1036,1))</f>
        <v>1.2</v>
      </c>
      <c r="BG179" s="156">
        <f t="shared" si="40"/>
        <v>9.9999999999999995E-8</v>
      </c>
      <c r="BI179" s="140">
        <f t="shared" si="41"/>
        <v>1.0200000000000001E-5</v>
      </c>
      <c r="BJ179">
        <v>1.02</v>
      </c>
      <c r="BK179" s="140">
        <f t="shared" si="42"/>
        <v>1.0199999999999997E-7</v>
      </c>
      <c r="BL179" s="140">
        <f t="shared" si="43"/>
        <v>2.0399999999999997E-7</v>
      </c>
      <c r="BM179" s="140">
        <f t="shared" si="44"/>
        <v>3.0600000000000001E-7</v>
      </c>
      <c r="BN179" s="140">
        <f t="shared" si="45"/>
        <v>4.0800000000000005E-7</v>
      </c>
      <c r="BO179" s="140">
        <f t="shared" si="46"/>
        <v>5.1000000000000009E-7</v>
      </c>
      <c r="BP179" s="157">
        <f>IF(BI179&lt;$B$105*DATA!$H$1037,DATA!$H$1037,IF(BI179&gt;DATA!$H$1036*$B$105,DATA!$H$1036,1))</f>
        <v>1.2</v>
      </c>
      <c r="BQ179" s="156">
        <f t="shared" si="47"/>
        <v>9.9999999999999995E-8</v>
      </c>
    </row>
    <row r="180" spans="1:69">
      <c r="A180" s="140">
        <f t="shared" si="7"/>
        <v>1.04E-5</v>
      </c>
      <c r="B180">
        <v>1.04</v>
      </c>
      <c r="C180" s="140">
        <f t="shared" si="49"/>
        <v>1.0399999999999997E-7</v>
      </c>
      <c r="D180" s="140">
        <f t="shared" si="49"/>
        <v>2.0799999999999998E-7</v>
      </c>
      <c r="E180" s="140">
        <f t="shared" si="49"/>
        <v>3.1199999999999999E-7</v>
      </c>
      <c r="F180" s="140">
        <f t="shared" si="49"/>
        <v>4.1600000000000002E-7</v>
      </c>
      <c r="G180" s="140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53"/>
        <v>9.9999999999999995E-8</v>
      </c>
      <c r="K180" s="140">
        <f t="shared" si="9"/>
        <v>1.04E-5</v>
      </c>
      <c r="L180">
        <v>1.04</v>
      </c>
      <c r="M180" s="140">
        <f t="shared" si="10"/>
        <v>1.0399999999999997E-7</v>
      </c>
      <c r="N180" s="140">
        <f t="shared" si="11"/>
        <v>2.0799999999999998E-7</v>
      </c>
      <c r="O180" s="140">
        <f t="shared" si="12"/>
        <v>3.1199999999999999E-7</v>
      </c>
      <c r="P180" s="140">
        <f t="shared" si="13"/>
        <v>4.1600000000000002E-7</v>
      </c>
      <c r="Q180" s="140">
        <f t="shared" si="14"/>
        <v>5.2E-7</v>
      </c>
      <c r="R180" s="157">
        <f>IF(K180&lt;$B$25*DATA!$H$1037,DATA!$H$1037,IF(K180&gt;DATA!$H$1036*$B$25,DATA!$H$1036,1))</f>
        <v>0.8</v>
      </c>
      <c r="S180" s="156">
        <f t="shared" si="50"/>
        <v>9.9999999999999995E-8</v>
      </c>
      <c r="U180" s="140">
        <f t="shared" si="15"/>
        <v>1.04E-5</v>
      </c>
      <c r="V180">
        <v>1.04</v>
      </c>
      <c r="W180" s="140">
        <f t="shared" si="16"/>
        <v>1.0399999999999997E-7</v>
      </c>
      <c r="X180" s="140">
        <f t="shared" si="17"/>
        <v>2.0799999999999998E-7</v>
      </c>
      <c r="Y180" s="140">
        <f t="shared" si="18"/>
        <v>3.1199999999999999E-7</v>
      </c>
      <c r="Z180" s="140">
        <f t="shared" si="19"/>
        <v>4.1600000000000002E-7</v>
      </c>
      <c r="AA180" s="140">
        <f t="shared" si="20"/>
        <v>5.2E-7</v>
      </c>
      <c r="AB180" s="157">
        <f>IF(U180&lt;$B$41*DATA!$H$1037,DATA!$H$1037,IF(U180&gt;DATA!$H$1036*$B$41,DATA!$H$1036,1))</f>
        <v>0.8</v>
      </c>
      <c r="AC180" s="156">
        <f t="shared" si="51"/>
        <v>9.9999999999999995E-8</v>
      </c>
      <c r="AE180" s="140">
        <f t="shared" si="21"/>
        <v>1.04E-5</v>
      </c>
      <c r="AF180">
        <v>1.04</v>
      </c>
      <c r="AG180" s="140">
        <f t="shared" si="22"/>
        <v>1.0399999999999997E-7</v>
      </c>
      <c r="AH180" s="140">
        <f t="shared" si="23"/>
        <v>2.0799999999999998E-7</v>
      </c>
      <c r="AI180" s="140">
        <f t="shared" si="24"/>
        <v>3.1199999999999999E-7</v>
      </c>
      <c r="AJ180" s="140">
        <f t="shared" si="25"/>
        <v>4.1600000000000002E-7</v>
      </c>
      <c r="AK180" s="140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52"/>
        <v>9.9999999999999995E-8</v>
      </c>
      <c r="AO180" s="140">
        <f t="shared" si="27"/>
        <v>1.04E-5</v>
      </c>
      <c r="AP180">
        <v>1.04</v>
      </c>
      <c r="AQ180" s="140">
        <f t="shared" si="28"/>
        <v>1.0399999999999997E-7</v>
      </c>
      <c r="AR180" s="140">
        <f t="shared" si="29"/>
        <v>2.0799999999999998E-7</v>
      </c>
      <c r="AS180" s="140">
        <f t="shared" si="30"/>
        <v>3.1199999999999999E-7</v>
      </c>
      <c r="AT180" s="140">
        <f t="shared" si="31"/>
        <v>4.1600000000000002E-7</v>
      </c>
      <c r="AU180" s="140">
        <f t="shared" si="32"/>
        <v>5.2E-7</v>
      </c>
      <c r="AV180" s="157">
        <f>IF(AO180&lt;$B$73*DATA!$H$1037,DATA!$H$1037,IF(AO180&gt;DATA!$H$1036*$B$73,DATA!$H$1036,1))</f>
        <v>1.2</v>
      </c>
      <c r="AW180" s="156">
        <f t="shared" si="33"/>
        <v>9.9999999999999995E-8</v>
      </c>
      <c r="AY180" s="140">
        <f t="shared" si="34"/>
        <v>1.04E-5</v>
      </c>
      <c r="AZ180">
        <v>1.04</v>
      </c>
      <c r="BA180" s="140">
        <f t="shared" si="35"/>
        <v>1.0399999999999997E-7</v>
      </c>
      <c r="BB180" s="140">
        <f t="shared" si="36"/>
        <v>2.0799999999999998E-7</v>
      </c>
      <c r="BC180" s="140">
        <f t="shared" si="37"/>
        <v>3.1199999999999999E-7</v>
      </c>
      <c r="BD180" s="140">
        <f t="shared" si="38"/>
        <v>4.1600000000000002E-7</v>
      </c>
      <c r="BE180" s="140">
        <f t="shared" si="39"/>
        <v>5.2E-7</v>
      </c>
      <c r="BF180" s="157">
        <f>IF(AY180&lt;$B$89*DATA!$H$1037,DATA!$H$1037,IF(AY180&gt;DATA!$H$1036*$B$89,DATA!$H$1036,1))</f>
        <v>1.2</v>
      </c>
      <c r="BG180" s="156">
        <f t="shared" si="40"/>
        <v>9.9999999999999995E-8</v>
      </c>
      <c r="BI180" s="140">
        <f t="shared" si="41"/>
        <v>1.04E-5</v>
      </c>
      <c r="BJ180">
        <v>1.04</v>
      </c>
      <c r="BK180" s="140">
        <f t="shared" si="42"/>
        <v>1.0399999999999997E-7</v>
      </c>
      <c r="BL180" s="140">
        <f t="shared" si="43"/>
        <v>2.0799999999999998E-7</v>
      </c>
      <c r="BM180" s="140">
        <f t="shared" si="44"/>
        <v>3.1199999999999999E-7</v>
      </c>
      <c r="BN180" s="140">
        <f t="shared" si="45"/>
        <v>4.1600000000000002E-7</v>
      </c>
      <c r="BO180" s="140">
        <f t="shared" si="46"/>
        <v>5.2E-7</v>
      </c>
      <c r="BP180" s="157">
        <f>IF(BI180&lt;$B$105*DATA!$H$1037,DATA!$H$1037,IF(BI180&gt;DATA!$H$1036*$B$105,DATA!$H$1036,1))</f>
        <v>1.2</v>
      </c>
      <c r="BQ180" s="156">
        <f t="shared" si="47"/>
        <v>9.9999999999999995E-8</v>
      </c>
    </row>
    <row r="181" spans="1:69">
      <c r="A181" s="140">
        <f t="shared" si="7"/>
        <v>1.0600000000000002E-5</v>
      </c>
      <c r="B181">
        <v>1.06</v>
      </c>
      <c r="C181" s="140">
        <f t="shared" si="49"/>
        <v>1.0599999999999998E-7</v>
      </c>
      <c r="D181" s="140">
        <f t="shared" si="49"/>
        <v>2.1199999999999999E-7</v>
      </c>
      <c r="E181" s="140">
        <f t="shared" si="49"/>
        <v>3.1800000000000007E-7</v>
      </c>
      <c r="F181" s="140">
        <f t="shared" si="49"/>
        <v>4.2400000000000009E-7</v>
      </c>
      <c r="G181" s="140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53"/>
        <v>9.9999999999999995E-8</v>
      </c>
      <c r="K181" s="140">
        <f t="shared" si="9"/>
        <v>1.0600000000000002E-5</v>
      </c>
      <c r="L181">
        <v>1.06</v>
      </c>
      <c r="M181" s="140">
        <f t="shared" si="10"/>
        <v>1.0599999999999998E-7</v>
      </c>
      <c r="N181" s="140">
        <f t="shared" si="11"/>
        <v>2.1199999999999999E-7</v>
      </c>
      <c r="O181" s="140">
        <f t="shared" si="12"/>
        <v>3.1800000000000007E-7</v>
      </c>
      <c r="P181" s="140">
        <f t="shared" si="13"/>
        <v>4.2400000000000009E-7</v>
      </c>
      <c r="Q181" s="140">
        <f t="shared" si="14"/>
        <v>5.3000000000000011E-7</v>
      </c>
      <c r="R181" s="157">
        <f>IF(K181&lt;$B$25*DATA!$H$1037,DATA!$H$1037,IF(K181&gt;DATA!$H$1036*$B$25,DATA!$H$1036,1))</f>
        <v>0.8</v>
      </c>
      <c r="S181" s="156">
        <f t="shared" si="50"/>
        <v>9.9999999999999995E-8</v>
      </c>
      <c r="U181" s="140">
        <f t="shared" si="15"/>
        <v>1.0600000000000002E-5</v>
      </c>
      <c r="V181">
        <v>1.06</v>
      </c>
      <c r="W181" s="140">
        <f t="shared" si="16"/>
        <v>1.0599999999999998E-7</v>
      </c>
      <c r="X181" s="140">
        <f t="shared" si="17"/>
        <v>2.1199999999999999E-7</v>
      </c>
      <c r="Y181" s="140">
        <f t="shared" si="18"/>
        <v>3.1800000000000007E-7</v>
      </c>
      <c r="Z181" s="140">
        <f t="shared" si="19"/>
        <v>4.2400000000000009E-7</v>
      </c>
      <c r="AA181" s="140">
        <f t="shared" si="20"/>
        <v>5.3000000000000011E-7</v>
      </c>
      <c r="AB181" s="157">
        <f>IF(U181&lt;$B$41*DATA!$H$1037,DATA!$H$1037,IF(U181&gt;DATA!$H$1036*$B$41,DATA!$H$1036,1))</f>
        <v>0.8</v>
      </c>
      <c r="AC181" s="156">
        <f t="shared" si="51"/>
        <v>9.9999999999999995E-8</v>
      </c>
      <c r="AE181" s="140">
        <f t="shared" si="21"/>
        <v>1.0600000000000002E-5</v>
      </c>
      <c r="AF181">
        <v>1.06</v>
      </c>
      <c r="AG181" s="140">
        <f t="shared" si="22"/>
        <v>1.0599999999999998E-7</v>
      </c>
      <c r="AH181" s="140">
        <f t="shared" si="23"/>
        <v>2.1199999999999999E-7</v>
      </c>
      <c r="AI181" s="140">
        <f t="shared" si="24"/>
        <v>3.1800000000000007E-7</v>
      </c>
      <c r="AJ181" s="140">
        <f t="shared" si="25"/>
        <v>4.2400000000000009E-7</v>
      </c>
      <c r="AK181" s="140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52"/>
        <v>9.9999999999999995E-8</v>
      </c>
      <c r="AO181" s="140">
        <f t="shared" si="27"/>
        <v>1.0600000000000002E-5</v>
      </c>
      <c r="AP181">
        <v>1.06</v>
      </c>
      <c r="AQ181" s="140">
        <f t="shared" si="28"/>
        <v>1.0599999999999998E-7</v>
      </c>
      <c r="AR181" s="140">
        <f t="shared" si="29"/>
        <v>2.1199999999999999E-7</v>
      </c>
      <c r="AS181" s="140">
        <f t="shared" si="30"/>
        <v>3.1800000000000007E-7</v>
      </c>
      <c r="AT181" s="140">
        <f t="shared" si="31"/>
        <v>4.2400000000000009E-7</v>
      </c>
      <c r="AU181" s="140">
        <f t="shared" si="32"/>
        <v>5.3000000000000011E-7</v>
      </c>
      <c r="AV181" s="157">
        <f>IF(AO181&lt;$B$73*DATA!$H$1037,DATA!$H$1037,IF(AO181&gt;DATA!$H$1036*$B$73,DATA!$H$1036,1))</f>
        <v>1.2</v>
      </c>
      <c r="AW181" s="156">
        <f t="shared" si="33"/>
        <v>9.9999999999999995E-8</v>
      </c>
      <c r="AY181" s="140">
        <f t="shared" si="34"/>
        <v>1.0600000000000002E-5</v>
      </c>
      <c r="AZ181">
        <v>1.06</v>
      </c>
      <c r="BA181" s="140">
        <f t="shared" si="35"/>
        <v>1.0599999999999998E-7</v>
      </c>
      <c r="BB181" s="140">
        <f t="shared" si="36"/>
        <v>2.1199999999999999E-7</v>
      </c>
      <c r="BC181" s="140">
        <f t="shared" si="37"/>
        <v>3.1800000000000007E-7</v>
      </c>
      <c r="BD181" s="140">
        <f t="shared" si="38"/>
        <v>4.2400000000000009E-7</v>
      </c>
      <c r="BE181" s="140">
        <f t="shared" si="39"/>
        <v>5.3000000000000011E-7</v>
      </c>
      <c r="BF181" s="157">
        <f>IF(AY181&lt;$B$89*DATA!$H$1037,DATA!$H$1037,IF(AY181&gt;DATA!$H$1036*$B$89,DATA!$H$1036,1))</f>
        <v>1.2</v>
      </c>
      <c r="BG181" s="156">
        <f t="shared" si="40"/>
        <v>9.9999999999999995E-8</v>
      </c>
      <c r="BI181" s="140">
        <f t="shared" si="41"/>
        <v>1.0600000000000002E-5</v>
      </c>
      <c r="BJ181">
        <v>1.06</v>
      </c>
      <c r="BK181" s="140">
        <f t="shared" si="42"/>
        <v>1.0599999999999998E-7</v>
      </c>
      <c r="BL181" s="140">
        <f t="shared" si="43"/>
        <v>2.1199999999999999E-7</v>
      </c>
      <c r="BM181" s="140">
        <f t="shared" si="44"/>
        <v>3.1800000000000007E-7</v>
      </c>
      <c r="BN181" s="140">
        <f t="shared" si="45"/>
        <v>4.2400000000000009E-7</v>
      </c>
      <c r="BO181" s="140">
        <f t="shared" si="46"/>
        <v>5.3000000000000011E-7</v>
      </c>
      <c r="BP181" s="157">
        <f>IF(BI181&lt;$B$105*DATA!$H$1037,DATA!$H$1037,IF(BI181&gt;DATA!$H$1036*$B$105,DATA!$H$1036,1))</f>
        <v>1.2</v>
      </c>
      <c r="BQ181" s="156">
        <f t="shared" si="47"/>
        <v>9.9999999999999995E-8</v>
      </c>
    </row>
    <row r="182" spans="1:69">
      <c r="A182" s="140">
        <f t="shared" si="7"/>
        <v>1.0800000000000002E-5</v>
      </c>
      <c r="B182">
        <v>1.08</v>
      </c>
      <c r="C182" s="140">
        <f t="shared" si="49"/>
        <v>1.0799999999999997E-7</v>
      </c>
      <c r="D182" s="140">
        <f t="shared" si="49"/>
        <v>2.16E-7</v>
      </c>
      <c r="E182" s="140">
        <f t="shared" si="49"/>
        <v>3.2400000000000004E-7</v>
      </c>
      <c r="F182" s="140">
        <f t="shared" si="49"/>
        <v>4.3200000000000006E-7</v>
      </c>
      <c r="G182" s="140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53"/>
        <v>9.9999999999999995E-8</v>
      </c>
      <c r="K182" s="140">
        <f t="shared" si="9"/>
        <v>1.0800000000000002E-5</v>
      </c>
      <c r="L182">
        <v>1.08</v>
      </c>
      <c r="M182" s="140">
        <f t="shared" si="10"/>
        <v>1.0799999999999997E-7</v>
      </c>
      <c r="N182" s="140">
        <f t="shared" si="11"/>
        <v>2.16E-7</v>
      </c>
      <c r="O182" s="140">
        <f t="shared" si="12"/>
        <v>3.2400000000000004E-7</v>
      </c>
      <c r="P182" s="140">
        <f t="shared" si="13"/>
        <v>4.3200000000000006E-7</v>
      </c>
      <c r="Q182" s="140">
        <f t="shared" si="14"/>
        <v>5.4000000000000012E-7</v>
      </c>
      <c r="R182" s="157">
        <f>IF(K182&lt;$B$25*DATA!$H$1037,DATA!$H$1037,IF(K182&gt;DATA!$H$1036*$B$25,DATA!$H$1036,1))</f>
        <v>0.8</v>
      </c>
      <c r="S182" s="156">
        <f t="shared" si="50"/>
        <v>9.9999999999999995E-8</v>
      </c>
      <c r="U182" s="140">
        <f t="shared" si="15"/>
        <v>1.0800000000000002E-5</v>
      </c>
      <c r="V182">
        <v>1.08</v>
      </c>
      <c r="W182" s="140">
        <f t="shared" si="16"/>
        <v>1.0799999999999997E-7</v>
      </c>
      <c r="X182" s="140">
        <f t="shared" si="17"/>
        <v>2.16E-7</v>
      </c>
      <c r="Y182" s="140">
        <f t="shared" si="18"/>
        <v>3.2400000000000004E-7</v>
      </c>
      <c r="Z182" s="140">
        <f t="shared" si="19"/>
        <v>4.3200000000000006E-7</v>
      </c>
      <c r="AA182" s="140">
        <f t="shared" si="20"/>
        <v>5.4000000000000012E-7</v>
      </c>
      <c r="AB182" s="157">
        <f>IF(U182&lt;$B$41*DATA!$H$1037,DATA!$H$1037,IF(U182&gt;DATA!$H$1036*$B$41,DATA!$H$1036,1))</f>
        <v>0.8</v>
      </c>
      <c r="AC182" s="156">
        <f t="shared" si="51"/>
        <v>9.9999999999999995E-8</v>
      </c>
      <c r="AE182" s="140">
        <f t="shared" si="21"/>
        <v>1.0800000000000002E-5</v>
      </c>
      <c r="AF182">
        <v>1.08</v>
      </c>
      <c r="AG182" s="140">
        <f t="shared" si="22"/>
        <v>1.0799999999999997E-7</v>
      </c>
      <c r="AH182" s="140">
        <f t="shared" si="23"/>
        <v>2.16E-7</v>
      </c>
      <c r="AI182" s="140">
        <f t="shared" si="24"/>
        <v>3.2400000000000004E-7</v>
      </c>
      <c r="AJ182" s="140">
        <f t="shared" si="25"/>
        <v>4.3200000000000006E-7</v>
      </c>
      <c r="AK182" s="140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52"/>
        <v>9.9999999999999995E-8</v>
      </c>
      <c r="AO182" s="140">
        <f t="shared" si="27"/>
        <v>1.0800000000000002E-5</v>
      </c>
      <c r="AP182">
        <v>1.08</v>
      </c>
      <c r="AQ182" s="140">
        <f t="shared" si="28"/>
        <v>1.0799999999999997E-7</v>
      </c>
      <c r="AR182" s="140">
        <f t="shared" si="29"/>
        <v>2.16E-7</v>
      </c>
      <c r="AS182" s="140">
        <f t="shared" si="30"/>
        <v>3.2400000000000004E-7</v>
      </c>
      <c r="AT182" s="140">
        <f t="shared" si="31"/>
        <v>4.3200000000000006E-7</v>
      </c>
      <c r="AU182" s="140">
        <f t="shared" si="32"/>
        <v>5.4000000000000012E-7</v>
      </c>
      <c r="AV182" s="157">
        <f>IF(AO182&lt;$B$73*DATA!$H$1037,DATA!$H$1037,IF(AO182&gt;DATA!$H$1036*$B$73,DATA!$H$1036,1))</f>
        <v>1.2</v>
      </c>
      <c r="AW182" s="156">
        <f t="shared" si="33"/>
        <v>9.9999999999999995E-8</v>
      </c>
      <c r="AY182" s="140">
        <f t="shared" si="34"/>
        <v>1.0800000000000002E-5</v>
      </c>
      <c r="AZ182">
        <v>1.08</v>
      </c>
      <c r="BA182" s="140">
        <f t="shared" si="35"/>
        <v>1.0799999999999997E-7</v>
      </c>
      <c r="BB182" s="140">
        <f t="shared" si="36"/>
        <v>2.16E-7</v>
      </c>
      <c r="BC182" s="140">
        <f t="shared" si="37"/>
        <v>3.2400000000000004E-7</v>
      </c>
      <c r="BD182" s="140">
        <f t="shared" si="38"/>
        <v>4.3200000000000006E-7</v>
      </c>
      <c r="BE182" s="140">
        <f t="shared" si="39"/>
        <v>5.4000000000000012E-7</v>
      </c>
      <c r="BF182" s="157">
        <f>IF(AY182&lt;$B$89*DATA!$H$1037,DATA!$H$1037,IF(AY182&gt;DATA!$H$1036*$B$89,DATA!$H$1036,1))</f>
        <v>1.2</v>
      </c>
      <c r="BG182" s="156">
        <f t="shared" si="40"/>
        <v>9.9999999999999995E-8</v>
      </c>
      <c r="BI182" s="140">
        <f t="shared" si="41"/>
        <v>1.0800000000000002E-5</v>
      </c>
      <c r="BJ182">
        <v>1.08</v>
      </c>
      <c r="BK182" s="140">
        <f t="shared" si="42"/>
        <v>1.0799999999999997E-7</v>
      </c>
      <c r="BL182" s="140">
        <f t="shared" si="43"/>
        <v>2.16E-7</v>
      </c>
      <c r="BM182" s="140">
        <f t="shared" si="44"/>
        <v>3.2400000000000004E-7</v>
      </c>
      <c r="BN182" s="140">
        <f t="shared" si="45"/>
        <v>4.3200000000000006E-7</v>
      </c>
      <c r="BO182" s="140">
        <f t="shared" si="46"/>
        <v>5.4000000000000012E-7</v>
      </c>
      <c r="BP182" s="157">
        <f>IF(BI182&lt;$B$105*DATA!$H$1037,DATA!$H$1037,IF(BI182&gt;DATA!$H$1036*$B$105,DATA!$H$1036,1))</f>
        <v>1.2</v>
      </c>
      <c r="BQ182" s="156">
        <f t="shared" si="47"/>
        <v>9.9999999999999995E-8</v>
      </c>
    </row>
    <row r="183" spans="1:69">
      <c r="A183" s="140">
        <f t="shared" si="7"/>
        <v>1.1000000000000001E-5</v>
      </c>
      <c r="B183">
        <v>1.1000000000000001</v>
      </c>
      <c r="C183" s="140">
        <f t="shared" si="49"/>
        <v>1.0999999999999998E-7</v>
      </c>
      <c r="D183" s="140">
        <f t="shared" si="49"/>
        <v>2.1999999999999998E-7</v>
      </c>
      <c r="E183" s="140">
        <f t="shared" si="49"/>
        <v>3.3000000000000002E-7</v>
      </c>
      <c r="F183" s="140">
        <f t="shared" si="49"/>
        <v>4.4000000000000008E-7</v>
      </c>
      <c r="G183" s="140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53"/>
        <v>9.9999999999999995E-8</v>
      </c>
      <c r="K183" s="140">
        <f t="shared" si="9"/>
        <v>1.1000000000000001E-5</v>
      </c>
      <c r="L183">
        <v>1.1000000000000001</v>
      </c>
      <c r="M183" s="140">
        <f t="shared" si="10"/>
        <v>1.0999999999999998E-7</v>
      </c>
      <c r="N183" s="140">
        <f t="shared" si="11"/>
        <v>2.1999999999999998E-7</v>
      </c>
      <c r="O183" s="140">
        <f t="shared" si="12"/>
        <v>3.3000000000000002E-7</v>
      </c>
      <c r="P183" s="140">
        <f t="shared" si="13"/>
        <v>4.4000000000000008E-7</v>
      </c>
      <c r="Q183" s="140">
        <f t="shared" si="14"/>
        <v>5.5000000000000013E-7</v>
      </c>
      <c r="R183" s="157">
        <f>IF(K183&lt;$B$25*DATA!$H$1037,DATA!$H$1037,IF(K183&gt;DATA!$H$1036*$B$25,DATA!$H$1036,1))</f>
        <v>0.8</v>
      </c>
      <c r="S183" s="156">
        <f t="shared" si="50"/>
        <v>9.9999999999999995E-8</v>
      </c>
      <c r="U183" s="140">
        <f t="shared" si="15"/>
        <v>1.1000000000000001E-5</v>
      </c>
      <c r="V183">
        <v>1.1000000000000001</v>
      </c>
      <c r="W183" s="140">
        <f t="shared" si="16"/>
        <v>1.0999999999999998E-7</v>
      </c>
      <c r="X183" s="140">
        <f t="shared" si="17"/>
        <v>2.1999999999999998E-7</v>
      </c>
      <c r="Y183" s="140">
        <f t="shared" si="18"/>
        <v>3.3000000000000002E-7</v>
      </c>
      <c r="Z183" s="140">
        <f t="shared" si="19"/>
        <v>4.4000000000000008E-7</v>
      </c>
      <c r="AA183" s="140">
        <f t="shared" si="20"/>
        <v>5.5000000000000013E-7</v>
      </c>
      <c r="AB183" s="157">
        <f>IF(U183&lt;$B$41*DATA!$H$1037,DATA!$H$1037,IF(U183&gt;DATA!$H$1036*$B$41,DATA!$H$1036,1))</f>
        <v>0.8</v>
      </c>
      <c r="AC183" s="156">
        <f t="shared" si="51"/>
        <v>9.9999999999999995E-8</v>
      </c>
      <c r="AE183" s="140">
        <f t="shared" si="21"/>
        <v>1.1000000000000001E-5</v>
      </c>
      <c r="AF183">
        <v>1.1000000000000001</v>
      </c>
      <c r="AG183" s="140">
        <f t="shared" si="22"/>
        <v>1.0999999999999998E-7</v>
      </c>
      <c r="AH183" s="140">
        <f t="shared" si="23"/>
        <v>2.1999999999999998E-7</v>
      </c>
      <c r="AI183" s="140">
        <f t="shared" si="24"/>
        <v>3.3000000000000002E-7</v>
      </c>
      <c r="AJ183" s="140">
        <f t="shared" si="25"/>
        <v>4.4000000000000008E-7</v>
      </c>
      <c r="AK183" s="140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52"/>
        <v>9.9999999999999995E-8</v>
      </c>
      <c r="AO183" s="140">
        <f t="shared" si="27"/>
        <v>1.1000000000000001E-5</v>
      </c>
      <c r="AP183">
        <v>1.1000000000000001</v>
      </c>
      <c r="AQ183" s="140">
        <f t="shared" si="28"/>
        <v>1.0999999999999998E-7</v>
      </c>
      <c r="AR183" s="140">
        <f t="shared" si="29"/>
        <v>2.1999999999999998E-7</v>
      </c>
      <c r="AS183" s="140">
        <f t="shared" si="30"/>
        <v>3.3000000000000002E-7</v>
      </c>
      <c r="AT183" s="140">
        <f t="shared" si="31"/>
        <v>4.4000000000000008E-7</v>
      </c>
      <c r="AU183" s="140">
        <f t="shared" si="32"/>
        <v>5.5000000000000013E-7</v>
      </c>
      <c r="AV183" s="157">
        <f>IF(AO183&lt;$B$73*DATA!$H$1037,DATA!$H$1037,IF(AO183&gt;DATA!$H$1036*$B$73,DATA!$H$1036,1))</f>
        <v>1.2</v>
      </c>
      <c r="AW183" s="156">
        <f t="shared" si="33"/>
        <v>9.9999999999999995E-8</v>
      </c>
      <c r="AY183" s="140">
        <f t="shared" si="34"/>
        <v>1.1000000000000001E-5</v>
      </c>
      <c r="AZ183">
        <v>1.1000000000000001</v>
      </c>
      <c r="BA183" s="140">
        <f t="shared" si="35"/>
        <v>1.0999999999999998E-7</v>
      </c>
      <c r="BB183" s="140">
        <f t="shared" si="36"/>
        <v>2.1999999999999998E-7</v>
      </c>
      <c r="BC183" s="140">
        <f t="shared" si="37"/>
        <v>3.3000000000000002E-7</v>
      </c>
      <c r="BD183" s="140">
        <f t="shared" si="38"/>
        <v>4.4000000000000008E-7</v>
      </c>
      <c r="BE183" s="140">
        <f t="shared" si="39"/>
        <v>5.5000000000000013E-7</v>
      </c>
      <c r="BF183" s="157">
        <f>IF(AY183&lt;$B$89*DATA!$H$1037,DATA!$H$1037,IF(AY183&gt;DATA!$H$1036*$B$89,DATA!$H$1036,1))</f>
        <v>1.2</v>
      </c>
      <c r="BG183" s="156">
        <f t="shared" si="40"/>
        <v>9.9999999999999995E-8</v>
      </c>
      <c r="BI183" s="140">
        <f t="shared" si="41"/>
        <v>1.1000000000000001E-5</v>
      </c>
      <c r="BJ183">
        <v>1.1000000000000001</v>
      </c>
      <c r="BK183" s="140">
        <f t="shared" si="42"/>
        <v>1.0999999999999998E-7</v>
      </c>
      <c r="BL183" s="140">
        <f t="shared" si="43"/>
        <v>2.1999999999999998E-7</v>
      </c>
      <c r="BM183" s="140">
        <f t="shared" si="44"/>
        <v>3.3000000000000002E-7</v>
      </c>
      <c r="BN183" s="140">
        <f t="shared" si="45"/>
        <v>4.4000000000000008E-7</v>
      </c>
      <c r="BO183" s="140">
        <f t="shared" si="46"/>
        <v>5.5000000000000013E-7</v>
      </c>
      <c r="BP183" s="157">
        <f>IF(BI183&lt;$B$105*DATA!$H$1037,DATA!$H$1037,IF(BI183&gt;DATA!$H$1036*$B$105,DATA!$H$1036,1))</f>
        <v>1.2</v>
      </c>
      <c r="BQ183" s="156">
        <f t="shared" si="47"/>
        <v>9.9999999999999995E-8</v>
      </c>
    </row>
    <row r="184" spans="1:69">
      <c r="A184" s="140">
        <f t="shared" si="7"/>
        <v>1.1200000000000001E-5</v>
      </c>
      <c r="B184">
        <v>1.1200000000000001</v>
      </c>
      <c r="C184" s="140">
        <f t="shared" si="49"/>
        <v>1.1199999999999997E-7</v>
      </c>
      <c r="D184" s="140">
        <f t="shared" si="49"/>
        <v>2.2399999999999999E-7</v>
      </c>
      <c r="E184" s="140">
        <f t="shared" si="49"/>
        <v>3.3600000000000004E-7</v>
      </c>
      <c r="F184" s="140">
        <f t="shared" si="49"/>
        <v>4.4800000000000004E-7</v>
      </c>
      <c r="G184" s="140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53"/>
        <v>9.9999999999999995E-8</v>
      </c>
      <c r="K184" s="140">
        <f t="shared" si="9"/>
        <v>1.1200000000000001E-5</v>
      </c>
      <c r="L184">
        <v>1.1200000000000001</v>
      </c>
      <c r="M184" s="140">
        <f t="shared" si="10"/>
        <v>1.1199999999999997E-7</v>
      </c>
      <c r="N184" s="140">
        <f t="shared" si="11"/>
        <v>2.2399999999999999E-7</v>
      </c>
      <c r="O184" s="140">
        <f t="shared" si="12"/>
        <v>3.3600000000000004E-7</v>
      </c>
      <c r="P184" s="140">
        <f t="shared" si="13"/>
        <v>4.4800000000000004E-7</v>
      </c>
      <c r="Q184" s="140">
        <f t="shared" si="14"/>
        <v>5.6000000000000004E-7</v>
      </c>
      <c r="R184" s="157">
        <f>IF(K184&lt;$B$25*DATA!$H$1037,DATA!$H$1037,IF(K184&gt;DATA!$H$1036*$B$25,DATA!$H$1036,1))</f>
        <v>0.8</v>
      </c>
      <c r="S184" s="156">
        <f t="shared" si="50"/>
        <v>9.9999999999999995E-8</v>
      </c>
      <c r="U184" s="140">
        <f t="shared" si="15"/>
        <v>1.1200000000000001E-5</v>
      </c>
      <c r="V184">
        <v>1.1200000000000001</v>
      </c>
      <c r="W184" s="140">
        <f t="shared" si="16"/>
        <v>1.1199999999999997E-7</v>
      </c>
      <c r="X184" s="140">
        <f t="shared" si="17"/>
        <v>2.2399999999999999E-7</v>
      </c>
      <c r="Y184" s="140">
        <f t="shared" si="18"/>
        <v>3.3600000000000004E-7</v>
      </c>
      <c r="Z184" s="140">
        <f t="shared" si="19"/>
        <v>4.4800000000000004E-7</v>
      </c>
      <c r="AA184" s="140">
        <f t="shared" si="20"/>
        <v>5.6000000000000004E-7</v>
      </c>
      <c r="AB184" s="157">
        <f>IF(U184&lt;$B$41*DATA!$H$1037,DATA!$H$1037,IF(U184&gt;DATA!$H$1036*$B$41,DATA!$H$1036,1))</f>
        <v>0.8</v>
      </c>
      <c r="AC184" s="156">
        <f t="shared" si="51"/>
        <v>9.9999999999999995E-8</v>
      </c>
      <c r="AE184" s="140">
        <f t="shared" si="21"/>
        <v>1.1200000000000001E-5</v>
      </c>
      <c r="AF184">
        <v>1.1200000000000001</v>
      </c>
      <c r="AG184" s="140">
        <f t="shared" si="22"/>
        <v>1.1199999999999997E-7</v>
      </c>
      <c r="AH184" s="140">
        <f t="shared" si="23"/>
        <v>2.2399999999999999E-7</v>
      </c>
      <c r="AI184" s="140">
        <f t="shared" si="24"/>
        <v>3.3600000000000004E-7</v>
      </c>
      <c r="AJ184" s="140">
        <f t="shared" si="25"/>
        <v>4.4800000000000004E-7</v>
      </c>
      <c r="AK184" s="140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52"/>
        <v>9.9999999999999995E-8</v>
      </c>
      <c r="AO184" s="140">
        <f t="shared" si="27"/>
        <v>1.1200000000000001E-5</v>
      </c>
      <c r="AP184">
        <v>1.1200000000000001</v>
      </c>
      <c r="AQ184" s="140">
        <f t="shared" si="28"/>
        <v>1.1199999999999997E-7</v>
      </c>
      <c r="AR184" s="140">
        <f t="shared" si="29"/>
        <v>2.2399999999999999E-7</v>
      </c>
      <c r="AS184" s="140">
        <f t="shared" si="30"/>
        <v>3.3600000000000004E-7</v>
      </c>
      <c r="AT184" s="140">
        <f t="shared" si="31"/>
        <v>4.4800000000000004E-7</v>
      </c>
      <c r="AU184" s="140">
        <f t="shared" si="32"/>
        <v>5.6000000000000004E-7</v>
      </c>
      <c r="AV184" s="157">
        <f>IF(AO184&lt;$B$73*DATA!$H$1037,DATA!$H$1037,IF(AO184&gt;DATA!$H$1036*$B$73,DATA!$H$1036,1))</f>
        <v>1.2</v>
      </c>
      <c r="AW184" s="156">
        <f t="shared" si="33"/>
        <v>9.9999999999999995E-8</v>
      </c>
      <c r="AY184" s="140">
        <f t="shared" si="34"/>
        <v>1.1200000000000001E-5</v>
      </c>
      <c r="AZ184">
        <v>1.1200000000000001</v>
      </c>
      <c r="BA184" s="140">
        <f t="shared" si="35"/>
        <v>1.1199999999999997E-7</v>
      </c>
      <c r="BB184" s="140">
        <f t="shared" si="36"/>
        <v>2.2399999999999999E-7</v>
      </c>
      <c r="BC184" s="140">
        <f t="shared" si="37"/>
        <v>3.3600000000000004E-7</v>
      </c>
      <c r="BD184" s="140">
        <f t="shared" si="38"/>
        <v>4.4800000000000004E-7</v>
      </c>
      <c r="BE184" s="140">
        <f t="shared" si="39"/>
        <v>5.6000000000000004E-7</v>
      </c>
      <c r="BF184" s="157">
        <f>IF(AY184&lt;$B$89*DATA!$H$1037,DATA!$H$1037,IF(AY184&gt;DATA!$H$1036*$B$89,DATA!$H$1036,1))</f>
        <v>1.2</v>
      </c>
      <c r="BG184" s="156">
        <f t="shared" si="40"/>
        <v>9.9999999999999995E-8</v>
      </c>
      <c r="BI184" s="140">
        <f t="shared" si="41"/>
        <v>1.1200000000000001E-5</v>
      </c>
      <c r="BJ184">
        <v>1.1200000000000001</v>
      </c>
      <c r="BK184" s="140">
        <f t="shared" si="42"/>
        <v>1.1199999999999997E-7</v>
      </c>
      <c r="BL184" s="140">
        <f t="shared" si="43"/>
        <v>2.2399999999999999E-7</v>
      </c>
      <c r="BM184" s="140">
        <f t="shared" si="44"/>
        <v>3.3600000000000004E-7</v>
      </c>
      <c r="BN184" s="140">
        <f t="shared" si="45"/>
        <v>4.4800000000000004E-7</v>
      </c>
      <c r="BO184" s="140">
        <f t="shared" si="46"/>
        <v>5.6000000000000004E-7</v>
      </c>
      <c r="BP184" s="157">
        <f>IF(BI184&lt;$B$105*DATA!$H$1037,DATA!$H$1037,IF(BI184&gt;DATA!$H$1036*$B$105,DATA!$H$1036,1))</f>
        <v>1.2</v>
      </c>
      <c r="BQ184" s="156">
        <f t="shared" si="47"/>
        <v>9.9999999999999995E-8</v>
      </c>
    </row>
    <row r="185" spans="1:69">
      <c r="A185" s="140">
        <f t="shared" si="7"/>
        <v>1.1399999999999999E-5</v>
      </c>
      <c r="B185">
        <v>1.1399999999999999</v>
      </c>
      <c r="C185" s="140">
        <f t="shared" si="49"/>
        <v>1.1399999999999996E-7</v>
      </c>
      <c r="D185" s="140">
        <f t="shared" si="49"/>
        <v>2.2799999999999995E-7</v>
      </c>
      <c r="E185" s="140">
        <f t="shared" si="49"/>
        <v>3.4199999999999997E-7</v>
      </c>
      <c r="F185" s="140">
        <f t="shared" si="49"/>
        <v>4.5599999999999995E-7</v>
      </c>
      <c r="G185" s="140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53"/>
        <v>9.9999999999999995E-8</v>
      </c>
      <c r="K185" s="140">
        <f t="shared" si="9"/>
        <v>1.1399999999999999E-5</v>
      </c>
      <c r="L185">
        <v>1.1399999999999999</v>
      </c>
      <c r="M185" s="140">
        <f t="shared" si="10"/>
        <v>1.1399999999999996E-7</v>
      </c>
      <c r="N185" s="140">
        <f t="shared" si="11"/>
        <v>2.2799999999999995E-7</v>
      </c>
      <c r="O185" s="140">
        <f t="shared" si="12"/>
        <v>3.4199999999999997E-7</v>
      </c>
      <c r="P185" s="140">
        <f t="shared" si="13"/>
        <v>4.5599999999999995E-7</v>
      </c>
      <c r="Q185" s="140">
        <f t="shared" si="14"/>
        <v>5.6999999999999994E-7</v>
      </c>
      <c r="R185" s="157">
        <f>IF(K185&lt;$B$25*DATA!$H$1037,DATA!$H$1037,IF(K185&gt;DATA!$H$1036*$B$25,DATA!$H$1036,1))</f>
        <v>0.8</v>
      </c>
      <c r="S185" s="156">
        <f t="shared" si="50"/>
        <v>9.9999999999999995E-8</v>
      </c>
      <c r="U185" s="140">
        <f t="shared" si="15"/>
        <v>1.1399999999999999E-5</v>
      </c>
      <c r="V185">
        <v>1.1399999999999999</v>
      </c>
      <c r="W185" s="140">
        <f t="shared" si="16"/>
        <v>1.1399999999999996E-7</v>
      </c>
      <c r="X185" s="140">
        <f t="shared" si="17"/>
        <v>2.2799999999999995E-7</v>
      </c>
      <c r="Y185" s="140">
        <f t="shared" si="18"/>
        <v>3.4199999999999997E-7</v>
      </c>
      <c r="Z185" s="140">
        <f t="shared" si="19"/>
        <v>4.5599999999999995E-7</v>
      </c>
      <c r="AA185" s="140">
        <f t="shared" si="20"/>
        <v>5.6999999999999994E-7</v>
      </c>
      <c r="AB185" s="157">
        <f>IF(U185&lt;$B$41*DATA!$H$1037,DATA!$H$1037,IF(U185&gt;DATA!$H$1036*$B$41,DATA!$H$1036,1))</f>
        <v>0.8</v>
      </c>
      <c r="AC185" s="156">
        <f t="shared" si="51"/>
        <v>9.9999999999999995E-8</v>
      </c>
      <c r="AE185" s="140">
        <f t="shared" si="21"/>
        <v>1.1399999999999999E-5</v>
      </c>
      <c r="AF185">
        <v>1.1399999999999999</v>
      </c>
      <c r="AG185" s="140">
        <f t="shared" si="22"/>
        <v>1.1399999999999996E-7</v>
      </c>
      <c r="AH185" s="140">
        <f t="shared" si="23"/>
        <v>2.2799999999999995E-7</v>
      </c>
      <c r="AI185" s="140">
        <f t="shared" si="24"/>
        <v>3.4199999999999997E-7</v>
      </c>
      <c r="AJ185" s="140">
        <f t="shared" si="25"/>
        <v>4.5599999999999995E-7</v>
      </c>
      <c r="AK185" s="140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52"/>
        <v>9.9999999999999995E-8</v>
      </c>
      <c r="AO185" s="140">
        <f t="shared" si="27"/>
        <v>1.1399999999999999E-5</v>
      </c>
      <c r="AP185">
        <v>1.1399999999999999</v>
      </c>
      <c r="AQ185" s="140">
        <f t="shared" si="28"/>
        <v>1.1399999999999996E-7</v>
      </c>
      <c r="AR185" s="140">
        <f t="shared" si="29"/>
        <v>2.2799999999999995E-7</v>
      </c>
      <c r="AS185" s="140">
        <f t="shared" si="30"/>
        <v>3.4199999999999997E-7</v>
      </c>
      <c r="AT185" s="140">
        <f t="shared" si="31"/>
        <v>4.5599999999999995E-7</v>
      </c>
      <c r="AU185" s="140">
        <f t="shared" si="32"/>
        <v>5.6999999999999994E-7</v>
      </c>
      <c r="AV185" s="157">
        <f>IF(AO185&lt;$B$73*DATA!$H$1037,DATA!$H$1037,IF(AO185&gt;DATA!$H$1036*$B$73,DATA!$H$1036,1))</f>
        <v>1.2</v>
      </c>
      <c r="AW185" s="156">
        <f t="shared" si="33"/>
        <v>9.9999999999999995E-8</v>
      </c>
      <c r="AY185" s="140">
        <f t="shared" si="34"/>
        <v>1.1399999999999999E-5</v>
      </c>
      <c r="AZ185">
        <v>1.1399999999999999</v>
      </c>
      <c r="BA185" s="140">
        <f t="shared" si="35"/>
        <v>1.1399999999999996E-7</v>
      </c>
      <c r="BB185" s="140">
        <f t="shared" si="36"/>
        <v>2.2799999999999995E-7</v>
      </c>
      <c r="BC185" s="140">
        <f t="shared" si="37"/>
        <v>3.4199999999999997E-7</v>
      </c>
      <c r="BD185" s="140">
        <f t="shared" si="38"/>
        <v>4.5599999999999995E-7</v>
      </c>
      <c r="BE185" s="140">
        <f t="shared" si="39"/>
        <v>5.6999999999999994E-7</v>
      </c>
      <c r="BF185" s="157">
        <f>IF(AY185&lt;$B$89*DATA!$H$1037,DATA!$H$1037,IF(AY185&gt;DATA!$H$1036*$B$89,DATA!$H$1036,1))</f>
        <v>1.2</v>
      </c>
      <c r="BG185" s="156">
        <f t="shared" si="40"/>
        <v>9.9999999999999995E-8</v>
      </c>
      <c r="BI185" s="140">
        <f t="shared" si="41"/>
        <v>1.1399999999999999E-5</v>
      </c>
      <c r="BJ185">
        <v>1.1399999999999999</v>
      </c>
      <c r="BK185" s="140">
        <f t="shared" si="42"/>
        <v>1.1399999999999996E-7</v>
      </c>
      <c r="BL185" s="140">
        <f t="shared" si="43"/>
        <v>2.2799999999999995E-7</v>
      </c>
      <c r="BM185" s="140">
        <f t="shared" si="44"/>
        <v>3.4199999999999997E-7</v>
      </c>
      <c r="BN185" s="140">
        <f t="shared" si="45"/>
        <v>4.5599999999999995E-7</v>
      </c>
      <c r="BO185" s="140">
        <f t="shared" si="46"/>
        <v>5.6999999999999994E-7</v>
      </c>
      <c r="BP185" s="157">
        <f>IF(BI185&lt;$B$105*DATA!$H$1037,DATA!$H$1037,IF(BI185&gt;DATA!$H$1036*$B$105,DATA!$H$1036,1))</f>
        <v>1.2</v>
      </c>
      <c r="BQ185" s="156">
        <f t="shared" si="47"/>
        <v>9.9999999999999995E-8</v>
      </c>
    </row>
    <row r="186" spans="1:69">
      <c r="A186" s="140">
        <f t="shared" si="7"/>
        <v>1.1600000000000001E-5</v>
      </c>
      <c r="B186">
        <v>1.1599999999999999</v>
      </c>
      <c r="C186" s="140">
        <f t="shared" si="49"/>
        <v>1.1599999999999997E-7</v>
      </c>
      <c r="D186" s="140">
        <f t="shared" si="49"/>
        <v>2.3199999999999999E-7</v>
      </c>
      <c r="E186" s="140">
        <f t="shared" si="49"/>
        <v>3.4799999999999999E-7</v>
      </c>
      <c r="F186" s="140">
        <f t="shared" si="49"/>
        <v>4.6400000000000003E-7</v>
      </c>
      <c r="G186" s="140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53"/>
        <v>9.9999999999999995E-8</v>
      </c>
      <c r="K186" s="140">
        <f t="shared" si="9"/>
        <v>1.1600000000000001E-5</v>
      </c>
      <c r="L186">
        <v>1.1599999999999999</v>
      </c>
      <c r="M186" s="140">
        <f t="shared" si="10"/>
        <v>1.1599999999999997E-7</v>
      </c>
      <c r="N186" s="140">
        <f t="shared" si="11"/>
        <v>2.3199999999999999E-7</v>
      </c>
      <c r="O186" s="140">
        <f t="shared" si="12"/>
        <v>3.4799999999999999E-7</v>
      </c>
      <c r="P186" s="140">
        <f t="shared" si="13"/>
        <v>4.6400000000000003E-7</v>
      </c>
      <c r="Q186" s="140">
        <f t="shared" si="14"/>
        <v>5.8000000000000006E-7</v>
      </c>
      <c r="R186" s="157">
        <f>IF(K186&lt;$B$25*DATA!$H$1037,DATA!$H$1037,IF(K186&gt;DATA!$H$1036*$B$25,DATA!$H$1036,1))</f>
        <v>0.8</v>
      </c>
      <c r="S186" s="156">
        <f t="shared" si="50"/>
        <v>9.9999999999999995E-8</v>
      </c>
      <c r="U186" s="140">
        <f t="shared" si="15"/>
        <v>1.1600000000000001E-5</v>
      </c>
      <c r="V186">
        <v>1.1599999999999999</v>
      </c>
      <c r="W186" s="140">
        <f t="shared" si="16"/>
        <v>1.1599999999999997E-7</v>
      </c>
      <c r="X186" s="140">
        <f t="shared" si="17"/>
        <v>2.3199999999999999E-7</v>
      </c>
      <c r="Y186" s="140">
        <f t="shared" si="18"/>
        <v>3.4799999999999999E-7</v>
      </c>
      <c r="Z186" s="140">
        <f t="shared" si="19"/>
        <v>4.6400000000000003E-7</v>
      </c>
      <c r="AA186" s="140">
        <f t="shared" si="20"/>
        <v>5.8000000000000006E-7</v>
      </c>
      <c r="AB186" s="157">
        <f>IF(U186&lt;$B$41*DATA!$H$1037,DATA!$H$1037,IF(U186&gt;DATA!$H$1036*$B$41,DATA!$H$1036,1))</f>
        <v>0.8</v>
      </c>
      <c r="AC186" s="156">
        <f t="shared" si="51"/>
        <v>9.9999999999999995E-8</v>
      </c>
      <c r="AE186" s="140">
        <f t="shared" si="21"/>
        <v>1.1600000000000001E-5</v>
      </c>
      <c r="AF186">
        <v>1.1599999999999999</v>
      </c>
      <c r="AG186" s="140">
        <f t="shared" si="22"/>
        <v>1.1599999999999997E-7</v>
      </c>
      <c r="AH186" s="140">
        <f t="shared" si="23"/>
        <v>2.3199999999999999E-7</v>
      </c>
      <c r="AI186" s="140">
        <f t="shared" si="24"/>
        <v>3.4799999999999999E-7</v>
      </c>
      <c r="AJ186" s="140">
        <f t="shared" si="25"/>
        <v>4.6400000000000003E-7</v>
      </c>
      <c r="AK186" s="140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52"/>
        <v>9.9999999999999995E-8</v>
      </c>
      <c r="AO186" s="140">
        <f t="shared" si="27"/>
        <v>1.1600000000000001E-5</v>
      </c>
      <c r="AP186">
        <v>1.1599999999999999</v>
      </c>
      <c r="AQ186" s="140">
        <f t="shared" si="28"/>
        <v>1.1599999999999997E-7</v>
      </c>
      <c r="AR186" s="140">
        <f t="shared" si="29"/>
        <v>2.3199999999999999E-7</v>
      </c>
      <c r="AS186" s="140">
        <f t="shared" si="30"/>
        <v>3.4799999999999999E-7</v>
      </c>
      <c r="AT186" s="140">
        <f t="shared" si="31"/>
        <v>4.6400000000000003E-7</v>
      </c>
      <c r="AU186" s="140">
        <f t="shared" si="32"/>
        <v>5.8000000000000006E-7</v>
      </c>
      <c r="AV186" s="157">
        <f>IF(AO186&lt;$B$73*DATA!$H$1037,DATA!$H$1037,IF(AO186&gt;DATA!$H$1036*$B$73,DATA!$H$1036,1))</f>
        <v>1.2</v>
      </c>
      <c r="AW186" s="156">
        <f t="shared" si="33"/>
        <v>9.9999999999999995E-8</v>
      </c>
      <c r="AY186" s="140">
        <f t="shared" si="34"/>
        <v>1.1600000000000001E-5</v>
      </c>
      <c r="AZ186">
        <v>1.1599999999999999</v>
      </c>
      <c r="BA186" s="140">
        <f t="shared" si="35"/>
        <v>1.1599999999999997E-7</v>
      </c>
      <c r="BB186" s="140">
        <f t="shared" si="36"/>
        <v>2.3199999999999999E-7</v>
      </c>
      <c r="BC186" s="140">
        <f t="shared" si="37"/>
        <v>3.4799999999999999E-7</v>
      </c>
      <c r="BD186" s="140">
        <f t="shared" si="38"/>
        <v>4.6400000000000003E-7</v>
      </c>
      <c r="BE186" s="140">
        <f t="shared" si="39"/>
        <v>5.8000000000000006E-7</v>
      </c>
      <c r="BF186" s="157">
        <f>IF(AY186&lt;$B$89*DATA!$H$1037,DATA!$H$1037,IF(AY186&gt;DATA!$H$1036*$B$89,DATA!$H$1036,1))</f>
        <v>1.2</v>
      </c>
      <c r="BG186" s="156">
        <f t="shared" si="40"/>
        <v>9.9999999999999995E-8</v>
      </c>
      <c r="BI186" s="140">
        <f t="shared" si="41"/>
        <v>1.1600000000000001E-5</v>
      </c>
      <c r="BJ186">
        <v>1.1599999999999999</v>
      </c>
      <c r="BK186" s="140">
        <f t="shared" si="42"/>
        <v>1.1599999999999997E-7</v>
      </c>
      <c r="BL186" s="140">
        <f t="shared" si="43"/>
        <v>2.3199999999999999E-7</v>
      </c>
      <c r="BM186" s="140">
        <f t="shared" si="44"/>
        <v>3.4799999999999999E-7</v>
      </c>
      <c r="BN186" s="140">
        <f t="shared" si="45"/>
        <v>4.6400000000000003E-7</v>
      </c>
      <c r="BO186" s="140">
        <f t="shared" si="46"/>
        <v>5.8000000000000006E-7</v>
      </c>
      <c r="BP186" s="157">
        <f>IF(BI186&lt;$B$105*DATA!$H$1037,DATA!$H$1037,IF(BI186&gt;DATA!$H$1036*$B$105,DATA!$H$1036,1))</f>
        <v>1.2</v>
      </c>
      <c r="BQ186" s="156">
        <f t="shared" si="47"/>
        <v>9.9999999999999995E-8</v>
      </c>
    </row>
    <row r="187" spans="1:69">
      <c r="A187" s="140">
        <f t="shared" si="7"/>
        <v>1.1800000000000001E-5</v>
      </c>
      <c r="B187">
        <v>1.18</v>
      </c>
      <c r="C187" s="140">
        <f t="shared" si="49"/>
        <v>1.1799999999999997E-7</v>
      </c>
      <c r="D187" s="140">
        <f t="shared" si="49"/>
        <v>2.3599999999999997E-7</v>
      </c>
      <c r="E187" s="140">
        <f t="shared" si="49"/>
        <v>3.5400000000000002E-7</v>
      </c>
      <c r="F187" s="140">
        <f t="shared" si="49"/>
        <v>4.7200000000000004E-7</v>
      </c>
      <c r="G187" s="140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53"/>
        <v>9.9999999999999995E-8</v>
      </c>
      <c r="K187" s="140">
        <f t="shared" si="9"/>
        <v>1.1800000000000001E-5</v>
      </c>
      <c r="L187">
        <v>1.18</v>
      </c>
      <c r="M187" s="140">
        <f t="shared" si="10"/>
        <v>1.1799999999999997E-7</v>
      </c>
      <c r="N187" s="140">
        <f t="shared" si="11"/>
        <v>2.3599999999999997E-7</v>
      </c>
      <c r="O187" s="140">
        <f t="shared" si="12"/>
        <v>3.5400000000000002E-7</v>
      </c>
      <c r="P187" s="140">
        <f t="shared" si="13"/>
        <v>4.7200000000000004E-7</v>
      </c>
      <c r="Q187" s="140">
        <f t="shared" si="14"/>
        <v>5.9000000000000007E-7</v>
      </c>
      <c r="R187" s="157">
        <f>IF(K187&lt;$B$25*DATA!$H$1037,DATA!$H$1037,IF(K187&gt;DATA!$H$1036*$B$25,DATA!$H$1036,1))</f>
        <v>0.8</v>
      </c>
      <c r="S187" s="156">
        <f t="shared" si="50"/>
        <v>9.9999999999999995E-8</v>
      </c>
      <c r="U187" s="140">
        <f t="shared" si="15"/>
        <v>1.1800000000000001E-5</v>
      </c>
      <c r="V187">
        <v>1.18</v>
      </c>
      <c r="W187" s="140">
        <f t="shared" si="16"/>
        <v>1.1799999999999997E-7</v>
      </c>
      <c r="X187" s="140">
        <f t="shared" si="17"/>
        <v>2.3599999999999997E-7</v>
      </c>
      <c r="Y187" s="140">
        <f t="shared" si="18"/>
        <v>3.5400000000000002E-7</v>
      </c>
      <c r="Z187" s="140">
        <f t="shared" si="19"/>
        <v>4.7200000000000004E-7</v>
      </c>
      <c r="AA187" s="140">
        <f t="shared" si="20"/>
        <v>5.9000000000000007E-7</v>
      </c>
      <c r="AB187" s="157">
        <f>IF(U187&lt;$B$41*DATA!$H$1037,DATA!$H$1037,IF(U187&gt;DATA!$H$1036*$B$41,DATA!$H$1036,1))</f>
        <v>0.8</v>
      </c>
      <c r="AC187" s="156">
        <f t="shared" si="51"/>
        <v>9.9999999999999995E-8</v>
      </c>
      <c r="AE187" s="140">
        <f t="shared" si="21"/>
        <v>1.1800000000000001E-5</v>
      </c>
      <c r="AF187">
        <v>1.18</v>
      </c>
      <c r="AG187" s="140">
        <f t="shared" si="22"/>
        <v>1.1799999999999997E-7</v>
      </c>
      <c r="AH187" s="140">
        <f t="shared" si="23"/>
        <v>2.3599999999999997E-7</v>
      </c>
      <c r="AI187" s="140">
        <f t="shared" si="24"/>
        <v>3.5400000000000002E-7</v>
      </c>
      <c r="AJ187" s="140">
        <f t="shared" si="25"/>
        <v>4.7200000000000004E-7</v>
      </c>
      <c r="AK187" s="140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52"/>
        <v>9.9999999999999995E-8</v>
      </c>
      <c r="AO187" s="140">
        <f t="shared" si="27"/>
        <v>1.1800000000000001E-5</v>
      </c>
      <c r="AP187">
        <v>1.18</v>
      </c>
      <c r="AQ187" s="140">
        <f t="shared" si="28"/>
        <v>1.1799999999999997E-7</v>
      </c>
      <c r="AR187" s="140">
        <f t="shared" si="29"/>
        <v>2.3599999999999997E-7</v>
      </c>
      <c r="AS187" s="140">
        <f t="shared" si="30"/>
        <v>3.5400000000000002E-7</v>
      </c>
      <c r="AT187" s="140">
        <f t="shared" si="31"/>
        <v>4.7200000000000004E-7</v>
      </c>
      <c r="AU187" s="140">
        <f t="shared" si="32"/>
        <v>5.9000000000000007E-7</v>
      </c>
      <c r="AV187" s="157">
        <f>IF(AO187&lt;$B$73*DATA!$H$1037,DATA!$H$1037,IF(AO187&gt;DATA!$H$1036*$B$73,DATA!$H$1036,1))</f>
        <v>1.2</v>
      </c>
      <c r="AW187" s="156">
        <f t="shared" si="33"/>
        <v>9.9999999999999995E-8</v>
      </c>
      <c r="AY187" s="140">
        <f t="shared" si="34"/>
        <v>1.1800000000000001E-5</v>
      </c>
      <c r="AZ187">
        <v>1.18</v>
      </c>
      <c r="BA187" s="140">
        <f t="shared" si="35"/>
        <v>1.1799999999999997E-7</v>
      </c>
      <c r="BB187" s="140">
        <f t="shared" si="36"/>
        <v>2.3599999999999997E-7</v>
      </c>
      <c r="BC187" s="140">
        <f t="shared" si="37"/>
        <v>3.5400000000000002E-7</v>
      </c>
      <c r="BD187" s="140">
        <f t="shared" si="38"/>
        <v>4.7200000000000004E-7</v>
      </c>
      <c r="BE187" s="140">
        <f t="shared" si="39"/>
        <v>5.9000000000000007E-7</v>
      </c>
      <c r="BF187" s="157">
        <f>IF(AY187&lt;$B$89*DATA!$H$1037,DATA!$H$1037,IF(AY187&gt;DATA!$H$1036*$B$89,DATA!$H$1036,1))</f>
        <v>1.2</v>
      </c>
      <c r="BG187" s="156">
        <f t="shared" si="40"/>
        <v>9.9999999999999995E-8</v>
      </c>
      <c r="BI187" s="140">
        <f t="shared" si="41"/>
        <v>1.1800000000000001E-5</v>
      </c>
      <c r="BJ187">
        <v>1.18</v>
      </c>
      <c r="BK187" s="140">
        <f t="shared" si="42"/>
        <v>1.1799999999999997E-7</v>
      </c>
      <c r="BL187" s="140">
        <f t="shared" si="43"/>
        <v>2.3599999999999997E-7</v>
      </c>
      <c r="BM187" s="140">
        <f t="shared" si="44"/>
        <v>3.5400000000000002E-7</v>
      </c>
      <c r="BN187" s="140">
        <f t="shared" si="45"/>
        <v>4.7200000000000004E-7</v>
      </c>
      <c r="BO187" s="140">
        <f t="shared" si="46"/>
        <v>5.9000000000000007E-7</v>
      </c>
      <c r="BP187" s="157">
        <f>IF(BI187&lt;$B$105*DATA!$H$1037,DATA!$H$1037,IF(BI187&gt;DATA!$H$1036*$B$105,DATA!$H$1036,1))</f>
        <v>1.2</v>
      </c>
      <c r="BQ187" s="156">
        <f t="shared" si="47"/>
        <v>9.9999999999999995E-8</v>
      </c>
    </row>
    <row r="188" spans="1:69">
      <c r="A188" s="140">
        <f t="shared" si="7"/>
        <v>1.2E-5</v>
      </c>
      <c r="B188">
        <v>1.2</v>
      </c>
      <c r="C188" s="140">
        <f t="shared" si="49"/>
        <v>1.1999999999999996E-7</v>
      </c>
      <c r="D188" s="140">
        <f t="shared" si="49"/>
        <v>2.3999999999999998E-7</v>
      </c>
      <c r="E188" s="140">
        <f t="shared" si="49"/>
        <v>3.5999999999999999E-7</v>
      </c>
      <c r="F188" s="140">
        <f t="shared" si="49"/>
        <v>4.8000000000000006E-7</v>
      </c>
      <c r="G188" s="140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53"/>
        <v>9.9999999999999995E-8</v>
      </c>
      <c r="K188" s="140">
        <f t="shared" si="9"/>
        <v>1.2E-5</v>
      </c>
      <c r="L188">
        <v>1.2</v>
      </c>
      <c r="M188" s="140">
        <f t="shared" si="10"/>
        <v>1.1999999999999996E-7</v>
      </c>
      <c r="N188" s="140">
        <f t="shared" si="11"/>
        <v>2.3999999999999998E-7</v>
      </c>
      <c r="O188" s="140">
        <f t="shared" si="12"/>
        <v>3.5999999999999999E-7</v>
      </c>
      <c r="P188" s="140">
        <f t="shared" si="13"/>
        <v>4.8000000000000006E-7</v>
      </c>
      <c r="Q188" s="140">
        <f t="shared" si="14"/>
        <v>6.0000000000000008E-7</v>
      </c>
      <c r="R188" s="157">
        <f>IF(K188&lt;$B$25*DATA!$H$1037,DATA!$H$1037,IF(K188&gt;DATA!$H$1036*$B$25,DATA!$H$1036,1))</f>
        <v>0.8</v>
      </c>
      <c r="S188" s="156">
        <f t="shared" si="50"/>
        <v>9.9999999999999995E-8</v>
      </c>
      <c r="U188" s="140">
        <f t="shared" si="15"/>
        <v>1.2E-5</v>
      </c>
      <c r="V188">
        <v>1.2</v>
      </c>
      <c r="W188" s="140">
        <f t="shared" si="16"/>
        <v>1.1999999999999996E-7</v>
      </c>
      <c r="X188" s="140">
        <f t="shared" si="17"/>
        <v>2.3999999999999998E-7</v>
      </c>
      <c r="Y188" s="140">
        <f t="shared" si="18"/>
        <v>3.5999999999999999E-7</v>
      </c>
      <c r="Z188" s="140">
        <f t="shared" si="19"/>
        <v>4.8000000000000006E-7</v>
      </c>
      <c r="AA188" s="140">
        <f t="shared" si="20"/>
        <v>6.0000000000000008E-7</v>
      </c>
      <c r="AB188" s="157">
        <f>IF(U188&lt;$B$41*DATA!$H$1037,DATA!$H$1037,IF(U188&gt;DATA!$H$1036*$B$41,DATA!$H$1036,1))</f>
        <v>0.8</v>
      </c>
      <c r="AC188" s="156">
        <f t="shared" si="51"/>
        <v>9.9999999999999995E-8</v>
      </c>
      <c r="AE188" s="140">
        <f t="shared" si="21"/>
        <v>1.2E-5</v>
      </c>
      <c r="AF188">
        <v>1.2</v>
      </c>
      <c r="AG188" s="140">
        <f t="shared" si="22"/>
        <v>1.1999999999999996E-7</v>
      </c>
      <c r="AH188" s="140">
        <f t="shared" si="23"/>
        <v>2.3999999999999998E-7</v>
      </c>
      <c r="AI188" s="140">
        <f t="shared" si="24"/>
        <v>3.5999999999999999E-7</v>
      </c>
      <c r="AJ188" s="140">
        <f t="shared" si="25"/>
        <v>4.8000000000000006E-7</v>
      </c>
      <c r="AK188" s="140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52"/>
        <v>9.9999999999999995E-8</v>
      </c>
      <c r="AO188" s="140">
        <f t="shared" si="27"/>
        <v>1.2E-5</v>
      </c>
      <c r="AP188">
        <v>1.2</v>
      </c>
      <c r="AQ188" s="140">
        <f t="shared" si="28"/>
        <v>1.1999999999999996E-7</v>
      </c>
      <c r="AR188" s="140">
        <f t="shared" si="29"/>
        <v>2.3999999999999998E-7</v>
      </c>
      <c r="AS188" s="140">
        <f t="shared" si="30"/>
        <v>3.5999999999999999E-7</v>
      </c>
      <c r="AT188" s="140">
        <f t="shared" si="31"/>
        <v>4.8000000000000006E-7</v>
      </c>
      <c r="AU188" s="140">
        <f t="shared" si="32"/>
        <v>6.0000000000000008E-7</v>
      </c>
      <c r="AV188" s="157">
        <f>IF(AO188&lt;$B$73*DATA!$H$1037,DATA!$H$1037,IF(AO188&gt;DATA!$H$1036*$B$73,DATA!$H$1036,1))</f>
        <v>1.2</v>
      </c>
      <c r="AW188" s="156">
        <f t="shared" si="33"/>
        <v>9.9999999999999995E-8</v>
      </c>
      <c r="AY188" s="140">
        <f t="shared" si="34"/>
        <v>1.2E-5</v>
      </c>
      <c r="AZ188">
        <v>1.2</v>
      </c>
      <c r="BA188" s="140">
        <f t="shared" si="35"/>
        <v>1.1999999999999996E-7</v>
      </c>
      <c r="BB188" s="140">
        <f t="shared" si="36"/>
        <v>2.3999999999999998E-7</v>
      </c>
      <c r="BC188" s="140">
        <f t="shared" si="37"/>
        <v>3.5999999999999999E-7</v>
      </c>
      <c r="BD188" s="140">
        <f t="shared" si="38"/>
        <v>4.8000000000000006E-7</v>
      </c>
      <c r="BE188" s="140">
        <f t="shared" si="39"/>
        <v>6.0000000000000008E-7</v>
      </c>
      <c r="BF188" s="157">
        <f>IF(AY188&lt;$B$89*DATA!$H$1037,DATA!$H$1037,IF(AY188&gt;DATA!$H$1036*$B$89,DATA!$H$1036,1))</f>
        <v>1.2</v>
      </c>
      <c r="BG188" s="156">
        <f t="shared" si="40"/>
        <v>9.9999999999999995E-8</v>
      </c>
      <c r="BI188" s="140">
        <f t="shared" si="41"/>
        <v>1.2E-5</v>
      </c>
      <c r="BJ188">
        <v>1.2</v>
      </c>
      <c r="BK188" s="140">
        <f t="shared" si="42"/>
        <v>1.1999999999999996E-7</v>
      </c>
      <c r="BL188" s="140">
        <f t="shared" si="43"/>
        <v>2.3999999999999998E-7</v>
      </c>
      <c r="BM188" s="140">
        <f t="shared" si="44"/>
        <v>3.5999999999999999E-7</v>
      </c>
      <c r="BN188" s="140">
        <f t="shared" si="45"/>
        <v>4.8000000000000006E-7</v>
      </c>
      <c r="BO188" s="140">
        <f t="shared" si="46"/>
        <v>6.0000000000000008E-7</v>
      </c>
      <c r="BP188" s="157">
        <f>IF(BI188&lt;$B$105*DATA!$H$1037,DATA!$H$1037,IF(BI188&gt;DATA!$H$1036*$B$105,DATA!$H$1036,1))</f>
        <v>1.2</v>
      </c>
      <c r="BQ188" s="156">
        <f t="shared" si="47"/>
        <v>9.9999999999999995E-8</v>
      </c>
    </row>
    <row r="189" spans="1:69">
      <c r="A189" s="140">
        <f t="shared" si="7"/>
        <v>1.22E-5</v>
      </c>
      <c r="B189">
        <v>1.22</v>
      </c>
      <c r="C189" s="140">
        <f t="shared" si="49"/>
        <v>1.2199999999999995E-7</v>
      </c>
      <c r="D189" s="140">
        <f t="shared" si="49"/>
        <v>2.4399999999999996E-7</v>
      </c>
      <c r="E189" s="140">
        <f t="shared" si="49"/>
        <v>3.6599999999999997E-7</v>
      </c>
      <c r="F189" s="140">
        <f t="shared" si="49"/>
        <v>4.8800000000000003E-7</v>
      </c>
      <c r="G189" s="140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53"/>
        <v>9.9999999999999995E-8</v>
      </c>
      <c r="K189" s="140">
        <f t="shared" si="9"/>
        <v>1.22E-5</v>
      </c>
      <c r="L189">
        <v>1.22</v>
      </c>
      <c r="M189" s="140">
        <f t="shared" si="10"/>
        <v>1.2199999999999995E-7</v>
      </c>
      <c r="N189" s="140">
        <f t="shared" si="11"/>
        <v>2.4399999999999996E-7</v>
      </c>
      <c r="O189" s="140">
        <f t="shared" si="12"/>
        <v>3.6599999999999997E-7</v>
      </c>
      <c r="P189" s="140">
        <f t="shared" si="13"/>
        <v>4.8800000000000003E-7</v>
      </c>
      <c r="Q189" s="140">
        <f t="shared" si="14"/>
        <v>6.1000000000000009E-7</v>
      </c>
      <c r="R189" s="157">
        <f>IF(K189&lt;$B$25*DATA!$H$1037,DATA!$H$1037,IF(K189&gt;DATA!$H$1036*$B$25,DATA!$H$1036,1))</f>
        <v>0.8</v>
      </c>
      <c r="S189" s="156">
        <f t="shared" si="50"/>
        <v>9.9999999999999995E-8</v>
      </c>
      <c r="U189" s="140">
        <f t="shared" si="15"/>
        <v>1.22E-5</v>
      </c>
      <c r="V189">
        <v>1.22</v>
      </c>
      <c r="W189" s="140">
        <f t="shared" si="16"/>
        <v>1.2199999999999995E-7</v>
      </c>
      <c r="X189" s="140">
        <f t="shared" si="17"/>
        <v>2.4399999999999996E-7</v>
      </c>
      <c r="Y189" s="140">
        <f t="shared" si="18"/>
        <v>3.6599999999999997E-7</v>
      </c>
      <c r="Z189" s="140">
        <f t="shared" si="19"/>
        <v>4.8800000000000003E-7</v>
      </c>
      <c r="AA189" s="140">
        <f t="shared" si="20"/>
        <v>6.1000000000000009E-7</v>
      </c>
      <c r="AB189" s="157">
        <f>IF(U189&lt;$B$41*DATA!$H$1037,DATA!$H$1037,IF(U189&gt;DATA!$H$1036*$B$41,DATA!$H$1036,1))</f>
        <v>0.8</v>
      </c>
      <c r="AC189" s="156">
        <f t="shared" si="51"/>
        <v>9.9999999999999995E-8</v>
      </c>
      <c r="AE189" s="140">
        <f t="shared" si="21"/>
        <v>1.22E-5</v>
      </c>
      <c r="AF189">
        <v>1.22</v>
      </c>
      <c r="AG189" s="140">
        <f t="shared" si="22"/>
        <v>1.2199999999999995E-7</v>
      </c>
      <c r="AH189" s="140">
        <f t="shared" si="23"/>
        <v>2.4399999999999996E-7</v>
      </c>
      <c r="AI189" s="140">
        <f t="shared" si="24"/>
        <v>3.6599999999999997E-7</v>
      </c>
      <c r="AJ189" s="140">
        <f t="shared" si="25"/>
        <v>4.8800000000000003E-7</v>
      </c>
      <c r="AK189" s="140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52"/>
        <v>9.9999999999999995E-8</v>
      </c>
      <c r="AO189" s="140">
        <f t="shared" si="27"/>
        <v>1.22E-5</v>
      </c>
      <c r="AP189">
        <v>1.22</v>
      </c>
      <c r="AQ189" s="140">
        <f t="shared" si="28"/>
        <v>1.2199999999999995E-7</v>
      </c>
      <c r="AR189" s="140">
        <f t="shared" si="29"/>
        <v>2.4399999999999996E-7</v>
      </c>
      <c r="AS189" s="140">
        <f t="shared" si="30"/>
        <v>3.6599999999999997E-7</v>
      </c>
      <c r="AT189" s="140">
        <f t="shared" si="31"/>
        <v>4.8800000000000003E-7</v>
      </c>
      <c r="AU189" s="140">
        <f t="shared" si="32"/>
        <v>6.1000000000000009E-7</v>
      </c>
      <c r="AV189" s="157">
        <f>IF(AO189&lt;$B$73*DATA!$H$1037,DATA!$H$1037,IF(AO189&gt;DATA!$H$1036*$B$73,DATA!$H$1036,1))</f>
        <v>1.2</v>
      </c>
      <c r="AW189" s="156">
        <f t="shared" si="33"/>
        <v>9.9999999999999995E-8</v>
      </c>
      <c r="AY189" s="140">
        <f t="shared" si="34"/>
        <v>1.22E-5</v>
      </c>
      <c r="AZ189">
        <v>1.22</v>
      </c>
      <c r="BA189" s="140">
        <f t="shared" si="35"/>
        <v>1.2199999999999995E-7</v>
      </c>
      <c r="BB189" s="140">
        <f t="shared" si="36"/>
        <v>2.4399999999999996E-7</v>
      </c>
      <c r="BC189" s="140">
        <f t="shared" si="37"/>
        <v>3.6599999999999997E-7</v>
      </c>
      <c r="BD189" s="140">
        <f t="shared" si="38"/>
        <v>4.8800000000000003E-7</v>
      </c>
      <c r="BE189" s="140">
        <f t="shared" si="39"/>
        <v>6.1000000000000009E-7</v>
      </c>
      <c r="BF189" s="157">
        <f>IF(AY189&lt;$B$89*DATA!$H$1037,DATA!$H$1037,IF(AY189&gt;DATA!$H$1036*$B$89,DATA!$H$1036,1))</f>
        <v>1.2</v>
      </c>
      <c r="BG189" s="156">
        <f t="shared" si="40"/>
        <v>9.9999999999999995E-8</v>
      </c>
      <c r="BI189" s="140">
        <f t="shared" si="41"/>
        <v>1.22E-5</v>
      </c>
      <c r="BJ189">
        <v>1.22</v>
      </c>
      <c r="BK189" s="140">
        <f t="shared" si="42"/>
        <v>1.2199999999999995E-7</v>
      </c>
      <c r="BL189" s="140">
        <f t="shared" si="43"/>
        <v>2.4399999999999996E-7</v>
      </c>
      <c r="BM189" s="140">
        <f t="shared" si="44"/>
        <v>3.6599999999999997E-7</v>
      </c>
      <c r="BN189" s="140">
        <f t="shared" si="45"/>
        <v>4.8800000000000003E-7</v>
      </c>
      <c r="BO189" s="140">
        <f t="shared" si="46"/>
        <v>6.1000000000000009E-7</v>
      </c>
      <c r="BP189" s="157">
        <f>IF(BI189&lt;$B$105*DATA!$H$1037,DATA!$H$1037,IF(BI189&gt;DATA!$H$1036*$B$105,DATA!$H$1036,1))</f>
        <v>1.2</v>
      </c>
      <c r="BQ189" s="156">
        <f t="shared" si="47"/>
        <v>9.9999999999999995E-8</v>
      </c>
    </row>
    <row r="190" spans="1:69">
      <c r="A190" s="140">
        <f t="shared" si="7"/>
        <v>1.2400000000000002E-5</v>
      </c>
      <c r="B190">
        <v>1.24</v>
      </c>
      <c r="C190" s="140">
        <f t="shared" si="49"/>
        <v>1.2399999999999997E-7</v>
      </c>
      <c r="D190" s="140">
        <f t="shared" si="49"/>
        <v>2.48E-7</v>
      </c>
      <c r="E190" s="140">
        <f t="shared" si="49"/>
        <v>3.7200000000000005E-7</v>
      </c>
      <c r="F190" s="140">
        <f t="shared" si="49"/>
        <v>4.960000000000001E-7</v>
      </c>
      <c r="G190" s="140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53"/>
        <v>9.9999999999999995E-8</v>
      </c>
      <c r="K190" s="140">
        <f t="shared" si="9"/>
        <v>1.2400000000000002E-5</v>
      </c>
      <c r="L190">
        <v>1.24</v>
      </c>
      <c r="M190" s="140">
        <f t="shared" si="10"/>
        <v>1.2399999999999997E-7</v>
      </c>
      <c r="N190" s="140">
        <f t="shared" si="11"/>
        <v>2.48E-7</v>
      </c>
      <c r="O190" s="140">
        <f t="shared" si="12"/>
        <v>3.7200000000000005E-7</v>
      </c>
      <c r="P190" s="140">
        <f t="shared" si="13"/>
        <v>4.960000000000001E-7</v>
      </c>
      <c r="Q190" s="140">
        <f t="shared" si="14"/>
        <v>6.200000000000001E-7</v>
      </c>
      <c r="R190" s="157">
        <f>IF(K190&lt;$B$25*DATA!$H$1037,DATA!$H$1037,IF(K190&gt;DATA!$H$1036*$B$25,DATA!$H$1036,1))</f>
        <v>0.8</v>
      </c>
      <c r="S190" s="156">
        <f t="shared" si="50"/>
        <v>9.9999999999999995E-8</v>
      </c>
      <c r="U190" s="140">
        <f t="shared" si="15"/>
        <v>1.2400000000000002E-5</v>
      </c>
      <c r="V190">
        <v>1.24</v>
      </c>
      <c r="W190" s="140">
        <f t="shared" si="16"/>
        <v>1.2399999999999997E-7</v>
      </c>
      <c r="X190" s="140">
        <f t="shared" si="17"/>
        <v>2.48E-7</v>
      </c>
      <c r="Y190" s="140">
        <f t="shared" si="18"/>
        <v>3.7200000000000005E-7</v>
      </c>
      <c r="Z190" s="140">
        <f t="shared" si="19"/>
        <v>4.960000000000001E-7</v>
      </c>
      <c r="AA190" s="140">
        <f t="shared" si="20"/>
        <v>6.200000000000001E-7</v>
      </c>
      <c r="AB190" s="157">
        <f>IF(U190&lt;$B$41*DATA!$H$1037,DATA!$H$1037,IF(U190&gt;DATA!$H$1036*$B$41,DATA!$H$1036,1))</f>
        <v>0.8</v>
      </c>
      <c r="AC190" s="156">
        <f t="shared" si="51"/>
        <v>9.9999999999999995E-8</v>
      </c>
      <c r="AE190" s="140">
        <f t="shared" si="21"/>
        <v>1.2400000000000002E-5</v>
      </c>
      <c r="AF190">
        <v>1.24</v>
      </c>
      <c r="AG190" s="140">
        <f t="shared" si="22"/>
        <v>1.2399999999999997E-7</v>
      </c>
      <c r="AH190" s="140">
        <f t="shared" si="23"/>
        <v>2.48E-7</v>
      </c>
      <c r="AI190" s="140">
        <f t="shared" si="24"/>
        <v>3.7200000000000005E-7</v>
      </c>
      <c r="AJ190" s="140">
        <f t="shared" si="25"/>
        <v>4.960000000000001E-7</v>
      </c>
      <c r="AK190" s="140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52"/>
        <v>9.9999999999999995E-8</v>
      </c>
      <c r="AO190" s="140">
        <f t="shared" si="27"/>
        <v>1.2400000000000002E-5</v>
      </c>
      <c r="AP190">
        <v>1.24</v>
      </c>
      <c r="AQ190" s="140">
        <f t="shared" si="28"/>
        <v>1.2399999999999997E-7</v>
      </c>
      <c r="AR190" s="140">
        <f t="shared" si="29"/>
        <v>2.48E-7</v>
      </c>
      <c r="AS190" s="140">
        <f t="shared" si="30"/>
        <v>3.7200000000000005E-7</v>
      </c>
      <c r="AT190" s="140">
        <f t="shared" si="31"/>
        <v>4.960000000000001E-7</v>
      </c>
      <c r="AU190" s="140">
        <f t="shared" si="32"/>
        <v>6.200000000000001E-7</v>
      </c>
      <c r="AV190" s="157">
        <f>IF(AO190&lt;$B$73*DATA!$H$1037,DATA!$H$1037,IF(AO190&gt;DATA!$H$1036*$B$73,DATA!$H$1036,1))</f>
        <v>1.2</v>
      </c>
      <c r="AW190" s="156">
        <f t="shared" si="33"/>
        <v>9.9999999999999995E-8</v>
      </c>
      <c r="AY190" s="140">
        <f t="shared" si="34"/>
        <v>1.2400000000000002E-5</v>
      </c>
      <c r="AZ190">
        <v>1.24</v>
      </c>
      <c r="BA190" s="140">
        <f t="shared" si="35"/>
        <v>1.2399999999999997E-7</v>
      </c>
      <c r="BB190" s="140">
        <f t="shared" si="36"/>
        <v>2.48E-7</v>
      </c>
      <c r="BC190" s="140">
        <f t="shared" si="37"/>
        <v>3.7200000000000005E-7</v>
      </c>
      <c r="BD190" s="140">
        <f t="shared" si="38"/>
        <v>4.960000000000001E-7</v>
      </c>
      <c r="BE190" s="140">
        <f t="shared" si="39"/>
        <v>6.200000000000001E-7</v>
      </c>
      <c r="BF190" s="157">
        <f>IF(AY190&lt;$B$89*DATA!$H$1037,DATA!$H$1037,IF(AY190&gt;DATA!$H$1036*$B$89,DATA!$H$1036,1))</f>
        <v>1.2</v>
      </c>
      <c r="BG190" s="156">
        <f t="shared" si="40"/>
        <v>9.9999999999999995E-8</v>
      </c>
      <c r="BI190" s="140">
        <f t="shared" si="41"/>
        <v>1.2400000000000002E-5</v>
      </c>
      <c r="BJ190">
        <v>1.24</v>
      </c>
      <c r="BK190" s="140">
        <f t="shared" si="42"/>
        <v>1.2399999999999997E-7</v>
      </c>
      <c r="BL190" s="140">
        <f t="shared" si="43"/>
        <v>2.48E-7</v>
      </c>
      <c r="BM190" s="140">
        <f t="shared" si="44"/>
        <v>3.7200000000000005E-7</v>
      </c>
      <c r="BN190" s="140">
        <f t="shared" si="45"/>
        <v>4.960000000000001E-7</v>
      </c>
      <c r="BO190" s="140">
        <f t="shared" si="46"/>
        <v>6.200000000000001E-7</v>
      </c>
      <c r="BP190" s="157">
        <f>IF(BI190&lt;$B$105*DATA!$H$1037,DATA!$H$1037,IF(BI190&gt;DATA!$H$1036*$B$105,DATA!$H$1036,1))</f>
        <v>1.2</v>
      </c>
      <c r="BQ190" s="156">
        <f t="shared" si="47"/>
        <v>9.9999999999999995E-8</v>
      </c>
    </row>
    <row r="191" spans="1:69">
      <c r="A191" s="140">
        <f t="shared" si="7"/>
        <v>1.2600000000000001E-5</v>
      </c>
      <c r="B191">
        <v>1.26</v>
      </c>
      <c r="C191" s="140">
        <f t="shared" ref="C191:G206" si="54">C$142*$A191</f>
        <v>1.2599999999999996E-7</v>
      </c>
      <c r="D191" s="140">
        <f t="shared" si="54"/>
        <v>2.5199999999999998E-7</v>
      </c>
      <c r="E191" s="140">
        <f t="shared" si="54"/>
        <v>3.7800000000000002E-7</v>
      </c>
      <c r="F191" s="140">
        <f t="shared" si="54"/>
        <v>5.0400000000000007E-7</v>
      </c>
      <c r="G191" s="140">
        <f t="shared" si="54"/>
        <v>6.3000000000000011E-7</v>
      </c>
      <c r="H191" s="157">
        <f>IF(A191&lt;$B$9*DATA!$H$1037,DATA!$H$1037,IF(A191&gt;DATA!$H$1036*$B$9,DATA!$H$1036,1))</f>
        <v>0.8</v>
      </c>
      <c r="I191" s="156">
        <f t="shared" si="53"/>
        <v>9.9999999999999995E-8</v>
      </c>
      <c r="K191" s="140">
        <f t="shared" si="9"/>
        <v>1.2600000000000001E-5</v>
      </c>
      <c r="L191">
        <v>1.26</v>
      </c>
      <c r="M191" s="140">
        <f t="shared" si="10"/>
        <v>1.2599999999999996E-7</v>
      </c>
      <c r="N191" s="140">
        <f t="shared" si="11"/>
        <v>2.5199999999999998E-7</v>
      </c>
      <c r="O191" s="140">
        <f t="shared" si="12"/>
        <v>3.7800000000000002E-7</v>
      </c>
      <c r="P191" s="140">
        <f t="shared" si="13"/>
        <v>5.0400000000000007E-7</v>
      </c>
      <c r="Q191" s="140">
        <f t="shared" si="14"/>
        <v>6.3000000000000011E-7</v>
      </c>
      <c r="R191" s="157">
        <f>IF(K191&lt;$B$25*DATA!$H$1037,DATA!$H$1037,IF(K191&gt;DATA!$H$1036*$B$25,DATA!$H$1036,1))</f>
        <v>0.8</v>
      </c>
      <c r="S191" s="156">
        <f t="shared" si="50"/>
        <v>9.9999999999999995E-8</v>
      </c>
      <c r="U191" s="140">
        <f t="shared" si="15"/>
        <v>1.2600000000000001E-5</v>
      </c>
      <c r="V191">
        <v>1.26</v>
      </c>
      <c r="W191" s="140">
        <f t="shared" si="16"/>
        <v>1.2599999999999996E-7</v>
      </c>
      <c r="X191" s="140">
        <f t="shared" si="17"/>
        <v>2.5199999999999998E-7</v>
      </c>
      <c r="Y191" s="140">
        <f t="shared" si="18"/>
        <v>3.7800000000000002E-7</v>
      </c>
      <c r="Z191" s="140">
        <f t="shared" si="19"/>
        <v>5.0400000000000007E-7</v>
      </c>
      <c r="AA191" s="140">
        <f t="shared" si="20"/>
        <v>6.3000000000000011E-7</v>
      </c>
      <c r="AB191" s="157">
        <f>IF(U191&lt;$B$41*DATA!$H$1037,DATA!$H$1037,IF(U191&gt;DATA!$H$1036*$B$41,DATA!$H$1036,1))</f>
        <v>0.8</v>
      </c>
      <c r="AC191" s="156">
        <f t="shared" si="51"/>
        <v>9.9999999999999995E-8</v>
      </c>
      <c r="AE191" s="140">
        <f t="shared" si="21"/>
        <v>1.2600000000000001E-5</v>
      </c>
      <c r="AF191">
        <v>1.26</v>
      </c>
      <c r="AG191" s="140">
        <f t="shared" si="22"/>
        <v>1.2599999999999996E-7</v>
      </c>
      <c r="AH191" s="140">
        <f t="shared" si="23"/>
        <v>2.5199999999999998E-7</v>
      </c>
      <c r="AI191" s="140">
        <f t="shared" si="24"/>
        <v>3.7800000000000002E-7</v>
      </c>
      <c r="AJ191" s="140">
        <f t="shared" si="25"/>
        <v>5.0400000000000007E-7</v>
      </c>
      <c r="AK191" s="140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52"/>
        <v>9.9999999999999995E-8</v>
      </c>
      <c r="AO191" s="140">
        <f t="shared" si="27"/>
        <v>1.2600000000000001E-5</v>
      </c>
      <c r="AP191">
        <v>1.26</v>
      </c>
      <c r="AQ191" s="140">
        <f t="shared" si="28"/>
        <v>1.2599999999999996E-7</v>
      </c>
      <c r="AR191" s="140">
        <f t="shared" si="29"/>
        <v>2.5199999999999998E-7</v>
      </c>
      <c r="AS191" s="140">
        <f t="shared" si="30"/>
        <v>3.7800000000000002E-7</v>
      </c>
      <c r="AT191" s="140">
        <f t="shared" si="31"/>
        <v>5.0400000000000007E-7</v>
      </c>
      <c r="AU191" s="140">
        <f t="shared" si="32"/>
        <v>6.3000000000000011E-7</v>
      </c>
      <c r="AV191" s="157">
        <f>IF(AO191&lt;$B$73*DATA!$H$1037,DATA!$H$1037,IF(AO191&gt;DATA!$H$1036*$B$73,DATA!$H$1036,1))</f>
        <v>1.2</v>
      </c>
      <c r="AW191" s="156">
        <f t="shared" si="33"/>
        <v>9.9999999999999995E-8</v>
      </c>
      <c r="AY191" s="140">
        <f t="shared" si="34"/>
        <v>1.2600000000000001E-5</v>
      </c>
      <c r="AZ191">
        <v>1.26</v>
      </c>
      <c r="BA191" s="140">
        <f t="shared" si="35"/>
        <v>1.2599999999999996E-7</v>
      </c>
      <c r="BB191" s="140">
        <f t="shared" si="36"/>
        <v>2.5199999999999998E-7</v>
      </c>
      <c r="BC191" s="140">
        <f t="shared" si="37"/>
        <v>3.7800000000000002E-7</v>
      </c>
      <c r="BD191" s="140">
        <f t="shared" si="38"/>
        <v>5.0400000000000007E-7</v>
      </c>
      <c r="BE191" s="140">
        <f t="shared" si="39"/>
        <v>6.3000000000000011E-7</v>
      </c>
      <c r="BF191" s="157">
        <f>IF(AY191&lt;$B$89*DATA!$H$1037,DATA!$H$1037,IF(AY191&gt;DATA!$H$1036*$B$89,DATA!$H$1036,1))</f>
        <v>1.2</v>
      </c>
      <c r="BG191" s="156">
        <f t="shared" si="40"/>
        <v>9.9999999999999995E-8</v>
      </c>
      <c r="BI191" s="140">
        <f t="shared" si="41"/>
        <v>1.2600000000000001E-5</v>
      </c>
      <c r="BJ191">
        <v>1.26</v>
      </c>
      <c r="BK191" s="140">
        <f t="shared" si="42"/>
        <v>1.2599999999999996E-7</v>
      </c>
      <c r="BL191" s="140">
        <f t="shared" si="43"/>
        <v>2.5199999999999998E-7</v>
      </c>
      <c r="BM191" s="140">
        <f t="shared" si="44"/>
        <v>3.7800000000000002E-7</v>
      </c>
      <c r="BN191" s="140">
        <f t="shared" si="45"/>
        <v>5.0400000000000007E-7</v>
      </c>
      <c r="BO191" s="140">
        <f t="shared" si="46"/>
        <v>6.3000000000000011E-7</v>
      </c>
      <c r="BP191" s="157">
        <f>IF(BI191&lt;$B$105*DATA!$H$1037,DATA!$H$1037,IF(BI191&gt;DATA!$H$1036*$B$105,DATA!$H$1036,1))</f>
        <v>1.2</v>
      </c>
      <c r="BQ191" s="156">
        <f t="shared" si="47"/>
        <v>9.9999999999999995E-8</v>
      </c>
    </row>
    <row r="192" spans="1:69">
      <c r="A192" s="140">
        <f t="shared" si="7"/>
        <v>1.2800000000000001E-5</v>
      </c>
      <c r="B192">
        <v>1.28</v>
      </c>
      <c r="C192" s="140">
        <f t="shared" si="54"/>
        <v>1.2799999999999998E-7</v>
      </c>
      <c r="D192" s="140">
        <f t="shared" si="54"/>
        <v>2.5599999999999996E-7</v>
      </c>
      <c r="E192" s="140">
        <f t="shared" si="54"/>
        <v>3.84E-7</v>
      </c>
      <c r="F192" s="140">
        <f t="shared" si="54"/>
        <v>5.1200000000000003E-7</v>
      </c>
      <c r="G192" s="140">
        <f t="shared" si="54"/>
        <v>6.4000000000000012E-7</v>
      </c>
      <c r="H192" s="157">
        <f>IF(A192&lt;$B$9*DATA!$H$1037,DATA!$H$1037,IF(A192&gt;DATA!$H$1036*$B$9,DATA!$H$1036,1))</f>
        <v>0.8</v>
      </c>
      <c r="I192" s="156">
        <f t="shared" si="53"/>
        <v>9.9999999999999995E-8</v>
      </c>
      <c r="K192" s="140">
        <f t="shared" si="9"/>
        <v>1.2800000000000001E-5</v>
      </c>
      <c r="L192">
        <v>1.28</v>
      </c>
      <c r="M192" s="140">
        <f t="shared" si="10"/>
        <v>1.2799999999999998E-7</v>
      </c>
      <c r="N192" s="140">
        <f t="shared" si="11"/>
        <v>2.5599999999999996E-7</v>
      </c>
      <c r="O192" s="140">
        <f t="shared" si="12"/>
        <v>3.84E-7</v>
      </c>
      <c r="P192" s="140">
        <f t="shared" si="13"/>
        <v>5.1200000000000003E-7</v>
      </c>
      <c r="Q192" s="140">
        <f t="shared" si="14"/>
        <v>6.4000000000000012E-7</v>
      </c>
      <c r="R192" s="157">
        <f>IF(K192&lt;$B$25*DATA!$H$1037,DATA!$H$1037,IF(K192&gt;DATA!$H$1036*$B$25,DATA!$H$1036,1))</f>
        <v>0.8</v>
      </c>
      <c r="S192" s="156">
        <f t="shared" si="50"/>
        <v>9.9999999999999995E-8</v>
      </c>
      <c r="U192" s="140">
        <f t="shared" si="15"/>
        <v>1.2800000000000001E-5</v>
      </c>
      <c r="V192">
        <v>1.28</v>
      </c>
      <c r="W192" s="140">
        <f t="shared" si="16"/>
        <v>1.2799999999999998E-7</v>
      </c>
      <c r="X192" s="140">
        <f t="shared" si="17"/>
        <v>2.5599999999999996E-7</v>
      </c>
      <c r="Y192" s="140">
        <f t="shared" si="18"/>
        <v>3.84E-7</v>
      </c>
      <c r="Z192" s="140">
        <f t="shared" si="19"/>
        <v>5.1200000000000003E-7</v>
      </c>
      <c r="AA192" s="140">
        <f t="shared" si="20"/>
        <v>6.4000000000000012E-7</v>
      </c>
      <c r="AB192" s="157">
        <f>IF(U192&lt;$B$41*DATA!$H$1037,DATA!$H$1037,IF(U192&gt;DATA!$H$1036*$B$41,DATA!$H$1036,1))</f>
        <v>0.8</v>
      </c>
      <c r="AC192" s="156">
        <f t="shared" si="51"/>
        <v>9.9999999999999995E-8</v>
      </c>
      <c r="AE192" s="140">
        <f t="shared" si="21"/>
        <v>1.2800000000000001E-5</v>
      </c>
      <c r="AF192">
        <v>1.28</v>
      </c>
      <c r="AG192" s="140">
        <f t="shared" si="22"/>
        <v>1.2799999999999998E-7</v>
      </c>
      <c r="AH192" s="140">
        <f t="shared" si="23"/>
        <v>2.5599999999999996E-7</v>
      </c>
      <c r="AI192" s="140">
        <f t="shared" si="24"/>
        <v>3.84E-7</v>
      </c>
      <c r="AJ192" s="140">
        <f t="shared" si="25"/>
        <v>5.1200000000000003E-7</v>
      </c>
      <c r="AK192" s="140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52"/>
        <v>9.9999999999999995E-8</v>
      </c>
      <c r="AO192" s="140">
        <f t="shared" si="27"/>
        <v>1.2800000000000001E-5</v>
      </c>
      <c r="AP192">
        <v>1.28</v>
      </c>
      <c r="AQ192" s="140">
        <f t="shared" si="28"/>
        <v>1.2799999999999998E-7</v>
      </c>
      <c r="AR192" s="140">
        <f t="shared" si="29"/>
        <v>2.5599999999999996E-7</v>
      </c>
      <c r="AS192" s="140">
        <f t="shared" si="30"/>
        <v>3.84E-7</v>
      </c>
      <c r="AT192" s="140">
        <f t="shared" si="31"/>
        <v>5.1200000000000003E-7</v>
      </c>
      <c r="AU192" s="140">
        <f t="shared" si="32"/>
        <v>6.4000000000000012E-7</v>
      </c>
      <c r="AV192" s="157">
        <f>IF(AO192&lt;$B$73*DATA!$H$1037,DATA!$H$1037,IF(AO192&gt;DATA!$H$1036*$B$73,DATA!$H$1036,1))</f>
        <v>1.2</v>
      </c>
      <c r="AW192" s="156">
        <f t="shared" si="33"/>
        <v>9.9999999999999995E-8</v>
      </c>
      <c r="AY192" s="140">
        <f t="shared" si="34"/>
        <v>1.2800000000000001E-5</v>
      </c>
      <c r="AZ192">
        <v>1.28</v>
      </c>
      <c r="BA192" s="140">
        <f t="shared" si="35"/>
        <v>1.2799999999999998E-7</v>
      </c>
      <c r="BB192" s="140">
        <f t="shared" si="36"/>
        <v>2.5599999999999996E-7</v>
      </c>
      <c r="BC192" s="140">
        <f t="shared" si="37"/>
        <v>3.84E-7</v>
      </c>
      <c r="BD192" s="140">
        <f t="shared" si="38"/>
        <v>5.1200000000000003E-7</v>
      </c>
      <c r="BE192" s="140">
        <f t="shared" si="39"/>
        <v>6.4000000000000012E-7</v>
      </c>
      <c r="BF192" s="157">
        <f>IF(AY192&lt;$B$89*DATA!$H$1037,DATA!$H$1037,IF(AY192&gt;DATA!$H$1036*$B$89,DATA!$H$1036,1))</f>
        <v>1.2</v>
      </c>
      <c r="BG192" s="156">
        <f t="shared" si="40"/>
        <v>9.9999999999999995E-8</v>
      </c>
      <c r="BI192" s="140">
        <f t="shared" si="41"/>
        <v>1.2800000000000001E-5</v>
      </c>
      <c r="BJ192">
        <v>1.28</v>
      </c>
      <c r="BK192" s="140">
        <f t="shared" si="42"/>
        <v>1.2799999999999998E-7</v>
      </c>
      <c r="BL192" s="140">
        <f t="shared" si="43"/>
        <v>2.5599999999999996E-7</v>
      </c>
      <c r="BM192" s="140">
        <f t="shared" si="44"/>
        <v>3.84E-7</v>
      </c>
      <c r="BN192" s="140">
        <f t="shared" si="45"/>
        <v>5.1200000000000003E-7</v>
      </c>
      <c r="BO192" s="140">
        <f t="shared" si="46"/>
        <v>6.4000000000000012E-7</v>
      </c>
      <c r="BP192" s="157">
        <f>IF(BI192&lt;$B$105*DATA!$H$1037,DATA!$H$1037,IF(BI192&gt;DATA!$H$1036*$B$105,DATA!$H$1036,1))</f>
        <v>1.2</v>
      </c>
      <c r="BQ192" s="156">
        <f t="shared" si="47"/>
        <v>9.9999999999999995E-8</v>
      </c>
    </row>
    <row r="193" spans="1:69">
      <c r="A193" s="140">
        <f t="shared" si="7"/>
        <v>1.3000000000000001E-5</v>
      </c>
      <c r="B193">
        <v>1.3</v>
      </c>
      <c r="C193" s="140">
        <f t="shared" si="54"/>
        <v>1.2999999999999997E-7</v>
      </c>
      <c r="D193" s="140">
        <f t="shared" si="54"/>
        <v>2.6E-7</v>
      </c>
      <c r="E193" s="140">
        <f t="shared" si="54"/>
        <v>3.9000000000000002E-7</v>
      </c>
      <c r="F193" s="140">
        <f t="shared" si="54"/>
        <v>5.2E-7</v>
      </c>
      <c r="G193" s="140">
        <f t="shared" si="54"/>
        <v>6.5000000000000013E-7</v>
      </c>
      <c r="H193" s="157">
        <f>IF(A193&lt;$B$9*DATA!$H$1037,DATA!$H$1037,IF(A193&gt;DATA!$H$1036*$B$9,DATA!$H$1036,1))</f>
        <v>0.8</v>
      </c>
      <c r="I193" s="156">
        <f t="shared" si="53"/>
        <v>9.9999999999999995E-8</v>
      </c>
      <c r="K193" s="140">
        <f t="shared" si="9"/>
        <v>1.3000000000000001E-5</v>
      </c>
      <c r="L193">
        <v>1.3</v>
      </c>
      <c r="M193" s="140">
        <f t="shared" si="10"/>
        <v>1.2999999999999997E-7</v>
      </c>
      <c r="N193" s="140">
        <f t="shared" si="11"/>
        <v>2.6E-7</v>
      </c>
      <c r="O193" s="140">
        <f t="shared" si="12"/>
        <v>3.9000000000000002E-7</v>
      </c>
      <c r="P193" s="140">
        <f t="shared" si="13"/>
        <v>5.2E-7</v>
      </c>
      <c r="Q193" s="140">
        <f t="shared" si="14"/>
        <v>6.5000000000000013E-7</v>
      </c>
      <c r="R193" s="157">
        <f>IF(K193&lt;$B$25*DATA!$H$1037,DATA!$H$1037,IF(K193&gt;DATA!$H$1036*$B$25,DATA!$H$1036,1))</f>
        <v>0.8</v>
      </c>
      <c r="S193" s="156">
        <f t="shared" si="50"/>
        <v>9.9999999999999995E-8</v>
      </c>
      <c r="U193" s="140">
        <f t="shared" si="15"/>
        <v>1.3000000000000001E-5</v>
      </c>
      <c r="V193">
        <v>1.3</v>
      </c>
      <c r="W193" s="140">
        <f t="shared" si="16"/>
        <v>1.2999999999999997E-7</v>
      </c>
      <c r="X193" s="140">
        <f t="shared" si="17"/>
        <v>2.6E-7</v>
      </c>
      <c r="Y193" s="140">
        <f t="shared" si="18"/>
        <v>3.9000000000000002E-7</v>
      </c>
      <c r="Z193" s="140">
        <f t="shared" si="19"/>
        <v>5.2E-7</v>
      </c>
      <c r="AA193" s="140">
        <f t="shared" si="20"/>
        <v>6.5000000000000013E-7</v>
      </c>
      <c r="AB193" s="157">
        <f>IF(U193&lt;$B$41*DATA!$H$1037,DATA!$H$1037,IF(U193&gt;DATA!$H$1036*$B$41,DATA!$H$1036,1))</f>
        <v>0.8</v>
      </c>
      <c r="AC193" s="156">
        <f t="shared" si="51"/>
        <v>9.9999999999999995E-8</v>
      </c>
      <c r="AE193" s="140">
        <f t="shared" si="21"/>
        <v>1.3000000000000001E-5</v>
      </c>
      <c r="AF193">
        <v>1.3</v>
      </c>
      <c r="AG193" s="140">
        <f t="shared" si="22"/>
        <v>1.2999999999999997E-7</v>
      </c>
      <c r="AH193" s="140">
        <f t="shared" si="23"/>
        <v>2.6E-7</v>
      </c>
      <c r="AI193" s="140">
        <f t="shared" si="24"/>
        <v>3.9000000000000002E-7</v>
      </c>
      <c r="AJ193" s="140">
        <f t="shared" si="25"/>
        <v>5.2E-7</v>
      </c>
      <c r="AK193" s="140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52"/>
        <v>9.9999999999999995E-8</v>
      </c>
      <c r="AO193" s="140">
        <f t="shared" si="27"/>
        <v>1.3000000000000001E-5</v>
      </c>
      <c r="AP193">
        <v>1.3</v>
      </c>
      <c r="AQ193" s="140">
        <f t="shared" si="28"/>
        <v>1.2999999999999997E-7</v>
      </c>
      <c r="AR193" s="140">
        <f t="shared" si="29"/>
        <v>2.6E-7</v>
      </c>
      <c r="AS193" s="140">
        <f t="shared" si="30"/>
        <v>3.9000000000000002E-7</v>
      </c>
      <c r="AT193" s="140">
        <f t="shared" si="31"/>
        <v>5.2E-7</v>
      </c>
      <c r="AU193" s="140">
        <f t="shared" si="32"/>
        <v>6.5000000000000013E-7</v>
      </c>
      <c r="AV193" s="157">
        <f>IF(AO193&lt;$B$73*DATA!$H$1037,DATA!$H$1037,IF(AO193&gt;DATA!$H$1036*$B$73,DATA!$H$1036,1))</f>
        <v>1.2</v>
      </c>
      <c r="AW193" s="156">
        <f t="shared" si="33"/>
        <v>9.9999999999999995E-8</v>
      </c>
      <c r="AY193" s="140">
        <f t="shared" si="34"/>
        <v>1.3000000000000001E-5</v>
      </c>
      <c r="AZ193">
        <v>1.3</v>
      </c>
      <c r="BA193" s="140">
        <f t="shared" si="35"/>
        <v>1.2999999999999997E-7</v>
      </c>
      <c r="BB193" s="140">
        <f t="shared" si="36"/>
        <v>2.6E-7</v>
      </c>
      <c r="BC193" s="140">
        <f t="shared" si="37"/>
        <v>3.9000000000000002E-7</v>
      </c>
      <c r="BD193" s="140">
        <f t="shared" si="38"/>
        <v>5.2E-7</v>
      </c>
      <c r="BE193" s="140">
        <f t="shared" si="39"/>
        <v>6.5000000000000013E-7</v>
      </c>
      <c r="BF193" s="157">
        <f>IF(AY193&lt;$B$89*DATA!$H$1037,DATA!$H$1037,IF(AY193&gt;DATA!$H$1036*$B$89,DATA!$H$1036,1))</f>
        <v>1.2</v>
      </c>
      <c r="BG193" s="156">
        <f t="shared" si="40"/>
        <v>9.9999999999999995E-8</v>
      </c>
      <c r="BI193" s="140">
        <f t="shared" si="41"/>
        <v>1.3000000000000001E-5</v>
      </c>
      <c r="BJ193">
        <v>1.3</v>
      </c>
      <c r="BK193" s="140">
        <f t="shared" si="42"/>
        <v>1.2999999999999997E-7</v>
      </c>
      <c r="BL193" s="140">
        <f t="shared" si="43"/>
        <v>2.6E-7</v>
      </c>
      <c r="BM193" s="140">
        <f t="shared" si="44"/>
        <v>3.9000000000000002E-7</v>
      </c>
      <c r="BN193" s="140">
        <f t="shared" si="45"/>
        <v>5.2E-7</v>
      </c>
      <c r="BO193" s="140">
        <f t="shared" si="46"/>
        <v>6.5000000000000013E-7</v>
      </c>
      <c r="BP193" s="157">
        <f>IF(BI193&lt;$B$105*DATA!$H$1037,DATA!$H$1037,IF(BI193&gt;DATA!$H$1036*$B$105,DATA!$H$1036,1))</f>
        <v>1.2</v>
      </c>
      <c r="BQ193" s="156">
        <f t="shared" si="47"/>
        <v>9.9999999999999995E-8</v>
      </c>
    </row>
    <row r="194" spans="1:69">
      <c r="A194" s="140">
        <f t="shared" si="7"/>
        <v>1.3200000000000002E-5</v>
      </c>
      <c r="B194">
        <v>1.32</v>
      </c>
      <c r="C194" s="140">
        <f t="shared" si="54"/>
        <v>1.3199999999999999E-7</v>
      </c>
      <c r="D194" s="140">
        <f t="shared" si="54"/>
        <v>2.6399999999999998E-7</v>
      </c>
      <c r="E194" s="140">
        <f t="shared" si="54"/>
        <v>3.9600000000000005E-7</v>
      </c>
      <c r="F194" s="140">
        <f t="shared" si="54"/>
        <v>5.2800000000000007E-7</v>
      </c>
      <c r="G194" s="140">
        <f t="shared" si="54"/>
        <v>6.6000000000000014E-7</v>
      </c>
      <c r="H194" s="157">
        <f>IF(A194&lt;$B$9*DATA!$H$1037,DATA!$H$1037,IF(A194&gt;DATA!$H$1036*$B$9,DATA!$H$1036,1))</f>
        <v>0.8</v>
      </c>
      <c r="I194" s="156">
        <f t="shared" si="53"/>
        <v>9.9999999999999995E-8</v>
      </c>
      <c r="K194" s="140">
        <f t="shared" si="9"/>
        <v>1.3200000000000002E-5</v>
      </c>
      <c r="L194">
        <v>1.32</v>
      </c>
      <c r="M194" s="140">
        <f t="shared" si="10"/>
        <v>1.3199999999999999E-7</v>
      </c>
      <c r="N194" s="140">
        <f t="shared" si="11"/>
        <v>2.6399999999999998E-7</v>
      </c>
      <c r="O194" s="140">
        <f t="shared" si="12"/>
        <v>3.9600000000000005E-7</v>
      </c>
      <c r="P194" s="140">
        <f t="shared" si="13"/>
        <v>5.2800000000000007E-7</v>
      </c>
      <c r="Q194" s="140">
        <f t="shared" si="14"/>
        <v>6.6000000000000014E-7</v>
      </c>
      <c r="R194" s="157">
        <f>IF(K194&lt;$B$25*DATA!$H$1037,DATA!$H$1037,IF(K194&gt;DATA!$H$1036*$B$25,DATA!$H$1036,1))</f>
        <v>0.8</v>
      </c>
      <c r="S194" s="156">
        <f t="shared" si="50"/>
        <v>9.9999999999999995E-8</v>
      </c>
      <c r="U194" s="140">
        <f t="shared" si="15"/>
        <v>1.3200000000000002E-5</v>
      </c>
      <c r="V194">
        <v>1.32</v>
      </c>
      <c r="W194" s="140">
        <f t="shared" si="16"/>
        <v>1.3199999999999999E-7</v>
      </c>
      <c r="X194" s="140">
        <f t="shared" si="17"/>
        <v>2.6399999999999998E-7</v>
      </c>
      <c r="Y194" s="140">
        <f t="shared" si="18"/>
        <v>3.9600000000000005E-7</v>
      </c>
      <c r="Z194" s="140">
        <f t="shared" si="19"/>
        <v>5.2800000000000007E-7</v>
      </c>
      <c r="AA194" s="140">
        <f t="shared" si="20"/>
        <v>6.6000000000000014E-7</v>
      </c>
      <c r="AB194" s="157">
        <f>IF(U194&lt;$B$41*DATA!$H$1037,DATA!$H$1037,IF(U194&gt;DATA!$H$1036*$B$41,DATA!$H$1036,1))</f>
        <v>0.8</v>
      </c>
      <c r="AC194" s="156">
        <f t="shared" si="51"/>
        <v>9.9999999999999995E-8</v>
      </c>
      <c r="AE194" s="140">
        <f t="shared" si="21"/>
        <v>1.3200000000000002E-5</v>
      </c>
      <c r="AF194">
        <v>1.32</v>
      </c>
      <c r="AG194" s="140">
        <f t="shared" si="22"/>
        <v>1.3199999999999999E-7</v>
      </c>
      <c r="AH194" s="140">
        <f t="shared" si="23"/>
        <v>2.6399999999999998E-7</v>
      </c>
      <c r="AI194" s="140">
        <f t="shared" si="24"/>
        <v>3.9600000000000005E-7</v>
      </c>
      <c r="AJ194" s="140">
        <f t="shared" si="25"/>
        <v>5.2800000000000007E-7</v>
      </c>
      <c r="AK194" s="140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52"/>
        <v>9.9999999999999995E-8</v>
      </c>
      <c r="AO194" s="140">
        <f t="shared" si="27"/>
        <v>1.3200000000000002E-5</v>
      </c>
      <c r="AP194">
        <v>1.32</v>
      </c>
      <c r="AQ194" s="140">
        <f t="shared" si="28"/>
        <v>1.3199999999999999E-7</v>
      </c>
      <c r="AR194" s="140">
        <f t="shared" si="29"/>
        <v>2.6399999999999998E-7</v>
      </c>
      <c r="AS194" s="140">
        <f t="shared" si="30"/>
        <v>3.9600000000000005E-7</v>
      </c>
      <c r="AT194" s="140">
        <f t="shared" si="31"/>
        <v>5.2800000000000007E-7</v>
      </c>
      <c r="AU194" s="140">
        <f t="shared" si="32"/>
        <v>6.6000000000000014E-7</v>
      </c>
      <c r="AV194" s="157">
        <f>IF(AO194&lt;$B$73*DATA!$H$1037,DATA!$H$1037,IF(AO194&gt;DATA!$H$1036*$B$73,DATA!$H$1036,1))</f>
        <v>1.2</v>
      </c>
      <c r="AW194" s="156">
        <f t="shared" si="33"/>
        <v>9.9999999999999995E-8</v>
      </c>
      <c r="AY194" s="140">
        <f t="shared" si="34"/>
        <v>1.3200000000000002E-5</v>
      </c>
      <c r="AZ194">
        <v>1.32</v>
      </c>
      <c r="BA194" s="140">
        <f t="shared" si="35"/>
        <v>1.3199999999999999E-7</v>
      </c>
      <c r="BB194" s="140">
        <f t="shared" si="36"/>
        <v>2.6399999999999998E-7</v>
      </c>
      <c r="BC194" s="140">
        <f t="shared" si="37"/>
        <v>3.9600000000000005E-7</v>
      </c>
      <c r="BD194" s="140">
        <f t="shared" si="38"/>
        <v>5.2800000000000007E-7</v>
      </c>
      <c r="BE194" s="140">
        <f t="shared" si="39"/>
        <v>6.6000000000000014E-7</v>
      </c>
      <c r="BF194" s="157">
        <f>IF(AY194&lt;$B$89*DATA!$H$1037,DATA!$H$1037,IF(AY194&gt;DATA!$H$1036*$B$89,DATA!$H$1036,1))</f>
        <v>1.2</v>
      </c>
      <c r="BG194" s="156">
        <f t="shared" si="40"/>
        <v>9.9999999999999995E-8</v>
      </c>
      <c r="BI194" s="140">
        <f t="shared" si="41"/>
        <v>1.3200000000000002E-5</v>
      </c>
      <c r="BJ194">
        <v>1.32</v>
      </c>
      <c r="BK194" s="140">
        <f t="shared" si="42"/>
        <v>1.3199999999999999E-7</v>
      </c>
      <c r="BL194" s="140">
        <f t="shared" si="43"/>
        <v>2.6399999999999998E-7</v>
      </c>
      <c r="BM194" s="140">
        <f t="shared" si="44"/>
        <v>3.9600000000000005E-7</v>
      </c>
      <c r="BN194" s="140">
        <f t="shared" si="45"/>
        <v>5.2800000000000007E-7</v>
      </c>
      <c r="BO194" s="140">
        <f t="shared" si="46"/>
        <v>6.6000000000000014E-7</v>
      </c>
      <c r="BP194" s="157">
        <f>IF(BI194&lt;$B$105*DATA!$H$1037,DATA!$H$1037,IF(BI194&gt;DATA!$H$1036*$B$105,DATA!$H$1036,1))</f>
        <v>1.2</v>
      </c>
      <c r="BQ194" s="156">
        <f t="shared" si="47"/>
        <v>9.9999999999999995E-8</v>
      </c>
    </row>
    <row r="195" spans="1:69">
      <c r="A195" s="140">
        <f t="shared" si="7"/>
        <v>1.3400000000000002E-5</v>
      </c>
      <c r="B195">
        <v>1.34</v>
      </c>
      <c r="C195" s="140">
        <f t="shared" si="54"/>
        <v>1.3399999999999998E-7</v>
      </c>
      <c r="D195" s="140">
        <f t="shared" si="54"/>
        <v>2.6800000000000002E-7</v>
      </c>
      <c r="E195" s="140">
        <f t="shared" si="54"/>
        <v>4.0200000000000003E-7</v>
      </c>
      <c r="F195" s="140">
        <f t="shared" si="54"/>
        <v>5.3600000000000014E-7</v>
      </c>
      <c r="G195" s="140">
        <f t="shared" si="54"/>
        <v>6.7000000000000015E-7</v>
      </c>
      <c r="H195" s="157">
        <f>IF(A195&lt;$B$9*DATA!$H$1037,DATA!$H$1037,IF(A195&gt;DATA!$H$1036*$B$9,DATA!$H$1036,1))</f>
        <v>0.8</v>
      </c>
      <c r="I195" s="156">
        <f t="shared" si="53"/>
        <v>9.9999999999999995E-8</v>
      </c>
      <c r="K195" s="140">
        <f t="shared" si="9"/>
        <v>1.3400000000000002E-5</v>
      </c>
      <c r="L195">
        <v>1.34</v>
      </c>
      <c r="M195" s="140">
        <f t="shared" si="10"/>
        <v>1.3399999999999998E-7</v>
      </c>
      <c r="N195" s="140">
        <f t="shared" si="11"/>
        <v>2.6800000000000002E-7</v>
      </c>
      <c r="O195" s="140">
        <f t="shared" si="12"/>
        <v>4.0200000000000003E-7</v>
      </c>
      <c r="P195" s="140">
        <f t="shared" si="13"/>
        <v>5.3600000000000014E-7</v>
      </c>
      <c r="Q195" s="140">
        <f t="shared" si="14"/>
        <v>6.7000000000000015E-7</v>
      </c>
      <c r="R195" s="157">
        <f>IF(K195&lt;$B$25*DATA!$H$1037,DATA!$H$1037,IF(K195&gt;DATA!$H$1036*$B$25,DATA!$H$1036,1))</f>
        <v>0.8</v>
      </c>
      <c r="S195" s="156">
        <f t="shared" si="50"/>
        <v>9.9999999999999995E-8</v>
      </c>
      <c r="U195" s="140">
        <f t="shared" si="15"/>
        <v>1.3400000000000002E-5</v>
      </c>
      <c r="V195">
        <v>1.34</v>
      </c>
      <c r="W195" s="140">
        <f t="shared" si="16"/>
        <v>1.3399999999999998E-7</v>
      </c>
      <c r="X195" s="140">
        <f t="shared" si="17"/>
        <v>2.6800000000000002E-7</v>
      </c>
      <c r="Y195" s="140">
        <f t="shared" si="18"/>
        <v>4.0200000000000003E-7</v>
      </c>
      <c r="Z195" s="140">
        <f t="shared" si="19"/>
        <v>5.3600000000000014E-7</v>
      </c>
      <c r="AA195" s="140">
        <f t="shared" si="20"/>
        <v>6.7000000000000015E-7</v>
      </c>
      <c r="AB195" s="157">
        <f>IF(U195&lt;$B$41*DATA!$H$1037,DATA!$H$1037,IF(U195&gt;DATA!$H$1036*$B$41,DATA!$H$1036,1))</f>
        <v>0.8</v>
      </c>
      <c r="AC195" s="156">
        <f t="shared" si="51"/>
        <v>9.9999999999999995E-8</v>
      </c>
      <c r="AE195" s="140">
        <f t="shared" si="21"/>
        <v>1.3400000000000002E-5</v>
      </c>
      <c r="AF195">
        <v>1.34</v>
      </c>
      <c r="AG195" s="140">
        <f t="shared" si="22"/>
        <v>1.3399999999999998E-7</v>
      </c>
      <c r="AH195" s="140">
        <f t="shared" si="23"/>
        <v>2.6800000000000002E-7</v>
      </c>
      <c r="AI195" s="140">
        <f t="shared" si="24"/>
        <v>4.0200000000000003E-7</v>
      </c>
      <c r="AJ195" s="140">
        <f t="shared" si="25"/>
        <v>5.3600000000000014E-7</v>
      </c>
      <c r="AK195" s="140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52"/>
        <v>9.9999999999999995E-8</v>
      </c>
      <c r="AO195" s="140">
        <f t="shared" si="27"/>
        <v>1.3400000000000002E-5</v>
      </c>
      <c r="AP195">
        <v>1.34</v>
      </c>
      <c r="AQ195" s="140">
        <f t="shared" si="28"/>
        <v>1.3399999999999998E-7</v>
      </c>
      <c r="AR195" s="140">
        <f t="shared" si="29"/>
        <v>2.6800000000000002E-7</v>
      </c>
      <c r="AS195" s="140">
        <f t="shared" si="30"/>
        <v>4.0200000000000003E-7</v>
      </c>
      <c r="AT195" s="140">
        <f t="shared" si="31"/>
        <v>5.3600000000000014E-7</v>
      </c>
      <c r="AU195" s="140">
        <f t="shared" si="32"/>
        <v>6.7000000000000015E-7</v>
      </c>
      <c r="AV195" s="157">
        <f>IF(AO195&lt;$B$73*DATA!$H$1037,DATA!$H$1037,IF(AO195&gt;DATA!$H$1036*$B$73,DATA!$H$1036,1))</f>
        <v>1.2</v>
      </c>
      <c r="AW195" s="156">
        <f t="shared" si="33"/>
        <v>9.9999999999999995E-8</v>
      </c>
      <c r="AY195" s="140">
        <f t="shared" si="34"/>
        <v>1.3400000000000002E-5</v>
      </c>
      <c r="AZ195">
        <v>1.34</v>
      </c>
      <c r="BA195" s="140">
        <f t="shared" si="35"/>
        <v>1.3399999999999998E-7</v>
      </c>
      <c r="BB195" s="140">
        <f t="shared" si="36"/>
        <v>2.6800000000000002E-7</v>
      </c>
      <c r="BC195" s="140">
        <f t="shared" si="37"/>
        <v>4.0200000000000003E-7</v>
      </c>
      <c r="BD195" s="140">
        <f t="shared" si="38"/>
        <v>5.3600000000000014E-7</v>
      </c>
      <c r="BE195" s="140">
        <f t="shared" si="39"/>
        <v>6.7000000000000015E-7</v>
      </c>
      <c r="BF195" s="157">
        <f>IF(AY195&lt;$B$89*DATA!$H$1037,DATA!$H$1037,IF(AY195&gt;DATA!$H$1036*$B$89,DATA!$H$1036,1))</f>
        <v>1.2</v>
      </c>
      <c r="BG195" s="156">
        <f t="shared" si="40"/>
        <v>9.9999999999999995E-8</v>
      </c>
      <c r="BI195" s="140">
        <f t="shared" si="41"/>
        <v>1.3400000000000002E-5</v>
      </c>
      <c r="BJ195">
        <v>1.34</v>
      </c>
      <c r="BK195" s="140">
        <f t="shared" si="42"/>
        <v>1.3399999999999998E-7</v>
      </c>
      <c r="BL195" s="140">
        <f t="shared" si="43"/>
        <v>2.6800000000000002E-7</v>
      </c>
      <c r="BM195" s="140">
        <f t="shared" si="44"/>
        <v>4.0200000000000003E-7</v>
      </c>
      <c r="BN195" s="140">
        <f t="shared" si="45"/>
        <v>5.3600000000000014E-7</v>
      </c>
      <c r="BO195" s="140">
        <f t="shared" si="46"/>
        <v>6.7000000000000015E-7</v>
      </c>
      <c r="BP195" s="157">
        <f>IF(BI195&lt;$B$105*DATA!$H$1037,DATA!$H$1037,IF(BI195&gt;DATA!$H$1036*$B$105,DATA!$H$1036,1))</f>
        <v>1.2</v>
      </c>
      <c r="BQ195" s="156">
        <f t="shared" si="47"/>
        <v>9.9999999999999995E-8</v>
      </c>
    </row>
    <row r="196" spans="1:69">
      <c r="A196" s="140">
        <f t="shared" si="7"/>
        <v>1.3600000000000002E-5</v>
      </c>
      <c r="B196">
        <v>1.36</v>
      </c>
      <c r="C196" s="140">
        <f t="shared" si="54"/>
        <v>1.3599999999999997E-7</v>
      </c>
      <c r="D196" s="140">
        <f t="shared" si="54"/>
        <v>2.72E-7</v>
      </c>
      <c r="E196" s="140">
        <f t="shared" si="54"/>
        <v>4.0800000000000005E-7</v>
      </c>
      <c r="F196" s="140">
        <f t="shared" si="54"/>
        <v>5.4400000000000011E-7</v>
      </c>
      <c r="G196" s="140">
        <f t="shared" si="54"/>
        <v>6.8000000000000016E-7</v>
      </c>
      <c r="H196" s="157">
        <f>IF(A196&lt;$B$9*DATA!$H$1037,DATA!$H$1037,IF(A196&gt;DATA!$H$1036*$B$9,DATA!$H$1036,1))</f>
        <v>0.8</v>
      </c>
      <c r="I196" s="156">
        <f t="shared" si="53"/>
        <v>9.9999999999999995E-8</v>
      </c>
      <c r="K196" s="140">
        <f t="shared" si="9"/>
        <v>1.3600000000000002E-5</v>
      </c>
      <c r="L196">
        <v>1.36</v>
      </c>
      <c r="M196" s="140">
        <f t="shared" si="10"/>
        <v>1.3599999999999997E-7</v>
      </c>
      <c r="N196" s="140">
        <f t="shared" si="11"/>
        <v>2.72E-7</v>
      </c>
      <c r="O196" s="140">
        <f t="shared" si="12"/>
        <v>4.0800000000000005E-7</v>
      </c>
      <c r="P196" s="140">
        <f t="shared" si="13"/>
        <v>5.4400000000000011E-7</v>
      </c>
      <c r="Q196" s="140">
        <f t="shared" si="14"/>
        <v>6.8000000000000016E-7</v>
      </c>
      <c r="R196" s="157">
        <f>IF(K196&lt;$B$25*DATA!$H$1037,DATA!$H$1037,IF(K196&gt;DATA!$H$1036*$B$25,DATA!$H$1036,1))</f>
        <v>0.8</v>
      </c>
      <c r="S196" s="156">
        <f t="shared" si="50"/>
        <v>9.9999999999999995E-8</v>
      </c>
      <c r="U196" s="140">
        <f t="shared" si="15"/>
        <v>1.3600000000000002E-5</v>
      </c>
      <c r="V196">
        <v>1.36</v>
      </c>
      <c r="W196" s="140">
        <f t="shared" si="16"/>
        <v>1.3599999999999997E-7</v>
      </c>
      <c r="X196" s="140">
        <f t="shared" si="17"/>
        <v>2.72E-7</v>
      </c>
      <c r="Y196" s="140">
        <f t="shared" si="18"/>
        <v>4.0800000000000005E-7</v>
      </c>
      <c r="Z196" s="140">
        <f t="shared" si="19"/>
        <v>5.4400000000000011E-7</v>
      </c>
      <c r="AA196" s="140">
        <f t="shared" si="20"/>
        <v>6.8000000000000016E-7</v>
      </c>
      <c r="AB196" s="157">
        <f>IF(U196&lt;$B$41*DATA!$H$1037,DATA!$H$1037,IF(U196&gt;DATA!$H$1036*$B$41,DATA!$H$1036,1))</f>
        <v>0.8</v>
      </c>
      <c r="AC196" s="156">
        <f t="shared" si="51"/>
        <v>9.9999999999999995E-8</v>
      </c>
      <c r="AE196" s="140">
        <f t="shared" si="21"/>
        <v>1.3600000000000002E-5</v>
      </c>
      <c r="AF196">
        <v>1.36</v>
      </c>
      <c r="AG196" s="140">
        <f t="shared" si="22"/>
        <v>1.3599999999999997E-7</v>
      </c>
      <c r="AH196" s="140">
        <f t="shared" si="23"/>
        <v>2.72E-7</v>
      </c>
      <c r="AI196" s="140">
        <f t="shared" si="24"/>
        <v>4.0800000000000005E-7</v>
      </c>
      <c r="AJ196" s="140">
        <f t="shared" si="25"/>
        <v>5.4400000000000011E-7</v>
      </c>
      <c r="AK196" s="140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52"/>
        <v>9.9999999999999995E-8</v>
      </c>
      <c r="AO196" s="140">
        <f t="shared" si="27"/>
        <v>1.3600000000000002E-5</v>
      </c>
      <c r="AP196">
        <v>1.36</v>
      </c>
      <c r="AQ196" s="140">
        <f t="shared" si="28"/>
        <v>1.3599999999999997E-7</v>
      </c>
      <c r="AR196" s="140">
        <f t="shared" si="29"/>
        <v>2.72E-7</v>
      </c>
      <c r="AS196" s="140">
        <f t="shared" si="30"/>
        <v>4.0800000000000005E-7</v>
      </c>
      <c r="AT196" s="140">
        <f t="shared" si="31"/>
        <v>5.4400000000000011E-7</v>
      </c>
      <c r="AU196" s="140">
        <f t="shared" si="32"/>
        <v>6.8000000000000016E-7</v>
      </c>
      <c r="AV196" s="157">
        <f>IF(AO196&lt;$B$73*DATA!$H$1037,DATA!$H$1037,IF(AO196&gt;DATA!$H$1036*$B$73,DATA!$H$1036,1))</f>
        <v>1.2</v>
      </c>
      <c r="AW196" s="156">
        <f t="shared" si="33"/>
        <v>9.9999999999999995E-8</v>
      </c>
      <c r="AY196" s="140">
        <f t="shared" si="34"/>
        <v>1.3600000000000002E-5</v>
      </c>
      <c r="AZ196">
        <v>1.36</v>
      </c>
      <c r="BA196" s="140">
        <f t="shared" si="35"/>
        <v>1.3599999999999997E-7</v>
      </c>
      <c r="BB196" s="140">
        <f t="shared" si="36"/>
        <v>2.72E-7</v>
      </c>
      <c r="BC196" s="140">
        <f t="shared" si="37"/>
        <v>4.0800000000000005E-7</v>
      </c>
      <c r="BD196" s="140">
        <f t="shared" si="38"/>
        <v>5.4400000000000011E-7</v>
      </c>
      <c r="BE196" s="140">
        <f t="shared" si="39"/>
        <v>6.8000000000000016E-7</v>
      </c>
      <c r="BF196" s="157">
        <f>IF(AY196&lt;$B$89*DATA!$H$1037,DATA!$H$1037,IF(AY196&gt;DATA!$H$1036*$B$89,DATA!$H$1036,1))</f>
        <v>1.2</v>
      </c>
      <c r="BG196" s="156">
        <f t="shared" si="40"/>
        <v>9.9999999999999995E-8</v>
      </c>
      <c r="BI196" s="140">
        <f t="shared" si="41"/>
        <v>1.3600000000000002E-5</v>
      </c>
      <c r="BJ196">
        <v>1.36</v>
      </c>
      <c r="BK196" s="140">
        <f t="shared" si="42"/>
        <v>1.3599999999999997E-7</v>
      </c>
      <c r="BL196" s="140">
        <f t="shared" si="43"/>
        <v>2.72E-7</v>
      </c>
      <c r="BM196" s="140">
        <f t="shared" si="44"/>
        <v>4.0800000000000005E-7</v>
      </c>
      <c r="BN196" s="140">
        <f t="shared" si="45"/>
        <v>5.4400000000000011E-7</v>
      </c>
      <c r="BO196" s="140">
        <f t="shared" si="46"/>
        <v>6.8000000000000016E-7</v>
      </c>
      <c r="BP196" s="157">
        <f>IF(BI196&lt;$B$105*DATA!$H$1037,DATA!$H$1037,IF(BI196&gt;DATA!$H$1036*$B$105,DATA!$H$1036,1))</f>
        <v>1.2</v>
      </c>
      <c r="BQ196" s="156">
        <f t="shared" si="47"/>
        <v>9.9999999999999995E-8</v>
      </c>
    </row>
    <row r="197" spans="1:69">
      <c r="A197" s="140">
        <f t="shared" si="7"/>
        <v>1.38E-5</v>
      </c>
      <c r="B197">
        <v>1.38</v>
      </c>
      <c r="C197" s="140">
        <f t="shared" si="54"/>
        <v>1.3799999999999997E-7</v>
      </c>
      <c r="D197" s="140">
        <f t="shared" si="54"/>
        <v>2.7599999999999998E-7</v>
      </c>
      <c r="E197" s="140">
        <f t="shared" si="54"/>
        <v>4.1399999999999997E-7</v>
      </c>
      <c r="F197" s="140">
        <f t="shared" si="54"/>
        <v>5.5199999999999997E-7</v>
      </c>
      <c r="G197" s="140">
        <f t="shared" si="54"/>
        <v>6.9000000000000006E-7</v>
      </c>
      <c r="H197" s="157">
        <f>IF(A197&lt;$B$9*DATA!$H$1037,DATA!$H$1037,IF(A197&gt;DATA!$H$1036*$B$9,DATA!$H$1036,1))</f>
        <v>0.8</v>
      </c>
      <c r="I197" s="156">
        <f t="shared" si="53"/>
        <v>9.9999999999999995E-8</v>
      </c>
      <c r="K197" s="140">
        <f t="shared" si="9"/>
        <v>1.38E-5</v>
      </c>
      <c r="L197">
        <v>1.38</v>
      </c>
      <c r="M197" s="140">
        <f t="shared" si="10"/>
        <v>1.3799999999999997E-7</v>
      </c>
      <c r="N197" s="140">
        <f t="shared" si="11"/>
        <v>2.7599999999999998E-7</v>
      </c>
      <c r="O197" s="140">
        <f t="shared" si="12"/>
        <v>4.1399999999999997E-7</v>
      </c>
      <c r="P197" s="140">
        <f t="shared" si="13"/>
        <v>5.5199999999999997E-7</v>
      </c>
      <c r="Q197" s="140">
        <f t="shared" si="14"/>
        <v>6.9000000000000006E-7</v>
      </c>
      <c r="R197" s="157">
        <f>IF(K197&lt;$B$25*DATA!$H$1037,DATA!$H$1037,IF(K197&gt;DATA!$H$1036*$B$25,DATA!$H$1036,1))</f>
        <v>0.8</v>
      </c>
      <c r="S197" s="156">
        <f t="shared" si="50"/>
        <v>9.9999999999999995E-8</v>
      </c>
      <c r="U197" s="140">
        <f t="shared" si="15"/>
        <v>1.38E-5</v>
      </c>
      <c r="V197">
        <v>1.38</v>
      </c>
      <c r="W197" s="140">
        <f t="shared" si="16"/>
        <v>1.3799999999999997E-7</v>
      </c>
      <c r="X197" s="140">
        <f t="shared" si="17"/>
        <v>2.7599999999999998E-7</v>
      </c>
      <c r="Y197" s="140">
        <f t="shared" si="18"/>
        <v>4.1399999999999997E-7</v>
      </c>
      <c r="Z197" s="140">
        <f t="shared" si="19"/>
        <v>5.5199999999999997E-7</v>
      </c>
      <c r="AA197" s="140">
        <f t="shared" si="20"/>
        <v>6.9000000000000006E-7</v>
      </c>
      <c r="AB197" s="157">
        <f>IF(U197&lt;$B$41*DATA!$H$1037,DATA!$H$1037,IF(U197&gt;DATA!$H$1036*$B$41,DATA!$H$1036,1))</f>
        <v>0.8</v>
      </c>
      <c r="AC197" s="156">
        <f t="shared" si="51"/>
        <v>9.9999999999999995E-8</v>
      </c>
      <c r="AE197" s="140">
        <f t="shared" si="21"/>
        <v>1.38E-5</v>
      </c>
      <c r="AF197">
        <v>1.38</v>
      </c>
      <c r="AG197" s="140">
        <f t="shared" si="22"/>
        <v>1.3799999999999997E-7</v>
      </c>
      <c r="AH197" s="140">
        <f t="shared" si="23"/>
        <v>2.7599999999999998E-7</v>
      </c>
      <c r="AI197" s="140">
        <f t="shared" si="24"/>
        <v>4.1399999999999997E-7</v>
      </c>
      <c r="AJ197" s="140">
        <f t="shared" si="25"/>
        <v>5.5199999999999997E-7</v>
      </c>
      <c r="AK197" s="140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52"/>
        <v>9.9999999999999995E-8</v>
      </c>
      <c r="AO197" s="140">
        <f t="shared" si="27"/>
        <v>1.38E-5</v>
      </c>
      <c r="AP197">
        <v>1.38</v>
      </c>
      <c r="AQ197" s="140">
        <f t="shared" si="28"/>
        <v>1.3799999999999997E-7</v>
      </c>
      <c r="AR197" s="140">
        <f t="shared" si="29"/>
        <v>2.7599999999999998E-7</v>
      </c>
      <c r="AS197" s="140">
        <f t="shared" si="30"/>
        <v>4.1399999999999997E-7</v>
      </c>
      <c r="AT197" s="140">
        <f t="shared" si="31"/>
        <v>5.5199999999999997E-7</v>
      </c>
      <c r="AU197" s="140">
        <f t="shared" si="32"/>
        <v>6.9000000000000006E-7</v>
      </c>
      <c r="AV197" s="157">
        <f>IF(AO197&lt;$B$73*DATA!$H$1037,DATA!$H$1037,IF(AO197&gt;DATA!$H$1036*$B$73,DATA!$H$1036,1))</f>
        <v>1.2</v>
      </c>
      <c r="AW197" s="156">
        <f t="shared" si="33"/>
        <v>9.9999999999999995E-8</v>
      </c>
      <c r="AY197" s="140">
        <f t="shared" si="34"/>
        <v>1.38E-5</v>
      </c>
      <c r="AZ197">
        <v>1.38</v>
      </c>
      <c r="BA197" s="140">
        <f t="shared" si="35"/>
        <v>1.3799999999999997E-7</v>
      </c>
      <c r="BB197" s="140">
        <f t="shared" si="36"/>
        <v>2.7599999999999998E-7</v>
      </c>
      <c r="BC197" s="140">
        <f t="shared" si="37"/>
        <v>4.1399999999999997E-7</v>
      </c>
      <c r="BD197" s="140">
        <f t="shared" si="38"/>
        <v>5.5199999999999997E-7</v>
      </c>
      <c r="BE197" s="140">
        <f t="shared" si="39"/>
        <v>6.9000000000000006E-7</v>
      </c>
      <c r="BF197" s="157">
        <f>IF(AY197&lt;$B$89*DATA!$H$1037,DATA!$H$1037,IF(AY197&gt;DATA!$H$1036*$B$89,DATA!$H$1036,1))</f>
        <v>1.2</v>
      </c>
      <c r="BG197" s="156">
        <f t="shared" si="40"/>
        <v>9.9999999999999995E-8</v>
      </c>
      <c r="BI197" s="140">
        <f t="shared" si="41"/>
        <v>1.38E-5</v>
      </c>
      <c r="BJ197">
        <v>1.38</v>
      </c>
      <c r="BK197" s="140">
        <f t="shared" si="42"/>
        <v>1.3799999999999997E-7</v>
      </c>
      <c r="BL197" s="140">
        <f t="shared" si="43"/>
        <v>2.7599999999999998E-7</v>
      </c>
      <c r="BM197" s="140">
        <f t="shared" si="44"/>
        <v>4.1399999999999997E-7</v>
      </c>
      <c r="BN197" s="140">
        <f t="shared" si="45"/>
        <v>5.5199999999999997E-7</v>
      </c>
      <c r="BO197" s="140">
        <f t="shared" si="46"/>
        <v>6.9000000000000006E-7</v>
      </c>
      <c r="BP197" s="157">
        <f>IF(BI197&lt;$B$105*DATA!$H$1037,DATA!$H$1037,IF(BI197&gt;DATA!$H$1036*$B$105,DATA!$H$1036,1))</f>
        <v>1.2</v>
      </c>
      <c r="BQ197" s="156">
        <f t="shared" si="47"/>
        <v>9.9999999999999995E-8</v>
      </c>
    </row>
    <row r="198" spans="1:69">
      <c r="A198" s="140">
        <f t="shared" si="7"/>
        <v>1.4E-5</v>
      </c>
      <c r="B198">
        <v>1.4</v>
      </c>
      <c r="C198" s="140">
        <f t="shared" si="54"/>
        <v>1.3999999999999996E-7</v>
      </c>
      <c r="D198" s="140">
        <f t="shared" si="54"/>
        <v>2.7999999999999997E-7</v>
      </c>
      <c r="E198" s="140">
        <f t="shared" si="54"/>
        <v>4.2E-7</v>
      </c>
      <c r="F198" s="140">
        <f t="shared" si="54"/>
        <v>5.6000000000000004E-7</v>
      </c>
      <c r="G198" s="140">
        <f t="shared" si="54"/>
        <v>7.0000000000000007E-7</v>
      </c>
      <c r="H198" s="157">
        <f>IF(A198&lt;$B$9*DATA!$H$1037,DATA!$H$1037,IF(A198&gt;DATA!$H$1036*$B$9,DATA!$H$1036,1))</f>
        <v>0.8</v>
      </c>
      <c r="I198" s="156">
        <f t="shared" si="53"/>
        <v>9.9999999999999995E-8</v>
      </c>
      <c r="K198" s="140">
        <f t="shared" si="9"/>
        <v>1.4E-5</v>
      </c>
      <c r="L198">
        <v>1.4</v>
      </c>
      <c r="M198" s="140">
        <f t="shared" si="10"/>
        <v>1.3999999999999996E-7</v>
      </c>
      <c r="N198" s="140">
        <f t="shared" si="11"/>
        <v>2.7999999999999997E-7</v>
      </c>
      <c r="O198" s="140">
        <f t="shared" si="12"/>
        <v>4.2E-7</v>
      </c>
      <c r="P198" s="140">
        <f t="shared" si="13"/>
        <v>5.6000000000000004E-7</v>
      </c>
      <c r="Q198" s="140">
        <f t="shared" si="14"/>
        <v>7.0000000000000007E-7</v>
      </c>
      <c r="R198" s="157">
        <f>IF(K198&lt;$B$25*DATA!$H$1037,DATA!$H$1037,IF(K198&gt;DATA!$H$1036*$B$25,DATA!$H$1036,1))</f>
        <v>0.8</v>
      </c>
      <c r="S198" s="156">
        <f t="shared" si="50"/>
        <v>9.9999999999999995E-8</v>
      </c>
      <c r="U198" s="140">
        <f t="shared" si="15"/>
        <v>1.4E-5</v>
      </c>
      <c r="V198">
        <v>1.4</v>
      </c>
      <c r="W198" s="140">
        <f t="shared" si="16"/>
        <v>1.3999999999999996E-7</v>
      </c>
      <c r="X198" s="140">
        <f t="shared" si="17"/>
        <v>2.7999999999999997E-7</v>
      </c>
      <c r="Y198" s="140">
        <f t="shared" si="18"/>
        <v>4.2E-7</v>
      </c>
      <c r="Z198" s="140">
        <f t="shared" si="19"/>
        <v>5.6000000000000004E-7</v>
      </c>
      <c r="AA198" s="140">
        <f t="shared" si="20"/>
        <v>7.0000000000000007E-7</v>
      </c>
      <c r="AB198" s="157">
        <f>IF(U198&lt;$B$41*DATA!$H$1037,DATA!$H$1037,IF(U198&gt;DATA!$H$1036*$B$41,DATA!$H$1036,1))</f>
        <v>0.8</v>
      </c>
      <c r="AC198" s="156">
        <f t="shared" si="51"/>
        <v>9.9999999999999995E-8</v>
      </c>
      <c r="AE198" s="140">
        <f t="shared" si="21"/>
        <v>1.4E-5</v>
      </c>
      <c r="AF198">
        <v>1.4</v>
      </c>
      <c r="AG198" s="140">
        <f t="shared" si="22"/>
        <v>1.3999999999999996E-7</v>
      </c>
      <c r="AH198" s="140">
        <f t="shared" si="23"/>
        <v>2.7999999999999997E-7</v>
      </c>
      <c r="AI198" s="140">
        <f t="shared" si="24"/>
        <v>4.2E-7</v>
      </c>
      <c r="AJ198" s="140">
        <f t="shared" si="25"/>
        <v>5.6000000000000004E-7</v>
      </c>
      <c r="AK198" s="140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52"/>
        <v>9.9999999999999995E-8</v>
      </c>
      <c r="AO198" s="140">
        <f t="shared" si="27"/>
        <v>1.4E-5</v>
      </c>
      <c r="AP198">
        <v>1.4</v>
      </c>
      <c r="AQ198" s="140">
        <f t="shared" si="28"/>
        <v>1.3999999999999996E-7</v>
      </c>
      <c r="AR198" s="140">
        <f t="shared" si="29"/>
        <v>2.7999999999999997E-7</v>
      </c>
      <c r="AS198" s="140">
        <f t="shared" si="30"/>
        <v>4.2E-7</v>
      </c>
      <c r="AT198" s="140">
        <f t="shared" si="31"/>
        <v>5.6000000000000004E-7</v>
      </c>
      <c r="AU198" s="140">
        <f t="shared" si="32"/>
        <v>7.0000000000000007E-7</v>
      </c>
      <c r="AV198" s="157">
        <f>IF(AO198&lt;$B$73*DATA!$H$1037,DATA!$H$1037,IF(AO198&gt;DATA!$H$1036*$B$73,DATA!$H$1036,1))</f>
        <v>1.2</v>
      </c>
      <c r="AW198" s="156">
        <f t="shared" si="33"/>
        <v>9.9999999999999995E-8</v>
      </c>
      <c r="AY198" s="140">
        <f t="shared" si="34"/>
        <v>1.4E-5</v>
      </c>
      <c r="AZ198">
        <v>1.4</v>
      </c>
      <c r="BA198" s="140">
        <f t="shared" si="35"/>
        <v>1.3999999999999996E-7</v>
      </c>
      <c r="BB198" s="140">
        <f t="shared" si="36"/>
        <v>2.7999999999999997E-7</v>
      </c>
      <c r="BC198" s="140">
        <f t="shared" si="37"/>
        <v>4.2E-7</v>
      </c>
      <c r="BD198" s="140">
        <f t="shared" si="38"/>
        <v>5.6000000000000004E-7</v>
      </c>
      <c r="BE198" s="140">
        <f t="shared" si="39"/>
        <v>7.0000000000000007E-7</v>
      </c>
      <c r="BF198" s="157">
        <f>IF(AY198&lt;$B$89*DATA!$H$1037,DATA!$H$1037,IF(AY198&gt;DATA!$H$1036*$B$89,DATA!$H$1036,1))</f>
        <v>1.2</v>
      </c>
      <c r="BG198" s="156">
        <f t="shared" si="40"/>
        <v>9.9999999999999995E-8</v>
      </c>
      <c r="BI198" s="140">
        <f t="shared" si="41"/>
        <v>1.4E-5</v>
      </c>
      <c r="BJ198">
        <v>1.4</v>
      </c>
      <c r="BK198" s="140">
        <f t="shared" si="42"/>
        <v>1.3999999999999996E-7</v>
      </c>
      <c r="BL198" s="140">
        <f t="shared" si="43"/>
        <v>2.7999999999999997E-7</v>
      </c>
      <c r="BM198" s="140">
        <f t="shared" si="44"/>
        <v>4.2E-7</v>
      </c>
      <c r="BN198" s="140">
        <f t="shared" si="45"/>
        <v>5.6000000000000004E-7</v>
      </c>
      <c r="BO198" s="140">
        <f t="shared" si="46"/>
        <v>7.0000000000000007E-7</v>
      </c>
      <c r="BP198" s="157">
        <f>IF(BI198&lt;$B$105*DATA!$H$1037,DATA!$H$1037,IF(BI198&gt;DATA!$H$1036*$B$105,DATA!$H$1036,1))</f>
        <v>1.2</v>
      </c>
      <c r="BQ198" s="156">
        <f t="shared" si="47"/>
        <v>9.9999999999999995E-8</v>
      </c>
    </row>
    <row r="199" spans="1:69">
      <c r="A199" s="140">
        <f t="shared" si="7"/>
        <v>1.4200000000000001E-5</v>
      </c>
      <c r="B199">
        <v>1.42</v>
      </c>
      <c r="C199" s="140">
        <f t="shared" si="54"/>
        <v>1.4199999999999997E-7</v>
      </c>
      <c r="D199" s="140">
        <f t="shared" si="54"/>
        <v>2.84E-7</v>
      </c>
      <c r="E199" s="140">
        <f t="shared" si="54"/>
        <v>4.2600000000000003E-7</v>
      </c>
      <c r="F199" s="140">
        <f t="shared" si="54"/>
        <v>5.6800000000000011E-7</v>
      </c>
      <c r="G199" s="140">
        <f t="shared" si="54"/>
        <v>7.1000000000000008E-7</v>
      </c>
      <c r="H199" s="157">
        <f>IF(A199&lt;$B$9*DATA!$H$1037,DATA!$H$1037,IF(A199&gt;DATA!$H$1036*$B$9,DATA!$H$1036,1))</f>
        <v>0.8</v>
      </c>
      <c r="I199" s="156">
        <f t="shared" si="53"/>
        <v>9.9999999999999995E-8</v>
      </c>
      <c r="K199" s="140">
        <f t="shared" si="9"/>
        <v>1.4200000000000001E-5</v>
      </c>
      <c r="L199">
        <v>1.42</v>
      </c>
      <c r="M199" s="140">
        <f t="shared" si="10"/>
        <v>1.4199999999999997E-7</v>
      </c>
      <c r="N199" s="140">
        <f t="shared" si="11"/>
        <v>2.84E-7</v>
      </c>
      <c r="O199" s="140">
        <f t="shared" si="12"/>
        <v>4.2600000000000003E-7</v>
      </c>
      <c r="P199" s="140">
        <f t="shared" si="13"/>
        <v>5.6800000000000011E-7</v>
      </c>
      <c r="Q199" s="140">
        <f t="shared" si="14"/>
        <v>7.1000000000000008E-7</v>
      </c>
      <c r="R199" s="157">
        <f>IF(K199&lt;$B$25*DATA!$H$1037,DATA!$H$1037,IF(K199&gt;DATA!$H$1036*$B$25,DATA!$H$1036,1))</f>
        <v>0.8</v>
      </c>
      <c r="S199" s="156">
        <f t="shared" si="50"/>
        <v>9.9999999999999995E-8</v>
      </c>
      <c r="U199" s="140">
        <f t="shared" si="15"/>
        <v>1.4200000000000001E-5</v>
      </c>
      <c r="V199">
        <v>1.42</v>
      </c>
      <c r="W199" s="140">
        <f t="shared" si="16"/>
        <v>1.4199999999999997E-7</v>
      </c>
      <c r="X199" s="140">
        <f t="shared" si="17"/>
        <v>2.84E-7</v>
      </c>
      <c r="Y199" s="140">
        <f t="shared" si="18"/>
        <v>4.2600000000000003E-7</v>
      </c>
      <c r="Z199" s="140">
        <f t="shared" si="19"/>
        <v>5.6800000000000011E-7</v>
      </c>
      <c r="AA199" s="140">
        <f t="shared" si="20"/>
        <v>7.1000000000000008E-7</v>
      </c>
      <c r="AB199" s="157">
        <f>IF(U199&lt;$B$41*DATA!$H$1037,DATA!$H$1037,IF(U199&gt;DATA!$H$1036*$B$41,DATA!$H$1036,1))</f>
        <v>0.8</v>
      </c>
      <c r="AC199" s="156">
        <f t="shared" si="51"/>
        <v>9.9999999999999995E-8</v>
      </c>
      <c r="AE199" s="140">
        <f t="shared" si="21"/>
        <v>1.4200000000000001E-5</v>
      </c>
      <c r="AF199">
        <v>1.42</v>
      </c>
      <c r="AG199" s="140">
        <f t="shared" si="22"/>
        <v>1.4199999999999997E-7</v>
      </c>
      <c r="AH199" s="140">
        <f t="shared" si="23"/>
        <v>2.84E-7</v>
      </c>
      <c r="AI199" s="140">
        <f t="shared" si="24"/>
        <v>4.2600000000000003E-7</v>
      </c>
      <c r="AJ199" s="140">
        <f t="shared" si="25"/>
        <v>5.6800000000000011E-7</v>
      </c>
      <c r="AK199" s="140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52"/>
        <v>9.9999999999999995E-8</v>
      </c>
      <c r="AO199" s="140">
        <f t="shared" si="27"/>
        <v>1.4200000000000001E-5</v>
      </c>
      <c r="AP199">
        <v>1.42</v>
      </c>
      <c r="AQ199" s="140">
        <f t="shared" si="28"/>
        <v>1.4199999999999997E-7</v>
      </c>
      <c r="AR199" s="140">
        <f t="shared" si="29"/>
        <v>2.84E-7</v>
      </c>
      <c r="AS199" s="140">
        <f t="shared" si="30"/>
        <v>4.2600000000000003E-7</v>
      </c>
      <c r="AT199" s="140">
        <f t="shared" si="31"/>
        <v>5.6800000000000011E-7</v>
      </c>
      <c r="AU199" s="140">
        <f t="shared" si="32"/>
        <v>7.1000000000000008E-7</v>
      </c>
      <c r="AV199" s="157">
        <f>IF(AO199&lt;$B$73*DATA!$H$1037,DATA!$H$1037,IF(AO199&gt;DATA!$H$1036*$B$73,DATA!$H$1036,1))</f>
        <v>1.2</v>
      </c>
      <c r="AW199" s="156">
        <f t="shared" si="33"/>
        <v>9.9999999999999995E-8</v>
      </c>
      <c r="AY199" s="140">
        <f t="shared" si="34"/>
        <v>1.4200000000000001E-5</v>
      </c>
      <c r="AZ199">
        <v>1.42</v>
      </c>
      <c r="BA199" s="140">
        <f t="shared" si="35"/>
        <v>1.4199999999999997E-7</v>
      </c>
      <c r="BB199" s="140">
        <f t="shared" si="36"/>
        <v>2.84E-7</v>
      </c>
      <c r="BC199" s="140">
        <f t="shared" si="37"/>
        <v>4.2600000000000003E-7</v>
      </c>
      <c r="BD199" s="140">
        <f t="shared" si="38"/>
        <v>5.6800000000000011E-7</v>
      </c>
      <c r="BE199" s="140">
        <f t="shared" si="39"/>
        <v>7.1000000000000008E-7</v>
      </c>
      <c r="BF199" s="157">
        <f>IF(AY199&lt;$B$89*DATA!$H$1037,DATA!$H$1037,IF(AY199&gt;DATA!$H$1036*$B$89,DATA!$H$1036,1))</f>
        <v>1.2</v>
      </c>
      <c r="BG199" s="156">
        <f t="shared" si="40"/>
        <v>9.9999999999999995E-8</v>
      </c>
      <c r="BI199" s="140">
        <f t="shared" si="41"/>
        <v>1.4200000000000001E-5</v>
      </c>
      <c r="BJ199">
        <v>1.42</v>
      </c>
      <c r="BK199" s="140">
        <f t="shared" si="42"/>
        <v>1.4199999999999997E-7</v>
      </c>
      <c r="BL199" s="140">
        <f t="shared" si="43"/>
        <v>2.84E-7</v>
      </c>
      <c r="BM199" s="140">
        <f t="shared" si="44"/>
        <v>4.2600000000000003E-7</v>
      </c>
      <c r="BN199" s="140">
        <f t="shared" si="45"/>
        <v>5.6800000000000011E-7</v>
      </c>
      <c r="BO199" s="140">
        <f t="shared" si="46"/>
        <v>7.1000000000000008E-7</v>
      </c>
      <c r="BP199" s="157">
        <f>IF(BI199&lt;$B$105*DATA!$H$1037,DATA!$H$1037,IF(BI199&gt;DATA!$H$1036*$B$105,DATA!$H$1036,1))</f>
        <v>1.2</v>
      </c>
      <c r="BQ199" s="156">
        <f t="shared" si="47"/>
        <v>9.9999999999999995E-8</v>
      </c>
    </row>
    <row r="200" spans="1:69">
      <c r="A200" s="140">
        <f t="shared" si="7"/>
        <v>1.4400000000000001E-5</v>
      </c>
      <c r="B200">
        <v>1.44</v>
      </c>
      <c r="C200" s="140">
        <f t="shared" si="54"/>
        <v>1.4399999999999997E-7</v>
      </c>
      <c r="D200" s="140">
        <f t="shared" si="54"/>
        <v>2.8799999999999998E-7</v>
      </c>
      <c r="E200" s="140">
        <f t="shared" si="54"/>
        <v>4.32E-7</v>
      </c>
      <c r="F200" s="140">
        <f t="shared" si="54"/>
        <v>5.7600000000000008E-7</v>
      </c>
      <c r="G200" s="140">
        <f t="shared" si="54"/>
        <v>7.2000000000000009E-7</v>
      </c>
      <c r="H200" s="157">
        <f>IF(A200&lt;$B$9*DATA!$H$1037,DATA!$H$1037,IF(A200&gt;DATA!$H$1036*$B$9,DATA!$H$1036,1))</f>
        <v>0.8</v>
      </c>
      <c r="I200" s="156">
        <f t="shared" si="53"/>
        <v>9.9999999999999995E-8</v>
      </c>
      <c r="K200" s="140">
        <f t="shared" si="9"/>
        <v>1.4400000000000001E-5</v>
      </c>
      <c r="L200">
        <v>1.44</v>
      </c>
      <c r="M200" s="140">
        <f t="shared" si="10"/>
        <v>1.4399999999999997E-7</v>
      </c>
      <c r="N200" s="140">
        <f t="shared" si="11"/>
        <v>2.8799999999999998E-7</v>
      </c>
      <c r="O200" s="140">
        <f t="shared" si="12"/>
        <v>4.32E-7</v>
      </c>
      <c r="P200" s="140">
        <f t="shared" si="13"/>
        <v>5.7600000000000008E-7</v>
      </c>
      <c r="Q200" s="140">
        <f t="shared" si="14"/>
        <v>7.2000000000000009E-7</v>
      </c>
      <c r="R200" s="157">
        <f>IF(K200&lt;$B$25*DATA!$H$1037,DATA!$H$1037,IF(K200&gt;DATA!$H$1036*$B$25,DATA!$H$1036,1))</f>
        <v>0.8</v>
      </c>
      <c r="S200" s="156">
        <f t="shared" si="50"/>
        <v>9.9999999999999995E-8</v>
      </c>
      <c r="U200" s="140">
        <f t="shared" si="15"/>
        <v>1.4400000000000001E-5</v>
      </c>
      <c r="V200">
        <v>1.44</v>
      </c>
      <c r="W200" s="140">
        <f t="shared" si="16"/>
        <v>1.4399999999999997E-7</v>
      </c>
      <c r="X200" s="140">
        <f t="shared" si="17"/>
        <v>2.8799999999999998E-7</v>
      </c>
      <c r="Y200" s="140">
        <f t="shared" si="18"/>
        <v>4.32E-7</v>
      </c>
      <c r="Z200" s="140">
        <f t="shared" si="19"/>
        <v>5.7600000000000008E-7</v>
      </c>
      <c r="AA200" s="140">
        <f t="shared" si="20"/>
        <v>7.2000000000000009E-7</v>
      </c>
      <c r="AB200" s="157">
        <f>IF(U200&lt;$B$41*DATA!$H$1037,DATA!$H$1037,IF(U200&gt;DATA!$H$1036*$B$41,DATA!$H$1036,1))</f>
        <v>0.8</v>
      </c>
      <c r="AC200" s="156">
        <f t="shared" si="51"/>
        <v>9.9999999999999995E-8</v>
      </c>
      <c r="AE200" s="140">
        <f t="shared" si="21"/>
        <v>1.4400000000000001E-5</v>
      </c>
      <c r="AF200">
        <v>1.44</v>
      </c>
      <c r="AG200" s="140">
        <f t="shared" si="22"/>
        <v>1.4399999999999997E-7</v>
      </c>
      <c r="AH200" s="140">
        <f t="shared" si="23"/>
        <v>2.8799999999999998E-7</v>
      </c>
      <c r="AI200" s="140">
        <f t="shared" si="24"/>
        <v>4.32E-7</v>
      </c>
      <c r="AJ200" s="140">
        <f t="shared" si="25"/>
        <v>5.7600000000000008E-7</v>
      </c>
      <c r="AK200" s="140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52"/>
        <v>9.9999999999999995E-8</v>
      </c>
      <c r="AO200" s="140">
        <f t="shared" si="27"/>
        <v>1.4400000000000001E-5</v>
      </c>
      <c r="AP200">
        <v>1.44</v>
      </c>
      <c r="AQ200" s="140">
        <f t="shared" si="28"/>
        <v>1.4399999999999997E-7</v>
      </c>
      <c r="AR200" s="140">
        <f t="shared" si="29"/>
        <v>2.8799999999999998E-7</v>
      </c>
      <c r="AS200" s="140">
        <f t="shared" si="30"/>
        <v>4.32E-7</v>
      </c>
      <c r="AT200" s="140">
        <f t="shared" si="31"/>
        <v>5.7600000000000008E-7</v>
      </c>
      <c r="AU200" s="140">
        <f t="shared" si="32"/>
        <v>7.2000000000000009E-7</v>
      </c>
      <c r="AV200" s="157">
        <f>IF(AO200&lt;$B$73*DATA!$H$1037,DATA!$H$1037,IF(AO200&gt;DATA!$H$1036*$B$73,DATA!$H$1036,1))</f>
        <v>1.2</v>
      </c>
      <c r="AW200" s="156">
        <f t="shared" si="33"/>
        <v>9.9999999999999995E-8</v>
      </c>
      <c r="AY200" s="140">
        <f t="shared" si="34"/>
        <v>1.4400000000000001E-5</v>
      </c>
      <c r="AZ200">
        <v>1.44</v>
      </c>
      <c r="BA200" s="140">
        <f t="shared" si="35"/>
        <v>1.4399999999999997E-7</v>
      </c>
      <c r="BB200" s="140">
        <f t="shared" si="36"/>
        <v>2.8799999999999998E-7</v>
      </c>
      <c r="BC200" s="140">
        <f t="shared" si="37"/>
        <v>4.32E-7</v>
      </c>
      <c r="BD200" s="140">
        <f t="shared" si="38"/>
        <v>5.7600000000000008E-7</v>
      </c>
      <c r="BE200" s="140">
        <f t="shared" si="39"/>
        <v>7.2000000000000009E-7</v>
      </c>
      <c r="BF200" s="157">
        <f>IF(AY200&lt;$B$89*DATA!$H$1037,DATA!$H$1037,IF(AY200&gt;DATA!$H$1036*$B$89,DATA!$H$1036,1))</f>
        <v>1.2</v>
      </c>
      <c r="BG200" s="156">
        <f t="shared" si="40"/>
        <v>9.9999999999999995E-8</v>
      </c>
      <c r="BI200" s="140">
        <f t="shared" si="41"/>
        <v>1.4400000000000001E-5</v>
      </c>
      <c r="BJ200">
        <v>1.44</v>
      </c>
      <c r="BK200" s="140">
        <f t="shared" si="42"/>
        <v>1.4399999999999997E-7</v>
      </c>
      <c r="BL200" s="140">
        <f t="shared" si="43"/>
        <v>2.8799999999999998E-7</v>
      </c>
      <c r="BM200" s="140">
        <f t="shared" si="44"/>
        <v>4.32E-7</v>
      </c>
      <c r="BN200" s="140">
        <f t="shared" si="45"/>
        <v>5.7600000000000008E-7</v>
      </c>
      <c r="BO200" s="140">
        <f t="shared" si="46"/>
        <v>7.2000000000000009E-7</v>
      </c>
      <c r="BP200" s="157">
        <f>IF(BI200&lt;$B$105*DATA!$H$1037,DATA!$H$1037,IF(BI200&gt;DATA!$H$1036*$B$105,DATA!$H$1036,1))</f>
        <v>1.2</v>
      </c>
      <c r="BQ200" s="156">
        <f t="shared" si="47"/>
        <v>9.9999999999999995E-8</v>
      </c>
    </row>
    <row r="201" spans="1:69">
      <c r="A201" s="140">
        <f t="shared" si="7"/>
        <v>1.4600000000000001E-5</v>
      </c>
      <c r="B201">
        <v>1.46</v>
      </c>
      <c r="C201" s="140">
        <f t="shared" si="54"/>
        <v>1.4599999999999996E-7</v>
      </c>
      <c r="D201" s="140">
        <f t="shared" si="54"/>
        <v>2.9199999999999997E-7</v>
      </c>
      <c r="E201" s="140">
        <f t="shared" si="54"/>
        <v>4.3800000000000003E-7</v>
      </c>
      <c r="F201" s="140">
        <f t="shared" si="54"/>
        <v>5.8400000000000004E-7</v>
      </c>
      <c r="G201" s="140">
        <f t="shared" si="54"/>
        <v>7.300000000000001E-7</v>
      </c>
      <c r="H201" s="157">
        <f>IF(A201&lt;$B$9*DATA!$H$1037,DATA!$H$1037,IF(A201&gt;DATA!$H$1036*$B$9,DATA!$H$1036,1))</f>
        <v>0.8</v>
      </c>
      <c r="I201" s="156">
        <f t="shared" si="53"/>
        <v>9.9999999999999995E-8</v>
      </c>
      <c r="K201" s="140">
        <f t="shared" si="9"/>
        <v>1.4600000000000001E-5</v>
      </c>
      <c r="L201">
        <v>1.46</v>
      </c>
      <c r="M201" s="140">
        <f t="shared" si="10"/>
        <v>1.4599999999999996E-7</v>
      </c>
      <c r="N201" s="140">
        <f t="shared" si="11"/>
        <v>2.9199999999999997E-7</v>
      </c>
      <c r="O201" s="140">
        <f t="shared" si="12"/>
        <v>4.3800000000000003E-7</v>
      </c>
      <c r="P201" s="140">
        <f t="shared" si="13"/>
        <v>5.8400000000000004E-7</v>
      </c>
      <c r="Q201" s="140">
        <f t="shared" si="14"/>
        <v>7.300000000000001E-7</v>
      </c>
      <c r="R201" s="157">
        <f>IF(K201&lt;$B$25*DATA!$H$1037,DATA!$H$1037,IF(K201&gt;DATA!$H$1036*$B$25,DATA!$H$1036,1))</f>
        <v>0.8</v>
      </c>
      <c r="S201" s="156">
        <f t="shared" si="50"/>
        <v>9.9999999999999995E-8</v>
      </c>
      <c r="U201" s="140">
        <f t="shared" si="15"/>
        <v>1.4600000000000001E-5</v>
      </c>
      <c r="V201">
        <v>1.46</v>
      </c>
      <c r="W201" s="140">
        <f t="shared" si="16"/>
        <v>1.4599999999999996E-7</v>
      </c>
      <c r="X201" s="140">
        <f t="shared" si="17"/>
        <v>2.9199999999999997E-7</v>
      </c>
      <c r="Y201" s="140">
        <f t="shared" si="18"/>
        <v>4.3800000000000003E-7</v>
      </c>
      <c r="Z201" s="140">
        <f t="shared" si="19"/>
        <v>5.8400000000000004E-7</v>
      </c>
      <c r="AA201" s="140">
        <f t="shared" si="20"/>
        <v>7.300000000000001E-7</v>
      </c>
      <c r="AB201" s="157">
        <f>IF(U201&lt;$B$41*DATA!$H$1037,DATA!$H$1037,IF(U201&gt;DATA!$H$1036*$B$41,DATA!$H$1036,1))</f>
        <v>0.8</v>
      </c>
      <c r="AC201" s="156">
        <f t="shared" si="51"/>
        <v>9.9999999999999995E-8</v>
      </c>
      <c r="AE201" s="140">
        <f t="shared" si="21"/>
        <v>1.4600000000000001E-5</v>
      </c>
      <c r="AF201">
        <v>1.46</v>
      </c>
      <c r="AG201" s="140">
        <f t="shared" si="22"/>
        <v>1.4599999999999996E-7</v>
      </c>
      <c r="AH201" s="140">
        <f t="shared" si="23"/>
        <v>2.9199999999999997E-7</v>
      </c>
      <c r="AI201" s="140">
        <f t="shared" si="24"/>
        <v>4.3800000000000003E-7</v>
      </c>
      <c r="AJ201" s="140">
        <f t="shared" si="25"/>
        <v>5.8400000000000004E-7</v>
      </c>
      <c r="AK201" s="140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52"/>
        <v>9.9999999999999995E-8</v>
      </c>
      <c r="AO201" s="140">
        <f t="shared" si="27"/>
        <v>1.4600000000000001E-5</v>
      </c>
      <c r="AP201">
        <v>1.46</v>
      </c>
      <c r="AQ201" s="140">
        <f t="shared" si="28"/>
        <v>1.4599999999999996E-7</v>
      </c>
      <c r="AR201" s="140">
        <f t="shared" si="29"/>
        <v>2.9199999999999997E-7</v>
      </c>
      <c r="AS201" s="140">
        <f t="shared" si="30"/>
        <v>4.3800000000000003E-7</v>
      </c>
      <c r="AT201" s="140">
        <f t="shared" si="31"/>
        <v>5.8400000000000004E-7</v>
      </c>
      <c r="AU201" s="140">
        <f t="shared" si="32"/>
        <v>7.300000000000001E-7</v>
      </c>
      <c r="AV201" s="157">
        <f>IF(AO201&lt;$B$73*DATA!$H$1037,DATA!$H$1037,IF(AO201&gt;DATA!$H$1036*$B$73,DATA!$H$1036,1))</f>
        <v>1.2</v>
      </c>
      <c r="AW201" s="156">
        <f t="shared" si="33"/>
        <v>9.9999999999999995E-8</v>
      </c>
      <c r="AY201" s="140">
        <f t="shared" si="34"/>
        <v>1.4600000000000001E-5</v>
      </c>
      <c r="AZ201">
        <v>1.46</v>
      </c>
      <c r="BA201" s="140">
        <f t="shared" si="35"/>
        <v>1.4599999999999996E-7</v>
      </c>
      <c r="BB201" s="140">
        <f t="shared" si="36"/>
        <v>2.9199999999999997E-7</v>
      </c>
      <c r="BC201" s="140">
        <f t="shared" si="37"/>
        <v>4.3800000000000003E-7</v>
      </c>
      <c r="BD201" s="140">
        <f t="shared" si="38"/>
        <v>5.8400000000000004E-7</v>
      </c>
      <c r="BE201" s="140">
        <f t="shared" si="39"/>
        <v>7.300000000000001E-7</v>
      </c>
      <c r="BF201" s="157">
        <f>IF(AY201&lt;$B$89*DATA!$H$1037,DATA!$H$1037,IF(AY201&gt;DATA!$H$1036*$B$89,DATA!$H$1036,1))</f>
        <v>1.2</v>
      </c>
      <c r="BG201" s="156">
        <f t="shared" si="40"/>
        <v>9.9999999999999995E-8</v>
      </c>
      <c r="BI201" s="140">
        <f t="shared" si="41"/>
        <v>1.4600000000000001E-5</v>
      </c>
      <c r="BJ201">
        <v>1.46</v>
      </c>
      <c r="BK201" s="140">
        <f t="shared" si="42"/>
        <v>1.4599999999999996E-7</v>
      </c>
      <c r="BL201" s="140">
        <f t="shared" si="43"/>
        <v>2.9199999999999997E-7</v>
      </c>
      <c r="BM201" s="140">
        <f t="shared" si="44"/>
        <v>4.3800000000000003E-7</v>
      </c>
      <c r="BN201" s="140">
        <f t="shared" si="45"/>
        <v>5.8400000000000004E-7</v>
      </c>
      <c r="BO201" s="140">
        <f t="shared" si="46"/>
        <v>7.300000000000001E-7</v>
      </c>
      <c r="BP201" s="157">
        <f>IF(BI201&lt;$B$105*DATA!$H$1037,DATA!$H$1037,IF(BI201&gt;DATA!$H$1036*$B$105,DATA!$H$1036,1))</f>
        <v>1.2</v>
      </c>
      <c r="BQ201" s="156">
        <f t="shared" si="47"/>
        <v>9.9999999999999995E-8</v>
      </c>
    </row>
    <row r="202" spans="1:69">
      <c r="A202" s="140">
        <f t="shared" si="7"/>
        <v>1.4800000000000001E-5</v>
      </c>
      <c r="B202">
        <v>1.48</v>
      </c>
      <c r="C202" s="140">
        <f t="shared" si="54"/>
        <v>1.4799999999999995E-7</v>
      </c>
      <c r="D202" s="140">
        <f t="shared" si="54"/>
        <v>2.9599999999999995E-7</v>
      </c>
      <c r="E202" s="140">
        <f t="shared" si="54"/>
        <v>4.4400000000000001E-7</v>
      </c>
      <c r="F202" s="140">
        <f t="shared" si="54"/>
        <v>5.9200000000000001E-7</v>
      </c>
      <c r="G202" s="140">
        <f t="shared" si="54"/>
        <v>7.4000000000000011E-7</v>
      </c>
      <c r="H202" s="157">
        <f>IF(A202&lt;$B$9*DATA!$H$1037,DATA!$H$1037,IF(A202&gt;DATA!$H$1036*$B$9,DATA!$H$1036,1))</f>
        <v>0.8</v>
      </c>
      <c r="I202" s="156">
        <f t="shared" si="53"/>
        <v>9.9999999999999995E-8</v>
      </c>
      <c r="K202" s="140">
        <f t="shared" si="9"/>
        <v>1.4800000000000001E-5</v>
      </c>
      <c r="L202">
        <v>1.48</v>
      </c>
      <c r="M202" s="140">
        <f t="shared" si="10"/>
        <v>1.4799999999999995E-7</v>
      </c>
      <c r="N202" s="140">
        <f t="shared" si="11"/>
        <v>2.9599999999999995E-7</v>
      </c>
      <c r="O202" s="140">
        <f t="shared" si="12"/>
        <v>4.4400000000000001E-7</v>
      </c>
      <c r="P202" s="140">
        <f t="shared" si="13"/>
        <v>5.9200000000000001E-7</v>
      </c>
      <c r="Q202" s="140">
        <f t="shared" si="14"/>
        <v>7.4000000000000011E-7</v>
      </c>
      <c r="R202" s="157">
        <f>IF(K202&lt;$B$25*DATA!$H$1037,DATA!$H$1037,IF(K202&gt;DATA!$H$1036*$B$25,DATA!$H$1036,1))</f>
        <v>0.8</v>
      </c>
      <c r="S202" s="156">
        <f t="shared" si="50"/>
        <v>9.9999999999999995E-8</v>
      </c>
      <c r="U202" s="140">
        <f t="shared" si="15"/>
        <v>1.4800000000000001E-5</v>
      </c>
      <c r="V202">
        <v>1.48</v>
      </c>
      <c r="W202" s="140">
        <f t="shared" si="16"/>
        <v>1.4799999999999995E-7</v>
      </c>
      <c r="X202" s="140">
        <f t="shared" si="17"/>
        <v>2.9599999999999995E-7</v>
      </c>
      <c r="Y202" s="140">
        <f t="shared" si="18"/>
        <v>4.4400000000000001E-7</v>
      </c>
      <c r="Z202" s="140">
        <f t="shared" si="19"/>
        <v>5.9200000000000001E-7</v>
      </c>
      <c r="AA202" s="140">
        <f t="shared" si="20"/>
        <v>7.4000000000000011E-7</v>
      </c>
      <c r="AB202" s="157">
        <f>IF(U202&lt;$B$41*DATA!$H$1037,DATA!$H$1037,IF(U202&gt;DATA!$H$1036*$B$41,DATA!$H$1036,1))</f>
        <v>0.8</v>
      </c>
      <c r="AC202" s="156">
        <f t="shared" si="51"/>
        <v>9.9999999999999995E-8</v>
      </c>
      <c r="AE202" s="140">
        <f t="shared" si="21"/>
        <v>1.4800000000000001E-5</v>
      </c>
      <c r="AF202">
        <v>1.48</v>
      </c>
      <c r="AG202" s="140">
        <f t="shared" si="22"/>
        <v>1.4799999999999995E-7</v>
      </c>
      <c r="AH202" s="140">
        <f t="shared" si="23"/>
        <v>2.9599999999999995E-7</v>
      </c>
      <c r="AI202" s="140">
        <f t="shared" si="24"/>
        <v>4.4400000000000001E-7</v>
      </c>
      <c r="AJ202" s="140">
        <f t="shared" si="25"/>
        <v>5.9200000000000001E-7</v>
      </c>
      <c r="AK202" s="140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52"/>
        <v>9.9999999999999995E-8</v>
      </c>
      <c r="AO202" s="140">
        <f t="shared" si="27"/>
        <v>1.4800000000000001E-5</v>
      </c>
      <c r="AP202">
        <v>1.48</v>
      </c>
      <c r="AQ202" s="140">
        <f t="shared" si="28"/>
        <v>1.4799999999999995E-7</v>
      </c>
      <c r="AR202" s="140">
        <f t="shared" si="29"/>
        <v>2.9599999999999995E-7</v>
      </c>
      <c r="AS202" s="140">
        <f t="shared" si="30"/>
        <v>4.4400000000000001E-7</v>
      </c>
      <c r="AT202" s="140">
        <f t="shared" si="31"/>
        <v>5.9200000000000001E-7</v>
      </c>
      <c r="AU202" s="140">
        <f t="shared" si="32"/>
        <v>7.4000000000000011E-7</v>
      </c>
      <c r="AV202" s="157">
        <f>IF(AO202&lt;$B$73*DATA!$H$1037,DATA!$H$1037,IF(AO202&gt;DATA!$H$1036*$B$73,DATA!$H$1036,1))</f>
        <v>1.2</v>
      </c>
      <c r="AW202" s="156">
        <f t="shared" si="33"/>
        <v>9.9999999999999995E-8</v>
      </c>
      <c r="AY202" s="140">
        <f t="shared" si="34"/>
        <v>1.4800000000000001E-5</v>
      </c>
      <c r="AZ202">
        <v>1.48</v>
      </c>
      <c r="BA202" s="140">
        <f t="shared" si="35"/>
        <v>1.4799999999999995E-7</v>
      </c>
      <c r="BB202" s="140">
        <f t="shared" si="36"/>
        <v>2.9599999999999995E-7</v>
      </c>
      <c r="BC202" s="140">
        <f t="shared" si="37"/>
        <v>4.4400000000000001E-7</v>
      </c>
      <c r="BD202" s="140">
        <f t="shared" si="38"/>
        <v>5.9200000000000001E-7</v>
      </c>
      <c r="BE202" s="140">
        <f t="shared" si="39"/>
        <v>7.4000000000000011E-7</v>
      </c>
      <c r="BF202" s="157">
        <f>IF(AY202&lt;$B$89*DATA!$H$1037,DATA!$H$1037,IF(AY202&gt;DATA!$H$1036*$B$89,DATA!$H$1036,1))</f>
        <v>1.2</v>
      </c>
      <c r="BG202" s="156">
        <f t="shared" si="40"/>
        <v>9.9999999999999995E-8</v>
      </c>
      <c r="BI202" s="140">
        <f t="shared" si="41"/>
        <v>1.4800000000000001E-5</v>
      </c>
      <c r="BJ202">
        <v>1.48</v>
      </c>
      <c r="BK202" s="140">
        <f t="shared" si="42"/>
        <v>1.4799999999999995E-7</v>
      </c>
      <c r="BL202" s="140">
        <f t="shared" si="43"/>
        <v>2.9599999999999995E-7</v>
      </c>
      <c r="BM202" s="140">
        <f t="shared" si="44"/>
        <v>4.4400000000000001E-7</v>
      </c>
      <c r="BN202" s="140">
        <f t="shared" si="45"/>
        <v>5.9200000000000001E-7</v>
      </c>
      <c r="BO202" s="140">
        <f t="shared" si="46"/>
        <v>7.4000000000000011E-7</v>
      </c>
      <c r="BP202" s="157">
        <f>IF(BI202&lt;$B$105*DATA!$H$1037,DATA!$H$1037,IF(BI202&gt;DATA!$H$1036*$B$105,DATA!$H$1036,1))</f>
        <v>1.2</v>
      </c>
      <c r="BQ202" s="156">
        <f t="shared" si="47"/>
        <v>9.9999999999999995E-8</v>
      </c>
    </row>
    <row r="203" spans="1:69">
      <c r="A203" s="140">
        <f t="shared" si="7"/>
        <v>1.5000000000000002E-5</v>
      </c>
      <c r="B203">
        <v>1.5</v>
      </c>
      <c r="C203" s="140">
        <f t="shared" si="54"/>
        <v>1.4999999999999997E-7</v>
      </c>
      <c r="D203" s="140">
        <f t="shared" si="54"/>
        <v>2.9999999999999999E-7</v>
      </c>
      <c r="E203" s="140">
        <f t="shared" si="54"/>
        <v>4.5000000000000003E-7</v>
      </c>
      <c r="F203" s="140">
        <f t="shared" si="54"/>
        <v>6.0000000000000008E-7</v>
      </c>
      <c r="G203" s="140">
        <f t="shared" si="54"/>
        <v>7.5000000000000012E-7</v>
      </c>
      <c r="H203" s="157">
        <f>IF(A203&lt;$B$9*DATA!$H$1037,DATA!$H$1037,IF(A203&gt;DATA!$H$1036*$B$9,DATA!$H$1036,1))</f>
        <v>0.8</v>
      </c>
      <c r="I203" s="156">
        <f t="shared" si="53"/>
        <v>9.9999999999999995E-8</v>
      </c>
      <c r="K203" s="140">
        <f t="shared" si="9"/>
        <v>1.5000000000000002E-5</v>
      </c>
      <c r="L203">
        <v>1.5</v>
      </c>
      <c r="M203" s="140">
        <f t="shared" si="10"/>
        <v>1.4999999999999997E-7</v>
      </c>
      <c r="N203" s="140">
        <f t="shared" si="11"/>
        <v>2.9999999999999999E-7</v>
      </c>
      <c r="O203" s="140">
        <f t="shared" si="12"/>
        <v>4.5000000000000003E-7</v>
      </c>
      <c r="P203" s="140">
        <f t="shared" si="13"/>
        <v>6.0000000000000008E-7</v>
      </c>
      <c r="Q203" s="140">
        <f t="shared" si="14"/>
        <v>7.5000000000000012E-7</v>
      </c>
      <c r="R203" s="157">
        <f>IF(K203&lt;$B$25*DATA!$H$1037,DATA!$H$1037,IF(K203&gt;DATA!$H$1036*$B$25,DATA!$H$1036,1))</f>
        <v>0.8</v>
      </c>
      <c r="S203" s="156">
        <f t="shared" si="50"/>
        <v>9.9999999999999995E-8</v>
      </c>
      <c r="U203" s="140">
        <f t="shared" si="15"/>
        <v>1.5000000000000002E-5</v>
      </c>
      <c r="V203">
        <v>1.5</v>
      </c>
      <c r="W203" s="140">
        <f t="shared" si="16"/>
        <v>1.4999999999999997E-7</v>
      </c>
      <c r="X203" s="140">
        <f t="shared" si="17"/>
        <v>2.9999999999999999E-7</v>
      </c>
      <c r="Y203" s="140">
        <f t="shared" si="18"/>
        <v>4.5000000000000003E-7</v>
      </c>
      <c r="Z203" s="140">
        <f t="shared" si="19"/>
        <v>6.0000000000000008E-7</v>
      </c>
      <c r="AA203" s="140">
        <f t="shared" si="20"/>
        <v>7.5000000000000012E-7</v>
      </c>
      <c r="AB203" s="157">
        <f>IF(U203&lt;$B$41*DATA!$H$1037,DATA!$H$1037,IF(U203&gt;DATA!$H$1036*$B$41,DATA!$H$1036,1))</f>
        <v>0.8</v>
      </c>
      <c r="AC203" s="156">
        <f t="shared" si="51"/>
        <v>9.9999999999999995E-8</v>
      </c>
      <c r="AE203" s="140">
        <f t="shared" si="21"/>
        <v>1.5000000000000002E-5</v>
      </c>
      <c r="AF203">
        <v>1.5</v>
      </c>
      <c r="AG203" s="140">
        <f t="shared" si="22"/>
        <v>1.4999999999999997E-7</v>
      </c>
      <c r="AH203" s="140">
        <f t="shared" si="23"/>
        <v>2.9999999999999999E-7</v>
      </c>
      <c r="AI203" s="140">
        <f t="shared" si="24"/>
        <v>4.5000000000000003E-7</v>
      </c>
      <c r="AJ203" s="140">
        <f t="shared" si="25"/>
        <v>6.0000000000000008E-7</v>
      </c>
      <c r="AK203" s="140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52"/>
        <v>9.9999999999999995E-8</v>
      </c>
      <c r="AO203" s="140">
        <f t="shared" si="27"/>
        <v>1.5000000000000002E-5</v>
      </c>
      <c r="AP203">
        <v>1.5</v>
      </c>
      <c r="AQ203" s="140">
        <f t="shared" si="28"/>
        <v>1.4999999999999997E-7</v>
      </c>
      <c r="AR203" s="140">
        <f t="shared" si="29"/>
        <v>2.9999999999999999E-7</v>
      </c>
      <c r="AS203" s="140">
        <f t="shared" si="30"/>
        <v>4.5000000000000003E-7</v>
      </c>
      <c r="AT203" s="140">
        <f t="shared" si="31"/>
        <v>6.0000000000000008E-7</v>
      </c>
      <c r="AU203" s="140">
        <f t="shared" si="32"/>
        <v>7.5000000000000012E-7</v>
      </c>
      <c r="AV203" s="157">
        <f>IF(AO203&lt;$B$73*DATA!$H$1037,DATA!$H$1037,IF(AO203&gt;DATA!$H$1036*$B$73,DATA!$H$1036,1))</f>
        <v>1.2</v>
      </c>
      <c r="AW203" s="156">
        <f t="shared" si="33"/>
        <v>9.9999999999999995E-8</v>
      </c>
      <c r="AY203" s="140">
        <f t="shared" si="34"/>
        <v>1.5000000000000002E-5</v>
      </c>
      <c r="AZ203">
        <v>1.5</v>
      </c>
      <c r="BA203" s="140">
        <f t="shared" si="35"/>
        <v>1.4999999999999997E-7</v>
      </c>
      <c r="BB203" s="140">
        <f t="shared" si="36"/>
        <v>2.9999999999999999E-7</v>
      </c>
      <c r="BC203" s="140">
        <f t="shared" si="37"/>
        <v>4.5000000000000003E-7</v>
      </c>
      <c r="BD203" s="140">
        <f t="shared" si="38"/>
        <v>6.0000000000000008E-7</v>
      </c>
      <c r="BE203" s="140">
        <f t="shared" si="39"/>
        <v>7.5000000000000012E-7</v>
      </c>
      <c r="BF203" s="157">
        <f>IF(AY203&lt;$B$89*DATA!$H$1037,DATA!$H$1037,IF(AY203&gt;DATA!$H$1036*$B$89,DATA!$H$1036,1))</f>
        <v>1.2</v>
      </c>
      <c r="BG203" s="156">
        <f t="shared" si="40"/>
        <v>9.9999999999999995E-8</v>
      </c>
      <c r="BI203" s="140">
        <f t="shared" si="41"/>
        <v>1.5000000000000002E-5</v>
      </c>
      <c r="BJ203">
        <v>1.5</v>
      </c>
      <c r="BK203" s="140">
        <f t="shared" si="42"/>
        <v>1.4999999999999997E-7</v>
      </c>
      <c r="BL203" s="140">
        <f t="shared" si="43"/>
        <v>2.9999999999999999E-7</v>
      </c>
      <c r="BM203" s="140">
        <f t="shared" si="44"/>
        <v>4.5000000000000003E-7</v>
      </c>
      <c r="BN203" s="140">
        <f t="shared" si="45"/>
        <v>6.0000000000000008E-7</v>
      </c>
      <c r="BO203" s="140">
        <f t="shared" si="46"/>
        <v>7.5000000000000012E-7</v>
      </c>
      <c r="BP203" s="157">
        <f>IF(BI203&lt;$B$105*DATA!$H$1037,DATA!$H$1037,IF(BI203&gt;DATA!$H$1036*$B$105,DATA!$H$1036,1))</f>
        <v>1.2</v>
      </c>
      <c r="BQ203" s="156">
        <f t="shared" si="47"/>
        <v>9.9999999999999995E-8</v>
      </c>
    </row>
    <row r="204" spans="1:69">
      <c r="A204" s="140">
        <f t="shared" si="7"/>
        <v>1.5200000000000002E-5</v>
      </c>
      <c r="B204">
        <v>1.52</v>
      </c>
      <c r="C204" s="140">
        <f t="shared" si="54"/>
        <v>1.5199999999999996E-7</v>
      </c>
      <c r="D204" s="140">
        <f t="shared" si="54"/>
        <v>3.0399999999999997E-7</v>
      </c>
      <c r="E204" s="140">
        <f t="shared" si="54"/>
        <v>4.5600000000000006E-7</v>
      </c>
      <c r="F204" s="140">
        <f t="shared" si="54"/>
        <v>6.0800000000000004E-7</v>
      </c>
      <c r="G204" s="140">
        <f t="shared" si="54"/>
        <v>7.6000000000000014E-7</v>
      </c>
      <c r="H204" s="157">
        <f>IF(A204&lt;$B$9*DATA!$H$1037,DATA!$H$1037,IF(A204&gt;DATA!$H$1036*$B$9,DATA!$H$1036,1))</f>
        <v>0.8</v>
      </c>
      <c r="I204" s="156">
        <f t="shared" si="53"/>
        <v>9.9999999999999995E-8</v>
      </c>
      <c r="K204" s="140">
        <f t="shared" si="9"/>
        <v>1.5200000000000002E-5</v>
      </c>
      <c r="L204">
        <v>1.52</v>
      </c>
      <c r="M204" s="140">
        <f t="shared" si="10"/>
        <v>1.5199999999999996E-7</v>
      </c>
      <c r="N204" s="140">
        <f t="shared" si="11"/>
        <v>3.0399999999999997E-7</v>
      </c>
      <c r="O204" s="140">
        <f t="shared" si="12"/>
        <v>4.5600000000000006E-7</v>
      </c>
      <c r="P204" s="140">
        <f t="shared" si="13"/>
        <v>6.0800000000000004E-7</v>
      </c>
      <c r="Q204" s="140">
        <f t="shared" si="14"/>
        <v>7.6000000000000014E-7</v>
      </c>
      <c r="R204" s="157">
        <f>IF(K204&lt;$B$25*DATA!$H$1037,DATA!$H$1037,IF(K204&gt;DATA!$H$1036*$B$25,DATA!$H$1036,1))</f>
        <v>0.8</v>
      </c>
      <c r="S204" s="156">
        <f t="shared" si="50"/>
        <v>9.9999999999999995E-8</v>
      </c>
      <c r="U204" s="140">
        <f t="shared" si="15"/>
        <v>1.5200000000000002E-5</v>
      </c>
      <c r="V204">
        <v>1.52</v>
      </c>
      <c r="W204" s="140">
        <f t="shared" si="16"/>
        <v>1.5199999999999996E-7</v>
      </c>
      <c r="X204" s="140">
        <f t="shared" si="17"/>
        <v>3.0399999999999997E-7</v>
      </c>
      <c r="Y204" s="140">
        <f t="shared" si="18"/>
        <v>4.5600000000000006E-7</v>
      </c>
      <c r="Z204" s="140">
        <f t="shared" si="19"/>
        <v>6.0800000000000004E-7</v>
      </c>
      <c r="AA204" s="140">
        <f t="shared" si="20"/>
        <v>7.6000000000000014E-7</v>
      </c>
      <c r="AB204" s="157">
        <f>IF(U204&lt;$B$41*DATA!$H$1037,DATA!$H$1037,IF(U204&gt;DATA!$H$1036*$B$41,DATA!$H$1036,1))</f>
        <v>0.8</v>
      </c>
      <c r="AC204" s="156">
        <f t="shared" si="51"/>
        <v>9.9999999999999995E-8</v>
      </c>
      <c r="AE204" s="140">
        <f t="shared" si="21"/>
        <v>1.5200000000000002E-5</v>
      </c>
      <c r="AF204">
        <v>1.52</v>
      </c>
      <c r="AG204" s="140">
        <f t="shared" si="22"/>
        <v>1.5199999999999996E-7</v>
      </c>
      <c r="AH204" s="140">
        <f t="shared" si="23"/>
        <v>3.0399999999999997E-7</v>
      </c>
      <c r="AI204" s="140">
        <f t="shared" si="24"/>
        <v>4.5600000000000006E-7</v>
      </c>
      <c r="AJ204" s="140">
        <f t="shared" si="25"/>
        <v>6.0800000000000004E-7</v>
      </c>
      <c r="AK204" s="140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52"/>
        <v>9.9999999999999995E-8</v>
      </c>
      <c r="AO204" s="140">
        <f t="shared" si="27"/>
        <v>1.5200000000000002E-5</v>
      </c>
      <c r="AP204">
        <v>1.52</v>
      </c>
      <c r="AQ204" s="140">
        <f t="shared" si="28"/>
        <v>1.5199999999999996E-7</v>
      </c>
      <c r="AR204" s="140">
        <f t="shared" si="29"/>
        <v>3.0399999999999997E-7</v>
      </c>
      <c r="AS204" s="140">
        <f t="shared" si="30"/>
        <v>4.5600000000000006E-7</v>
      </c>
      <c r="AT204" s="140">
        <f t="shared" si="31"/>
        <v>6.0800000000000004E-7</v>
      </c>
      <c r="AU204" s="140">
        <f t="shared" si="32"/>
        <v>7.6000000000000014E-7</v>
      </c>
      <c r="AV204" s="157">
        <f>IF(AO204&lt;$B$73*DATA!$H$1037,DATA!$H$1037,IF(AO204&gt;DATA!$H$1036*$B$73,DATA!$H$1036,1))</f>
        <v>1.2</v>
      </c>
      <c r="AW204" s="156">
        <f t="shared" si="33"/>
        <v>9.9999999999999995E-8</v>
      </c>
      <c r="AY204" s="140">
        <f t="shared" si="34"/>
        <v>1.5200000000000002E-5</v>
      </c>
      <c r="AZ204">
        <v>1.52</v>
      </c>
      <c r="BA204" s="140">
        <f t="shared" si="35"/>
        <v>1.5199999999999996E-7</v>
      </c>
      <c r="BB204" s="140">
        <f t="shared" si="36"/>
        <v>3.0399999999999997E-7</v>
      </c>
      <c r="BC204" s="140">
        <f t="shared" si="37"/>
        <v>4.5600000000000006E-7</v>
      </c>
      <c r="BD204" s="140">
        <f t="shared" si="38"/>
        <v>6.0800000000000004E-7</v>
      </c>
      <c r="BE204" s="140">
        <f t="shared" si="39"/>
        <v>7.6000000000000014E-7</v>
      </c>
      <c r="BF204" s="157">
        <f>IF(AY204&lt;$B$89*DATA!$H$1037,DATA!$H$1037,IF(AY204&gt;DATA!$H$1036*$B$89,DATA!$H$1036,1))</f>
        <v>1.2</v>
      </c>
      <c r="BG204" s="156">
        <f t="shared" si="40"/>
        <v>9.9999999999999995E-8</v>
      </c>
      <c r="BI204" s="140">
        <f t="shared" si="41"/>
        <v>1.5200000000000002E-5</v>
      </c>
      <c r="BJ204">
        <v>1.52</v>
      </c>
      <c r="BK204" s="140">
        <f t="shared" si="42"/>
        <v>1.5199999999999996E-7</v>
      </c>
      <c r="BL204" s="140">
        <f t="shared" si="43"/>
        <v>3.0399999999999997E-7</v>
      </c>
      <c r="BM204" s="140">
        <f t="shared" si="44"/>
        <v>4.5600000000000006E-7</v>
      </c>
      <c r="BN204" s="140">
        <f t="shared" si="45"/>
        <v>6.0800000000000004E-7</v>
      </c>
      <c r="BO204" s="140">
        <f t="shared" si="46"/>
        <v>7.6000000000000014E-7</v>
      </c>
      <c r="BP204" s="157">
        <f>IF(BI204&lt;$B$105*DATA!$H$1037,DATA!$H$1037,IF(BI204&gt;DATA!$H$1036*$B$105,DATA!$H$1036,1))</f>
        <v>1.2</v>
      </c>
      <c r="BQ204" s="156">
        <f t="shared" si="47"/>
        <v>9.9999999999999995E-8</v>
      </c>
    </row>
    <row r="205" spans="1:69">
      <c r="A205" s="140">
        <f t="shared" si="7"/>
        <v>1.5400000000000002E-5</v>
      </c>
      <c r="B205">
        <v>1.54</v>
      </c>
      <c r="C205" s="140">
        <f t="shared" si="54"/>
        <v>1.5399999999999998E-7</v>
      </c>
      <c r="D205" s="140">
        <f t="shared" si="54"/>
        <v>3.0800000000000001E-7</v>
      </c>
      <c r="E205" s="140">
        <f t="shared" si="54"/>
        <v>4.6200000000000003E-7</v>
      </c>
      <c r="F205" s="140">
        <f t="shared" si="54"/>
        <v>6.1600000000000012E-7</v>
      </c>
      <c r="G205" s="140">
        <f t="shared" si="54"/>
        <v>7.7000000000000015E-7</v>
      </c>
      <c r="H205" s="157">
        <f>IF(A205&lt;$B$9*DATA!$H$1037,DATA!$H$1037,IF(A205&gt;DATA!$H$1036*$B$9,DATA!$H$1036,1))</f>
        <v>0.8</v>
      </c>
      <c r="I205" s="156">
        <f t="shared" si="53"/>
        <v>9.9999999999999995E-8</v>
      </c>
      <c r="K205" s="140">
        <f t="shared" si="9"/>
        <v>1.5400000000000002E-5</v>
      </c>
      <c r="L205">
        <v>1.54</v>
      </c>
      <c r="M205" s="140">
        <f t="shared" si="10"/>
        <v>1.5399999999999998E-7</v>
      </c>
      <c r="N205" s="140">
        <f t="shared" si="11"/>
        <v>3.0800000000000001E-7</v>
      </c>
      <c r="O205" s="140">
        <f t="shared" si="12"/>
        <v>4.6200000000000003E-7</v>
      </c>
      <c r="P205" s="140">
        <f t="shared" si="13"/>
        <v>6.1600000000000012E-7</v>
      </c>
      <c r="Q205" s="140">
        <f t="shared" si="14"/>
        <v>7.7000000000000015E-7</v>
      </c>
      <c r="R205" s="157">
        <f>IF(K205&lt;$B$25*DATA!$H$1037,DATA!$H$1037,IF(K205&gt;DATA!$H$1036*$B$25,DATA!$H$1036,1))</f>
        <v>0.8</v>
      </c>
      <c r="S205" s="156">
        <f t="shared" si="50"/>
        <v>9.9999999999999995E-8</v>
      </c>
      <c r="U205" s="140">
        <f t="shared" si="15"/>
        <v>1.5400000000000002E-5</v>
      </c>
      <c r="V205">
        <v>1.54</v>
      </c>
      <c r="W205" s="140">
        <f t="shared" si="16"/>
        <v>1.5399999999999998E-7</v>
      </c>
      <c r="X205" s="140">
        <f t="shared" si="17"/>
        <v>3.0800000000000001E-7</v>
      </c>
      <c r="Y205" s="140">
        <f t="shared" si="18"/>
        <v>4.6200000000000003E-7</v>
      </c>
      <c r="Z205" s="140">
        <f t="shared" si="19"/>
        <v>6.1600000000000012E-7</v>
      </c>
      <c r="AA205" s="140">
        <f t="shared" si="20"/>
        <v>7.7000000000000015E-7</v>
      </c>
      <c r="AB205" s="157">
        <f>IF(U205&lt;$B$41*DATA!$H$1037,DATA!$H$1037,IF(U205&gt;DATA!$H$1036*$B$41,DATA!$H$1036,1))</f>
        <v>0.8</v>
      </c>
      <c r="AC205" s="156">
        <f t="shared" si="51"/>
        <v>9.9999999999999995E-8</v>
      </c>
      <c r="AE205" s="140">
        <f t="shared" si="21"/>
        <v>1.5400000000000002E-5</v>
      </c>
      <c r="AF205">
        <v>1.54</v>
      </c>
      <c r="AG205" s="140">
        <f t="shared" si="22"/>
        <v>1.5399999999999998E-7</v>
      </c>
      <c r="AH205" s="140">
        <f t="shared" si="23"/>
        <v>3.0800000000000001E-7</v>
      </c>
      <c r="AI205" s="140">
        <f t="shared" si="24"/>
        <v>4.6200000000000003E-7</v>
      </c>
      <c r="AJ205" s="140">
        <f t="shared" si="25"/>
        <v>6.1600000000000012E-7</v>
      </c>
      <c r="AK205" s="140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52"/>
        <v>9.9999999999999995E-8</v>
      </c>
      <c r="AO205" s="140">
        <f t="shared" si="27"/>
        <v>1.5400000000000002E-5</v>
      </c>
      <c r="AP205">
        <v>1.54</v>
      </c>
      <c r="AQ205" s="140">
        <f t="shared" si="28"/>
        <v>1.5399999999999998E-7</v>
      </c>
      <c r="AR205" s="140">
        <f t="shared" si="29"/>
        <v>3.0800000000000001E-7</v>
      </c>
      <c r="AS205" s="140">
        <f t="shared" si="30"/>
        <v>4.6200000000000003E-7</v>
      </c>
      <c r="AT205" s="140">
        <f t="shared" si="31"/>
        <v>6.1600000000000012E-7</v>
      </c>
      <c r="AU205" s="140">
        <f t="shared" si="32"/>
        <v>7.7000000000000015E-7</v>
      </c>
      <c r="AV205" s="157">
        <f>IF(AO205&lt;$B$73*DATA!$H$1037,DATA!$H$1037,IF(AO205&gt;DATA!$H$1036*$B$73,DATA!$H$1036,1))</f>
        <v>1.2</v>
      </c>
      <c r="AW205" s="156">
        <f t="shared" si="33"/>
        <v>9.9999999999999995E-8</v>
      </c>
      <c r="AY205" s="140">
        <f t="shared" si="34"/>
        <v>1.5400000000000002E-5</v>
      </c>
      <c r="AZ205">
        <v>1.54</v>
      </c>
      <c r="BA205" s="140">
        <f t="shared" si="35"/>
        <v>1.5399999999999998E-7</v>
      </c>
      <c r="BB205" s="140">
        <f t="shared" si="36"/>
        <v>3.0800000000000001E-7</v>
      </c>
      <c r="BC205" s="140">
        <f t="shared" si="37"/>
        <v>4.6200000000000003E-7</v>
      </c>
      <c r="BD205" s="140">
        <f t="shared" si="38"/>
        <v>6.1600000000000012E-7</v>
      </c>
      <c r="BE205" s="140">
        <f t="shared" si="39"/>
        <v>7.7000000000000015E-7</v>
      </c>
      <c r="BF205" s="157">
        <f>IF(AY205&lt;$B$89*DATA!$H$1037,DATA!$H$1037,IF(AY205&gt;DATA!$H$1036*$B$89,DATA!$H$1036,1))</f>
        <v>1.2</v>
      </c>
      <c r="BG205" s="156">
        <f t="shared" si="40"/>
        <v>9.9999999999999995E-8</v>
      </c>
      <c r="BI205" s="140">
        <f t="shared" si="41"/>
        <v>1.5400000000000002E-5</v>
      </c>
      <c r="BJ205">
        <v>1.54</v>
      </c>
      <c r="BK205" s="140">
        <f t="shared" si="42"/>
        <v>1.5399999999999998E-7</v>
      </c>
      <c r="BL205" s="140">
        <f t="shared" si="43"/>
        <v>3.0800000000000001E-7</v>
      </c>
      <c r="BM205" s="140">
        <f t="shared" si="44"/>
        <v>4.6200000000000003E-7</v>
      </c>
      <c r="BN205" s="140">
        <f t="shared" si="45"/>
        <v>6.1600000000000012E-7</v>
      </c>
      <c r="BO205" s="140">
        <f t="shared" si="46"/>
        <v>7.7000000000000015E-7</v>
      </c>
      <c r="BP205" s="157">
        <f>IF(BI205&lt;$B$105*DATA!$H$1037,DATA!$H$1037,IF(BI205&gt;DATA!$H$1036*$B$105,DATA!$H$1036,1))</f>
        <v>1.2</v>
      </c>
      <c r="BQ205" s="156">
        <f t="shared" si="47"/>
        <v>9.9999999999999995E-8</v>
      </c>
    </row>
    <row r="206" spans="1:69">
      <c r="A206" s="140">
        <f t="shared" si="7"/>
        <v>1.5600000000000003E-5</v>
      </c>
      <c r="B206">
        <v>1.56</v>
      </c>
      <c r="C206" s="140">
        <f t="shared" si="54"/>
        <v>1.5599999999999997E-7</v>
      </c>
      <c r="D206" s="140">
        <f t="shared" si="54"/>
        <v>3.1200000000000004E-7</v>
      </c>
      <c r="E206" s="140">
        <f t="shared" si="54"/>
        <v>4.6800000000000006E-7</v>
      </c>
      <c r="F206" s="140">
        <f t="shared" si="54"/>
        <v>6.2400000000000019E-7</v>
      </c>
      <c r="G206" s="140">
        <f t="shared" si="54"/>
        <v>7.8000000000000016E-7</v>
      </c>
      <c r="H206" s="157">
        <f>IF(A206&lt;$B$9*DATA!$H$1037,DATA!$H$1037,IF(A206&gt;DATA!$H$1036*$B$9,DATA!$H$1036,1))</f>
        <v>0.8</v>
      </c>
      <c r="I206" s="156">
        <f t="shared" si="53"/>
        <v>9.9999999999999995E-8</v>
      </c>
      <c r="K206" s="140">
        <f t="shared" si="9"/>
        <v>1.5600000000000003E-5</v>
      </c>
      <c r="L206">
        <v>1.56</v>
      </c>
      <c r="M206" s="140">
        <f t="shared" si="10"/>
        <v>1.5599999999999997E-7</v>
      </c>
      <c r="N206" s="140">
        <f t="shared" si="11"/>
        <v>3.1200000000000004E-7</v>
      </c>
      <c r="O206" s="140">
        <f t="shared" si="12"/>
        <v>4.6800000000000006E-7</v>
      </c>
      <c r="P206" s="140">
        <f t="shared" si="13"/>
        <v>6.2400000000000019E-7</v>
      </c>
      <c r="Q206" s="140">
        <f t="shared" si="14"/>
        <v>7.8000000000000016E-7</v>
      </c>
      <c r="R206" s="157">
        <f>IF(K206&lt;$B$25*DATA!$H$1037,DATA!$H$1037,IF(K206&gt;DATA!$H$1036*$B$25,DATA!$H$1036,1))</f>
        <v>0.8</v>
      </c>
      <c r="S206" s="156">
        <f t="shared" si="50"/>
        <v>9.9999999999999995E-8</v>
      </c>
      <c r="U206" s="140">
        <f t="shared" si="15"/>
        <v>1.5600000000000003E-5</v>
      </c>
      <c r="V206">
        <v>1.56</v>
      </c>
      <c r="W206" s="140">
        <f t="shared" si="16"/>
        <v>1.5599999999999997E-7</v>
      </c>
      <c r="X206" s="140">
        <f t="shared" si="17"/>
        <v>3.1200000000000004E-7</v>
      </c>
      <c r="Y206" s="140">
        <f t="shared" si="18"/>
        <v>4.6800000000000006E-7</v>
      </c>
      <c r="Z206" s="140">
        <f t="shared" si="19"/>
        <v>6.2400000000000019E-7</v>
      </c>
      <c r="AA206" s="140">
        <f t="shared" si="20"/>
        <v>7.8000000000000016E-7</v>
      </c>
      <c r="AB206" s="157">
        <f>IF(U206&lt;$B$41*DATA!$H$1037,DATA!$H$1037,IF(U206&gt;DATA!$H$1036*$B$41,DATA!$H$1036,1))</f>
        <v>0.8</v>
      </c>
      <c r="AC206" s="156">
        <f t="shared" si="51"/>
        <v>9.9999999999999995E-8</v>
      </c>
      <c r="AE206" s="140">
        <f t="shared" si="21"/>
        <v>1.5600000000000003E-5</v>
      </c>
      <c r="AF206">
        <v>1.56</v>
      </c>
      <c r="AG206" s="140">
        <f t="shared" si="22"/>
        <v>1.5599999999999997E-7</v>
      </c>
      <c r="AH206" s="140">
        <f t="shared" si="23"/>
        <v>3.1200000000000004E-7</v>
      </c>
      <c r="AI206" s="140">
        <f t="shared" si="24"/>
        <v>4.6800000000000006E-7</v>
      </c>
      <c r="AJ206" s="140">
        <f t="shared" si="25"/>
        <v>6.2400000000000019E-7</v>
      </c>
      <c r="AK206" s="140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52"/>
        <v>9.9999999999999995E-8</v>
      </c>
      <c r="AO206" s="140">
        <f t="shared" si="27"/>
        <v>1.5600000000000003E-5</v>
      </c>
      <c r="AP206">
        <v>1.56</v>
      </c>
      <c r="AQ206" s="140">
        <f t="shared" si="28"/>
        <v>1.5599999999999997E-7</v>
      </c>
      <c r="AR206" s="140">
        <f t="shared" si="29"/>
        <v>3.1200000000000004E-7</v>
      </c>
      <c r="AS206" s="140">
        <f t="shared" si="30"/>
        <v>4.6800000000000006E-7</v>
      </c>
      <c r="AT206" s="140">
        <f t="shared" si="31"/>
        <v>6.2400000000000019E-7</v>
      </c>
      <c r="AU206" s="140">
        <f t="shared" si="32"/>
        <v>7.8000000000000016E-7</v>
      </c>
      <c r="AV206" s="157">
        <f>IF(AO206&lt;$B$73*DATA!$H$1037,DATA!$H$1037,IF(AO206&gt;DATA!$H$1036*$B$73,DATA!$H$1036,1))</f>
        <v>1.2</v>
      </c>
      <c r="AW206" s="156">
        <f t="shared" si="33"/>
        <v>9.9999999999999995E-8</v>
      </c>
      <c r="AY206" s="140">
        <f t="shared" si="34"/>
        <v>1.5600000000000003E-5</v>
      </c>
      <c r="AZ206">
        <v>1.56</v>
      </c>
      <c r="BA206" s="140">
        <f t="shared" si="35"/>
        <v>1.5599999999999997E-7</v>
      </c>
      <c r="BB206" s="140">
        <f t="shared" si="36"/>
        <v>3.1200000000000004E-7</v>
      </c>
      <c r="BC206" s="140">
        <f t="shared" si="37"/>
        <v>4.6800000000000006E-7</v>
      </c>
      <c r="BD206" s="140">
        <f t="shared" si="38"/>
        <v>6.2400000000000019E-7</v>
      </c>
      <c r="BE206" s="140">
        <f t="shared" si="39"/>
        <v>7.8000000000000016E-7</v>
      </c>
      <c r="BF206" s="157">
        <f>IF(AY206&lt;$B$89*DATA!$H$1037,DATA!$H$1037,IF(AY206&gt;DATA!$H$1036*$B$89,DATA!$H$1036,1))</f>
        <v>1.2</v>
      </c>
      <c r="BG206" s="156">
        <f t="shared" si="40"/>
        <v>9.9999999999999995E-8</v>
      </c>
      <c r="BI206" s="140">
        <f t="shared" si="41"/>
        <v>1.5600000000000003E-5</v>
      </c>
      <c r="BJ206">
        <v>1.56</v>
      </c>
      <c r="BK206" s="140">
        <f t="shared" si="42"/>
        <v>1.5599999999999997E-7</v>
      </c>
      <c r="BL206" s="140">
        <f t="shared" si="43"/>
        <v>3.1200000000000004E-7</v>
      </c>
      <c r="BM206" s="140">
        <f t="shared" si="44"/>
        <v>4.6800000000000006E-7</v>
      </c>
      <c r="BN206" s="140">
        <f t="shared" si="45"/>
        <v>6.2400000000000019E-7</v>
      </c>
      <c r="BO206" s="140">
        <f t="shared" si="46"/>
        <v>7.8000000000000016E-7</v>
      </c>
      <c r="BP206" s="157">
        <f>IF(BI206&lt;$B$105*DATA!$H$1037,DATA!$H$1037,IF(BI206&gt;DATA!$H$1036*$B$105,DATA!$H$1036,1))</f>
        <v>1.2</v>
      </c>
      <c r="BQ206" s="156">
        <f t="shared" si="47"/>
        <v>9.9999999999999995E-8</v>
      </c>
    </row>
    <row r="207" spans="1:69">
      <c r="A207" s="140">
        <f t="shared" si="7"/>
        <v>1.5800000000000001E-5</v>
      </c>
      <c r="B207">
        <v>1.58</v>
      </c>
      <c r="C207" s="140">
        <f t="shared" ref="C207:G222" si="55">C$142*$A207</f>
        <v>1.5799999999999996E-7</v>
      </c>
      <c r="D207" s="140">
        <f t="shared" si="55"/>
        <v>3.1599999999999997E-7</v>
      </c>
      <c r="E207" s="140">
        <f t="shared" si="55"/>
        <v>4.7400000000000004E-7</v>
      </c>
      <c r="F207" s="140">
        <f t="shared" si="55"/>
        <v>6.3200000000000005E-7</v>
      </c>
      <c r="G207" s="140">
        <f t="shared" si="55"/>
        <v>7.9000000000000006E-7</v>
      </c>
      <c r="H207" s="157">
        <f>IF(A207&lt;$B$9*DATA!$H$1037,DATA!$H$1037,IF(A207&gt;DATA!$H$1036*$B$9,DATA!$H$1036,1))</f>
        <v>0.8</v>
      </c>
      <c r="I207" s="156">
        <f t="shared" si="53"/>
        <v>9.9999999999999995E-8</v>
      </c>
      <c r="K207" s="140">
        <f t="shared" si="9"/>
        <v>1.5800000000000001E-5</v>
      </c>
      <c r="L207">
        <v>1.58</v>
      </c>
      <c r="M207" s="140">
        <f t="shared" si="10"/>
        <v>1.5799999999999996E-7</v>
      </c>
      <c r="N207" s="140">
        <f t="shared" si="11"/>
        <v>3.1599999999999997E-7</v>
      </c>
      <c r="O207" s="140">
        <f t="shared" si="12"/>
        <v>4.7400000000000004E-7</v>
      </c>
      <c r="P207" s="140">
        <f t="shared" si="13"/>
        <v>6.3200000000000005E-7</v>
      </c>
      <c r="Q207" s="140">
        <f t="shared" si="14"/>
        <v>7.9000000000000006E-7</v>
      </c>
      <c r="R207" s="157">
        <f>IF(K207&lt;$B$25*DATA!$H$1037,DATA!$H$1037,IF(K207&gt;DATA!$H$1036*$B$25,DATA!$H$1036,1))</f>
        <v>0.8</v>
      </c>
      <c r="S207" s="156">
        <f t="shared" ref="S207:S238" si="56">IF(OR(L$134=0,L$133=0),0.0000001,IF(R207=1,L$134,K207*((L$134*L$138)/(R207*L$133)+0.023*LOG10(R207*L$133/K207))/L$138))</f>
        <v>9.9999999999999995E-8</v>
      </c>
      <c r="U207" s="140">
        <f t="shared" si="15"/>
        <v>1.5800000000000001E-5</v>
      </c>
      <c r="V207">
        <v>1.58</v>
      </c>
      <c r="W207" s="140">
        <f t="shared" si="16"/>
        <v>1.5799999999999996E-7</v>
      </c>
      <c r="X207" s="140">
        <f t="shared" si="17"/>
        <v>3.1599999999999997E-7</v>
      </c>
      <c r="Y207" s="140">
        <f t="shared" si="18"/>
        <v>4.7400000000000004E-7</v>
      </c>
      <c r="Z207" s="140">
        <f t="shared" si="19"/>
        <v>6.3200000000000005E-7</v>
      </c>
      <c r="AA207" s="140">
        <f t="shared" si="20"/>
        <v>7.9000000000000006E-7</v>
      </c>
      <c r="AB207" s="157">
        <f>IF(U207&lt;$B$41*DATA!$H$1037,DATA!$H$1037,IF(U207&gt;DATA!$H$1036*$B$41,DATA!$H$1036,1))</f>
        <v>0.8</v>
      </c>
      <c r="AC207" s="156">
        <f t="shared" ref="AC207:AC238" si="57">IF(OR(V$134=0,V$133=0),0.0000001,IF(AB207=1,V$134,U207*((V$134*V$138)/(AB207*V$133)+0.023*LOG10(AB207*V$133/U207))/V$138))</f>
        <v>9.9999999999999995E-8</v>
      </c>
      <c r="AE207" s="140">
        <f t="shared" si="21"/>
        <v>1.5800000000000001E-5</v>
      </c>
      <c r="AF207">
        <v>1.58</v>
      </c>
      <c r="AG207" s="140">
        <f t="shared" si="22"/>
        <v>1.5799999999999996E-7</v>
      </c>
      <c r="AH207" s="140">
        <f t="shared" si="23"/>
        <v>3.1599999999999997E-7</v>
      </c>
      <c r="AI207" s="140">
        <f t="shared" si="24"/>
        <v>4.7400000000000004E-7</v>
      </c>
      <c r="AJ207" s="140">
        <f t="shared" si="25"/>
        <v>6.3200000000000005E-7</v>
      </c>
      <c r="AK207" s="140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ref="AM207:AM238" si="58">IF(OR(AF$134=0,AF$133=0),0.0000001,IF(AL207=1,AF$134,AE207*((AF$134*AF$138)/(AL207*AF$133)+0.023*LOG10(AL207*AF$133/AE207))/AF$138))</f>
        <v>9.9999999999999995E-8</v>
      </c>
      <c r="AO207" s="140">
        <f t="shared" si="27"/>
        <v>1.5800000000000001E-5</v>
      </c>
      <c r="AP207">
        <v>1.58</v>
      </c>
      <c r="AQ207" s="140">
        <f t="shared" si="28"/>
        <v>1.5799999999999996E-7</v>
      </c>
      <c r="AR207" s="140">
        <f t="shared" si="29"/>
        <v>3.1599999999999997E-7</v>
      </c>
      <c r="AS207" s="140">
        <f t="shared" si="30"/>
        <v>4.7400000000000004E-7</v>
      </c>
      <c r="AT207" s="140">
        <f t="shared" si="31"/>
        <v>6.3200000000000005E-7</v>
      </c>
      <c r="AU207" s="140">
        <f t="shared" si="32"/>
        <v>7.9000000000000006E-7</v>
      </c>
      <c r="AV207" s="157">
        <f>IF(AO207&lt;$B$73*DATA!$H$1037,DATA!$H$1037,IF(AO207&gt;DATA!$H$1036*$B$73,DATA!$H$1036,1))</f>
        <v>1.2</v>
      </c>
      <c r="AW207" s="156">
        <f t="shared" si="33"/>
        <v>9.9999999999999995E-8</v>
      </c>
      <c r="AY207" s="140">
        <f t="shared" si="34"/>
        <v>1.5800000000000001E-5</v>
      </c>
      <c r="AZ207">
        <v>1.58</v>
      </c>
      <c r="BA207" s="140">
        <f t="shared" si="35"/>
        <v>1.5799999999999996E-7</v>
      </c>
      <c r="BB207" s="140">
        <f t="shared" si="36"/>
        <v>3.1599999999999997E-7</v>
      </c>
      <c r="BC207" s="140">
        <f t="shared" si="37"/>
        <v>4.7400000000000004E-7</v>
      </c>
      <c r="BD207" s="140">
        <f t="shared" si="38"/>
        <v>6.3200000000000005E-7</v>
      </c>
      <c r="BE207" s="140">
        <f t="shared" si="39"/>
        <v>7.9000000000000006E-7</v>
      </c>
      <c r="BF207" s="157">
        <f>IF(AY207&lt;$B$89*DATA!$H$1037,DATA!$H$1037,IF(AY207&gt;DATA!$H$1036*$B$89,DATA!$H$1036,1))</f>
        <v>1.2</v>
      </c>
      <c r="BG207" s="156">
        <f t="shared" si="40"/>
        <v>9.9999999999999995E-8</v>
      </c>
      <c r="BI207" s="140">
        <f t="shared" si="41"/>
        <v>1.5800000000000001E-5</v>
      </c>
      <c r="BJ207">
        <v>1.58</v>
      </c>
      <c r="BK207" s="140">
        <f t="shared" si="42"/>
        <v>1.5799999999999996E-7</v>
      </c>
      <c r="BL207" s="140">
        <f t="shared" si="43"/>
        <v>3.1599999999999997E-7</v>
      </c>
      <c r="BM207" s="140">
        <f t="shared" si="44"/>
        <v>4.7400000000000004E-7</v>
      </c>
      <c r="BN207" s="140">
        <f t="shared" si="45"/>
        <v>6.3200000000000005E-7</v>
      </c>
      <c r="BO207" s="140">
        <f t="shared" si="46"/>
        <v>7.9000000000000006E-7</v>
      </c>
      <c r="BP207" s="157">
        <f>IF(BI207&lt;$B$105*DATA!$H$1037,DATA!$H$1037,IF(BI207&gt;DATA!$H$1036*$B$105,DATA!$H$1036,1))</f>
        <v>1.2</v>
      </c>
      <c r="BQ207" s="156">
        <f t="shared" si="47"/>
        <v>9.9999999999999995E-8</v>
      </c>
    </row>
    <row r="208" spans="1:69">
      <c r="A208" s="140">
        <f t="shared" ref="A208:A271" si="59">B208*B$136</f>
        <v>1.6000000000000003E-5</v>
      </c>
      <c r="B208">
        <v>1.6</v>
      </c>
      <c r="C208" s="140">
        <f t="shared" si="55"/>
        <v>1.5999999999999998E-7</v>
      </c>
      <c r="D208" s="140">
        <f t="shared" si="55"/>
        <v>3.2000000000000001E-7</v>
      </c>
      <c r="E208" s="140">
        <f t="shared" si="55"/>
        <v>4.8000000000000006E-7</v>
      </c>
      <c r="F208" s="140">
        <f t="shared" si="55"/>
        <v>6.4000000000000012E-7</v>
      </c>
      <c r="G208" s="140">
        <f t="shared" si="55"/>
        <v>8.0000000000000018E-7</v>
      </c>
      <c r="H208" s="157">
        <f>IF(A208&lt;$B$9*DATA!$H$1037,DATA!$H$1037,IF(A208&gt;DATA!$H$1036*$B$9,DATA!$H$1036,1))</f>
        <v>0.8</v>
      </c>
      <c r="I208" s="156">
        <f t="shared" ref="I208:I239" si="60">IF(OR(B$134=0,$B$133=0),0.0000001,IF(H208=1,$B$134,A208*(($B$134*$B$138)/(H208*$B$133)+0.023*LOG10(H208*$B$133/A208))/$B$138))</f>
        <v>9.9999999999999995E-8</v>
      </c>
      <c r="K208" s="140">
        <f t="shared" ref="K208:K271" si="61">L208*L$136</f>
        <v>1.6000000000000003E-5</v>
      </c>
      <c r="L208">
        <v>1.6</v>
      </c>
      <c r="M208" s="140">
        <f t="shared" ref="M208:M271" si="62">M$142*K208</f>
        <v>1.5999999999999998E-7</v>
      </c>
      <c r="N208" s="140">
        <f t="shared" ref="N208:N271" si="63">N$142*K208</f>
        <v>3.2000000000000001E-7</v>
      </c>
      <c r="O208" s="140">
        <f t="shared" ref="O208:O271" si="64">O$142*K208</f>
        <v>4.8000000000000006E-7</v>
      </c>
      <c r="P208" s="140">
        <f t="shared" ref="P208:P271" si="65">P$142*$K208</f>
        <v>6.4000000000000012E-7</v>
      </c>
      <c r="Q208" s="140">
        <f t="shared" ref="Q208:Q271" si="66">Q$142*K208</f>
        <v>8.0000000000000018E-7</v>
      </c>
      <c r="R208" s="157">
        <f>IF(K208&lt;$B$25*DATA!$H$1037,DATA!$H$1037,IF(K208&gt;DATA!$H$1036*$B$25,DATA!$H$1036,1))</f>
        <v>0.8</v>
      </c>
      <c r="S208" s="156">
        <f t="shared" si="56"/>
        <v>9.9999999999999995E-8</v>
      </c>
      <c r="U208" s="140">
        <f t="shared" ref="U208:U271" si="67">V208*V$136</f>
        <v>1.6000000000000003E-5</v>
      </c>
      <c r="V208">
        <v>1.6</v>
      </c>
      <c r="W208" s="140">
        <f t="shared" ref="W208:W271" si="68">W$142*U208</f>
        <v>1.5999999999999998E-7</v>
      </c>
      <c r="X208" s="140">
        <f t="shared" ref="X208:X271" si="69">X$142*U208</f>
        <v>3.2000000000000001E-7</v>
      </c>
      <c r="Y208" s="140">
        <f t="shared" ref="Y208:Y271" si="70">Y$142*U208</f>
        <v>4.8000000000000006E-7</v>
      </c>
      <c r="Z208" s="140">
        <f t="shared" ref="Z208:Z271" si="71">Z$142*U208</f>
        <v>6.4000000000000012E-7</v>
      </c>
      <c r="AA208" s="140">
        <f t="shared" ref="AA208:AA271" si="72">AA$142*U208</f>
        <v>8.0000000000000018E-7</v>
      </c>
      <c r="AB208" s="157">
        <f>IF(U208&lt;$B$41*DATA!$H$1037,DATA!$H$1037,IF(U208&gt;DATA!$H$1036*$B$41,DATA!$H$1036,1))</f>
        <v>0.8</v>
      </c>
      <c r="AC208" s="156">
        <f t="shared" si="57"/>
        <v>9.9999999999999995E-8</v>
      </c>
      <c r="AE208" s="140">
        <f t="shared" ref="AE208:AE271" si="73">AF208*AF$136</f>
        <v>1.6000000000000003E-5</v>
      </c>
      <c r="AF208">
        <v>1.6</v>
      </c>
      <c r="AG208" s="140">
        <f t="shared" ref="AG208:AG271" si="74">AG$142*AE208</f>
        <v>1.5999999999999998E-7</v>
      </c>
      <c r="AH208" s="140">
        <f t="shared" ref="AH208:AH271" si="75">AH$142*AE208</f>
        <v>3.2000000000000001E-7</v>
      </c>
      <c r="AI208" s="140">
        <f t="shared" ref="AI208:AI271" si="76">AI$142*AE208</f>
        <v>4.8000000000000006E-7</v>
      </c>
      <c r="AJ208" s="140">
        <f t="shared" ref="AJ208:AJ271" si="77">AJ$142*AE208</f>
        <v>6.4000000000000012E-7</v>
      </c>
      <c r="AK208" s="140">
        <f t="shared" ref="AK208:AK271" si="78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si="58"/>
        <v>9.9999999999999995E-8</v>
      </c>
      <c r="AO208" s="140">
        <f t="shared" ref="AO208:AO271" si="79">AP208*AP$136</f>
        <v>1.6000000000000003E-5</v>
      </c>
      <c r="AP208">
        <v>1.6</v>
      </c>
      <c r="AQ208" s="140">
        <f t="shared" ref="AQ208:AQ271" si="80">AQ$142*AO208</f>
        <v>1.5999999999999998E-7</v>
      </c>
      <c r="AR208" s="140">
        <f t="shared" ref="AR208:AR271" si="81">AR$142*AO208</f>
        <v>3.2000000000000001E-7</v>
      </c>
      <c r="AS208" s="140">
        <f t="shared" ref="AS208:AS271" si="82">AS$142*AO208</f>
        <v>4.8000000000000006E-7</v>
      </c>
      <c r="AT208" s="140">
        <f t="shared" ref="AT208:AT271" si="83">AT$142*AO208</f>
        <v>6.4000000000000012E-7</v>
      </c>
      <c r="AU208" s="140">
        <f t="shared" ref="AU208:AU271" si="84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5">IF(OR(AP$134=0,AP$133=0),0.0000001,IF(AV208=1,AP$134,AO208*((AP$134*AP$138)/(AV208*AP$133)+0.023*LOG10(AV208*AP$133/AO208))/AP$138))</f>
        <v>9.9999999999999995E-8</v>
      </c>
      <c r="AY208" s="140">
        <f t="shared" ref="AY208:AY271" si="86">AZ208*AZ$136</f>
        <v>1.6000000000000003E-5</v>
      </c>
      <c r="AZ208">
        <v>1.6</v>
      </c>
      <c r="BA208" s="140">
        <f t="shared" ref="BA208:BA271" si="87">BA$142*AY208</f>
        <v>1.5999999999999998E-7</v>
      </c>
      <c r="BB208" s="140">
        <f t="shared" ref="BB208:BB271" si="88">BB$142*AY208</f>
        <v>3.2000000000000001E-7</v>
      </c>
      <c r="BC208" s="140">
        <f t="shared" ref="BC208:BC271" si="89">BC$142*AY208</f>
        <v>4.8000000000000006E-7</v>
      </c>
      <c r="BD208" s="140">
        <f t="shared" ref="BD208:BD271" si="90">BD$142*AY208</f>
        <v>6.4000000000000012E-7</v>
      </c>
      <c r="BE208" s="140">
        <f t="shared" ref="BE208:BE271" si="91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2">IF(OR(AZ$134=0,AZ$133=0),0.0000001,IF(BF208=1,AZ$134,AY208*((AZ$134*AZ$138)/(BF208*AZ$133)+0.023*LOG10(BF208*AZ$133/AY208))/AZ$138))</f>
        <v>9.9999999999999995E-8</v>
      </c>
      <c r="BI208" s="140">
        <f t="shared" ref="BI208:BI271" si="93">BJ208*BJ$136</f>
        <v>1.6000000000000003E-5</v>
      </c>
      <c r="BJ208">
        <v>1.6</v>
      </c>
      <c r="BK208" s="140">
        <f t="shared" ref="BK208:BK271" si="94">BK$142*BI208</f>
        <v>1.5999999999999998E-7</v>
      </c>
      <c r="BL208" s="140">
        <f t="shared" ref="BL208:BL271" si="95">BL$142*BI208</f>
        <v>3.2000000000000001E-7</v>
      </c>
      <c r="BM208" s="140">
        <f t="shared" ref="BM208:BM271" si="96">BM$142*BI208</f>
        <v>4.8000000000000006E-7</v>
      </c>
      <c r="BN208" s="140">
        <f t="shared" ref="BN208:BN271" si="97">BN$142*$BI208</f>
        <v>6.4000000000000012E-7</v>
      </c>
      <c r="BO208" s="140">
        <f t="shared" ref="BO208:BO271" si="98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9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9"/>
        <v>1.6200000000000001E-5</v>
      </c>
      <c r="B209">
        <v>1.62</v>
      </c>
      <c r="C209" s="140">
        <f t="shared" si="55"/>
        <v>1.6199999999999994E-7</v>
      </c>
      <c r="D209" s="140">
        <f t="shared" si="55"/>
        <v>3.2399999999999999E-7</v>
      </c>
      <c r="E209" s="140">
        <f t="shared" si="55"/>
        <v>4.8599999999999998E-7</v>
      </c>
      <c r="F209" s="140">
        <f t="shared" si="55"/>
        <v>6.4800000000000009E-7</v>
      </c>
      <c r="G209" s="140">
        <f t="shared" si="55"/>
        <v>8.1000000000000008E-7</v>
      </c>
      <c r="H209" s="157">
        <f>IF(A209&lt;$B$9*DATA!$H$1037,DATA!$H$1037,IF(A209&gt;DATA!$H$1036*$B$9,DATA!$H$1036,1))</f>
        <v>0.8</v>
      </c>
      <c r="I209" s="156">
        <f t="shared" si="60"/>
        <v>9.9999999999999995E-8</v>
      </c>
      <c r="K209" s="140">
        <f t="shared" si="61"/>
        <v>1.6200000000000001E-5</v>
      </c>
      <c r="L209">
        <v>1.62</v>
      </c>
      <c r="M209" s="140">
        <f t="shared" si="62"/>
        <v>1.6199999999999994E-7</v>
      </c>
      <c r="N209" s="140">
        <f t="shared" si="63"/>
        <v>3.2399999999999999E-7</v>
      </c>
      <c r="O209" s="140">
        <f t="shared" si="64"/>
        <v>4.8599999999999998E-7</v>
      </c>
      <c r="P209" s="140">
        <f t="shared" si="65"/>
        <v>6.4800000000000009E-7</v>
      </c>
      <c r="Q209" s="140">
        <f t="shared" si="66"/>
        <v>8.1000000000000008E-7</v>
      </c>
      <c r="R209" s="157">
        <f>IF(K209&lt;$B$25*DATA!$H$1037,DATA!$H$1037,IF(K209&gt;DATA!$H$1036*$B$25,DATA!$H$1036,1))</f>
        <v>0.8</v>
      </c>
      <c r="S209" s="156">
        <f t="shared" si="56"/>
        <v>9.9999999999999995E-8</v>
      </c>
      <c r="U209" s="140">
        <f t="shared" si="67"/>
        <v>1.6200000000000001E-5</v>
      </c>
      <c r="V209">
        <v>1.62</v>
      </c>
      <c r="W209" s="140">
        <f t="shared" si="68"/>
        <v>1.6199999999999994E-7</v>
      </c>
      <c r="X209" s="140">
        <f t="shared" si="69"/>
        <v>3.2399999999999999E-7</v>
      </c>
      <c r="Y209" s="140">
        <f t="shared" si="70"/>
        <v>4.8599999999999998E-7</v>
      </c>
      <c r="Z209" s="140">
        <f t="shared" si="71"/>
        <v>6.4800000000000009E-7</v>
      </c>
      <c r="AA209" s="140">
        <f t="shared" si="72"/>
        <v>8.1000000000000008E-7</v>
      </c>
      <c r="AB209" s="157">
        <f>IF(U209&lt;$B$41*DATA!$H$1037,DATA!$H$1037,IF(U209&gt;DATA!$H$1036*$B$41,DATA!$H$1036,1))</f>
        <v>0.8</v>
      </c>
      <c r="AC209" s="156">
        <f t="shared" si="57"/>
        <v>9.9999999999999995E-8</v>
      </c>
      <c r="AE209" s="140">
        <f t="shared" si="73"/>
        <v>1.6200000000000001E-5</v>
      </c>
      <c r="AF209">
        <v>1.62</v>
      </c>
      <c r="AG209" s="140">
        <f t="shared" si="74"/>
        <v>1.6199999999999994E-7</v>
      </c>
      <c r="AH209" s="140">
        <f t="shared" si="75"/>
        <v>3.2399999999999999E-7</v>
      </c>
      <c r="AI209" s="140">
        <f t="shared" si="76"/>
        <v>4.8599999999999998E-7</v>
      </c>
      <c r="AJ209" s="140">
        <f t="shared" si="77"/>
        <v>6.4800000000000009E-7</v>
      </c>
      <c r="AK209" s="140">
        <f t="shared" si="78"/>
        <v>8.1000000000000008E-7</v>
      </c>
      <c r="AL209" s="157">
        <f>IF(AE209&lt;$B$57*DATA!$H$1037,DATA!$H$1037,IF(AE209&gt;DATA!$H$1036*$B$57,DATA!$H$1036,1))</f>
        <v>1.2</v>
      </c>
      <c r="AM209" s="156">
        <f t="shared" si="58"/>
        <v>9.9999999999999995E-8</v>
      </c>
      <c r="AO209" s="140">
        <f t="shared" si="79"/>
        <v>1.6200000000000001E-5</v>
      </c>
      <c r="AP209">
        <v>1.62</v>
      </c>
      <c r="AQ209" s="140">
        <f t="shared" si="80"/>
        <v>1.6199999999999994E-7</v>
      </c>
      <c r="AR209" s="140">
        <f t="shared" si="81"/>
        <v>3.2399999999999999E-7</v>
      </c>
      <c r="AS209" s="140">
        <f t="shared" si="82"/>
        <v>4.8599999999999998E-7</v>
      </c>
      <c r="AT209" s="140">
        <f t="shared" si="83"/>
        <v>6.4800000000000009E-7</v>
      </c>
      <c r="AU209" s="140">
        <f t="shared" si="84"/>
        <v>8.1000000000000008E-7</v>
      </c>
      <c r="AV209" s="157">
        <f>IF(AO209&lt;$B$73*DATA!$H$1037,DATA!$H$1037,IF(AO209&gt;DATA!$H$1036*$B$73,DATA!$H$1036,1))</f>
        <v>1.2</v>
      </c>
      <c r="AW209" s="156">
        <f t="shared" si="85"/>
        <v>9.9999999999999995E-8</v>
      </c>
      <c r="AY209" s="140">
        <f t="shared" si="86"/>
        <v>1.6200000000000001E-5</v>
      </c>
      <c r="AZ209">
        <v>1.62</v>
      </c>
      <c r="BA209" s="140">
        <f t="shared" si="87"/>
        <v>1.6199999999999994E-7</v>
      </c>
      <c r="BB209" s="140">
        <f t="shared" si="88"/>
        <v>3.2399999999999999E-7</v>
      </c>
      <c r="BC209" s="140">
        <f t="shared" si="89"/>
        <v>4.8599999999999998E-7</v>
      </c>
      <c r="BD209" s="140">
        <f t="shared" si="90"/>
        <v>6.4800000000000009E-7</v>
      </c>
      <c r="BE209" s="140">
        <f t="shared" si="91"/>
        <v>8.1000000000000008E-7</v>
      </c>
      <c r="BF209" s="157">
        <f>IF(AY209&lt;$B$89*DATA!$H$1037,DATA!$H$1037,IF(AY209&gt;DATA!$H$1036*$B$89,DATA!$H$1036,1))</f>
        <v>1.2</v>
      </c>
      <c r="BG209" s="156">
        <f t="shared" si="92"/>
        <v>9.9999999999999995E-8</v>
      </c>
      <c r="BI209" s="140">
        <f t="shared" si="93"/>
        <v>1.6200000000000001E-5</v>
      </c>
      <c r="BJ209">
        <v>1.62</v>
      </c>
      <c r="BK209" s="140">
        <f t="shared" si="94"/>
        <v>1.6199999999999994E-7</v>
      </c>
      <c r="BL209" s="140">
        <f t="shared" si="95"/>
        <v>3.2399999999999999E-7</v>
      </c>
      <c r="BM209" s="140">
        <f t="shared" si="96"/>
        <v>4.8599999999999998E-7</v>
      </c>
      <c r="BN209" s="140">
        <f t="shared" si="97"/>
        <v>6.4800000000000009E-7</v>
      </c>
      <c r="BO209" s="140">
        <f t="shared" si="98"/>
        <v>8.1000000000000008E-7</v>
      </c>
      <c r="BP209" s="157">
        <f>IF(BI209&lt;$B$105*DATA!$H$1037,DATA!$H$1037,IF(BI209&gt;DATA!$H$1036*$B$105,DATA!$H$1036,1))</f>
        <v>1.2</v>
      </c>
      <c r="BQ209" s="156">
        <f t="shared" si="99"/>
        <v>9.9999999999999995E-8</v>
      </c>
    </row>
    <row r="210" spans="1:69">
      <c r="A210" s="140">
        <f t="shared" si="59"/>
        <v>1.6399999999999999E-5</v>
      </c>
      <c r="B210">
        <v>1.64</v>
      </c>
      <c r="C210" s="140">
        <f t="shared" si="55"/>
        <v>1.6399999999999993E-7</v>
      </c>
      <c r="D210" s="140">
        <f t="shared" si="55"/>
        <v>3.2799999999999992E-7</v>
      </c>
      <c r="E210" s="140">
        <f t="shared" si="55"/>
        <v>4.9199999999999991E-7</v>
      </c>
      <c r="F210" s="140">
        <f t="shared" si="55"/>
        <v>6.5599999999999994E-7</v>
      </c>
      <c r="G210" s="140">
        <f t="shared" si="55"/>
        <v>8.1999999999999998E-7</v>
      </c>
      <c r="H210" s="157">
        <f>IF(A210&lt;$B$9*DATA!$H$1037,DATA!$H$1037,IF(A210&gt;DATA!$H$1036*$B$9,DATA!$H$1036,1))</f>
        <v>0.8</v>
      </c>
      <c r="I210" s="156">
        <f t="shared" si="60"/>
        <v>9.9999999999999995E-8</v>
      </c>
      <c r="K210" s="140">
        <f t="shared" si="61"/>
        <v>1.6399999999999999E-5</v>
      </c>
      <c r="L210">
        <v>1.64</v>
      </c>
      <c r="M210" s="140">
        <f t="shared" si="62"/>
        <v>1.6399999999999993E-7</v>
      </c>
      <c r="N210" s="140">
        <f t="shared" si="63"/>
        <v>3.2799999999999992E-7</v>
      </c>
      <c r="O210" s="140">
        <f t="shared" si="64"/>
        <v>4.9199999999999991E-7</v>
      </c>
      <c r="P210" s="140">
        <f t="shared" si="65"/>
        <v>6.5599999999999994E-7</v>
      </c>
      <c r="Q210" s="140">
        <f t="shared" si="66"/>
        <v>8.1999999999999998E-7</v>
      </c>
      <c r="R210" s="157">
        <f>IF(K210&lt;$B$25*DATA!$H$1037,DATA!$H$1037,IF(K210&gt;DATA!$H$1036*$B$25,DATA!$H$1036,1))</f>
        <v>0.8</v>
      </c>
      <c r="S210" s="156">
        <f t="shared" si="56"/>
        <v>9.9999999999999995E-8</v>
      </c>
      <c r="U210" s="140">
        <f t="shared" si="67"/>
        <v>1.6399999999999999E-5</v>
      </c>
      <c r="V210">
        <v>1.64</v>
      </c>
      <c r="W210" s="140">
        <f t="shared" si="68"/>
        <v>1.6399999999999993E-7</v>
      </c>
      <c r="X210" s="140">
        <f t="shared" si="69"/>
        <v>3.2799999999999992E-7</v>
      </c>
      <c r="Y210" s="140">
        <f t="shared" si="70"/>
        <v>4.9199999999999991E-7</v>
      </c>
      <c r="Z210" s="140">
        <f t="shared" si="71"/>
        <v>6.5599999999999994E-7</v>
      </c>
      <c r="AA210" s="140">
        <f t="shared" si="72"/>
        <v>8.1999999999999998E-7</v>
      </c>
      <c r="AB210" s="157">
        <f>IF(U210&lt;$B$41*DATA!$H$1037,DATA!$H$1037,IF(U210&gt;DATA!$H$1036*$B$41,DATA!$H$1036,1))</f>
        <v>0.8</v>
      </c>
      <c r="AC210" s="156">
        <f t="shared" si="57"/>
        <v>9.9999999999999995E-8</v>
      </c>
      <c r="AE210" s="140">
        <f t="shared" si="73"/>
        <v>1.6399999999999999E-5</v>
      </c>
      <c r="AF210">
        <v>1.64</v>
      </c>
      <c r="AG210" s="140">
        <f t="shared" si="74"/>
        <v>1.6399999999999993E-7</v>
      </c>
      <c r="AH210" s="140">
        <f t="shared" si="75"/>
        <v>3.2799999999999992E-7</v>
      </c>
      <c r="AI210" s="140">
        <f t="shared" si="76"/>
        <v>4.9199999999999991E-7</v>
      </c>
      <c r="AJ210" s="140">
        <f t="shared" si="77"/>
        <v>6.5599999999999994E-7</v>
      </c>
      <c r="AK210" s="140">
        <f t="shared" si="78"/>
        <v>8.1999999999999998E-7</v>
      </c>
      <c r="AL210" s="157">
        <f>IF(AE210&lt;$B$57*DATA!$H$1037,DATA!$H$1037,IF(AE210&gt;DATA!$H$1036*$B$57,DATA!$H$1036,1))</f>
        <v>1.2</v>
      </c>
      <c r="AM210" s="156">
        <f t="shared" si="58"/>
        <v>9.9999999999999995E-8</v>
      </c>
      <c r="AO210" s="140">
        <f t="shared" si="79"/>
        <v>1.6399999999999999E-5</v>
      </c>
      <c r="AP210">
        <v>1.64</v>
      </c>
      <c r="AQ210" s="140">
        <f t="shared" si="80"/>
        <v>1.6399999999999993E-7</v>
      </c>
      <c r="AR210" s="140">
        <f t="shared" si="81"/>
        <v>3.2799999999999992E-7</v>
      </c>
      <c r="AS210" s="140">
        <f t="shared" si="82"/>
        <v>4.9199999999999991E-7</v>
      </c>
      <c r="AT210" s="140">
        <f t="shared" si="83"/>
        <v>6.5599999999999994E-7</v>
      </c>
      <c r="AU210" s="140">
        <f t="shared" si="84"/>
        <v>8.1999999999999998E-7</v>
      </c>
      <c r="AV210" s="157">
        <f>IF(AO210&lt;$B$73*DATA!$H$1037,DATA!$H$1037,IF(AO210&gt;DATA!$H$1036*$B$73,DATA!$H$1036,1))</f>
        <v>1.2</v>
      </c>
      <c r="AW210" s="156">
        <f t="shared" si="85"/>
        <v>9.9999999999999995E-8</v>
      </c>
      <c r="AY210" s="140">
        <f t="shared" si="86"/>
        <v>1.6399999999999999E-5</v>
      </c>
      <c r="AZ210">
        <v>1.64</v>
      </c>
      <c r="BA210" s="140">
        <f t="shared" si="87"/>
        <v>1.6399999999999993E-7</v>
      </c>
      <c r="BB210" s="140">
        <f t="shared" si="88"/>
        <v>3.2799999999999992E-7</v>
      </c>
      <c r="BC210" s="140">
        <f t="shared" si="89"/>
        <v>4.9199999999999991E-7</v>
      </c>
      <c r="BD210" s="140">
        <f t="shared" si="90"/>
        <v>6.5599999999999994E-7</v>
      </c>
      <c r="BE210" s="140">
        <f t="shared" si="91"/>
        <v>8.1999999999999998E-7</v>
      </c>
      <c r="BF210" s="157">
        <f>IF(AY210&lt;$B$89*DATA!$H$1037,DATA!$H$1037,IF(AY210&gt;DATA!$H$1036*$B$89,DATA!$H$1036,1))</f>
        <v>1.2</v>
      </c>
      <c r="BG210" s="156">
        <f t="shared" si="92"/>
        <v>9.9999999999999995E-8</v>
      </c>
      <c r="BI210" s="140">
        <f t="shared" si="93"/>
        <v>1.6399999999999999E-5</v>
      </c>
      <c r="BJ210">
        <v>1.64</v>
      </c>
      <c r="BK210" s="140">
        <f t="shared" si="94"/>
        <v>1.6399999999999993E-7</v>
      </c>
      <c r="BL210" s="140">
        <f t="shared" si="95"/>
        <v>3.2799999999999992E-7</v>
      </c>
      <c r="BM210" s="140">
        <f t="shared" si="96"/>
        <v>4.9199999999999991E-7</v>
      </c>
      <c r="BN210" s="140">
        <f t="shared" si="97"/>
        <v>6.5599999999999994E-7</v>
      </c>
      <c r="BO210" s="140">
        <f t="shared" si="98"/>
        <v>8.1999999999999998E-7</v>
      </c>
      <c r="BP210" s="157">
        <f>IF(BI210&lt;$B$105*DATA!$H$1037,DATA!$H$1037,IF(BI210&gt;DATA!$H$1036*$B$105,DATA!$H$1036,1))</f>
        <v>1.2</v>
      </c>
      <c r="BQ210" s="156">
        <f t="shared" si="99"/>
        <v>9.9999999999999995E-8</v>
      </c>
    </row>
    <row r="211" spans="1:69">
      <c r="A211" s="140">
        <f t="shared" si="59"/>
        <v>1.66E-5</v>
      </c>
      <c r="B211">
        <v>1.66</v>
      </c>
      <c r="C211" s="140">
        <f t="shared" si="55"/>
        <v>1.6599999999999995E-7</v>
      </c>
      <c r="D211" s="140">
        <f t="shared" si="55"/>
        <v>3.3199999999999996E-7</v>
      </c>
      <c r="E211" s="140">
        <f t="shared" si="55"/>
        <v>4.9800000000000004E-7</v>
      </c>
      <c r="F211" s="140">
        <f t="shared" si="55"/>
        <v>6.6400000000000002E-7</v>
      </c>
      <c r="G211" s="140">
        <f t="shared" si="55"/>
        <v>8.300000000000001E-7</v>
      </c>
      <c r="H211" s="157">
        <f>IF(A211&lt;$B$9*DATA!$H$1037,DATA!$H$1037,IF(A211&gt;DATA!$H$1036*$B$9,DATA!$H$1036,1))</f>
        <v>0.8</v>
      </c>
      <c r="I211" s="156">
        <f t="shared" si="60"/>
        <v>9.9999999999999995E-8</v>
      </c>
      <c r="K211" s="140">
        <f t="shared" si="61"/>
        <v>1.66E-5</v>
      </c>
      <c r="L211">
        <v>1.66</v>
      </c>
      <c r="M211" s="140">
        <f t="shared" si="62"/>
        <v>1.6599999999999995E-7</v>
      </c>
      <c r="N211" s="140">
        <f t="shared" si="63"/>
        <v>3.3199999999999996E-7</v>
      </c>
      <c r="O211" s="140">
        <f t="shared" si="64"/>
        <v>4.9800000000000004E-7</v>
      </c>
      <c r="P211" s="140">
        <f t="shared" si="65"/>
        <v>6.6400000000000002E-7</v>
      </c>
      <c r="Q211" s="140">
        <f t="shared" si="66"/>
        <v>8.300000000000001E-7</v>
      </c>
      <c r="R211" s="157">
        <f>IF(K211&lt;$B$25*DATA!$H$1037,DATA!$H$1037,IF(K211&gt;DATA!$H$1036*$B$25,DATA!$H$1036,1))</f>
        <v>0.8</v>
      </c>
      <c r="S211" s="156">
        <f t="shared" si="56"/>
        <v>9.9999999999999995E-8</v>
      </c>
      <c r="U211" s="140">
        <f t="shared" si="67"/>
        <v>1.66E-5</v>
      </c>
      <c r="V211">
        <v>1.66</v>
      </c>
      <c r="W211" s="140">
        <f t="shared" si="68"/>
        <v>1.6599999999999995E-7</v>
      </c>
      <c r="X211" s="140">
        <f t="shared" si="69"/>
        <v>3.3199999999999996E-7</v>
      </c>
      <c r="Y211" s="140">
        <f t="shared" si="70"/>
        <v>4.9800000000000004E-7</v>
      </c>
      <c r="Z211" s="140">
        <f t="shared" si="71"/>
        <v>6.6400000000000002E-7</v>
      </c>
      <c r="AA211" s="140">
        <f t="shared" si="72"/>
        <v>8.300000000000001E-7</v>
      </c>
      <c r="AB211" s="157">
        <f>IF(U211&lt;$B$41*DATA!$H$1037,DATA!$H$1037,IF(U211&gt;DATA!$H$1036*$B$41,DATA!$H$1036,1))</f>
        <v>0.8</v>
      </c>
      <c r="AC211" s="156">
        <f t="shared" si="57"/>
        <v>9.9999999999999995E-8</v>
      </c>
      <c r="AE211" s="140">
        <f t="shared" si="73"/>
        <v>1.66E-5</v>
      </c>
      <c r="AF211">
        <v>1.66</v>
      </c>
      <c r="AG211" s="140">
        <f t="shared" si="74"/>
        <v>1.6599999999999995E-7</v>
      </c>
      <c r="AH211" s="140">
        <f t="shared" si="75"/>
        <v>3.3199999999999996E-7</v>
      </c>
      <c r="AI211" s="140">
        <f t="shared" si="76"/>
        <v>4.9800000000000004E-7</v>
      </c>
      <c r="AJ211" s="140">
        <f t="shared" si="77"/>
        <v>6.6400000000000002E-7</v>
      </c>
      <c r="AK211" s="140">
        <f t="shared" si="78"/>
        <v>8.300000000000001E-7</v>
      </c>
      <c r="AL211" s="157">
        <f>IF(AE211&lt;$B$57*DATA!$H$1037,DATA!$H$1037,IF(AE211&gt;DATA!$H$1036*$B$57,DATA!$H$1036,1))</f>
        <v>1.2</v>
      </c>
      <c r="AM211" s="156">
        <f t="shared" si="58"/>
        <v>9.9999999999999995E-8</v>
      </c>
      <c r="AO211" s="140">
        <f t="shared" si="79"/>
        <v>1.66E-5</v>
      </c>
      <c r="AP211">
        <v>1.66</v>
      </c>
      <c r="AQ211" s="140">
        <f t="shared" si="80"/>
        <v>1.6599999999999995E-7</v>
      </c>
      <c r="AR211" s="140">
        <f t="shared" si="81"/>
        <v>3.3199999999999996E-7</v>
      </c>
      <c r="AS211" s="140">
        <f t="shared" si="82"/>
        <v>4.9800000000000004E-7</v>
      </c>
      <c r="AT211" s="140">
        <f t="shared" si="83"/>
        <v>6.6400000000000002E-7</v>
      </c>
      <c r="AU211" s="140">
        <f t="shared" si="84"/>
        <v>8.300000000000001E-7</v>
      </c>
      <c r="AV211" s="157">
        <f>IF(AO211&lt;$B$73*DATA!$H$1037,DATA!$H$1037,IF(AO211&gt;DATA!$H$1036*$B$73,DATA!$H$1036,1))</f>
        <v>1.2</v>
      </c>
      <c r="AW211" s="156">
        <f t="shared" si="85"/>
        <v>9.9999999999999995E-8</v>
      </c>
      <c r="AY211" s="140">
        <f t="shared" si="86"/>
        <v>1.66E-5</v>
      </c>
      <c r="AZ211">
        <v>1.66</v>
      </c>
      <c r="BA211" s="140">
        <f t="shared" si="87"/>
        <v>1.6599999999999995E-7</v>
      </c>
      <c r="BB211" s="140">
        <f t="shared" si="88"/>
        <v>3.3199999999999996E-7</v>
      </c>
      <c r="BC211" s="140">
        <f t="shared" si="89"/>
        <v>4.9800000000000004E-7</v>
      </c>
      <c r="BD211" s="140">
        <f t="shared" si="90"/>
        <v>6.6400000000000002E-7</v>
      </c>
      <c r="BE211" s="140">
        <f t="shared" si="91"/>
        <v>8.300000000000001E-7</v>
      </c>
      <c r="BF211" s="157">
        <f>IF(AY211&lt;$B$89*DATA!$H$1037,DATA!$H$1037,IF(AY211&gt;DATA!$H$1036*$B$89,DATA!$H$1036,1))</f>
        <v>1.2</v>
      </c>
      <c r="BG211" s="156">
        <f t="shared" si="92"/>
        <v>9.9999999999999995E-8</v>
      </c>
      <c r="BI211" s="140">
        <f t="shared" si="93"/>
        <v>1.66E-5</v>
      </c>
      <c r="BJ211">
        <v>1.66</v>
      </c>
      <c r="BK211" s="140">
        <f t="shared" si="94"/>
        <v>1.6599999999999995E-7</v>
      </c>
      <c r="BL211" s="140">
        <f t="shared" si="95"/>
        <v>3.3199999999999996E-7</v>
      </c>
      <c r="BM211" s="140">
        <f t="shared" si="96"/>
        <v>4.9800000000000004E-7</v>
      </c>
      <c r="BN211" s="140">
        <f t="shared" si="97"/>
        <v>6.6400000000000002E-7</v>
      </c>
      <c r="BO211" s="140">
        <f t="shared" si="98"/>
        <v>8.300000000000001E-7</v>
      </c>
      <c r="BP211" s="157">
        <f>IF(BI211&lt;$B$105*DATA!$H$1037,DATA!$H$1037,IF(BI211&gt;DATA!$H$1036*$B$105,DATA!$H$1036,1))</f>
        <v>1.2</v>
      </c>
      <c r="BQ211" s="156">
        <f t="shared" si="99"/>
        <v>9.9999999999999995E-8</v>
      </c>
    </row>
    <row r="212" spans="1:69">
      <c r="A212" s="140">
        <f t="shared" si="59"/>
        <v>1.6800000000000002E-5</v>
      </c>
      <c r="B212">
        <v>1.68</v>
      </c>
      <c r="C212" s="140">
        <f t="shared" si="55"/>
        <v>1.6799999999999997E-7</v>
      </c>
      <c r="D212" s="140">
        <f t="shared" si="55"/>
        <v>3.3599999999999999E-7</v>
      </c>
      <c r="E212" s="140">
        <f t="shared" si="55"/>
        <v>5.0400000000000007E-7</v>
      </c>
      <c r="F212" s="140">
        <f t="shared" si="55"/>
        <v>6.7200000000000009E-7</v>
      </c>
      <c r="G212" s="140">
        <f t="shared" si="55"/>
        <v>8.4000000000000011E-7</v>
      </c>
      <c r="H212" s="157">
        <f>IF(A212&lt;$B$9*DATA!$H$1037,DATA!$H$1037,IF(A212&gt;DATA!$H$1036*$B$9,DATA!$H$1036,1))</f>
        <v>0.8</v>
      </c>
      <c r="I212" s="156">
        <f t="shared" si="60"/>
        <v>9.9999999999999995E-8</v>
      </c>
      <c r="K212" s="140">
        <f t="shared" si="61"/>
        <v>1.6800000000000002E-5</v>
      </c>
      <c r="L212">
        <v>1.68</v>
      </c>
      <c r="M212" s="140">
        <f t="shared" si="62"/>
        <v>1.6799999999999997E-7</v>
      </c>
      <c r="N212" s="140">
        <f t="shared" si="63"/>
        <v>3.3599999999999999E-7</v>
      </c>
      <c r="O212" s="140">
        <f t="shared" si="64"/>
        <v>5.0400000000000007E-7</v>
      </c>
      <c r="P212" s="140">
        <f t="shared" si="65"/>
        <v>6.7200000000000009E-7</v>
      </c>
      <c r="Q212" s="140">
        <f t="shared" si="66"/>
        <v>8.4000000000000011E-7</v>
      </c>
      <c r="R212" s="157">
        <f>IF(K212&lt;$B$25*DATA!$H$1037,DATA!$H$1037,IF(K212&gt;DATA!$H$1036*$B$25,DATA!$H$1036,1))</f>
        <v>0.8</v>
      </c>
      <c r="S212" s="156">
        <f t="shared" si="56"/>
        <v>9.9999999999999995E-8</v>
      </c>
      <c r="U212" s="140">
        <f t="shared" si="67"/>
        <v>1.6800000000000002E-5</v>
      </c>
      <c r="V212">
        <v>1.68</v>
      </c>
      <c r="W212" s="140">
        <f t="shared" si="68"/>
        <v>1.6799999999999997E-7</v>
      </c>
      <c r="X212" s="140">
        <f t="shared" si="69"/>
        <v>3.3599999999999999E-7</v>
      </c>
      <c r="Y212" s="140">
        <f t="shared" si="70"/>
        <v>5.0400000000000007E-7</v>
      </c>
      <c r="Z212" s="140">
        <f t="shared" si="71"/>
        <v>6.7200000000000009E-7</v>
      </c>
      <c r="AA212" s="140">
        <f t="shared" si="72"/>
        <v>8.4000000000000011E-7</v>
      </c>
      <c r="AB212" s="157">
        <f>IF(U212&lt;$B$41*DATA!$H$1037,DATA!$H$1037,IF(U212&gt;DATA!$H$1036*$B$41,DATA!$H$1036,1))</f>
        <v>0.8</v>
      </c>
      <c r="AC212" s="156">
        <f t="shared" si="57"/>
        <v>9.9999999999999995E-8</v>
      </c>
      <c r="AE212" s="140">
        <f t="shared" si="73"/>
        <v>1.6800000000000002E-5</v>
      </c>
      <c r="AF212">
        <v>1.68</v>
      </c>
      <c r="AG212" s="140">
        <f t="shared" si="74"/>
        <v>1.6799999999999997E-7</v>
      </c>
      <c r="AH212" s="140">
        <f t="shared" si="75"/>
        <v>3.3599999999999999E-7</v>
      </c>
      <c r="AI212" s="140">
        <f t="shared" si="76"/>
        <v>5.0400000000000007E-7</v>
      </c>
      <c r="AJ212" s="140">
        <f t="shared" si="77"/>
        <v>6.7200000000000009E-7</v>
      </c>
      <c r="AK212" s="140">
        <f t="shared" si="78"/>
        <v>8.4000000000000011E-7</v>
      </c>
      <c r="AL212" s="157">
        <f>IF(AE212&lt;$B$57*DATA!$H$1037,DATA!$H$1037,IF(AE212&gt;DATA!$H$1036*$B$57,DATA!$H$1036,1))</f>
        <v>1.2</v>
      </c>
      <c r="AM212" s="156">
        <f t="shared" si="58"/>
        <v>9.9999999999999995E-8</v>
      </c>
      <c r="AO212" s="140">
        <f t="shared" si="79"/>
        <v>1.6800000000000002E-5</v>
      </c>
      <c r="AP212">
        <v>1.68</v>
      </c>
      <c r="AQ212" s="140">
        <f t="shared" si="80"/>
        <v>1.6799999999999997E-7</v>
      </c>
      <c r="AR212" s="140">
        <f t="shared" si="81"/>
        <v>3.3599999999999999E-7</v>
      </c>
      <c r="AS212" s="140">
        <f t="shared" si="82"/>
        <v>5.0400000000000007E-7</v>
      </c>
      <c r="AT212" s="140">
        <f t="shared" si="83"/>
        <v>6.7200000000000009E-7</v>
      </c>
      <c r="AU212" s="140">
        <f t="shared" si="84"/>
        <v>8.4000000000000011E-7</v>
      </c>
      <c r="AV212" s="157">
        <f>IF(AO212&lt;$B$73*DATA!$H$1037,DATA!$H$1037,IF(AO212&gt;DATA!$H$1036*$B$73,DATA!$H$1036,1))</f>
        <v>1.2</v>
      </c>
      <c r="AW212" s="156">
        <f t="shared" si="85"/>
        <v>9.9999999999999995E-8</v>
      </c>
      <c r="AY212" s="140">
        <f t="shared" si="86"/>
        <v>1.6800000000000002E-5</v>
      </c>
      <c r="AZ212">
        <v>1.68</v>
      </c>
      <c r="BA212" s="140">
        <f t="shared" si="87"/>
        <v>1.6799999999999997E-7</v>
      </c>
      <c r="BB212" s="140">
        <f t="shared" si="88"/>
        <v>3.3599999999999999E-7</v>
      </c>
      <c r="BC212" s="140">
        <f t="shared" si="89"/>
        <v>5.0400000000000007E-7</v>
      </c>
      <c r="BD212" s="140">
        <f t="shared" si="90"/>
        <v>6.7200000000000009E-7</v>
      </c>
      <c r="BE212" s="140">
        <f t="shared" si="91"/>
        <v>8.4000000000000011E-7</v>
      </c>
      <c r="BF212" s="157">
        <f>IF(AY212&lt;$B$89*DATA!$H$1037,DATA!$H$1037,IF(AY212&gt;DATA!$H$1036*$B$89,DATA!$H$1036,1))</f>
        <v>1.2</v>
      </c>
      <c r="BG212" s="156">
        <f t="shared" si="92"/>
        <v>9.9999999999999995E-8</v>
      </c>
      <c r="BI212" s="140">
        <f t="shared" si="93"/>
        <v>1.6800000000000002E-5</v>
      </c>
      <c r="BJ212">
        <v>1.68</v>
      </c>
      <c r="BK212" s="140">
        <f t="shared" si="94"/>
        <v>1.6799999999999997E-7</v>
      </c>
      <c r="BL212" s="140">
        <f t="shared" si="95"/>
        <v>3.3599999999999999E-7</v>
      </c>
      <c r="BM212" s="140">
        <f t="shared" si="96"/>
        <v>5.0400000000000007E-7</v>
      </c>
      <c r="BN212" s="140">
        <f t="shared" si="97"/>
        <v>6.7200000000000009E-7</v>
      </c>
      <c r="BO212" s="140">
        <f t="shared" si="98"/>
        <v>8.4000000000000011E-7</v>
      </c>
      <c r="BP212" s="157">
        <f>IF(BI212&lt;$B$105*DATA!$H$1037,DATA!$H$1037,IF(BI212&gt;DATA!$H$1036*$B$105,DATA!$H$1036,1))</f>
        <v>1.2</v>
      </c>
      <c r="BQ212" s="156">
        <f t="shared" si="99"/>
        <v>9.9999999999999995E-8</v>
      </c>
    </row>
    <row r="213" spans="1:69">
      <c r="A213" s="140">
        <f t="shared" si="59"/>
        <v>1.7E-5</v>
      </c>
      <c r="B213">
        <v>1.7</v>
      </c>
      <c r="C213" s="140">
        <f t="shared" si="55"/>
        <v>1.6999999999999993E-7</v>
      </c>
      <c r="D213" s="140">
        <f t="shared" si="55"/>
        <v>3.3999999999999992E-7</v>
      </c>
      <c r="E213" s="140">
        <f t="shared" si="55"/>
        <v>5.0999999999999999E-7</v>
      </c>
      <c r="F213" s="140">
        <f t="shared" si="55"/>
        <v>6.8000000000000005E-7</v>
      </c>
      <c r="G213" s="140">
        <f t="shared" si="55"/>
        <v>8.5000000000000001E-7</v>
      </c>
      <c r="H213" s="157">
        <f>IF(A213&lt;$B$9*DATA!$H$1037,DATA!$H$1037,IF(A213&gt;DATA!$H$1036*$B$9,DATA!$H$1036,1))</f>
        <v>0.8</v>
      </c>
      <c r="I213" s="156">
        <f t="shared" si="60"/>
        <v>9.9999999999999995E-8</v>
      </c>
      <c r="K213" s="140">
        <f t="shared" si="61"/>
        <v>1.7E-5</v>
      </c>
      <c r="L213">
        <v>1.7</v>
      </c>
      <c r="M213" s="140">
        <f t="shared" si="62"/>
        <v>1.6999999999999993E-7</v>
      </c>
      <c r="N213" s="140">
        <f t="shared" si="63"/>
        <v>3.3999999999999992E-7</v>
      </c>
      <c r="O213" s="140">
        <f t="shared" si="64"/>
        <v>5.0999999999999999E-7</v>
      </c>
      <c r="P213" s="140">
        <f t="shared" si="65"/>
        <v>6.8000000000000005E-7</v>
      </c>
      <c r="Q213" s="140">
        <f t="shared" si="66"/>
        <v>8.5000000000000001E-7</v>
      </c>
      <c r="R213" s="157">
        <f>IF(K213&lt;$B$25*DATA!$H$1037,DATA!$H$1037,IF(K213&gt;DATA!$H$1036*$B$25,DATA!$H$1036,1))</f>
        <v>0.8</v>
      </c>
      <c r="S213" s="156">
        <f t="shared" si="56"/>
        <v>9.9999999999999995E-8</v>
      </c>
      <c r="U213" s="140">
        <f t="shared" si="67"/>
        <v>1.7E-5</v>
      </c>
      <c r="V213">
        <v>1.7</v>
      </c>
      <c r="W213" s="140">
        <f t="shared" si="68"/>
        <v>1.6999999999999993E-7</v>
      </c>
      <c r="X213" s="140">
        <f t="shared" si="69"/>
        <v>3.3999999999999992E-7</v>
      </c>
      <c r="Y213" s="140">
        <f t="shared" si="70"/>
        <v>5.0999999999999999E-7</v>
      </c>
      <c r="Z213" s="140">
        <f t="shared" si="71"/>
        <v>6.8000000000000005E-7</v>
      </c>
      <c r="AA213" s="140">
        <f t="shared" si="72"/>
        <v>8.5000000000000001E-7</v>
      </c>
      <c r="AB213" s="157">
        <f>IF(U213&lt;$B$41*DATA!$H$1037,DATA!$H$1037,IF(U213&gt;DATA!$H$1036*$B$41,DATA!$H$1036,1))</f>
        <v>0.8</v>
      </c>
      <c r="AC213" s="156">
        <f t="shared" si="57"/>
        <v>9.9999999999999995E-8</v>
      </c>
      <c r="AE213" s="140">
        <f t="shared" si="73"/>
        <v>1.7E-5</v>
      </c>
      <c r="AF213">
        <v>1.7</v>
      </c>
      <c r="AG213" s="140">
        <f t="shared" si="74"/>
        <v>1.6999999999999993E-7</v>
      </c>
      <c r="AH213" s="140">
        <f t="shared" si="75"/>
        <v>3.3999999999999992E-7</v>
      </c>
      <c r="AI213" s="140">
        <f t="shared" si="76"/>
        <v>5.0999999999999999E-7</v>
      </c>
      <c r="AJ213" s="140">
        <f t="shared" si="77"/>
        <v>6.8000000000000005E-7</v>
      </c>
      <c r="AK213" s="140">
        <f t="shared" si="78"/>
        <v>8.5000000000000001E-7</v>
      </c>
      <c r="AL213" s="157">
        <f>IF(AE213&lt;$B$57*DATA!$H$1037,DATA!$H$1037,IF(AE213&gt;DATA!$H$1036*$B$57,DATA!$H$1036,1))</f>
        <v>1.2</v>
      </c>
      <c r="AM213" s="156">
        <f t="shared" si="58"/>
        <v>9.9999999999999995E-8</v>
      </c>
      <c r="AO213" s="140">
        <f t="shared" si="79"/>
        <v>1.7E-5</v>
      </c>
      <c r="AP213">
        <v>1.7</v>
      </c>
      <c r="AQ213" s="140">
        <f t="shared" si="80"/>
        <v>1.6999999999999993E-7</v>
      </c>
      <c r="AR213" s="140">
        <f t="shared" si="81"/>
        <v>3.3999999999999992E-7</v>
      </c>
      <c r="AS213" s="140">
        <f t="shared" si="82"/>
        <v>5.0999999999999999E-7</v>
      </c>
      <c r="AT213" s="140">
        <f t="shared" si="83"/>
        <v>6.8000000000000005E-7</v>
      </c>
      <c r="AU213" s="140">
        <f t="shared" si="84"/>
        <v>8.5000000000000001E-7</v>
      </c>
      <c r="AV213" s="157">
        <f>IF(AO213&lt;$B$73*DATA!$H$1037,DATA!$H$1037,IF(AO213&gt;DATA!$H$1036*$B$73,DATA!$H$1036,1))</f>
        <v>1.2</v>
      </c>
      <c r="AW213" s="156">
        <f t="shared" si="85"/>
        <v>9.9999999999999995E-8</v>
      </c>
      <c r="AY213" s="140">
        <f t="shared" si="86"/>
        <v>1.7E-5</v>
      </c>
      <c r="AZ213">
        <v>1.7</v>
      </c>
      <c r="BA213" s="140">
        <f t="shared" si="87"/>
        <v>1.6999999999999993E-7</v>
      </c>
      <c r="BB213" s="140">
        <f t="shared" si="88"/>
        <v>3.3999999999999992E-7</v>
      </c>
      <c r="BC213" s="140">
        <f t="shared" si="89"/>
        <v>5.0999999999999999E-7</v>
      </c>
      <c r="BD213" s="140">
        <f t="shared" si="90"/>
        <v>6.8000000000000005E-7</v>
      </c>
      <c r="BE213" s="140">
        <f t="shared" si="91"/>
        <v>8.5000000000000001E-7</v>
      </c>
      <c r="BF213" s="157">
        <f>IF(AY213&lt;$B$89*DATA!$H$1037,DATA!$H$1037,IF(AY213&gt;DATA!$H$1036*$B$89,DATA!$H$1036,1))</f>
        <v>1.2</v>
      </c>
      <c r="BG213" s="156">
        <f t="shared" si="92"/>
        <v>9.9999999999999995E-8</v>
      </c>
      <c r="BI213" s="140">
        <f t="shared" si="93"/>
        <v>1.7E-5</v>
      </c>
      <c r="BJ213">
        <v>1.7</v>
      </c>
      <c r="BK213" s="140">
        <f t="shared" si="94"/>
        <v>1.6999999999999993E-7</v>
      </c>
      <c r="BL213" s="140">
        <f t="shared" si="95"/>
        <v>3.3999999999999992E-7</v>
      </c>
      <c r="BM213" s="140">
        <f t="shared" si="96"/>
        <v>5.0999999999999999E-7</v>
      </c>
      <c r="BN213" s="140">
        <f t="shared" si="97"/>
        <v>6.8000000000000005E-7</v>
      </c>
      <c r="BO213" s="140">
        <f t="shared" si="98"/>
        <v>8.5000000000000001E-7</v>
      </c>
      <c r="BP213" s="157">
        <f>IF(BI213&lt;$B$105*DATA!$H$1037,DATA!$H$1037,IF(BI213&gt;DATA!$H$1036*$B$105,DATA!$H$1036,1))</f>
        <v>1.2</v>
      </c>
      <c r="BQ213" s="156">
        <f t="shared" si="99"/>
        <v>9.9999999999999995E-8</v>
      </c>
    </row>
    <row r="214" spans="1:69">
      <c r="A214" s="140">
        <f t="shared" si="59"/>
        <v>1.7200000000000001E-5</v>
      </c>
      <c r="B214">
        <v>1.72</v>
      </c>
      <c r="C214" s="140">
        <f t="shared" si="55"/>
        <v>1.7199999999999995E-7</v>
      </c>
      <c r="D214" s="140">
        <f t="shared" si="55"/>
        <v>3.4399999999999996E-7</v>
      </c>
      <c r="E214" s="140">
        <f t="shared" si="55"/>
        <v>5.1600000000000001E-7</v>
      </c>
      <c r="F214" s="140">
        <f t="shared" si="55"/>
        <v>6.8800000000000002E-7</v>
      </c>
      <c r="G214" s="140">
        <f t="shared" si="55"/>
        <v>8.6000000000000013E-7</v>
      </c>
      <c r="H214" s="157">
        <f>IF(A214&lt;$B$9*DATA!$H$1037,DATA!$H$1037,IF(A214&gt;DATA!$H$1036*$B$9,DATA!$H$1036,1))</f>
        <v>0.8</v>
      </c>
      <c r="I214" s="156">
        <f t="shared" si="60"/>
        <v>9.9999999999999995E-8</v>
      </c>
      <c r="K214" s="140">
        <f t="shared" si="61"/>
        <v>1.7200000000000001E-5</v>
      </c>
      <c r="L214">
        <v>1.72</v>
      </c>
      <c r="M214" s="140">
        <f t="shared" si="62"/>
        <v>1.7199999999999995E-7</v>
      </c>
      <c r="N214" s="140">
        <f t="shared" si="63"/>
        <v>3.4399999999999996E-7</v>
      </c>
      <c r="O214" s="140">
        <f t="shared" si="64"/>
        <v>5.1600000000000001E-7</v>
      </c>
      <c r="P214" s="140">
        <f t="shared" si="65"/>
        <v>6.8800000000000002E-7</v>
      </c>
      <c r="Q214" s="140">
        <f t="shared" si="66"/>
        <v>8.6000000000000013E-7</v>
      </c>
      <c r="R214" s="157">
        <f>IF(K214&lt;$B$25*DATA!$H$1037,DATA!$H$1037,IF(K214&gt;DATA!$H$1036*$B$25,DATA!$H$1036,1))</f>
        <v>0.8</v>
      </c>
      <c r="S214" s="156">
        <f t="shared" si="56"/>
        <v>9.9999999999999995E-8</v>
      </c>
      <c r="U214" s="140">
        <f t="shared" si="67"/>
        <v>1.7200000000000001E-5</v>
      </c>
      <c r="V214">
        <v>1.72</v>
      </c>
      <c r="W214" s="140">
        <f t="shared" si="68"/>
        <v>1.7199999999999995E-7</v>
      </c>
      <c r="X214" s="140">
        <f t="shared" si="69"/>
        <v>3.4399999999999996E-7</v>
      </c>
      <c r="Y214" s="140">
        <f t="shared" si="70"/>
        <v>5.1600000000000001E-7</v>
      </c>
      <c r="Z214" s="140">
        <f t="shared" si="71"/>
        <v>6.8800000000000002E-7</v>
      </c>
      <c r="AA214" s="140">
        <f t="shared" si="72"/>
        <v>8.6000000000000013E-7</v>
      </c>
      <c r="AB214" s="157">
        <f>IF(U214&lt;$B$41*DATA!$H$1037,DATA!$H$1037,IF(U214&gt;DATA!$H$1036*$B$41,DATA!$H$1036,1))</f>
        <v>0.8</v>
      </c>
      <c r="AC214" s="156">
        <f t="shared" si="57"/>
        <v>9.9999999999999995E-8</v>
      </c>
      <c r="AE214" s="140">
        <f t="shared" si="73"/>
        <v>1.7200000000000001E-5</v>
      </c>
      <c r="AF214">
        <v>1.72</v>
      </c>
      <c r="AG214" s="140">
        <f t="shared" si="74"/>
        <v>1.7199999999999995E-7</v>
      </c>
      <c r="AH214" s="140">
        <f t="shared" si="75"/>
        <v>3.4399999999999996E-7</v>
      </c>
      <c r="AI214" s="140">
        <f t="shared" si="76"/>
        <v>5.1600000000000001E-7</v>
      </c>
      <c r="AJ214" s="140">
        <f t="shared" si="77"/>
        <v>6.8800000000000002E-7</v>
      </c>
      <c r="AK214" s="140">
        <f t="shared" si="78"/>
        <v>8.6000000000000013E-7</v>
      </c>
      <c r="AL214" s="157">
        <f>IF(AE214&lt;$B$57*DATA!$H$1037,DATA!$H$1037,IF(AE214&gt;DATA!$H$1036*$B$57,DATA!$H$1036,1))</f>
        <v>1.2</v>
      </c>
      <c r="AM214" s="156">
        <f t="shared" si="58"/>
        <v>9.9999999999999995E-8</v>
      </c>
      <c r="AO214" s="140">
        <f t="shared" si="79"/>
        <v>1.7200000000000001E-5</v>
      </c>
      <c r="AP214">
        <v>1.72</v>
      </c>
      <c r="AQ214" s="140">
        <f t="shared" si="80"/>
        <v>1.7199999999999995E-7</v>
      </c>
      <c r="AR214" s="140">
        <f t="shared" si="81"/>
        <v>3.4399999999999996E-7</v>
      </c>
      <c r="AS214" s="140">
        <f t="shared" si="82"/>
        <v>5.1600000000000001E-7</v>
      </c>
      <c r="AT214" s="140">
        <f t="shared" si="83"/>
        <v>6.8800000000000002E-7</v>
      </c>
      <c r="AU214" s="140">
        <f t="shared" si="84"/>
        <v>8.6000000000000013E-7</v>
      </c>
      <c r="AV214" s="157">
        <f>IF(AO214&lt;$B$73*DATA!$H$1037,DATA!$H$1037,IF(AO214&gt;DATA!$H$1036*$B$73,DATA!$H$1036,1))</f>
        <v>1.2</v>
      </c>
      <c r="AW214" s="156">
        <f t="shared" si="85"/>
        <v>9.9999999999999995E-8</v>
      </c>
      <c r="AY214" s="140">
        <f t="shared" si="86"/>
        <v>1.7200000000000001E-5</v>
      </c>
      <c r="AZ214">
        <v>1.72</v>
      </c>
      <c r="BA214" s="140">
        <f t="shared" si="87"/>
        <v>1.7199999999999995E-7</v>
      </c>
      <c r="BB214" s="140">
        <f t="shared" si="88"/>
        <v>3.4399999999999996E-7</v>
      </c>
      <c r="BC214" s="140">
        <f t="shared" si="89"/>
        <v>5.1600000000000001E-7</v>
      </c>
      <c r="BD214" s="140">
        <f t="shared" si="90"/>
        <v>6.8800000000000002E-7</v>
      </c>
      <c r="BE214" s="140">
        <f t="shared" si="91"/>
        <v>8.6000000000000013E-7</v>
      </c>
      <c r="BF214" s="157">
        <f>IF(AY214&lt;$B$89*DATA!$H$1037,DATA!$H$1037,IF(AY214&gt;DATA!$H$1036*$B$89,DATA!$H$1036,1))</f>
        <v>1.2</v>
      </c>
      <c r="BG214" s="156">
        <f t="shared" si="92"/>
        <v>9.9999999999999995E-8</v>
      </c>
      <c r="BI214" s="140">
        <f t="shared" si="93"/>
        <v>1.7200000000000001E-5</v>
      </c>
      <c r="BJ214">
        <v>1.72</v>
      </c>
      <c r="BK214" s="140">
        <f t="shared" si="94"/>
        <v>1.7199999999999995E-7</v>
      </c>
      <c r="BL214" s="140">
        <f t="shared" si="95"/>
        <v>3.4399999999999996E-7</v>
      </c>
      <c r="BM214" s="140">
        <f t="shared" si="96"/>
        <v>5.1600000000000001E-7</v>
      </c>
      <c r="BN214" s="140">
        <f t="shared" si="97"/>
        <v>6.8800000000000002E-7</v>
      </c>
      <c r="BO214" s="140">
        <f t="shared" si="98"/>
        <v>8.6000000000000013E-7</v>
      </c>
      <c r="BP214" s="157">
        <f>IF(BI214&lt;$B$105*DATA!$H$1037,DATA!$H$1037,IF(BI214&gt;DATA!$H$1036*$B$105,DATA!$H$1036,1))</f>
        <v>1.2</v>
      </c>
      <c r="BQ214" s="156">
        <f t="shared" si="99"/>
        <v>9.9999999999999995E-8</v>
      </c>
    </row>
    <row r="215" spans="1:69">
      <c r="A215" s="140">
        <f t="shared" si="59"/>
        <v>1.7400000000000003E-5</v>
      </c>
      <c r="B215">
        <v>1.74</v>
      </c>
      <c r="C215" s="140">
        <f t="shared" si="55"/>
        <v>1.7399999999999997E-7</v>
      </c>
      <c r="D215" s="140">
        <f t="shared" si="55"/>
        <v>3.4799999999999999E-7</v>
      </c>
      <c r="E215" s="140">
        <f t="shared" si="55"/>
        <v>5.2200000000000004E-7</v>
      </c>
      <c r="F215" s="140">
        <f t="shared" si="55"/>
        <v>6.9600000000000009E-7</v>
      </c>
      <c r="G215" s="140">
        <f t="shared" si="55"/>
        <v>8.7000000000000014E-7</v>
      </c>
      <c r="H215" s="157">
        <f>IF(A215&lt;$B$9*DATA!$H$1037,DATA!$H$1037,IF(A215&gt;DATA!$H$1036*$B$9,DATA!$H$1036,1))</f>
        <v>0.8</v>
      </c>
      <c r="I215" s="156">
        <f t="shared" si="60"/>
        <v>9.9999999999999995E-8</v>
      </c>
      <c r="K215" s="140">
        <f t="shared" si="61"/>
        <v>1.7400000000000003E-5</v>
      </c>
      <c r="L215">
        <v>1.74</v>
      </c>
      <c r="M215" s="140">
        <f t="shared" si="62"/>
        <v>1.7399999999999997E-7</v>
      </c>
      <c r="N215" s="140">
        <f t="shared" si="63"/>
        <v>3.4799999999999999E-7</v>
      </c>
      <c r="O215" s="140">
        <f t="shared" si="64"/>
        <v>5.2200000000000004E-7</v>
      </c>
      <c r="P215" s="140">
        <f t="shared" si="65"/>
        <v>6.9600000000000009E-7</v>
      </c>
      <c r="Q215" s="140">
        <f t="shared" si="66"/>
        <v>8.7000000000000014E-7</v>
      </c>
      <c r="R215" s="157">
        <f>IF(K215&lt;$B$25*DATA!$H$1037,DATA!$H$1037,IF(K215&gt;DATA!$H$1036*$B$25,DATA!$H$1036,1))</f>
        <v>0.8</v>
      </c>
      <c r="S215" s="156">
        <f t="shared" si="56"/>
        <v>9.9999999999999995E-8</v>
      </c>
      <c r="U215" s="140">
        <f t="shared" si="67"/>
        <v>1.7400000000000003E-5</v>
      </c>
      <c r="V215">
        <v>1.74</v>
      </c>
      <c r="W215" s="140">
        <f t="shared" si="68"/>
        <v>1.7399999999999997E-7</v>
      </c>
      <c r="X215" s="140">
        <f t="shared" si="69"/>
        <v>3.4799999999999999E-7</v>
      </c>
      <c r="Y215" s="140">
        <f t="shared" si="70"/>
        <v>5.2200000000000004E-7</v>
      </c>
      <c r="Z215" s="140">
        <f t="shared" si="71"/>
        <v>6.9600000000000009E-7</v>
      </c>
      <c r="AA215" s="140">
        <f t="shared" si="72"/>
        <v>8.7000000000000014E-7</v>
      </c>
      <c r="AB215" s="157">
        <f>IF(U215&lt;$B$41*DATA!$H$1037,DATA!$H$1037,IF(U215&gt;DATA!$H$1036*$B$41,DATA!$H$1036,1))</f>
        <v>0.8</v>
      </c>
      <c r="AC215" s="156">
        <f t="shared" si="57"/>
        <v>9.9999999999999995E-8</v>
      </c>
      <c r="AE215" s="140">
        <f t="shared" si="73"/>
        <v>1.7400000000000003E-5</v>
      </c>
      <c r="AF215">
        <v>1.74</v>
      </c>
      <c r="AG215" s="140">
        <f t="shared" si="74"/>
        <v>1.7399999999999997E-7</v>
      </c>
      <c r="AH215" s="140">
        <f t="shared" si="75"/>
        <v>3.4799999999999999E-7</v>
      </c>
      <c r="AI215" s="140">
        <f t="shared" si="76"/>
        <v>5.2200000000000004E-7</v>
      </c>
      <c r="AJ215" s="140">
        <f t="shared" si="77"/>
        <v>6.9600000000000009E-7</v>
      </c>
      <c r="AK215" s="140">
        <f t="shared" si="78"/>
        <v>8.7000000000000014E-7</v>
      </c>
      <c r="AL215" s="157">
        <f>IF(AE215&lt;$B$57*DATA!$H$1037,DATA!$H$1037,IF(AE215&gt;DATA!$H$1036*$B$57,DATA!$H$1036,1))</f>
        <v>1.2</v>
      </c>
      <c r="AM215" s="156">
        <f t="shared" si="58"/>
        <v>9.9999999999999995E-8</v>
      </c>
      <c r="AO215" s="140">
        <f t="shared" si="79"/>
        <v>1.7400000000000003E-5</v>
      </c>
      <c r="AP215">
        <v>1.74</v>
      </c>
      <c r="AQ215" s="140">
        <f t="shared" si="80"/>
        <v>1.7399999999999997E-7</v>
      </c>
      <c r="AR215" s="140">
        <f t="shared" si="81"/>
        <v>3.4799999999999999E-7</v>
      </c>
      <c r="AS215" s="140">
        <f t="shared" si="82"/>
        <v>5.2200000000000004E-7</v>
      </c>
      <c r="AT215" s="140">
        <f t="shared" si="83"/>
        <v>6.9600000000000009E-7</v>
      </c>
      <c r="AU215" s="140">
        <f t="shared" si="84"/>
        <v>8.7000000000000014E-7</v>
      </c>
      <c r="AV215" s="157">
        <f>IF(AO215&lt;$B$73*DATA!$H$1037,DATA!$H$1037,IF(AO215&gt;DATA!$H$1036*$B$73,DATA!$H$1036,1))</f>
        <v>1.2</v>
      </c>
      <c r="AW215" s="156">
        <f t="shared" si="85"/>
        <v>9.9999999999999995E-8</v>
      </c>
      <c r="AY215" s="140">
        <f t="shared" si="86"/>
        <v>1.7400000000000003E-5</v>
      </c>
      <c r="AZ215">
        <v>1.74</v>
      </c>
      <c r="BA215" s="140">
        <f t="shared" si="87"/>
        <v>1.7399999999999997E-7</v>
      </c>
      <c r="BB215" s="140">
        <f t="shared" si="88"/>
        <v>3.4799999999999999E-7</v>
      </c>
      <c r="BC215" s="140">
        <f t="shared" si="89"/>
        <v>5.2200000000000004E-7</v>
      </c>
      <c r="BD215" s="140">
        <f t="shared" si="90"/>
        <v>6.9600000000000009E-7</v>
      </c>
      <c r="BE215" s="140">
        <f t="shared" si="91"/>
        <v>8.7000000000000014E-7</v>
      </c>
      <c r="BF215" s="157">
        <f>IF(AY215&lt;$B$89*DATA!$H$1037,DATA!$H$1037,IF(AY215&gt;DATA!$H$1036*$B$89,DATA!$H$1036,1))</f>
        <v>1.2</v>
      </c>
      <c r="BG215" s="156">
        <f t="shared" si="92"/>
        <v>9.9999999999999995E-8</v>
      </c>
      <c r="BI215" s="140">
        <f t="shared" si="93"/>
        <v>1.7400000000000003E-5</v>
      </c>
      <c r="BJ215">
        <v>1.74</v>
      </c>
      <c r="BK215" s="140">
        <f t="shared" si="94"/>
        <v>1.7399999999999997E-7</v>
      </c>
      <c r="BL215" s="140">
        <f t="shared" si="95"/>
        <v>3.4799999999999999E-7</v>
      </c>
      <c r="BM215" s="140">
        <f t="shared" si="96"/>
        <v>5.2200000000000004E-7</v>
      </c>
      <c r="BN215" s="140">
        <f t="shared" si="97"/>
        <v>6.9600000000000009E-7</v>
      </c>
      <c r="BO215" s="140">
        <f t="shared" si="98"/>
        <v>8.7000000000000014E-7</v>
      </c>
      <c r="BP215" s="157">
        <f>IF(BI215&lt;$B$105*DATA!$H$1037,DATA!$H$1037,IF(BI215&gt;DATA!$H$1036*$B$105,DATA!$H$1036,1))</f>
        <v>1.2</v>
      </c>
      <c r="BQ215" s="156">
        <f t="shared" si="99"/>
        <v>9.9999999999999995E-8</v>
      </c>
    </row>
    <row r="216" spans="1:69">
      <c r="A216" s="140">
        <f t="shared" si="59"/>
        <v>1.7600000000000001E-5</v>
      </c>
      <c r="B216">
        <v>1.76</v>
      </c>
      <c r="C216" s="140">
        <f t="shared" si="55"/>
        <v>1.7599999999999996E-7</v>
      </c>
      <c r="D216" s="140">
        <f t="shared" si="55"/>
        <v>3.5199999999999998E-7</v>
      </c>
      <c r="E216" s="140">
        <f t="shared" si="55"/>
        <v>5.2799999999999996E-7</v>
      </c>
      <c r="F216" s="140">
        <f t="shared" si="55"/>
        <v>7.0400000000000006E-7</v>
      </c>
      <c r="G216" s="140">
        <f t="shared" si="55"/>
        <v>8.8000000000000004E-7</v>
      </c>
      <c r="H216" s="157">
        <f>IF(A216&lt;$B$9*DATA!$H$1037,DATA!$H$1037,IF(A216&gt;DATA!$H$1036*$B$9,DATA!$H$1036,1))</f>
        <v>0.8</v>
      </c>
      <c r="I216" s="156">
        <f t="shared" si="60"/>
        <v>9.9999999999999995E-8</v>
      </c>
      <c r="K216" s="140">
        <f t="shared" si="61"/>
        <v>1.7600000000000001E-5</v>
      </c>
      <c r="L216">
        <v>1.76</v>
      </c>
      <c r="M216" s="140">
        <f t="shared" si="62"/>
        <v>1.7599999999999996E-7</v>
      </c>
      <c r="N216" s="140">
        <f t="shared" si="63"/>
        <v>3.5199999999999998E-7</v>
      </c>
      <c r="O216" s="140">
        <f t="shared" si="64"/>
        <v>5.2799999999999996E-7</v>
      </c>
      <c r="P216" s="140">
        <f t="shared" si="65"/>
        <v>7.0400000000000006E-7</v>
      </c>
      <c r="Q216" s="140">
        <f t="shared" si="66"/>
        <v>8.8000000000000004E-7</v>
      </c>
      <c r="R216" s="157">
        <f>IF(K216&lt;$B$25*DATA!$H$1037,DATA!$H$1037,IF(K216&gt;DATA!$H$1036*$B$25,DATA!$H$1036,1))</f>
        <v>0.8</v>
      </c>
      <c r="S216" s="156">
        <f t="shared" si="56"/>
        <v>9.9999999999999995E-8</v>
      </c>
      <c r="U216" s="140">
        <f t="shared" si="67"/>
        <v>1.7600000000000001E-5</v>
      </c>
      <c r="V216">
        <v>1.76</v>
      </c>
      <c r="W216" s="140">
        <f t="shared" si="68"/>
        <v>1.7599999999999996E-7</v>
      </c>
      <c r="X216" s="140">
        <f t="shared" si="69"/>
        <v>3.5199999999999998E-7</v>
      </c>
      <c r="Y216" s="140">
        <f t="shared" si="70"/>
        <v>5.2799999999999996E-7</v>
      </c>
      <c r="Z216" s="140">
        <f t="shared" si="71"/>
        <v>7.0400000000000006E-7</v>
      </c>
      <c r="AA216" s="140">
        <f t="shared" si="72"/>
        <v>8.8000000000000004E-7</v>
      </c>
      <c r="AB216" s="157">
        <f>IF(U216&lt;$B$41*DATA!$H$1037,DATA!$H$1037,IF(U216&gt;DATA!$H$1036*$B$41,DATA!$H$1036,1))</f>
        <v>0.8</v>
      </c>
      <c r="AC216" s="156">
        <f t="shared" si="57"/>
        <v>9.9999999999999995E-8</v>
      </c>
      <c r="AE216" s="140">
        <f t="shared" si="73"/>
        <v>1.7600000000000001E-5</v>
      </c>
      <c r="AF216">
        <v>1.76</v>
      </c>
      <c r="AG216" s="140">
        <f t="shared" si="74"/>
        <v>1.7599999999999996E-7</v>
      </c>
      <c r="AH216" s="140">
        <f t="shared" si="75"/>
        <v>3.5199999999999998E-7</v>
      </c>
      <c r="AI216" s="140">
        <f t="shared" si="76"/>
        <v>5.2799999999999996E-7</v>
      </c>
      <c r="AJ216" s="140">
        <f t="shared" si="77"/>
        <v>7.0400000000000006E-7</v>
      </c>
      <c r="AK216" s="140">
        <f t="shared" si="78"/>
        <v>8.8000000000000004E-7</v>
      </c>
      <c r="AL216" s="157">
        <f>IF(AE216&lt;$B$57*DATA!$H$1037,DATA!$H$1037,IF(AE216&gt;DATA!$H$1036*$B$57,DATA!$H$1036,1))</f>
        <v>1.2</v>
      </c>
      <c r="AM216" s="156">
        <f t="shared" si="58"/>
        <v>9.9999999999999995E-8</v>
      </c>
      <c r="AO216" s="140">
        <f t="shared" si="79"/>
        <v>1.7600000000000001E-5</v>
      </c>
      <c r="AP216">
        <v>1.76</v>
      </c>
      <c r="AQ216" s="140">
        <f t="shared" si="80"/>
        <v>1.7599999999999996E-7</v>
      </c>
      <c r="AR216" s="140">
        <f t="shared" si="81"/>
        <v>3.5199999999999998E-7</v>
      </c>
      <c r="AS216" s="140">
        <f t="shared" si="82"/>
        <v>5.2799999999999996E-7</v>
      </c>
      <c r="AT216" s="140">
        <f t="shared" si="83"/>
        <v>7.0400000000000006E-7</v>
      </c>
      <c r="AU216" s="140">
        <f t="shared" si="84"/>
        <v>8.8000000000000004E-7</v>
      </c>
      <c r="AV216" s="157">
        <f>IF(AO216&lt;$B$73*DATA!$H$1037,DATA!$H$1037,IF(AO216&gt;DATA!$H$1036*$B$73,DATA!$H$1036,1))</f>
        <v>1.2</v>
      </c>
      <c r="AW216" s="156">
        <f t="shared" si="85"/>
        <v>9.9999999999999995E-8</v>
      </c>
      <c r="AY216" s="140">
        <f t="shared" si="86"/>
        <v>1.7600000000000001E-5</v>
      </c>
      <c r="AZ216">
        <v>1.76</v>
      </c>
      <c r="BA216" s="140">
        <f t="shared" si="87"/>
        <v>1.7599999999999996E-7</v>
      </c>
      <c r="BB216" s="140">
        <f t="shared" si="88"/>
        <v>3.5199999999999998E-7</v>
      </c>
      <c r="BC216" s="140">
        <f t="shared" si="89"/>
        <v>5.2799999999999996E-7</v>
      </c>
      <c r="BD216" s="140">
        <f t="shared" si="90"/>
        <v>7.0400000000000006E-7</v>
      </c>
      <c r="BE216" s="140">
        <f t="shared" si="91"/>
        <v>8.8000000000000004E-7</v>
      </c>
      <c r="BF216" s="157">
        <f>IF(AY216&lt;$B$89*DATA!$H$1037,DATA!$H$1037,IF(AY216&gt;DATA!$H$1036*$B$89,DATA!$H$1036,1))</f>
        <v>1.2</v>
      </c>
      <c r="BG216" s="156">
        <f t="shared" si="92"/>
        <v>9.9999999999999995E-8</v>
      </c>
      <c r="BI216" s="140">
        <f t="shared" si="93"/>
        <v>1.7600000000000001E-5</v>
      </c>
      <c r="BJ216">
        <v>1.76</v>
      </c>
      <c r="BK216" s="140">
        <f t="shared" si="94"/>
        <v>1.7599999999999996E-7</v>
      </c>
      <c r="BL216" s="140">
        <f t="shared" si="95"/>
        <v>3.5199999999999998E-7</v>
      </c>
      <c r="BM216" s="140">
        <f t="shared" si="96"/>
        <v>5.2799999999999996E-7</v>
      </c>
      <c r="BN216" s="140">
        <f t="shared" si="97"/>
        <v>7.0400000000000006E-7</v>
      </c>
      <c r="BO216" s="140">
        <f t="shared" si="98"/>
        <v>8.8000000000000004E-7</v>
      </c>
      <c r="BP216" s="157">
        <f>IF(BI216&lt;$B$105*DATA!$H$1037,DATA!$H$1037,IF(BI216&gt;DATA!$H$1036*$B$105,DATA!$H$1036,1))</f>
        <v>1.2</v>
      </c>
      <c r="BQ216" s="156">
        <f t="shared" si="99"/>
        <v>9.9999999999999995E-8</v>
      </c>
    </row>
    <row r="217" spans="1:69">
      <c r="A217" s="140">
        <f t="shared" si="59"/>
        <v>1.7800000000000002E-5</v>
      </c>
      <c r="B217">
        <v>1.78</v>
      </c>
      <c r="C217" s="140">
        <f t="shared" si="55"/>
        <v>1.7799999999999995E-7</v>
      </c>
      <c r="D217" s="140">
        <f t="shared" si="55"/>
        <v>3.5600000000000001E-7</v>
      </c>
      <c r="E217" s="140">
        <f t="shared" si="55"/>
        <v>5.340000000000001E-7</v>
      </c>
      <c r="F217" s="140">
        <f t="shared" si="55"/>
        <v>7.1200000000000013E-7</v>
      </c>
      <c r="G217" s="140">
        <f t="shared" si="55"/>
        <v>8.9000000000000016E-7</v>
      </c>
      <c r="H217" s="157">
        <f>IF(A217&lt;$B$9*DATA!$H$1037,DATA!$H$1037,IF(A217&gt;DATA!$H$1036*$B$9,DATA!$H$1036,1))</f>
        <v>0.8</v>
      </c>
      <c r="I217" s="156">
        <f t="shared" si="60"/>
        <v>9.9999999999999995E-8</v>
      </c>
      <c r="K217" s="140">
        <f t="shared" si="61"/>
        <v>1.7800000000000002E-5</v>
      </c>
      <c r="L217">
        <v>1.78</v>
      </c>
      <c r="M217" s="140">
        <f t="shared" si="62"/>
        <v>1.7799999999999995E-7</v>
      </c>
      <c r="N217" s="140">
        <f t="shared" si="63"/>
        <v>3.5600000000000001E-7</v>
      </c>
      <c r="O217" s="140">
        <f t="shared" si="64"/>
        <v>5.340000000000001E-7</v>
      </c>
      <c r="P217" s="140">
        <f t="shared" si="65"/>
        <v>7.1200000000000013E-7</v>
      </c>
      <c r="Q217" s="140">
        <f t="shared" si="66"/>
        <v>8.9000000000000016E-7</v>
      </c>
      <c r="R217" s="157">
        <f>IF(K217&lt;$B$25*DATA!$H$1037,DATA!$H$1037,IF(K217&gt;DATA!$H$1036*$B$25,DATA!$H$1036,1))</f>
        <v>0.8</v>
      </c>
      <c r="S217" s="156">
        <f t="shared" si="56"/>
        <v>9.9999999999999995E-8</v>
      </c>
      <c r="U217" s="140">
        <f t="shared" si="67"/>
        <v>1.7800000000000002E-5</v>
      </c>
      <c r="V217">
        <v>1.78</v>
      </c>
      <c r="W217" s="140">
        <f t="shared" si="68"/>
        <v>1.7799999999999995E-7</v>
      </c>
      <c r="X217" s="140">
        <f t="shared" si="69"/>
        <v>3.5600000000000001E-7</v>
      </c>
      <c r="Y217" s="140">
        <f t="shared" si="70"/>
        <v>5.340000000000001E-7</v>
      </c>
      <c r="Z217" s="140">
        <f t="shared" si="71"/>
        <v>7.1200000000000013E-7</v>
      </c>
      <c r="AA217" s="140">
        <f t="shared" si="72"/>
        <v>8.9000000000000016E-7</v>
      </c>
      <c r="AB217" s="157">
        <f>IF(U217&lt;$B$41*DATA!$H$1037,DATA!$H$1037,IF(U217&gt;DATA!$H$1036*$B$41,DATA!$H$1036,1))</f>
        <v>0.8</v>
      </c>
      <c r="AC217" s="156">
        <f t="shared" si="57"/>
        <v>9.9999999999999995E-8</v>
      </c>
      <c r="AE217" s="140">
        <f t="shared" si="73"/>
        <v>1.7800000000000002E-5</v>
      </c>
      <c r="AF217">
        <v>1.78</v>
      </c>
      <c r="AG217" s="140">
        <f t="shared" si="74"/>
        <v>1.7799999999999995E-7</v>
      </c>
      <c r="AH217" s="140">
        <f t="shared" si="75"/>
        <v>3.5600000000000001E-7</v>
      </c>
      <c r="AI217" s="140">
        <f t="shared" si="76"/>
        <v>5.340000000000001E-7</v>
      </c>
      <c r="AJ217" s="140">
        <f t="shared" si="77"/>
        <v>7.1200000000000013E-7</v>
      </c>
      <c r="AK217" s="140">
        <f t="shared" si="78"/>
        <v>8.9000000000000016E-7</v>
      </c>
      <c r="AL217" s="157">
        <f>IF(AE217&lt;$B$57*DATA!$H$1037,DATA!$H$1037,IF(AE217&gt;DATA!$H$1036*$B$57,DATA!$H$1036,1))</f>
        <v>1.2</v>
      </c>
      <c r="AM217" s="156">
        <f t="shared" si="58"/>
        <v>9.9999999999999995E-8</v>
      </c>
      <c r="AO217" s="140">
        <f t="shared" si="79"/>
        <v>1.7800000000000002E-5</v>
      </c>
      <c r="AP217">
        <v>1.78</v>
      </c>
      <c r="AQ217" s="140">
        <f t="shared" si="80"/>
        <v>1.7799999999999995E-7</v>
      </c>
      <c r="AR217" s="140">
        <f t="shared" si="81"/>
        <v>3.5600000000000001E-7</v>
      </c>
      <c r="AS217" s="140">
        <f t="shared" si="82"/>
        <v>5.340000000000001E-7</v>
      </c>
      <c r="AT217" s="140">
        <f t="shared" si="83"/>
        <v>7.1200000000000013E-7</v>
      </c>
      <c r="AU217" s="140">
        <f t="shared" si="84"/>
        <v>8.9000000000000016E-7</v>
      </c>
      <c r="AV217" s="157">
        <f>IF(AO217&lt;$B$73*DATA!$H$1037,DATA!$H$1037,IF(AO217&gt;DATA!$H$1036*$B$73,DATA!$H$1036,1))</f>
        <v>1.2</v>
      </c>
      <c r="AW217" s="156">
        <f t="shared" si="85"/>
        <v>9.9999999999999995E-8</v>
      </c>
      <c r="AY217" s="140">
        <f t="shared" si="86"/>
        <v>1.7800000000000002E-5</v>
      </c>
      <c r="AZ217">
        <v>1.78</v>
      </c>
      <c r="BA217" s="140">
        <f t="shared" si="87"/>
        <v>1.7799999999999995E-7</v>
      </c>
      <c r="BB217" s="140">
        <f t="shared" si="88"/>
        <v>3.5600000000000001E-7</v>
      </c>
      <c r="BC217" s="140">
        <f t="shared" si="89"/>
        <v>5.340000000000001E-7</v>
      </c>
      <c r="BD217" s="140">
        <f t="shared" si="90"/>
        <v>7.1200000000000013E-7</v>
      </c>
      <c r="BE217" s="140">
        <f t="shared" si="91"/>
        <v>8.9000000000000016E-7</v>
      </c>
      <c r="BF217" s="157">
        <f>IF(AY217&lt;$B$89*DATA!$H$1037,DATA!$H$1037,IF(AY217&gt;DATA!$H$1036*$B$89,DATA!$H$1036,1))</f>
        <v>1.2</v>
      </c>
      <c r="BG217" s="156">
        <f t="shared" si="92"/>
        <v>9.9999999999999995E-8</v>
      </c>
      <c r="BI217" s="140">
        <f t="shared" si="93"/>
        <v>1.7800000000000002E-5</v>
      </c>
      <c r="BJ217">
        <v>1.78</v>
      </c>
      <c r="BK217" s="140">
        <f t="shared" si="94"/>
        <v>1.7799999999999995E-7</v>
      </c>
      <c r="BL217" s="140">
        <f t="shared" si="95"/>
        <v>3.5600000000000001E-7</v>
      </c>
      <c r="BM217" s="140">
        <f t="shared" si="96"/>
        <v>5.340000000000001E-7</v>
      </c>
      <c r="BN217" s="140">
        <f t="shared" si="97"/>
        <v>7.1200000000000013E-7</v>
      </c>
      <c r="BO217" s="140">
        <f t="shared" si="98"/>
        <v>8.9000000000000016E-7</v>
      </c>
      <c r="BP217" s="157">
        <f>IF(BI217&lt;$B$105*DATA!$H$1037,DATA!$H$1037,IF(BI217&gt;DATA!$H$1036*$B$105,DATA!$H$1036,1))</f>
        <v>1.2</v>
      </c>
      <c r="BQ217" s="156">
        <f t="shared" si="99"/>
        <v>9.9999999999999995E-8</v>
      </c>
    </row>
    <row r="218" spans="1:69">
      <c r="A218" s="140">
        <f t="shared" si="59"/>
        <v>1.8E-5</v>
      </c>
      <c r="B218">
        <v>1.8</v>
      </c>
      <c r="C218" s="140">
        <f t="shared" si="55"/>
        <v>1.7999999999999994E-7</v>
      </c>
      <c r="D218" s="140">
        <f t="shared" si="55"/>
        <v>3.5999999999999994E-7</v>
      </c>
      <c r="E218" s="140">
        <f t="shared" si="55"/>
        <v>5.4000000000000002E-7</v>
      </c>
      <c r="F218" s="140">
        <f t="shared" si="55"/>
        <v>7.1999999999999999E-7</v>
      </c>
      <c r="G218" s="140">
        <f t="shared" si="55"/>
        <v>9.0000000000000007E-7</v>
      </c>
      <c r="H218" s="157">
        <f>IF(A218&lt;$B$9*DATA!$H$1037,DATA!$H$1037,IF(A218&gt;DATA!$H$1036*$B$9,DATA!$H$1036,1))</f>
        <v>0.8</v>
      </c>
      <c r="I218" s="156">
        <f t="shared" si="60"/>
        <v>9.9999999999999995E-8</v>
      </c>
      <c r="K218" s="140">
        <f t="shared" si="61"/>
        <v>1.8E-5</v>
      </c>
      <c r="L218">
        <v>1.8</v>
      </c>
      <c r="M218" s="140">
        <f t="shared" si="62"/>
        <v>1.7999999999999994E-7</v>
      </c>
      <c r="N218" s="140">
        <f t="shared" si="63"/>
        <v>3.5999999999999994E-7</v>
      </c>
      <c r="O218" s="140">
        <f t="shared" si="64"/>
        <v>5.4000000000000002E-7</v>
      </c>
      <c r="P218" s="140">
        <f t="shared" si="65"/>
        <v>7.1999999999999999E-7</v>
      </c>
      <c r="Q218" s="140">
        <f t="shared" si="66"/>
        <v>9.0000000000000007E-7</v>
      </c>
      <c r="R218" s="157">
        <f>IF(K218&lt;$B$25*DATA!$H$1037,DATA!$H$1037,IF(K218&gt;DATA!$H$1036*$B$25,DATA!$H$1036,1))</f>
        <v>0.8</v>
      </c>
      <c r="S218" s="156">
        <f t="shared" si="56"/>
        <v>9.9999999999999995E-8</v>
      </c>
      <c r="U218" s="140">
        <f t="shared" si="67"/>
        <v>1.8E-5</v>
      </c>
      <c r="V218">
        <v>1.8</v>
      </c>
      <c r="W218" s="140">
        <f t="shared" si="68"/>
        <v>1.7999999999999994E-7</v>
      </c>
      <c r="X218" s="140">
        <f t="shared" si="69"/>
        <v>3.5999999999999994E-7</v>
      </c>
      <c r="Y218" s="140">
        <f t="shared" si="70"/>
        <v>5.4000000000000002E-7</v>
      </c>
      <c r="Z218" s="140">
        <f t="shared" si="71"/>
        <v>7.1999999999999999E-7</v>
      </c>
      <c r="AA218" s="140">
        <f t="shared" si="72"/>
        <v>9.0000000000000007E-7</v>
      </c>
      <c r="AB218" s="157">
        <f>IF(U218&lt;$B$41*DATA!$H$1037,DATA!$H$1037,IF(U218&gt;DATA!$H$1036*$B$41,DATA!$H$1036,1))</f>
        <v>0.8</v>
      </c>
      <c r="AC218" s="156">
        <f t="shared" si="57"/>
        <v>9.9999999999999995E-8</v>
      </c>
      <c r="AE218" s="140">
        <f t="shared" si="73"/>
        <v>1.8E-5</v>
      </c>
      <c r="AF218">
        <v>1.8</v>
      </c>
      <c r="AG218" s="140">
        <f t="shared" si="74"/>
        <v>1.7999999999999994E-7</v>
      </c>
      <c r="AH218" s="140">
        <f t="shared" si="75"/>
        <v>3.5999999999999994E-7</v>
      </c>
      <c r="AI218" s="140">
        <f t="shared" si="76"/>
        <v>5.4000000000000002E-7</v>
      </c>
      <c r="AJ218" s="140">
        <f t="shared" si="77"/>
        <v>7.1999999999999999E-7</v>
      </c>
      <c r="AK218" s="140">
        <f t="shared" si="78"/>
        <v>9.0000000000000007E-7</v>
      </c>
      <c r="AL218" s="157">
        <f>IF(AE218&lt;$B$57*DATA!$H$1037,DATA!$H$1037,IF(AE218&gt;DATA!$H$1036*$B$57,DATA!$H$1036,1))</f>
        <v>1.2</v>
      </c>
      <c r="AM218" s="156">
        <f t="shared" si="58"/>
        <v>9.9999999999999995E-8</v>
      </c>
      <c r="AO218" s="140">
        <f t="shared" si="79"/>
        <v>1.8E-5</v>
      </c>
      <c r="AP218">
        <v>1.8</v>
      </c>
      <c r="AQ218" s="140">
        <f t="shared" si="80"/>
        <v>1.7999999999999994E-7</v>
      </c>
      <c r="AR218" s="140">
        <f t="shared" si="81"/>
        <v>3.5999999999999994E-7</v>
      </c>
      <c r="AS218" s="140">
        <f t="shared" si="82"/>
        <v>5.4000000000000002E-7</v>
      </c>
      <c r="AT218" s="140">
        <f t="shared" si="83"/>
        <v>7.1999999999999999E-7</v>
      </c>
      <c r="AU218" s="140">
        <f t="shared" si="84"/>
        <v>9.0000000000000007E-7</v>
      </c>
      <c r="AV218" s="157">
        <f>IF(AO218&lt;$B$73*DATA!$H$1037,DATA!$H$1037,IF(AO218&gt;DATA!$H$1036*$B$73,DATA!$H$1036,1))</f>
        <v>1.2</v>
      </c>
      <c r="AW218" s="156">
        <f t="shared" si="85"/>
        <v>9.9999999999999995E-8</v>
      </c>
      <c r="AY218" s="140">
        <f t="shared" si="86"/>
        <v>1.8E-5</v>
      </c>
      <c r="AZ218">
        <v>1.8</v>
      </c>
      <c r="BA218" s="140">
        <f t="shared" si="87"/>
        <v>1.7999999999999994E-7</v>
      </c>
      <c r="BB218" s="140">
        <f t="shared" si="88"/>
        <v>3.5999999999999994E-7</v>
      </c>
      <c r="BC218" s="140">
        <f t="shared" si="89"/>
        <v>5.4000000000000002E-7</v>
      </c>
      <c r="BD218" s="140">
        <f t="shared" si="90"/>
        <v>7.1999999999999999E-7</v>
      </c>
      <c r="BE218" s="140">
        <f t="shared" si="91"/>
        <v>9.0000000000000007E-7</v>
      </c>
      <c r="BF218" s="157">
        <f>IF(AY218&lt;$B$89*DATA!$H$1037,DATA!$H$1037,IF(AY218&gt;DATA!$H$1036*$B$89,DATA!$H$1036,1))</f>
        <v>1.2</v>
      </c>
      <c r="BG218" s="156">
        <f t="shared" si="92"/>
        <v>9.9999999999999995E-8</v>
      </c>
      <c r="BI218" s="140">
        <f t="shared" si="93"/>
        <v>1.8E-5</v>
      </c>
      <c r="BJ218">
        <v>1.8</v>
      </c>
      <c r="BK218" s="140">
        <f t="shared" si="94"/>
        <v>1.7999999999999994E-7</v>
      </c>
      <c r="BL218" s="140">
        <f t="shared" si="95"/>
        <v>3.5999999999999994E-7</v>
      </c>
      <c r="BM218" s="140">
        <f t="shared" si="96"/>
        <v>5.4000000000000002E-7</v>
      </c>
      <c r="BN218" s="140">
        <f t="shared" si="97"/>
        <v>7.1999999999999999E-7</v>
      </c>
      <c r="BO218" s="140">
        <f t="shared" si="98"/>
        <v>9.0000000000000007E-7</v>
      </c>
      <c r="BP218" s="157">
        <f>IF(BI218&lt;$B$105*DATA!$H$1037,DATA!$H$1037,IF(BI218&gt;DATA!$H$1036*$B$105,DATA!$H$1036,1))</f>
        <v>1.2</v>
      </c>
      <c r="BQ218" s="156">
        <f t="shared" si="99"/>
        <v>9.9999999999999995E-8</v>
      </c>
    </row>
    <row r="219" spans="1:69">
      <c r="A219" s="140">
        <f t="shared" si="59"/>
        <v>1.8200000000000002E-5</v>
      </c>
      <c r="B219">
        <v>1.82</v>
      </c>
      <c r="C219" s="140">
        <f t="shared" si="55"/>
        <v>1.8199999999999996E-7</v>
      </c>
      <c r="D219" s="140">
        <f t="shared" si="55"/>
        <v>3.6399999999999998E-7</v>
      </c>
      <c r="E219" s="140">
        <f t="shared" si="55"/>
        <v>5.4600000000000005E-7</v>
      </c>
      <c r="F219" s="140">
        <f t="shared" si="55"/>
        <v>7.2800000000000006E-7</v>
      </c>
      <c r="G219" s="140">
        <f t="shared" si="55"/>
        <v>9.1000000000000018E-7</v>
      </c>
      <c r="H219" s="157">
        <f>IF(A219&lt;$B$9*DATA!$H$1037,DATA!$H$1037,IF(A219&gt;DATA!$H$1036*$B$9,DATA!$H$1036,1))</f>
        <v>0.8</v>
      </c>
      <c r="I219" s="156">
        <f t="shared" si="60"/>
        <v>9.9999999999999995E-8</v>
      </c>
      <c r="K219" s="140">
        <f t="shared" si="61"/>
        <v>1.8200000000000002E-5</v>
      </c>
      <c r="L219">
        <v>1.82</v>
      </c>
      <c r="M219" s="140">
        <f t="shared" si="62"/>
        <v>1.8199999999999996E-7</v>
      </c>
      <c r="N219" s="140">
        <f t="shared" si="63"/>
        <v>3.6399999999999998E-7</v>
      </c>
      <c r="O219" s="140">
        <f t="shared" si="64"/>
        <v>5.4600000000000005E-7</v>
      </c>
      <c r="P219" s="140">
        <f t="shared" si="65"/>
        <v>7.2800000000000006E-7</v>
      </c>
      <c r="Q219" s="140">
        <f t="shared" si="66"/>
        <v>9.1000000000000018E-7</v>
      </c>
      <c r="R219" s="157">
        <f>IF(K219&lt;$B$25*DATA!$H$1037,DATA!$H$1037,IF(K219&gt;DATA!$H$1036*$B$25,DATA!$H$1036,1))</f>
        <v>0.8</v>
      </c>
      <c r="S219" s="156">
        <f t="shared" si="56"/>
        <v>9.9999999999999995E-8</v>
      </c>
      <c r="U219" s="140">
        <f t="shared" si="67"/>
        <v>1.8200000000000002E-5</v>
      </c>
      <c r="V219">
        <v>1.82</v>
      </c>
      <c r="W219" s="140">
        <f t="shared" si="68"/>
        <v>1.8199999999999996E-7</v>
      </c>
      <c r="X219" s="140">
        <f t="shared" si="69"/>
        <v>3.6399999999999998E-7</v>
      </c>
      <c r="Y219" s="140">
        <f t="shared" si="70"/>
        <v>5.4600000000000005E-7</v>
      </c>
      <c r="Z219" s="140">
        <f t="shared" si="71"/>
        <v>7.2800000000000006E-7</v>
      </c>
      <c r="AA219" s="140">
        <f t="shared" si="72"/>
        <v>9.1000000000000018E-7</v>
      </c>
      <c r="AB219" s="157">
        <f>IF(U219&lt;$B$41*DATA!$H$1037,DATA!$H$1037,IF(U219&gt;DATA!$H$1036*$B$41,DATA!$H$1036,1))</f>
        <v>0.8</v>
      </c>
      <c r="AC219" s="156">
        <f t="shared" si="57"/>
        <v>9.9999999999999995E-8</v>
      </c>
      <c r="AE219" s="140">
        <f t="shared" si="73"/>
        <v>1.8200000000000002E-5</v>
      </c>
      <c r="AF219">
        <v>1.82</v>
      </c>
      <c r="AG219" s="140">
        <f t="shared" si="74"/>
        <v>1.8199999999999996E-7</v>
      </c>
      <c r="AH219" s="140">
        <f t="shared" si="75"/>
        <v>3.6399999999999998E-7</v>
      </c>
      <c r="AI219" s="140">
        <f t="shared" si="76"/>
        <v>5.4600000000000005E-7</v>
      </c>
      <c r="AJ219" s="140">
        <f t="shared" si="77"/>
        <v>7.2800000000000006E-7</v>
      </c>
      <c r="AK219" s="140">
        <f t="shared" si="78"/>
        <v>9.1000000000000018E-7</v>
      </c>
      <c r="AL219" s="157">
        <f>IF(AE219&lt;$B$57*DATA!$H$1037,DATA!$H$1037,IF(AE219&gt;DATA!$H$1036*$B$57,DATA!$H$1036,1))</f>
        <v>1.2</v>
      </c>
      <c r="AM219" s="156">
        <f t="shared" si="58"/>
        <v>9.9999999999999995E-8</v>
      </c>
      <c r="AO219" s="140">
        <f t="shared" si="79"/>
        <v>1.8200000000000002E-5</v>
      </c>
      <c r="AP219">
        <v>1.82</v>
      </c>
      <c r="AQ219" s="140">
        <f t="shared" si="80"/>
        <v>1.8199999999999996E-7</v>
      </c>
      <c r="AR219" s="140">
        <f t="shared" si="81"/>
        <v>3.6399999999999998E-7</v>
      </c>
      <c r="AS219" s="140">
        <f t="shared" si="82"/>
        <v>5.4600000000000005E-7</v>
      </c>
      <c r="AT219" s="140">
        <f t="shared" si="83"/>
        <v>7.2800000000000006E-7</v>
      </c>
      <c r="AU219" s="140">
        <f t="shared" si="84"/>
        <v>9.1000000000000018E-7</v>
      </c>
      <c r="AV219" s="157">
        <f>IF(AO219&lt;$B$73*DATA!$H$1037,DATA!$H$1037,IF(AO219&gt;DATA!$H$1036*$B$73,DATA!$H$1036,1))</f>
        <v>1.2</v>
      </c>
      <c r="AW219" s="156">
        <f t="shared" si="85"/>
        <v>9.9999999999999995E-8</v>
      </c>
      <c r="AY219" s="140">
        <f t="shared" si="86"/>
        <v>1.8200000000000002E-5</v>
      </c>
      <c r="AZ219">
        <v>1.82</v>
      </c>
      <c r="BA219" s="140">
        <f t="shared" si="87"/>
        <v>1.8199999999999996E-7</v>
      </c>
      <c r="BB219" s="140">
        <f t="shared" si="88"/>
        <v>3.6399999999999998E-7</v>
      </c>
      <c r="BC219" s="140">
        <f t="shared" si="89"/>
        <v>5.4600000000000005E-7</v>
      </c>
      <c r="BD219" s="140">
        <f t="shared" si="90"/>
        <v>7.2800000000000006E-7</v>
      </c>
      <c r="BE219" s="140">
        <f t="shared" si="91"/>
        <v>9.1000000000000018E-7</v>
      </c>
      <c r="BF219" s="157">
        <f>IF(AY219&lt;$B$89*DATA!$H$1037,DATA!$H$1037,IF(AY219&gt;DATA!$H$1036*$B$89,DATA!$H$1036,1))</f>
        <v>1.2</v>
      </c>
      <c r="BG219" s="156">
        <f t="shared" si="92"/>
        <v>9.9999999999999995E-8</v>
      </c>
      <c r="BI219" s="140">
        <f t="shared" si="93"/>
        <v>1.8200000000000002E-5</v>
      </c>
      <c r="BJ219">
        <v>1.82</v>
      </c>
      <c r="BK219" s="140">
        <f t="shared" si="94"/>
        <v>1.8199999999999996E-7</v>
      </c>
      <c r="BL219" s="140">
        <f t="shared" si="95"/>
        <v>3.6399999999999998E-7</v>
      </c>
      <c r="BM219" s="140">
        <f t="shared" si="96"/>
        <v>5.4600000000000005E-7</v>
      </c>
      <c r="BN219" s="140">
        <f t="shared" si="97"/>
        <v>7.2800000000000006E-7</v>
      </c>
      <c r="BO219" s="140">
        <f t="shared" si="98"/>
        <v>9.1000000000000018E-7</v>
      </c>
      <c r="BP219" s="157">
        <f>IF(BI219&lt;$B$105*DATA!$H$1037,DATA!$H$1037,IF(BI219&gt;DATA!$H$1036*$B$105,DATA!$H$1036,1))</f>
        <v>1.2</v>
      </c>
      <c r="BQ219" s="156">
        <f t="shared" si="99"/>
        <v>9.9999999999999995E-8</v>
      </c>
    </row>
    <row r="220" spans="1:69">
      <c r="A220" s="140">
        <f t="shared" si="59"/>
        <v>1.8400000000000003E-5</v>
      </c>
      <c r="B220">
        <v>1.84</v>
      </c>
      <c r="C220" s="140">
        <f t="shared" si="55"/>
        <v>1.8399999999999998E-7</v>
      </c>
      <c r="D220" s="140">
        <f t="shared" si="55"/>
        <v>3.6800000000000001E-7</v>
      </c>
      <c r="E220" s="140">
        <f t="shared" si="55"/>
        <v>5.5200000000000007E-7</v>
      </c>
      <c r="F220" s="140">
        <f t="shared" si="55"/>
        <v>7.3600000000000013E-7</v>
      </c>
      <c r="G220" s="140">
        <f t="shared" si="55"/>
        <v>9.2000000000000019E-7</v>
      </c>
      <c r="H220" s="157">
        <f>IF(A220&lt;$B$9*DATA!$H$1037,DATA!$H$1037,IF(A220&gt;DATA!$H$1036*$B$9,DATA!$H$1036,1))</f>
        <v>0.8</v>
      </c>
      <c r="I220" s="156">
        <f t="shared" si="60"/>
        <v>9.9999999999999995E-8</v>
      </c>
      <c r="K220" s="140">
        <f t="shared" si="61"/>
        <v>1.8400000000000003E-5</v>
      </c>
      <c r="L220">
        <v>1.84</v>
      </c>
      <c r="M220" s="140">
        <f t="shared" si="62"/>
        <v>1.8399999999999998E-7</v>
      </c>
      <c r="N220" s="140">
        <f t="shared" si="63"/>
        <v>3.6800000000000001E-7</v>
      </c>
      <c r="O220" s="140">
        <f t="shared" si="64"/>
        <v>5.5200000000000007E-7</v>
      </c>
      <c r="P220" s="140">
        <f t="shared" si="65"/>
        <v>7.3600000000000013E-7</v>
      </c>
      <c r="Q220" s="140">
        <f t="shared" si="66"/>
        <v>9.2000000000000019E-7</v>
      </c>
      <c r="R220" s="157">
        <f>IF(K220&lt;$B$25*DATA!$H$1037,DATA!$H$1037,IF(K220&gt;DATA!$H$1036*$B$25,DATA!$H$1036,1))</f>
        <v>0.8</v>
      </c>
      <c r="S220" s="156">
        <f t="shared" si="56"/>
        <v>9.9999999999999995E-8</v>
      </c>
      <c r="U220" s="140">
        <f t="shared" si="67"/>
        <v>1.8400000000000003E-5</v>
      </c>
      <c r="V220">
        <v>1.84</v>
      </c>
      <c r="W220" s="140">
        <f t="shared" si="68"/>
        <v>1.8399999999999998E-7</v>
      </c>
      <c r="X220" s="140">
        <f t="shared" si="69"/>
        <v>3.6800000000000001E-7</v>
      </c>
      <c r="Y220" s="140">
        <f t="shared" si="70"/>
        <v>5.5200000000000007E-7</v>
      </c>
      <c r="Z220" s="140">
        <f t="shared" si="71"/>
        <v>7.3600000000000013E-7</v>
      </c>
      <c r="AA220" s="140">
        <f t="shared" si="72"/>
        <v>9.2000000000000019E-7</v>
      </c>
      <c r="AB220" s="157">
        <f>IF(U220&lt;$B$41*DATA!$H$1037,DATA!$H$1037,IF(U220&gt;DATA!$H$1036*$B$41,DATA!$H$1036,1))</f>
        <v>0.8</v>
      </c>
      <c r="AC220" s="156">
        <f t="shared" si="57"/>
        <v>9.9999999999999995E-8</v>
      </c>
      <c r="AE220" s="140">
        <f t="shared" si="73"/>
        <v>1.8400000000000003E-5</v>
      </c>
      <c r="AF220">
        <v>1.84</v>
      </c>
      <c r="AG220" s="140">
        <f t="shared" si="74"/>
        <v>1.8399999999999998E-7</v>
      </c>
      <c r="AH220" s="140">
        <f t="shared" si="75"/>
        <v>3.6800000000000001E-7</v>
      </c>
      <c r="AI220" s="140">
        <f t="shared" si="76"/>
        <v>5.5200000000000007E-7</v>
      </c>
      <c r="AJ220" s="140">
        <f t="shared" si="77"/>
        <v>7.3600000000000013E-7</v>
      </c>
      <c r="AK220" s="140">
        <f t="shared" si="78"/>
        <v>9.2000000000000019E-7</v>
      </c>
      <c r="AL220" s="157">
        <f>IF(AE220&lt;$B$57*DATA!$H$1037,DATA!$H$1037,IF(AE220&gt;DATA!$H$1036*$B$57,DATA!$H$1036,1))</f>
        <v>1.2</v>
      </c>
      <c r="AM220" s="156">
        <f t="shared" si="58"/>
        <v>9.9999999999999995E-8</v>
      </c>
      <c r="AO220" s="140">
        <f t="shared" si="79"/>
        <v>1.8400000000000003E-5</v>
      </c>
      <c r="AP220">
        <v>1.84</v>
      </c>
      <c r="AQ220" s="140">
        <f t="shared" si="80"/>
        <v>1.8399999999999998E-7</v>
      </c>
      <c r="AR220" s="140">
        <f t="shared" si="81"/>
        <v>3.6800000000000001E-7</v>
      </c>
      <c r="AS220" s="140">
        <f t="shared" si="82"/>
        <v>5.5200000000000007E-7</v>
      </c>
      <c r="AT220" s="140">
        <f t="shared" si="83"/>
        <v>7.3600000000000013E-7</v>
      </c>
      <c r="AU220" s="140">
        <f t="shared" si="84"/>
        <v>9.2000000000000019E-7</v>
      </c>
      <c r="AV220" s="157">
        <f>IF(AO220&lt;$B$73*DATA!$H$1037,DATA!$H$1037,IF(AO220&gt;DATA!$H$1036*$B$73,DATA!$H$1036,1))</f>
        <v>1.2</v>
      </c>
      <c r="AW220" s="156">
        <f t="shared" si="85"/>
        <v>9.9999999999999995E-8</v>
      </c>
      <c r="AY220" s="140">
        <f t="shared" si="86"/>
        <v>1.8400000000000003E-5</v>
      </c>
      <c r="AZ220">
        <v>1.84</v>
      </c>
      <c r="BA220" s="140">
        <f t="shared" si="87"/>
        <v>1.8399999999999998E-7</v>
      </c>
      <c r="BB220" s="140">
        <f t="shared" si="88"/>
        <v>3.6800000000000001E-7</v>
      </c>
      <c r="BC220" s="140">
        <f t="shared" si="89"/>
        <v>5.5200000000000007E-7</v>
      </c>
      <c r="BD220" s="140">
        <f t="shared" si="90"/>
        <v>7.3600000000000013E-7</v>
      </c>
      <c r="BE220" s="140">
        <f t="shared" si="91"/>
        <v>9.2000000000000019E-7</v>
      </c>
      <c r="BF220" s="157">
        <f>IF(AY220&lt;$B$89*DATA!$H$1037,DATA!$H$1037,IF(AY220&gt;DATA!$H$1036*$B$89,DATA!$H$1036,1))</f>
        <v>1.2</v>
      </c>
      <c r="BG220" s="156">
        <f t="shared" si="92"/>
        <v>9.9999999999999995E-8</v>
      </c>
      <c r="BI220" s="140">
        <f t="shared" si="93"/>
        <v>1.8400000000000003E-5</v>
      </c>
      <c r="BJ220">
        <v>1.84</v>
      </c>
      <c r="BK220" s="140">
        <f t="shared" si="94"/>
        <v>1.8399999999999998E-7</v>
      </c>
      <c r="BL220" s="140">
        <f t="shared" si="95"/>
        <v>3.6800000000000001E-7</v>
      </c>
      <c r="BM220" s="140">
        <f t="shared" si="96"/>
        <v>5.5200000000000007E-7</v>
      </c>
      <c r="BN220" s="140">
        <f t="shared" si="97"/>
        <v>7.3600000000000013E-7</v>
      </c>
      <c r="BO220" s="140">
        <f t="shared" si="98"/>
        <v>9.2000000000000019E-7</v>
      </c>
      <c r="BP220" s="157">
        <f>IF(BI220&lt;$B$105*DATA!$H$1037,DATA!$H$1037,IF(BI220&gt;DATA!$H$1036*$B$105,DATA!$H$1036,1))</f>
        <v>1.2</v>
      </c>
      <c r="BQ220" s="156">
        <f t="shared" si="99"/>
        <v>9.9999999999999995E-8</v>
      </c>
    </row>
    <row r="221" spans="1:69">
      <c r="A221" s="140">
        <f t="shared" si="59"/>
        <v>1.8600000000000001E-5</v>
      </c>
      <c r="B221">
        <v>1.86</v>
      </c>
      <c r="C221" s="140">
        <f t="shared" si="55"/>
        <v>1.8599999999999994E-7</v>
      </c>
      <c r="D221" s="140">
        <f t="shared" si="55"/>
        <v>3.72E-7</v>
      </c>
      <c r="E221" s="140">
        <f t="shared" si="55"/>
        <v>5.5799999999999999E-7</v>
      </c>
      <c r="F221" s="140">
        <f t="shared" si="55"/>
        <v>7.440000000000001E-7</v>
      </c>
      <c r="G221" s="140">
        <f t="shared" si="55"/>
        <v>9.300000000000001E-7</v>
      </c>
      <c r="H221" s="157">
        <f>IF(A221&lt;$B$9*DATA!$H$1037,DATA!$H$1037,IF(A221&gt;DATA!$H$1036*$B$9,DATA!$H$1036,1))</f>
        <v>0.8</v>
      </c>
      <c r="I221" s="156">
        <f t="shared" si="60"/>
        <v>9.9999999999999995E-8</v>
      </c>
      <c r="K221" s="140">
        <f t="shared" si="61"/>
        <v>1.8600000000000001E-5</v>
      </c>
      <c r="L221">
        <v>1.86</v>
      </c>
      <c r="M221" s="140">
        <f t="shared" si="62"/>
        <v>1.8599999999999994E-7</v>
      </c>
      <c r="N221" s="140">
        <f t="shared" si="63"/>
        <v>3.72E-7</v>
      </c>
      <c r="O221" s="140">
        <f t="shared" si="64"/>
        <v>5.5799999999999999E-7</v>
      </c>
      <c r="P221" s="140">
        <f t="shared" si="65"/>
        <v>7.440000000000001E-7</v>
      </c>
      <c r="Q221" s="140">
        <f t="shared" si="66"/>
        <v>9.300000000000001E-7</v>
      </c>
      <c r="R221" s="157">
        <f>IF(K221&lt;$B$25*DATA!$H$1037,DATA!$H$1037,IF(K221&gt;DATA!$H$1036*$B$25,DATA!$H$1036,1))</f>
        <v>0.8</v>
      </c>
      <c r="S221" s="156">
        <f t="shared" si="56"/>
        <v>9.9999999999999995E-8</v>
      </c>
      <c r="U221" s="140">
        <f t="shared" si="67"/>
        <v>1.8600000000000001E-5</v>
      </c>
      <c r="V221">
        <v>1.86</v>
      </c>
      <c r="W221" s="140">
        <f t="shared" si="68"/>
        <v>1.8599999999999994E-7</v>
      </c>
      <c r="X221" s="140">
        <f t="shared" si="69"/>
        <v>3.72E-7</v>
      </c>
      <c r="Y221" s="140">
        <f t="shared" si="70"/>
        <v>5.5799999999999999E-7</v>
      </c>
      <c r="Z221" s="140">
        <f t="shared" si="71"/>
        <v>7.440000000000001E-7</v>
      </c>
      <c r="AA221" s="140">
        <f t="shared" si="72"/>
        <v>9.300000000000001E-7</v>
      </c>
      <c r="AB221" s="157">
        <f>IF(U221&lt;$B$41*DATA!$H$1037,DATA!$H$1037,IF(U221&gt;DATA!$H$1036*$B$41,DATA!$H$1036,1))</f>
        <v>0.8</v>
      </c>
      <c r="AC221" s="156">
        <f t="shared" si="57"/>
        <v>9.9999999999999995E-8</v>
      </c>
      <c r="AE221" s="140">
        <f t="shared" si="73"/>
        <v>1.8600000000000001E-5</v>
      </c>
      <c r="AF221">
        <v>1.86</v>
      </c>
      <c r="AG221" s="140">
        <f t="shared" si="74"/>
        <v>1.8599999999999994E-7</v>
      </c>
      <c r="AH221" s="140">
        <f t="shared" si="75"/>
        <v>3.72E-7</v>
      </c>
      <c r="AI221" s="140">
        <f t="shared" si="76"/>
        <v>5.5799999999999999E-7</v>
      </c>
      <c r="AJ221" s="140">
        <f t="shared" si="77"/>
        <v>7.440000000000001E-7</v>
      </c>
      <c r="AK221" s="140">
        <f t="shared" si="78"/>
        <v>9.300000000000001E-7</v>
      </c>
      <c r="AL221" s="157">
        <f>IF(AE221&lt;$B$57*DATA!$H$1037,DATA!$H$1037,IF(AE221&gt;DATA!$H$1036*$B$57,DATA!$H$1036,1))</f>
        <v>1.2</v>
      </c>
      <c r="AM221" s="156">
        <f t="shared" si="58"/>
        <v>9.9999999999999995E-8</v>
      </c>
      <c r="AO221" s="140">
        <f t="shared" si="79"/>
        <v>1.8600000000000001E-5</v>
      </c>
      <c r="AP221">
        <v>1.86</v>
      </c>
      <c r="AQ221" s="140">
        <f t="shared" si="80"/>
        <v>1.8599999999999994E-7</v>
      </c>
      <c r="AR221" s="140">
        <f t="shared" si="81"/>
        <v>3.72E-7</v>
      </c>
      <c r="AS221" s="140">
        <f t="shared" si="82"/>
        <v>5.5799999999999999E-7</v>
      </c>
      <c r="AT221" s="140">
        <f t="shared" si="83"/>
        <v>7.440000000000001E-7</v>
      </c>
      <c r="AU221" s="140">
        <f t="shared" si="84"/>
        <v>9.300000000000001E-7</v>
      </c>
      <c r="AV221" s="157">
        <f>IF(AO221&lt;$B$73*DATA!$H$1037,DATA!$H$1037,IF(AO221&gt;DATA!$H$1036*$B$73,DATA!$H$1036,1))</f>
        <v>1.2</v>
      </c>
      <c r="AW221" s="156">
        <f t="shared" si="85"/>
        <v>9.9999999999999995E-8</v>
      </c>
      <c r="AY221" s="140">
        <f t="shared" si="86"/>
        <v>1.8600000000000001E-5</v>
      </c>
      <c r="AZ221">
        <v>1.86</v>
      </c>
      <c r="BA221" s="140">
        <f t="shared" si="87"/>
        <v>1.8599999999999994E-7</v>
      </c>
      <c r="BB221" s="140">
        <f t="shared" si="88"/>
        <v>3.72E-7</v>
      </c>
      <c r="BC221" s="140">
        <f t="shared" si="89"/>
        <v>5.5799999999999999E-7</v>
      </c>
      <c r="BD221" s="140">
        <f t="shared" si="90"/>
        <v>7.440000000000001E-7</v>
      </c>
      <c r="BE221" s="140">
        <f t="shared" si="91"/>
        <v>9.300000000000001E-7</v>
      </c>
      <c r="BF221" s="157">
        <f>IF(AY221&lt;$B$89*DATA!$H$1037,DATA!$H$1037,IF(AY221&gt;DATA!$H$1036*$B$89,DATA!$H$1036,1))</f>
        <v>1.2</v>
      </c>
      <c r="BG221" s="156">
        <f t="shared" si="92"/>
        <v>9.9999999999999995E-8</v>
      </c>
      <c r="BI221" s="140">
        <f t="shared" si="93"/>
        <v>1.8600000000000001E-5</v>
      </c>
      <c r="BJ221">
        <v>1.86</v>
      </c>
      <c r="BK221" s="140">
        <f t="shared" si="94"/>
        <v>1.8599999999999994E-7</v>
      </c>
      <c r="BL221" s="140">
        <f t="shared" si="95"/>
        <v>3.72E-7</v>
      </c>
      <c r="BM221" s="140">
        <f t="shared" si="96"/>
        <v>5.5799999999999999E-7</v>
      </c>
      <c r="BN221" s="140">
        <f t="shared" si="97"/>
        <v>7.440000000000001E-7</v>
      </c>
      <c r="BO221" s="140">
        <f t="shared" si="98"/>
        <v>9.300000000000001E-7</v>
      </c>
      <c r="BP221" s="157">
        <f>IF(BI221&lt;$B$105*DATA!$H$1037,DATA!$H$1037,IF(BI221&gt;DATA!$H$1036*$B$105,DATA!$H$1036,1))</f>
        <v>1.2</v>
      </c>
      <c r="BQ221" s="156">
        <f t="shared" si="99"/>
        <v>9.9999999999999995E-8</v>
      </c>
    </row>
    <row r="222" spans="1:69">
      <c r="A222" s="140">
        <f t="shared" si="59"/>
        <v>1.88E-5</v>
      </c>
      <c r="B222">
        <v>1.88</v>
      </c>
      <c r="C222" s="140">
        <f t="shared" si="55"/>
        <v>1.8799999999999994E-7</v>
      </c>
      <c r="D222" s="140">
        <f t="shared" si="55"/>
        <v>3.7599999999999993E-7</v>
      </c>
      <c r="E222" s="140">
        <f t="shared" si="55"/>
        <v>5.6399999999999992E-7</v>
      </c>
      <c r="F222" s="140">
        <f t="shared" si="55"/>
        <v>7.5199999999999996E-7</v>
      </c>
      <c r="G222" s="140">
        <f t="shared" si="55"/>
        <v>9.4E-7</v>
      </c>
      <c r="H222" s="157">
        <f>IF(A222&lt;$B$9*DATA!$H$1037,DATA!$H$1037,IF(A222&gt;DATA!$H$1036*$B$9,DATA!$H$1036,1))</f>
        <v>0.8</v>
      </c>
      <c r="I222" s="156">
        <f t="shared" si="60"/>
        <v>9.9999999999999995E-8</v>
      </c>
      <c r="K222" s="140">
        <f t="shared" si="61"/>
        <v>1.88E-5</v>
      </c>
      <c r="L222">
        <v>1.88</v>
      </c>
      <c r="M222" s="140">
        <f t="shared" si="62"/>
        <v>1.8799999999999994E-7</v>
      </c>
      <c r="N222" s="140">
        <f t="shared" si="63"/>
        <v>3.7599999999999993E-7</v>
      </c>
      <c r="O222" s="140">
        <f t="shared" si="64"/>
        <v>5.6399999999999992E-7</v>
      </c>
      <c r="P222" s="140">
        <f t="shared" si="65"/>
        <v>7.5199999999999996E-7</v>
      </c>
      <c r="Q222" s="140">
        <f t="shared" si="66"/>
        <v>9.4E-7</v>
      </c>
      <c r="R222" s="157">
        <f>IF(K222&lt;$B$25*DATA!$H$1037,DATA!$H$1037,IF(K222&gt;DATA!$H$1036*$B$25,DATA!$H$1036,1))</f>
        <v>0.8</v>
      </c>
      <c r="S222" s="156">
        <f t="shared" si="56"/>
        <v>9.9999999999999995E-8</v>
      </c>
      <c r="U222" s="140">
        <f t="shared" si="67"/>
        <v>1.88E-5</v>
      </c>
      <c r="V222">
        <v>1.88</v>
      </c>
      <c r="W222" s="140">
        <f t="shared" si="68"/>
        <v>1.8799999999999994E-7</v>
      </c>
      <c r="X222" s="140">
        <f t="shared" si="69"/>
        <v>3.7599999999999993E-7</v>
      </c>
      <c r="Y222" s="140">
        <f t="shared" si="70"/>
        <v>5.6399999999999992E-7</v>
      </c>
      <c r="Z222" s="140">
        <f t="shared" si="71"/>
        <v>7.5199999999999996E-7</v>
      </c>
      <c r="AA222" s="140">
        <f t="shared" si="72"/>
        <v>9.4E-7</v>
      </c>
      <c r="AB222" s="157">
        <f>IF(U222&lt;$B$41*DATA!$H$1037,DATA!$H$1037,IF(U222&gt;DATA!$H$1036*$B$41,DATA!$H$1036,1))</f>
        <v>0.8</v>
      </c>
      <c r="AC222" s="156">
        <f t="shared" si="57"/>
        <v>9.9999999999999995E-8</v>
      </c>
      <c r="AE222" s="140">
        <f t="shared" si="73"/>
        <v>1.88E-5</v>
      </c>
      <c r="AF222">
        <v>1.88</v>
      </c>
      <c r="AG222" s="140">
        <f t="shared" si="74"/>
        <v>1.8799999999999994E-7</v>
      </c>
      <c r="AH222" s="140">
        <f t="shared" si="75"/>
        <v>3.7599999999999993E-7</v>
      </c>
      <c r="AI222" s="140">
        <f t="shared" si="76"/>
        <v>5.6399999999999992E-7</v>
      </c>
      <c r="AJ222" s="140">
        <f t="shared" si="77"/>
        <v>7.5199999999999996E-7</v>
      </c>
      <c r="AK222" s="140">
        <f t="shared" si="78"/>
        <v>9.4E-7</v>
      </c>
      <c r="AL222" s="157">
        <f>IF(AE222&lt;$B$57*DATA!$H$1037,DATA!$H$1037,IF(AE222&gt;DATA!$H$1036*$B$57,DATA!$H$1036,1))</f>
        <v>1.2</v>
      </c>
      <c r="AM222" s="156">
        <f t="shared" si="58"/>
        <v>9.9999999999999995E-8</v>
      </c>
      <c r="AO222" s="140">
        <f t="shared" si="79"/>
        <v>1.88E-5</v>
      </c>
      <c r="AP222">
        <v>1.88</v>
      </c>
      <c r="AQ222" s="140">
        <f t="shared" si="80"/>
        <v>1.8799999999999994E-7</v>
      </c>
      <c r="AR222" s="140">
        <f t="shared" si="81"/>
        <v>3.7599999999999993E-7</v>
      </c>
      <c r="AS222" s="140">
        <f t="shared" si="82"/>
        <v>5.6399999999999992E-7</v>
      </c>
      <c r="AT222" s="140">
        <f t="shared" si="83"/>
        <v>7.5199999999999996E-7</v>
      </c>
      <c r="AU222" s="140">
        <f t="shared" si="84"/>
        <v>9.4E-7</v>
      </c>
      <c r="AV222" s="157">
        <f>IF(AO222&lt;$B$73*DATA!$H$1037,DATA!$H$1037,IF(AO222&gt;DATA!$H$1036*$B$73,DATA!$H$1036,1))</f>
        <v>1.2</v>
      </c>
      <c r="AW222" s="156">
        <f t="shared" si="85"/>
        <v>9.9999999999999995E-8</v>
      </c>
      <c r="AY222" s="140">
        <f t="shared" si="86"/>
        <v>1.88E-5</v>
      </c>
      <c r="AZ222">
        <v>1.88</v>
      </c>
      <c r="BA222" s="140">
        <f t="shared" si="87"/>
        <v>1.8799999999999994E-7</v>
      </c>
      <c r="BB222" s="140">
        <f t="shared" si="88"/>
        <v>3.7599999999999993E-7</v>
      </c>
      <c r="BC222" s="140">
        <f t="shared" si="89"/>
        <v>5.6399999999999992E-7</v>
      </c>
      <c r="BD222" s="140">
        <f t="shared" si="90"/>
        <v>7.5199999999999996E-7</v>
      </c>
      <c r="BE222" s="140">
        <f t="shared" si="91"/>
        <v>9.4E-7</v>
      </c>
      <c r="BF222" s="157">
        <f>IF(AY222&lt;$B$89*DATA!$H$1037,DATA!$H$1037,IF(AY222&gt;DATA!$H$1036*$B$89,DATA!$H$1036,1))</f>
        <v>1.2</v>
      </c>
      <c r="BG222" s="156">
        <f t="shared" si="92"/>
        <v>9.9999999999999995E-8</v>
      </c>
      <c r="BI222" s="140">
        <f t="shared" si="93"/>
        <v>1.88E-5</v>
      </c>
      <c r="BJ222">
        <v>1.88</v>
      </c>
      <c r="BK222" s="140">
        <f t="shared" si="94"/>
        <v>1.8799999999999994E-7</v>
      </c>
      <c r="BL222" s="140">
        <f t="shared" si="95"/>
        <v>3.7599999999999993E-7</v>
      </c>
      <c r="BM222" s="140">
        <f t="shared" si="96"/>
        <v>5.6399999999999992E-7</v>
      </c>
      <c r="BN222" s="140">
        <f t="shared" si="97"/>
        <v>7.5199999999999996E-7</v>
      </c>
      <c r="BO222" s="140">
        <f t="shared" si="98"/>
        <v>9.4E-7</v>
      </c>
      <c r="BP222" s="157">
        <f>IF(BI222&lt;$B$105*DATA!$H$1037,DATA!$H$1037,IF(BI222&gt;DATA!$H$1036*$B$105,DATA!$H$1036,1))</f>
        <v>1.2</v>
      </c>
      <c r="BQ222" s="156">
        <f t="shared" si="99"/>
        <v>9.9999999999999995E-8</v>
      </c>
    </row>
    <row r="223" spans="1:69">
      <c r="A223" s="140">
        <f t="shared" si="59"/>
        <v>1.9000000000000001E-5</v>
      </c>
      <c r="B223">
        <v>1.9</v>
      </c>
      <c r="C223" s="140">
        <f t="shared" ref="C223:G238" si="100">C$142*$A223</f>
        <v>1.8999999999999995E-7</v>
      </c>
      <c r="D223" s="140">
        <f t="shared" si="100"/>
        <v>3.7999999999999996E-7</v>
      </c>
      <c r="E223" s="140">
        <f t="shared" si="100"/>
        <v>5.7000000000000005E-7</v>
      </c>
      <c r="F223" s="140">
        <f t="shared" si="100"/>
        <v>7.6000000000000003E-7</v>
      </c>
      <c r="G223" s="140">
        <f t="shared" si="100"/>
        <v>9.5000000000000012E-7</v>
      </c>
      <c r="H223" s="157">
        <f>IF(A223&lt;$B$9*DATA!$H$1037,DATA!$H$1037,IF(A223&gt;DATA!$H$1036*$B$9,DATA!$H$1036,1))</f>
        <v>0.8</v>
      </c>
      <c r="I223" s="156">
        <f t="shared" si="60"/>
        <v>9.9999999999999995E-8</v>
      </c>
      <c r="K223" s="140">
        <f t="shared" si="61"/>
        <v>1.9000000000000001E-5</v>
      </c>
      <c r="L223">
        <v>1.9</v>
      </c>
      <c r="M223" s="140">
        <f t="shared" si="62"/>
        <v>1.8999999999999995E-7</v>
      </c>
      <c r="N223" s="140">
        <f t="shared" si="63"/>
        <v>3.7999999999999996E-7</v>
      </c>
      <c r="O223" s="140">
        <f t="shared" si="64"/>
        <v>5.7000000000000005E-7</v>
      </c>
      <c r="P223" s="140">
        <f t="shared" si="65"/>
        <v>7.6000000000000003E-7</v>
      </c>
      <c r="Q223" s="140">
        <f t="shared" si="66"/>
        <v>9.5000000000000012E-7</v>
      </c>
      <c r="R223" s="157">
        <f>IF(K223&lt;$B$25*DATA!$H$1037,DATA!$H$1037,IF(K223&gt;DATA!$H$1036*$B$25,DATA!$H$1036,1))</f>
        <v>0.8</v>
      </c>
      <c r="S223" s="156">
        <f t="shared" si="56"/>
        <v>9.9999999999999995E-8</v>
      </c>
      <c r="U223" s="140">
        <f t="shared" si="67"/>
        <v>1.9000000000000001E-5</v>
      </c>
      <c r="V223">
        <v>1.9</v>
      </c>
      <c r="W223" s="140">
        <f t="shared" si="68"/>
        <v>1.8999999999999995E-7</v>
      </c>
      <c r="X223" s="140">
        <f t="shared" si="69"/>
        <v>3.7999999999999996E-7</v>
      </c>
      <c r="Y223" s="140">
        <f t="shared" si="70"/>
        <v>5.7000000000000005E-7</v>
      </c>
      <c r="Z223" s="140">
        <f t="shared" si="71"/>
        <v>7.6000000000000003E-7</v>
      </c>
      <c r="AA223" s="140">
        <f t="shared" si="72"/>
        <v>9.5000000000000012E-7</v>
      </c>
      <c r="AB223" s="157">
        <f>IF(U223&lt;$B$41*DATA!$H$1037,DATA!$H$1037,IF(U223&gt;DATA!$H$1036*$B$41,DATA!$H$1036,1))</f>
        <v>0.8</v>
      </c>
      <c r="AC223" s="156">
        <f t="shared" si="57"/>
        <v>9.9999999999999995E-8</v>
      </c>
      <c r="AE223" s="140">
        <f t="shared" si="73"/>
        <v>1.9000000000000001E-5</v>
      </c>
      <c r="AF223">
        <v>1.9</v>
      </c>
      <c r="AG223" s="140">
        <f t="shared" si="74"/>
        <v>1.8999999999999995E-7</v>
      </c>
      <c r="AH223" s="140">
        <f t="shared" si="75"/>
        <v>3.7999999999999996E-7</v>
      </c>
      <c r="AI223" s="140">
        <f t="shared" si="76"/>
        <v>5.7000000000000005E-7</v>
      </c>
      <c r="AJ223" s="140">
        <f t="shared" si="77"/>
        <v>7.6000000000000003E-7</v>
      </c>
      <c r="AK223" s="140">
        <f t="shared" si="78"/>
        <v>9.5000000000000012E-7</v>
      </c>
      <c r="AL223" s="157">
        <f>IF(AE223&lt;$B$57*DATA!$H$1037,DATA!$H$1037,IF(AE223&gt;DATA!$H$1036*$B$57,DATA!$H$1036,1))</f>
        <v>1.2</v>
      </c>
      <c r="AM223" s="156">
        <f t="shared" si="58"/>
        <v>9.9999999999999995E-8</v>
      </c>
      <c r="AO223" s="140">
        <f t="shared" si="79"/>
        <v>1.9000000000000001E-5</v>
      </c>
      <c r="AP223">
        <v>1.9</v>
      </c>
      <c r="AQ223" s="140">
        <f t="shared" si="80"/>
        <v>1.8999999999999995E-7</v>
      </c>
      <c r="AR223" s="140">
        <f t="shared" si="81"/>
        <v>3.7999999999999996E-7</v>
      </c>
      <c r="AS223" s="140">
        <f t="shared" si="82"/>
        <v>5.7000000000000005E-7</v>
      </c>
      <c r="AT223" s="140">
        <f t="shared" si="83"/>
        <v>7.6000000000000003E-7</v>
      </c>
      <c r="AU223" s="140">
        <f t="shared" si="84"/>
        <v>9.5000000000000012E-7</v>
      </c>
      <c r="AV223" s="157">
        <f>IF(AO223&lt;$B$73*DATA!$H$1037,DATA!$H$1037,IF(AO223&gt;DATA!$H$1036*$B$73,DATA!$H$1036,1))</f>
        <v>1.2</v>
      </c>
      <c r="AW223" s="156">
        <f t="shared" si="85"/>
        <v>9.9999999999999995E-8</v>
      </c>
      <c r="AY223" s="140">
        <f t="shared" si="86"/>
        <v>1.9000000000000001E-5</v>
      </c>
      <c r="AZ223">
        <v>1.9</v>
      </c>
      <c r="BA223" s="140">
        <f t="shared" si="87"/>
        <v>1.8999999999999995E-7</v>
      </c>
      <c r="BB223" s="140">
        <f t="shared" si="88"/>
        <v>3.7999999999999996E-7</v>
      </c>
      <c r="BC223" s="140">
        <f t="shared" si="89"/>
        <v>5.7000000000000005E-7</v>
      </c>
      <c r="BD223" s="140">
        <f t="shared" si="90"/>
        <v>7.6000000000000003E-7</v>
      </c>
      <c r="BE223" s="140">
        <f t="shared" si="91"/>
        <v>9.5000000000000012E-7</v>
      </c>
      <c r="BF223" s="157">
        <f>IF(AY223&lt;$B$89*DATA!$H$1037,DATA!$H$1037,IF(AY223&gt;DATA!$H$1036*$B$89,DATA!$H$1036,1))</f>
        <v>1.2</v>
      </c>
      <c r="BG223" s="156">
        <f t="shared" si="92"/>
        <v>9.9999999999999995E-8</v>
      </c>
      <c r="BI223" s="140">
        <f t="shared" si="93"/>
        <v>1.9000000000000001E-5</v>
      </c>
      <c r="BJ223">
        <v>1.9</v>
      </c>
      <c r="BK223" s="140">
        <f t="shared" si="94"/>
        <v>1.8999999999999995E-7</v>
      </c>
      <c r="BL223" s="140">
        <f t="shared" si="95"/>
        <v>3.7999999999999996E-7</v>
      </c>
      <c r="BM223" s="140">
        <f t="shared" si="96"/>
        <v>5.7000000000000005E-7</v>
      </c>
      <c r="BN223" s="140">
        <f t="shared" si="97"/>
        <v>7.6000000000000003E-7</v>
      </c>
      <c r="BO223" s="140">
        <f t="shared" si="98"/>
        <v>9.5000000000000012E-7</v>
      </c>
      <c r="BP223" s="157">
        <f>IF(BI223&lt;$B$105*DATA!$H$1037,DATA!$H$1037,IF(BI223&gt;DATA!$H$1036*$B$105,DATA!$H$1036,1))</f>
        <v>1.2</v>
      </c>
      <c r="BQ223" s="156">
        <f t="shared" si="99"/>
        <v>9.9999999999999995E-8</v>
      </c>
    </row>
    <row r="224" spans="1:69">
      <c r="A224" s="140">
        <f t="shared" si="59"/>
        <v>1.9200000000000003E-5</v>
      </c>
      <c r="B224">
        <v>1.92</v>
      </c>
      <c r="C224" s="140">
        <f t="shared" si="100"/>
        <v>1.9199999999999997E-7</v>
      </c>
      <c r="D224" s="140">
        <f t="shared" si="100"/>
        <v>3.84E-7</v>
      </c>
      <c r="E224" s="140">
        <f t="shared" si="100"/>
        <v>5.7600000000000008E-7</v>
      </c>
      <c r="F224" s="140">
        <f t="shared" si="100"/>
        <v>7.680000000000001E-7</v>
      </c>
      <c r="G224" s="140">
        <f t="shared" si="100"/>
        <v>9.6000000000000013E-7</v>
      </c>
      <c r="H224" s="157">
        <f>IF(A224&lt;$B$9*DATA!$H$1037,DATA!$H$1037,IF(A224&gt;DATA!$H$1036*$B$9,DATA!$H$1036,1))</f>
        <v>0.8</v>
      </c>
      <c r="I224" s="156">
        <f t="shared" si="60"/>
        <v>9.9999999999999995E-8</v>
      </c>
      <c r="K224" s="140">
        <f t="shared" si="61"/>
        <v>1.9200000000000003E-5</v>
      </c>
      <c r="L224">
        <v>1.92</v>
      </c>
      <c r="M224" s="140">
        <f t="shared" si="62"/>
        <v>1.9199999999999997E-7</v>
      </c>
      <c r="N224" s="140">
        <f t="shared" si="63"/>
        <v>3.84E-7</v>
      </c>
      <c r="O224" s="140">
        <f t="shared" si="64"/>
        <v>5.7600000000000008E-7</v>
      </c>
      <c r="P224" s="140">
        <f t="shared" si="65"/>
        <v>7.680000000000001E-7</v>
      </c>
      <c r="Q224" s="140">
        <f t="shared" si="66"/>
        <v>9.6000000000000013E-7</v>
      </c>
      <c r="R224" s="157">
        <f>IF(K224&lt;$B$25*DATA!$H$1037,DATA!$H$1037,IF(K224&gt;DATA!$H$1036*$B$25,DATA!$H$1036,1))</f>
        <v>0.8</v>
      </c>
      <c r="S224" s="156">
        <f t="shared" si="56"/>
        <v>9.9999999999999995E-8</v>
      </c>
      <c r="U224" s="140">
        <f t="shared" si="67"/>
        <v>1.9200000000000003E-5</v>
      </c>
      <c r="V224">
        <v>1.92</v>
      </c>
      <c r="W224" s="140">
        <f t="shared" si="68"/>
        <v>1.9199999999999997E-7</v>
      </c>
      <c r="X224" s="140">
        <f t="shared" si="69"/>
        <v>3.84E-7</v>
      </c>
      <c r="Y224" s="140">
        <f t="shared" si="70"/>
        <v>5.7600000000000008E-7</v>
      </c>
      <c r="Z224" s="140">
        <f t="shared" si="71"/>
        <v>7.680000000000001E-7</v>
      </c>
      <c r="AA224" s="140">
        <f t="shared" si="72"/>
        <v>9.6000000000000013E-7</v>
      </c>
      <c r="AB224" s="157">
        <f>IF(U224&lt;$B$41*DATA!$H$1037,DATA!$H$1037,IF(U224&gt;DATA!$H$1036*$B$41,DATA!$H$1036,1))</f>
        <v>0.8</v>
      </c>
      <c r="AC224" s="156">
        <f t="shared" si="57"/>
        <v>9.9999999999999995E-8</v>
      </c>
      <c r="AE224" s="140">
        <f t="shared" si="73"/>
        <v>1.9200000000000003E-5</v>
      </c>
      <c r="AF224">
        <v>1.92</v>
      </c>
      <c r="AG224" s="140">
        <f t="shared" si="74"/>
        <v>1.9199999999999997E-7</v>
      </c>
      <c r="AH224" s="140">
        <f t="shared" si="75"/>
        <v>3.84E-7</v>
      </c>
      <c r="AI224" s="140">
        <f t="shared" si="76"/>
        <v>5.7600000000000008E-7</v>
      </c>
      <c r="AJ224" s="140">
        <f t="shared" si="77"/>
        <v>7.680000000000001E-7</v>
      </c>
      <c r="AK224" s="140">
        <f t="shared" si="78"/>
        <v>9.6000000000000013E-7</v>
      </c>
      <c r="AL224" s="157">
        <f>IF(AE224&lt;$B$57*DATA!$H$1037,DATA!$H$1037,IF(AE224&gt;DATA!$H$1036*$B$57,DATA!$H$1036,1))</f>
        <v>1.2</v>
      </c>
      <c r="AM224" s="156">
        <f t="shared" si="58"/>
        <v>9.9999999999999995E-8</v>
      </c>
      <c r="AO224" s="140">
        <f t="shared" si="79"/>
        <v>1.9200000000000003E-5</v>
      </c>
      <c r="AP224">
        <v>1.92</v>
      </c>
      <c r="AQ224" s="140">
        <f t="shared" si="80"/>
        <v>1.9199999999999997E-7</v>
      </c>
      <c r="AR224" s="140">
        <f t="shared" si="81"/>
        <v>3.84E-7</v>
      </c>
      <c r="AS224" s="140">
        <f t="shared" si="82"/>
        <v>5.7600000000000008E-7</v>
      </c>
      <c r="AT224" s="140">
        <f t="shared" si="83"/>
        <v>7.680000000000001E-7</v>
      </c>
      <c r="AU224" s="140">
        <f t="shared" si="84"/>
        <v>9.6000000000000013E-7</v>
      </c>
      <c r="AV224" s="157">
        <f>IF(AO224&lt;$B$73*DATA!$H$1037,DATA!$H$1037,IF(AO224&gt;DATA!$H$1036*$B$73,DATA!$H$1036,1))</f>
        <v>1.2</v>
      </c>
      <c r="AW224" s="156">
        <f t="shared" si="85"/>
        <v>9.9999999999999995E-8</v>
      </c>
      <c r="AY224" s="140">
        <f t="shared" si="86"/>
        <v>1.9200000000000003E-5</v>
      </c>
      <c r="AZ224">
        <v>1.92</v>
      </c>
      <c r="BA224" s="140">
        <f t="shared" si="87"/>
        <v>1.9199999999999997E-7</v>
      </c>
      <c r="BB224" s="140">
        <f t="shared" si="88"/>
        <v>3.84E-7</v>
      </c>
      <c r="BC224" s="140">
        <f t="shared" si="89"/>
        <v>5.7600000000000008E-7</v>
      </c>
      <c r="BD224" s="140">
        <f t="shared" si="90"/>
        <v>7.680000000000001E-7</v>
      </c>
      <c r="BE224" s="140">
        <f t="shared" si="91"/>
        <v>9.6000000000000013E-7</v>
      </c>
      <c r="BF224" s="157">
        <f>IF(AY224&lt;$B$89*DATA!$H$1037,DATA!$H$1037,IF(AY224&gt;DATA!$H$1036*$B$89,DATA!$H$1036,1))</f>
        <v>1.2</v>
      </c>
      <c r="BG224" s="156">
        <f t="shared" si="92"/>
        <v>9.9999999999999995E-8</v>
      </c>
      <c r="BI224" s="140">
        <f t="shared" si="93"/>
        <v>1.9200000000000003E-5</v>
      </c>
      <c r="BJ224">
        <v>1.92</v>
      </c>
      <c r="BK224" s="140">
        <f t="shared" si="94"/>
        <v>1.9199999999999997E-7</v>
      </c>
      <c r="BL224" s="140">
        <f t="shared" si="95"/>
        <v>3.84E-7</v>
      </c>
      <c r="BM224" s="140">
        <f t="shared" si="96"/>
        <v>5.7600000000000008E-7</v>
      </c>
      <c r="BN224" s="140">
        <f t="shared" si="97"/>
        <v>7.680000000000001E-7</v>
      </c>
      <c r="BO224" s="140">
        <f t="shared" si="98"/>
        <v>9.6000000000000013E-7</v>
      </c>
      <c r="BP224" s="157">
        <f>IF(BI224&lt;$B$105*DATA!$H$1037,DATA!$H$1037,IF(BI224&gt;DATA!$H$1036*$B$105,DATA!$H$1036,1))</f>
        <v>1.2</v>
      </c>
      <c r="BQ224" s="156">
        <f t="shared" si="99"/>
        <v>9.9999999999999995E-8</v>
      </c>
    </row>
    <row r="225" spans="1:69">
      <c r="A225" s="140">
        <f t="shared" si="59"/>
        <v>1.9400000000000001E-5</v>
      </c>
      <c r="B225">
        <v>1.94</v>
      </c>
      <c r="C225" s="140">
        <f t="shared" si="100"/>
        <v>1.9399999999999994E-7</v>
      </c>
      <c r="D225" s="140">
        <f t="shared" si="100"/>
        <v>3.8799999999999993E-7</v>
      </c>
      <c r="E225" s="140">
        <f t="shared" si="100"/>
        <v>5.82E-7</v>
      </c>
      <c r="F225" s="140">
        <f t="shared" si="100"/>
        <v>7.7600000000000007E-7</v>
      </c>
      <c r="G225" s="140">
        <f t="shared" si="100"/>
        <v>9.7000000000000003E-7</v>
      </c>
      <c r="H225" s="157">
        <f>IF(A225&lt;$B$9*DATA!$H$1037,DATA!$H$1037,IF(A225&gt;DATA!$H$1036*$B$9,DATA!$H$1036,1))</f>
        <v>0.8</v>
      </c>
      <c r="I225" s="156">
        <f t="shared" si="60"/>
        <v>9.9999999999999995E-8</v>
      </c>
      <c r="K225" s="140">
        <f t="shared" si="61"/>
        <v>1.9400000000000001E-5</v>
      </c>
      <c r="L225">
        <v>1.94</v>
      </c>
      <c r="M225" s="140">
        <f t="shared" si="62"/>
        <v>1.9399999999999994E-7</v>
      </c>
      <c r="N225" s="140">
        <f t="shared" si="63"/>
        <v>3.8799999999999993E-7</v>
      </c>
      <c r="O225" s="140">
        <f t="shared" si="64"/>
        <v>5.82E-7</v>
      </c>
      <c r="P225" s="140">
        <f t="shared" si="65"/>
        <v>7.7600000000000007E-7</v>
      </c>
      <c r="Q225" s="140">
        <f t="shared" si="66"/>
        <v>9.7000000000000003E-7</v>
      </c>
      <c r="R225" s="157">
        <f>IF(K225&lt;$B$25*DATA!$H$1037,DATA!$H$1037,IF(K225&gt;DATA!$H$1036*$B$25,DATA!$H$1036,1))</f>
        <v>0.8</v>
      </c>
      <c r="S225" s="156">
        <f t="shared" si="56"/>
        <v>9.9999999999999995E-8</v>
      </c>
      <c r="U225" s="140">
        <f t="shared" si="67"/>
        <v>1.9400000000000001E-5</v>
      </c>
      <c r="V225">
        <v>1.94</v>
      </c>
      <c r="W225" s="140">
        <f t="shared" si="68"/>
        <v>1.9399999999999994E-7</v>
      </c>
      <c r="X225" s="140">
        <f t="shared" si="69"/>
        <v>3.8799999999999993E-7</v>
      </c>
      <c r="Y225" s="140">
        <f t="shared" si="70"/>
        <v>5.82E-7</v>
      </c>
      <c r="Z225" s="140">
        <f t="shared" si="71"/>
        <v>7.7600000000000007E-7</v>
      </c>
      <c r="AA225" s="140">
        <f t="shared" si="72"/>
        <v>9.7000000000000003E-7</v>
      </c>
      <c r="AB225" s="157">
        <f>IF(U225&lt;$B$41*DATA!$H$1037,DATA!$H$1037,IF(U225&gt;DATA!$H$1036*$B$41,DATA!$H$1036,1))</f>
        <v>0.8</v>
      </c>
      <c r="AC225" s="156">
        <f t="shared" si="57"/>
        <v>9.9999999999999995E-8</v>
      </c>
      <c r="AE225" s="140">
        <f t="shared" si="73"/>
        <v>1.9400000000000001E-5</v>
      </c>
      <c r="AF225">
        <v>1.94</v>
      </c>
      <c r="AG225" s="140">
        <f t="shared" si="74"/>
        <v>1.9399999999999994E-7</v>
      </c>
      <c r="AH225" s="140">
        <f t="shared" si="75"/>
        <v>3.8799999999999993E-7</v>
      </c>
      <c r="AI225" s="140">
        <f t="shared" si="76"/>
        <v>5.82E-7</v>
      </c>
      <c r="AJ225" s="140">
        <f t="shared" si="77"/>
        <v>7.7600000000000007E-7</v>
      </c>
      <c r="AK225" s="140">
        <f t="shared" si="78"/>
        <v>9.7000000000000003E-7</v>
      </c>
      <c r="AL225" s="157">
        <f>IF(AE225&lt;$B$57*DATA!$H$1037,DATA!$H$1037,IF(AE225&gt;DATA!$H$1036*$B$57,DATA!$H$1036,1))</f>
        <v>1.2</v>
      </c>
      <c r="AM225" s="156">
        <f t="shared" si="58"/>
        <v>9.9999999999999995E-8</v>
      </c>
      <c r="AO225" s="140">
        <f t="shared" si="79"/>
        <v>1.9400000000000001E-5</v>
      </c>
      <c r="AP225">
        <v>1.94</v>
      </c>
      <c r="AQ225" s="140">
        <f t="shared" si="80"/>
        <v>1.9399999999999994E-7</v>
      </c>
      <c r="AR225" s="140">
        <f t="shared" si="81"/>
        <v>3.8799999999999993E-7</v>
      </c>
      <c r="AS225" s="140">
        <f t="shared" si="82"/>
        <v>5.82E-7</v>
      </c>
      <c r="AT225" s="140">
        <f t="shared" si="83"/>
        <v>7.7600000000000007E-7</v>
      </c>
      <c r="AU225" s="140">
        <f t="shared" si="84"/>
        <v>9.7000000000000003E-7</v>
      </c>
      <c r="AV225" s="157">
        <f>IF(AO225&lt;$B$73*DATA!$H$1037,DATA!$H$1037,IF(AO225&gt;DATA!$H$1036*$B$73,DATA!$H$1036,1))</f>
        <v>1.2</v>
      </c>
      <c r="AW225" s="156">
        <f t="shared" si="85"/>
        <v>9.9999999999999995E-8</v>
      </c>
      <c r="AY225" s="140">
        <f t="shared" si="86"/>
        <v>1.9400000000000001E-5</v>
      </c>
      <c r="AZ225">
        <v>1.94</v>
      </c>
      <c r="BA225" s="140">
        <f t="shared" si="87"/>
        <v>1.9399999999999994E-7</v>
      </c>
      <c r="BB225" s="140">
        <f t="shared" si="88"/>
        <v>3.8799999999999993E-7</v>
      </c>
      <c r="BC225" s="140">
        <f t="shared" si="89"/>
        <v>5.82E-7</v>
      </c>
      <c r="BD225" s="140">
        <f t="shared" si="90"/>
        <v>7.7600000000000007E-7</v>
      </c>
      <c r="BE225" s="140">
        <f t="shared" si="91"/>
        <v>9.7000000000000003E-7</v>
      </c>
      <c r="BF225" s="157">
        <f>IF(AY225&lt;$B$89*DATA!$H$1037,DATA!$H$1037,IF(AY225&gt;DATA!$H$1036*$B$89,DATA!$H$1036,1))</f>
        <v>1.2</v>
      </c>
      <c r="BG225" s="156">
        <f t="shared" si="92"/>
        <v>9.9999999999999995E-8</v>
      </c>
      <c r="BI225" s="140">
        <f t="shared" si="93"/>
        <v>1.9400000000000001E-5</v>
      </c>
      <c r="BJ225">
        <v>1.94</v>
      </c>
      <c r="BK225" s="140">
        <f t="shared" si="94"/>
        <v>1.9399999999999994E-7</v>
      </c>
      <c r="BL225" s="140">
        <f t="shared" si="95"/>
        <v>3.8799999999999993E-7</v>
      </c>
      <c r="BM225" s="140">
        <f t="shared" si="96"/>
        <v>5.82E-7</v>
      </c>
      <c r="BN225" s="140">
        <f t="shared" si="97"/>
        <v>7.7600000000000007E-7</v>
      </c>
      <c r="BO225" s="140">
        <f t="shared" si="98"/>
        <v>9.7000000000000003E-7</v>
      </c>
      <c r="BP225" s="157">
        <f>IF(BI225&lt;$B$105*DATA!$H$1037,DATA!$H$1037,IF(BI225&gt;DATA!$H$1036*$B$105,DATA!$H$1036,1))</f>
        <v>1.2</v>
      </c>
      <c r="BQ225" s="156">
        <f t="shared" si="99"/>
        <v>9.9999999999999995E-8</v>
      </c>
    </row>
    <row r="226" spans="1:69">
      <c r="A226" s="140">
        <f t="shared" si="59"/>
        <v>1.9600000000000002E-5</v>
      </c>
      <c r="B226">
        <v>1.96</v>
      </c>
      <c r="C226" s="140">
        <f t="shared" si="100"/>
        <v>1.9599999999999996E-7</v>
      </c>
      <c r="D226" s="140">
        <f t="shared" si="100"/>
        <v>3.9199999999999996E-7</v>
      </c>
      <c r="E226" s="140">
        <f t="shared" si="100"/>
        <v>5.8800000000000002E-7</v>
      </c>
      <c r="F226" s="140">
        <f t="shared" si="100"/>
        <v>7.8400000000000014E-7</v>
      </c>
      <c r="G226" s="140">
        <f t="shared" si="100"/>
        <v>9.8000000000000015E-7</v>
      </c>
      <c r="H226" s="157">
        <f>IF(A226&lt;$B$9*DATA!$H$1037,DATA!$H$1037,IF(A226&gt;DATA!$H$1036*$B$9,DATA!$H$1036,1))</f>
        <v>0.8</v>
      </c>
      <c r="I226" s="156">
        <f t="shared" si="60"/>
        <v>9.9999999999999995E-8</v>
      </c>
      <c r="K226" s="140">
        <f t="shared" si="61"/>
        <v>1.9600000000000002E-5</v>
      </c>
      <c r="L226">
        <v>1.96</v>
      </c>
      <c r="M226" s="140">
        <f t="shared" si="62"/>
        <v>1.9599999999999996E-7</v>
      </c>
      <c r="N226" s="140">
        <f t="shared" si="63"/>
        <v>3.9199999999999996E-7</v>
      </c>
      <c r="O226" s="140">
        <f t="shared" si="64"/>
        <v>5.8800000000000002E-7</v>
      </c>
      <c r="P226" s="140">
        <f t="shared" si="65"/>
        <v>7.8400000000000014E-7</v>
      </c>
      <c r="Q226" s="140">
        <f t="shared" si="66"/>
        <v>9.8000000000000015E-7</v>
      </c>
      <c r="R226" s="157">
        <f>IF(K226&lt;$B$25*DATA!$H$1037,DATA!$H$1037,IF(K226&gt;DATA!$H$1036*$B$25,DATA!$H$1036,1))</f>
        <v>0.8</v>
      </c>
      <c r="S226" s="156">
        <f t="shared" si="56"/>
        <v>9.9999999999999995E-8</v>
      </c>
      <c r="U226" s="140">
        <f t="shared" si="67"/>
        <v>1.9600000000000002E-5</v>
      </c>
      <c r="V226">
        <v>1.96</v>
      </c>
      <c r="W226" s="140">
        <f t="shared" si="68"/>
        <v>1.9599999999999996E-7</v>
      </c>
      <c r="X226" s="140">
        <f t="shared" si="69"/>
        <v>3.9199999999999996E-7</v>
      </c>
      <c r="Y226" s="140">
        <f t="shared" si="70"/>
        <v>5.8800000000000002E-7</v>
      </c>
      <c r="Z226" s="140">
        <f t="shared" si="71"/>
        <v>7.8400000000000014E-7</v>
      </c>
      <c r="AA226" s="140">
        <f t="shared" si="72"/>
        <v>9.8000000000000015E-7</v>
      </c>
      <c r="AB226" s="157">
        <f>IF(U226&lt;$B$41*DATA!$H$1037,DATA!$H$1037,IF(U226&gt;DATA!$H$1036*$B$41,DATA!$H$1036,1))</f>
        <v>0.8</v>
      </c>
      <c r="AC226" s="156">
        <f t="shared" si="57"/>
        <v>9.9999999999999995E-8</v>
      </c>
      <c r="AE226" s="140">
        <f t="shared" si="73"/>
        <v>1.9600000000000002E-5</v>
      </c>
      <c r="AF226">
        <v>1.96</v>
      </c>
      <c r="AG226" s="140">
        <f t="shared" si="74"/>
        <v>1.9599999999999996E-7</v>
      </c>
      <c r="AH226" s="140">
        <f t="shared" si="75"/>
        <v>3.9199999999999996E-7</v>
      </c>
      <c r="AI226" s="140">
        <f t="shared" si="76"/>
        <v>5.8800000000000002E-7</v>
      </c>
      <c r="AJ226" s="140">
        <f t="shared" si="77"/>
        <v>7.8400000000000014E-7</v>
      </c>
      <c r="AK226" s="140">
        <f t="shared" si="78"/>
        <v>9.8000000000000015E-7</v>
      </c>
      <c r="AL226" s="157">
        <f>IF(AE226&lt;$B$57*DATA!$H$1037,DATA!$H$1037,IF(AE226&gt;DATA!$H$1036*$B$57,DATA!$H$1036,1))</f>
        <v>1.2</v>
      </c>
      <c r="AM226" s="156">
        <f t="shared" si="58"/>
        <v>9.9999999999999995E-8</v>
      </c>
      <c r="AO226" s="140">
        <f t="shared" si="79"/>
        <v>1.9600000000000002E-5</v>
      </c>
      <c r="AP226">
        <v>1.96</v>
      </c>
      <c r="AQ226" s="140">
        <f t="shared" si="80"/>
        <v>1.9599999999999996E-7</v>
      </c>
      <c r="AR226" s="140">
        <f t="shared" si="81"/>
        <v>3.9199999999999996E-7</v>
      </c>
      <c r="AS226" s="140">
        <f t="shared" si="82"/>
        <v>5.8800000000000002E-7</v>
      </c>
      <c r="AT226" s="140">
        <f t="shared" si="83"/>
        <v>7.8400000000000014E-7</v>
      </c>
      <c r="AU226" s="140">
        <f t="shared" si="84"/>
        <v>9.8000000000000015E-7</v>
      </c>
      <c r="AV226" s="157">
        <f>IF(AO226&lt;$B$73*DATA!$H$1037,DATA!$H$1037,IF(AO226&gt;DATA!$H$1036*$B$73,DATA!$H$1036,1))</f>
        <v>1.2</v>
      </c>
      <c r="AW226" s="156">
        <f t="shared" si="85"/>
        <v>9.9999999999999995E-8</v>
      </c>
      <c r="AY226" s="140">
        <f t="shared" si="86"/>
        <v>1.9600000000000002E-5</v>
      </c>
      <c r="AZ226">
        <v>1.96</v>
      </c>
      <c r="BA226" s="140">
        <f t="shared" si="87"/>
        <v>1.9599999999999996E-7</v>
      </c>
      <c r="BB226" s="140">
        <f t="shared" si="88"/>
        <v>3.9199999999999996E-7</v>
      </c>
      <c r="BC226" s="140">
        <f t="shared" si="89"/>
        <v>5.8800000000000002E-7</v>
      </c>
      <c r="BD226" s="140">
        <f t="shared" si="90"/>
        <v>7.8400000000000014E-7</v>
      </c>
      <c r="BE226" s="140">
        <f t="shared" si="91"/>
        <v>9.8000000000000015E-7</v>
      </c>
      <c r="BF226" s="157">
        <f>IF(AY226&lt;$B$89*DATA!$H$1037,DATA!$H$1037,IF(AY226&gt;DATA!$H$1036*$B$89,DATA!$H$1036,1))</f>
        <v>1.2</v>
      </c>
      <c r="BG226" s="156">
        <f t="shared" si="92"/>
        <v>9.9999999999999995E-8</v>
      </c>
      <c r="BI226" s="140">
        <f t="shared" si="93"/>
        <v>1.9600000000000002E-5</v>
      </c>
      <c r="BJ226">
        <v>1.96</v>
      </c>
      <c r="BK226" s="140">
        <f t="shared" si="94"/>
        <v>1.9599999999999996E-7</v>
      </c>
      <c r="BL226" s="140">
        <f t="shared" si="95"/>
        <v>3.9199999999999996E-7</v>
      </c>
      <c r="BM226" s="140">
        <f t="shared" si="96"/>
        <v>5.8800000000000002E-7</v>
      </c>
      <c r="BN226" s="140">
        <f t="shared" si="97"/>
        <v>7.8400000000000014E-7</v>
      </c>
      <c r="BO226" s="140">
        <f t="shared" si="98"/>
        <v>9.8000000000000015E-7</v>
      </c>
      <c r="BP226" s="157">
        <f>IF(BI226&lt;$B$105*DATA!$H$1037,DATA!$H$1037,IF(BI226&gt;DATA!$H$1036*$B$105,DATA!$H$1036,1))</f>
        <v>1.2</v>
      </c>
      <c r="BQ226" s="156">
        <f t="shared" si="99"/>
        <v>9.9999999999999995E-8</v>
      </c>
    </row>
    <row r="227" spans="1:69">
      <c r="A227" s="140">
        <f t="shared" si="59"/>
        <v>1.98E-5</v>
      </c>
      <c r="B227">
        <v>1.98</v>
      </c>
      <c r="C227" s="140">
        <f t="shared" si="100"/>
        <v>1.9799999999999995E-7</v>
      </c>
      <c r="D227" s="140">
        <f t="shared" si="100"/>
        <v>3.9599999999999995E-7</v>
      </c>
      <c r="E227" s="140">
        <f t="shared" si="100"/>
        <v>5.9399999999999995E-7</v>
      </c>
      <c r="F227" s="140">
        <f t="shared" si="100"/>
        <v>7.92E-7</v>
      </c>
      <c r="G227" s="140">
        <f t="shared" si="100"/>
        <v>9.9000000000000005E-7</v>
      </c>
      <c r="H227" s="157">
        <f>IF(A227&lt;$B$9*DATA!$H$1037,DATA!$H$1037,IF(A227&gt;DATA!$H$1036*$B$9,DATA!$H$1036,1))</f>
        <v>0.8</v>
      </c>
      <c r="I227" s="156">
        <f t="shared" si="60"/>
        <v>9.9999999999999995E-8</v>
      </c>
      <c r="K227" s="140">
        <f t="shared" si="61"/>
        <v>1.98E-5</v>
      </c>
      <c r="L227">
        <v>1.98</v>
      </c>
      <c r="M227" s="140">
        <f t="shared" si="62"/>
        <v>1.9799999999999995E-7</v>
      </c>
      <c r="N227" s="140">
        <f t="shared" si="63"/>
        <v>3.9599999999999995E-7</v>
      </c>
      <c r="O227" s="140">
        <f t="shared" si="64"/>
        <v>5.9399999999999995E-7</v>
      </c>
      <c r="P227" s="140">
        <f t="shared" si="65"/>
        <v>7.92E-7</v>
      </c>
      <c r="Q227" s="140">
        <f t="shared" si="66"/>
        <v>9.9000000000000005E-7</v>
      </c>
      <c r="R227" s="157">
        <f>IF(K227&lt;$B$25*DATA!$H$1037,DATA!$H$1037,IF(K227&gt;DATA!$H$1036*$B$25,DATA!$H$1036,1))</f>
        <v>0.8</v>
      </c>
      <c r="S227" s="156">
        <f t="shared" si="56"/>
        <v>9.9999999999999995E-8</v>
      </c>
      <c r="U227" s="140">
        <f t="shared" si="67"/>
        <v>1.98E-5</v>
      </c>
      <c r="V227">
        <v>1.98</v>
      </c>
      <c r="W227" s="140">
        <f t="shared" si="68"/>
        <v>1.9799999999999995E-7</v>
      </c>
      <c r="X227" s="140">
        <f t="shared" si="69"/>
        <v>3.9599999999999995E-7</v>
      </c>
      <c r="Y227" s="140">
        <f t="shared" si="70"/>
        <v>5.9399999999999995E-7</v>
      </c>
      <c r="Z227" s="140">
        <f t="shared" si="71"/>
        <v>7.92E-7</v>
      </c>
      <c r="AA227" s="140">
        <f t="shared" si="72"/>
        <v>9.9000000000000005E-7</v>
      </c>
      <c r="AB227" s="157">
        <f>IF(U227&lt;$B$41*DATA!$H$1037,DATA!$H$1037,IF(U227&gt;DATA!$H$1036*$B$41,DATA!$H$1036,1))</f>
        <v>0.8</v>
      </c>
      <c r="AC227" s="156">
        <f t="shared" si="57"/>
        <v>9.9999999999999995E-8</v>
      </c>
      <c r="AE227" s="140">
        <f t="shared" si="73"/>
        <v>1.98E-5</v>
      </c>
      <c r="AF227">
        <v>1.98</v>
      </c>
      <c r="AG227" s="140">
        <f t="shared" si="74"/>
        <v>1.9799999999999995E-7</v>
      </c>
      <c r="AH227" s="140">
        <f t="shared" si="75"/>
        <v>3.9599999999999995E-7</v>
      </c>
      <c r="AI227" s="140">
        <f t="shared" si="76"/>
        <v>5.9399999999999995E-7</v>
      </c>
      <c r="AJ227" s="140">
        <f t="shared" si="77"/>
        <v>7.92E-7</v>
      </c>
      <c r="AK227" s="140">
        <f t="shared" si="78"/>
        <v>9.9000000000000005E-7</v>
      </c>
      <c r="AL227" s="157">
        <f>IF(AE227&lt;$B$57*DATA!$H$1037,DATA!$H$1037,IF(AE227&gt;DATA!$H$1036*$B$57,DATA!$H$1036,1))</f>
        <v>1.2</v>
      </c>
      <c r="AM227" s="156">
        <f t="shared" si="58"/>
        <v>9.9999999999999995E-8</v>
      </c>
      <c r="AO227" s="140">
        <f t="shared" si="79"/>
        <v>1.98E-5</v>
      </c>
      <c r="AP227">
        <v>1.98</v>
      </c>
      <c r="AQ227" s="140">
        <f t="shared" si="80"/>
        <v>1.9799999999999995E-7</v>
      </c>
      <c r="AR227" s="140">
        <f t="shared" si="81"/>
        <v>3.9599999999999995E-7</v>
      </c>
      <c r="AS227" s="140">
        <f t="shared" si="82"/>
        <v>5.9399999999999995E-7</v>
      </c>
      <c r="AT227" s="140">
        <f t="shared" si="83"/>
        <v>7.92E-7</v>
      </c>
      <c r="AU227" s="140">
        <f t="shared" si="84"/>
        <v>9.9000000000000005E-7</v>
      </c>
      <c r="AV227" s="157">
        <f>IF(AO227&lt;$B$73*DATA!$H$1037,DATA!$H$1037,IF(AO227&gt;DATA!$H$1036*$B$73,DATA!$H$1036,1))</f>
        <v>1.2</v>
      </c>
      <c r="AW227" s="156">
        <f t="shared" si="85"/>
        <v>9.9999999999999995E-8</v>
      </c>
      <c r="AY227" s="140">
        <f t="shared" si="86"/>
        <v>1.98E-5</v>
      </c>
      <c r="AZ227">
        <v>1.98</v>
      </c>
      <c r="BA227" s="140">
        <f t="shared" si="87"/>
        <v>1.9799999999999995E-7</v>
      </c>
      <c r="BB227" s="140">
        <f t="shared" si="88"/>
        <v>3.9599999999999995E-7</v>
      </c>
      <c r="BC227" s="140">
        <f t="shared" si="89"/>
        <v>5.9399999999999995E-7</v>
      </c>
      <c r="BD227" s="140">
        <f t="shared" si="90"/>
        <v>7.92E-7</v>
      </c>
      <c r="BE227" s="140">
        <f t="shared" si="91"/>
        <v>9.9000000000000005E-7</v>
      </c>
      <c r="BF227" s="157">
        <f>IF(AY227&lt;$B$89*DATA!$H$1037,DATA!$H$1037,IF(AY227&gt;DATA!$H$1036*$B$89,DATA!$H$1036,1))</f>
        <v>1.2</v>
      </c>
      <c r="BG227" s="156">
        <f t="shared" si="92"/>
        <v>9.9999999999999995E-8</v>
      </c>
      <c r="BI227" s="140">
        <f t="shared" si="93"/>
        <v>1.98E-5</v>
      </c>
      <c r="BJ227">
        <v>1.98</v>
      </c>
      <c r="BK227" s="140">
        <f t="shared" si="94"/>
        <v>1.9799999999999995E-7</v>
      </c>
      <c r="BL227" s="140">
        <f t="shared" si="95"/>
        <v>3.9599999999999995E-7</v>
      </c>
      <c r="BM227" s="140">
        <f t="shared" si="96"/>
        <v>5.9399999999999995E-7</v>
      </c>
      <c r="BN227" s="140">
        <f t="shared" si="97"/>
        <v>7.92E-7</v>
      </c>
      <c r="BO227" s="140">
        <f t="shared" si="98"/>
        <v>9.9000000000000005E-7</v>
      </c>
      <c r="BP227" s="157">
        <f>IF(BI227&lt;$B$105*DATA!$H$1037,DATA!$H$1037,IF(BI227&gt;DATA!$H$1036*$B$105,DATA!$H$1036,1))</f>
        <v>1.2</v>
      </c>
      <c r="BQ227" s="156">
        <f t="shared" si="99"/>
        <v>9.9999999999999995E-8</v>
      </c>
    </row>
    <row r="228" spans="1:69">
      <c r="A228" s="140">
        <f t="shared" si="59"/>
        <v>2.0000000000000002E-5</v>
      </c>
      <c r="B228">
        <v>2</v>
      </c>
      <c r="C228" s="140">
        <f t="shared" si="100"/>
        <v>1.9999999999999994E-7</v>
      </c>
      <c r="D228" s="140">
        <f t="shared" si="100"/>
        <v>3.9999999999999998E-7</v>
      </c>
      <c r="E228" s="140">
        <f t="shared" si="100"/>
        <v>6.0000000000000008E-7</v>
      </c>
      <c r="F228" s="140">
        <f t="shared" si="100"/>
        <v>8.0000000000000007E-7</v>
      </c>
      <c r="G228" s="140">
        <f t="shared" si="100"/>
        <v>1.0000000000000002E-6</v>
      </c>
      <c r="H228" s="157">
        <f>IF(A228&lt;$B$9*DATA!$H$1037,DATA!$H$1037,IF(A228&gt;DATA!$H$1036*$B$9,DATA!$H$1036,1))</f>
        <v>0.8</v>
      </c>
      <c r="I228" s="156">
        <f t="shared" si="60"/>
        <v>9.9999999999999995E-8</v>
      </c>
      <c r="K228" s="140">
        <f t="shared" si="61"/>
        <v>2.0000000000000002E-5</v>
      </c>
      <c r="L228">
        <v>2</v>
      </c>
      <c r="M228" s="140">
        <f t="shared" si="62"/>
        <v>1.9999999999999994E-7</v>
      </c>
      <c r="N228" s="140">
        <f t="shared" si="63"/>
        <v>3.9999999999999998E-7</v>
      </c>
      <c r="O228" s="140">
        <f t="shared" si="64"/>
        <v>6.0000000000000008E-7</v>
      </c>
      <c r="P228" s="140">
        <f t="shared" si="65"/>
        <v>8.0000000000000007E-7</v>
      </c>
      <c r="Q228" s="140">
        <f t="shared" si="66"/>
        <v>1.0000000000000002E-6</v>
      </c>
      <c r="R228" s="157">
        <f>IF(K228&lt;$B$25*DATA!$H$1037,DATA!$H$1037,IF(K228&gt;DATA!$H$1036*$B$25,DATA!$H$1036,1))</f>
        <v>0.8</v>
      </c>
      <c r="S228" s="156">
        <f t="shared" si="56"/>
        <v>9.9999999999999995E-8</v>
      </c>
      <c r="U228" s="140">
        <f t="shared" si="67"/>
        <v>2.0000000000000002E-5</v>
      </c>
      <c r="V228">
        <v>2</v>
      </c>
      <c r="W228" s="140">
        <f t="shared" si="68"/>
        <v>1.9999999999999994E-7</v>
      </c>
      <c r="X228" s="140">
        <f t="shared" si="69"/>
        <v>3.9999999999999998E-7</v>
      </c>
      <c r="Y228" s="140">
        <f t="shared" si="70"/>
        <v>6.0000000000000008E-7</v>
      </c>
      <c r="Z228" s="140">
        <f t="shared" si="71"/>
        <v>8.0000000000000007E-7</v>
      </c>
      <c r="AA228" s="140">
        <f t="shared" si="72"/>
        <v>1.0000000000000002E-6</v>
      </c>
      <c r="AB228" s="157">
        <f>IF(U228&lt;$B$41*DATA!$H$1037,DATA!$H$1037,IF(U228&gt;DATA!$H$1036*$B$41,DATA!$H$1036,1))</f>
        <v>0.8</v>
      </c>
      <c r="AC228" s="156">
        <f t="shared" si="57"/>
        <v>9.9999999999999995E-8</v>
      </c>
      <c r="AE228" s="140">
        <f t="shared" si="73"/>
        <v>2.0000000000000002E-5</v>
      </c>
      <c r="AF228">
        <v>2</v>
      </c>
      <c r="AG228" s="140">
        <f t="shared" si="74"/>
        <v>1.9999999999999994E-7</v>
      </c>
      <c r="AH228" s="140">
        <f t="shared" si="75"/>
        <v>3.9999999999999998E-7</v>
      </c>
      <c r="AI228" s="140">
        <f t="shared" si="76"/>
        <v>6.0000000000000008E-7</v>
      </c>
      <c r="AJ228" s="140">
        <f t="shared" si="77"/>
        <v>8.0000000000000007E-7</v>
      </c>
      <c r="AK228" s="140">
        <f t="shared" si="78"/>
        <v>1.0000000000000002E-6</v>
      </c>
      <c r="AL228" s="157">
        <f>IF(AE228&lt;$B$57*DATA!$H$1037,DATA!$H$1037,IF(AE228&gt;DATA!$H$1036*$B$57,DATA!$H$1036,1))</f>
        <v>1.2</v>
      </c>
      <c r="AM228" s="156">
        <f t="shared" si="58"/>
        <v>9.9999999999999995E-8</v>
      </c>
      <c r="AO228" s="140">
        <f t="shared" si="79"/>
        <v>2.0000000000000002E-5</v>
      </c>
      <c r="AP228">
        <v>2</v>
      </c>
      <c r="AQ228" s="140">
        <f t="shared" si="80"/>
        <v>1.9999999999999994E-7</v>
      </c>
      <c r="AR228" s="140">
        <f t="shared" si="81"/>
        <v>3.9999999999999998E-7</v>
      </c>
      <c r="AS228" s="140">
        <f t="shared" si="82"/>
        <v>6.0000000000000008E-7</v>
      </c>
      <c r="AT228" s="140">
        <f t="shared" si="83"/>
        <v>8.0000000000000007E-7</v>
      </c>
      <c r="AU228" s="140">
        <f t="shared" si="84"/>
        <v>1.0000000000000002E-6</v>
      </c>
      <c r="AV228" s="157">
        <f>IF(AO228&lt;$B$73*DATA!$H$1037,DATA!$H$1037,IF(AO228&gt;DATA!$H$1036*$B$73,DATA!$H$1036,1))</f>
        <v>1.2</v>
      </c>
      <c r="AW228" s="156">
        <f t="shared" si="85"/>
        <v>9.9999999999999995E-8</v>
      </c>
      <c r="AY228" s="140">
        <f t="shared" si="86"/>
        <v>2.0000000000000002E-5</v>
      </c>
      <c r="AZ228">
        <v>2</v>
      </c>
      <c r="BA228" s="140">
        <f t="shared" si="87"/>
        <v>1.9999999999999994E-7</v>
      </c>
      <c r="BB228" s="140">
        <f t="shared" si="88"/>
        <v>3.9999999999999998E-7</v>
      </c>
      <c r="BC228" s="140">
        <f t="shared" si="89"/>
        <v>6.0000000000000008E-7</v>
      </c>
      <c r="BD228" s="140">
        <f t="shared" si="90"/>
        <v>8.0000000000000007E-7</v>
      </c>
      <c r="BE228" s="140">
        <f t="shared" si="91"/>
        <v>1.0000000000000002E-6</v>
      </c>
      <c r="BF228" s="157">
        <f>IF(AY228&lt;$B$89*DATA!$H$1037,DATA!$H$1037,IF(AY228&gt;DATA!$H$1036*$B$89,DATA!$H$1036,1))</f>
        <v>1.2</v>
      </c>
      <c r="BG228" s="156">
        <f t="shared" si="92"/>
        <v>9.9999999999999995E-8</v>
      </c>
      <c r="BI228" s="140">
        <f t="shared" si="93"/>
        <v>2.0000000000000002E-5</v>
      </c>
      <c r="BJ228">
        <v>2</v>
      </c>
      <c r="BK228" s="140">
        <f t="shared" si="94"/>
        <v>1.9999999999999994E-7</v>
      </c>
      <c r="BL228" s="140">
        <f t="shared" si="95"/>
        <v>3.9999999999999998E-7</v>
      </c>
      <c r="BM228" s="140">
        <f t="shared" si="96"/>
        <v>6.0000000000000008E-7</v>
      </c>
      <c r="BN228" s="140">
        <f t="shared" si="97"/>
        <v>8.0000000000000007E-7</v>
      </c>
      <c r="BO228" s="140">
        <f t="shared" si="98"/>
        <v>1.0000000000000002E-6</v>
      </c>
      <c r="BP228" s="157">
        <f>IF(BI228&lt;$B$105*DATA!$H$1037,DATA!$H$1037,IF(BI228&gt;DATA!$H$1036*$B$105,DATA!$H$1036,1))</f>
        <v>1.2</v>
      </c>
      <c r="BQ228" s="156">
        <f t="shared" si="99"/>
        <v>9.9999999999999995E-8</v>
      </c>
    </row>
    <row r="229" spans="1:69">
      <c r="A229" s="140">
        <f t="shared" si="59"/>
        <v>2.0200000000000003E-5</v>
      </c>
      <c r="B229">
        <v>2.02</v>
      </c>
      <c r="C229" s="140">
        <f t="shared" si="100"/>
        <v>2.0199999999999996E-7</v>
      </c>
      <c r="D229" s="140">
        <f t="shared" si="100"/>
        <v>4.0400000000000002E-7</v>
      </c>
      <c r="E229" s="140">
        <f t="shared" si="100"/>
        <v>6.0600000000000011E-7</v>
      </c>
      <c r="F229" s="140">
        <f t="shared" si="100"/>
        <v>8.0800000000000014E-7</v>
      </c>
      <c r="G229" s="140">
        <f t="shared" si="100"/>
        <v>1.0100000000000003E-6</v>
      </c>
      <c r="H229" s="157">
        <f>IF(A229&lt;$B$9*DATA!$H$1037,DATA!$H$1037,IF(A229&gt;DATA!$H$1036*$B$9,DATA!$H$1036,1))</f>
        <v>0.8</v>
      </c>
      <c r="I229" s="156">
        <f t="shared" si="60"/>
        <v>9.9999999999999995E-8</v>
      </c>
      <c r="K229" s="140">
        <f t="shared" si="61"/>
        <v>2.0200000000000003E-5</v>
      </c>
      <c r="L229">
        <v>2.02</v>
      </c>
      <c r="M229" s="140">
        <f t="shared" si="62"/>
        <v>2.0199999999999996E-7</v>
      </c>
      <c r="N229" s="140">
        <f t="shared" si="63"/>
        <v>4.0400000000000002E-7</v>
      </c>
      <c r="O229" s="140">
        <f t="shared" si="64"/>
        <v>6.0600000000000011E-7</v>
      </c>
      <c r="P229" s="140">
        <f t="shared" si="65"/>
        <v>8.0800000000000014E-7</v>
      </c>
      <c r="Q229" s="140">
        <f t="shared" si="66"/>
        <v>1.0100000000000003E-6</v>
      </c>
      <c r="R229" s="157">
        <f>IF(K229&lt;$B$25*DATA!$H$1037,DATA!$H$1037,IF(K229&gt;DATA!$H$1036*$B$25,DATA!$H$1036,1))</f>
        <v>0.8</v>
      </c>
      <c r="S229" s="156">
        <f t="shared" si="56"/>
        <v>9.9999999999999995E-8</v>
      </c>
      <c r="U229" s="140">
        <f t="shared" si="67"/>
        <v>2.0200000000000003E-5</v>
      </c>
      <c r="V229">
        <v>2.02</v>
      </c>
      <c r="W229" s="140">
        <f t="shared" si="68"/>
        <v>2.0199999999999996E-7</v>
      </c>
      <c r="X229" s="140">
        <f t="shared" si="69"/>
        <v>4.0400000000000002E-7</v>
      </c>
      <c r="Y229" s="140">
        <f t="shared" si="70"/>
        <v>6.0600000000000011E-7</v>
      </c>
      <c r="Z229" s="140">
        <f t="shared" si="71"/>
        <v>8.0800000000000014E-7</v>
      </c>
      <c r="AA229" s="140">
        <f t="shared" si="72"/>
        <v>1.0100000000000003E-6</v>
      </c>
      <c r="AB229" s="157">
        <f>IF(U229&lt;$B$41*DATA!$H$1037,DATA!$H$1037,IF(U229&gt;DATA!$H$1036*$B$41,DATA!$H$1036,1))</f>
        <v>0.8</v>
      </c>
      <c r="AC229" s="156">
        <f t="shared" si="57"/>
        <v>9.9999999999999995E-8</v>
      </c>
      <c r="AE229" s="140">
        <f t="shared" si="73"/>
        <v>2.0200000000000003E-5</v>
      </c>
      <c r="AF229">
        <v>2.02</v>
      </c>
      <c r="AG229" s="140">
        <f t="shared" si="74"/>
        <v>2.0199999999999996E-7</v>
      </c>
      <c r="AH229" s="140">
        <f t="shared" si="75"/>
        <v>4.0400000000000002E-7</v>
      </c>
      <c r="AI229" s="140">
        <f t="shared" si="76"/>
        <v>6.0600000000000011E-7</v>
      </c>
      <c r="AJ229" s="140">
        <f t="shared" si="77"/>
        <v>8.0800000000000014E-7</v>
      </c>
      <c r="AK229" s="140">
        <f t="shared" si="78"/>
        <v>1.0100000000000003E-6</v>
      </c>
      <c r="AL229" s="157">
        <f>IF(AE229&lt;$B$57*DATA!$H$1037,DATA!$H$1037,IF(AE229&gt;DATA!$H$1036*$B$57,DATA!$H$1036,1))</f>
        <v>1.2</v>
      </c>
      <c r="AM229" s="156">
        <f t="shared" si="58"/>
        <v>9.9999999999999995E-8</v>
      </c>
      <c r="AO229" s="140">
        <f t="shared" si="79"/>
        <v>2.0200000000000003E-5</v>
      </c>
      <c r="AP229">
        <v>2.02</v>
      </c>
      <c r="AQ229" s="140">
        <f t="shared" si="80"/>
        <v>2.0199999999999996E-7</v>
      </c>
      <c r="AR229" s="140">
        <f t="shared" si="81"/>
        <v>4.0400000000000002E-7</v>
      </c>
      <c r="AS229" s="140">
        <f t="shared" si="82"/>
        <v>6.0600000000000011E-7</v>
      </c>
      <c r="AT229" s="140">
        <f t="shared" si="83"/>
        <v>8.0800000000000014E-7</v>
      </c>
      <c r="AU229" s="140">
        <f t="shared" si="84"/>
        <v>1.0100000000000003E-6</v>
      </c>
      <c r="AV229" s="157">
        <f>IF(AO229&lt;$B$73*DATA!$H$1037,DATA!$H$1037,IF(AO229&gt;DATA!$H$1036*$B$73,DATA!$H$1036,1))</f>
        <v>1.2</v>
      </c>
      <c r="AW229" s="156">
        <f t="shared" si="85"/>
        <v>9.9999999999999995E-8</v>
      </c>
      <c r="AY229" s="140">
        <f t="shared" si="86"/>
        <v>2.0200000000000003E-5</v>
      </c>
      <c r="AZ229">
        <v>2.02</v>
      </c>
      <c r="BA229" s="140">
        <f t="shared" si="87"/>
        <v>2.0199999999999996E-7</v>
      </c>
      <c r="BB229" s="140">
        <f t="shared" si="88"/>
        <v>4.0400000000000002E-7</v>
      </c>
      <c r="BC229" s="140">
        <f t="shared" si="89"/>
        <v>6.0600000000000011E-7</v>
      </c>
      <c r="BD229" s="140">
        <f t="shared" si="90"/>
        <v>8.0800000000000014E-7</v>
      </c>
      <c r="BE229" s="140">
        <f t="shared" si="91"/>
        <v>1.0100000000000003E-6</v>
      </c>
      <c r="BF229" s="157">
        <f>IF(AY229&lt;$B$89*DATA!$H$1037,DATA!$H$1037,IF(AY229&gt;DATA!$H$1036*$B$89,DATA!$H$1036,1))</f>
        <v>1.2</v>
      </c>
      <c r="BG229" s="156">
        <f t="shared" si="92"/>
        <v>9.9999999999999995E-8</v>
      </c>
      <c r="BI229" s="140">
        <f t="shared" si="93"/>
        <v>2.0200000000000003E-5</v>
      </c>
      <c r="BJ229">
        <v>2.02</v>
      </c>
      <c r="BK229" s="140">
        <f t="shared" si="94"/>
        <v>2.0199999999999996E-7</v>
      </c>
      <c r="BL229" s="140">
        <f t="shared" si="95"/>
        <v>4.0400000000000002E-7</v>
      </c>
      <c r="BM229" s="140">
        <f t="shared" si="96"/>
        <v>6.0600000000000011E-7</v>
      </c>
      <c r="BN229" s="140">
        <f t="shared" si="97"/>
        <v>8.0800000000000014E-7</v>
      </c>
      <c r="BO229" s="140">
        <f t="shared" si="98"/>
        <v>1.0100000000000003E-6</v>
      </c>
      <c r="BP229" s="157">
        <f>IF(BI229&lt;$B$105*DATA!$H$1037,DATA!$H$1037,IF(BI229&gt;DATA!$H$1036*$B$105,DATA!$H$1036,1))</f>
        <v>1.2</v>
      </c>
      <c r="BQ229" s="156">
        <f t="shared" si="99"/>
        <v>9.9999999999999995E-8</v>
      </c>
    </row>
    <row r="230" spans="1:69">
      <c r="A230" s="140">
        <f t="shared" si="59"/>
        <v>2.0400000000000001E-5</v>
      </c>
      <c r="B230">
        <v>2.04</v>
      </c>
      <c r="C230" s="140">
        <f t="shared" si="100"/>
        <v>2.0399999999999995E-7</v>
      </c>
      <c r="D230" s="140">
        <f t="shared" si="100"/>
        <v>4.0799999999999995E-7</v>
      </c>
      <c r="E230" s="140">
        <f t="shared" si="100"/>
        <v>6.1200000000000003E-7</v>
      </c>
      <c r="F230" s="140">
        <f t="shared" si="100"/>
        <v>8.1600000000000011E-7</v>
      </c>
      <c r="G230" s="140">
        <f t="shared" si="100"/>
        <v>1.0200000000000002E-6</v>
      </c>
      <c r="H230" s="157">
        <f>IF(A230&lt;$B$9*DATA!$H$1037,DATA!$H$1037,IF(A230&gt;DATA!$H$1036*$B$9,DATA!$H$1036,1))</f>
        <v>0.8</v>
      </c>
      <c r="I230" s="156">
        <f t="shared" si="60"/>
        <v>9.9999999999999995E-8</v>
      </c>
      <c r="K230" s="140">
        <f t="shared" si="61"/>
        <v>2.0400000000000001E-5</v>
      </c>
      <c r="L230">
        <v>2.04</v>
      </c>
      <c r="M230" s="140">
        <f t="shared" si="62"/>
        <v>2.0399999999999995E-7</v>
      </c>
      <c r="N230" s="140">
        <f t="shared" si="63"/>
        <v>4.0799999999999995E-7</v>
      </c>
      <c r="O230" s="140">
        <f t="shared" si="64"/>
        <v>6.1200000000000003E-7</v>
      </c>
      <c r="P230" s="140">
        <f t="shared" si="65"/>
        <v>8.1600000000000011E-7</v>
      </c>
      <c r="Q230" s="140">
        <f t="shared" si="66"/>
        <v>1.0200000000000002E-6</v>
      </c>
      <c r="R230" s="157">
        <f>IF(K230&lt;$B$25*DATA!$H$1037,DATA!$H$1037,IF(K230&gt;DATA!$H$1036*$B$25,DATA!$H$1036,1))</f>
        <v>0.8</v>
      </c>
      <c r="S230" s="156">
        <f t="shared" si="56"/>
        <v>9.9999999999999995E-8</v>
      </c>
      <c r="U230" s="140">
        <f t="shared" si="67"/>
        <v>2.0400000000000001E-5</v>
      </c>
      <c r="V230">
        <v>2.04</v>
      </c>
      <c r="W230" s="140">
        <f t="shared" si="68"/>
        <v>2.0399999999999995E-7</v>
      </c>
      <c r="X230" s="140">
        <f t="shared" si="69"/>
        <v>4.0799999999999995E-7</v>
      </c>
      <c r="Y230" s="140">
        <f t="shared" si="70"/>
        <v>6.1200000000000003E-7</v>
      </c>
      <c r="Z230" s="140">
        <f t="shared" si="71"/>
        <v>8.1600000000000011E-7</v>
      </c>
      <c r="AA230" s="140">
        <f t="shared" si="72"/>
        <v>1.0200000000000002E-6</v>
      </c>
      <c r="AB230" s="157">
        <f>IF(U230&lt;$B$41*DATA!$H$1037,DATA!$H$1037,IF(U230&gt;DATA!$H$1036*$B$41,DATA!$H$1036,1))</f>
        <v>0.8</v>
      </c>
      <c r="AC230" s="156">
        <f t="shared" si="57"/>
        <v>9.9999999999999995E-8</v>
      </c>
      <c r="AE230" s="140">
        <f t="shared" si="73"/>
        <v>2.0400000000000001E-5</v>
      </c>
      <c r="AF230">
        <v>2.04</v>
      </c>
      <c r="AG230" s="140">
        <f t="shared" si="74"/>
        <v>2.0399999999999995E-7</v>
      </c>
      <c r="AH230" s="140">
        <f t="shared" si="75"/>
        <v>4.0799999999999995E-7</v>
      </c>
      <c r="AI230" s="140">
        <f t="shared" si="76"/>
        <v>6.1200000000000003E-7</v>
      </c>
      <c r="AJ230" s="140">
        <f t="shared" si="77"/>
        <v>8.1600000000000011E-7</v>
      </c>
      <c r="AK230" s="140">
        <f t="shared" si="78"/>
        <v>1.0200000000000002E-6</v>
      </c>
      <c r="AL230" s="157">
        <f>IF(AE230&lt;$B$57*DATA!$H$1037,DATA!$H$1037,IF(AE230&gt;DATA!$H$1036*$B$57,DATA!$H$1036,1))</f>
        <v>1.2</v>
      </c>
      <c r="AM230" s="156">
        <f t="shared" si="58"/>
        <v>9.9999999999999995E-8</v>
      </c>
      <c r="AO230" s="140">
        <f t="shared" si="79"/>
        <v>2.0400000000000001E-5</v>
      </c>
      <c r="AP230">
        <v>2.04</v>
      </c>
      <c r="AQ230" s="140">
        <f t="shared" si="80"/>
        <v>2.0399999999999995E-7</v>
      </c>
      <c r="AR230" s="140">
        <f t="shared" si="81"/>
        <v>4.0799999999999995E-7</v>
      </c>
      <c r="AS230" s="140">
        <f t="shared" si="82"/>
        <v>6.1200000000000003E-7</v>
      </c>
      <c r="AT230" s="140">
        <f t="shared" si="83"/>
        <v>8.1600000000000011E-7</v>
      </c>
      <c r="AU230" s="140">
        <f t="shared" si="84"/>
        <v>1.0200000000000002E-6</v>
      </c>
      <c r="AV230" s="157">
        <f>IF(AO230&lt;$B$73*DATA!$H$1037,DATA!$H$1037,IF(AO230&gt;DATA!$H$1036*$B$73,DATA!$H$1036,1))</f>
        <v>1.2</v>
      </c>
      <c r="AW230" s="156">
        <f t="shared" si="85"/>
        <v>9.9999999999999995E-8</v>
      </c>
      <c r="AY230" s="140">
        <f t="shared" si="86"/>
        <v>2.0400000000000001E-5</v>
      </c>
      <c r="AZ230">
        <v>2.04</v>
      </c>
      <c r="BA230" s="140">
        <f t="shared" si="87"/>
        <v>2.0399999999999995E-7</v>
      </c>
      <c r="BB230" s="140">
        <f t="shared" si="88"/>
        <v>4.0799999999999995E-7</v>
      </c>
      <c r="BC230" s="140">
        <f t="shared" si="89"/>
        <v>6.1200000000000003E-7</v>
      </c>
      <c r="BD230" s="140">
        <f t="shared" si="90"/>
        <v>8.1600000000000011E-7</v>
      </c>
      <c r="BE230" s="140">
        <f t="shared" si="91"/>
        <v>1.0200000000000002E-6</v>
      </c>
      <c r="BF230" s="157">
        <f>IF(AY230&lt;$B$89*DATA!$H$1037,DATA!$H$1037,IF(AY230&gt;DATA!$H$1036*$B$89,DATA!$H$1036,1))</f>
        <v>1.2</v>
      </c>
      <c r="BG230" s="156">
        <f t="shared" si="92"/>
        <v>9.9999999999999995E-8</v>
      </c>
      <c r="BI230" s="140">
        <f t="shared" si="93"/>
        <v>2.0400000000000001E-5</v>
      </c>
      <c r="BJ230">
        <v>2.04</v>
      </c>
      <c r="BK230" s="140">
        <f t="shared" si="94"/>
        <v>2.0399999999999995E-7</v>
      </c>
      <c r="BL230" s="140">
        <f t="shared" si="95"/>
        <v>4.0799999999999995E-7</v>
      </c>
      <c r="BM230" s="140">
        <f t="shared" si="96"/>
        <v>6.1200000000000003E-7</v>
      </c>
      <c r="BN230" s="140">
        <f t="shared" si="97"/>
        <v>8.1600000000000011E-7</v>
      </c>
      <c r="BO230" s="140">
        <f t="shared" si="98"/>
        <v>1.0200000000000002E-6</v>
      </c>
      <c r="BP230" s="157">
        <f>IF(BI230&lt;$B$105*DATA!$H$1037,DATA!$H$1037,IF(BI230&gt;DATA!$H$1036*$B$105,DATA!$H$1036,1))</f>
        <v>1.2</v>
      </c>
      <c r="BQ230" s="156">
        <f t="shared" si="99"/>
        <v>9.9999999999999995E-8</v>
      </c>
    </row>
    <row r="231" spans="1:69">
      <c r="A231" s="140">
        <f t="shared" si="59"/>
        <v>2.0600000000000003E-5</v>
      </c>
      <c r="B231">
        <v>2.06</v>
      </c>
      <c r="C231" s="140">
        <f t="shared" si="100"/>
        <v>2.0599999999999997E-7</v>
      </c>
      <c r="D231" s="140">
        <f t="shared" si="100"/>
        <v>4.1199999999999998E-7</v>
      </c>
      <c r="E231" s="140">
        <f t="shared" si="100"/>
        <v>6.1800000000000005E-7</v>
      </c>
      <c r="F231" s="140">
        <f t="shared" si="100"/>
        <v>8.2400000000000007E-7</v>
      </c>
      <c r="G231" s="140">
        <f t="shared" si="100"/>
        <v>1.0300000000000001E-6</v>
      </c>
      <c r="H231" s="157">
        <f>IF(A231&lt;$B$9*DATA!$H$1037,DATA!$H$1037,IF(A231&gt;DATA!$H$1036*$B$9,DATA!$H$1036,1))</f>
        <v>0.8</v>
      </c>
      <c r="I231" s="156">
        <f t="shared" si="60"/>
        <v>9.9999999999999995E-8</v>
      </c>
      <c r="K231" s="140">
        <f t="shared" si="61"/>
        <v>2.0600000000000003E-5</v>
      </c>
      <c r="L231">
        <v>2.06</v>
      </c>
      <c r="M231" s="140">
        <f t="shared" si="62"/>
        <v>2.0599999999999997E-7</v>
      </c>
      <c r="N231" s="140">
        <f t="shared" si="63"/>
        <v>4.1199999999999998E-7</v>
      </c>
      <c r="O231" s="140">
        <f t="shared" si="64"/>
        <v>6.1800000000000005E-7</v>
      </c>
      <c r="P231" s="140">
        <f t="shared" si="65"/>
        <v>8.2400000000000007E-7</v>
      </c>
      <c r="Q231" s="140">
        <f t="shared" si="66"/>
        <v>1.0300000000000001E-6</v>
      </c>
      <c r="R231" s="157">
        <f>IF(K231&lt;$B$25*DATA!$H$1037,DATA!$H$1037,IF(K231&gt;DATA!$H$1036*$B$25,DATA!$H$1036,1))</f>
        <v>0.8</v>
      </c>
      <c r="S231" s="156">
        <f t="shared" si="56"/>
        <v>9.9999999999999995E-8</v>
      </c>
      <c r="U231" s="140">
        <f t="shared" si="67"/>
        <v>2.0600000000000003E-5</v>
      </c>
      <c r="V231">
        <v>2.06</v>
      </c>
      <c r="W231" s="140">
        <f t="shared" si="68"/>
        <v>2.0599999999999997E-7</v>
      </c>
      <c r="X231" s="140">
        <f t="shared" si="69"/>
        <v>4.1199999999999998E-7</v>
      </c>
      <c r="Y231" s="140">
        <f t="shared" si="70"/>
        <v>6.1800000000000005E-7</v>
      </c>
      <c r="Z231" s="140">
        <f t="shared" si="71"/>
        <v>8.2400000000000007E-7</v>
      </c>
      <c r="AA231" s="140">
        <f t="shared" si="72"/>
        <v>1.0300000000000001E-6</v>
      </c>
      <c r="AB231" s="157">
        <f>IF(U231&lt;$B$41*DATA!$H$1037,DATA!$H$1037,IF(U231&gt;DATA!$H$1036*$B$41,DATA!$H$1036,1))</f>
        <v>0.8</v>
      </c>
      <c r="AC231" s="156">
        <f t="shared" si="57"/>
        <v>9.9999999999999995E-8</v>
      </c>
      <c r="AE231" s="140">
        <f t="shared" si="73"/>
        <v>2.0600000000000003E-5</v>
      </c>
      <c r="AF231">
        <v>2.06</v>
      </c>
      <c r="AG231" s="140">
        <f t="shared" si="74"/>
        <v>2.0599999999999997E-7</v>
      </c>
      <c r="AH231" s="140">
        <f t="shared" si="75"/>
        <v>4.1199999999999998E-7</v>
      </c>
      <c r="AI231" s="140">
        <f t="shared" si="76"/>
        <v>6.1800000000000005E-7</v>
      </c>
      <c r="AJ231" s="140">
        <f t="shared" si="77"/>
        <v>8.2400000000000007E-7</v>
      </c>
      <c r="AK231" s="140">
        <f t="shared" si="78"/>
        <v>1.0300000000000001E-6</v>
      </c>
      <c r="AL231" s="157">
        <f>IF(AE231&lt;$B$57*DATA!$H$1037,DATA!$H$1037,IF(AE231&gt;DATA!$H$1036*$B$57,DATA!$H$1036,1))</f>
        <v>1.2</v>
      </c>
      <c r="AM231" s="156">
        <f t="shared" si="58"/>
        <v>9.9999999999999995E-8</v>
      </c>
      <c r="AO231" s="140">
        <f t="shared" si="79"/>
        <v>2.0600000000000003E-5</v>
      </c>
      <c r="AP231">
        <v>2.06</v>
      </c>
      <c r="AQ231" s="140">
        <f t="shared" si="80"/>
        <v>2.0599999999999997E-7</v>
      </c>
      <c r="AR231" s="140">
        <f t="shared" si="81"/>
        <v>4.1199999999999998E-7</v>
      </c>
      <c r="AS231" s="140">
        <f t="shared" si="82"/>
        <v>6.1800000000000005E-7</v>
      </c>
      <c r="AT231" s="140">
        <f t="shared" si="83"/>
        <v>8.2400000000000007E-7</v>
      </c>
      <c r="AU231" s="140">
        <f t="shared" si="84"/>
        <v>1.0300000000000001E-6</v>
      </c>
      <c r="AV231" s="157">
        <f>IF(AO231&lt;$B$73*DATA!$H$1037,DATA!$H$1037,IF(AO231&gt;DATA!$H$1036*$B$73,DATA!$H$1036,1))</f>
        <v>1.2</v>
      </c>
      <c r="AW231" s="156">
        <f t="shared" si="85"/>
        <v>9.9999999999999995E-8</v>
      </c>
      <c r="AY231" s="140">
        <f t="shared" si="86"/>
        <v>2.0600000000000003E-5</v>
      </c>
      <c r="AZ231">
        <v>2.06</v>
      </c>
      <c r="BA231" s="140">
        <f t="shared" si="87"/>
        <v>2.0599999999999997E-7</v>
      </c>
      <c r="BB231" s="140">
        <f t="shared" si="88"/>
        <v>4.1199999999999998E-7</v>
      </c>
      <c r="BC231" s="140">
        <f t="shared" si="89"/>
        <v>6.1800000000000005E-7</v>
      </c>
      <c r="BD231" s="140">
        <f t="shared" si="90"/>
        <v>8.2400000000000007E-7</v>
      </c>
      <c r="BE231" s="140">
        <f t="shared" si="91"/>
        <v>1.0300000000000001E-6</v>
      </c>
      <c r="BF231" s="157">
        <f>IF(AY231&lt;$B$89*DATA!$H$1037,DATA!$H$1037,IF(AY231&gt;DATA!$H$1036*$B$89,DATA!$H$1036,1))</f>
        <v>1.2</v>
      </c>
      <c r="BG231" s="156">
        <f t="shared" si="92"/>
        <v>9.9999999999999995E-8</v>
      </c>
      <c r="BI231" s="140">
        <f t="shared" si="93"/>
        <v>2.0600000000000003E-5</v>
      </c>
      <c r="BJ231">
        <v>2.06</v>
      </c>
      <c r="BK231" s="140">
        <f t="shared" si="94"/>
        <v>2.0599999999999997E-7</v>
      </c>
      <c r="BL231" s="140">
        <f t="shared" si="95"/>
        <v>4.1199999999999998E-7</v>
      </c>
      <c r="BM231" s="140">
        <f t="shared" si="96"/>
        <v>6.1800000000000005E-7</v>
      </c>
      <c r="BN231" s="140">
        <f t="shared" si="97"/>
        <v>8.2400000000000007E-7</v>
      </c>
      <c r="BO231" s="140">
        <f t="shared" si="98"/>
        <v>1.0300000000000001E-6</v>
      </c>
      <c r="BP231" s="157">
        <f>IF(BI231&lt;$B$105*DATA!$H$1037,DATA!$H$1037,IF(BI231&gt;DATA!$H$1036*$B$105,DATA!$H$1036,1))</f>
        <v>1.2</v>
      </c>
      <c r="BQ231" s="156">
        <f t="shared" si="99"/>
        <v>9.9999999999999995E-8</v>
      </c>
    </row>
    <row r="232" spans="1:69">
      <c r="A232" s="140">
        <f t="shared" si="59"/>
        <v>2.0800000000000001E-5</v>
      </c>
      <c r="B232">
        <v>2.08</v>
      </c>
      <c r="C232" s="140">
        <f t="shared" si="100"/>
        <v>2.0799999999999993E-7</v>
      </c>
      <c r="D232" s="140">
        <f t="shared" si="100"/>
        <v>4.1599999999999997E-7</v>
      </c>
      <c r="E232" s="140">
        <f t="shared" si="100"/>
        <v>6.2399999999999998E-7</v>
      </c>
      <c r="F232" s="140">
        <f t="shared" si="100"/>
        <v>8.3200000000000004E-7</v>
      </c>
      <c r="G232" s="140">
        <f t="shared" si="100"/>
        <v>1.04E-6</v>
      </c>
      <c r="H232" s="157">
        <f>IF(A232&lt;$B$9*DATA!$H$1037,DATA!$H$1037,IF(A232&gt;DATA!$H$1036*$B$9,DATA!$H$1036,1))</f>
        <v>0.8</v>
      </c>
      <c r="I232" s="156">
        <f t="shared" si="60"/>
        <v>9.9999999999999995E-8</v>
      </c>
      <c r="K232" s="140">
        <f t="shared" si="61"/>
        <v>2.0800000000000001E-5</v>
      </c>
      <c r="L232">
        <v>2.08</v>
      </c>
      <c r="M232" s="140">
        <f t="shared" si="62"/>
        <v>2.0799999999999993E-7</v>
      </c>
      <c r="N232" s="140">
        <f t="shared" si="63"/>
        <v>4.1599999999999997E-7</v>
      </c>
      <c r="O232" s="140">
        <f t="shared" si="64"/>
        <v>6.2399999999999998E-7</v>
      </c>
      <c r="P232" s="140">
        <f t="shared" si="65"/>
        <v>8.3200000000000004E-7</v>
      </c>
      <c r="Q232" s="140">
        <f t="shared" si="66"/>
        <v>1.04E-6</v>
      </c>
      <c r="R232" s="157">
        <f>IF(K232&lt;$B$25*DATA!$H$1037,DATA!$H$1037,IF(K232&gt;DATA!$H$1036*$B$25,DATA!$H$1036,1))</f>
        <v>0.8</v>
      </c>
      <c r="S232" s="156">
        <f t="shared" si="56"/>
        <v>9.9999999999999995E-8</v>
      </c>
      <c r="U232" s="140">
        <f t="shared" si="67"/>
        <v>2.0800000000000001E-5</v>
      </c>
      <c r="V232">
        <v>2.08</v>
      </c>
      <c r="W232" s="140">
        <f t="shared" si="68"/>
        <v>2.0799999999999993E-7</v>
      </c>
      <c r="X232" s="140">
        <f t="shared" si="69"/>
        <v>4.1599999999999997E-7</v>
      </c>
      <c r="Y232" s="140">
        <f t="shared" si="70"/>
        <v>6.2399999999999998E-7</v>
      </c>
      <c r="Z232" s="140">
        <f t="shared" si="71"/>
        <v>8.3200000000000004E-7</v>
      </c>
      <c r="AA232" s="140">
        <f t="shared" si="72"/>
        <v>1.04E-6</v>
      </c>
      <c r="AB232" s="157">
        <f>IF(U232&lt;$B$41*DATA!$H$1037,DATA!$H$1037,IF(U232&gt;DATA!$H$1036*$B$41,DATA!$H$1036,1))</f>
        <v>0.8</v>
      </c>
      <c r="AC232" s="156">
        <f t="shared" si="57"/>
        <v>9.9999999999999995E-8</v>
      </c>
      <c r="AE232" s="140">
        <f t="shared" si="73"/>
        <v>2.0800000000000001E-5</v>
      </c>
      <c r="AF232">
        <v>2.08</v>
      </c>
      <c r="AG232" s="140">
        <f t="shared" si="74"/>
        <v>2.0799999999999993E-7</v>
      </c>
      <c r="AH232" s="140">
        <f t="shared" si="75"/>
        <v>4.1599999999999997E-7</v>
      </c>
      <c r="AI232" s="140">
        <f t="shared" si="76"/>
        <v>6.2399999999999998E-7</v>
      </c>
      <c r="AJ232" s="140">
        <f t="shared" si="77"/>
        <v>8.3200000000000004E-7</v>
      </c>
      <c r="AK232" s="140">
        <f t="shared" si="78"/>
        <v>1.04E-6</v>
      </c>
      <c r="AL232" s="157">
        <f>IF(AE232&lt;$B$57*DATA!$H$1037,DATA!$H$1037,IF(AE232&gt;DATA!$H$1036*$B$57,DATA!$H$1036,1))</f>
        <v>1.2</v>
      </c>
      <c r="AM232" s="156">
        <f t="shared" si="58"/>
        <v>9.9999999999999995E-8</v>
      </c>
      <c r="AO232" s="140">
        <f t="shared" si="79"/>
        <v>2.0800000000000001E-5</v>
      </c>
      <c r="AP232">
        <v>2.08</v>
      </c>
      <c r="AQ232" s="140">
        <f t="shared" si="80"/>
        <v>2.0799999999999993E-7</v>
      </c>
      <c r="AR232" s="140">
        <f t="shared" si="81"/>
        <v>4.1599999999999997E-7</v>
      </c>
      <c r="AS232" s="140">
        <f t="shared" si="82"/>
        <v>6.2399999999999998E-7</v>
      </c>
      <c r="AT232" s="140">
        <f t="shared" si="83"/>
        <v>8.3200000000000004E-7</v>
      </c>
      <c r="AU232" s="140">
        <f t="shared" si="84"/>
        <v>1.04E-6</v>
      </c>
      <c r="AV232" s="157">
        <f>IF(AO232&lt;$B$73*DATA!$H$1037,DATA!$H$1037,IF(AO232&gt;DATA!$H$1036*$B$73,DATA!$H$1036,1))</f>
        <v>1.2</v>
      </c>
      <c r="AW232" s="156">
        <f t="shared" si="85"/>
        <v>9.9999999999999995E-8</v>
      </c>
      <c r="AY232" s="140">
        <f t="shared" si="86"/>
        <v>2.0800000000000001E-5</v>
      </c>
      <c r="AZ232">
        <v>2.08</v>
      </c>
      <c r="BA232" s="140">
        <f t="shared" si="87"/>
        <v>2.0799999999999993E-7</v>
      </c>
      <c r="BB232" s="140">
        <f t="shared" si="88"/>
        <v>4.1599999999999997E-7</v>
      </c>
      <c r="BC232" s="140">
        <f t="shared" si="89"/>
        <v>6.2399999999999998E-7</v>
      </c>
      <c r="BD232" s="140">
        <f t="shared" si="90"/>
        <v>8.3200000000000004E-7</v>
      </c>
      <c r="BE232" s="140">
        <f t="shared" si="91"/>
        <v>1.04E-6</v>
      </c>
      <c r="BF232" s="157">
        <f>IF(AY232&lt;$B$89*DATA!$H$1037,DATA!$H$1037,IF(AY232&gt;DATA!$H$1036*$B$89,DATA!$H$1036,1))</f>
        <v>1.2</v>
      </c>
      <c r="BG232" s="156">
        <f t="shared" si="92"/>
        <v>9.9999999999999995E-8</v>
      </c>
      <c r="BI232" s="140">
        <f t="shared" si="93"/>
        <v>2.0800000000000001E-5</v>
      </c>
      <c r="BJ232">
        <v>2.08</v>
      </c>
      <c r="BK232" s="140">
        <f t="shared" si="94"/>
        <v>2.0799999999999993E-7</v>
      </c>
      <c r="BL232" s="140">
        <f t="shared" si="95"/>
        <v>4.1599999999999997E-7</v>
      </c>
      <c r="BM232" s="140">
        <f t="shared" si="96"/>
        <v>6.2399999999999998E-7</v>
      </c>
      <c r="BN232" s="140">
        <f t="shared" si="97"/>
        <v>8.3200000000000004E-7</v>
      </c>
      <c r="BO232" s="140">
        <f t="shared" si="98"/>
        <v>1.04E-6</v>
      </c>
      <c r="BP232" s="157">
        <f>IF(BI232&lt;$B$105*DATA!$H$1037,DATA!$H$1037,IF(BI232&gt;DATA!$H$1036*$B$105,DATA!$H$1036,1))</f>
        <v>1.2</v>
      </c>
      <c r="BQ232" s="156">
        <f t="shared" si="99"/>
        <v>9.9999999999999995E-8</v>
      </c>
    </row>
    <row r="233" spans="1:69">
      <c r="A233" s="140">
        <f t="shared" si="59"/>
        <v>2.1000000000000002E-5</v>
      </c>
      <c r="B233">
        <v>2.1</v>
      </c>
      <c r="C233" s="140">
        <f t="shared" si="100"/>
        <v>2.0999999999999995E-7</v>
      </c>
      <c r="D233" s="140">
        <f t="shared" si="100"/>
        <v>4.2E-7</v>
      </c>
      <c r="E233" s="140">
        <f t="shared" si="100"/>
        <v>6.3E-7</v>
      </c>
      <c r="F233" s="140">
        <f t="shared" si="100"/>
        <v>8.4000000000000011E-7</v>
      </c>
      <c r="G233" s="140">
        <f t="shared" si="100"/>
        <v>1.0500000000000001E-6</v>
      </c>
      <c r="H233" s="157">
        <f>IF(A233&lt;$B$9*DATA!$H$1037,DATA!$H$1037,IF(A233&gt;DATA!$H$1036*$B$9,DATA!$H$1036,1))</f>
        <v>0.8</v>
      </c>
      <c r="I233" s="156">
        <f t="shared" si="60"/>
        <v>9.9999999999999995E-8</v>
      </c>
      <c r="K233" s="140">
        <f t="shared" si="61"/>
        <v>2.1000000000000002E-5</v>
      </c>
      <c r="L233">
        <v>2.1</v>
      </c>
      <c r="M233" s="140">
        <f t="shared" si="62"/>
        <v>2.0999999999999995E-7</v>
      </c>
      <c r="N233" s="140">
        <f t="shared" si="63"/>
        <v>4.2E-7</v>
      </c>
      <c r="O233" s="140">
        <f t="shared" si="64"/>
        <v>6.3E-7</v>
      </c>
      <c r="P233" s="140">
        <f t="shared" si="65"/>
        <v>8.4000000000000011E-7</v>
      </c>
      <c r="Q233" s="140">
        <f t="shared" si="66"/>
        <v>1.0500000000000001E-6</v>
      </c>
      <c r="R233" s="157">
        <f>IF(K233&lt;$B$25*DATA!$H$1037,DATA!$H$1037,IF(K233&gt;DATA!$H$1036*$B$25,DATA!$H$1036,1))</f>
        <v>0.8</v>
      </c>
      <c r="S233" s="156">
        <f t="shared" si="56"/>
        <v>9.9999999999999995E-8</v>
      </c>
      <c r="U233" s="140">
        <f t="shared" si="67"/>
        <v>2.1000000000000002E-5</v>
      </c>
      <c r="V233">
        <v>2.1</v>
      </c>
      <c r="W233" s="140">
        <f t="shared" si="68"/>
        <v>2.0999999999999995E-7</v>
      </c>
      <c r="X233" s="140">
        <f t="shared" si="69"/>
        <v>4.2E-7</v>
      </c>
      <c r="Y233" s="140">
        <f t="shared" si="70"/>
        <v>6.3E-7</v>
      </c>
      <c r="Z233" s="140">
        <f t="shared" si="71"/>
        <v>8.4000000000000011E-7</v>
      </c>
      <c r="AA233" s="140">
        <f t="shared" si="72"/>
        <v>1.0500000000000001E-6</v>
      </c>
      <c r="AB233" s="157">
        <f>IF(U233&lt;$B$41*DATA!$H$1037,DATA!$H$1037,IF(U233&gt;DATA!$H$1036*$B$41,DATA!$H$1036,1))</f>
        <v>0.8</v>
      </c>
      <c r="AC233" s="156">
        <f t="shared" si="57"/>
        <v>9.9999999999999995E-8</v>
      </c>
      <c r="AE233" s="140">
        <f t="shared" si="73"/>
        <v>2.1000000000000002E-5</v>
      </c>
      <c r="AF233">
        <v>2.1</v>
      </c>
      <c r="AG233" s="140">
        <f t="shared" si="74"/>
        <v>2.0999999999999995E-7</v>
      </c>
      <c r="AH233" s="140">
        <f t="shared" si="75"/>
        <v>4.2E-7</v>
      </c>
      <c r="AI233" s="140">
        <f t="shared" si="76"/>
        <v>6.3E-7</v>
      </c>
      <c r="AJ233" s="140">
        <f t="shared" si="77"/>
        <v>8.4000000000000011E-7</v>
      </c>
      <c r="AK233" s="140">
        <f t="shared" si="78"/>
        <v>1.0500000000000001E-6</v>
      </c>
      <c r="AL233" s="157">
        <f>IF(AE233&lt;$B$57*DATA!$H$1037,DATA!$H$1037,IF(AE233&gt;DATA!$H$1036*$B$57,DATA!$H$1036,1))</f>
        <v>1.2</v>
      </c>
      <c r="AM233" s="156">
        <f t="shared" si="58"/>
        <v>9.9999999999999995E-8</v>
      </c>
      <c r="AO233" s="140">
        <f t="shared" si="79"/>
        <v>2.1000000000000002E-5</v>
      </c>
      <c r="AP233">
        <v>2.1</v>
      </c>
      <c r="AQ233" s="140">
        <f t="shared" si="80"/>
        <v>2.0999999999999995E-7</v>
      </c>
      <c r="AR233" s="140">
        <f t="shared" si="81"/>
        <v>4.2E-7</v>
      </c>
      <c r="AS233" s="140">
        <f t="shared" si="82"/>
        <v>6.3E-7</v>
      </c>
      <c r="AT233" s="140">
        <f t="shared" si="83"/>
        <v>8.4000000000000011E-7</v>
      </c>
      <c r="AU233" s="140">
        <f t="shared" si="84"/>
        <v>1.0500000000000001E-6</v>
      </c>
      <c r="AV233" s="157">
        <f>IF(AO233&lt;$B$73*DATA!$H$1037,DATA!$H$1037,IF(AO233&gt;DATA!$H$1036*$B$73,DATA!$H$1036,1))</f>
        <v>1.2</v>
      </c>
      <c r="AW233" s="156">
        <f t="shared" si="85"/>
        <v>9.9999999999999995E-8</v>
      </c>
      <c r="AY233" s="140">
        <f t="shared" si="86"/>
        <v>2.1000000000000002E-5</v>
      </c>
      <c r="AZ233">
        <v>2.1</v>
      </c>
      <c r="BA233" s="140">
        <f t="shared" si="87"/>
        <v>2.0999999999999995E-7</v>
      </c>
      <c r="BB233" s="140">
        <f t="shared" si="88"/>
        <v>4.2E-7</v>
      </c>
      <c r="BC233" s="140">
        <f t="shared" si="89"/>
        <v>6.3E-7</v>
      </c>
      <c r="BD233" s="140">
        <f t="shared" si="90"/>
        <v>8.4000000000000011E-7</v>
      </c>
      <c r="BE233" s="140">
        <f t="shared" si="91"/>
        <v>1.0500000000000001E-6</v>
      </c>
      <c r="BF233" s="157">
        <f>IF(AY233&lt;$B$89*DATA!$H$1037,DATA!$H$1037,IF(AY233&gt;DATA!$H$1036*$B$89,DATA!$H$1036,1))</f>
        <v>1.2</v>
      </c>
      <c r="BG233" s="156">
        <f t="shared" si="92"/>
        <v>9.9999999999999995E-8</v>
      </c>
      <c r="BI233" s="140">
        <f t="shared" si="93"/>
        <v>2.1000000000000002E-5</v>
      </c>
      <c r="BJ233">
        <v>2.1</v>
      </c>
      <c r="BK233" s="140">
        <f t="shared" si="94"/>
        <v>2.0999999999999995E-7</v>
      </c>
      <c r="BL233" s="140">
        <f t="shared" si="95"/>
        <v>4.2E-7</v>
      </c>
      <c r="BM233" s="140">
        <f t="shared" si="96"/>
        <v>6.3E-7</v>
      </c>
      <c r="BN233" s="140">
        <f t="shared" si="97"/>
        <v>8.4000000000000011E-7</v>
      </c>
      <c r="BO233" s="140">
        <f t="shared" si="98"/>
        <v>1.0500000000000001E-6</v>
      </c>
      <c r="BP233" s="157">
        <f>IF(BI233&lt;$B$105*DATA!$H$1037,DATA!$H$1037,IF(BI233&gt;DATA!$H$1036*$B$105,DATA!$H$1036,1))</f>
        <v>1.2</v>
      </c>
      <c r="BQ233" s="156">
        <f t="shared" si="99"/>
        <v>9.9999999999999995E-8</v>
      </c>
    </row>
    <row r="234" spans="1:69">
      <c r="A234" s="140">
        <f t="shared" si="59"/>
        <v>2.1200000000000004E-5</v>
      </c>
      <c r="B234">
        <v>2.12</v>
      </c>
      <c r="C234" s="140">
        <f t="shared" si="100"/>
        <v>2.1199999999999997E-7</v>
      </c>
      <c r="D234" s="140">
        <f t="shared" si="100"/>
        <v>4.2399999999999999E-7</v>
      </c>
      <c r="E234" s="140">
        <f t="shared" si="100"/>
        <v>6.3600000000000014E-7</v>
      </c>
      <c r="F234" s="140">
        <f t="shared" si="100"/>
        <v>8.4800000000000018E-7</v>
      </c>
      <c r="G234" s="140">
        <f t="shared" si="100"/>
        <v>1.0600000000000002E-6</v>
      </c>
      <c r="H234" s="157">
        <f>IF(A234&lt;$B$9*DATA!$H$1037,DATA!$H$1037,IF(A234&gt;DATA!$H$1036*$B$9,DATA!$H$1036,1))</f>
        <v>0.8</v>
      </c>
      <c r="I234" s="156">
        <f t="shared" si="60"/>
        <v>9.9999999999999995E-8</v>
      </c>
      <c r="K234" s="140">
        <f t="shared" si="61"/>
        <v>2.1200000000000004E-5</v>
      </c>
      <c r="L234">
        <v>2.12</v>
      </c>
      <c r="M234" s="140">
        <f t="shared" si="62"/>
        <v>2.1199999999999997E-7</v>
      </c>
      <c r="N234" s="140">
        <f t="shared" si="63"/>
        <v>4.2399999999999999E-7</v>
      </c>
      <c r="O234" s="140">
        <f t="shared" si="64"/>
        <v>6.3600000000000014E-7</v>
      </c>
      <c r="P234" s="140">
        <f t="shared" si="65"/>
        <v>8.4800000000000018E-7</v>
      </c>
      <c r="Q234" s="140">
        <f t="shared" si="66"/>
        <v>1.0600000000000002E-6</v>
      </c>
      <c r="R234" s="157">
        <f>IF(K234&lt;$B$25*DATA!$H$1037,DATA!$H$1037,IF(K234&gt;DATA!$H$1036*$B$25,DATA!$H$1036,1))</f>
        <v>0.8</v>
      </c>
      <c r="S234" s="156">
        <f t="shared" si="56"/>
        <v>9.9999999999999995E-8</v>
      </c>
      <c r="U234" s="140">
        <f t="shared" si="67"/>
        <v>2.1200000000000004E-5</v>
      </c>
      <c r="V234">
        <v>2.12</v>
      </c>
      <c r="W234" s="140">
        <f t="shared" si="68"/>
        <v>2.1199999999999997E-7</v>
      </c>
      <c r="X234" s="140">
        <f t="shared" si="69"/>
        <v>4.2399999999999999E-7</v>
      </c>
      <c r="Y234" s="140">
        <f t="shared" si="70"/>
        <v>6.3600000000000014E-7</v>
      </c>
      <c r="Z234" s="140">
        <f t="shared" si="71"/>
        <v>8.4800000000000018E-7</v>
      </c>
      <c r="AA234" s="140">
        <f t="shared" si="72"/>
        <v>1.0600000000000002E-6</v>
      </c>
      <c r="AB234" s="157">
        <f>IF(U234&lt;$B$41*DATA!$H$1037,DATA!$H$1037,IF(U234&gt;DATA!$H$1036*$B$41,DATA!$H$1036,1))</f>
        <v>0.8</v>
      </c>
      <c r="AC234" s="156">
        <f t="shared" si="57"/>
        <v>9.9999999999999995E-8</v>
      </c>
      <c r="AE234" s="140">
        <f t="shared" si="73"/>
        <v>2.1200000000000004E-5</v>
      </c>
      <c r="AF234">
        <v>2.12</v>
      </c>
      <c r="AG234" s="140">
        <f t="shared" si="74"/>
        <v>2.1199999999999997E-7</v>
      </c>
      <c r="AH234" s="140">
        <f t="shared" si="75"/>
        <v>4.2399999999999999E-7</v>
      </c>
      <c r="AI234" s="140">
        <f t="shared" si="76"/>
        <v>6.3600000000000014E-7</v>
      </c>
      <c r="AJ234" s="140">
        <f t="shared" si="77"/>
        <v>8.4800000000000018E-7</v>
      </c>
      <c r="AK234" s="140">
        <f t="shared" si="78"/>
        <v>1.0600000000000002E-6</v>
      </c>
      <c r="AL234" s="157">
        <f>IF(AE234&lt;$B$57*DATA!$H$1037,DATA!$H$1037,IF(AE234&gt;DATA!$H$1036*$B$57,DATA!$H$1036,1))</f>
        <v>1.2</v>
      </c>
      <c r="AM234" s="156">
        <f t="shared" si="58"/>
        <v>9.9999999999999995E-8</v>
      </c>
      <c r="AO234" s="140">
        <f t="shared" si="79"/>
        <v>2.1200000000000004E-5</v>
      </c>
      <c r="AP234">
        <v>2.12</v>
      </c>
      <c r="AQ234" s="140">
        <f t="shared" si="80"/>
        <v>2.1199999999999997E-7</v>
      </c>
      <c r="AR234" s="140">
        <f t="shared" si="81"/>
        <v>4.2399999999999999E-7</v>
      </c>
      <c r="AS234" s="140">
        <f t="shared" si="82"/>
        <v>6.3600000000000014E-7</v>
      </c>
      <c r="AT234" s="140">
        <f t="shared" si="83"/>
        <v>8.4800000000000018E-7</v>
      </c>
      <c r="AU234" s="140">
        <f t="shared" si="84"/>
        <v>1.0600000000000002E-6</v>
      </c>
      <c r="AV234" s="157">
        <f>IF(AO234&lt;$B$73*DATA!$H$1037,DATA!$H$1037,IF(AO234&gt;DATA!$H$1036*$B$73,DATA!$H$1036,1))</f>
        <v>1.2</v>
      </c>
      <c r="AW234" s="156">
        <f t="shared" si="85"/>
        <v>9.9999999999999995E-8</v>
      </c>
      <c r="AY234" s="140">
        <f t="shared" si="86"/>
        <v>2.1200000000000004E-5</v>
      </c>
      <c r="AZ234">
        <v>2.12</v>
      </c>
      <c r="BA234" s="140">
        <f t="shared" si="87"/>
        <v>2.1199999999999997E-7</v>
      </c>
      <c r="BB234" s="140">
        <f t="shared" si="88"/>
        <v>4.2399999999999999E-7</v>
      </c>
      <c r="BC234" s="140">
        <f t="shared" si="89"/>
        <v>6.3600000000000014E-7</v>
      </c>
      <c r="BD234" s="140">
        <f t="shared" si="90"/>
        <v>8.4800000000000018E-7</v>
      </c>
      <c r="BE234" s="140">
        <f t="shared" si="91"/>
        <v>1.0600000000000002E-6</v>
      </c>
      <c r="BF234" s="157">
        <f>IF(AY234&lt;$B$89*DATA!$H$1037,DATA!$H$1037,IF(AY234&gt;DATA!$H$1036*$B$89,DATA!$H$1036,1))</f>
        <v>1.2</v>
      </c>
      <c r="BG234" s="156">
        <f t="shared" si="92"/>
        <v>9.9999999999999995E-8</v>
      </c>
      <c r="BI234" s="140">
        <f t="shared" si="93"/>
        <v>2.1200000000000004E-5</v>
      </c>
      <c r="BJ234">
        <v>2.12</v>
      </c>
      <c r="BK234" s="140">
        <f t="shared" si="94"/>
        <v>2.1199999999999997E-7</v>
      </c>
      <c r="BL234" s="140">
        <f t="shared" si="95"/>
        <v>4.2399999999999999E-7</v>
      </c>
      <c r="BM234" s="140">
        <f t="shared" si="96"/>
        <v>6.3600000000000014E-7</v>
      </c>
      <c r="BN234" s="140">
        <f t="shared" si="97"/>
        <v>8.4800000000000018E-7</v>
      </c>
      <c r="BO234" s="140">
        <f t="shared" si="98"/>
        <v>1.0600000000000002E-6</v>
      </c>
      <c r="BP234" s="157">
        <f>IF(BI234&lt;$B$105*DATA!$H$1037,DATA!$H$1037,IF(BI234&gt;DATA!$H$1036*$B$105,DATA!$H$1036,1))</f>
        <v>1.2</v>
      </c>
      <c r="BQ234" s="156">
        <f t="shared" si="99"/>
        <v>9.9999999999999995E-8</v>
      </c>
    </row>
    <row r="235" spans="1:69">
      <c r="A235" s="140">
        <f t="shared" si="59"/>
        <v>2.1400000000000002E-5</v>
      </c>
      <c r="B235">
        <v>2.14</v>
      </c>
      <c r="C235" s="140">
        <f t="shared" si="100"/>
        <v>2.1399999999999996E-7</v>
      </c>
      <c r="D235" s="140">
        <f t="shared" si="100"/>
        <v>4.2799999999999997E-7</v>
      </c>
      <c r="E235" s="140">
        <f t="shared" si="100"/>
        <v>6.4200000000000006E-7</v>
      </c>
      <c r="F235" s="140">
        <f t="shared" si="100"/>
        <v>8.5600000000000004E-7</v>
      </c>
      <c r="G235" s="140">
        <f t="shared" si="100"/>
        <v>1.0700000000000001E-6</v>
      </c>
      <c r="H235" s="157">
        <f>IF(A235&lt;$B$9*DATA!$H$1037,DATA!$H$1037,IF(A235&gt;DATA!$H$1036*$B$9,DATA!$H$1036,1))</f>
        <v>0.8</v>
      </c>
      <c r="I235" s="156">
        <f t="shared" si="60"/>
        <v>9.9999999999999995E-8</v>
      </c>
      <c r="K235" s="140">
        <f t="shared" si="61"/>
        <v>2.1400000000000002E-5</v>
      </c>
      <c r="L235">
        <v>2.14</v>
      </c>
      <c r="M235" s="140">
        <f t="shared" si="62"/>
        <v>2.1399999999999996E-7</v>
      </c>
      <c r="N235" s="140">
        <f t="shared" si="63"/>
        <v>4.2799999999999997E-7</v>
      </c>
      <c r="O235" s="140">
        <f t="shared" si="64"/>
        <v>6.4200000000000006E-7</v>
      </c>
      <c r="P235" s="140">
        <f t="shared" si="65"/>
        <v>8.5600000000000004E-7</v>
      </c>
      <c r="Q235" s="140">
        <f t="shared" si="66"/>
        <v>1.0700000000000001E-6</v>
      </c>
      <c r="R235" s="157">
        <f>IF(K235&lt;$B$25*DATA!$H$1037,DATA!$H$1037,IF(K235&gt;DATA!$H$1036*$B$25,DATA!$H$1036,1))</f>
        <v>0.8</v>
      </c>
      <c r="S235" s="156">
        <f t="shared" si="56"/>
        <v>9.9999999999999995E-8</v>
      </c>
      <c r="U235" s="140">
        <f t="shared" si="67"/>
        <v>2.1400000000000002E-5</v>
      </c>
      <c r="V235">
        <v>2.14</v>
      </c>
      <c r="W235" s="140">
        <f t="shared" si="68"/>
        <v>2.1399999999999996E-7</v>
      </c>
      <c r="X235" s="140">
        <f t="shared" si="69"/>
        <v>4.2799999999999997E-7</v>
      </c>
      <c r="Y235" s="140">
        <f t="shared" si="70"/>
        <v>6.4200000000000006E-7</v>
      </c>
      <c r="Z235" s="140">
        <f t="shared" si="71"/>
        <v>8.5600000000000004E-7</v>
      </c>
      <c r="AA235" s="140">
        <f t="shared" si="72"/>
        <v>1.0700000000000001E-6</v>
      </c>
      <c r="AB235" s="157">
        <f>IF(U235&lt;$B$41*DATA!$H$1037,DATA!$H$1037,IF(U235&gt;DATA!$H$1036*$B$41,DATA!$H$1036,1))</f>
        <v>0.8</v>
      </c>
      <c r="AC235" s="156">
        <f t="shared" si="57"/>
        <v>9.9999999999999995E-8</v>
      </c>
      <c r="AE235" s="140">
        <f t="shared" si="73"/>
        <v>2.1400000000000002E-5</v>
      </c>
      <c r="AF235">
        <v>2.14</v>
      </c>
      <c r="AG235" s="140">
        <f t="shared" si="74"/>
        <v>2.1399999999999996E-7</v>
      </c>
      <c r="AH235" s="140">
        <f t="shared" si="75"/>
        <v>4.2799999999999997E-7</v>
      </c>
      <c r="AI235" s="140">
        <f t="shared" si="76"/>
        <v>6.4200000000000006E-7</v>
      </c>
      <c r="AJ235" s="140">
        <f t="shared" si="77"/>
        <v>8.5600000000000004E-7</v>
      </c>
      <c r="AK235" s="140">
        <f t="shared" si="78"/>
        <v>1.0700000000000001E-6</v>
      </c>
      <c r="AL235" s="157">
        <f>IF(AE235&lt;$B$57*DATA!$H$1037,DATA!$H$1037,IF(AE235&gt;DATA!$H$1036*$B$57,DATA!$H$1036,1))</f>
        <v>1.2</v>
      </c>
      <c r="AM235" s="156">
        <f t="shared" si="58"/>
        <v>9.9999999999999995E-8</v>
      </c>
      <c r="AO235" s="140">
        <f t="shared" si="79"/>
        <v>2.1400000000000002E-5</v>
      </c>
      <c r="AP235">
        <v>2.14</v>
      </c>
      <c r="AQ235" s="140">
        <f t="shared" si="80"/>
        <v>2.1399999999999996E-7</v>
      </c>
      <c r="AR235" s="140">
        <f t="shared" si="81"/>
        <v>4.2799999999999997E-7</v>
      </c>
      <c r="AS235" s="140">
        <f t="shared" si="82"/>
        <v>6.4200000000000006E-7</v>
      </c>
      <c r="AT235" s="140">
        <f t="shared" si="83"/>
        <v>8.5600000000000004E-7</v>
      </c>
      <c r="AU235" s="140">
        <f t="shared" si="84"/>
        <v>1.0700000000000001E-6</v>
      </c>
      <c r="AV235" s="157">
        <f>IF(AO235&lt;$B$73*DATA!$H$1037,DATA!$H$1037,IF(AO235&gt;DATA!$H$1036*$B$73,DATA!$H$1036,1))</f>
        <v>1.2</v>
      </c>
      <c r="AW235" s="156">
        <f t="shared" si="85"/>
        <v>9.9999999999999995E-8</v>
      </c>
      <c r="AY235" s="140">
        <f t="shared" si="86"/>
        <v>2.1400000000000002E-5</v>
      </c>
      <c r="AZ235">
        <v>2.14</v>
      </c>
      <c r="BA235" s="140">
        <f t="shared" si="87"/>
        <v>2.1399999999999996E-7</v>
      </c>
      <c r="BB235" s="140">
        <f t="shared" si="88"/>
        <v>4.2799999999999997E-7</v>
      </c>
      <c r="BC235" s="140">
        <f t="shared" si="89"/>
        <v>6.4200000000000006E-7</v>
      </c>
      <c r="BD235" s="140">
        <f t="shared" si="90"/>
        <v>8.5600000000000004E-7</v>
      </c>
      <c r="BE235" s="140">
        <f t="shared" si="91"/>
        <v>1.0700000000000001E-6</v>
      </c>
      <c r="BF235" s="157">
        <f>IF(AY235&lt;$B$89*DATA!$H$1037,DATA!$H$1037,IF(AY235&gt;DATA!$H$1036*$B$89,DATA!$H$1036,1))</f>
        <v>1.2</v>
      </c>
      <c r="BG235" s="156">
        <f t="shared" si="92"/>
        <v>9.9999999999999995E-8</v>
      </c>
      <c r="BI235" s="140">
        <f t="shared" si="93"/>
        <v>2.1400000000000002E-5</v>
      </c>
      <c r="BJ235">
        <v>2.14</v>
      </c>
      <c r="BK235" s="140">
        <f t="shared" si="94"/>
        <v>2.1399999999999996E-7</v>
      </c>
      <c r="BL235" s="140">
        <f t="shared" si="95"/>
        <v>4.2799999999999997E-7</v>
      </c>
      <c r="BM235" s="140">
        <f t="shared" si="96"/>
        <v>6.4200000000000006E-7</v>
      </c>
      <c r="BN235" s="140">
        <f t="shared" si="97"/>
        <v>8.5600000000000004E-7</v>
      </c>
      <c r="BO235" s="140">
        <f t="shared" si="98"/>
        <v>1.0700000000000001E-6</v>
      </c>
      <c r="BP235" s="157">
        <f>IF(BI235&lt;$B$105*DATA!$H$1037,DATA!$H$1037,IF(BI235&gt;DATA!$H$1036*$B$105,DATA!$H$1036,1))</f>
        <v>1.2</v>
      </c>
      <c r="BQ235" s="156">
        <f t="shared" si="99"/>
        <v>9.9999999999999995E-8</v>
      </c>
    </row>
    <row r="236" spans="1:69">
      <c r="A236" s="140">
        <f t="shared" si="59"/>
        <v>2.1600000000000003E-5</v>
      </c>
      <c r="B236">
        <v>2.16</v>
      </c>
      <c r="C236" s="140">
        <f t="shared" si="100"/>
        <v>2.1599999999999995E-7</v>
      </c>
      <c r="D236" s="140">
        <f t="shared" si="100"/>
        <v>4.32E-7</v>
      </c>
      <c r="E236" s="140">
        <f t="shared" si="100"/>
        <v>6.4800000000000009E-7</v>
      </c>
      <c r="F236" s="140">
        <f t="shared" si="100"/>
        <v>8.6400000000000011E-7</v>
      </c>
      <c r="G236" s="140">
        <f t="shared" si="100"/>
        <v>1.0800000000000002E-6</v>
      </c>
      <c r="H236" s="157">
        <f>IF(A236&lt;$B$9*DATA!$H$1037,DATA!$H$1037,IF(A236&gt;DATA!$H$1036*$B$9,DATA!$H$1036,1))</f>
        <v>0.8</v>
      </c>
      <c r="I236" s="156">
        <f t="shared" si="60"/>
        <v>9.9999999999999995E-8</v>
      </c>
      <c r="K236" s="140">
        <f t="shared" si="61"/>
        <v>2.1600000000000003E-5</v>
      </c>
      <c r="L236">
        <v>2.16</v>
      </c>
      <c r="M236" s="140">
        <f t="shared" si="62"/>
        <v>2.1599999999999995E-7</v>
      </c>
      <c r="N236" s="140">
        <f t="shared" si="63"/>
        <v>4.32E-7</v>
      </c>
      <c r="O236" s="140">
        <f t="shared" si="64"/>
        <v>6.4800000000000009E-7</v>
      </c>
      <c r="P236" s="140">
        <f t="shared" si="65"/>
        <v>8.6400000000000011E-7</v>
      </c>
      <c r="Q236" s="140">
        <f t="shared" si="66"/>
        <v>1.0800000000000002E-6</v>
      </c>
      <c r="R236" s="157">
        <f>IF(K236&lt;$B$25*DATA!$H$1037,DATA!$H$1037,IF(K236&gt;DATA!$H$1036*$B$25,DATA!$H$1036,1))</f>
        <v>0.8</v>
      </c>
      <c r="S236" s="156">
        <f t="shared" si="56"/>
        <v>9.9999999999999995E-8</v>
      </c>
      <c r="U236" s="140">
        <f t="shared" si="67"/>
        <v>2.1600000000000003E-5</v>
      </c>
      <c r="V236">
        <v>2.16</v>
      </c>
      <c r="W236" s="140">
        <f t="shared" si="68"/>
        <v>2.1599999999999995E-7</v>
      </c>
      <c r="X236" s="140">
        <f t="shared" si="69"/>
        <v>4.32E-7</v>
      </c>
      <c r="Y236" s="140">
        <f t="shared" si="70"/>
        <v>6.4800000000000009E-7</v>
      </c>
      <c r="Z236" s="140">
        <f t="shared" si="71"/>
        <v>8.6400000000000011E-7</v>
      </c>
      <c r="AA236" s="140">
        <f t="shared" si="72"/>
        <v>1.0800000000000002E-6</v>
      </c>
      <c r="AB236" s="157">
        <f>IF(U236&lt;$B$41*DATA!$H$1037,DATA!$H$1037,IF(U236&gt;DATA!$H$1036*$B$41,DATA!$H$1036,1))</f>
        <v>0.8</v>
      </c>
      <c r="AC236" s="156">
        <f t="shared" si="57"/>
        <v>9.9999999999999995E-8</v>
      </c>
      <c r="AE236" s="140">
        <f t="shared" si="73"/>
        <v>2.1600000000000003E-5</v>
      </c>
      <c r="AF236">
        <v>2.16</v>
      </c>
      <c r="AG236" s="140">
        <f t="shared" si="74"/>
        <v>2.1599999999999995E-7</v>
      </c>
      <c r="AH236" s="140">
        <f t="shared" si="75"/>
        <v>4.32E-7</v>
      </c>
      <c r="AI236" s="140">
        <f t="shared" si="76"/>
        <v>6.4800000000000009E-7</v>
      </c>
      <c r="AJ236" s="140">
        <f t="shared" si="77"/>
        <v>8.6400000000000011E-7</v>
      </c>
      <c r="AK236" s="140">
        <f t="shared" si="78"/>
        <v>1.0800000000000002E-6</v>
      </c>
      <c r="AL236" s="157">
        <f>IF(AE236&lt;$B$57*DATA!$H$1037,DATA!$H$1037,IF(AE236&gt;DATA!$H$1036*$B$57,DATA!$H$1036,1))</f>
        <v>1.2</v>
      </c>
      <c r="AM236" s="156">
        <f t="shared" si="58"/>
        <v>9.9999999999999995E-8</v>
      </c>
      <c r="AO236" s="140">
        <f t="shared" si="79"/>
        <v>2.1600000000000003E-5</v>
      </c>
      <c r="AP236">
        <v>2.16</v>
      </c>
      <c r="AQ236" s="140">
        <f t="shared" si="80"/>
        <v>2.1599999999999995E-7</v>
      </c>
      <c r="AR236" s="140">
        <f t="shared" si="81"/>
        <v>4.32E-7</v>
      </c>
      <c r="AS236" s="140">
        <f t="shared" si="82"/>
        <v>6.4800000000000009E-7</v>
      </c>
      <c r="AT236" s="140">
        <f t="shared" si="83"/>
        <v>8.6400000000000011E-7</v>
      </c>
      <c r="AU236" s="140">
        <f t="shared" si="84"/>
        <v>1.0800000000000002E-6</v>
      </c>
      <c r="AV236" s="157">
        <f>IF(AO236&lt;$B$73*DATA!$H$1037,DATA!$H$1037,IF(AO236&gt;DATA!$H$1036*$B$73,DATA!$H$1036,1))</f>
        <v>1.2</v>
      </c>
      <c r="AW236" s="156">
        <f t="shared" si="85"/>
        <v>9.9999999999999995E-8</v>
      </c>
      <c r="AY236" s="140">
        <f t="shared" si="86"/>
        <v>2.1600000000000003E-5</v>
      </c>
      <c r="AZ236">
        <v>2.16</v>
      </c>
      <c r="BA236" s="140">
        <f t="shared" si="87"/>
        <v>2.1599999999999995E-7</v>
      </c>
      <c r="BB236" s="140">
        <f t="shared" si="88"/>
        <v>4.32E-7</v>
      </c>
      <c r="BC236" s="140">
        <f t="shared" si="89"/>
        <v>6.4800000000000009E-7</v>
      </c>
      <c r="BD236" s="140">
        <f t="shared" si="90"/>
        <v>8.6400000000000011E-7</v>
      </c>
      <c r="BE236" s="140">
        <f t="shared" si="91"/>
        <v>1.0800000000000002E-6</v>
      </c>
      <c r="BF236" s="157">
        <f>IF(AY236&lt;$B$89*DATA!$H$1037,DATA!$H$1037,IF(AY236&gt;DATA!$H$1036*$B$89,DATA!$H$1036,1))</f>
        <v>1.2</v>
      </c>
      <c r="BG236" s="156">
        <f t="shared" si="92"/>
        <v>9.9999999999999995E-8</v>
      </c>
      <c r="BI236" s="140">
        <f t="shared" si="93"/>
        <v>2.1600000000000003E-5</v>
      </c>
      <c r="BJ236">
        <v>2.16</v>
      </c>
      <c r="BK236" s="140">
        <f t="shared" si="94"/>
        <v>2.1599999999999995E-7</v>
      </c>
      <c r="BL236" s="140">
        <f t="shared" si="95"/>
        <v>4.32E-7</v>
      </c>
      <c r="BM236" s="140">
        <f t="shared" si="96"/>
        <v>6.4800000000000009E-7</v>
      </c>
      <c r="BN236" s="140">
        <f t="shared" si="97"/>
        <v>8.6400000000000011E-7</v>
      </c>
      <c r="BO236" s="140">
        <f t="shared" si="98"/>
        <v>1.0800000000000002E-6</v>
      </c>
      <c r="BP236" s="157">
        <f>IF(BI236&lt;$B$105*DATA!$H$1037,DATA!$H$1037,IF(BI236&gt;DATA!$H$1036*$B$105,DATA!$H$1036,1))</f>
        <v>1.2</v>
      </c>
      <c r="BQ236" s="156">
        <f t="shared" si="99"/>
        <v>9.9999999999999995E-8</v>
      </c>
    </row>
    <row r="237" spans="1:69">
      <c r="A237" s="140">
        <f t="shared" si="59"/>
        <v>2.1800000000000005E-5</v>
      </c>
      <c r="B237">
        <v>2.1800000000000002</v>
      </c>
      <c r="C237" s="140">
        <f t="shared" si="100"/>
        <v>2.1799999999999997E-7</v>
      </c>
      <c r="D237" s="140">
        <f t="shared" si="100"/>
        <v>4.3600000000000004E-7</v>
      </c>
      <c r="E237" s="140">
        <f t="shared" si="100"/>
        <v>6.5400000000000011E-7</v>
      </c>
      <c r="F237" s="140">
        <f t="shared" si="100"/>
        <v>8.7200000000000019E-7</v>
      </c>
      <c r="G237" s="140">
        <f t="shared" si="100"/>
        <v>1.0900000000000004E-6</v>
      </c>
      <c r="H237" s="157">
        <f>IF(A237&lt;$B$9*DATA!$H$1037,DATA!$H$1037,IF(A237&gt;DATA!$H$1036*$B$9,DATA!$H$1036,1))</f>
        <v>0.8</v>
      </c>
      <c r="I237" s="156">
        <f t="shared" si="60"/>
        <v>9.9999999999999995E-8</v>
      </c>
      <c r="K237" s="140">
        <f t="shared" si="61"/>
        <v>2.1800000000000005E-5</v>
      </c>
      <c r="L237">
        <v>2.1800000000000002</v>
      </c>
      <c r="M237" s="140">
        <f t="shared" si="62"/>
        <v>2.1799999999999997E-7</v>
      </c>
      <c r="N237" s="140">
        <f t="shared" si="63"/>
        <v>4.3600000000000004E-7</v>
      </c>
      <c r="O237" s="140">
        <f t="shared" si="64"/>
        <v>6.5400000000000011E-7</v>
      </c>
      <c r="P237" s="140">
        <f t="shared" si="65"/>
        <v>8.7200000000000019E-7</v>
      </c>
      <c r="Q237" s="140">
        <f t="shared" si="66"/>
        <v>1.0900000000000004E-6</v>
      </c>
      <c r="R237" s="157">
        <f>IF(K237&lt;$B$25*DATA!$H$1037,DATA!$H$1037,IF(K237&gt;DATA!$H$1036*$B$25,DATA!$H$1036,1))</f>
        <v>0.8</v>
      </c>
      <c r="S237" s="156">
        <f t="shared" si="56"/>
        <v>9.9999999999999995E-8</v>
      </c>
      <c r="U237" s="140">
        <f t="shared" si="67"/>
        <v>2.1800000000000005E-5</v>
      </c>
      <c r="V237">
        <v>2.1800000000000002</v>
      </c>
      <c r="W237" s="140">
        <f t="shared" si="68"/>
        <v>2.1799999999999997E-7</v>
      </c>
      <c r="X237" s="140">
        <f t="shared" si="69"/>
        <v>4.3600000000000004E-7</v>
      </c>
      <c r="Y237" s="140">
        <f t="shared" si="70"/>
        <v>6.5400000000000011E-7</v>
      </c>
      <c r="Z237" s="140">
        <f t="shared" si="71"/>
        <v>8.7200000000000019E-7</v>
      </c>
      <c r="AA237" s="140">
        <f t="shared" si="72"/>
        <v>1.0900000000000004E-6</v>
      </c>
      <c r="AB237" s="157">
        <f>IF(U237&lt;$B$41*DATA!$H$1037,DATA!$H$1037,IF(U237&gt;DATA!$H$1036*$B$41,DATA!$H$1036,1))</f>
        <v>0.8</v>
      </c>
      <c r="AC237" s="156">
        <f t="shared" si="57"/>
        <v>9.9999999999999995E-8</v>
      </c>
      <c r="AE237" s="140">
        <f t="shared" si="73"/>
        <v>2.1800000000000005E-5</v>
      </c>
      <c r="AF237">
        <v>2.1800000000000002</v>
      </c>
      <c r="AG237" s="140">
        <f t="shared" si="74"/>
        <v>2.1799999999999997E-7</v>
      </c>
      <c r="AH237" s="140">
        <f t="shared" si="75"/>
        <v>4.3600000000000004E-7</v>
      </c>
      <c r="AI237" s="140">
        <f t="shared" si="76"/>
        <v>6.5400000000000011E-7</v>
      </c>
      <c r="AJ237" s="140">
        <f t="shared" si="77"/>
        <v>8.7200000000000019E-7</v>
      </c>
      <c r="AK237" s="140">
        <f t="shared" si="78"/>
        <v>1.0900000000000004E-6</v>
      </c>
      <c r="AL237" s="157">
        <f>IF(AE237&lt;$B$57*DATA!$H$1037,DATA!$H$1037,IF(AE237&gt;DATA!$H$1036*$B$57,DATA!$H$1036,1))</f>
        <v>1.2</v>
      </c>
      <c r="AM237" s="156">
        <f t="shared" si="58"/>
        <v>9.9999999999999995E-8</v>
      </c>
      <c r="AO237" s="140">
        <f t="shared" si="79"/>
        <v>2.1800000000000005E-5</v>
      </c>
      <c r="AP237">
        <v>2.1800000000000002</v>
      </c>
      <c r="AQ237" s="140">
        <f t="shared" si="80"/>
        <v>2.1799999999999997E-7</v>
      </c>
      <c r="AR237" s="140">
        <f t="shared" si="81"/>
        <v>4.3600000000000004E-7</v>
      </c>
      <c r="AS237" s="140">
        <f t="shared" si="82"/>
        <v>6.5400000000000011E-7</v>
      </c>
      <c r="AT237" s="140">
        <f t="shared" si="83"/>
        <v>8.7200000000000019E-7</v>
      </c>
      <c r="AU237" s="140">
        <f t="shared" si="84"/>
        <v>1.0900000000000004E-6</v>
      </c>
      <c r="AV237" s="157">
        <f>IF(AO237&lt;$B$73*DATA!$H$1037,DATA!$H$1037,IF(AO237&gt;DATA!$H$1036*$B$73,DATA!$H$1036,1))</f>
        <v>1.2</v>
      </c>
      <c r="AW237" s="156">
        <f t="shared" si="85"/>
        <v>9.9999999999999995E-8</v>
      </c>
      <c r="AY237" s="140">
        <f t="shared" si="86"/>
        <v>2.1800000000000005E-5</v>
      </c>
      <c r="AZ237">
        <v>2.1800000000000002</v>
      </c>
      <c r="BA237" s="140">
        <f t="shared" si="87"/>
        <v>2.1799999999999997E-7</v>
      </c>
      <c r="BB237" s="140">
        <f t="shared" si="88"/>
        <v>4.3600000000000004E-7</v>
      </c>
      <c r="BC237" s="140">
        <f t="shared" si="89"/>
        <v>6.5400000000000011E-7</v>
      </c>
      <c r="BD237" s="140">
        <f t="shared" si="90"/>
        <v>8.7200000000000019E-7</v>
      </c>
      <c r="BE237" s="140">
        <f t="shared" si="91"/>
        <v>1.0900000000000004E-6</v>
      </c>
      <c r="BF237" s="157">
        <f>IF(AY237&lt;$B$89*DATA!$H$1037,DATA!$H$1037,IF(AY237&gt;DATA!$H$1036*$B$89,DATA!$H$1036,1))</f>
        <v>1.2</v>
      </c>
      <c r="BG237" s="156">
        <f t="shared" si="92"/>
        <v>9.9999999999999995E-8</v>
      </c>
      <c r="BI237" s="140">
        <f t="shared" si="93"/>
        <v>2.1800000000000005E-5</v>
      </c>
      <c r="BJ237">
        <v>2.1800000000000002</v>
      </c>
      <c r="BK237" s="140">
        <f t="shared" si="94"/>
        <v>2.1799999999999997E-7</v>
      </c>
      <c r="BL237" s="140">
        <f t="shared" si="95"/>
        <v>4.3600000000000004E-7</v>
      </c>
      <c r="BM237" s="140">
        <f t="shared" si="96"/>
        <v>6.5400000000000011E-7</v>
      </c>
      <c r="BN237" s="140">
        <f t="shared" si="97"/>
        <v>8.7200000000000019E-7</v>
      </c>
      <c r="BO237" s="140">
        <f t="shared" si="98"/>
        <v>1.0900000000000004E-6</v>
      </c>
      <c r="BP237" s="157">
        <f>IF(BI237&lt;$B$105*DATA!$H$1037,DATA!$H$1037,IF(BI237&gt;DATA!$H$1036*$B$105,DATA!$H$1036,1))</f>
        <v>1.2</v>
      </c>
      <c r="BQ237" s="156">
        <f t="shared" si="99"/>
        <v>9.9999999999999995E-8</v>
      </c>
    </row>
    <row r="238" spans="1:69">
      <c r="A238" s="140">
        <f t="shared" si="59"/>
        <v>2.2000000000000003E-5</v>
      </c>
      <c r="B238">
        <v>2.2000000000000002</v>
      </c>
      <c r="C238" s="140">
        <f t="shared" si="100"/>
        <v>2.1999999999999996E-7</v>
      </c>
      <c r="D238" s="140">
        <f t="shared" si="100"/>
        <v>4.3999999999999997E-7</v>
      </c>
      <c r="E238" s="140">
        <f t="shared" si="100"/>
        <v>6.6000000000000003E-7</v>
      </c>
      <c r="F238" s="140">
        <f t="shared" si="100"/>
        <v>8.8000000000000015E-7</v>
      </c>
      <c r="G238" s="140">
        <f t="shared" si="100"/>
        <v>1.1000000000000003E-6</v>
      </c>
      <c r="H238" s="157">
        <f>IF(A238&lt;$B$9*DATA!$H$1037,DATA!$H$1037,IF(A238&gt;DATA!$H$1036*$B$9,DATA!$H$1036,1))</f>
        <v>0.8</v>
      </c>
      <c r="I238" s="156">
        <f t="shared" si="60"/>
        <v>9.9999999999999995E-8</v>
      </c>
      <c r="K238" s="140">
        <f t="shared" si="61"/>
        <v>2.2000000000000003E-5</v>
      </c>
      <c r="L238">
        <v>2.2000000000000002</v>
      </c>
      <c r="M238" s="140">
        <f t="shared" si="62"/>
        <v>2.1999999999999996E-7</v>
      </c>
      <c r="N238" s="140">
        <f t="shared" si="63"/>
        <v>4.3999999999999997E-7</v>
      </c>
      <c r="O238" s="140">
        <f t="shared" si="64"/>
        <v>6.6000000000000003E-7</v>
      </c>
      <c r="P238" s="140">
        <f t="shared" si="65"/>
        <v>8.8000000000000015E-7</v>
      </c>
      <c r="Q238" s="140">
        <f t="shared" si="66"/>
        <v>1.1000000000000003E-6</v>
      </c>
      <c r="R238" s="157">
        <f>IF(K238&lt;$B$25*DATA!$H$1037,DATA!$H$1037,IF(K238&gt;DATA!$H$1036*$B$25,DATA!$H$1036,1))</f>
        <v>0.8</v>
      </c>
      <c r="S238" s="156">
        <f t="shared" si="56"/>
        <v>9.9999999999999995E-8</v>
      </c>
      <c r="U238" s="140">
        <f t="shared" si="67"/>
        <v>2.2000000000000003E-5</v>
      </c>
      <c r="V238">
        <v>2.2000000000000002</v>
      </c>
      <c r="W238" s="140">
        <f t="shared" si="68"/>
        <v>2.1999999999999996E-7</v>
      </c>
      <c r="X238" s="140">
        <f t="shared" si="69"/>
        <v>4.3999999999999997E-7</v>
      </c>
      <c r="Y238" s="140">
        <f t="shared" si="70"/>
        <v>6.6000000000000003E-7</v>
      </c>
      <c r="Z238" s="140">
        <f t="shared" si="71"/>
        <v>8.8000000000000015E-7</v>
      </c>
      <c r="AA238" s="140">
        <f t="shared" si="72"/>
        <v>1.1000000000000003E-6</v>
      </c>
      <c r="AB238" s="157">
        <f>IF(U238&lt;$B$41*DATA!$H$1037,DATA!$H$1037,IF(U238&gt;DATA!$H$1036*$B$41,DATA!$H$1036,1))</f>
        <v>0.8</v>
      </c>
      <c r="AC238" s="156">
        <f t="shared" si="57"/>
        <v>9.9999999999999995E-8</v>
      </c>
      <c r="AE238" s="140">
        <f t="shared" si="73"/>
        <v>2.2000000000000003E-5</v>
      </c>
      <c r="AF238">
        <v>2.2000000000000002</v>
      </c>
      <c r="AG238" s="140">
        <f t="shared" si="74"/>
        <v>2.1999999999999996E-7</v>
      </c>
      <c r="AH238" s="140">
        <f t="shared" si="75"/>
        <v>4.3999999999999997E-7</v>
      </c>
      <c r="AI238" s="140">
        <f t="shared" si="76"/>
        <v>6.6000000000000003E-7</v>
      </c>
      <c r="AJ238" s="140">
        <f t="shared" si="77"/>
        <v>8.8000000000000015E-7</v>
      </c>
      <c r="AK238" s="140">
        <f t="shared" si="78"/>
        <v>1.1000000000000003E-6</v>
      </c>
      <c r="AL238" s="157">
        <f>IF(AE238&lt;$B$57*DATA!$H$1037,DATA!$H$1037,IF(AE238&gt;DATA!$H$1036*$B$57,DATA!$H$1036,1))</f>
        <v>1.2</v>
      </c>
      <c r="AM238" s="156">
        <f t="shared" si="58"/>
        <v>9.9999999999999995E-8</v>
      </c>
      <c r="AO238" s="140">
        <f t="shared" si="79"/>
        <v>2.2000000000000003E-5</v>
      </c>
      <c r="AP238">
        <v>2.2000000000000002</v>
      </c>
      <c r="AQ238" s="140">
        <f t="shared" si="80"/>
        <v>2.1999999999999996E-7</v>
      </c>
      <c r="AR238" s="140">
        <f t="shared" si="81"/>
        <v>4.3999999999999997E-7</v>
      </c>
      <c r="AS238" s="140">
        <f t="shared" si="82"/>
        <v>6.6000000000000003E-7</v>
      </c>
      <c r="AT238" s="140">
        <f t="shared" si="83"/>
        <v>8.8000000000000015E-7</v>
      </c>
      <c r="AU238" s="140">
        <f t="shared" si="84"/>
        <v>1.1000000000000003E-6</v>
      </c>
      <c r="AV238" s="157">
        <f>IF(AO238&lt;$B$73*DATA!$H$1037,DATA!$H$1037,IF(AO238&gt;DATA!$H$1036*$B$73,DATA!$H$1036,1))</f>
        <v>1.2</v>
      </c>
      <c r="AW238" s="156">
        <f t="shared" si="85"/>
        <v>9.9999999999999995E-8</v>
      </c>
      <c r="AY238" s="140">
        <f t="shared" si="86"/>
        <v>2.2000000000000003E-5</v>
      </c>
      <c r="AZ238">
        <v>2.2000000000000002</v>
      </c>
      <c r="BA238" s="140">
        <f t="shared" si="87"/>
        <v>2.1999999999999996E-7</v>
      </c>
      <c r="BB238" s="140">
        <f t="shared" si="88"/>
        <v>4.3999999999999997E-7</v>
      </c>
      <c r="BC238" s="140">
        <f t="shared" si="89"/>
        <v>6.6000000000000003E-7</v>
      </c>
      <c r="BD238" s="140">
        <f t="shared" si="90"/>
        <v>8.8000000000000015E-7</v>
      </c>
      <c r="BE238" s="140">
        <f t="shared" si="91"/>
        <v>1.1000000000000003E-6</v>
      </c>
      <c r="BF238" s="157">
        <f>IF(AY238&lt;$B$89*DATA!$H$1037,DATA!$H$1037,IF(AY238&gt;DATA!$H$1036*$B$89,DATA!$H$1036,1))</f>
        <v>1.2</v>
      </c>
      <c r="BG238" s="156">
        <f t="shared" si="92"/>
        <v>9.9999999999999995E-8</v>
      </c>
      <c r="BI238" s="140">
        <f t="shared" si="93"/>
        <v>2.2000000000000003E-5</v>
      </c>
      <c r="BJ238">
        <v>2.2000000000000002</v>
      </c>
      <c r="BK238" s="140">
        <f t="shared" si="94"/>
        <v>2.1999999999999996E-7</v>
      </c>
      <c r="BL238" s="140">
        <f t="shared" si="95"/>
        <v>4.3999999999999997E-7</v>
      </c>
      <c r="BM238" s="140">
        <f t="shared" si="96"/>
        <v>6.6000000000000003E-7</v>
      </c>
      <c r="BN238" s="140">
        <f t="shared" si="97"/>
        <v>8.8000000000000015E-7</v>
      </c>
      <c r="BO238" s="140">
        <f t="shared" si="98"/>
        <v>1.1000000000000003E-6</v>
      </c>
      <c r="BP238" s="157">
        <f>IF(BI238&lt;$B$105*DATA!$H$1037,DATA!$H$1037,IF(BI238&gt;DATA!$H$1036*$B$105,DATA!$H$1036,1))</f>
        <v>1.2</v>
      </c>
      <c r="BQ238" s="156">
        <f t="shared" si="99"/>
        <v>9.9999999999999995E-8</v>
      </c>
    </row>
    <row r="239" spans="1:69">
      <c r="A239" s="140">
        <f t="shared" si="59"/>
        <v>2.2200000000000004E-5</v>
      </c>
      <c r="B239">
        <v>2.2200000000000002</v>
      </c>
      <c r="C239" s="140">
        <f t="shared" ref="C239:G254" si="101">C$142*$A239</f>
        <v>2.2199999999999998E-7</v>
      </c>
      <c r="D239" s="140">
        <f t="shared" si="101"/>
        <v>4.4400000000000001E-7</v>
      </c>
      <c r="E239" s="140">
        <f t="shared" si="101"/>
        <v>6.6600000000000006E-7</v>
      </c>
      <c r="F239" s="140">
        <f t="shared" si="101"/>
        <v>8.8800000000000022E-7</v>
      </c>
      <c r="G239" s="140">
        <f t="shared" si="101"/>
        <v>1.1100000000000002E-6</v>
      </c>
      <c r="H239" s="157">
        <f>IF(A239&lt;$B$9*DATA!$H$1037,DATA!$H$1037,IF(A239&gt;DATA!$H$1036*$B$9,DATA!$H$1036,1))</f>
        <v>0.8</v>
      </c>
      <c r="I239" s="156">
        <f t="shared" si="60"/>
        <v>9.9999999999999995E-8</v>
      </c>
      <c r="K239" s="140">
        <f t="shared" si="61"/>
        <v>2.2200000000000004E-5</v>
      </c>
      <c r="L239">
        <v>2.2200000000000002</v>
      </c>
      <c r="M239" s="140">
        <f t="shared" si="62"/>
        <v>2.2199999999999998E-7</v>
      </c>
      <c r="N239" s="140">
        <f t="shared" si="63"/>
        <v>4.4400000000000001E-7</v>
      </c>
      <c r="O239" s="140">
        <f t="shared" si="64"/>
        <v>6.6600000000000006E-7</v>
      </c>
      <c r="P239" s="140">
        <f t="shared" si="65"/>
        <v>8.8800000000000022E-7</v>
      </c>
      <c r="Q239" s="140">
        <f t="shared" si="66"/>
        <v>1.1100000000000002E-6</v>
      </c>
      <c r="R239" s="157">
        <f>IF(K239&lt;$B$25*DATA!$H$1037,DATA!$H$1037,IF(K239&gt;DATA!$H$1036*$B$25,DATA!$H$1036,1))</f>
        <v>0.8</v>
      </c>
      <c r="S239" s="156">
        <f t="shared" ref="S239:S270" si="102">IF(OR(L$134=0,L$133=0),0.0000001,IF(R239=1,L$134,K239*((L$134*L$138)/(R239*L$133)+0.023*LOG10(R239*L$133/K239))/L$138))</f>
        <v>9.9999999999999995E-8</v>
      </c>
      <c r="U239" s="140">
        <f t="shared" si="67"/>
        <v>2.2200000000000004E-5</v>
      </c>
      <c r="V239">
        <v>2.2200000000000002</v>
      </c>
      <c r="W239" s="140">
        <f t="shared" si="68"/>
        <v>2.2199999999999998E-7</v>
      </c>
      <c r="X239" s="140">
        <f t="shared" si="69"/>
        <v>4.4400000000000001E-7</v>
      </c>
      <c r="Y239" s="140">
        <f t="shared" si="70"/>
        <v>6.6600000000000006E-7</v>
      </c>
      <c r="Z239" s="140">
        <f t="shared" si="71"/>
        <v>8.8800000000000022E-7</v>
      </c>
      <c r="AA239" s="140">
        <f t="shared" si="72"/>
        <v>1.1100000000000002E-6</v>
      </c>
      <c r="AB239" s="157">
        <f>IF(U239&lt;$B$41*DATA!$H$1037,DATA!$H$1037,IF(U239&gt;DATA!$H$1036*$B$41,DATA!$H$1036,1))</f>
        <v>0.8</v>
      </c>
      <c r="AC239" s="156">
        <f t="shared" ref="AC239:AC270" si="103">IF(OR(V$134=0,V$133=0),0.0000001,IF(AB239=1,V$134,U239*((V$134*V$138)/(AB239*V$133)+0.023*LOG10(AB239*V$133/U239))/V$138))</f>
        <v>9.9999999999999995E-8</v>
      </c>
      <c r="AE239" s="140">
        <f t="shared" si="73"/>
        <v>2.2200000000000004E-5</v>
      </c>
      <c r="AF239">
        <v>2.2200000000000002</v>
      </c>
      <c r="AG239" s="140">
        <f t="shared" si="74"/>
        <v>2.2199999999999998E-7</v>
      </c>
      <c r="AH239" s="140">
        <f t="shared" si="75"/>
        <v>4.4400000000000001E-7</v>
      </c>
      <c r="AI239" s="140">
        <f t="shared" si="76"/>
        <v>6.6600000000000006E-7</v>
      </c>
      <c r="AJ239" s="140">
        <f t="shared" si="77"/>
        <v>8.8800000000000022E-7</v>
      </c>
      <c r="AK239" s="140">
        <f t="shared" si="78"/>
        <v>1.1100000000000002E-6</v>
      </c>
      <c r="AL239" s="157">
        <f>IF(AE239&lt;$B$57*DATA!$H$1037,DATA!$H$1037,IF(AE239&gt;DATA!$H$1036*$B$57,DATA!$H$1036,1))</f>
        <v>1.2</v>
      </c>
      <c r="AM239" s="156">
        <f t="shared" ref="AM239:AM270" si="104">IF(OR(AF$134=0,AF$133=0),0.0000001,IF(AL239=1,AF$134,AE239*((AF$134*AF$138)/(AL239*AF$133)+0.023*LOG10(AL239*AF$133/AE239))/AF$138))</f>
        <v>9.9999999999999995E-8</v>
      </c>
      <c r="AO239" s="140">
        <f t="shared" si="79"/>
        <v>2.2200000000000004E-5</v>
      </c>
      <c r="AP239">
        <v>2.2200000000000002</v>
      </c>
      <c r="AQ239" s="140">
        <f t="shared" si="80"/>
        <v>2.2199999999999998E-7</v>
      </c>
      <c r="AR239" s="140">
        <f t="shared" si="81"/>
        <v>4.4400000000000001E-7</v>
      </c>
      <c r="AS239" s="140">
        <f t="shared" si="82"/>
        <v>6.6600000000000006E-7</v>
      </c>
      <c r="AT239" s="140">
        <f t="shared" si="83"/>
        <v>8.8800000000000022E-7</v>
      </c>
      <c r="AU239" s="140">
        <f t="shared" si="84"/>
        <v>1.1100000000000002E-6</v>
      </c>
      <c r="AV239" s="157">
        <f>IF(AO239&lt;$B$73*DATA!$H$1037,DATA!$H$1037,IF(AO239&gt;DATA!$H$1036*$B$73,DATA!$H$1036,1))</f>
        <v>1.2</v>
      </c>
      <c r="AW239" s="156">
        <f t="shared" si="85"/>
        <v>9.9999999999999995E-8</v>
      </c>
      <c r="AY239" s="140">
        <f t="shared" si="86"/>
        <v>2.2200000000000004E-5</v>
      </c>
      <c r="AZ239">
        <v>2.2200000000000002</v>
      </c>
      <c r="BA239" s="140">
        <f t="shared" si="87"/>
        <v>2.2199999999999998E-7</v>
      </c>
      <c r="BB239" s="140">
        <f t="shared" si="88"/>
        <v>4.4400000000000001E-7</v>
      </c>
      <c r="BC239" s="140">
        <f t="shared" si="89"/>
        <v>6.6600000000000006E-7</v>
      </c>
      <c r="BD239" s="140">
        <f t="shared" si="90"/>
        <v>8.8800000000000022E-7</v>
      </c>
      <c r="BE239" s="140">
        <f t="shared" si="91"/>
        <v>1.1100000000000002E-6</v>
      </c>
      <c r="BF239" s="157">
        <f>IF(AY239&lt;$B$89*DATA!$H$1037,DATA!$H$1037,IF(AY239&gt;DATA!$H$1036*$B$89,DATA!$H$1036,1))</f>
        <v>1.2</v>
      </c>
      <c r="BG239" s="156">
        <f t="shared" si="92"/>
        <v>9.9999999999999995E-8</v>
      </c>
      <c r="BI239" s="140">
        <f t="shared" si="93"/>
        <v>2.2200000000000004E-5</v>
      </c>
      <c r="BJ239">
        <v>2.2200000000000002</v>
      </c>
      <c r="BK239" s="140">
        <f t="shared" si="94"/>
        <v>2.2199999999999998E-7</v>
      </c>
      <c r="BL239" s="140">
        <f t="shared" si="95"/>
        <v>4.4400000000000001E-7</v>
      </c>
      <c r="BM239" s="140">
        <f t="shared" si="96"/>
        <v>6.6600000000000006E-7</v>
      </c>
      <c r="BN239" s="140">
        <f t="shared" si="97"/>
        <v>8.8800000000000022E-7</v>
      </c>
      <c r="BO239" s="140">
        <f t="shared" si="98"/>
        <v>1.1100000000000002E-6</v>
      </c>
      <c r="BP239" s="157">
        <f>IF(BI239&lt;$B$105*DATA!$H$1037,DATA!$H$1037,IF(BI239&gt;DATA!$H$1036*$B$105,DATA!$H$1036,1))</f>
        <v>1.2</v>
      </c>
      <c r="BQ239" s="156">
        <f t="shared" si="99"/>
        <v>9.9999999999999995E-8</v>
      </c>
    </row>
    <row r="240" spans="1:69">
      <c r="A240" s="140">
        <f t="shared" si="59"/>
        <v>2.2400000000000002E-5</v>
      </c>
      <c r="B240">
        <v>2.2400000000000002</v>
      </c>
      <c r="C240" s="140">
        <f t="shared" si="101"/>
        <v>2.2399999999999994E-7</v>
      </c>
      <c r="D240" s="140">
        <f t="shared" si="101"/>
        <v>4.4799999999999999E-7</v>
      </c>
      <c r="E240" s="140">
        <f t="shared" si="101"/>
        <v>6.7200000000000009E-7</v>
      </c>
      <c r="F240" s="140">
        <f t="shared" si="101"/>
        <v>8.9600000000000008E-7</v>
      </c>
      <c r="G240" s="140">
        <f t="shared" si="101"/>
        <v>1.1200000000000001E-6</v>
      </c>
      <c r="H240" s="157">
        <f>IF(A240&lt;$B$9*DATA!$H$1037,DATA!$H$1037,IF(A240&gt;DATA!$H$1036*$B$9,DATA!$H$1036,1))</f>
        <v>0.8</v>
      </c>
      <c r="I240" s="156">
        <f t="shared" ref="I240:I271" si="105">IF(OR(B$134=0,$B$133=0),0.0000001,IF(H240=1,$B$134,A240*(($B$134*$B$138)/(H240*$B$133)+0.023*LOG10(H240*$B$133/A240))/$B$138))</f>
        <v>9.9999999999999995E-8</v>
      </c>
      <c r="K240" s="140">
        <f t="shared" si="61"/>
        <v>2.2400000000000002E-5</v>
      </c>
      <c r="L240">
        <v>2.2400000000000002</v>
      </c>
      <c r="M240" s="140">
        <f t="shared" si="62"/>
        <v>2.2399999999999994E-7</v>
      </c>
      <c r="N240" s="140">
        <f t="shared" si="63"/>
        <v>4.4799999999999999E-7</v>
      </c>
      <c r="O240" s="140">
        <f t="shared" si="64"/>
        <v>6.7200000000000009E-7</v>
      </c>
      <c r="P240" s="140">
        <f t="shared" si="65"/>
        <v>8.9600000000000008E-7</v>
      </c>
      <c r="Q240" s="140">
        <f t="shared" si="66"/>
        <v>1.1200000000000001E-6</v>
      </c>
      <c r="R240" s="157">
        <f>IF(K240&lt;$B$25*DATA!$H$1037,DATA!$H$1037,IF(K240&gt;DATA!$H$1036*$B$25,DATA!$H$1036,1))</f>
        <v>0.8</v>
      </c>
      <c r="S240" s="156">
        <f t="shared" si="102"/>
        <v>9.9999999999999995E-8</v>
      </c>
      <c r="U240" s="140">
        <f t="shared" si="67"/>
        <v>2.2400000000000002E-5</v>
      </c>
      <c r="V240">
        <v>2.2400000000000002</v>
      </c>
      <c r="W240" s="140">
        <f t="shared" si="68"/>
        <v>2.2399999999999994E-7</v>
      </c>
      <c r="X240" s="140">
        <f t="shared" si="69"/>
        <v>4.4799999999999999E-7</v>
      </c>
      <c r="Y240" s="140">
        <f t="shared" si="70"/>
        <v>6.7200000000000009E-7</v>
      </c>
      <c r="Z240" s="140">
        <f t="shared" si="71"/>
        <v>8.9600000000000008E-7</v>
      </c>
      <c r="AA240" s="140">
        <f t="shared" si="72"/>
        <v>1.1200000000000001E-6</v>
      </c>
      <c r="AB240" s="157">
        <f>IF(U240&lt;$B$41*DATA!$H$1037,DATA!$H$1037,IF(U240&gt;DATA!$H$1036*$B$41,DATA!$H$1036,1))</f>
        <v>0.8</v>
      </c>
      <c r="AC240" s="156">
        <f t="shared" si="103"/>
        <v>9.9999999999999995E-8</v>
      </c>
      <c r="AE240" s="140">
        <f t="shared" si="73"/>
        <v>2.2400000000000002E-5</v>
      </c>
      <c r="AF240">
        <v>2.2400000000000002</v>
      </c>
      <c r="AG240" s="140">
        <f t="shared" si="74"/>
        <v>2.2399999999999994E-7</v>
      </c>
      <c r="AH240" s="140">
        <f t="shared" si="75"/>
        <v>4.4799999999999999E-7</v>
      </c>
      <c r="AI240" s="140">
        <f t="shared" si="76"/>
        <v>6.7200000000000009E-7</v>
      </c>
      <c r="AJ240" s="140">
        <f t="shared" si="77"/>
        <v>8.9600000000000008E-7</v>
      </c>
      <c r="AK240" s="140">
        <f t="shared" si="78"/>
        <v>1.1200000000000001E-6</v>
      </c>
      <c r="AL240" s="157">
        <f>IF(AE240&lt;$B$57*DATA!$H$1037,DATA!$H$1037,IF(AE240&gt;DATA!$H$1036*$B$57,DATA!$H$1036,1))</f>
        <v>1.2</v>
      </c>
      <c r="AM240" s="156">
        <f t="shared" si="104"/>
        <v>9.9999999999999995E-8</v>
      </c>
      <c r="AO240" s="140">
        <f t="shared" si="79"/>
        <v>2.2400000000000002E-5</v>
      </c>
      <c r="AP240">
        <v>2.2400000000000002</v>
      </c>
      <c r="AQ240" s="140">
        <f t="shared" si="80"/>
        <v>2.2399999999999994E-7</v>
      </c>
      <c r="AR240" s="140">
        <f t="shared" si="81"/>
        <v>4.4799999999999999E-7</v>
      </c>
      <c r="AS240" s="140">
        <f t="shared" si="82"/>
        <v>6.7200000000000009E-7</v>
      </c>
      <c r="AT240" s="140">
        <f t="shared" si="83"/>
        <v>8.9600000000000008E-7</v>
      </c>
      <c r="AU240" s="140">
        <f t="shared" si="84"/>
        <v>1.1200000000000001E-6</v>
      </c>
      <c r="AV240" s="157">
        <f>IF(AO240&lt;$B$73*DATA!$H$1037,DATA!$H$1037,IF(AO240&gt;DATA!$H$1036*$B$73,DATA!$H$1036,1))</f>
        <v>1.2</v>
      </c>
      <c r="AW240" s="156">
        <f t="shared" si="85"/>
        <v>9.9999999999999995E-8</v>
      </c>
      <c r="AY240" s="140">
        <f t="shared" si="86"/>
        <v>2.2400000000000002E-5</v>
      </c>
      <c r="AZ240">
        <v>2.2400000000000002</v>
      </c>
      <c r="BA240" s="140">
        <f t="shared" si="87"/>
        <v>2.2399999999999994E-7</v>
      </c>
      <c r="BB240" s="140">
        <f t="shared" si="88"/>
        <v>4.4799999999999999E-7</v>
      </c>
      <c r="BC240" s="140">
        <f t="shared" si="89"/>
        <v>6.7200000000000009E-7</v>
      </c>
      <c r="BD240" s="140">
        <f t="shared" si="90"/>
        <v>8.9600000000000008E-7</v>
      </c>
      <c r="BE240" s="140">
        <f t="shared" si="91"/>
        <v>1.1200000000000001E-6</v>
      </c>
      <c r="BF240" s="157">
        <f>IF(AY240&lt;$B$89*DATA!$H$1037,DATA!$H$1037,IF(AY240&gt;DATA!$H$1036*$B$89,DATA!$H$1036,1))</f>
        <v>1.2</v>
      </c>
      <c r="BG240" s="156">
        <f t="shared" si="92"/>
        <v>9.9999999999999995E-8</v>
      </c>
      <c r="BI240" s="140">
        <f t="shared" si="93"/>
        <v>2.2400000000000002E-5</v>
      </c>
      <c r="BJ240">
        <v>2.2400000000000002</v>
      </c>
      <c r="BK240" s="140">
        <f t="shared" si="94"/>
        <v>2.2399999999999994E-7</v>
      </c>
      <c r="BL240" s="140">
        <f t="shared" si="95"/>
        <v>4.4799999999999999E-7</v>
      </c>
      <c r="BM240" s="140">
        <f t="shared" si="96"/>
        <v>6.7200000000000009E-7</v>
      </c>
      <c r="BN240" s="140">
        <f t="shared" si="97"/>
        <v>8.9600000000000008E-7</v>
      </c>
      <c r="BO240" s="140">
        <f t="shared" si="98"/>
        <v>1.1200000000000001E-6</v>
      </c>
      <c r="BP240" s="157">
        <f>IF(BI240&lt;$B$105*DATA!$H$1037,DATA!$H$1037,IF(BI240&gt;DATA!$H$1036*$B$105,DATA!$H$1036,1))</f>
        <v>1.2</v>
      </c>
      <c r="BQ240" s="156">
        <f t="shared" si="99"/>
        <v>9.9999999999999995E-8</v>
      </c>
    </row>
    <row r="241" spans="1:69">
      <c r="A241" s="140">
        <f t="shared" si="59"/>
        <v>2.26E-5</v>
      </c>
      <c r="B241">
        <v>2.2599999999999998</v>
      </c>
      <c r="C241" s="140">
        <f t="shared" si="101"/>
        <v>2.2599999999999993E-7</v>
      </c>
      <c r="D241" s="140">
        <f t="shared" si="101"/>
        <v>4.5199999999999992E-7</v>
      </c>
      <c r="E241" s="140">
        <f t="shared" si="101"/>
        <v>6.7800000000000001E-7</v>
      </c>
      <c r="F241" s="140">
        <f t="shared" si="101"/>
        <v>9.0400000000000005E-7</v>
      </c>
      <c r="G241" s="140">
        <f t="shared" si="101"/>
        <v>1.13E-6</v>
      </c>
      <c r="H241" s="157">
        <f>IF(A241&lt;$B$9*DATA!$H$1037,DATA!$H$1037,IF(A241&gt;DATA!$H$1036*$B$9,DATA!$H$1036,1))</f>
        <v>0.8</v>
      </c>
      <c r="I241" s="156">
        <f t="shared" si="105"/>
        <v>9.9999999999999995E-8</v>
      </c>
      <c r="K241" s="140">
        <f t="shared" si="61"/>
        <v>2.26E-5</v>
      </c>
      <c r="L241">
        <v>2.2599999999999998</v>
      </c>
      <c r="M241" s="140">
        <f t="shared" si="62"/>
        <v>2.2599999999999993E-7</v>
      </c>
      <c r="N241" s="140">
        <f t="shared" si="63"/>
        <v>4.5199999999999992E-7</v>
      </c>
      <c r="O241" s="140">
        <f t="shared" si="64"/>
        <v>6.7800000000000001E-7</v>
      </c>
      <c r="P241" s="140">
        <f t="shared" si="65"/>
        <v>9.0400000000000005E-7</v>
      </c>
      <c r="Q241" s="140">
        <f t="shared" si="66"/>
        <v>1.13E-6</v>
      </c>
      <c r="R241" s="157">
        <f>IF(K241&lt;$B$25*DATA!$H$1037,DATA!$H$1037,IF(K241&gt;DATA!$H$1036*$B$25,DATA!$H$1036,1))</f>
        <v>0.8</v>
      </c>
      <c r="S241" s="156">
        <f t="shared" si="102"/>
        <v>9.9999999999999995E-8</v>
      </c>
      <c r="U241" s="140">
        <f t="shared" si="67"/>
        <v>2.26E-5</v>
      </c>
      <c r="V241">
        <v>2.2599999999999998</v>
      </c>
      <c r="W241" s="140">
        <f t="shared" si="68"/>
        <v>2.2599999999999993E-7</v>
      </c>
      <c r="X241" s="140">
        <f t="shared" si="69"/>
        <v>4.5199999999999992E-7</v>
      </c>
      <c r="Y241" s="140">
        <f t="shared" si="70"/>
        <v>6.7800000000000001E-7</v>
      </c>
      <c r="Z241" s="140">
        <f t="shared" si="71"/>
        <v>9.0400000000000005E-7</v>
      </c>
      <c r="AA241" s="140">
        <f t="shared" si="72"/>
        <v>1.13E-6</v>
      </c>
      <c r="AB241" s="157">
        <f>IF(U241&lt;$B$41*DATA!$H$1037,DATA!$H$1037,IF(U241&gt;DATA!$H$1036*$B$41,DATA!$H$1036,1))</f>
        <v>0.8</v>
      </c>
      <c r="AC241" s="156">
        <f t="shared" si="103"/>
        <v>9.9999999999999995E-8</v>
      </c>
      <c r="AE241" s="140">
        <f t="shared" si="73"/>
        <v>2.26E-5</v>
      </c>
      <c r="AF241">
        <v>2.2599999999999998</v>
      </c>
      <c r="AG241" s="140">
        <f t="shared" si="74"/>
        <v>2.2599999999999993E-7</v>
      </c>
      <c r="AH241" s="140">
        <f t="shared" si="75"/>
        <v>4.5199999999999992E-7</v>
      </c>
      <c r="AI241" s="140">
        <f t="shared" si="76"/>
        <v>6.7800000000000001E-7</v>
      </c>
      <c r="AJ241" s="140">
        <f t="shared" si="77"/>
        <v>9.0400000000000005E-7</v>
      </c>
      <c r="AK241" s="140">
        <f t="shared" si="78"/>
        <v>1.13E-6</v>
      </c>
      <c r="AL241" s="157">
        <f>IF(AE241&lt;$B$57*DATA!$H$1037,DATA!$H$1037,IF(AE241&gt;DATA!$H$1036*$B$57,DATA!$H$1036,1))</f>
        <v>1.2</v>
      </c>
      <c r="AM241" s="156">
        <f t="shared" si="104"/>
        <v>9.9999999999999995E-8</v>
      </c>
      <c r="AO241" s="140">
        <f t="shared" si="79"/>
        <v>2.26E-5</v>
      </c>
      <c r="AP241">
        <v>2.2599999999999998</v>
      </c>
      <c r="AQ241" s="140">
        <f t="shared" si="80"/>
        <v>2.2599999999999993E-7</v>
      </c>
      <c r="AR241" s="140">
        <f t="shared" si="81"/>
        <v>4.5199999999999992E-7</v>
      </c>
      <c r="AS241" s="140">
        <f t="shared" si="82"/>
        <v>6.7800000000000001E-7</v>
      </c>
      <c r="AT241" s="140">
        <f t="shared" si="83"/>
        <v>9.0400000000000005E-7</v>
      </c>
      <c r="AU241" s="140">
        <f t="shared" si="84"/>
        <v>1.13E-6</v>
      </c>
      <c r="AV241" s="157">
        <f>IF(AO241&lt;$B$73*DATA!$H$1037,DATA!$H$1037,IF(AO241&gt;DATA!$H$1036*$B$73,DATA!$H$1036,1))</f>
        <v>1.2</v>
      </c>
      <c r="AW241" s="156">
        <f t="shared" si="85"/>
        <v>9.9999999999999995E-8</v>
      </c>
      <c r="AY241" s="140">
        <f t="shared" si="86"/>
        <v>2.26E-5</v>
      </c>
      <c r="AZ241">
        <v>2.2599999999999998</v>
      </c>
      <c r="BA241" s="140">
        <f t="shared" si="87"/>
        <v>2.2599999999999993E-7</v>
      </c>
      <c r="BB241" s="140">
        <f t="shared" si="88"/>
        <v>4.5199999999999992E-7</v>
      </c>
      <c r="BC241" s="140">
        <f t="shared" si="89"/>
        <v>6.7800000000000001E-7</v>
      </c>
      <c r="BD241" s="140">
        <f t="shared" si="90"/>
        <v>9.0400000000000005E-7</v>
      </c>
      <c r="BE241" s="140">
        <f t="shared" si="91"/>
        <v>1.13E-6</v>
      </c>
      <c r="BF241" s="157">
        <f>IF(AY241&lt;$B$89*DATA!$H$1037,DATA!$H$1037,IF(AY241&gt;DATA!$H$1036*$B$89,DATA!$H$1036,1))</f>
        <v>1.2</v>
      </c>
      <c r="BG241" s="156">
        <f t="shared" si="92"/>
        <v>9.9999999999999995E-8</v>
      </c>
      <c r="BI241" s="140">
        <f t="shared" si="93"/>
        <v>2.26E-5</v>
      </c>
      <c r="BJ241">
        <v>2.2599999999999998</v>
      </c>
      <c r="BK241" s="140">
        <f t="shared" si="94"/>
        <v>2.2599999999999993E-7</v>
      </c>
      <c r="BL241" s="140">
        <f t="shared" si="95"/>
        <v>4.5199999999999992E-7</v>
      </c>
      <c r="BM241" s="140">
        <f t="shared" si="96"/>
        <v>6.7800000000000001E-7</v>
      </c>
      <c r="BN241" s="140">
        <f t="shared" si="97"/>
        <v>9.0400000000000005E-7</v>
      </c>
      <c r="BO241" s="140">
        <f t="shared" si="98"/>
        <v>1.13E-6</v>
      </c>
      <c r="BP241" s="157">
        <f>IF(BI241&lt;$B$105*DATA!$H$1037,DATA!$H$1037,IF(BI241&gt;DATA!$H$1036*$B$105,DATA!$H$1036,1))</f>
        <v>1.2</v>
      </c>
      <c r="BQ241" s="156">
        <f t="shared" si="99"/>
        <v>9.9999999999999995E-8</v>
      </c>
    </row>
    <row r="242" spans="1:69">
      <c r="A242" s="140">
        <f t="shared" si="59"/>
        <v>2.2799999999999999E-5</v>
      </c>
      <c r="B242">
        <v>2.2799999999999998</v>
      </c>
      <c r="C242" s="140">
        <f t="shared" si="101"/>
        <v>2.2799999999999992E-7</v>
      </c>
      <c r="D242" s="140">
        <f t="shared" si="101"/>
        <v>4.559999999999999E-7</v>
      </c>
      <c r="E242" s="140">
        <f t="shared" si="101"/>
        <v>6.8399999999999993E-7</v>
      </c>
      <c r="F242" s="140">
        <f t="shared" si="101"/>
        <v>9.1199999999999991E-7</v>
      </c>
      <c r="G242" s="140">
        <f t="shared" si="101"/>
        <v>1.1399999999999999E-6</v>
      </c>
      <c r="H242" s="157">
        <f>IF(A242&lt;$B$9*DATA!$H$1037,DATA!$H$1037,IF(A242&gt;DATA!$H$1036*$B$9,DATA!$H$1036,1))</f>
        <v>0.8</v>
      </c>
      <c r="I242" s="156">
        <f t="shared" si="105"/>
        <v>9.9999999999999995E-8</v>
      </c>
      <c r="K242" s="140">
        <f t="shared" si="61"/>
        <v>2.2799999999999999E-5</v>
      </c>
      <c r="L242">
        <v>2.2799999999999998</v>
      </c>
      <c r="M242" s="140">
        <f t="shared" si="62"/>
        <v>2.2799999999999992E-7</v>
      </c>
      <c r="N242" s="140">
        <f t="shared" si="63"/>
        <v>4.559999999999999E-7</v>
      </c>
      <c r="O242" s="140">
        <f t="shared" si="64"/>
        <v>6.8399999999999993E-7</v>
      </c>
      <c r="P242" s="140">
        <f t="shared" si="65"/>
        <v>9.1199999999999991E-7</v>
      </c>
      <c r="Q242" s="140">
        <f t="shared" si="66"/>
        <v>1.1399999999999999E-6</v>
      </c>
      <c r="R242" s="157">
        <f>IF(K242&lt;$B$25*DATA!$H$1037,DATA!$H$1037,IF(K242&gt;DATA!$H$1036*$B$25,DATA!$H$1036,1))</f>
        <v>0.8</v>
      </c>
      <c r="S242" s="156">
        <f t="shared" si="102"/>
        <v>9.9999999999999995E-8</v>
      </c>
      <c r="U242" s="140">
        <f t="shared" si="67"/>
        <v>2.2799999999999999E-5</v>
      </c>
      <c r="V242">
        <v>2.2799999999999998</v>
      </c>
      <c r="W242" s="140">
        <f t="shared" si="68"/>
        <v>2.2799999999999992E-7</v>
      </c>
      <c r="X242" s="140">
        <f t="shared" si="69"/>
        <v>4.559999999999999E-7</v>
      </c>
      <c r="Y242" s="140">
        <f t="shared" si="70"/>
        <v>6.8399999999999993E-7</v>
      </c>
      <c r="Z242" s="140">
        <f t="shared" si="71"/>
        <v>9.1199999999999991E-7</v>
      </c>
      <c r="AA242" s="140">
        <f t="shared" si="72"/>
        <v>1.1399999999999999E-6</v>
      </c>
      <c r="AB242" s="157">
        <f>IF(U242&lt;$B$41*DATA!$H$1037,DATA!$H$1037,IF(U242&gt;DATA!$H$1036*$B$41,DATA!$H$1036,1))</f>
        <v>0.8</v>
      </c>
      <c r="AC242" s="156">
        <f t="shared" si="103"/>
        <v>9.9999999999999995E-8</v>
      </c>
      <c r="AE242" s="140">
        <f t="shared" si="73"/>
        <v>2.2799999999999999E-5</v>
      </c>
      <c r="AF242">
        <v>2.2799999999999998</v>
      </c>
      <c r="AG242" s="140">
        <f t="shared" si="74"/>
        <v>2.2799999999999992E-7</v>
      </c>
      <c r="AH242" s="140">
        <f t="shared" si="75"/>
        <v>4.559999999999999E-7</v>
      </c>
      <c r="AI242" s="140">
        <f t="shared" si="76"/>
        <v>6.8399999999999993E-7</v>
      </c>
      <c r="AJ242" s="140">
        <f t="shared" si="77"/>
        <v>9.1199999999999991E-7</v>
      </c>
      <c r="AK242" s="140">
        <f t="shared" si="78"/>
        <v>1.1399999999999999E-6</v>
      </c>
      <c r="AL242" s="157">
        <f>IF(AE242&lt;$B$57*DATA!$H$1037,DATA!$H$1037,IF(AE242&gt;DATA!$H$1036*$B$57,DATA!$H$1036,1))</f>
        <v>1.2</v>
      </c>
      <c r="AM242" s="156">
        <f t="shared" si="104"/>
        <v>9.9999999999999995E-8</v>
      </c>
      <c r="AO242" s="140">
        <f t="shared" si="79"/>
        <v>2.2799999999999999E-5</v>
      </c>
      <c r="AP242">
        <v>2.2799999999999998</v>
      </c>
      <c r="AQ242" s="140">
        <f t="shared" si="80"/>
        <v>2.2799999999999992E-7</v>
      </c>
      <c r="AR242" s="140">
        <f t="shared" si="81"/>
        <v>4.559999999999999E-7</v>
      </c>
      <c r="AS242" s="140">
        <f t="shared" si="82"/>
        <v>6.8399999999999993E-7</v>
      </c>
      <c r="AT242" s="140">
        <f t="shared" si="83"/>
        <v>9.1199999999999991E-7</v>
      </c>
      <c r="AU242" s="140">
        <f t="shared" si="84"/>
        <v>1.1399999999999999E-6</v>
      </c>
      <c r="AV242" s="157">
        <f>IF(AO242&lt;$B$73*DATA!$H$1037,DATA!$H$1037,IF(AO242&gt;DATA!$H$1036*$B$73,DATA!$H$1036,1))</f>
        <v>1.2</v>
      </c>
      <c r="AW242" s="156">
        <f t="shared" si="85"/>
        <v>9.9999999999999995E-8</v>
      </c>
      <c r="AY242" s="140">
        <f t="shared" si="86"/>
        <v>2.2799999999999999E-5</v>
      </c>
      <c r="AZ242">
        <v>2.2799999999999998</v>
      </c>
      <c r="BA242" s="140">
        <f t="shared" si="87"/>
        <v>2.2799999999999992E-7</v>
      </c>
      <c r="BB242" s="140">
        <f t="shared" si="88"/>
        <v>4.559999999999999E-7</v>
      </c>
      <c r="BC242" s="140">
        <f t="shared" si="89"/>
        <v>6.8399999999999993E-7</v>
      </c>
      <c r="BD242" s="140">
        <f t="shared" si="90"/>
        <v>9.1199999999999991E-7</v>
      </c>
      <c r="BE242" s="140">
        <f t="shared" si="91"/>
        <v>1.1399999999999999E-6</v>
      </c>
      <c r="BF242" s="157">
        <f>IF(AY242&lt;$B$89*DATA!$H$1037,DATA!$H$1037,IF(AY242&gt;DATA!$H$1036*$B$89,DATA!$H$1036,1))</f>
        <v>1.2</v>
      </c>
      <c r="BG242" s="156">
        <f t="shared" si="92"/>
        <v>9.9999999999999995E-8</v>
      </c>
      <c r="BI242" s="140">
        <f t="shared" si="93"/>
        <v>2.2799999999999999E-5</v>
      </c>
      <c r="BJ242">
        <v>2.2799999999999998</v>
      </c>
      <c r="BK242" s="140">
        <f t="shared" si="94"/>
        <v>2.2799999999999992E-7</v>
      </c>
      <c r="BL242" s="140">
        <f t="shared" si="95"/>
        <v>4.559999999999999E-7</v>
      </c>
      <c r="BM242" s="140">
        <f t="shared" si="96"/>
        <v>6.8399999999999993E-7</v>
      </c>
      <c r="BN242" s="140">
        <f t="shared" si="97"/>
        <v>9.1199999999999991E-7</v>
      </c>
      <c r="BO242" s="140">
        <f t="shared" si="98"/>
        <v>1.1399999999999999E-6</v>
      </c>
      <c r="BP242" s="157">
        <f>IF(BI242&lt;$B$105*DATA!$H$1037,DATA!$H$1037,IF(BI242&gt;DATA!$H$1036*$B$105,DATA!$H$1036,1))</f>
        <v>1.2</v>
      </c>
      <c r="BQ242" s="156">
        <f t="shared" si="99"/>
        <v>9.9999999999999995E-8</v>
      </c>
    </row>
    <row r="243" spans="1:69">
      <c r="A243" s="140">
        <f t="shared" si="59"/>
        <v>2.3E-5</v>
      </c>
      <c r="B243">
        <v>2.2999999999999998</v>
      </c>
      <c r="C243" s="140">
        <f t="shared" si="101"/>
        <v>2.2999999999999992E-7</v>
      </c>
      <c r="D243" s="140">
        <f t="shared" si="101"/>
        <v>4.5999999999999994E-7</v>
      </c>
      <c r="E243" s="140">
        <f t="shared" si="101"/>
        <v>6.8999999999999996E-7</v>
      </c>
      <c r="F243" s="140">
        <f t="shared" si="101"/>
        <v>9.1999999999999998E-7</v>
      </c>
      <c r="G243" s="140">
        <f t="shared" si="101"/>
        <v>1.15E-6</v>
      </c>
      <c r="H243" s="157">
        <f>IF(A243&lt;$B$9*DATA!$H$1037,DATA!$H$1037,IF(A243&gt;DATA!$H$1036*$B$9,DATA!$H$1036,1))</f>
        <v>0.8</v>
      </c>
      <c r="I243" s="156">
        <f t="shared" si="105"/>
        <v>9.9999999999999995E-8</v>
      </c>
      <c r="K243" s="140">
        <f t="shared" si="61"/>
        <v>2.3E-5</v>
      </c>
      <c r="L243">
        <v>2.2999999999999998</v>
      </c>
      <c r="M243" s="140">
        <f t="shared" si="62"/>
        <v>2.2999999999999992E-7</v>
      </c>
      <c r="N243" s="140">
        <f t="shared" si="63"/>
        <v>4.5999999999999994E-7</v>
      </c>
      <c r="O243" s="140">
        <f t="shared" si="64"/>
        <v>6.8999999999999996E-7</v>
      </c>
      <c r="P243" s="140">
        <f t="shared" si="65"/>
        <v>9.1999999999999998E-7</v>
      </c>
      <c r="Q243" s="140">
        <f t="shared" si="66"/>
        <v>1.15E-6</v>
      </c>
      <c r="R243" s="157">
        <f>IF(K243&lt;$B$25*DATA!$H$1037,DATA!$H$1037,IF(K243&gt;DATA!$H$1036*$B$25,DATA!$H$1036,1))</f>
        <v>0.8</v>
      </c>
      <c r="S243" s="156">
        <f t="shared" si="102"/>
        <v>9.9999999999999995E-8</v>
      </c>
      <c r="U243" s="140">
        <f t="shared" si="67"/>
        <v>2.3E-5</v>
      </c>
      <c r="V243">
        <v>2.2999999999999998</v>
      </c>
      <c r="W243" s="140">
        <f t="shared" si="68"/>
        <v>2.2999999999999992E-7</v>
      </c>
      <c r="X243" s="140">
        <f t="shared" si="69"/>
        <v>4.5999999999999994E-7</v>
      </c>
      <c r="Y243" s="140">
        <f t="shared" si="70"/>
        <v>6.8999999999999996E-7</v>
      </c>
      <c r="Z243" s="140">
        <f t="shared" si="71"/>
        <v>9.1999999999999998E-7</v>
      </c>
      <c r="AA243" s="140">
        <f t="shared" si="72"/>
        <v>1.15E-6</v>
      </c>
      <c r="AB243" s="157">
        <f>IF(U243&lt;$B$41*DATA!$H$1037,DATA!$H$1037,IF(U243&gt;DATA!$H$1036*$B$41,DATA!$H$1036,1))</f>
        <v>0.8</v>
      </c>
      <c r="AC243" s="156">
        <f t="shared" si="103"/>
        <v>9.9999999999999995E-8</v>
      </c>
      <c r="AE243" s="140">
        <f t="shared" si="73"/>
        <v>2.3E-5</v>
      </c>
      <c r="AF243">
        <v>2.2999999999999998</v>
      </c>
      <c r="AG243" s="140">
        <f t="shared" si="74"/>
        <v>2.2999999999999992E-7</v>
      </c>
      <c r="AH243" s="140">
        <f t="shared" si="75"/>
        <v>4.5999999999999994E-7</v>
      </c>
      <c r="AI243" s="140">
        <f t="shared" si="76"/>
        <v>6.8999999999999996E-7</v>
      </c>
      <c r="AJ243" s="140">
        <f t="shared" si="77"/>
        <v>9.1999999999999998E-7</v>
      </c>
      <c r="AK243" s="140">
        <f t="shared" si="78"/>
        <v>1.15E-6</v>
      </c>
      <c r="AL243" s="157">
        <f>IF(AE243&lt;$B$57*DATA!$H$1037,DATA!$H$1037,IF(AE243&gt;DATA!$H$1036*$B$57,DATA!$H$1036,1))</f>
        <v>1.2</v>
      </c>
      <c r="AM243" s="156">
        <f t="shared" si="104"/>
        <v>9.9999999999999995E-8</v>
      </c>
      <c r="AO243" s="140">
        <f t="shared" si="79"/>
        <v>2.3E-5</v>
      </c>
      <c r="AP243">
        <v>2.2999999999999998</v>
      </c>
      <c r="AQ243" s="140">
        <f t="shared" si="80"/>
        <v>2.2999999999999992E-7</v>
      </c>
      <c r="AR243" s="140">
        <f t="shared" si="81"/>
        <v>4.5999999999999994E-7</v>
      </c>
      <c r="AS243" s="140">
        <f t="shared" si="82"/>
        <v>6.8999999999999996E-7</v>
      </c>
      <c r="AT243" s="140">
        <f t="shared" si="83"/>
        <v>9.1999999999999998E-7</v>
      </c>
      <c r="AU243" s="140">
        <f t="shared" si="84"/>
        <v>1.15E-6</v>
      </c>
      <c r="AV243" s="157">
        <f>IF(AO243&lt;$B$73*DATA!$H$1037,DATA!$H$1037,IF(AO243&gt;DATA!$H$1036*$B$73,DATA!$H$1036,1))</f>
        <v>1.2</v>
      </c>
      <c r="AW243" s="156">
        <f t="shared" si="85"/>
        <v>9.9999999999999995E-8</v>
      </c>
      <c r="AY243" s="140">
        <f t="shared" si="86"/>
        <v>2.3E-5</v>
      </c>
      <c r="AZ243">
        <v>2.2999999999999998</v>
      </c>
      <c r="BA243" s="140">
        <f t="shared" si="87"/>
        <v>2.2999999999999992E-7</v>
      </c>
      <c r="BB243" s="140">
        <f t="shared" si="88"/>
        <v>4.5999999999999994E-7</v>
      </c>
      <c r="BC243" s="140">
        <f t="shared" si="89"/>
        <v>6.8999999999999996E-7</v>
      </c>
      <c r="BD243" s="140">
        <f t="shared" si="90"/>
        <v>9.1999999999999998E-7</v>
      </c>
      <c r="BE243" s="140">
        <f t="shared" si="91"/>
        <v>1.15E-6</v>
      </c>
      <c r="BF243" s="157">
        <f>IF(AY243&lt;$B$89*DATA!$H$1037,DATA!$H$1037,IF(AY243&gt;DATA!$H$1036*$B$89,DATA!$H$1036,1))</f>
        <v>1.2</v>
      </c>
      <c r="BG243" s="156">
        <f t="shared" si="92"/>
        <v>9.9999999999999995E-8</v>
      </c>
      <c r="BI243" s="140">
        <f t="shared" si="93"/>
        <v>2.3E-5</v>
      </c>
      <c r="BJ243">
        <v>2.2999999999999998</v>
      </c>
      <c r="BK243" s="140">
        <f t="shared" si="94"/>
        <v>2.2999999999999992E-7</v>
      </c>
      <c r="BL243" s="140">
        <f t="shared" si="95"/>
        <v>4.5999999999999994E-7</v>
      </c>
      <c r="BM243" s="140">
        <f t="shared" si="96"/>
        <v>6.8999999999999996E-7</v>
      </c>
      <c r="BN243" s="140">
        <f t="shared" si="97"/>
        <v>9.1999999999999998E-7</v>
      </c>
      <c r="BO243" s="140">
        <f t="shared" si="98"/>
        <v>1.15E-6</v>
      </c>
      <c r="BP243" s="157">
        <f>IF(BI243&lt;$B$105*DATA!$H$1037,DATA!$H$1037,IF(BI243&gt;DATA!$H$1036*$B$105,DATA!$H$1036,1))</f>
        <v>1.2</v>
      </c>
      <c r="BQ243" s="156">
        <f t="shared" si="99"/>
        <v>9.9999999999999995E-8</v>
      </c>
    </row>
    <row r="244" spans="1:69">
      <c r="A244" s="140">
        <f t="shared" si="59"/>
        <v>2.3200000000000001E-5</v>
      </c>
      <c r="B244">
        <v>2.3199999999999998</v>
      </c>
      <c r="C244" s="140">
        <f t="shared" si="101"/>
        <v>2.3199999999999993E-7</v>
      </c>
      <c r="D244" s="140">
        <f t="shared" si="101"/>
        <v>4.6399999999999997E-7</v>
      </c>
      <c r="E244" s="140">
        <f t="shared" si="101"/>
        <v>6.9599999999999999E-7</v>
      </c>
      <c r="F244" s="140">
        <f t="shared" si="101"/>
        <v>9.2800000000000005E-7</v>
      </c>
      <c r="G244" s="140">
        <f t="shared" si="101"/>
        <v>1.1600000000000001E-6</v>
      </c>
      <c r="H244" s="157">
        <f>IF(A244&lt;$B$9*DATA!$H$1037,DATA!$H$1037,IF(A244&gt;DATA!$H$1036*$B$9,DATA!$H$1036,1))</f>
        <v>0.8</v>
      </c>
      <c r="I244" s="156">
        <f t="shared" si="105"/>
        <v>9.9999999999999995E-8</v>
      </c>
      <c r="K244" s="140">
        <f t="shared" si="61"/>
        <v>2.3200000000000001E-5</v>
      </c>
      <c r="L244">
        <v>2.3199999999999998</v>
      </c>
      <c r="M244" s="140">
        <f t="shared" si="62"/>
        <v>2.3199999999999993E-7</v>
      </c>
      <c r="N244" s="140">
        <f t="shared" si="63"/>
        <v>4.6399999999999997E-7</v>
      </c>
      <c r="O244" s="140">
        <f t="shared" si="64"/>
        <v>6.9599999999999999E-7</v>
      </c>
      <c r="P244" s="140">
        <f t="shared" si="65"/>
        <v>9.2800000000000005E-7</v>
      </c>
      <c r="Q244" s="140">
        <f t="shared" si="66"/>
        <v>1.1600000000000001E-6</v>
      </c>
      <c r="R244" s="157">
        <f>IF(K244&lt;$B$25*DATA!$H$1037,DATA!$H$1037,IF(K244&gt;DATA!$H$1036*$B$25,DATA!$H$1036,1))</f>
        <v>0.8</v>
      </c>
      <c r="S244" s="156">
        <f t="shared" si="102"/>
        <v>9.9999999999999995E-8</v>
      </c>
      <c r="U244" s="140">
        <f t="shared" si="67"/>
        <v>2.3200000000000001E-5</v>
      </c>
      <c r="V244">
        <v>2.3199999999999998</v>
      </c>
      <c r="W244" s="140">
        <f t="shared" si="68"/>
        <v>2.3199999999999993E-7</v>
      </c>
      <c r="X244" s="140">
        <f t="shared" si="69"/>
        <v>4.6399999999999997E-7</v>
      </c>
      <c r="Y244" s="140">
        <f t="shared" si="70"/>
        <v>6.9599999999999999E-7</v>
      </c>
      <c r="Z244" s="140">
        <f t="shared" si="71"/>
        <v>9.2800000000000005E-7</v>
      </c>
      <c r="AA244" s="140">
        <f t="shared" si="72"/>
        <v>1.1600000000000001E-6</v>
      </c>
      <c r="AB244" s="157">
        <f>IF(U244&lt;$B$41*DATA!$H$1037,DATA!$H$1037,IF(U244&gt;DATA!$H$1036*$B$41,DATA!$H$1036,1))</f>
        <v>0.8</v>
      </c>
      <c r="AC244" s="156">
        <f t="shared" si="103"/>
        <v>9.9999999999999995E-8</v>
      </c>
      <c r="AE244" s="140">
        <f t="shared" si="73"/>
        <v>2.3200000000000001E-5</v>
      </c>
      <c r="AF244">
        <v>2.3199999999999998</v>
      </c>
      <c r="AG244" s="140">
        <f t="shared" si="74"/>
        <v>2.3199999999999993E-7</v>
      </c>
      <c r="AH244" s="140">
        <f t="shared" si="75"/>
        <v>4.6399999999999997E-7</v>
      </c>
      <c r="AI244" s="140">
        <f t="shared" si="76"/>
        <v>6.9599999999999999E-7</v>
      </c>
      <c r="AJ244" s="140">
        <f t="shared" si="77"/>
        <v>9.2800000000000005E-7</v>
      </c>
      <c r="AK244" s="140">
        <f t="shared" si="78"/>
        <v>1.1600000000000001E-6</v>
      </c>
      <c r="AL244" s="157">
        <f>IF(AE244&lt;$B$57*DATA!$H$1037,DATA!$H$1037,IF(AE244&gt;DATA!$H$1036*$B$57,DATA!$H$1036,1))</f>
        <v>1.2</v>
      </c>
      <c r="AM244" s="156">
        <f t="shared" si="104"/>
        <v>9.9999999999999995E-8</v>
      </c>
      <c r="AO244" s="140">
        <f t="shared" si="79"/>
        <v>2.3200000000000001E-5</v>
      </c>
      <c r="AP244">
        <v>2.3199999999999998</v>
      </c>
      <c r="AQ244" s="140">
        <f t="shared" si="80"/>
        <v>2.3199999999999993E-7</v>
      </c>
      <c r="AR244" s="140">
        <f t="shared" si="81"/>
        <v>4.6399999999999997E-7</v>
      </c>
      <c r="AS244" s="140">
        <f t="shared" si="82"/>
        <v>6.9599999999999999E-7</v>
      </c>
      <c r="AT244" s="140">
        <f t="shared" si="83"/>
        <v>9.2800000000000005E-7</v>
      </c>
      <c r="AU244" s="140">
        <f t="shared" si="84"/>
        <v>1.1600000000000001E-6</v>
      </c>
      <c r="AV244" s="157">
        <f>IF(AO244&lt;$B$73*DATA!$H$1037,DATA!$H$1037,IF(AO244&gt;DATA!$H$1036*$B$73,DATA!$H$1036,1))</f>
        <v>1.2</v>
      </c>
      <c r="AW244" s="156">
        <f t="shared" si="85"/>
        <v>9.9999999999999995E-8</v>
      </c>
      <c r="AY244" s="140">
        <f t="shared" si="86"/>
        <v>2.3200000000000001E-5</v>
      </c>
      <c r="AZ244">
        <v>2.3199999999999998</v>
      </c>
      <c r="BA244" s="140">
        <f t="shared" si="87"/>
        <v>2.3199999999999993E-7</v>
      </c>
      <c r="BB244" s="140">
        <f t="shared" si="88"/>
        <v>4.6399999999999997E-7</v>
      </c>
      <c r="BC244" s="140">
        <f t="shared" si="89"/>
        <v>6.9599999999999999E-7</v>
      </c>
      <c r="BD244" s="140">
        <f t="shared" si="90"/>
        <v>9.2800000000000005E-7</v>
      </c>
      <c r="BE244" s="140">
        <f t="shared" si="91"/>
        <v>1.1600000000000001E-6</v>
      </c>
      <c r="BF244" s="157">
        <f>IF(AY244&lt;$B$89*DATA!$H$1037,DATA!$H$1037,IF(AY244&gt;DATA!$H$1036*$B$89,DATA!$H$1036,1))</f>
        <v>1.2</v>
      </c>
      <c r="BG244" s="156">
        <f t="shared" si="92"/>
        <v>9.9999999999999995E-8</v>
      </c>
      <c r="BI244" s="140">
        <f t="shared" si="93"/>
        <v>2.3200000000000001E-5</v>
      </c>
      <c r="BJ244">
        <v>2.3199999999999998</v>
      </c>
      <c r="BK244" s="140">
        <f t="shared" si="94"/>
        <v>2.3199999999999993E-7</v>
      </c>
      <c r="BL244" s="140">
        <f t="shared" si="95"/>
        <v>4.6399999999999997E-7</v>
      </c>
      <c r="BM244" s="140">
        <f t="shared" si="96"/>
        <v>6.9599999999999999E-7</v>
      </c>
      <c r="BN244" s="140">
        <f t="shared" si="97"/>
        <v>9.2800000000000005E-7</v>
      </c>
      <c r="BO244" s="140">
        <f t="shared" si="98"/>
        <v>1.1600000000000001E-6</v>
      </c>
      <c r="BP244" s="157">
        <f>IF(BI244&lt;$B$105*DATA!$H$1037,DATA!$H$1037,IF(BI244&gt;DATA!$H$1036*$B$105,DATA!$H$1036,1))</f>
        <v>1.2</v>
      </c>
      <c r="BQ244" s="156">
        <f t="shared" si="99"/>
        <v>9.9999999999999995E-8</v>
      </c>
    </row>
    <row r="245" spans="1:69">
      <c r="A245" s="140">
        <f t="shared" si="59"/>
        <v>2.34E-5</v>
      </c>
      <c r="B245">
        <v>2.34</v>
      </c>
      <c r="C245" s="140">
        <f t="shared" si="101"/>
        <v>2.3399999999999992E-7</v>
      </c>
      <c r="D245" s="140">
        <f t="shared" si="101"/>
        <v>4.679999999999999E-7</v>
      </c>
      <c r="E245" s="140">
        <f t="shared" si="101"/>
        <v>7.0200000000000001E-7</v>
      </c>
      <c r="F245" s="140">
        <f t="shared" si="101"/>
        <v>9.3600000000000002E-7</v>
      </c>
      <c r="G245" s="140">
        <f t="shared" si="101"/>
        <v>1.17E-6</v>
      </c>
      <c r="H245" s="157">
        <f>IF(A245&lt;$B$9*DATA!$H$1037,DATA!$H$1037,IF(A245&gt;DATA!$H$1036*$B$9,DATA!$H$1036,1))</f>
        <v>0.8</v>
      </c>
      <c r="I245" s="156">
        <f t="shared" si="105"/>
        <v>9.9999999999999995E-8</v>
      </c>
      <c r="K245" s="140">
        <f t="shared" si="61"/>
        <v>2.34E-5</v>
      </c>
      <c r="L245">
        <v>2.34</v>
      </c>
      <c r="M245" s="140">
        <f t="shared" si="62"/>
        <v>2.3399999999999992E-7</v>
      </c>
      <c r="N245" s="140">
        <f t="shared" si="63"/>
        <v>4.679999999999999E-7</v>
      </c>
      <c r="O245" s="140">
        <f t="shared" si="64"/>
        <v>7.0200000000000001E-7</v>
      </c>
      <c r="P245" s="140">
        <f t="shared" si="65"/>
        <v>9.3600000000000002E-7</v>
      </c>
      <c r="Q245" s="140">
        <f t="shared" si="66"/>
        <v>1.17E-6</v>
      </c>
      <c r="R245" s="157">
        <f>IF(K245&lt;$B$25*DATA!$H$1037,DATA!$H$1037,IF(K245&gt;DATA!$H$1036*$B$25,DATA!$H$1036,1))</f>
        <v>0.8</v>
      </c>
      <c r="S245" s="156">
        <f t="shared" si="102"/>
        <v>9.9999999999999995E-8</v>
      </c>
      <c r="U245" s="140">
        <f t="shared" si="67"/>
        <v>2.34E-5</v>
      </c>
      <c r="V245">
        <v>2.34</v>
      </c>
      <c r="W245" s="140">
        <f t="shared" si="68"/>
        <v>2.3399999999999992E-7</v>
      </c>
      <c r="X245" s="140">
        <f t="shared" si="69"/>
        <v>4.679999999999999E-7</v>
      </c>
      <c r="Y245" s="140">
        <f t="shared" si="70"/>
        <v>7.0200000000000001E-7</v>
      </c>
      <c r="Z245" s="140">
        <f t="shared" si="71"/>
        <v>9.3600000000000002E-7</v>
      </c>
      <c r="AA245" s="140">
        <f t="shared" si="72"/>
        <v>1.17E-6</v>
      </c>
      <c r="AB245" s="157">
        <f>IF(U245&lt;$B$41*DATA!$H$1037,DATA!$H$1037,IF(U245&gt;DATA!$H$1036*$B$41,DATA!$H$1036,1))</f>
        <v>0.8</v>
      </c>
      <c r="AC245" s="156">
        <f t="shared" si="103"/>
        <v>9.9999999999999995E-8</v>
      </c>
      <c r="AE245" s="140">
        <f t="shared" si="73"/>
        <v>2.34E-5</v>
      </c>
      <c r="AF245">
        <v>2.34</v>
      </c>
      <c r="AG245" s="140">
        <f t="shared" si="74"/>
        <v>2.3399999999999992E-7</v>
      </c>
      <c r="AH245" s="140">
        <f t="shared" si="75"/>
        <v>4.679999999999999E-7</v>
      </c>
      <c r="AI245" s="140">
        <f t="shared" si="76"/>
        <v>7.0200000000000001E-7</v>
      </c>
      <c r="AJ245" s="140">
        <f t="shared" si="77"/>
        <v>9.3600000000000002E-7</v>
      </c>
      <c r="AK245" s="140">
        <f t="shared" si="78"/>
        <v>1.17E-6</v>
      </c>
      <c r="AL245" s="157">
        <f>IF(AE245&lt;$B$57*DATA!$H$1037,DATA!$H$1037,IF(AE245&gt;DATA!$H$1036*$B$57,DATA!$H$1036,1))</f>
        <v>1.2</v>
      </c>
      <c r="AM245" s="156">
        <f t="shared" si="104"/>
        <v>9.9999999999999995E-8</v>
      </c>
      <c r="AO245" s="140">
        <f t="shared" si="79"/>
        <v>2.34E-5</v>
      </c>
      <c r="AP245">
        <v>2.34</v>
      </c>
      <c r="AQ245" s="140">
        <f t="shared" si="80"/>
        <v>2.3399999999999992E-7</v>
      </c>
      <c r="AR245" s="140">
        <f t="shared" si="81"/>
        <v>4.679999999999999E-7</v>
      </c>
      <c r="AS245" s="140">
        <f t="shared" si="82"/>
        <v>7.0200000000000001E-7</v>
      </c>
      <c r="AT245" s="140">
        <f t="shared" si="83"/>
        <v>9.3600000000000002E-7</v>
      </c>
      <c r="AU245" s="140">
        <f t="shared" si="84"/>
        <v>1.17E-6</v>
      </c>
      <c r="AV245" s="157">
        <f>IF(AO245&lt;$B$73*DATA!$H$1037,DATA!$H$1037,IF(AO245&gt;DATA!$H$1036*$B$73,DATA!$H$1036,1))</f>
        <v>1.2</v>
      </c>
      <c r="AW245" s="156">
        <f t="shared" si="85"/>
        <v>9.9999999999999995E-8</v>
      </c>
      <c r="AY245" s="140">
        <f t="shared" si="86"/>
        <v>2.34E-5</v>
      </c>
      <c r="AZ245">
        <v>2.34</v>
      </c>
      <c r="BA245" s="140">
        <f t="shared" si="87"/>
        <v>2.3399999999999992E-7</v>
      </c>
      <c r="BB245" s="140">
        <f t="shared" si="88"/>
        <v>4.679999999999999E-7</v>
      </c>
      <c r="BC245" s="140">
        <f t="shared" si="89"/>
        <v>7.0200000000000001E-7</v>
      </c>
      <c r="BD245" s="140">
        <f t="shared" si="90"/>
        <v>9.3600000000000002E-7</v>
      </c>
      <c r="BE245" s="140">
        <f t="shared" si="91"/>
        <v>1.17E-6</v>
      </c>
      <c r="BF245" s="157">
        <f>IF(AY245&lt;$B$89*DATA!$H$1037,DATA!$H$1037,IF(AY245&gt;DATA!$H$1036*$B$89,DATA!$H$1036,1))</f>
        <v>1.2</v>
      </c>
      <c r="BG245" s="156">
        <f t="shared" si="92"/>
        <v>9.9999999999999995E-8</v>
      </c>
      <c r="BI245" s="140">
        <f t="shared" si="93"/>
        <v>2.34E-5</v>
      </c>
      <c r="BJ245">
        <v>2.34</v>
      </c>
      <c r="BK245" s="140">
        <f t="shared" si="94"/>
        <v>2.3399999999999992E-7</v>
      </c>
      <c r="BL245" s="140">
        <f t="shared" si="95"/>
        <v>4.679999999999999E-7</v>
      </c>
      <c r="BM245" s="140">
        <f t="shared" si="96"/>
        <v>7.0200000000000001E-7</v>
      </c>
      <c r="BN245" s="140">
        <f t="shared" si="97"/>
        <v>9.3600000000000002E-7</v>
      </c>
      <c r="BO245" s="140">
        <f t="shared" si="98"/>
        <v>1.17E-6</v>
      </c>
      <c r="BP245" s="157">
        <f>IF(BI245&lt;$B$105*DATA!$H$1037,DATA!$H$1037,IF(BI245&gt;DATA!$H$1036*$B$105,DATA!$H$1036,1))</f>
        <v>1.2</v>
      </c>
      <c r="BQ245" s="156">
        <f t="shared" si="99"/>
        <v>9.9999999999999995E-8</v>
      </c>
    </row>
    <row r="246" spans="1:69">
      <c r="A246" s="140">
        <f t="shared" si="59"/>
        <v>2.3600000000000001E-5</v>
      </c>
      <c r="B246">
        <v>2.36</v>
      </c>
      <c r="C246" s="140">
        <f t="shared" si="101"/>
        <v>2.3599999999999994E-7</v>
      </c>
      <c r="D246" s="140">
        <f t="shared" si="101"/>
        <v>4.7199999999999994E-7</v>
      </c>
      <c r="E246" s="140">
        <f t="shared" si="101"/>
        <v>7.0800000000000004E-7</v>
      </c>
      <c r="F246" s="140">
        <f t="shared" si="101"/>
        <v>9.4400000000000009E-7</v>
      </c>
      <c r="G246" s="140">
        <f t="shared" si="101"/>
        <v>1.1800000000000001E-6</v>
      </c>
      <c r="H246" s="157">
        <f>IF(A246&lt;$B$9*DATA!$H$1037,DATA!$H$1037,IF(A246&gt;DATA!$H$1036*$B$9,DATA!$H$1036,1))</f>
        <v>0.8</v>
      </c>
      <c r="I246" s="156">
        <f t="shared" si="105"/>
        <v>9.9999999999999995E-8</v>
      </c>
      <c r="K246" s="140">
        <f t="shared" si="61"/>
        <v>2.3600000000000001E-5</v>
      </c>
      <c r="L246">
        <v>2.36</v>
      </c>
      <c r="M246" s="140">
        <f t="shared" si="62"/>
        <v>2.3599999999999994E-7</v>
      </c>
      <c r="N246" s="140">
        <f t="shared" si="63"/>
        <v>4.7199999999999994E-7</v>
      </c>
      <c r="O246" s="140">
        <f t="shared" si="64"/>
        <v>7.0800000000000004E-7</v>
      </c>
      <c r="P246" s="140">
        <f t="shared" si="65"/>
        <v>9.4400000000000009E-7</v>
      </c>
      <c r="Q246" s="140">
        <f t="shared" si="66"/>
        <v>1.1800000000000001E-6</v>
      </c>
      <c r="R246" s="157">
        <f>IF(K246&lt;$B$25*DATA!$H$1037,DATA!$H$1037,IF(K246&gt;DATA!$H$1036*$B$25,DATA!$H$1036,1))</f>
        <v>0.8</v>
      </c>
      <c r="S246" s="156">
        <f t="shared" si="102"/>
        <v>9.9999999999999995E-8</v>
      </c>
      <c r="U246" s="140">
        <f t="shared" si="67"/>
        <v>2.3600000000000001E-5</v>
      </c>
      <c r="V246">
        <v>2.36</v>
      </c>
      <c r="W246" s="140">
        <f t="shared" si="68"/>
        <v>2.3599999999999994E-7</v>
      </c>
      <c r="X246" s="140">
        <f t="shared" si="69"/>
        <v>4.7199999999999994E-7</v>
      </c>
      <c r="Y246" s="140">
        <f t="shared" si="70"/>
        <v>7.0800000000000004E-7</v>
      </c>
      <c r="Z246" s="140">
        <f t="shared" si="71"/>
        <v>9.4400000000000009E-7</v>
      </c>
      <c r="AA246" s="140">
        <f t="shared" si="72"/>
        <v>1.1800000000000001E-6</v>
      </c>
      <c r="AB246" s="157">
        <f>IF(U246&lt;$B$41*DATA!$H$1037,DATA!$H$1037,IF(U246&gt;DATA!$H$1036*$B$41,DATA!$H$1036,1))</f>
        <v>0.8</v>
      </c>
      <c r="AC246" s="156">
        <f t="shared" si="103"/>
        <v>9.9999999999999995E-8</v>
      </c>
      <c r="AE246" s="140">
        <f t="shared" si="73"/>
        <v>2.3600000000000001E-5</v>
      </c>
      <c r="AF246">
        <v>2.36</v>
      </c>
      <c r="AG246" s="140">
        <f t="shared" si="74"/>
        <v>2.3599999999999994E-7</v>
      </c>
      <c r="AH246" s="140">
        <f t="shared" si="75"/>
        <v>4.7199999999999994E-7</v>
      </c>
      <c r="AI246" s="140">
        <f t="shared" si="76"/>
        <v>7.0800000000000004E-7</v>
      </c>
      <c r="AJ246" s="140">
        <f t="shared" si="77"/>
        <v>9.4400000000000009E-7</v>
      </c>
      <c r="AK246" s="140">
        <f t="shared" si="78"/>
        <v>1.1800000000000001E-6</v>
      </c>
      <c r="AL246" s="157">
        <f>IF(AE246&lt;$B$57*DATA!$H$1037,DATA!$H$1037,IF(AE246&gt;DATA!$H$1036*$B$57,DATA!$H$1036,1))</f>
        <v>1.2</v>
      </c>
      <c r="AM246" s="156">
        <f t="shared" si="104"/>
        <v>9.9999999999999995E-8</v>
      </c>
      <c r="AO246" s="140">
        <f t="shared" si="79"/>
        <v>2.3600000000000001E-5</v>
      </c>
      <c r="AP246">
        <v>2.36</v>
      </c>
      <c r="AQ246" s="140">
        <f t="shared" si="80"/>
        <v>2.3599999999999994E-7</v>
      </c>
      <c r="AR246" s="140">
        <f t="shared" si="81"/>
        <v>4.7199999999999994E-7</v>
      </c>
      <c r="AS246" s="140">
        <f t="shared" si="82"/>
        <v>7.0800000000000004E-7</v>
      </c>
      <c r="AT246" s="140">
        <f t="shared" si="83"/>
        <v>9.4400000000000009E-7</v>
      </c>
      <c r="AU246" s="140">
        <f t="shared" si="84"/>
        <v>1.1800000000000001E-6</v>
      </c>
      <c r="AV246" s="157">
        <f>IF(AO246&lt;$B$73*DATA!$H$1037,DATA!$H$1037,IF(AO246&gt;DATA!$H$1036*$B$73,DATA!$H$1036,1))</f>
        <v>1.2</v>
      </c>
      <c r="AW246" s="156">
        <f t="shared" si="85"/>
        <v>9.9999999999999995E-8</v>
      </c>
      <c r="AY246" s="140">
        <f t="shared" si="86"/>
        <v>2.3600000000000001E-5</v>
      </c>
      <c r="AZ246">
        <v>2.36</v>
      </c>
      <c r="BA246" s="140">
        <f t="shared" si="87"/>
        <v>2.3599999999999994E-7</v>
      </c>
      <c r="BB246" s="140">
        <f t="shared" si="88"/>
        <v>4.7199999999999994E-7</v>
      </c>
      <c r="BC246" s="140">
        <f t="shared" si="89"/>
        <v>7.0800000000000004E-7</v>
      </c>
      <c r="BD246" s="140">
        <f t="shared" si="90"/>
        <v>9.4400000000000009E-7</v>
      </c>
      <c r="BE246" s="140">
        <f t="shared" si="91"/>
        <v>1.1800000000000001E-6</v>
      </c>
      <c r="BF246" s="157">
        <f>IF(AY246&lt;$B$89*DATA!$H$1037,DATA!$H$1037,IF(AY246&gt;DATA!$H$1036*$B$89,DATA!$H$1036,1))</f>
        <v>1.2</v>
      </c>
      <c r="BG246" s="156">
        <f t="shared" si="92"/>
        <v>9.9999999999999995E-8</v>
      </c>
      <c r="BI246" s="140">
        <f t="shared" si="93"/>
        <v>2.3600000000000001E-5</v>
      </c>
      <c r="BJ246">
        <v>2.36</v>
      </c>
      <c r="BK246" s="140">
        <f t="shared" si="94"/>
        <v>2.3599999999999994E-7</v>
      </c>
      <c r="BL246" s="140">
        <f t="shared" si="95"/>
        <v>4.7199999999999994E-7</v>
      </c>
      <c r="BM246" s="140">
        <f t="shared" si="96"/>
        <v>7.0800000000000004E-7</v>
      </c>
      <c r="BN246" s="140">
        <f t="shared" si="97"/>
        <v>9.4400000000000009E-7</v>
      </c>
      <c r="BO246" s="140">
        <f t="shared" si="98"/>
        <v>1.1800000000000001E-6</v>
      </c>
      <c r="BP246" s="157">
        <f>IF(BI246&lt;$B$105*DATA!$H$1037,DATA!$H$1037,IF(BI246&gt;DATA!$H$1036*$B$105,DATA!$H$1036,1))</f>
        <v>1.2</v>
      </c>
      <c r="BQ246" s="156">
        <f t="shared" si="99"/>
        <v>9.9999999999999995E-8</v>
      </c>
    </row>
    <row r="247" spans="1:69">
      <c r="A247" s="140">
        <f t="shared" si="59"/>
        <v>2.3800000000000003E-5</v>
      </c>
      <c r="B247">
        <v>2.38</v>
      </c>
      <c r="C247" s="140">
        <f t="shared" si="101"/>
        <v>2.3799999999999996E-7</v>
      </c>
      <c r="D247" s="140">
        <f t="shared" si="101"/>
        <v>4.7599999999999997E-7</v>
      </c>
      <c r="E247" s="140">
        <f t="shared" si="101"/>
        <v>7.1400000000000007E-7</v>
      </c>
      <c r="F247" s="140">
        <f t="shared" si="101"/>
        <v>9.5200000000000016E-7</v>
      </c>
      <c r="G247" s="140">
        <f t="shared" si="101"/>
        <v>1.1900000000000003E-6</v>
      </c>
      <c r="H247" s="157">
        <f>IF(A247&lt;$B$9*DATA!$H$1037,DATA!$H$1037,IF(A247&gt;DATA!$H$1036*$B$9,DATA!$H$1036,1))</f>
        <v>0.8</v>
      </c>
      <c r="I247" s="156">
        <f t="shared" si="105"/>
        <v>9.9999999999999995E-8</v>
      </c>
      <c r="K247" s="140">
        <f t="shared" si="61"/>
        <v>2.3800000000000003E-5</v>
      </c>
      <c r="L247">
        <v>2.38</v>
      </c>
      <c r="M247" s="140">
        <f t="shared" si="62"/>
        <v>2.3799999999999996E-7</v>
      </c>
      <c r="N247" s="140">
        <f t="shared" si="63"/>
        <v>4.7599999999999997E-7</v>
      </c>
      <c r="O247" s="140">
        <f t="shared" si="64"/>
        <v>7.1400000000000007E-7</v>
      </c>
      <c r="P247" s="140">
        <f t="shared" si="65"/>
        <v>9.5200000000000016E-7</v>
      </c>
      <c r="Q247" s="140">
        <f t="shared" si="66"/>
        <v>1.1900000000000003E-6</v>
      </c>
      <c r="R247" s="157">
        <f>IF(K247&lt;$B$25*DATA!$H$1037,DATA!$H$1037,IF(K247&gt;DATA!$H$1036*$B$25,DATA!$H$1036,1))</f>
        <v>0.8</v>
      </c>
      <c r="S247" s="156">
        <f t="shared" si="102"/>
        <v>9.9999999999999995E-8</v>
      </c>
      <c r="U247" s="140">
        <f t="shared" si="67"/>
        <v>2.3800000000000003E-5</v>
      </c>
      <c r="V247">
        <v>2.38</v>
      </c>
      <c r="W247" s="140">
        <f t="shared" si="68"/>
        <v>2.3799999999999996E-7</v>
      </c>
      <c r="X247" s="140">
        <f t="shared" si="69"/>
        <v>4.7599999999999997E-7</v>
      </c>
      <c r="Y247" s="140">
        <f t="shared" si="70"/>
        <v>7.1400000000000007E-7</v>
      </c>
      <c r="Z247" s="140">
        <f t="shared" si="71"/>
        <v>9.5200000000000016E-7</v>
      </c>
      <c r="AA247" s="140">
        <f t="shared" si="72"/>
        <v>1.1900000000000003E-6</v>
      </c>
      <c r="AB247" s="157">
        <f>IF(U247&lt;$B$41*DATA!$H$1037,DATA!$H$1037,IF(U247&gt;DATA!$H$1036*$B$41,DATA!$H$1036,1))</f>
        <v>0.8</v>
      </c>
      <c r="AC247" s="156">
        <f t="shared" si="103"/>
        <v>9.9999999999999995E-8</v>
      </c>
      <c r="AE247" s="140">
        <f t="shared" si="73"/>
        <v>2.3800000000000003E-5</v>
      </c>
      <c r="AF247">
        <v>2.38</v>
      </c>
      <c r="AG247" s="140">
        <f t="shared" si="74"/>
        <v>2.3799999999999996E-7</v>
      </c>
      <c r="AH247" s="140">
        <f t="shared" si="75"/>
        <v>4.7599999999999997E-7</v>
      </c>
      <c r="AI247" s="140">
        <f t="shared" si="76"/>
        <v>7.1400000000000007E-7</v>
      </c>
      <c r="AJ247" s="140">
        <f t="shared" si="77"/>
        <v>9.5200000000000016E-7</v>
      </c>
      <c r="AK247" s="140">
        <f t="shared" si="78"/>
        <v>1.1900000000000003E-6</v>
      </c>
      <c r="AL247" s="157">
        <f>IF(AE247&lt;$B$57*DATA!$H$1037,DATA!$H$1037,IF(AE247&gt;DATA!$H$1036*$B$57,DATA!$H$1036,1))</f>
        <v>1.2</v>
      </c>
      <c r="AM247" s="156">
        <f t="shared" si="104"/>
        <v>9.9999999999999995E-8</v>
      </c>
      <c r="AO247" s="140">
        <f t="shared" si="79"/>
        <v>2.3800000000000003E-5</v>
      </c>
      <c r="AP247">
        <v>2.38</v>
      </c>
      <c r="AQ247" s="140">
        <f t="shared" si="80"/>
        <v>2.3799999999999996E-7</v>
      </c>
      <c r="AR247" s="140">
        <f t="shared" si="81"/>
        <v>4.7599999999999997E-7</v>
      </c>
      <c r="AS247" s="140">
        <f t="shared" si="82"/>
        <v>7.1400000000000007E-7</v>
      </c>
      <c r="AT247" s="140">
        <f t="shared" si="83"/>
        <v>9.5200000000000016E-7</v>
      </c>
      <c r="AU247" s="140">
        <f t="shared" si="84"/>
        <v>1.1900000000000003E-6</v>
      </c>
      <c r="AV247" s="157">
        <f>IF(AO247&lt;$B$73*DATA!$H$1037,DATA!$H$1037,IF(AO247&gt;DATA!$H$1036*$B$73,DATA!$H$1036,1))</f>
        <v>1.2</v>
      </c>
      <c r="AW247" s="156">
        <f t="shared" si="85"/>
        <v>9.9999999999999995E-8</v>
      </c>
      <c r="AY247" s="140">
        <f t="shared" si="86"/>
        <v>2.3800000000000003E-5</v>
      </c>
      <c r="AZ247">
        <v>2.38</v>
      </c>
      <c r="BA247" s="140">
        <f t="shared" si="87"/>
        <v>2.3799999999999996E-7</v>
      </c>
      <c r="BB247" s="140">
        <f t="shared" si="88"/>
        <v>4.7599999999999997E-7</v>
      </c>
      <c r="BC247" s="140">
        <f t="shared" si="89"/>
        <v>7.1400000000000007E-7</v>
      </c>
      <c r="BD247" s="140">
        <f t="shared" si="90"/>
        <v>9.5200000000000016E-7</v>
      </c>
      <c r="BE247" s="140">
        <f t="shared" si="91"/>
        <v>1.1900000000000003E-6</v>
      </c>
      <c r="BF247" s="157">
        <f>IF(AY247&lt;$B$89*DATA!$H$1037,DATA!$H$1037,IF(AY247&gt;DATA!$H$1036*$B$89,DATA!$H$1036,1))</f>
        <v>1.2</v>
      </c>
      <c r="BG247" s="156">
        <f t="shared" si="92"/>
        <v>9.9999999999999995E-8</v>
      </c>
      <c r="BI247" s="140">
        <f t="shared" si="93"/>
        <v>2.3800000000000003E-5</v>
      </c>
      <c r="BJ247">
        <v>2.38</v>
      </c>
      <c r="BK247" s="140">
        <f t="shared" si="94"/>
        <v>2.3799999999999996E-7</v>
      </c>
      <c r="BL247" s="140">
        <f t="shared" si="95"/>
        <v>4.7599999999999997E-7</v>
      </c>
      <c r="BM247" s="140">
        <f t="shared" si="96"/>
        <v>7.1400000000000007E-7</v>
      </c>
      <c r="BN247" s="140">
        <f t="shared" si="97"/>
        <v>9.5200000000000016E-7</v>
      </c>
      <c r="BO247" s="140">
        <f t="shared" si="98"/>
        <v>1.1900000000000003E-6</v>
      </c>
      <c r="BP247" s="157">
        <f>IF(BI247&lt;$B$105*DATA!$H$1037,DATA!$H$1037,IF(BI247&gt;DATA!$H$1036*$B$105,DATA!$H$1036,1))</f>
        <v>1.2</v>
      </c>
      <c r="BQ247" s="156">
        <f t="shared" si="99"/>
        <v>9.9999999999999995E-8</v>
      </c>
    </row>
    <row r="248" spans="1:69">
      <c r="A248" s="140">
        <f t="shared" si="59"/>
        <v>2.4000000000000001E-5</v>
      </c>
      <c r="B248">
        <v>2.4</v>
      </c>
      <c r="C248" s="140">
        <f t="shared" si="101"/>
        <v>2.3999999999999993E-7</v>
      </c>
      <c r="D248" s="140">
        <f t="shared" si="101"/>
        <v>4.7999999999999996E-7</v>
      </c>
      <c r="E248" s="140">
        <f t="shared" si="101"/>
        <v>7.1999999999999999E-7</v>
      </c>
      <c r="F248" s="140">
        <f t="shared" si="101"/>
        <v>9.6000000000000013E-7</v>
      </c>
      <c r="G248" s="140">
        <f t="shared" si="101"/>
        <v>1.2000000000000002E-6</v>
      </c>
      <c r="H248" s="157">
        <f>IF(A248&lt;$B$9*DATA!$H$1037,DATA!$H$1037,IF(A248&gt;DATA!$H$1036*$B$9,DATA!$H$1036,1))</f>
        <v>0.8</v>
      </c>
      <c r="I248" s="156">
        <f t="shared" si="105"/>
        <v>9.9999999999999995E-8</v>
      </c>
      <c r="K248" s="140">
        <f t="shared" si="61"/>
        <v>2.4000000000000001E-5</v>
      </c>
      <c r="L248">
        <v>2.4</v>
      </c>
      <c r="M248" s="140">
        <f t="shared" si="62"/>
        <v>2.3999999999999993E-7</v>
      </c>
      <c r="N248" s="140">
        <f t="shared" si="63"/>
        <v>4.7999999999999996E-7</v>
      </c>
      <c r="O248" s="140">
        <f t="shared" si="64"/>
        <v>7.1999999999999999E-7</v>
      </c>
      <c r="P248" s="140">
        <f t="shared" si="65"/>
        <v>9.6000000000000013E-7</v>
      </c>
      <c r="Q248" s="140">
        <f t="shared" si="66"/>
        <v>1.2000000000000002E-6</v>
      </c>
      <c r="R248" s="157">
        <f>IF(K248&lt;$B$25*DATA!$H$1037,DATA!$H$1037,IF(K248&gt;DATA!$H$1036*$B$25,DATA!$H$1036,1))</f>
        <v>0.8</v>
      </c>
      <c r="S248" s="156">
        <f t="shared" si="102"/>
        <v>9.9999999999999995E-8</v>
      </c>
      <c r="U248" s="140">
        <f t="shared" si="67"/>
        <v>2.4000000000000001E-5</v>
      </c>
      <c r="V248">
        <v>2.4</v>
      </c>
      <c r="W248" s="140">
        <f t="shared" si="68"/>
        <v>2.3999999999999993E-7</v>
      </c>
      <c r="X248" s="140">
        <f t="shared" si="69"/>
        <v>4.7999999999999996E-7</v>
      </c>
      <c r="Y248" s="140">
        <f t="shared" si="70"/>
        <v>7.1999999999999999E-7</v>
      </c>
      <c r="Z248" s="140">
        <f t="shared" si="71"/>
        <v>9.6000000000000013E-7</v>
      </c>
      <c r="AA248" s="140">
        <f t="shared" si="72"/>
        <v>1.2000000000000002E-6</v>
      </c>
      <c r="AB248" s="157">
        <f>IF(U248&lt;$B$41*DATA!$H$1037,DATA!$H$1037,IF(U248&gt;DATA!$H$1036*$B$41,DATA!$H$1036,1))</f>
        <v>0.8</v>
      </c>
      <c r="AC248" s="156">
        <f t="shared" si="103"/>
        <v>9.9999999999999995E-8</v>
      </c>
      <c r="AE248" s="140">
        <f t="shared" si="73"/>
        <v>2.4000000000000001E-5</v>
      </c>
      <c r="AF248">
        <v>2.4</v>
      </c>
      <c r="AG248" s="140">
        <f t="shared" si="74"/>
        <v>2.3999999999999993E-7</v>
      </c>
      <c r="AH248" s="140">
        <f t="shared" si="75"/>
        <v>4.7999999999999996E-7</v>
      </c>
      <c r="AI248" s="140">
        <f t="shared" si="76"/>
        <v>7.1999999999999999E-7</v>
      </c>
      <c r="AJ248" s="140">
        <f t="shared" si="77"/>
        <v>9.6000000000000013E-7</v>
      </c>
      <c r="AK248" s="140">
        <f t="shared" si="78"/>
        <v>1.2000000000000002E-6</v>
      </c>
      <c r="AL248" s="157">
        <f>IF(AE248&lt;$B$57*DATA!$H$1037,DATA!$H$1037,IF(AE248&gt;DATA!$H$1036*$B$57,DATA!$H$1036,1))</f>
        <v>1.2</v>
      </c>
      <c r="AM248" s="156">
        <f t="shared" si="104"/>
        <v>9.9999999999999995E-8</v>
      </c>
      <c r="AO248" s="140">
        <f t="shared" si="79"/>
        <v>2.4000000000000001E-5</v>
      </c>
      <c r="AP248">
        <v>2.4</v>
      </c>
      <c r="AQ248" s="140">
        <f t="shared" si="80"/>
        <v>2.3999999999999993E-7</v>
      </c>
      <c r="AR248" s="140">
        <f t="shared" si="81"/>
        <v>4.7999999999999996E-7</v>
      </c>
      <c r="AS248" s="140">
        <f t="shared" si="82"/>
        <v>7.1999999999999999E-7</v>
      </c>
      <c r="AT248" s="140">
        <f t="shared" si="83"/>
        <v>9.6000000000000013E-7</v>
      </c>
      <c r="AU248" s="140">
        <f t="shared" si="84"/>
        <v>1.2000000000000002E-6</v>
      </c>
      <c r="AV248" s="157">
        <f>IF(AO248&lt;$B$73*DATA!$H$1037,DATA!$H$1037,IF(AO248&gt;DATA!$H$1036*$B$73,DATA!$H$1036,1))</f>
        <v>1.2</v>
      </c>
      <c r="AW248" s="156">
        <f t="shared" si="85"/>
        <v>9.9999999999999995E-8</v>
      </c>
      <c r="AY248" s="140">
        <f t="shared" si="86"/>
        <v>2.4000000000000001E-5</v>
      </c>
      <c r="AZ248">
        <v>2.4</v>
      </c>
      <c r="BA248" s="140">
        <f t="shared" si="87"/>
        <v>2.3999999999999993E-7</v>
      </c>
      <c r="BB248" s="140">
        <f t="shared" si="88"/>
        <v>4.7999999999999996E-7</v>
      </c>
      <c r="BC248" s="140">
        <f t="shared" si="89"/>
        <v>7.1999999999999999E-7</v>
      </c>
      <c r="BD248" s="140">
        <f t="shared" si="90"/>
        <v>9.6000000000000013E-7</v>
      </c>
      <c r="BE248" s="140">
        <f t="shared" si="91"/>
        <v>1.2000000000000002E-6</v>
      </c>
      <c r="BF248" s="157">
        <f>IF(AY248&lt;$B$89*DATA!$H$1037,DATA!$H$1037,IF(AY248&gt;DATA!$H$1036*$B$89,DATA!$H$1036,1))</f>
        <v>1.2</v>
      </c>
      <c r="BG248" s="156">
        <f t="shared" si="92"/>
        <v>9.9999999999999995E-8</v>
      </c>
      <c r="BI248" s="140">
        <f t="shared" si="93"/>
        <v>2.4000000000000001E-5</v>
      </c>
      <c r="BJ248">
        <v>2.4</v>
      </c>
      <c r="BK248" s="140">
        <f t="shared" si="94"/>
        <v>2.3999999999999993E-7</v>
      </c>
      <c r="BL248" s="140">
        <f t="shared" si="95"/>
        <v>4.7999999999999996E-7</v>
      </c>
      <c r="BM248" s="140">
        <f t="shared" si="96"/>
        <v>7.1999999999999999E-7</v>
      </c>
      <c r="BN248" s="140">
        <f t="shared" si="97"/>
        <v>9.6000000000000013E-7</v>
      </c>
      <c r="BO248" s="140">
        <f t="shared" si="98"/>
        <v>1.2000000000000002E-6</v>
      </c>
      <c r="BP248" s="157">
        <f>IF(BI248&lt;$B$105*DATA!$H$1037,DATA!$H$1037,IF(BI248&gt;DATA!$H$1036*$B$105,DATA!$H$1036,1))</f>
        <v>1.2</v>
      </c>
      <c r="BQ248" s="156">
        <f t="shared" si="99"/>
        <v>9.9999999999999995E-8</v>
      </c>
    </row>
    <row r="249" spans="1:69">
      <c r="A249" s="140">
        <f t="shared" si="59"/>
        <v>2.4200000000000002E-5</v>
      </c>
      <c r="B249">
        <v>2.42</v>
      </c>
      <c r="C249" s="140">
        <f t="shared" si="101"/>
        <v>2.4199999999999992E-7</v>
      </c>
      <c r="D249" s="140">
        <f t="shared" si="101"/>
        <v>4.8399999999999994E-7</v>
      </c>
      <c r="E249" s="140">
        <f t="shared" si="101"/>
        <v>7.2600000000000002E-7</v>
      </c>
      <c r="F249" s="140">
        <f t="shared" si="101"/>
        <v>9.6800000000000009E-7</v>
      </c>
      <c r="G249" s="140">
        <f t="shared" si="101"/>
        <v>1.2100000000000003E-6</v>
      </c>
      <c r="H249" s="157">
        <f>IF(A249&lt;$B$9*DATA!$H$1037,DATA!$H$1037,IF(A249&gt;DATA!$H$1036*$B$9,DATA!$H$1036,1))</f>
        <v>0.8</v>
      </c>
      <c r="I249" s="156">
        <f t="shared" si="105"/>
        <v>9.9999999999999995E-8</v>
      </c>
      <c r="K249" s="140">
        <f t="shared" si="61"/>
        <v>2.4200000000000002E-5</v>
      </c>
      <c r="L249">
        <v>2.42</v>
      </c>
      <c r="M249" s="140">
        <f t="shared" si="62"/>
        <v>2.4199999999999992E-7</v>
      </c>
      <c r="N249" s="140">
        <f t="shared" si="63"/>
        <v>4.8399999999999994E-7</v>
      </c>
      <c r="O249" s="140">
        <f t="shared" si="64"/>
        <v>7.2600000000000002E-7</v>
      </c>
      <c r="P249" s="140">
        <f t="shared" si="65"/>
        <v>9.6800000000000009E-7</v>
      </c>
      <c r="Q249" s="140">
        <f t="shared" si="66"/>
        <v>1.2100000000000003E-6</v>
      </c>
      <c r="R249" s="157">
        <f>IF(K249&lt;$B$25*DATA!$H$1037,DATA!$H$1037,IF(K249&gt;DATA!$H$1036*$B$25,DATA!$H$1036,1))</f>
        <v>0.8</v>
      </c>
      <c r="S249" s="156">
        <f t="shared" si="102"/>
        <v>9.9999999999999995E-8</v>
      </c>
      <c r="U249" s="140">
        <f t="shared" si="67"/>
        <v>2.4200000000000002E-5</v>
      </c>
      <c r="V249">
        <v>2.42</v>
      </c>
      <c r="W249" s="140">
        <f t="shared" si="68"/>
        <v>2.4199999999999992E-7</v>
      </c>
      <c r="X249" s="140">
        <f t="shared" si="69"/>
        <v>4.8399999999999994E-7</v>
      </c>
      <c r="Y249" s="140">
        <f t="shared" si="70"/>
        <v>7.2600000000000002E-7</v>
      </c>
      <c r="Z249" s="140">
        <f t="shared" si="71"/>
        <v>9.6800000000000009E-7</v>
      </c>
      <c r="AA249" s="140">
        <f t="shared" si="72"/>
        <v>1.2100000000000003E-6</v>
      </c>
      <c r="AB249" s="157">
        <f>IF(U249&lt;$B$41*DATA!$H$1037,DATA!$H$1037,IF(U249&gt;DATA!$H$1036*$B$41,DATA!$H$1036,1))</f>
        <v>0.8</v>
      </c>
      <c r="AC249" s="156">
        <f t="shared" si="103"/>
        <v>9.9999999999999995E-8</v>
      </c>
      <c r="AE249" s="140">
        <f t="shared" si="73"/>
        <v>2.4200000000000002E-5</v>
      </c>
      <c r="AF249">
        <v>2.42</v>
      </c>
      <c r="AG249" s="140">
        <f t="shared" si="74"/>
        <v>2.4199999999999992E-7</v>
      </c>
      <c r="AH249" s="140">
        <f t="shared" si="75"/>
        <v>4.8399999999999994E-7</v>
      </c>
      <c r="AI249" s="140">
        <f t="shared" si="76"/>
        <v>7.2600000000000002E-7</v>
      </c>
      <c r="AJ249" s="140">
        <f t="shared" si="77"/>
        <v>9.6800000000000009E-7</v>
      </c>
      <c r="AK249" s="140">
        <f t="shared" si="78"/>
        <v>1.2100000000000003E-6</v>
      </c>
      <c r="AL249" s="157">
        <f>IF(AE249&lt;$B$57*DATA!$H$1037,DATA!$H$1037,IF(AE249&gt;DATA!$H$1036*$B$57,DATA!$H$1036,1))</f>
        <v>1.2</v>
      </c>
      <c r="AM249" s="156">
        <f t="shared" si="104"/>
        <v>9.9999999999999995E-8</v>
      </c>
      <c r="AO249" s="140">
        <f t="shared" si="79"/>
        <v>2.4200000000000002E-5</v>
      </c>
      <c r="AP249">
        <v>2.42</v>
      </c>
      <c r="AQ249" s="140">
        <f t="shared" si="80"/>
        <v>2.4199999999999992E-7</v>
      </c>
      <c r="AR249" s="140">
        <f t="shared" si="81"/>
        <v>4.8399999999999994E-7</v>
      </c>
      <c r="AS249" s="140">
        <f t="shared" si="82"/>
        <v>7.2600000000000002E-7</v>
      </c>
      <c r="AT249" s="140">
        <f t="shared" si="83"/>
        <v>9.6800000000000009E-7</v>
      </c>
      <c r="AU249" s="140">
        <f t="shared" si="84"/>
        <v>1.2100000000000003E-6</v>
      </c>
      <c r="AV249" s="157">
        <f>IF(AO249&lt;$B$73*DATA!$H$1037,DATA!$H$1037,IF(AO249&gt;DATA!$H$1036*$B$73,DATA!$H$1036,1))</f>
        <v>1.2</v>
      </c>
      <c r="AW249" s="156">
        <f t="shared" si="85"/>
        <v>9.9999999999999995E-8</v>
      </c>
      <c r="AY249" s="140">
        <f t="shared" si="86"/>
        <v>2.4200000000000002E-5</v>
      </c>
      <c r="AZ249">
        <v>2.42</v>
      </c>
      <c r="BA249" s="140">
        <f t="shared" si="87"/>
        <v>2.4199999999999992E-7</v>
      </c>
      <c r="BB249" s="140">
        <f t="shared" si="88"/>
        <v>4.8399999999999994E-7</v>
      </c>
      <c r="BC249" s="140">
        <f t="shared" si="89"/>
        <v>7.2600000000000002E-7</v>
      </c>
      <c r="BD249" s="140">
        <f t="shared" si="90"/>
        <v>9.6800000000000009E-7</v>
      </c>
      <c r="BE249" s="140">
        <f t="shared" si="91"/>
        <v>1.2100000000000003E-6</v>
      </c>
      <c r="BF249" s="157">
        <f>IF(AY249&lt;$B$89*DATA!$H$1037,DATA!$H$1037,IF(AY249&gt;DATA!$H$1036*$B$89,DATA!$H$1036,1))</f>
        <v>1.2</v>
      </c>
      <c r="BG249" s="156">
        <f t="shared" si="92"/>
        <v>9.9999999999999995E-8</v>
      </c>
      <c r="BI249" s="140">
        <f t="shared" si="93"/>
        <v>2.4200000000000002E-5</v>
      </c>
      <c r="BJ249">
        <v>2.42</v>
      </c>
      <c r="BK249" s="140">
        <f t="shared" si="94"/>
        <v>2.4199999999999992E-7</v>
      </c>
      <c r="BL249" s="140">
        <f t="shared" si="95"/>
        <v>4.8399999999999994E-7</v>
      </c>
      <c r="BM249" s="140">
        <f t="shared" si="96"/>
        <v>7.2600000000000002E-7</v>
      </c>
      <c r="BN249" s="140">
        <f t="shared" si="97"/>
        <v>9.6800000000000009E-7</v>
      </c>
      <c r="BO249" s="140">
        <f t="shared" si="98"/>
        <v>1.2100000000000003E-6</v>
      </c>
      <c r="BP249" s="157">
        <f>IF(BI249&lt;$B$105*DATA!$H$1037,DATA!$H$1037,IF(BI249&gt;DATA!$H$1036*$B$105,DATA!$H$1036,1))</f>
        <v>1.2</v>
      </c>
      <c r="BQ249" s="156">
        <f t="shared" si="99"/>
        <v>9.9999999999999995E-8</v>
      </c>
    </row>
    <row r="250" spans="1:69">
      <c r="A250" s="140">
        <f t="shared" si="59"/>
        <v>2.44E-5</v>
      </c>
      <c r="B250">
        <v>2.44</v>
      </c>
      <c r="C250" s="140">
        <f t="shared" si="101"/>
        <v>2.4399999999999991E-7</v>
      </c>
      <c r="D250" s="140">
        <f t="shared" si="101"/>
        <v>4.8799999999999992E-7</v>
      </c>
      <c r="E250" s="140">
        <f t="shared" si="101"/>
        <v>7.3199999999999994E-7</v>
      </c>
      <c r="F250" s="140">
        <f t="shared" si="101"/>
        <v>9.7600000000000006E-7</v>
      </c>
      <c r="G250" s="140">
        <f t="shared" si="101"/>
        <v>1.2200000000000002E-6</v>
      </c>
      <c r="H250" s="157">
        <f>IF(A250&lt;$B$9*DATA!$H$1037,DATA!$H$1037,IF(A250&gt;DATA!$H$1036*$B$9,DATA!$H$1036,1))</f>
        <v>0.8</v>
      </c>
      <c r="I250" s="156">
        <f t="shared" si="105"/>
        <v>9.9999999999999995E-8</v>
      </c>
      <c r="K250" s="140">
        <f t="shared" si="61"/>
        <v>2.44E-5</v>
      </c>
      <c r="L250">
        <v>2.44</v>
      </c>
      <c r="M250" s="140">
        <f t="shared" si="62"/>
        <v>2.4399999999999991E-7</v>
      </c>
      <c r="N250" s="140">
        <f t="shared" si="63"/>
        <v>4.8799999999999992E-7</v>
      </c>
      <c r="O250" s="140">
        <f t="shared" si="64"/>
        <v>7.3199999999999994E-7</v>
      </c>
      <c r="P250" s="140">
        <f t="shared" si="65"/>
        <v>9.7600000000000006E-7</v>
      </c>
      <c r="Q250" s="140">
        <f t="shared" si="66"/>
        <v>1.2200000000000002E-6</v>
      </c>
      <c r="R250" s="157">
        <f>IF(K250&lt;$B$25*DATA!$H$1037,DATA!$H$1037,IF(K250&gt;DATA!$H$1036*$B$25,DATA!$H$1036,1))</f>
        <v>0.8</v>
      </c>
      <c r="S250" s="156">
        <f t="shared" si="102"/>
        <v>9.9999999999999995E-8</v>
      </c>
      <c r="U250" s="140">
        <f t="shared" si="67"/>
        <v>2.44E-5</v>
      </c>
      <c r="V250">
        <v>2.44</v>
      </c>
      <c r="W250" s="140">
        <f t="shared" si="68"/>
        <v>2.4399999999999991E-7</v>
      </c>
      <c r="X250" s="140">
        <f t="shared" si="69"/>
        <v>4.8799999999999992E-7</v>
      </c>
      <c r="Y250" s="140">
        <f t="shared" si="70"/>
        <v>7.3199999999999994E-7</v>
      </c>
      <c r="Z250" s="140">
        <f t="shared" si="71"/>
        <v>9.7600000000000006E-7</v>
      </c>
      <c r="AA250" s="140">
        <f t="shared" si="72"/>
        <v>1.2200000000000002E-6</v>
      </c>
      <c r="AB250" s="157">
        <f>IF(U250&lt;$B$41*DATA!$H$1037,DATA!$H$1037,IF(U250&gt;DATA!$H$1036*$B$41,DATA!$H$1036,1))</f>
        <v>0.8</v>
      </c>
      <c r="AC250" s="156">
        <f t="shared" si="103"/>
        <v>9.9999999999999995E-8</v>
      </c>
      <c r="AE250" s="140">
        <f t="shared" si="73"/>
        <v>2.44E-5</v>
      </c>
      <c r="AF250">
        <v>2.44</v>
      </c>
      <c r="AG250" s="140">
        <f t="shared" si="74"/>
        <v>2.4399999999999991E-7</v>
      </c>
      <c r="AH250" s="140">
        <f t="shared" si="75"/>
        <v>4.8799999999999992E-7</v>
      </c>
      <c r="AI250" s="140">
        <f t="shared" si="76"/>
        <v>7.3199999999999994E-7</v>
      </c>
      <c r="AJ250" s="140">
        <f t="shared" si="77"/>
        <v>9.7600000000000006E-7</v>
      </c>
      <c r="AK250" s="140">
        <f t="shared" si="78"/>
        <v>1.2200000000000002E-6</v>
      </c>
      <c r="AL250" s="157">
        <f>IF(AE250&lt;$B$57*DATA!$H$1037,DATA!$H$1037,IF(AE250&gt;DATA!$H$1036*$B$57,DATA!$H$1036,1))</f>
        <v>1.2</v>
      </c>
      <c r="AM250" s="156">
        <f t="shared" si="104"/>
        <v>9.9999999999999995E-8</v>
      </c>
      <c r="AO250" s="140">
        <f t="shared" si="79"/>
        <v>2.44E-5</v>
      </c>
      <c r="AP250">
        <v>2.44</v>
      </c>
      <c r="AQ250" s="140">
        <f t="shared" si="80"/>
        <v>2.4399999999999991E-7</v>
      </c>
      <c r="AR250" s="140">
        <f t="shared" si="81"/>
        <v>4.8799999999999992E-7</v>
      </c>
      <c r="AS250" s="140">
        <f t="shared" si="82"/>
        <v>7.3199999999999994E-7</v>
      </c>
      <c r="AT250" s="140">
        <f t="shared" si="83"/>
        <v>9.7600000000000006E-7</v>
      </c>
      <c r="AU250" s="140">
        <f t="shared" si="84"/>
        <v>1.2200000000000002E-6</v>
      </c>
      <c r="AV250" s="157">
        <f>IF(AO250&lt;$B$73*DATA!$H$1037,DATA!$H$1037,IF(AO250&gt;DATA!$H$1036*$B$73,DATA!$H$1036,1))</f>
        <v>1.2</v>
      </c>
      <c r="AW250" s="156">
        <f t="shared" si="85"/>
        <v>9.9999999999999995E-8</v>
      </c>
      <c r="AY250" s="140">
        <f t="shared" si="86"/>
        <v>2.44E-5</v>
      </c>
      <c r="AZ250">
        <v>2.44</v>
      </c>
      <c r="BA250" s="140">
        <f t="shared" si="87"/>
        <v>2.4399999999999991E-7</v>
      </c>
      <c r="BB250" s="140">
        <f t="shared" si="88"/>
        <v>4.8799999999999992E-7</v>
      </c>
      <c r="BC250" s="140">
        <f t="shared" si="89"/>
        <v>7.3199999999999994E-7</v>
      </c>
      <c r="BD250" s="140">
        <f t="shared" si="90"/>
        <v>9.7600000000000006E-7</v>
      </c>
      <c r="BE250" s="140">
        <f t="shared" si="91"/>
        <v>1.2200000000000002E-6</v>
      </c>
      <c r="BF250" s="157">
        <f>IF(AY250&lt;$B$89*DATA!$H$1037,DATA!$H$1037,IF(AY250&gt;DATA!$H$1036*$B$89,DATA!$H$1036,1))</f>
        <v>1.2</v>
      </c>
      <c r="BG250" s="156">
        <f t="shared" si="92"/>
        <v>9.9999999999999995E-8</v>
      </c>
      <c r="BI250" s="140">
        <f t="shared" si="93"/>
        <v>2.44E-5</v>
      </c>
      <c r="BJ250">
        <v>2.44</v>
      </c>
      <c r="BK250" s="140">
        <f t="shared" si="94"/>
        <v>2.4399999999999991E-7</v>
      </c>
      <c r="BL250" s="140">
        <f t="shared" si="95"/>
        <v>4.8799999999999992E-7</v>
      </c>
      <c r="BM250" s="140">
        <f t="shared" si="96"/>
        <v>7.3199999999999994E-7</v>
      </c>
      <c r="BN250" s="140">
        <f t="shared" si="97"/>
        <v>9.7600000000000006E-7</v>
      </c>
      <c r="BO250" s="140">
        <f t="shared" si="98"/>
        <v>1.2200000000000002E-6</v>
      </c>
      <c r="BP250" s="157">
        <f>IF(BI250&lt;$B$105*DATA!$H$1037,DATA!$H$1037,IF(BI250&gt;DATA!$H$1036*$B$105,DATA!$H$1036,1))</f>
        <v>1.2</v>
      </c>
      <c r="BQ250" s="156">
        <f t="shared" si="99"/>
        <v>9.9999999999999995E-8</v>
      </c>
    </row>
    <row r="251" spans="1:69">
      <c r="A251" s="140">
        <f t="shared" si="59"/>
        <v>2.4600000000000002E-5</v>
      </c>
      <c r="B251">
        <v>2.46</v>
      </c>
      <c r="C251" s="140">
        <f t="shared" si="101"/>
        <v>2.4599999999999995E-7</v>
      </c>
      <c r="D251" s="140">
        <f t="shared" si="101"/>
        <v>4.9199999999999991E-7</v>
      </c>
      <c r="E251" s="140">
        <f t="shared" si="101"/>
        <v>7.3800000000000007E-7</v>
      </c>
      <c r="F251" s="140">
        <f t="shared" si="101"/>
        <v>9.8400000000000002E-7</v>
      </c>
      <c r="G251" s="140">
        <f t="shared" si="101"/>
        <v>1.2300000000000001E-6</v>
      </c>
      <c r="H251" s="157">
        <f>IF(A251&lt;$B$9*DATA!$H$1037,DATA!$H$1037,IF(A251&gt;DATA!$H$1036*$B$9,DATA!$H$1036,1))</f>
        <v>0.8</v>
      </c>
      <c r="I251" s="156">
        <f t="shared" si="105"/>
        <v>9.9999999999999995E-8</v>
      </c>
      <c r="K251" s="140">
        <f t="shared" si="61"/>
        <v>2.4600000000000002E-5</v>
      </c>
      <c r="L251">
        <v>2.46</v>
      </c>
      <c r="M251" s="140">
        <f t="shared" si="62"/>
        <v>2.4599999999999995E-7</v>
      </c>
      <c r="N251" s="140">
        <f t="shared" si="63"/>
        <v>4.9199999999999991E-7</v>
      </c>
      <c r="O251" s="140">
        <f t="shared" si="64"/>
        <v>7.3800000000000007E-7</v>
      </c>
      <c r="P251" s="140">
        <f t="shared" si="65"/>
        <v>9.8400000000000002E-7</v>
      </c>
      <c r="Q251" s="140">
        <f t="shared" si="66"/>
        <v>1.2300000000000001E-6</v>
      </c>
      <c r="R251" s="157">
        <f>IF(K251&lt;$B$25*DATA!$H$1037,DATA!$H$1037,IF(K251&gt;DATA!$H$1036*$B$25,DATA!$H$1036,1))</f>
        <v>0.8</v>
      </c>
      <c r="S251" s="156">
        <f t="shared" si="102"/>
        <v>9.9999999999999995E-8</v>
      </c>
      <c r="U251" s="140">
        <f t="shared" si="67"/>
        <v>2.4600000000000002E-5</v>
      </c>
      <c r="V251">
        <v>2.46</v>
      </c>
      <c r="W251" s="140">
        <f t="shared" si="68"/>
        <v>2.4599999999999995E-7</v>
      </c>
      <c r="X251" s="140">
        <f t="shared" si="69"/>
        <v>4.9199999999999991E-7</v>
      </c>
      <c r="Y251" s="140">
        <f t="shared" si="70"/>
        <v>7.3800000000000007E-7</v>
      </c>
      <c r="Z251" s="140">
        <f t="shared" si="71"/>
        <v>9.8400000000000002E-7</v>
      </c>
      <c r="AA251" s="140">
        <f t="shared" si="72"/>
        <v>1.2300000000000001E-6</v>
      </c>
      <c r="AB251" s="157">
        <f>IF(U251&lt;$B$41*DATA!$H$1037,DATA!$H$1037,IF(U251&gt;DATA!$H$1036*$B$41,DATA!$H$1036,1))</f>
        <v>0.8</v>
      </c>
      <c r="AC251" s="156">
        <f t="shared" si="103"/>
        <v>9.9999999999999995E-8</v>
      </c>
      <c r="AE251" s="140">
        <f t="shared" si="73"/>
        <v>2.4600000000000002E-5</v>
      </c>
      <c r="AF251">
        <v>2.46</v>
      </c>
      <c r="AG251" s="140">
        <f t="shared" si="74"/>
        <v>2.4599999999999995E-7</v>
      </c>
      <c r="AH251" s="140">
        <f t="shared" si="75"/>
        <v>4.9199999999999991E-7</v>
      </c>
      <c r="AI251" s="140">
        <f t="shared" si="76"/>
        <v>7.3800000000000007E-7</v>
      </c>
      <c r="AJ251" s="140">
        <f t="shared" si="77"/>
        <v>9.8400000000000002E-7</v>
      </c>
      <c r="AK251" s="140">
        <f t="shared" si="78"/>
        <v>1.2300000000000001E-6</v>
      </c>
      <c r="AL251" s="157">
        <f>IF(AE251&lt;$B$57*DATA!$H$1037,DATA!$H$1037,IF(AE251&gt;DATA!$H$1036*$B$57,DATA!$H$1036,1))</f>
        <v>1.2</v>
      </c>
      <c r="AM251" s="156">
        <f t="shared" si="104"/>
        <v>9.9999999999999995E-8</v>
      </c>
      <c r="AO251" s="140">
        <f t="shared" si="79"/>
        <v>2.4600000000000002E-5</v>
      </c>
      <c r="AP251">
        <v>2.46</v>
      </c>
      <c r="AQ251" s="140">
        <f t="shared" si="80"/>
        <v>2.4599999999999995E-7</v>
      </c>
      <c r="AR251" s="140">
        <f t="shared" si="81"/>
        <v>4.9199999999999991E-7</v>
      </c>
      <c r="AS251" s="140">
        <f t="shared" si="82"/>
        <v>7.3800000000000007E-7</v>
      </c>
      <c r="AT251" s="140">
        <f t="shared" si="83"/>
        <v>9.8400000000000002E-7</v>
      </c>
      <c r="AU251" s="140">
        <f t="shared" si="84"/>
        <v>1.2300000000000001E-6</v>
      </c>
      <c r="AV251" s="157">
        <f>IF(AO251&lt;$B$73*DATA!$H$1037,DATA!$H$1037,IF(AO251&gt;DATA!$H$1036*$B$73,DATA!$H$1036,1))</f>
        <v>1.2</v>
      </c>
      <c r="AW251" s="156">
        <f t="shared" si="85"/>
        <v>9.9999999999999995E-8</v>
      </c>
      <c r="AY251" s="140">
        <f t="shared" si="86"/>
        <v>2.4600000000000002E-5</v>
      </c>
      <c r="AZ251">
        <v>2.46</v>
      </c>
      <c r="BA251" s="140">
        <f t="shared" si="87"/>
        <v>2.4599999999999995E-7</v>
      </c>
      <c r="BB251" s="140">
        <f t="shared" si="88"/>
        <v>4.9199999999999991E-7</v>
      </c>
      <c r="BC251" s="140">
        <f t="shared" si="89"/>
        <v>7.3800000000000007E-7</v>
      </c>
      <c r="BD251" s="140">
        <f t="shared" si="90"/>
        <v>9.8400000000000002E-7</v>
      </c>
      <c r="BE251" s="140">
        <f t="shared" si="91"/>
        <v>1.2300000000000001E-6</v>
      </c>
      <c r="BF251" s="157">
        <f>IF(AY251&lt;$B$89*DATA!$H$1037,DATA!$H$1037,IF(AY251&gt;DATA!$H$1036*$B$89,DATA!$H$1036,1))</f>
        <v>1.2</v>
      </c>
      <c r="BG251" s="156">
        <f t="shared" si="92"/>
        <v>9.9999999999999995E-8</v>
      </c>
      <c r="BI251" s="140">
        <f t="shared" si="93"/>
        <v>2.4600000000000002E-5</v>
      </c>
      <c r="BJ251">
        <v>2.46</v>
      </c>
      <c r="BK251" s="140">
        <f t="shared" si="94"/>
        <v>2.4599999999999995E-7</v>
      </c>
      <c r="BL251" s="140">
        <f t="shared" si="95"/>
        <v>4.9199999999999991E-7</v>
      </c>
      <c r="BM251" s="140">
        <f t="shared" si="96"/>
        <v>7.3800000000000007E-7</v>
      </c>
      <c r="BN251" s="140">
        <f t="shared" si="97"/>
        <v>9.8400000000000002E-7</v>
      </c>
      <c r="BO251" s="140">
        <f t="shared" si="98"/>
        <v>1.2300000000000001E-6</v>
      </c>
      <c r="BP251" s="157">
        <f>IF(BI251&lt;$B$105*DATA!$H$1037,DATA!$H$1037,IF(BI251&gt;DATA!$H$1036*$B$105,DATA!$H$1036,1))</f>
        <v>1.2</v>
      </c>
      <c r="BQ251" s="156">
        <f t="shared" si="99"/>
        <v>9.9999999999999995E-8</v>
      </c>
    </row>
    <row r="252" spans="1:69">
      <c r="A252" s="140">
        <f t="shared" si="59"/>
        <v>2.4800000000000003E-5</v>
      </c>
      <c r="B252">
        <v>2.48</v>
      </c>
      <c r="C252" s="140">
        <f t="shared" si="101"/>
        <v>2.4799999999999994E-7</v>
      </c>
      <c r="D252" s="140">
        <f t="shared" si="101"/>
        <v>4.9599999999999999E-7</v>
      </c>
      <c r="E252" s="140">
        <f t="shared" si="101"/>
        <v>7.440000000000001E-7</v>
      </c>
      <c r="F252" s="140">
        <f t="shared" si="101"/>
        <v>9.920000000000002E-7</v>
      </c>
      <c r="G252" s="140">
        <f t="shared" si="101"/>
        <v>1.2400000000000002E-6</v>
      </c>
      <c r="H252" s="157">
        <f>IF(A252&lt;$B$9*DATA!$H$1037,DATA!$H$1037,IF(A252&gt;DATA!$H$1036*$B$9,DATA!$H$1036,1))</f>
        <v>0.8</v>
      </c>
      <c r="I252" s="156">
        <f t="shared" si="105"/>
        <v>9.9999999999999995E-8</v>
      </c>
      <c r="K252" s="140">
        <f t="shared" si="61"/>
        <v>2.4800000000000003E-5</v>
      </c>
      <c r="L252">
        <v>2.48</v>
      </c>
      <c r="M252" s="140">
        <f t="shared" si="62"/>
        <v>2.4799999999999994E-7</v>
      </c>
      <c r="N252" s="140">
        <f t="shared" si="63"/>
        <v>4.9599999999999999E-7</v>
      </c>
      <c r="O252" s="140">
        <f t="shared" si="64"/>
        <v>7.440000000000001E-7</v>
      </c>
      <c r="P252" s="140">
        <f t="shared" si="65"/>
        <v>9.920000000000002E-7</v>
      </c>
      <c r="Q252" s="140">
        <f t="shared" si="66"/>
        <v>1.2400000000000002E-6</v>
      </c>
      <c r="R252" s="157">
        <f>IF(K252&lt;$B$25*DATA!$H$1037,DATA!$H$1037,IF(K252&gt;DATA!$H$1036*$B$25,DATA!$H$1036,1))</f>
        <v>0.8</v>
      </c>
      <c r="S252" s="156">
        <f t="shared" si="102"/>
        <v>9.9999999999999995E-8</v>
      </c>
      <c r="U252" s="140">
        <f t="shared" si="67"/>
        <v>2.4800000000000003E-5</v>
      </c>
      <c r="V252">
        <v>2.48</v>
      </c>
      <c r="W252" s="140">
        <f t="shared" si="68"/>
        <v>2.4799999999999994E-7</v>
      </c>
      <c r="X252" s="140">
        <f t="shared" si="69"/>
        <v>4.9599999999999999E-7</v>
      </c>
      <c r="Y252" s="140">
        <f t="shared" si="70"/>
        <v>7.440000000000001E-7</v>
      </c>
      <c r="Z252" s="140">
        <f t="shared" si="71"/>
        <v>9.920000000000002E-7</v>
      </c>
      <c r="AA252" s="140">
        <f t="shared" si="72"/>
        <v>1.2400000000000002E-6</v>
      </c>
      <c r="AB252" s="157">
        <f>IF(U252&lt;$B$41*DATA!$H$1037,DATA!$H$1037,IF(U252&gt;DATA!$H$1036*$B$41,DATA!$H$1036,1))</f>
        <v>0.8</v>
      </c>
      <c r="AC252" s="156">
        <f t="shared" si="103"/>
        <v>9.9999999999999995E-8</v>
      </c>
      <c r="AE252" s="140">
        <f t="shared" si="73"/>
        <v>2.4800000000000003E-5</v>
      </c>
      <c r="AF252">
        <v>2.48</v>
      </c>
      <c r="AG252" s="140">
        <f t="shared" si="74"/>
        <v>2.4799999999999994E-7</v>
      </c>
      <c r="AH252" s="140">
        <f t="shared" si="75"/>
        <v>4.9599999999999999E-7</v>
      </c>
      <c r="AI252" s="140">
        <f t="shared" si="76"/>
        <v>7.440000000000001E-7</v>
      </c>
      <c r="AJ252" s="140">
        <f t="shared" si="77"/>
        <v>9.920000000000002E-7</v>
      </c>
      <c r="AK252" s="140">
        <f t="shared" si="78"/>
        <v>1.2400000000000002E-6</v>
      </c>
      <c r="AL252" s="157">
        <f>IF(AE252&lt;$B$57*DATA!$H$1037,DATA!$H$1037,IF(AE252&gt;DATA!$H$1036*$B$57,DATA!$H$1036,1))</f>
        <v>1.2</v>
      </c>
      <c r="AM252" s="156">
        <f t="shared" si="104"/>
        <v>9.9999999999999995E-8</v>
      </c>
      <c r="AO252" s="140">
        <f t="shared" si="79"/>
        <v>2.4800000000000003E-5</v>
      </c>
      <c r="AP252">
        <v>2.48</v>
      </c>
      <c r="AQ252" s="140">
        <f t="shared" si="80"/>
        <v>2.4799999999999994E-7</v>
      </c>
      <c r="AR252" s="140">
        <f t="shared" si="81"/>
        <v>4.9599999999999999E-7</v>
      </c>
      <c r="AS252" s="140">
        <f t="shared" si="82"/>
        <v>7.440000000000001E-7</v>
      </c>
      <c r="AT252" s="140">
        <f t="shared" si="83"/>
        <v>9.920000000000002E-7</v>
      </c>
      <c r="AU252" s="140">
        <f t="shared" si="84"/>
        <v>1.2400000000000002E-6</v>
      </c>
      <c r="AV252" s="157">
        <f>IF(AO252&lt;$B$73*DATA!$H$1037,DATA!$H$1037,IF(AO252&gt;DATA!$H$1036*$B$73,DATA!$H$1036,1))</f>
        <v>1.2</v>
      </c>
      <c r="AW252" s="156">
        <f t="shared" si="85"/>
        <v>9.9999999999999995E-8</v>
      </c>
      <c r="AY252" s="140">
        <f t="shared" si="86"/>
        <v>2.4800000000000003E-5</v>
      </c>
      <c r="AZ252">
        <v>2.48</v>
      </c>
      <c r="BA252" s="140">
        <f t="shared" si="87"/>
        <v>2.4799999999999994E-7</v>
      </c>
      <c r="BB252" s="140">
        <f t="shared" si="88"/>
        <v>4.9599999999999999E-7</v>
      </c>
      <c r="BC252" s="140">
        <f t="shared" si="89"/>
        <v>7.440000000000001E-7</v>
      </c>
      <c r="BD252" s="140">
        <f t="shared" si="90"/>
        <v>9.920000000000002E-7</v>
      </c>
      <c r="BE252" s="140">
        <f t="shared" si="91"/>
        <v>1.2400000000000002E-6</v>
      </c>
      <c r="BF252" s="157">
        <f>IF(AY252&lt;$B$89*DATA!$H$1037,DATA!$H$1037,IF(AY252&gt;DATA!$H$1036*$B$89,DATA!$H$1036,1))</f>
        <v>1.2</v>
      </c>
      <c r="BG252" s="156">
        <f t="shared" si="92"/>
        <v>9.9999999999999995E-8</v>
      </c>
      <c r="BI252" s="140">
        <f t="shared" si="93"/>
        <v>2.4800000000000003E-5</v>
      </c>
      <c r="BJ252">
        <v>2.48</v>
      </c>
      <c r="BK252" s="140">
        <f t="shared" si="94"/>
        <v>2.4799999999999994E-7</v>
      </c>
      <c r="BL252" s="140">
        <f t="shared" si="95"/>
        <v>4.9599999999999999E-7</v>
      </c>
      <c r="BM252" s="140">
        <f t="shared" si="96"/>
        <v>7.440000000000001E-7</v>
      </c>
      <c r="BN252" s="140">
        <f t="shared" si="97"/>
        <v>9.920000000000002E-7</v>
      </c>
      <c r="BO252" s="140">
        <f t="shared" si="98"/>
        <v>1.2400000000000002E-6</v>
      </c>
      <c r="BP252" s="157">
        <f>IF(BI252&lt;$B$105*DATA!$H$1037,DATA!$H$1037,IF(BI252&gt;DATA!$H$1036*$B$105,DATA!$H$1036,1))</f>
        <v>1.2</v>
      </c>
      <c r="BQ252" s="156">
        <f t="shared" si="99"/>
        <v>9.9999999999999995E-8</v>
      </c>
    </row>
    <row r="253" spans="1:69">
      <c r="A253" s="140">
        <f t="shared" si="59"/>
        <v>2.5000000000000001E-5</v>
      </c>
      <c r="B253">
        <v>2.5</v>
      </c>
      <c r="C253" s="140">
        <f t="shared" si="101"/>
        <v>2.4999999999999994E-7</v>
      </c>
      <c r="D253" s="140">
        <f t="shared" si="101"/>
        <v>4.9999999999999998E-7</v>
      </c>
      <c r="E253" s="140">
        <f t="shared" si="101"/>
        <v>7.5000000000000002E-7</v>
      </c>
      <c r="F253" s="140">
        <f t="shared" si="101"/>
        <v>1.0000000000000002E-6</v>
      </c>
      <c r="G253" s="140">
        <f t="shared" si="101"/>
        <v>1.2500000000000001E-6</v>
      </c>
      <c r="H253" s="157">
        <f>IF(A253&lt;$B$9*DATA!$H$1037,DATA!$H$1037,IF(A253&gt;DATA!$H$1036*$B$9,DATA!$H$1036,1))</f>
        <v>0.8</v>
      </c>
      <c r="I253" s="156">
        <f t="shared" si="105"/>
        <v>9.9999999999999995E-8</v>
      </c>
      <c r="K253" s="140">
        <f t="shared" si="61"/>
        <v>2.5000000000000001E-5</v>
      </c>
      <c r="L253">
        <v>2.5</v>
      </c>
      <c r="M253" s="140">
        <f t="shared" si="62"/>
        <v>2.4999999999999994E-7</v>
      </c>
      <c r="N253" s="140">
        <f t="shared" si="63"/>
        <v>4.9999999999999998E-7</v>
      </c>
      <c r="O253" s="140">
        <f t="shared" si="64"/>
        <v>7.5000000000000002E-7</v>
      </c>
      <c r="P253" s="140">
        <f t="shared" si="65"/>
        <v>1.0000000000000002E-6</v>
      </c>
      <c r="Q253" s="140">
        <f t="shared" si="66"/>
        <v>1.2500000000000001E-6</v>
      </c>
      <c r="R253" s="157">
        <f>IF(K253&lt;$B$25*DATA!$H$1037,DATA!$H$1037,IF(K253&gt;DATA!$H$1036*$B$25,DATA!$H$1036,1))</f>
        <v>0.8</v>
      </c>
      <c r="S253" s="156">
        <f t="shared" si="102"/>
        <v>9.9999999999999995E-8</v>
      </c>
      <c r="U253" s="140">
        <f t="shared" si="67"/>
        <v>2.5000000000000001E-5</v>
      </c>
      <c r="V253">
        <v>2.5</v>
      </c>
      <c r="W253" s="140">
        <f t="shared" si="68"/>
        <v>2.4999999999999994E-7</v>
      </c>
      <c r="X253" s="140">
        <f t="shared" si="69"/>
        <v>4.9999999999999998E-7</v>
      </c>
      <c r="Y253" s="140">
        <f t="shared" si="70"/>
        <v>7.5000000000000002E-7</v>
      </c>
      <c r="Z253" s="140">
        <f t="shared" si="71"/>
        <v>1.0000000000000002E-6</v>
      </c>
      <c r="AA253" s="140">
        <f t="shared" si="72"/>
        <v>1.2500000000000001E-6</v>
      </c>
      <c r="AB253" s="157">
        <f>IF(U253&lt;$B$41*DATA!$H$1037,DATA!$H$1037,IF(U253&gt;DATA!$H$1036*$B$41,DATA!$H$1036,1))</f>
        <v>0.8</v>
      </c>
      <c r="AC253" s="156">
        <f t="shared" si="103"/>
        <v>9.9999999999999995E-8</v>
      </c>
      <c r="AE253" s="140">
        <f t="shared" si="73"/>
        <v>2.5000000000000001E-5</v>
      </c>
      <c r="AF253">
        <v>2.5</v>
      </c>
      <c r="AG253" s="140">
        <f t="shared" si="74"/>
        <v>2.4999999999999994E-7</v>
      </c>
      <c r="AH253" s="140">
        <f t="shared" si="75"/>
        <v>4.9999999999999998E-7</v>
      </c>
      <c r="AI253" s="140">
        <f t="shared" si="76"/>
        <v>7.5000000000000002E-7</v>
      </c>
      <c r="AJ253" s="140">
        <f t="shared" si="77"/>
        <v>1.0000000000000002E-6</v>
      </c>
      <c r="AK253" s="140">
        <f t="shared" si="78"/>
        <v>1.2500000000000001E-6</v>
      </c>
      <c r="AL253" s="157">
        <f>IF(AE253&lt;$B$57*DATA!$H$1037,DATA!$H$1037,IF(AE253&gt;DATA!$H$1036*$B$57,DATA!$H$1036,1))</f>
        <v>1.2</v>
      </c>
      <c r="AM253" s="156">
        <f t="shared" si="104"/>
        <v>9.9999999999999995E-8</v>
      </c>
      <c r="AO253" s="140">
        <f t="shared" si="79"/>
        <v>2.5000000000000001E-5</v>
      </c>
      <c r="AP253">
        <v>2.5</v>
      </c>
      <c r="AQ253" s="140">
        <f t="shared" si="80"/>
        <v>2.4999999999999994E-7</v>
      </c>
      <c r="AR253" s="140">
        <f t="shared" si="81"/>
        <v>4.9999999999999998E-7</v>
      </c>
      <c r="AS253" s="140">
        <f t="shared" si="82"/>
        <v>7.5000000000000002E-7</v>
      </c>
      <c r="AT253" s="140">
        <f t="shared" si="83"/>
        <v>1.0000000000000002E-6</v>
      </c>
      <c r="AU253" s="140">
        <f t="shared" si="84"/>
        <v>1.2500000000000001E-6</v>
      </c>
      <c r="AV253" s="157">
        <f>IF(AO253&lt;$B$73*DATA!$H$1037,DATA!$H$1037,IF(AO253&gt;DATA!$H$1036*$B$73,DATA!$H$1036,1))</f>
        <v>1.2</v>
      </c>
      <c r="AW253" s="156">
        <f t="shared" si="85"/>
        <v>9.9999999999999995E-8</v>
      </c>
      <c r="AY253" s="140">
        <f t="shared" si="86"/>
        <v>2.5000000000000001E-5</v>
      </c>
      <c r="AZ253">
        <v>2.5</v>
      </c>
      <c r="BA253" s="140">
        <f t="shared" si="87"/>
        <v>2.4999999999999994E-7</v>
      </c>
      <c r="BB253" s="140">
        <f t="shared" si="88"/>
        <v>4.9999999999999998E-7</v>
      </c>
      <c r="BC253" s="140">
        <f t="shared" si="89"/>
        <v>7.5000000000000002E-7</v>
      </c>
      <c r="BD253" s="140">
        <f t="shared" si="90"/>
        <v>1.0000000000000002E-6</v>
      </c>
      <c r="BE253" s="140">
        <f t="shared" si="91"/>
        <v>1.2500000000000001E-6</v>
      </c>
      <c r="BF253" s="157">
        <f>IF(AY253&lt;$B$89*DATA!$H$1037,DATA!$H$1037,IF(AY253&gt;DATA!$H$1036*$B$89,DATA!$H$1036,1))</f>
        <v>1.2</v>
      </c>
      <c r="BG253" s="156">
        <f t="shared" si="92"/>
        <v>9.9999999999999995E-8</v>
      </c>
      <c r="BI253" s="140">
        <f t="shared" si="93"/>
        <v>2.5000000000000001E-5</v>
      </c>
      <c r="BJ253">
        <v>2.5</v>
      </c>
      <c r="BK253" s="140">
        <f t="shared" si="94"/>
        <v>2.4999999999999994E-7</v>
      </c>
      <c r="BL253" s="140">
        <f t="shared" si="95"/>
        <v>4.9999999999999998E-7</v>
      </c>
      <c r="BM253" s="140">
        <f t="shared" si="96"/>
        <v>7.5000000000000002E-7</v>
      </c>
      <c r="BN253" s="140">
        <f t="shared" si="97"/>
        <v>1.0000000000000002E-6</v>
      </c>
      <c r="BO253" s="140">
        <f t="shared" si="98"/>
        <v>1.2500000000000001E-6</v>
      </c>
      <c r="BP253" s="157">
        <f>IF(BI253&lt;$B$105*DATA!$H$1037,DATA!$H$1037,IF(BI253&gt;DATA!$H$1036*$B$105,DATA!$H$1036,1))</f>
        <v>1.2</v>
      </c>
      <c r="BQ253" s="156">
        <f t="shared" si="99"/>
        <v>9.9999999999999995E-8</v>
      </c>
    </row>
    <row r="254" spans="1:69">
      <c r="A254" s="140">
        <f t="shared" si="59"/>
        <v>2.5200000000000003E-5</v>
      </c>
      <c r="B254">
        <v>2.52</v>
      </c>
      <c r="C254" s="140">
        <f t="shared" si="101"/>
        <v>2.5199999999999993E-7</v>
      </c>
      <c r="D254" s="140">
        <f t="shared" si="101"/>
        <v>5.0399999999999996E-7</v>
      </c>
      <c r="E254" s="140">
        <f t="shared" si="101"/>
        <v>7.5600000000000005E-7</v>
      </c>
      <c r="F254" s="140">
        <f t="shared" si="101"/>
        <v>1.0080000000000001E-6</v>
      </c>
      <c r="G254" s="140">
        <f t="shared" si="101"/>
        <v>1.2600000000000002E-6</v>
      </c>
      <c r="H254" s="157">
        <f>IF(A254&lt;$B$9*DATA!$H$1037,DATA!$H$1037,IF(A254&gt;DATA!$H$1036*$B$9,DATA!$H$1036,1))</f>
        <v>0.8</v>
      </c>
      <c r="I254" s="156">
        <f t="shared" si="105"/>
        <v>9.9999999999999995E-8</v>
      </c>
      <c r="K254" s="140">
        <f t="shared" si="61"/>
        <v>2.5200000000000003E-5</v>
      </c>
      <c r="L254">
        <v>2.52</v>
      </c>
      <c r="M254" s="140">
        <f t="shared" si="62"/>
        <v>2.5199999999999993E-7</v>
      </c>
      <c r="N254" s="140">
        <f t="shared" si="63"/>
        <v>5.0399999999999996E-7</v>
      </c>
      <c r="O254" s="140">
        <f t="shared" si="64"/>
        <v>7.5600000000000005E-7</v>
      </c>
      <c r="P254" s="140">
        <f t="shared" si="65"/>
        <v>1.0080000000000001E-6</v>
      </c>
      <c r="Q254" s="140">
        <f t="shared" si="66"/>
        <v>1.2600000000000002E-6</v>
      </c>
      <c r="R254" s="157">
        <f>IF(K254&lt;$B$25*DATA!$H$1037,DATA!$H$1037,IF(K254&gt;DATA!$H$1036*$B$25,DATA!$H$1036,1))</f>
        <v>0.8</v>
      </c>
      <c r="S254" s="156">
        <f t="shared" si="102"/>
        <v>9.9999999999999995E-8</v>
      </c>
      <c r="U254" s="140">
        <f t="shared" si="67"/>
        <v>2.5200000000000003E-5</v>
      </c>
      <c r="V254">
        <v>2.52</v>
      </c>
      <c r="W254" s="140">
        <f t="shared" si="68"/>
        <v>2.5199999999999993E-7</v>
      </c>
      <c r="X254" s="140">
        <f t="shared" si="69"/>
        <v>5.0399999999999996E-7</v>
      </c>
      <c r="Y254" s="140">
        <f t="shared" si="70"/>
        <v>7.5600000000000005E-7</v>
      </c>
      <c r="Z254" s="140">
        <f t="shared" si="71"/>
        <v>1.0080000000000001E-6</v>
      </c>
      <c r="AA254" s="140">
        <f t="shared" si="72"/>
        <v>1.2600000000000002E-6</v>
      </c>
      <c r="AB254" s="157">
        <f>IF(U254&lt;$B$41*DATA!$H$1037,DATA!$H$1037,IF(U254&gt;DATA!$H$1036*$B$41,DATA!$H$1036,1))</f>
        <v>0.8</v>
      </c>
      <c r="AC254" s="156">
        <f t="shared" si="103"/>
        <v>9.9999999999999995E-8</v>
      </c>
      <c r="AE254" s="140">
        <f t="shared" si="73"/>
        <v>2.5200000000000003E-5</v>
      </c>
      <c r="AF254">
        <v>2.52</v>
      </c>
      <c r="AG254" s="140">
        <f t="shared" si="74"/>
        <v>2.5199999999999993E-7</v>
      </c>
      <c r="AH254" s="140">
        <f t="shared" si="75"/>
        <v>5.0399999999999996E-7</v>
      </c>
      <c r="AI254" s="140">
        <f t="shared" si="76"/>
        <v>7.5600000000000005E-7</v>
      </c>
      <c r="AJ254" s="140">
        <f t="shared" si="77"/>
        <v>1.0080000000000001E-6</v>
      </c>
      <c r="AK254" s="140">
        <f t="shared" si="78"/>
        <v>1.2600000000000002E-6</v>
      </c>
      <c r="AL254" s="157">
        <f>IF(AE254&lt;$B$57*DATA!$H$1037,DATA!$H$1037,IF(AE254&gt;DATA!$H$1036*$B$57,DATA!$H$1036,1))</f>
        <v>1.2</v>
      </c>
      <c r="AM254" s="156">
        <f t="shared" si="104"/>
        <v>9.9999999999999995E-8</v>
      </c>
      <c r="AO254" s="140">
        <f t="shared" si="79"/>
        <v>2.5200000000000003E-5</v>
      </c>
      <c r="AP254">
        <v>2.52</v>
      </c>
      <c r="AQ254" s="140">
        <f t="shared" si="80"/>
        <v>2.5199999999999993E-7</v>
      </c>
      <c r="AR254" s="140">
        <f t="shared" si="81"/>
        <v>5.0399999999999996E-7</v>
      </c>
      <c r="AS254" s="140">
        <f t="shared" si="82"/>
        <v>7.5600000000000005E-7</v>
      </c>
      <c r="AT254" s="140">
        <f t="shared" si="83"/>
        <v>1.0080000000000001E-6</v>
      </c>
      <c r="AU254" s="140">
        <f t="shared" si="84"/>
        <v>1.2600000000000002E-6</v>
      </c>
      <c r="AV254" s="157">
        <f>IF(AO254&lt;$B$73*DATA!$H$1037,DATA!$H$1037,IF(AO254&gt;DATA!$H$1036*$B$73,DATA!$H$1036,1))</f>
        <v>1.2</v>
      </c>
      <c r="AW254" s="156">
        <f t="shared" si="85"/>
        <v>9.9999999999999995E-8</v>
      </c>
      <c r="AY254" s="140">
        <f t="shared" si="86"/>
        <v>2.5200000000000003E-5</v>
      </c>
      <c r="AZ254">
        <v>2.52</v>
      </c>
      <c r="BA254" s="140">
        <f t="shared" si="87"/>
        <v>2.5199999999999993E-7</v>
      </c>
      <c r="BB254" s="140">
        <f t="shared" si="88"/>
        <v>5.0399999999999996E-7</v>
      </c>
      <c r="BC254" s="140">
        <f t="shared" si="89"/>
        <v>7.5600000000000005E-7</v>
      </c>
      <c r="BD254" s="140">
        <f t="shared" si="90"/>
        <v>1.0080000000000001E-6</v>
      </c>
      <c r="BE254" s="140">
        <f t="shared" si="91"/>
        <v>1.2600000000000002E-6</v>
      </c>
      <c r="BF254" s="157">
        <f>IF(AY254&lt;$B$89*DATA!$H$1037,DATA!$H$1037,IF(AY254&gt;DATA!$H$1036*$B$89,DATA!$H$1036,1))</f>
        <v>1.2</v>
      </c>
      <c r="BG254" s="156">
        <f t="shared" si="92"/>
        <v>9.9999999999999995E-8</v>
      </c>
      <c r="BI254" s="140">
        <f t="shared" si="93"/>
        <v>2.5200000000000003E-5</v>
      </c>
      <c r="BJ254">
        <v>2.52</v>
      </c>
      <c r="BK254" s="140">
        <f t="shared" si="94"/>
        <v>2.5199999999999993E-7</v>
      </c>
      <c r="BL254" s="140">
        <f t="shared" si="95"/>
        <v>5.0399999999999996E-7</v>
      </c>
      <c r="BM254" s="140">
        <f t="shared" si="96"/>
        <v>7.5600000000000005E-7</v>
      </c>
      <c r="BN254" s="140">
        <f t="shared" si="97"/>
        <v>1.0080000000000001E-6</v>
      </c>
      <c r="BO254" s="140">
        <f t="shared" si="98"/>
        <v>1.2600000000000002E-6</v>
      </c>
      <c r="BP254" s="157">
        <f>IF(BI254&lt;$B$105*DATA!$H$1037,DATA!$H$1037,IF(BI254&gt;DATA!$H$1036*$B$105,DATA!$H$1036,1))</f>
        <v>1.2</v>
      </c>
      <c r="BQ254" s="156">
        <f t="shared" si="99"/>
        <v>9.9999999999999995E-8</v>
      </c>
    </row>
    <row r="255" spans="1:69">
      <c r="A255" s="140">
        <f t="shared" si="59"/>
        <v>2.5400000000000001E-5</v>
      </c>
      <c r="B255">
        <v>2.54</v>
      </c>
      <c r="C255" s="140">
        <f t="shared" ref="C255:G270" si="106">C$142*$A255</f>
        <v>2.5399999999999992E-7</v>
      </c>
      <c r="D255" s="140">
        <f t="shared" si="106"/>
        <v>5.0799999999999994E-7</v>
      </c>
      <c r="E255" s="140">
        <f t="shared" si="106"/>
        <v>7.6199999999999997E-7</v>
      </c>
      <c r="F255" s="140">
        <f t="shared" si="106"/>
        <v>1.0160000000000001E-6</v>
      </c>
      <c r="G255" s="140">
        <f t="shared" si="106"/>
        <v>1.2700000000000001E-6</v>
      </c>
      <c r="H255" s="157">
        <f>IF(A255&lt;$B$9*DATA!$H$1037,DATA!$H$1037,IF(A255&gt;DATA!$H$1036*$B$9,DATA!$H$1036,1))</f>
        <v>0.8</v>
      </c>
      <c r="I255" s="156">
        <f t="shared" si="105"/>
        <v>9.9999999999999995E-8</v>
      </c>
      <c r="K255" s="140">
        <f t="shared" si="61"/>
        <v>2.5400000000000001E-5</v>
      </c>
      <c r="L255">
        <v>2.54</v>
      </c>
      <c r="M255" s="140">
        <f t="shared" si="62"/>
        <v>2.5399999999999992E-7</v>
      </c>
      <c r="N255" s="140">
        <f t="shared" si="63"/>
        <v>5.0799999999999994E-7</v>
      </c>
      <c r="O255" s="140">
        <f t="shared" si="64"/>
        <v>7.6199999999999997E-7</v>
      </c>
      <c r="P255" s="140">
        <f t="shared" si="65"/>
        <v>1.0160000000000001E-6</v>
      </c>
      <c r="Q255" s="140">
        <f t="shared" si="66"/>
        <v>1.2700000000000001E-6</v>
      </c>
      <c r="R255" s="157">
        <f>IF(K255&lt;$B$25*DATA!$H$1037,DATA!$H$1037,IF(K255&gt;DATA!$H$1036*$B$25,DATA!$H$1036,1))</f>
        <v>0.8</v>
      </c>
      <c r="S255" s="156">
        <f t="shared" si="102"/>
        <v>9.9999999999999995E-8</v>
      </c>
      <c r="U255" s="140">
        <f t="shared" si="67"/>
        <v>2.5400000000000001E-5</v>
      </c>
      <c r="V255">
        <v>2.54</v>
      </c>
      <c r="W255" s="140">
        <f t="shared" si="68"/>
        <v>2.5399999999999992E-7</v>
      </c>
      <c r="X255" s="140">
        <f t="shared" si="69"/>
        <v>5.0799999999999994E-7</v>
      </c>
      <c r="Y255" s="140">
        <f t="shared" si="70"/>
        <v>7.6199999999999997E-7</v>
      </c>
      <c r="Z255" s="140">
        <f t="shared" si="71"/>
        <v>1.0160000000000001E-6</v>
      </c>
      <c r="AA255" s="140">
        <f t="shared" si="72"/>
        <v>1.2700000000000001E-6</v>
      </c>
      <c r="AB255" s="157">
        <f>IF(U255&lt;$B$41*DATA!$H$1037,DATA!$H$1037,IF(U255&gt;DATA!$H$1036*$B$41,DATA!$H$1036,1))</f>
        <v>0.8</v>
      </c>
      <c r="AC255" s="156">
        <f t="shared" si="103"/>
        <v>9.9999999999999995E-8</v>
      </c>
      <c r="AE255" s="140">
        <f t="shared" si="73"/>
        <v>2.5400000000000001E-5</v>
      </c>
      <c r="AF255">
        <v>2.54</v>
      </c>
      <c r="AG255" s="140">
        <f t="shared" si="74"/>
        <v>2.5399999999999992E-7</v>
      </c>
      <c r="AH255" s="140">
        <f t="shared" si="75"/>
        <v>5.0799999999999994E-7</v>
      </c>
      <c r="AI255" s="140">
        <f t="shared" si="76"/>
        <v>7.6199999999999997E-7</v>
      </c>
      <c r="AJ255" s="140">
        <f t="shared" si="77"/>
        <v>1.0160000000000001E-6</v>
      </c>
      <c r="AK255" s="140">
        <f t="shared" si="78"/>
        <v>1.2700000000000001E-6</v>
      </c>
      <c r="AL255" s="157">
        <f>IF(AE255&lt;$B$57*DATA!$H$1037,DATA!$H$1037,IF(AE255&gt;DATA!$H$1036*$B$57,DATA!$H$1036,1))</f>
        <v>1.2</v>
      </c>
      <c r="AM255" s="156">
        <f t="shared" si="104"/>
        <v>9.9999999999999995E-8</v>
      </c>
      <c r="AO255" s="140">
        <f t="shared" si="79"/>
        <v>2.5400000000000001E-5</v>
      </c>
      <c r="AP255">
        <v>2.54</v>
      </c>
      <c r="AQ255" s="140">
        <f t="shared" si="80"/>
        <v>2.5399999999999992E-7</v>
      </c>
      <c r="AR255" s="140">
        <f t="shared" si="81"/>
        <v>5.0799999999999994E-7</v>
      </c>
      <c r="AS255" s="140">
        <f t="shared" si="82"/>
        <v>7.6199999999999997E-7</v>
      </c>
      <c r="AT255" s="140">
        <f t="shared" si="83"/>
        <v>1.0160000000000001E-6</v>
      </c>
      <c r="AU255" s="140">
        <f t="shared" si="84"/>
        <v>1.2700000000000001E-6</v>
      </c>
      <c r="AV255" s="157">
        <f>IF(AO255&lt;$B$73*DATA!$H$1037,DATA!$H$1037,IF(AO255&gt;DATA!$H$1036*$B$73,DATA!$H$1036,1))</f>
        <v>1.2</v>
      </c>
      <c r="AW255" s="156">
        <f t="shared" si="85"/>
        <v>9.9999999999999995E-8</v>
      </c>
      <c r="AY255" s="140">
        <f t="shared" si="86"/>
        <v>2.5400000000000001E-5</v>
      </c>
      <c r="AZ255">
        <v>2.54</v>
      </c>
      <c r="BA255" s="140">
        <f t="shared" si="87"/>
        <v>2.5399999999999992E-7</v>
      </c>
      <c r="BB255" s="140">
        <f t="shared" si="88"/>
        <v>5.0799999999999994E-7</v>
      </c>
      <c r="BC255" s="140">
        <f t="shared" si="89"/>
        <v>7.6199999999999997E-7</v>
      </c>
      <c r="BD255" s="140">
        <f t="shared" si="90"/>
        <v>1.0160000000000001E-6</v>
      </c>
      <c r="BE255" s="140">
        <f t="shared" si="91"/>
        <v>1.2700000000000001E-6</v>
      </c>
      <c r="BF255" s="157">
        <f>IF(AY255&lt;$B$89*DATA!$H$1037,DATA!$H$1037,IF(AY255&gt;DATA!$H$1036*$B$89,DATA!$H$1036,1))</f>
        <v>1.2</v>
      </c>
      <c r="BG255" s="156">
        <f t="shared" si="92"/>
        <v>9.9999999999999995E-8</v>
      </c>
      <c r="BI255" s="140">
        <f t="shared" si="93"/>
        <v>2.5400000000000001E-5</v>
      </c>
      <c r="BJ255">
        <v>2.54</v>
      </c>
      <c r="BK255" s="140">
        <f t="shared" si="94"/>
        <v>2.5399999999999992E-7</v>
      </c>
      <c r="BL255" s="140">
        <f t="shared" si="95"/>
        <v>5.0799999999999994E-7</v>
      </c>
      <c r="BM255" s="140">
        <f t="shared" si="96"/>
        <v>7.6199999999999997E-7</v>
      </c>
      <c r="BN255" s="140">
        <f t="shared" si="97"/>
        <v>1.0160000000000001E-6</v>
      </c>
      <c r="BO255" s="140">
        <f t="shared" si="98"/>
        <v>1.2700000000000001E-6</v>
      </c>
      <c r="BP255" s="157">
        <f>IF(BI255&lt;$B$105*DATA!$H$1037,DATA!$H$1037,IF(BI255&gt;DATA!$H$1036*$B$105,DATA!$H$1036,1))</f>
        <v>1.2</v>
      </c>
      <c r="BQ255" s="156">
        <f t="shared" si="99"/>
        <v>9.9999999999999995E-8</v>
      </c>
    </row>
    <row r="256" spans="1:69">
      <c r="A256" s="140">
        <f t="shared" si="59"/>
        <v>2.5600000000000002E-5</v>
      </c>
      <c r="B256">
        <v>2.56</v>
      </c>
      <c r="C256" s="140">
        <f t="shared" si="106"/>
        <v>2.5599999999999996E-7</v>
      </c>
      <c r="D256" s="140">
        <f t="shared" si="106"/>
        <v>5.1199999999999993E-7</v>
      </c>
      <c r="E256" s="140">
        <f t="shared" si="106"/>
        <v>7.6799999999999999E-7</v>
      </c>
      <c r="F256" s="140">
        <f t="shared" si="106"/>
        <v>1.0240000000000001E-6</v>
      </c>
      <c r="G256" s="140">
        <f t="shared" si="106"/>
        <v>1.2800000000000002E-6</v>
      </c>
      <c r="H256" s="157">
        <f>IF(A256&lt;$B$9*DATA!$H$1037,DATA!$H$1037,IF(A256&gt;DATA!$H$1036*$B$9,DATA!$H$1036,1))</f>
        <v>0.8</v>
      </c>
      <c r="I256" s="156">
        <f t="shared" si="105"/>
        <v>9.9999999999999995E-8</v>
      </c>
      <c r="K256" s="140">
        <f t="shared" si="61"/>
        <v>2.5600000000000002E-5</v>
      </c>
      <c r="L256">
        <v>2.56</v>
      </c>
      <c r="M256" s="140">
        <f t="shared" si="62"/>
        <v>2.5599999999999996E-7</v>
      </c>
      <c r="N256" s="140">
        <f t="shared" si="63"/>
        <v>5.1199999999999993E-7</v>
      </c>
      <c r="O256" s="140">
        <f t="shared" si="64"/>
        <v>7.6799999999999999E-7</v>
      </c>
      <c r="P256" s="140">
        <f t="shared" si="65"/>
        <v>1.0240000000000001E-6</v>
      </c>
      <c r="Q256" s="140">
        <f t="shared" si="66"/>
        <v>1.2800000000000002E-6</v>
      </c>
      <c r="R256" s="157">
        <f>IF(K256&lt;$B$25*DATA!$H$1037,DATA!$H$1037,IF(K256&gt;DATA!$H$1036*$B$25,DATA!$H$1036,1))</f>
        <v>0.8</v>
      </c>
      <c r="S256" s="156">
        <f t="shared" si="102"/>
        <v>9.9999999999999995E-8</v>
      </c>
      <c r="U256" s="140">
        <f t="shared" si="67"/>
        <v>2.5600000000000002E-5</v>
      </c>
      <c r="V256">
        <v>2.56</v>
      </c>
      <c r="W256" s="140">
        <f t="shared" si="68"/>
        <v>2.5599999999999996E-7</v>
      </c>
      <c r="X256" s="140">
        <f t="shared" si="69"/>
        <v>5.1199999999999993E-7</v>
      </c>
      <c r="Y256" s="140">
        <f t="shared" si="70"/>
        <v>7.6799999999999999E-7</v>
      </c>
      <c r="Z256" s="140">
        <f t="shared" si="71"/>
        <v>1.0240000000000001E-6</v>
      </c>
      <c r="AA256" s="140">
        <f t="shared" si="72"/>
        <v>1.2800000000000002E-6</v>
      </c>
      <c r="AB256" s="157">
        <f>IF(U256&lt;$B$41*DATA!$H$1037,DATA!$H$1037,IF(U256&gt;DATA!$H$1036*$B$41,DATA!$H$1036,1))</f>
        <v>0.8</v>
      </c>
      <c r="AC256" s="156">
        <f t="shared" si="103"/>
        <v>9.9999999999999995E-8</v>
      </c>
      <c r="AE256" s="140">
        <f t="shared" si="73"/>
        <v>2.5600000000000002E-5</v>
      </c>
      <c r="AF256">
        <v>2.56</v>
      </c>
      <c r="AG256" s="140">
        <f t="shared" si="74"/>
        <v>2.5599999999999996E-7</v>
      </c>
      <c r="AH256" s="140">
        <f t="shared" si="75"/>
        <v>5.1199999999999993E-7</v>
      </c>
      <c r="AI256" s="140">
        <f t="shared" si="76"/>
        <v>7.6799999999999999E-7</v>
      </c>
      <c r="AJ256" s="140">
        <f t="shared" si="77"/>
        <v>1.0240000000000001E-6</v>
      </c>
      <c r="AK256" s="140">
        <f t="shared" si="78"/>
        <v>1.2800000000000002E-6</v>
      </c>
      <c r="AL256" s="157">
        <f>IF(AE256&lt;$B$57*DATA!$H$1037,DATA!$H$1037,IF(AE256&gt;DATA!$H$1036*$B$57,DATA!$H$1036,1))</f>
        <v>1.2</v>
      </c>
      <c r="AM256" s="156">
        <f t="shared" si="104"/>
        <v>9.9999999999999995E-8</v>
      </c>
      <c r="AO256" s="140">
        <f t="shared" si="79"/>
        <v>2.5600000000000002E-5</v>
      </c>
      <c r="AP256">
        <v>2.56</v>
      </c>
      <c r="AQ256" s="140">
        <f t="shared" si="80"/>
        <v>2.5599999999999996E-7</v>
      </c>
      <c r="AR256" s="140">
        <f t="shared" si="81"/>
        <v>5.1199999999999993E-7</v>
      </c>
      <c r="AS256" s="140">
        <f t="shared" si="82"/>
        <v>7.6799999999999999E-7</v>
      </c>
      <c r="AT256" s="140">
        <f t="shared" si="83"/>
        <v>1.0240000000000001E-6</v>
      </c>
      <c r="AU256" s="140">
        <f t="shared" si="84"/>
        <v>1.2800000000000002E-6</v>
      </c>
      <c r="AV256" s="157">
        <f>IF(AO256&lt;$B$73*DATA!$H$1037,DATA!$H$1037,IF(AO256&gt;DATA!$H$1036*$B$73,DATA!$H$1036,1))</f>
        <v>1.2</v>
      </c>
      <c r="AW256" s="156">
        <f t="shared" si="85"/>
        <v>9.9999999999999995E-8</v>
      </c>
      <c r="AY256" s="140">
        <f t="shared" si="86"/>
        <v>2.5600000000000002E-5</v>
      </c>
      <c r="AZ256">
        <v>2.56</v>
      </c>
      <c r="BA256" s="140">
        <f t="shared" si="87"/>
        <v>2.5599999999999996E-7</v>
      </c>
      <c r="BB256" s="140">
        <f t="shared" si="88"/>
        <v>5.1199999999999993E-7</v>
      </c>
      <c r="BC256" s="140">
        <f t="shared" si="89"/>
        <v>7.6799999999999999E-7</v>
      </c>
      <c r="BD256" s="140">
        <f t="shared" si="90"/>
        <v>1.0240000000000001E-6</v>
      </c>
      <c r="BE256" s="140">
        <f t="shared" si="91"/>
        <v>1.2800000000000002E-6</v>
      </c>
      <c r="BF256" s="157">
        <f>IF(AY256&lt;$B$89*DATA!$H$1037,DATA!$H$1037,IF(AY256&gt;DATA!$H$1036*$B$89,DATA!$H$1036,1))</f>
        <v>1.2</v>
      </c>
      <c r="BG256" s="156">
        <f t="shared" si="92"/>
        <v>9.9999999999999995E-8</v>
      </c>
      <c r="BI256" s="140">
        <f t="shared" si="93"/>
        <v>2.5600000000000002E-5</v>
      </c>
      <c r="BJ256">
        <v>2.56</v>
      </c>
      <c r="BK256" s="140">
        <f t="shared" si="94"/>
        <v>2.5599999999999996E-7</v>
      </c>
      <c r="BL256" s="140">
        <f t="shared" si="95"/>
        <v>5.1199999999999993E-7</v>
      </c>
      <c r="BM256" s="140">
        <f t="shared" si="96"/>
        <v>7.6799999999999999E-7</v>
      </c>
      <c r="BN256" s="140">
        <f t="shared" si="97"/>
        <v>1.0240000000000001E-6</v>
      </c>
      <c r="BO256" s="140">
        <f t="shared" si="98"/>
        <v>1.2800000000000002E-6</v>
      </c>
      <c r="BP256" s="157">
        <f>IF(BI256&lt;$B$105*DATA!$H$1037,DATA!$H$1037,IF(BI256&gt;DATA!$H$1036*$B$105,DATA!$H$1036,1))</f>
        <v>1.2</v>
      </c>
      <c r="BQ256" s="156">
        <f t="shared" si="99"/>
        <v>9.9999999999999995E-8</v>
      </c>
    </row>
    <row r="257" spans="1:69">
      <c r="A257" s="140">
        <f t="shared" si="59"/>
        <v>2.5800000000000004E-5</v>
      </c>
      <c r="B257">
        <v>2.58</v>
      </c>
      <c r="C257" s="140">
        <f t="shared" si="106"/>
        <v>2.5799999999999995E-7</v>
      </c>
      <c r="D257" s="140">
        <f t="shared" si="106"/>
        <v>5.1600000000000001E-7</v>
      </c>
      <c r="E257" s="140">
        <f t="shared" si="106"/>
        <v>7.7400000000000013E-7</v>
      </c>
      <c r="F257" s="140">
        <f t="shared" si="106"/>
        <v>1.0320000000000002E-6</v>
      </c>
      <c r="G257" s="140">
        <f t="shared" si="106"/>
        <v>1.2900000000000004E-6</v>
      </c>
      <c r="H257" s="157">
        <f>IF(A257&lt;$B$9*DATA!$H$1037,DATA!$H$1037,IF(A257&gt;DATA!$H$1036*$B$9,DATA!$H$1036,1))</f>
        <v>0.8</v>
      </c>
      <c r="I257" s="156">
        <f t="shared" si="105"/>
        <v>9.9999999999999995E-8</v>
      </c>
      <c r="K257" s="140">
        <f t="shared" si="61"/>
        <v>2.5800000000000004E-5</v>
      </c>
      <c r="L257">
        <v>2.58</v>
      </c>
      <c r="M257" s="140">
        <f t="shared" si="62"/>
        <v>2.5799999999999995E-7</v>
      </c>
      <c r="N257" s="140">
        <f t="shared" si="63"/>
        <v>5.1600000000000001E-7</v>
      </c>
      <c r="O257" s="140">
        <f t="shared" si="64"/>
        <v>7.7400000000000013E-7</v>
      </c>
      <c r="P257" s="140">
        <f t="shared" si="65"/>
        <v>1.0320000000000002E-6</v>
      </c>
      <c r="Q257" s="140">
        <f t="shared" si="66"/>
        <v>1.2900000000000004E-6</v>
      </c>
      <c r="R257" s="157">
        <f>IF(K257&lt;$B$25*DATA!$H$1037,DATA!$H$1037,IF(K257&gt;DATA!$H$1036*$B$25,DATA!$H$1036,1))</f>
        <v>0.8</v>
      </c>
      <c r="S257" s="156">
        <f t="shared" si="102"/>
        <v>9.9999999999999995E-8</v>
      </c>
      <c r="U257" s="140">
        <f t="shared" si="67"/>
        <v>2.5800000000000004E-5</v>
      </c>
      <c r="V257">
        <v>2.58</v>
      </c>
      <c r="W257" s="140">
        <f t="shared" si="68"/>
        <v>2.5799999999999995E-7</v>
      </c>
      <c r="X257" s="140">
        <f t="shared" si="69"/>
        <v>5.1600000000000001E-7</v>
      </c>
      <c r="Y257" s="140">
        <f t="shared" si="70"/>
        <v>7.7400000000000013E-7</v>
      </c>
      <c r="Z257" s="140">
        <f t="shared" si="71"/>
        <v>1.0320000000000002E-6</v>
      </c>
      <c r="AA257" s="140">
        <f t="shared" si="72"/>
        <v>1.2900000000000004E-6</v>
      </c>
      <c r="AB257" s="157">
        <f>IF(U257&lt;$B$41*DATA!$H$1037,DATA!$H$1037,IF(U257&gt;DATA!$H$1036*$B$41,DATA!$H$1036,1))</f>
        <v>0.8</v>
      </c>
      <c r="AC257" s="156">
        <f t="shared" si="103"/>
        <v>9.9999999999999995E-8</v>
      </c>
      <c r="AE257" s="140">
        <f t="shared" si="73"/>
        <v>2.5800000000000004E-5</v>
      </c>
      <c r="AF257">
        <v>2.58</v>
      </c>
      <c r="AG257" s="140">
        <f t="shared" si="74"/>
        <v>2.5799999999999995E-7</v>
      </c>
      <c r="AH257" s="140">
        <f t="shared" si="75"/>
        <v>5.1600000000000001E-7</v>
      </c>
      <c r="AI257" s="140">
        <f t="shared" si="76"/>
        <v>7.7400000000000013E-7</v>
      </c>
      <c r="AJ257" s="140">
        <f t="shared" si="77"/>
        <v>1.0320000000000002E-6</v>
      </c>
      <c r="AK257" s="140">
        <f t="shared" si="78"/>
        <v>1.2900000000000004E-6</v>
      </c>
      <c r="AL257" s="157">
        <f>IF(AE257&lt;$B$57*DATA!$H$1037,DATA!$H$1037,IF(AE257&gt;DATA!$H$1036*$B$57,DATA!$H$1036,1))</f>
        <v>1.2</v>
      </c>
      <c r="AM257" s="156">
        <f t="shared" si="104"/>
        <v>9.9999999999999995E-8</v>
      </c>
      <c r="AO257" s="140">
        <f t="shared" si="79"/>
        <v>2.5800000000000004E-5</v>
      </c>
      <c r="AP257">
        <v>2.58</v>
      </c>
      <c r="AQ257" s="140">
        <f t="shared" si="80"/>
        <v>2.5799999999999995E-7</v>
      </c>
      <c r="AR257" s="140">
        <f t="shared" si="81"/>
        <v>5.1600000000000001E-7</v>
      </c>
      <c r="AS257" s="140">
        <f t="shared" si="82"/>
        <v>7.7400000000000013E-7</v>
      </c>
      <c r="AT257" s="140">
        <f t="shared" si="83"/>
        <v>1.0320000000000002E-6</v>
      </c>
      <c r="AU257" s="140">
        <f t="shared" si="84"/>
        <v>1.2900000000000004E-6</v>
      </c>
      <c r="AV257" s="157">
        <f>IF(AO257&lt;$B$73*DATA!$H$1037,DATA!$H$1037,IF(AO257&gt;DATA!$H$1036*$B$73,DATA!$H$1036,1))</f>
        <v>1.2</v>
      </c>
      <c r="AW257" s="156">
        <f t="shared" si="85"/>
        <v>9.9999999999999995E-8</v>
      </c>
      <c r="AY257" s="140">
        <f t="shared" si="86"/>
        <v>2.5800000000000004E-5</v>
      </c>
      <c r="AZ257">
        <v>2.58</v>
      </c>
      <c r="BA257" s="140">
        <f t="shared" si="87"/>
        <v>2.5799999999999995E-7</v>
      </c>
      <c r="BB257" s="140">
        <f t="shared" si="88"/>
        <v>5.1600000000000001E-7</v>
      </c>
      <c r="BC257" s="140">
        <f t="shared" si="89"/>
        <v>7.7400000000000013E-7</v>
      </c>
      <c r="BD257" s="140">
        <f t="shared" si="90"/>
        <v>1.0320000000000002E-6</v>
      </c>
      <c r="BE257" s="140">
        <f t="shared" si="91"/>
        <v>1.2900000000000004E-6</v>
      </c>
      <c r="BF257" s="157">
        <f>IF(AY257&lt;$B$89*DATA!$H$1037,DATA!$H$1037,IF(AY257&gt;DATA!$H$1036*$B$89,DATA!$H$1036,1))</f>
        <v>1.2</v>
      </c>
      <c r="BG257" s="156">
        <f t="shared" si="92"/>
        <v>9.9999999999999995E-8</v>
      </c>
      <c r="BI257" s="140">
        <f t="shared" si="93"/>
        <v>2.5800000000000004E-5</v>
      </c>
      <c r="BJ257">
        <v>2.58</v>
      </c>
      <c r="BK257" s="140">
        <f t="shared" si="94"/>
        <v>2.5799999999999995E-7</v>
      </c>
      <c r="BL257" s="140">
        <f t="shared" si="95"/>
        <v>5.1600000000000001E-7</v>
      </c>
      <c r="BM257" s="140">
        <f t="shared" si="96"/>
        <v>7.7400000000000013E-7</v>
      </c>
      <c r="BN257" s="140">
        <f t="shared" si="97"/>
        <v>1.0320000000000002E-6</v>
      </c>
      <c r="BO257" s="140">
        <f t="shared" si="98"/>
        <v>1.2900000000000004E-6</v>
      </c>
      <c r="BP257" s="157">
        <f>IF(BI257&lt;$B$105*DATA!$H$1037,DATA!$H$1037,IF(BI257&gt;DATA!$H$1036*$B$105,DATA!$H$1036,1))</f>
        <v>1.2</v>
      </c>
      <c r="BQ257" s="156">
        <f t="shared" si="99"/>
        <v>9.9999999999999995E-8</v>
      </c>
    </row>
    <row r="258" spans="1:69">
      <c r="A258" s="140">
        <f t="shared" si="59"/>
        <v>2.6000000000000002E-5</v>
      </c>
      <c r="B258">
        <v>2.6</v>
      </c>
      <c r="C258" s="140">
        <f t="shared" si="106"/>
        <v>2.5999999999999995E-7</v>
      </c>
      <c r="D258" s="140">
        <f t="shared" si="106"/>
        <v>5.2E-7</v>
      </c>
      <c r="E258" s="140">
        <f t="shared" si="106"/>
        <v>7.8000000000000005E-7</v>
      </c>
      <c r="F258" s="140">
        <f t="shared" si="106"/>
        <v>1.04E-6</v>
      </c>
      <c r="G258" s="140">
        <f t="shared" si="106"/>
        <v>1.3000000000000003E-6</v>
      </c>
      <c r="H258" s="157">
        <f>IF(A258&lt;$B$9*DATA!$H$1037,DATA!$H$1037,IF(A258&gt;DATA!$H$1036*$B$9,DATA!$H$1036,1))</f>
        <v>0.8</v>
      </c>
      <c r="I258" s="156">
        <f t="shared" si="105"/>
        <v>9.9999999999999995E-8</v>
      </c>
      <c r="K258" s="140">
        <f t="shared" si="61"/>
        <v>2.6000000000000002E-5</v>
      </c>
      <c r="L258">
        <v>2.6</v>
      </c>
      <c r="M258" s="140">
        <f t="shared" si="62"/>
        <v>2.5999999999999995E-7</v>
      </c>
      <c r="N258" s="140">
        <f t="shared" si="63"/>
        <v>5.2E-7</v>
      </c>
      <c r="O258" s="140">
        <f t="shared" si="64"/>
        <v>7.8000000000000005E-7</v>
      </c>
      <c r="P258" s="140">
        <f t="shared" si="65"/>
        <v>1.04E-6</v>
      </c>
      <c r="Q258" s="140">
        <f t="shared" si="66"/>
        <v>1.3000000000000003E-6</v>
      </c>
      <c r="R258" s="157">
        <f>IF(K258&lt;$B$25*DATA!$H$1037,DATA!$H$1037,IF(K258&gt;DATA!$H$1036*$B$25,DATA!$H$1036,1))</f>
        <v>0.8</v>
      </c>
      <c r="S258" s="156">
        <f t="shared" si="102"/>
        <v>9.9999999999999995E-8</v>
      </c>
      <c r="U258" s="140">
        <f t="shared" si="67"/>
        <v>2.6000000000000002E-5</v>
      </c>
      <c r="V258">
        <v>2.6</v>
      </c>
      <c r="W258" s="140">
        <f t="shared" si="68"/>
        <v>2.5999999999999995E-7</v>
      </c>
      <c r="X258" s="140">
        <f t="shared" si="69"/>
        <v>5.2E-7</v>
      </c>
      <c r="Y258" s="140">
        <f t="shared" si="70"/>
        <v>7.8000000000000005E-7</v>
      </c>
      <c r="Z258" s="140">
        <f t="shared" si="71"/>
        <v>1.04E-6</v>
      </c>
      <c r="AA258" s="140">
        <f t="shared" si="72"/>
        <v>1.3000000000000003E-6</v>
      </c>
      <c r="AB258" s="157">
        <f>IF(U258&lt;$B$41*DATA!$H$1037,DATA!$H$1037,IF(U258&gt;DATA!$H$1036*$B$41,DATA!$H$1036,1))</f>
        <v>0.8</v>
      </c>
      <c r="AC258" s="156">
        <f t="shared" si="103"/>
        <v>9.9999999999999995E-8</v>
      </c>
      <c r="AE258" s="140">
        <f t="shared" si="73"/>
        <v>2.6000000000000002E-5</v>
      </c>
      <c r="AF258">
        <v>2.6</v>
      </c>
      <c r="AG258" s="140">
        <f t="shared" si="74"/>
        <v>2.5999999999999995E-7</v>
      </c>
      <c r="AH258" s="140">
        <f t="shared" si="75"/>
        <v>5.2E-7</v>
      </c>
      <c r="AI258" s="140">
        <f t="shared" si="76"/>
        <v>7.8000000000000005E-7</v>
      </c>
      <c r="AJ258" s="140">
        <f t="shared" si="77"/>
        <v>1.04E-6</v>
      </c>
      <c r="AK258" s="140">
        <f t="shared" si="78"/>
        <v>1.3000000000000003E-6</v>
      </c>
      <c r="AL258" s="157">
        <f>IF(AE258&lt;$B$57*DATA!$H$1037,DATA!$H$1037,IF(AE258&gt;DATA!$H$1036*$B$57,DATA!$H$1036,1))</f>
        <v>1.2</v>
      </c>
      <c r="AM258" s="156">
        <f t="shared" si="104"/>
        <v>9.9999999999999995E-8</v>
      </c>
      <c r="AO258" s="140">
        <f t="shared" si="79"/>
        <v>2.6000000000000002E-5</v>
      </c>
      <c r="AP258">
        <v>2.6</v>
      </c>
      <c r="AQ258" s="140">
        <f t="shared" si="80"/>
        <v>2.5999999999999995E-7</v>
      </c>
      <c r="AR258" s="140">
        <f t="shared" si="81"/>
        <v>5.2E-7</v>
      </c>
      <c r="AS258" s="140">
        <f t="shared" si="82"/>
        <v>7.8000000000000005E-7</v>
      </c>
      <c r="AT258" s="140">
        <f t="shared" si="83"/>
        <v>1.04E-6</v>
      </c>
      <c r="AU258" s="140">
        <f t="shared" si="84"/>
        <v>1.3000000000000003E-6</v>
      </c>
      <c r="AV258" s="157">
        <f>IF(AO258&lt;$B$73*DATA!$H$1037,DATA!$H$1037,IF(AO258&gt;DATA!$H$1036*$B$73,DATA!$H$1036,1))</f>
        <v>1.2</v>
      </c>
      <c r="AW258" s="156">
        <f t="shared" si="85"/>
        <v>9.9999999999999995E-8</v>
      </c>
      <c r="AY258" s="140">
        <f t="shared" si="86"/>
        <v>2.6000000000000002E-5</v>
      </c>
      <c r="AZ258">
        <v>2.6</v>
      </c>
      <c r="BA258" s="140">
        <f t="shared" si="87"/>
        <v>2.5999999999999995E-7</v>
      </c>
      <c r="BB258" s="140">
        <f t="shared" si="88"/>
        <v>5.2E-7</v>
      </c>
      <c r="BC258" s="140">
        <f t="shared" si="89"/>
        <v>7.8000000000000005E-7</v>
      </c>
      <c r="BD258" s="140">
        <f t="shared" si="90"/>
        <v>1.04E-6</v>
      </c>
      <c r="BE258" s="140">
        <f t="shared" si="91"/>
        <v>1.3000000000000003E-6</v>
      </c>
      <c r="BF258" s="157">
        <f>IF(AY258&lt;$B$89*DATA!$H$1037,DATA!$H$1037,IF(AY258&gt;DATA!$H$1036*$B$89,DATA!$H$1036,1))</f>
        <v>1.2</v>
      </c>
      <c r="BG258" s="156">
        <f t="shared" si="92"/>
        <v>9.9999999999999995E-8</v>
      </c>
      <c r="BI258" s="140">
        <f t="shared" si="93"/>
        <v>2.6000000000000002E-5</v>
      </c>
      <c r="BJ258">
        <v>2.6</v>
      </c>
      <c r="BK258" s="140">
        <f t="shared" si="94"/>
        <v>2.5999999999999995E-7</v>
      </c>
      <c r="BL258" s="140">
        <f t="shared" si="95"/>
        <v>5.2E-7</v>
      </c>
      <c r="BM258" s="140">
        <f t="shared" si="96"/>
        <v>7.8000000000000005E-7</v>
      </c>
      <c r="BN258" s="140">
        <f t="shared" si="97"/>
        <v>1.04E-6</v>
      </c>
      <c r="BO258" s="140">
        <f t="shared" si="98"/>
        <v>1.3000000000000003E-6</v>
      </c>
      <c r="BP258" s="157">
        <f>IF(BI258&lt;$B$105*DATA!$H$1037,DATA!$H$1037,IF(BI258&gt;DATA!$H$1036*$B$105,DATA!$H$1036,1))</f>
        <v>1.2</v>
      </c>
      <c r="BQ258" s="156">
        <f t="shared" si="99"/>
        <v>9.9999999999999995E-8</v>
      </c>
    </row>
    <row r="259" spans="1:69">
      <c r="A259" s="140">
        <f t="shared" si="59"/>
        <v>2.6200000000000003E-5</v>
      </c>
      <c r="B259">
        <v>2.62</v>
      </c>
      <c r="C259" s="140">
        <f t="shared" si="106"/>
        <v>2.6199999999999994E-7</v>
      </c>
      <c r="D259" s="140">
        <f t="shared" si="106"/>
        <v>5.2399999999999998E-7</v>
      </c>
      <c r="E259" s="140">
        <f t="shared" si="106"/>
        <v>7.8600000000000008E-7</v>
      </c>
      <c r="F259" s="140">
        <f t="shared" si="106"/>
        <v>1.0480000000000002E-6</v>
      </c>
      <c r="G259" s="140">
        <f t="shared" si="106"/>
        <v>1.3100000000000002E-6</v>
      </c>
      <c r="H259" s="157">
        <f>IF(A259&lt;$B$9*DATA!$H$1037,DATA!$H$1037,IF(A259&gt;DATA!$H$1036*$B$9,DATA!$H$1036,1))</f>
        <v>0.8</v>
      </c>
      <c r="I259" s="156">
        <f t="shared" si="105"/>
        <v>9.9999999999999995E-8</v>
      </c>
      <c r="K259" s="140">
        <f t="shared" si="61"/>
        <v>2.6200000000000003E-5</v>
      </c>
      <c r="L259">
        <v>2.62</v>
      </c>
      <c r="M259" s="140">
        <f t="shared" si="62"/>
        <v>2.6199999999999994E-7</v>
      </c>
      <c r="N259" s="140">
        <f t="shared" si="63"/>
        <v>5.2399999999999998E-7</v>
      </c>
      <c r="O259" s="140">
        <f t="shared" si="64"/>
        <v>7.8600000000000008E-7</v>
      </c>
      <c r="P259" s="140">
        <f t="shared" si="65"/>
        <v>1.0480000000000002E-6</v>
      </c>
      <c r="Q259" s="140">
        <f t="shared" si="66"/>
        <v>1.3100000000000002E-6</v>
      </c>
      <c r="R259" s="157">
        <f>IF(K259&lt;$B$25*DATA!$H$1037,DATA!$H$1037,IF(K259&gt;DATA!$H$1036*$B$25,DATA!$H$1036,1))</f>
        <v>0.8</v>
      </c>
      <c r="S259" s="156">
        <f t="shared" si="102"/>
        <v>9.9999999999999995E-8</v>
      </c>
      <c r="U259" s="140">
        <f t="shared" si="67"/>
        <v>2.6200000000000003E-5</v>
      </c>
      <c r="V259">
        <v>2.62</v>
      </c>
      <c r="W259" s="140">
        <f t="shared" si="68"/>
        <v>2.6199999999999994E-7</v>
      </c>
      <c r="X259" s="140">
        <f t="shared" si="69"/>
        <v>5.2399999999999998E-7</v>
      </c>
      <c r="Y259" s="140">
        <f t="shared" si="70"/>
        <v>7.8600000000000008E-7</v>
      </c>
      <c r="Z259" s="140">
        <f t="shared" si="71"/>
        <v>1.0480000000000002E-6</v>
      </c>
      <c r="AA259" s="140">
        <f t="shared" si="72"/>
        <v>1.3100000000000002E-6</v>
      </c>
      <c r="AB259" s="157">
        <f>IF(U259&lt;$B$41*DATA!$H$1037,DATA!$H$1037,IF(U259&gt;DATA!$H$1036*$B$41,DATA!$H$1036,1))</f>
        <v>0.8</v>
      </c>
      <c r="AC259" s="156">
        <f t="shared" si="103"/>
        <v>9.9999999999999995E-8</v>
      </c>
      <c r="AE259" s="140">
        <f t="shared" si="73"/>
        <v>2.6200000000000003E-5</v>
      </c>
      <c r="AF259">
        <v>2.62</v>
      </c>
      <c r="AG259" s="140">
        <f t="shared" si="74"/>
        <v>2.6199999999999994E-7</v>
      </c>
      <c r="AH259" s="140">
        <f t="shared" si="75"/>
        <v>5.2399999999999998E-7</v>
      </c>
      <c r="AI259" s="140">
        <f t="shared" si="76"/>
        <v>7.8600000000000008E-7</v>
      </c>
      <c r="AJ259" s="140">
        <f t="shared" si="77"/>
        <v>1.0480000000000002E-6</v>
      </c>
      <c r="AK259" s="140">
        <f t="shared" si="78"/>
        <v>1.3100000000000002E-6</v>
      </c>
      <c r="AL259" s="157">
        <f>IF(AE259&lt;$B$57*DATA!$H$1037,DATA!$H$1037,IF(AE259&gt;DATA!$H$1036*$B$57,DATA!$H$1036,1))</f>
        <v>1.2</v>
      </c>
      <c r="AM259" s="156">
        <f t="shared" si="104"/>
        <v>9.9999999999999995E-8</v>
      </c>
      <c r="AO259" s="140">
        <f t="shared" si="79"/>
        <v>2.6200000000000003E-5</v>
      </c>
      <c r="AP259">
        <v>2.62</v>
      </c>
      <c r="AQ259" s="140">
        <f t="shared" si="80"/>
        <v>2.6199999999999994E-7</v>
      </c>
      <c r="AR259" s="140">
        <f t="shared" si="81"/>
        <v>5.2399999999999998E-7</v>
      </c>
      <c r="AS259" s="140">
        <f t="shared" si="82"/>
        <v>7.8600000000000008E-7</v>
      </c>
      <c r="AT259" s="140">
        <f t="shared" si="83"/>
        <v>1.0480000000000002E-6</v>
      </c>
      <c r="AU259" s="140">
        <f t="shared" si="84"/>
        <v>1.3100000000000002E-6</v>
      </c>
      <c r="AV259" s="157">
        <f>IF(AO259&lt;$B$73*DATA!$H$1037,DATA!$H$1037,IF(AO259&gt;DATA!$H$1036*$B$73,DATA!$H$1036,1))</f>
        <v>1.2</v>
      </c>
      <c r="AW259" s="156">
        <f t="shared" si="85"/>
        <v>9.9999999999999995E-8</v>
      </c>
      <c r="AY259" s="140">
        <f t="shared" si="86"/>
        <v>2.6200000000000003E-5</v>
      </c>
      <c r="AZ259">
        <v>2.62</v>
      </c>
      <c r="BA259" s="140">
        <f t="shared" si="87"/>
        <v>2.6199999999999994E-7</v>
      </c>
      <c r="BB259" s="140">
        <f t="shared" si="88"/>
        <v>5.2399999999999998E-7</v>
      </c>
      <c r="BC259" s="140">
        <f t="shared" si="89"/>
        <v>7.8600000000000008E-7</v>
      </c>
      <c r="BD259" s="140">
        <f t="shared" si="90"/>
        <v>1.0480000000000002E-6</v>
      </c>
      <c r="BE259" s="140">
        <f t="shared" si="91"/>
        <v>1.3100000000000002E-6</v>
      </c>
      <c r="BF259" s="157">
        <f>IF(AY259&lt;$B$89*DATA!$H$1037,DATA!$H$1037,IF(AY259&gt;DATA!$H$1036*$B$89,DATA!$H$1036,1))</f>
        <v>1.2</v>
      </c>
      <c r="BG259" s="156">
        <f t="shared" si="92"/>
        <v>9.9999999999999995E-8</v>
      </c>
      <c r="BI259" s="140">
        <f t="shared" si="93"/>
        <v>2.6200000000000003E-5</v>
      </c>
      <c r="BJ259">
        <v>2.62</v>
      </c>
      <c r="BK259" s="140">
        <f t="shared" si="94"/>
        <v>2.6199999999999994E-7</v>
      </c>
      <c r="BL259" s="140">
        <f t="shared" si="95"/>
        <v>5.2399999999999998E-7</v>
      </c>
      <c r="BM259" s="140">
        <f t="shared" si="96"/>
        <v>7.8600000000000008E-7</v>
      </c>
      <c r="BN259" s="140">
        <f t="shared" si="97"/>
        <v>1.0480000000000002E-6</v>
      </c>
      <c r="BO259" s="140">
        <f t="shared" si="98"/>
        <v>1.3100000000000002E-6</v>
      </c>
      <c r="BP259" s="157">
        <f>IF(BI259&lt;$B$105*DATA!$H$1037,DATA!$H$1037,IF(BI259&gt;DATA!$H$1036*$B$105,DATA!$H$1036,1))</f>
        <v>1.2</v>
      </c>
      <c r="BQ259" s="156">
        <f t="shared" si="99"/>
        <v>9.9999999999999995E-8</v>
      </c>
    </row>
    <row r="260" spans="1:69">
      <c r="A260" s="140">
        <f t="shared" si="59"/>
        <v>2.6400000000000005E-5</v>
      </c>
      <c r="B260">
        <v>2.64</v>
      </c>
      <c r="C260" s="140">
        <f t="shared" si="106"/>
        <v>2.6399999999999998E-7</v>
      </c>
      <c r="D260" s="140">
        <f t="shared" si="106"/>
        <v>5.2799999999999996E-7</v>
      </c>
      <c r="E260" s="140">
        <f t="shared" si="106"/>
        <v>7.920000000000001E-7</v>
      </c>
      <c r="F260" s="140">
        <f t="shared" si="106"/>
        <v>1.0560000000000001E-6</v>
      </c>
      <c r="G260" s="140">
        <f t="shared" si="106"/>
        <v>1.3200000000000003E-6</v>
      </c>
      <c r="H260" s="157">
        <f>IF(A260&lt;$B$9*DATA!$H$1037,DATA!$H$1037,IF(A260&gt;DATA!$H$1036*$B$9,DATA!$H$1036,1))</f>
        <v>0.8</v>
      </c>
      <c r="I260" s="156">
        <f t="shared" si="105"/>
        <v>9.9999999999999995E-8</v>
      </c>
      <c r="K260" s="140">
        <f t="shared" si="61"/>
        <v>2.6400000000000005E-5</v>
      </c>
      <c r="L260">
        <v>2.64</v>
      </c>
      <c r="M260" s="140">
        <f t="shared" si="62"/>
        <v>2.6399999999999998E-7</v>
      </c>
      <c r="N260" s="140">
        <f t="shared" si="63"/>
        <v>5.2799999999999996E-7</v>
      </c>
      <c r="O260" s="140">
        <f t="shared" si="64"/>
        <v>7.920000000000001E-7</v>
      </c>
      <c r="P260" s="140">
        <f t="shared" si="65"/>
        <v>1.0560000000000001E-6</v>
      </c>
      <c r="Q260" s="140">
        <f t="shared" si="66"/>
        <v>1.3200000000000003E-6</v>
      </c>
      <c r="R260" s="157">
        <f>IF(K260&lt;$B$25*DATA!$H$1037,DATA!$H$1037,IF(K260&gt;DATA!$H$1036*$B$25,DATA!$H$1036,1))</f>
        <v>0.8</v>
      </c>
      <c r="S260" s="156">
        <f t="shared" si="102"/>
        <v>9.9999999999999995E-8</v>
      </c>
      <c r="U260" s="140">
        <f t="shared" si="67"/>
        <v>2.6400000000000005E-5</v>
      </c>
      <c r="V260">
        <v>2.64</v>
      </c>
      <c r="W260" s="140">
        <f t="shared" si="68"/>
        <v>2.6399999999999998E-7</v>
      </c>
      <c r="X260" s="140">
        <f t="shared" si="69"/>
        <v>5.2799999999999996E-7</v>
      </c>
      <c r="Y260" s="140">
        <f t="shared" si="70"/>
        <v>7.920000000000001E-7</v>
      </c>
      <c r="Z260" s="140">
        <f t="shared" si="71"/>
        <v>1.0560000000000001E-6</v>
      </c>
      <c r="AA260" s="140">
        <f t="shared" si="72"/>
        <v>1.3200000000000003E-6</v>
      </c>
      <c r="AB260" s="157">
        <f>IF(U260&lt;$B$41*DATA!$H$1037,DATA!$H$1037,IF(U260&gt;DATA!$H$1036*$B$41,DATA!$H$1036,1))</f>
        <v>0.8</v>
      </c>
      <c r="AC260" s="156">
        <f t="shared" si="103"/>
        <v>9.9999999999999995E-8</v>
      </c>
      <c r="AE260" s="140">
        <f t="shared" si="73"/>
        <v>2.6400000000000005E-5</v>
      </c>
      <c r="AF260">
        <v>2.64</v>
      </c>
      <c r="AG260" s="140">
        <f t="shared" si="74"/>
        <v>2.6399999999999998E-7</v>
      </c>
      <c r="AH260" s="140">
        <f t="shared" si="75"/>
        <v>5.2799999999999996E-7</v>
      </c>
      <c r="AI260" s="140">
        <f t="shared" si="76"/>
        <v>7.920000000000001E-7</v>
      </c>
      <c r="AJ260" s="140">
        <f t="shared" si="77"/>
        <v>1.0560000000000001E-6</v>
      </c>
      <c r="AK260" s="140">
        <f t="shared" si="78"/>
        <v>1.3200000000000003E-6</v>
      </c>
      <c r="AL260" s="157">
        <f>IF(AE260&lt;$B$57*DATA!$H$1037,DATA!$H$1037,IF(AE260&gt;DATA!$H$1036*$B$57,DATA!$H$1036,1))</f>
        <v>1.2</v>
      </c>
      <c r="AM260" s="156">
        <f t="shared" si="104"/>
        <v>9.9999999999999995E-8</v>
      </c>
      <c r="AO260" s="140">
        <f t="shared" si="79"/>
        <v>2.6400000000000005E-5</v>
      </c>
      <c r="AP260">
        <v>2.64</v>
      </c>
      <c r="AQ260" s="140">
        <f t="shared" si="80"/>
        <v>2.6399999999999998E-7</v>
      </c>
      <c r="AR260" s="140">
        <f t="shared" si="81"/>
        <v>5.2799999999999996E-7</v>
      </c>
      <c r="AS260" s="140">
        <f t="shared" si="82"/>
        <v>7.920000000000001E-7</v>
      </c>
      <c r="AT260" s="140">
        <f t="shared" si="83"/>
        <v>1.0560000000000001E-6</v>
      </c>
      <c r="AU260" s="140">
        <f t="shared" si="84"/>
        <v>1.3200000000000003E-6</v>
      </c>
      <c r="AV260" s="157">
        <f>IF(AO260&lt;$B$73*DATA!$H$1037,DATA!$H$1037,IF(AO260&gt;DATA!$H$1036*$B$73,DATA!$H$1036,1))</f>
        <v>1.2</v>
      </c>
      <c r="AW260" s="156">
        <f t="shared" si="85"/>
        <v>9.9999999999999995E-8</v>
      </c>
      <c r="AY260" s="140">
        <f t="shared" si="86"/>
        <v>2.6400000000000005E-5</v>
      </c>
      <c r="AZ260">
        <v>2.64</v>
      </c>
      <c r="BA260" s="140">
        <f t="shared" si="87"/>
        <v>2.6399999999999998E-7</v>
      </c>
      <c r="BB260" s="140">
        <f t="shared" si="88"/>
        <v>5.2799999999999996E-7</v>
      </c>
      <c r="BC260" s="140">
        <f t="shared" si="89"/>
        <v>7.920000000000001E-7</v>
      </c>
      <c r="BD260" s="140">
        <f t="shared" si="90"/>
        <v>1.0560000000000001E-6</v>
      </c>
      <c r="BE260" s="140">
        <f t="shared" si="91"/>
        <v>1.3200000000000003E-6</v>
      </c>
      <c r="BF260" s="157">
        <f>IF(AY260&lt;$B$89*DATA!$H$1037,DATA!$H$1037,IF(AY260&gt;DATA!$H$1036*$B$89,DATA!$H$1036,1))</f>
        <v>1.2</v>
      </c>
      <c r="BG260" s="156">
        <f t="shared" si="92"/>
        <v>9.9999999999999995E-8</v>
      </c>
      <c r="BI260" s="140">
        <f t="shared" si="93"/>
        <v>2.6400000000000005E-5</v>
      </c>
      <c r="BJ260">
        <v>2.64</v>
      </c>
      <c r="BK260" s="140">
        <f t="shared" si="94"/>
        <v>2.6399999999999998E-7</v>
      </c>
      <c r="BL260" s="140">
        <f t="shared" si="95"/>
        <v>5.2799999999999996E-7</v>
      </c>
      <c r="BM260" s="140">
        <f t="shared" si="96"/>
        <v>7.920000000000001E-7</v>
      </c>
      <c r="BN260" s="140">
        <f t="shared" si="97"/>
        <v>1.0560000000000001E-6</v>
      </c>
      <c r="BO260" s="140">
        <f t="shared" si="98"/>
        <v>1.3200000000000003E-6</v>
      </c>
      <c r="BP260" s="157">
        <f>IF(BI260&lt;$B$105*DATA!$H$1037,DATA!$H$1037,IF(BI260&gt;DATA!$H$1036*$B$105,DATA!$H$1036,1))</f>
        <v>1.2</v>
      </c>
      <c r="BQ260" s="156">
        <f t="shared" si="99"/>
        <v>9.9999999999999995E-8</v>
      </c>
    </row>
    <row r="261" spans="1:69">
      <c r="A261" s="140">
        <f t="shared" si="59"/>
        <v>2.6600000000000003E-5</v>
      </c>
      <c r="B261">
        <v>2.66</v>
      </c>
      <c r="C261" s="140">
        <f t="shared" si="106"/>
        <v>2.6599999999999992E-7</v>
      </c>
      <c r="D261" s="140">
        <f t="shared" si="106"/>
        <v>5.3199999999999995E-7</v>
      </c>
      <c r="E261" s="140">
        <f t="shared" si="106"/>
        <v>7.9800000000000003E-7</v>
      </c>
      <c r="F261" s="140">
        <f t="shared" si="106"/>
        <v>1.0640000000000001E-6</v>
      </c>
      <c r="G261" s="140">
        <f t="shared" si="106"/>
        <v>1.3300000000000002E-6</v>
      </c>
      <c r="H261" s="157">
        <f>IF(A261&lt;$B$9*DATA!$H$1037,DATA!$H$1037,IF(A261&gt;DATA!$H$1036*$B$9,DATA!$H$1036,1))</f>
        <v>0.8</v>
      </c>
      <c r="I261" s="156">
        <f t="shared" si="105"/>
        <v>9.9999999999999995E-8</v>
      </c>
      <c r="K261" s="140">
        <f t="shared" si="61"/>
        <v>2.6600000000000003E-5</v>
      </c>
      <c r="L261">
        <v>2.66</v>
      </c>
      <c r="M261" s="140">
        <f t="shared" si="62"/>
        <v>2.6599999999999992E-7</v>
      </c>
      <c r="N261" s="140">
        <f t="shared" si="63"/>
        <v>5.3199999999999995E-7</v>
      </c>
      <c r="O261" s="140">
        <f t="shared" si="64"/>
        <v>7.9800000000000003E-7</v>
      </c>
      <c r="P261" s="140">
        <f t="shared" si="65"/>
        <v>1.0640000000000001E-6</v>
      </c>
      <c r="Q261" s="140">
        <f t="shared" si="66"/>
        <v>1.3300000000000002E-6</v>
      </c>
      <c r="R261" s="157">
        <f>IF(K261&lt;$B$25*DATA!$H$1037,DATA!$H$1037,IF(K261&gt;DATA!$H$1036*$B$25,DATA!$H$1036,1))</f>
        <v>0.8</v>
      </c>
      <c r="S261" s="156">
        <f t="shared" si="102"/>
        <v>9.9999999999999995E-8</v>
      </c>
      <c r="U261" s="140">
        <f t="shared" si="67"/>
        <v>2.6600000000000003E-5</v>
      </c>
      <c r="V261">
        <v>2.66</v>
      </c>
      <c r="W261" s="140">
        <f t="shared" si="68"/>
        <v>2.6599999999999992E-7</v>
      </c>
      <c r="X261" s="140">
        <f t="shared" si="69"/>
        <v>5.3199999999999995E-7</v>
      </c>
      <c r="Y261" s="140">
        <f t="shared" si="70"/>
        <v>7.9800000000000003E-7</v>
      </c>
      <c r="Z261" s="140">
        <f t="shared" si="71"/>
        <v>1.0640000000000001E-6</v>
      </c>
      <c r="AA261" s="140">
        <f t="shared" si="72"/>
        <v>1.3300000000000002E-6</v>
      </c>
      <c r="AB261" s="157">
        <f>IF(U261&lt;$B$41*DATA!$H$1037,DATA!$H$1037,IF(U261&gt;DATA!$H$1036*$B$41,DATA!$H$1036,1))</f>
        <v>0.8</v>
      </c>
      <c r="AC261" s="156">
        <f t="shared" si="103"/>
        <v>9.9999999999999995E-8</v>
      </c>
      <c r="AE261" s="140">
        <f t="shared" si="73"/>
        <v>2.6600000000000003E-5</v>
      </c>
      <c r="AF261">
        <v>2.66</v>
      </c>
      <c r="AG261" s="140">
        <f t="shared" si="74"/>
        <v>2.6599999999999992E-7</v>
      </c>
      <c r="AH261" s="140">
        <f t="shared" si="75"/>
        <v>5.3199999999999995E-7</v>
      </c>
      <c r="AI261" s="140">
        <f t="shared" si="76"/>
        <v>7.9800000000000003E-7</v>
      </c>
      <c r="AJ261" s="140">
        <f t="shared" si="77"/>
        <v>1.0640000000000001E-6</v>
      </c>
      <c r="AK261" s="140">
        <f t="shared" si="78"/>
        <v>1.3300000000000002E-6</v>
      </c>
      <c r="AL261" s="157">
        <f>IF(AE261&lt;$B$57*DATA!$H$1037,DATA!$H$1037,IF(AE261&gt;DATA!$H$1036*$B$57,DATA!$H$1036,1))</f>
        <v>1.2</v>
      </c>
      <c r="AM261" s="156">
        <f t="shared" si="104"/>
        <v>9.9999999999999995E-8</v>
      </c>
      <c r="AO261" s="140">
        <f t="shared" si="79"/>
        <v>2.6600000000000003E-5</v>
      </c>
      <c r="AP261">
        <v>2.66</v>
      </c>
      <c r="AQ261" s="140">
        <f t="shared" si="80"/>
        <v>2.6599999999999992E-7</v>
      </c>
      <c r="AR261" s="140">
        <f t="shared" si="81"/>
        <v>5.3199999999999995E-7</v>
      </c>
      <c r="AS261" s="140">
        <f t="shared" si="82"/>
        <v>7.9800000000000003E-7</v>
      </c>
      <c r="AT261" s="140">
        <f t="shared" si="83"/>
        <v>1.0640000000000001E-6</v>
      </c>
      <c r="AU261" s="140">
        <f t="shared" si="84"/>
        <v>1.3300000000000002E-6</v>
      </c>
      <c r="AV261" s="157">
        <f>IF(AO261&lt;$B$73*DATA!$H$1037,DATA!$H$1037,IF(AO261&gt;DATA!$H$1036*$B$73,DATA!$H$1036,1))</f>
        <v>1.2</v>
      </c>
      <c r="AW261" s="156">
        <f t="shared" si="85"/>
        <v>9.9999999999999995E-8</v>
      </c>
      <c r="AY261" s="140">
        <f t="shared" si="86"/>
        <v>2.6600000000000003E-5</v>
      </c>
      <c r="AZ261">
        <v>2.66</v>
      </c>
      <c r="BA261" s="140">
        <f t="shared" si="87"/>
        <v>2.6599999999999992E-7</v>
      </c>
      <c r="BB261" s="140">
        <f t="shared" si="88"/>
        <v>5.3199999999999995E-7</v>
      </c>
      <c r="BC261" s="140">
        <f t="shared" si="89"/>
        <v>7.9800000000000003E-7</v>
      </c>
      <c r="BD261" s="140">
        <f t="shared" si="90"/>
        <v>1.0640000000000001E-6</v>
      </c>
      <c r="BE261" s="140">
        <f t="shared" si="91"/>
        <v>1.3300000000000002E-6</v>
      </c>
      <c r="BF261" s="157">
        <f>IF(AY261&lt;$B$89*DATA!$H$1037,DATA!$H$1037,IF(AY261&gt;DATA!$H$1036*$B$89,DATA!$H$1036,1))</f>
        <v>1.2</v>
      </c>
      <c r="BG261" s="156">
        <f t="shared" si="92"/>
        <v>9.9999999999999995E-8</v>
      </c>
      <c r="BI261" s="140">
        <f t="shared" si="93"/>
        <v>2.6600000000000003E-5</v>
      </c>
      <c r="BJ261">
        <v>2.66</v>
      </c>
      <c r="BK261" s="140">
        <f t="shared" si="94"/>
        <v>2.6599999999999992E-7</v>
      </c>
      <c r="BL261" s="140">
        <f t="shared" si="95"/>
        <v>5.3199999999999995E-7</v>
      </c>
      <c r="BM261" s="140">
        <f t="shared" si="96"/>
        <v>7.9800000000000003E-7</v>
      </c>
      <c r="BN261" s="140">
        <f t="shared" si="97"/>
        <v>1.0640000000000001E-6</v>
      </c>
      <c r="BO261" s="140">
        <f t="shared" si="98"/>
        <v>1.3300000000000002E-6</v>
      </c>
      <c r="BP261" s="157">
        <f>IF(BI261&lt;$B$105*DATA!$H$1037,DATA!$H$1037,IF(BI261&gt;DATA!$H$1036*$B$105,DATA!$H$1036,1))</f>
        <v>1.2</v>
      </c>
      <c r="BQ261" s="156">
        <f t="shared" si="99"/>
        <v>9.9999999999999995E-8</v>
      </c>
    </row>
    <row r="262" spans="1:69">
      <c r="A262" s="140">
        <f t="shared" si="59"/>
        <v>2.6800000000000004E-5</v>
      </c>
      <c r="B262">
        <v>2.68</v>
      </c>
      <c r="C262" s="140">
        <f t="shared" si="106"/>
        <v>2.6799999999999996E-7</v>
      </c>
      <c r="D262" s="140">
        <f t="shared" si="106"/>
        <v>5.3600000000000004E-7</v>
      </c>
      <c r="E262" s="140">
        <f t="shared" si="106"/>
        <v>8.0400000000000005E-7</v>
      </c>
      <c r="F262" s="140">
        <f t="shared" si="106"/>
        <v>1.0720000000000003E-6</v>
      </c>
      <c r="G262" s="140">
        <f t="shared" si="106"/>
        <v>1.3400000000000003E-6</v>
      </c>
      <c r="H262" s="157">
        <f>IF(A262&lt;$B$9*DATA!$H$1037,DATA!$H$1037,IF(A262&gt;DATA!$H$1036*$B$9,DATA!$H$1036,1))</f>
        <v>0.8</v>
      </c>
      <c r="I262" s="156">
        <f t="shared" si="105"/>
        <v>9.9999999999999995E-8</v>
      </c>
      <c r="K262" s="140">
        <f t="shared" si="61"/>
        <v>2.6800000000000004E-5</v>
      </c>
      <c r="L262">
        <v>2.68</v>
      </c>
      <c r="M262" s="140">
        <f t="shared" si="62"/>
        <v>2.6799999999999996E-7</v>
      </c>
      <c r="N262" s="140">
        <f t="shared" si="63"/>
        <v>5.3600000000000004E-7</v>
      </c>
      <c r="O262" s="140">
        <f t="shared" si="64"/>
        <v>8.0400000000000005E-7</v>
      </c>
      <c r="P262" s="140">
        <f t="shared" si="65"/>
        <v>1.0720000000000003E-6</v>
      </c>
      <c r="Q262" s="140">
        <f t="shared" si="66"/>
        <v>1.3400000000000003E-6</v>
      </c>
      <c r="R262" s="157">
        <f>IF(K262&lt;$B$25*DATA!$H$1037,DATA!$H$1037,IF(K262&gt;DATA!$H$1036*$B$25,DATA!$H$1036,1))</f>
        <v>0.8</v>
      </c>
      <c r="S262" s="156">
        <f t="shared" si="102"/>
        <v>9.9999999999999995E-8</v>
      </c>
      <c r="U262" s="140">
        <f t="shared" si="67"/>
        <v>2.6800000000000004E-5</v>
      </c>
      <c r="V262">
        <v>2.68</v>
      </c>
      <c r="W262" s="140">
        <f t="shared" si="68"/>
        <v>2.6799999999999996E-7</v>
      </c>
      <c r="X262" s="140">
        <f t="shared" si="69"/>
        <v>5.3600000000000004E-7</v>
      </c>
      <c r="Y262" s="140">
        <f t="shared" si="70"/>
        <v>8.0400000000000005E-7</v>
      </c>
      <c r="Z262" s="140">
        <f t="shared" si="71"/>
        <v>1.0720000000000003E-6</v>
      </c>
      <c r="AA262" s="140">
        <f t="shared" si="72"/>
        <v>1.3400000000000003E-6</v>
      </c>
      <c r="AB262" s="157">
        <f>IF(U262&lt;$B$41*DATA!$H$1037,DATA!$H$1037,IF(U262&gt;DATA!$H$1036*$B$41,DATA!$H$1036,1))</f>
        <v>0.8</v>
      </c>
      <c r="AC262" s="156">
        <f t="shared" si="103"/>
        <v>9.9999999999999995E-8</v>
      </c>
      <c r="AE262" s="140">
        <f t="shared" si="73"/>
        <v>2.6800000000000004E-5</v>
      </c>
      <c r="AF262">
        <v>2.68</v>
      </c>
      <c r="AG262" s="140">
        <f t="shared" si="74"/>
        <v>2.6799999999999996E-7</v>
      </c>
      <c r="AH262" s="140">
        <f t="shared" si="75"/>
        <v>5.3600000000000004E-7</v>
      </c>
      <c r="AI262" s="140">
        <f t="shared" si="76"/>
        <v>8.0400000000000005E-7</v>
      </c>
      <c r="AJ262" s="140">
        <f t="shared" si="77"/>
        <v>1.0720000000000003E-6</v>
      </c>
      <c r="AK262" s="140">
        <f t="shared" si="78"/>
        <v>1.3400000000000003E-6</v>
      </c>
      <c r="AL262" s="157">
        <f>IF(AE262&lt;$B$57*DATA!$H$1037,DATA!$H$1037,IF(AE262&gt;DATA!$H$1036*$B$57,DATA!$H$1036,1))</f>
        <v>1.2</v>
      </c>
      <c r="AM262" s="156">
        <f t="shared" si="104"/>
        <v>9.9999999999999995E-8</v>
      </c>
      <c r="AO262" s="140">
        <f t="shared" si="79"/>
        <v>2.6800000000000004E-5</v>
      </c>
      <c r="AP262">
        <v>2.68</v>
      </c>
      <c r="AQ262" s="140">
        <f t="shared" si="80"/>
        <v>2.6799999999999996E-7</v>
      </c>
      <c r="AR262" s="140">
        <f t="shared" si="81"/>
        <v>5.3600000000000004E-7</v>
      </c>
      <c r="AS262" s="140">
        <f t="shared" si="82"/>
        <v>8.0400000000000005E-7</v>
      </c>
      <c r="AT262" s="140">
        <f t="shared" si="83"/>
        <v>1.0720000000000003E-6</v>
      </c>
      <c r="AU262" s="140">
        <f t="shared" si="84"/>
        <v>1.3400000000000003E-6</v>
      </c>
      <c r="AV262" s="157">
        <f>IF(AO262&lt;$B$73*DATA!$H$1037,DATA!$H$1037,IF(AO262&gt;DATA!$H$1036*$B$73,DATA!$H$1036,1))</f>
        <v>1.2</v>
      </c>
      <c r="AW262" s="156">
        <f t="shared" si="85"/>
        <v>9.9999999999999995E-8</v>
      </c>
      <c r="AY262" s="140">
        <f t="shared" si="86"/>
        <v>2.6800000000000004E-5</v>
      </c>
      <c r="AZ262">
        <v>2.68</v>
      </c>
      <c r="BA262" s="140">
        <f t="shared" si="87"/>
        <v>2.6799999999999996E-7</v>
      </c>
      <c r="BB262" s="140">
        <f t="shared" si="88"/>
        <v>5.3600000000000004E-7</v>
      </c>
      <c r="BC262" s="140">
        <f t="shared" si="89"/>
        <v>8.0400000000000005E-7</v>
      </c>
      <c r="BD262" s="140">
        <f t="shared" si="90"/>
        <v>1.0720000000000003E-6</v>
      </c>
      <c r="BE262" s="140">
        <f t="shared" si="91"/>
        <v>1.3400000000000003E-6</v>
      </c>
      <c r="BF262" s="157">
        <f>IF(AY262&lt;$B$89*DATA!$H$1037,DATA!$H$1037,IF(AY262&gt;DATA!$H$1036*$B$89,DATA!$H$1036,1))</f>
        <v>1.2</v>
      </c>
      <c r="BG262" s="156">
        <f t="shared" si="92"/>
        <v>9.9999999999999995E-8</v>
      </c>
      <c r="BI262" s="140">
        <f t="shared" si="93"/>
        <v>2.6800000000000004E-5</v>
      </c>
      <c r="BJ262">
        <v>2.68</v>
      </c>
      <c r="BK262" s="140">
        <f t="shared" si="94"/>
        <v>2.6799999999999996E-7</v>
      </c>
      <c r="BL262" s="140">
        <f t="shared" si="95"/>
        <v>5.3600000000000004E-7</v>
      </c>
      <c r="BM262" s="140">
        <f t="shared" si="96"/>
        <v>8.0400000000000005E-7</v>
      </c>
      <c r="BN262" s="140">
        <f t="shared" si="97"/>
        <v>1.0720000000000003E-6</v>
      </c>
      <c r="BO262" s="140">
        <f t="shared" si="98"/>
        <v>1.3400000000000003E-6</v>
      </c>
      <c r="BP262" s="157">
        <f>IF(BI262&lt;$B$105*DATA!$H$1037,DATA!$H$1037,IF(BI262&gt;DATA!$H$1036*$B$105,DATA!$H$1036,1))</f>
        <v>1.2</v>
      </c>
      <c r="BQ262" s="156">
        <f t="shared" si="99"/>
        <v>9.9999999999999995E-8</v>
      </c>
    </row>
    <row r="263" spans="1:69">
      <c r="A263" s="140">
        <f t="shared" si="59"/>
        <v>2.7000000000000002E-5</v>
      </c>
      <c r="B263">
        <v>2.7</v>
      </c>
      <c r="C263" s="140">
        <f t="shared" si="106"/>
        <v>2.6999999999999996E-7</v>
      </c>
      <c r="D263" s="140">
        <f t="shared" si="106"/>
        <v>5.4000000000000002E-7</v>
      </c>
      <c r="E263" s="140">
        <f t="shared" si="106"/>
        <v>8.1000000000000008E-7</v>
      </c>
      <c r="F263" s="140">
        <f t="shared" si="106"/>
        <v>1.08E-6</v>
      </c>
      <c r="G263" s="140">
        <f t="shared" si="106"/>
        <v>1.3500000000000002E-6</v>
      </c>
      <c r="H263" s="157">
        <f>IF(A263&lt;$B$9*DATA!$H$1037,DATA!$H$1037,IF(A263&gt;DATA!$H$1036*$B$9,DATA!$H$1036,1))</f>
        <v>0.8</v>
      </c>
      <c r="I263" s="156">
        <f t="shared" si="105"/>
        <v>9.9999999999999995E-8</v>
      </c>
      <c r="K263" s="140">
        <f t="shared" si="61"/>
        <v>2.7000000000000002E-5</v>
      </c>
      <c r="L263">
        <v>2.7</v>
      </c>
      <c r="M263" s="140">
        <f t="shared" si="62"/>
        <v>2.6999999999999996E-7</v>
      </c>
      <c r="N263" s="140">
        <f t="shared" si="63"/>
        <v>5.4000000000000002E-7</v>
      </c>
      <c r="O263" s="140">
        <f t="shared" si="64"/>
        <v>8.1000000000000008E-7</v>
      </c>
      <c r="P263" s="140">
        <f t="shared" si="65"/>
        <v>1.08E-6</v>
      </c>
      <c r="Q263" s="140">
        <f t="shared" si="66"/>
        <v>1.3500000000000002E-6</v>
      </c>
      <c r="R263" s="157">
        <f>IF(K263&lt;$B$25*DATA!$H$1037,DATA!$H$1037,IF(K263&gt;DATA!$H$1036*$B$25,DATA!$H$1036,1))</f>
        <v>0.8</v>
      </c>
      <c r="S263" s="156">
        <f t="shared" si="102"/>
        <v>9.9999999999999995E-8</v>
      </c>
      <c r="U263" s="140">
        <f t="shared" si="67"/>
        <v>2.7000000000000002E-5</v>
      </c>
      <c r="V263">
        <v>2.7</v>
      </c>
      <c r="W263" s="140">
        <f t="shared" si="68"/>
        <v>2.6999999999999996E-7</v>
      </c>
      <c r="X263" s="140">
        <f t="shared" si="69"/>
        <v>5.4000000000000002E-7</v>
      </c>
      <c r="Y263" s="140">
        <f t="shared" si="70"/>
        <v>8.1000000000000008E-7</v>
      </c>
      <c r="Z263" s="140">
        <f t="shared" si="71"/>
        <v>1.08E-6</v>
      </c>
      <c r="AA263" s="140">
        <f t="shared" si="72"/>
        <v>1.3500000000000002E-6</v>
      </c>
      <c r="AB263" s="157">
        <f>IF(U263&lt;$B$41*DATA!$H$1037,DATA!$H$1037,IF(U263&gt;DATA!$H$1036*$B$41,DATA!$H$1036,1))</f>
        <v>0.8</v>
      </c>
      <c r="AC263" s="156">
        <f t="shared" si="103"/>
        <v>9.9999999999999995E-8</v>
      </c>
      <c r="AE263" s="140">
        <f t="shared" si="73"/>
        <v>2.7000000000000002E-5</v>
      </c>
      <c r="AF263">
        <v>2.7</v>
      </c>
      <c r="AG263" s="140">
        <f t="shared" si="74"/>
        <v>2.6999999999999996E-7</v>
      </c>
      <c r="AH263" s="140">
        <f t="shared" si="75"/>
        <v>5.4000000000000002E-7</v>
      </c>
      <c r="AI263" s="140">
        <f t="shared" si="76"/>
        <v>8.1000000000000008E-7</v>
      </c>
      <c r="AJ263" s="140">
        <f t="shared" si="77"/>
        <v>1.08E-6</v>
      </c>
      <c r="AK263" s="140">
        <f t="shared" si="78"/>
        <v>1.3500000000000002E-6</v>
      </c>
      <c r="AL263" s="157">
        <f>IF(AE263&lt;$B$57*DATA!$H$1037,DATA!$H$1037,IF(AE263&gt;DATA!$H$1036*$B$57,DATA!$H$1036,1))</f>
        <v>1.2</v>
      </c>
      <c r="AM263" s="156">
        <f t="shared" si="104"/>
        <v>9.9999999999999995E-8</v>
      </c>
      <c r="AO263" s="140">
        <f t="shared" si="79"/>
        <v>2.7000000000000002E-5</v>
      </c>
      <c r="AP263">
        <v>2.7</v>
      </c>
      <c r="AQ263" s="140">
        <f t="shared" si="80"/>
        <v>2.6999999999999996E-7</v>
      </c>
      <c r="AR263" s="140">
        <f t="shared" si="81"/>
        <v>5.4000000000000002E-7</v>
      </c>
      <c r="AS263" s="140">
        <f t="shared" si="82"/>
        <v>8.1000000000000008E-7</v>
      </c>
      <c r="AT263" s="140">
        <f t="shared" si="83"/>
        <v>1.08E-6</v>
      </c>
      <c r="AU263" s="140">
        <f t="shared" si="84"/>
        <v>1.3500000000000002E-6</v>
      </c>
      <c r="AV263" s="157">
        <f>IF(AO263&lt;$B$73*DATA!$H$1037,DATA!$H$1037,IF(AO263&gt;DATA!$H$1036*$B$73,DATA!$H$1036,1))</f>
        <v>1.2</v>
      </c>
      <c r="AW263" s="156">
        <f t="shared" si="85"/>
        <v>9.9999999999999995E-8</v>
      </c>
      <c r="AY263" s="140">
        <f t="shared" si="86"/>
        <v>2.7000000000000002E-5</v>
      </c>
      <c r="AZ263">
        <v>2.7</v>
      </c>
      <c r="BA263" s="140">
        <f t="shared" si="87"/>
        <v>2.6999999999999996E-7</v>
      </c>
      <c r="BB263" s="140">
        <f t="shared" si="88"/>
        <v>5.4000000000000002E-7</v>
      </c>
      <c r="BC263" s="140">
        <f t="shared" si="89"/>
        <v>8.1000000000000008E-7</v>
      </c>
      <c r="BD263" s="140">
        <f t="shared" si="90"/>
        <v>1.08E-6</v>
      </c>
      <c r="BE263" s="140">
        <f t="shared" si="91"/>
        <v>1.3500000000000002E-6</v>
      </c>
      <c r="BF263" s="157">
        <f>IF(AY263&lt;$B$89*DATA!$H$1037,DATA!$H$1037,IF(AY263&gt;DATA!$H$1036*$B$89,DATA!$H$1036,1))</f>
        <v>1.2</v>
      </c>
      <c r="BG263" s="156">
        <f t="shared" si="92"/>
        <v>9.9999999999999995E-8</v>
      </c>
      <c r="BI263" s="140">
        <f t="shared" si="93"/>
        <v>2.7000000000000002E-5</v>
      </c>
      <c r="BJ263">
        <v>2.7</v>
      </c>
      <c r="BK263" s="140">
        <f t="shared" si="94"/>
        <v>2.6999999999999996E-7</v>
      </c>
      <c r="BL263" s="140">
        <f t="shared" si="95"/>
        <v>5.4000000000000002E-7</v>
      </c>
      <c r="BM263" s="140">
        <f t="shared" si="96"/>
        <v>8.1000000000000008E-7</v>
      </c>
      <c r="BN263" s="140">
        <f t="shared" si="97"/>
        <v>1.08E-6</v>
      </c>
      <c r="BO263" s="140">
        <f t="shared" si="98"/>
        <v>1.3500000000000002E-6</v>
      </c>
      <c r="BP263" s="157">
        <f>IF(BI263&lt;$B$105*DATA!$H$1037,DATA!$H$1037,IF(BI263&gt;DATA!$H$1036*$B$105,DATA!$H$1036,1))</f>
        <v>1.2</v>
      </c>
      <c r="BQ263" s="156">
        <f t="shared" si="99"/>
        <v>9.9999999999999995E-8</v>
      </c>
    </row>
    <row r="264" spans="1:69">
      <c r="A264" s="140">
        <f t="shared" si="59"/>
        <v>2.7200000000000004E-5</v>
      </c>
      <c r="B264">
        <v>2.72</v>
      </c>
      <c r="C264" s="140">
        <f t="shared" si="106"/>
        <v>2.7199999999999995E-7</v>
      </c>
      <c r="D264" s="140">
        <f t="shared" si="106"/>
        <v>5.44E-7</v>
      </c>
      <c r="E264" s="140">
        <f t="shared" si="106"/>
        <v>8.1600000000000011E-7</v>
      </c>
      <c r="F264" s="140">
        <f t="shared" si="106"/>
        <v>1.0880000000000002E-6</v>
      </c>
      <c r="G264" s="140">
        <f t="shared" si="106"/>
        <v>1.3600000000000003E-6</v>
      </c>
      <c r="H264" s="157">
        <f>IF(A264&lt;$B$9*DATA!$H$1037,DATA!$H$1037,IF(A264&gt;DATA!$H$1036*$B$9,DATA!$H$1036,1))</f>
        <v>0.8</v>
      </c>
      <c r="I264" s="156">
        <f t="shared" si="105"/>
        <v>9.9999999999999995E-8</v>
      </c>
      <c r="K264" s="140">
        <f t="shared" si="61"/>
        <v>2.7200000000000004E-5</v>
      </c>
      <c r="L264">
        <v>2.72</v>
      </c>
      <c r="M264" s="140">
        <f t="shared" si="62"/>
        <v>2.7199999999999995E-7</v>
      </c>
      <c r="N264" s="140">
        <f t="shared" si="63"/>
        <v>5.44E-7</v>
      </c>
      <c r="O264" s="140">
        <f t="shared" si="64"/>
        <v>8.1600000000000011E-7</v>
      </c>
      <c r="P264" s="140">
        <f t="shared" si="65"/>
        <v>1.0880000000000002E-6</v>
      </c>
      <c r="Q264" s="140">
        <f t="shared" si="66"/>
        <v>1.3600000000000003E-6</v>
      </c>
      <c r="R264" s="157">
        <f>IF(K264&lt;$B$25*DATA!$H$1037,DATA!$H$1037,IF(K264&gt;DATA!$H$1036*$B$25,DATA!$H$1036,1))</f>
        <v>0.8</v>
      </c>
      <c r="S264" s="156">
        <f t="shared" si="102"/>
        <v>9.9999999999999995E-8</v>
      </c>
      <c r="U264" s="140">
        <f t="shared" si="67"/>
        <v>2.7200000000000004E-5</v>
      </c>
      <c r="V264">
        <v>2.72</v>
      </c>
      <c r="W264" s="140">
        <f t="shared" si="68"/>
        <v>2.7199999999999995E-7</v>
      </c>
      <c r="X264" s="140">
        <f t="shared" si="69"/>
        <v>5.44E-7</v>
      </c>
      <c r="Y264" s="140">
        <f t="shared" si="70"/>
        <v>8.1600000000000011E-7</v>
      </c>
      <c r="Z264" s="140">
        <f t="shared" si="71"/>
        <v>1.0880000000000002E-6</v>
      </c>
      <c r="AA264" s="140">
        <f t="shared" si="72"/>
        <v>1.3600000000000003E-6</v>
      </c>
      <c r="AB264" s="157">
        <f>IF(U264&lt;$B$41*DATA!$H$1037,DATA!$H$1037,IF(U264&gt;DATA!$H$1036*$B$41,DATA!$H$1036,1))</f>
        <v>0.8</v>
      </c>
      <c r="AC264" s="156">
        <f t="shared" si="103"/>
        <v>9.9999999999999995E-8</v>
      </c>
      <c r="AE264" s="140">
        <f t="shared" si="73"/>
        <v>2.7200000000000004E-5</v>
      </c>
      <c r="AF264">
        <v>2.72</v>
      </c>
      <c r="AG264" s="140">
        <f t="shared" si="74"/>
        <v>2.7199999999999995E-7</v>
      </c>
      <c r="AH264" s="140">
        <f t="shared" si="75"/>
        <v>5.44E-7</v>
      </c>
      <c r="AI264" s="140">
        <f t="shared" si="76"/>
        <v>8.1600000000000011E-7</v>
      </c>
      <c r="AJ264" s="140">
        <f t="shared" si="77"/>
        <v>1.0880000000000002E-6</v>
      </c>
      <c r="AK264" s="140">
        <f t="shared" si="78"/>
        <v>1.3600000000000003E-6</v>
      </c>
      <c r="AL264" s="157">
        <f>IF(AE264&lt;$B$57*DATA!$H$1037,DATA!$H$1037,IF(AE264&gt;DATA!$H$1036*$B$57,DATA!$H$1036,1))</f>
        <v>1.2</v>
      </c>
      <c r="AM264" s="156">
        <f t="shared" si="104"/>
        <v>9.9999999999999995E-8</v>
      </c>
      <c r="AO264" s="140">
        <f t="shared" si="79"/>
        <v>2.7200000000000004E-5</v>
      </c>
      <c r="AP264">
        <v>2.72</v>
      </c>
      <c r="AQ264" s="140">
        <f t="shared" si="80"/>
        <v>2.7199999999999995E-7</v>
      </c>
      <c r="AR264" s="140">
        <f t="shared" si="81"/>
        <v>5.44E-7</v>
      </c>
      <c r="AS264" s="140">
        <f t="shared" si="82"/>
        <v>8.1600000000000011E-7</v>
      </c>
      <c r="AT264" s="140">
        <f t="shared" si="83"/>
        <v>1.0880000000000002E-6</v>
      </c>
      <c r="AU264" s="140">
        <f t="shared" si="84"/>
        <v>1.3600000000000003E-6</v>
      </c>
      <c r="AV264" s="157">
        <f>IF(AO264&lt;$B$73*DATA!$H$1037,DATA!$H$1037,IF(AO264&gt;DATA!$H$1036*$B$73,DATA!$H$1036,1))</f>
        <v>1.2</v>
      </c>
      <c r="AW264" s="156">
        <f t="shared" si="85"/>
        <v>9.9999999999999995E-8</v>
      </c>
      <c r="AY264" s="140">
        <f t="shared" si="86"/>
        <v>2.7200000000000004E-5</v>
      </c>
      <c r="AZ264">
        <v>2.72</v>
      </c>
      <c r="BA264" s="140">
        <f t="shared" si="87"/>
        <v>2.7199999999999995E-7</v>
      </c>
      <c r="BB264" s="140">
        <f t="shared" si="88"/>
        <v>5.44E-7</v>
      </c>
      <c r="BC264" s="140">
        <f t="shared" si="89"/>
        <v>8.1600000000000011E-7</v>
      </c>
      <c r="BD264" s="140">
        <f t="shared" si="90"/>
        <v>1.0880000000000002E-6</v>
      </c>
      <c r="BE264" s="140">
        <f t="shared" si="91"/>
        <v>1.3600000000000003E-6</v>
      </c>
      <c r="BF264" s="157">
        <f>IF(AY264&lt;$B$89*DATA!$H$1037,DATA!$H$1037,IF(AY264&gt;DATA!$H$1036*$B$89,DATA!$H$1036,1))</f>
        <v>1.2</v>
      </c>
      <c r="BG264" s="156">
        <f t="shared" si="92"/>
        <v>9.9999999999999995E-8</v>
      </c>
      <c r="BI264" s="140">
        <f t="shared" si="93"/>
        <v>2.7200000000000004E-5</v>
      </c>
      <c r="BJ264">
        <v>2.72</v>
      </c>
      <c r="BK264" s="140">
        <f t="shared" si="94"/>
        <v>2.7199999999999995E-7</v>
      </c>
      <c r="BL264" s="140">
        <f t="shared" si="95"/>
        <v>5.44E-7</v>
      </c>
      <c r="BM264" s="140">
        <f t="shared" si="96"/>
        <v>8.1600000000000011E-7</v>
      </c>
      <c r="BN264" s="140">
        <f t="shared" si="97"/>
        <v>1.0880000000000002E-6</v>
      </c>
      <c r="BO264" s="140">
        <f t="shared" si="98"/>
        <v>1.3600000000000003E-6</v>
      </c>
      <c r="BP264" s="157">
        <f>IF(BI264&lt;$B$105*DATA!$H$1037,DATA!$H$1037,IF(BI264&gt;DATA!$H$1036*$B$105,DATA!$H$1036,1))</f>
        <v>1.2</v>
      </c>
      <c r="BQ264" s="156">
        <f t="shared" si="99"/>
        <v>9.9999999999999995E-8</v>
      </c>
    </row>
    <row r="265" spans="1:69">
      <c r="A265" s="140">
        <f t="shared" si="59"/>
        <v>2.7400000000000005E-5</v>
      </c>
      <c r="B265">
        <v>2.74</v>
      </c>
      <c r="C265" s="140">
        <f t="shared" si="106"/>
        <v>2.7399999999999994E-7</v>
      </c>
      <c r="D265" s="140">
        <f t="shared" si="106"/>
        <v>5.4799999999999998E-7</v>
      </c>
      <c r="E265" s="140">
        <f t="shared" si="106"/>
        <v>8.2200000000000013E-7</v>
      </c>
      <c r="F265" s="140">
        <f t="shared" si="106"/>
        <v>1.0960000000000002E-6</v>
      </c>
      <c r="G265" s="140">
        <f t="shared" si="106"/>
        <v>1.3700000000000004E-6</v>
      </c>
      <c r="H265" s="157">
        <f>IF(A265&lt;$B$9*DATA!$H$1037,DATA!$H$1037,IF(A265&gt;DATA!$H$1036*$B$9,DATA!$H$1036,1))</f>
        <v>0.8</v>
      </c>
      <c r="I265" s="156">
        <f t="shared" si="105"/>
        <v>9.9999999999999995E-8</v>
      </c>
      <c r="K265" s="140">
        <f t="shared" si="61"/>
        <v>2.7400000000000005E-5</v>
      </c>
      <c r="L265">
        <v>2.74</v>
      </c>
      <c r="M265" s="140">
        <f t="shared" si="62"/>
        <v>2.7399999999999994E-7</v>
      </c>
      <c r="N265" s="140">
        <f t="shared" si="63"/>
        <v>5.4799999999999998E-7</v>
      </c>
      <c r="O265" s="140">
        <f t="shared" si="64"/>
        <v>8.2200000000000013E-7</v>
      </c>
      <c r="P265" s="140">
        <f t="shared" si="65"/>
        <v>1.0960000000000002E-6</v>
      </c>
      <c r="Q265" s="140">
        <f t="shared" si="66"/>
        <v>1.3700000000000004E-6</v>
      </c>
      <c r="R265" s="157">
        <f>IF(K265&lt;$B$25*DATA!$H$1037,DATA!$H$1037,IF(K265&gt;DATA!$H$1036*$B$25,DATA!$H$1036,1))</f>
        <v>0.8</v>
      </c>
      <c r="S265" s="156">
        <f t="shared" si="102"/>
        <v>9.9999999999999995E-8</v>
      </c>
      <c r="U265" s="140">
        <f t="shared" si="67"/>
        <v>2.7400000000000005E-5</v>
      </c>
      <c r="V265">
        <v>2.74</v>
      </c>
      <c r="W265" s="140">
        <f t="shared" si="68"/>
        <v>2.7399999999999994E-7</v>
      </c>
      <c r="X265" s="140">
        <f t="shared" si="69"/>
        <v>5.4799999999999998E-7</v>
      </c>
      <c r="Y265" s="140">
        <f t="shared" si="70"/>
        <v>8.2200000000000013E-7</v>
      </c>
      <c r="Z265" s="140">
        <f t="shared" si="71"/>
        <v>1.0960000000000002E-6</v>
      </c>
      <c r="AA265" s="140">
        <f t="shared" si="72"/>
        <v>1.3700000000000004E-6</v>
      </c>
      <c r="AB265" s="157">
        <f>IF(U265&lt;$B$41*DATA!$H$1037,DATA!$H$1037,IF(U265&gt;DATA!$H$1036*$B$41,DATA!$H$1036,1))</f>
        <v>0.8</v>
      </c>
      <c r="AC265" s="156">
        <f t="shared" si="103"/>
        <v>9.9999999999999995E-8</v>
      </c>
      <c r="AE265" s="140">
        <f t="shared" si="73"/>
        <v>2.7400000000000005E-5</v>
      </c>
      <c r="AF265">
        <v>2.74</v>
      </c>
      <c r="AG265" s="140">
        <f t="shared" si="74"/>
        <v>2.7399999999999994E-7</v>
      </c>
      <c r="AH265" s="140">
        <f t="shared" si="75"/>
        <v>5.4799999999999998E-7</v>
      </c>
      <c r="AI265" s="140">
        <f t="shared" si="76"/>
        <v>8.2200000000000013E-7</v>
      </c>
      <c r="AJ265" s="140">
        <f t="shared" si="77"/>
        <v>1.0960000000000002E-6</v>
      </c>
      <c r="AK265" s="140">
        <f t="shared" si="78"/>
        <v>1.3700000000000004E-6</v>
      </c>
      <c r="AL265" s="157">
        <f>IF(AE265&lt;$B$57*DATA!$H$1037,DATA!$H$1037,IF(AE265&gt;DATA!$H$1036*$B$57,DATA!$H$1036,1))</f>
        <v>1.2</v>
      </c>
      <c r="AM265" s="156">
        <f t="shared" si="104"/>
        <v>9.9999999999999995E-8</v>
      </c>
      <c r="AO265" s="140">
        <f t="shared" si="79"/>
        <v>2.7400000000000005E-5</v>
      </c>
      <c r="AP265">
        <v>2.74</v>
      </c>
      <c r="AQ265" s="140">
        <f t="shared" si="80"/>
        <v>2.7399999999999994E-7</v>
      </c>
      <c r="AR265" s="140">
        <f t="shared" si="81"/>
        <v>5.4799999999999998E-7</v>
      </c>
      <c r="AS265" s="140">
        <f t="shared" si="82"/>
        <v>8.2200000000000013E-7</v>
      </c>
      <c r="AT265" s="140">
        <f t="shared" si="83"/>
        <v>1.0960000000000002E-6</v>
      </c>
      <c r="AU265" s="140">
        <f t="shared" si="84"/>
        <v>1.3700000000000004E-6</v>
      </c>
      <c r="AV265" s="157">
        <f>IF(AO265&lt;$B$73*DATA!$H$1037,DATA!$H$1037,IF(AO265&gt;DATA!$H$1036*$B$73,DATA!$H$1036,1))</f>
        <v>1.2</v>
      </c>
      <c r="AW265" s="156">
        <f t="shared" si="85"/>
        <v>9.9999999999999995E-8</v>
      </c>
      <c r="AY265" s="140">
        <f t="shared" si="86"/>
        <v>2.7400000000000005E-5</v>
      </c>
      <c r="AZ265">
        <v>2.74</v>
      </c>
      <c r="BA265" s="140">
        <f t="shared" si="87"/>
        <v>2.7399999999999994E-7</v>
      </c>
      <c r="BB265" s="140">
        <f t="shared" si="88"/>
        <v>5.4799999999999998E-7</v>
      </c>
      <c r="BC265" s="140">
        <f t="shared" si="89"/>
        <v>8.2200000000000013E-7</v>
      </c>
      <c r="BD265" s="140">
        <f t="shared" si="90"/>
        <v>1.0960000000000002E-6</v>
      </c>
      <c r="BE265" s="140">
        <f t="shared" si="91"/>
        <v>1.3700000000000004E-6</v>
      </c>
      <c r="BF265" s="157">
        <f>IF(AY265&lt;$B$89*DATA!$H$1037,DATA!$H$1037,IF(AY265&gt;DATA!$H$1036*$B$89,DATA!$H$1036,1))</f>
        <v>1.2</v>
      </c>
      <c r="BG265" s="156">
        <f t="shared" si="92"/>
        <v>9.9999999999999995E-8</v>
      </c>
      <c r="BI265" s="140">
        <f t="shared" si="93"/>
        <v>2.7400000000000005E-5</v>
      </c>
      <c r="BJ265">
        <v>2.74</v>
      </c>
      <c r="BK265" s="140">
        <f t="shared" si="94"/>
        <v>2.7399999999999994E-7</v>
      </c>
      <c r="BL265" s="140">
        <f t="shared" si="95"/>
        <v>5.4799999999999998E-7</v>
      </c>
      <c r="BM265" s="140">
        <f t="shared" si="96"/>
        <v>8.2200000000000013E-7</v>
      </c>
      <c r="BN265" s="140">
        <f t="shared" si="97"/>
        <v>1.0960000000000002E-6</v>
      </c>
      <c r="BO265" s="140">
        <f t="shared" si="98"/>
        <v>1.3700000000000004E-6</v>
      </c>
      <c r="BP265" s="157">
        <f>IF(BI265&lt;$B$105*DATA!$H$1037,DATA!$H$1037,IF(BI265&gt;DATA!$H$1036*$B$105,DATA!$H$1036,1))</f>
        <v>1.2</v>
      </c>
      <c r="BQ265" s="156">
        <f t="shared" si="99"/>
        <v>9.9999999999999995E-8</v>
      </c>
    </row>
    <row r="266" spans="1:69">
      <c r="A266" s="140">
        <f t="shared" si="59"/>
        <v>2.76E-5</v>
      </c>
      <c r="B266">
        <v>2.76</v>
      </c>
      <c r="C266" s="140">
        <f t="shared" si="106"/>
        <v>2.7599999999999993E-7</v>
      </c>
      <c r="D266" s="140">
        <f t="shared" si="106"/>
        <v>5.5199999999999997E-7</v>
      </c>
      <c r="E266" s="140">
        <f t="shared" si="106"/>
        <v>8.2799999999999995E-7</v>
      </c>
      <c r="F266" s="140">
        <f t="shared" si="106"/>
        <v>1.1039999999999999E-6</v>
      </c>
      <c r="G266" s="140">
        <f t="shared" si="106"/>
        <v>1.3800000000000001E-6</v>
      </c>
      <c r="H266" s="157">
        <f>IF(A266&lt;$B$9*DATA!$H$1037,DATA!$H$1037,IF(A266&gt;DATA!$H$1036*$B$9,DATA!$H$1036,1))</f>
        <v>0.8</v>
      </c>
      <c r="I266" s="156">
        <f t="shared" si="105"/>
        <v>9.9999999999999995E-8</v>
      </c>
      <c r="K266" s="140">
        <f t="shared" si="61"/>
        <v>2.76E-5</v>
      </c>
      <c r="L266">
        <v>2.76</v>
      </c>
      <c r="M266" s="140">
        <f t="shared" si="62"/>
        <v>2.7599999999999993E-7</v>
      </c>
      <c r="N266" s="140">
        <f t="shared" si="63"/>
        <v>5.5199999999999997E-7</v>
      </c>
      <c r="O266" s="140">
        <f t="shared" si="64"/>
        <v>8.2799999999999995E-7</v>
      </c>
      <c r="P266" s="140">
        <f t="shared" si="65"/>
        <v>1.1039999999999999E-6</v>
      </c>
      <c r="Q266" s="140">
        <f t="shared" si="66"/>
        <v>1.3800000000000001E-6</v>
      </c>
      <c r="R266" s="157">
        <f>IF(K266&lt;$B$25*DATA!$H$1037,DATA!$H$1037,IF(K266&gt;DATA!$H$1036*$B$25,DATA!$H$1036,1))</f>
        <v>0.8</v>
      </c>
      <c r="S266" s="156">
        <f t="shared" si="102"/>
        <v>9.9999999999999995E-8</v>
      </c>
      <c r="U266" s="140">
        <f t="shared" si="67"/>
        <v>2.76E-5</v>
      </c>
      <c r="V266">
        <v>2.76</v>
      </c>
      <c r="W266" s="140">
        <f t="shared" si="68"/>
        <v>2.7599999999999993E-7</v>
      </c>
      <c r="X266" s="140">
        <f t="shared" si="69"/>
        <v>5.5199999999999997E-7</v>
      </c>
      <c r="Y266" s="140">
        <f t="shared" si="70"/>
        <v>8.2799999999999995E-7</v>
      </c>
      <c r="Z266" s="140">
        <f t="shared" si="71"/>
        <v>1.1039999999999999E-6</v>
      </c>
      <c r="AA266" s="140">
        <f t="shared" si="72"/>
        <v>1.3800000000000001E-6</v>
      </c>
      <c r="AB266" s="157">
        <f>IF(U266&lt;$B$41*DATA!$H$1037,DATA!$H$1037,IF(U266&gt;DATA!$H$1036*$B$41,DATA!$H$1036,1))</f>
        <v>0.8</v>
      </c>
      <c r="AC266" s="156">
        <f t="shared" si="103"/>
        <v>9.9999999999999995E-8</v>
      </c>
      <c r="AE266" s="140">
        <f t="shared" si="73"/>
        <v>2.76E-5</v>
      </c>
      <c r="AF266">
        <v>2.76</v>
      </c>
      <c r="AG266" s="140">
        <f t="shared" si="74"/>
        <v>2.7599999999999993E-7</v>
      </c>
      <c r="AH266" s="140">
        <f t="shared" si="75"/>
        <v>5.5199999999999997E-7</v>
      </c>
      <c r="AI266" s="140">
        <f t="shared" si="76"/>
        <v>8.2799999999999995E-7</v>
      </c>
      <c r="AJ266" s="140">
        <f t="shared" si="77"/>
        <v>1.1039999999999999E-6</v>
      </c>
      <c r="AK266" s="140">
        <f t="shared" si="78"/>
        <v>1.3800000000000001E-6</v>
      </c>
      <c r="AL266" s="157">
        <f>IF(AE266&lt;$B$57*DATA!$H$1037,DATA!$H$1037,IF(AE266&gt;DATA!$H$1036*$B$57,DATA!$H$1036,1))</f>
        <v>1.2</v>
      </c>
      <c r="AM266" s="156">
        <f t="shared" si="104"/>
        <v>9.9999999999999995E-8</v>
      </c>
      <c r="AO266" s="140">
        <f t="shared" si="79"/>
        <v>2.76E-5</v>
      </c>
      <c r="AP266">
        <v>2.76</v>
      </c>
      <c r="AQ266" s="140">
        <f t="shared" si="80"/>
        <v>2.7599999999999993E-7</v>
      </c>
      <c r="AR266" s="140">
        <f t="shared" si="81"/>
        <v>5.5199999999999997E-7</v>
      </c>
      <c r="AS266" s="140">
        <f t="shared" si="82"/>
        <v>8.2799999999999995E-7</v>
      </c>
      <c r="AT266" s="140">
        <f t="shared" si="83"/>
        <v>1.1039999999999999E-6</v>
      </c>
      <c r="AU266" s="140">
        <f t="shared" si="84"/>
        <v>1.3800000000000001E-6</v>
      </c>
      <c r="AV266" s="157">
        <f>IF(AO266&lt;$B$73*DATA!$H$1037,DATA!$H$1037,IF(AO266&gt;DATA!$H$1036*$B$73,DATA!$H$1036,1))</f>
        <v>1.2</v>
      </c>
      <c r="AW266" s="156">
        <f t="shared" si="85"/>
        <v>9.9999999999999995E-8</v>
      </c>
      <c r="AY266" s="140">
        <f t="shared" si="86"/>
        <v>2.76E-5</v>
      </c>
      <c r="AZ266">
        <v>2.76</v>
      </c>
      <c r="BA266" s="140">
        <f t="shared" si="87"/>
        <v>2.7599999999999993E-7</v>
      </c>
      <c r="BB266" s="140">
        <f t="shared" si="88"/>
        <v>5.5199999999999997E-7</v>
      </c>
      <c r="BC266" s="140">
        <f t="shared" si="89"/>
        <v>8.2799999999999995E-7</v>
      </c>
      <c r="BD266" s="140">
        <f t="shared" si="90"/>
        <v>1.1039999999999999E-6</v>
      </c>
      <c r="BE266" s="140">
        <f t="shared" si="91"/>
        <v>1.3800000000000001E-6</v>
      </c>
      <c r="BF266" s="157">
        <f>IF(AY266&lt;$B$89*DATA!$H$1037,DATA!$H$1037,IF(AY266&gt;DATA!$H$1036*$B$89,DATA!$H$1036,1))</f>
        <v>1.2</v>
      </c>
      <c r="BG266" s="156">
        <f t="shared" si="92"/>
        <v>9.9999999999999995E-8</v>
      </c>
      <c r="BI266" s="140">
        <f t="shared" si="93"/>
        <v>2.76E-5</v>
      </c>
      <c r="BJ266">
        <v>2.76</v>
      </c>
      <c r="BK266" s="140">
        <f t="shared" si="94"/>
        <v>2.7599999999999993E-7</v>
      </c>
      <c r="BL266" s="140">
        <f t="shared" si="95"/>
        <v>5.5199999999999997E-7</v>
      </c>
      <c r="BM266" s="140">
        <f t="shared" si="96"/>
        <v>8.2799999999999995E-7</v>
      </c>
      <c r="BN266" s="140">
        <f t="shared" si="97"/>
        <v>1.1039999999999999E-6</v>
      </c>
      <c r="BO266" s="140">
        <f t="shared" si="98"/>
        <v>1.3800000000000001E-6</v>
      </c>
      <c r="BP266" s="157">
        <f>IF(BI266&lt;$B$105*DATA!$H$1037,DATA!$H$1037,IF(BI266&gt;DATA!$H$1036*$B$105,DATA!$H$1036,1))</f>
        <v>1.2</v>
      </c>
      <c r="BQ266" s="156">
        <f t="shared" si="99"/>
        <v>9.9999999999999995E-8</v>
      </c>
    </row>
    <row r="267" spans="1:69">
      <c r="A267" s="140">
        <f t="shared" si="59"/>
        <v>2.7800000000000001E-5</v>
      </c>
      <c r="B267">
        <v>2.78</v>
      </c>
      <c r="C267" s="140">
        <f t="shared" si="106"/>
        <v>2.7799999999999992E-7</v>
      </c>
      <c r="D267" s="140">
        <f t="shared" si="106"/>
        <v>5.5599999999999995E-7</v>
      </c>
      <c r="E267" s="140">
        <f t="shared" si="106"/>
        <v>8.3399999999999998E-7</v>
      </c>
      <c r="F267" s="140">
        <f t="shared" si="106"/>
        <v>1.1120000000000001E-6</v>
      </c>
      <c r="G267" s="140">
        <f t="shared" si="106"/>
        <v>1.3900000000000002E-6</v>
      </c>
      <c r="H267" s="157">
        <f>IF(A267&lt;$B$9*DATA!$H$1037,DATA!$H$1037,IF(A267&gt;DATA!$H$1036*$B$9,DATA!$H$1036,1))</f>
        <v>0.8</v>
      </c>
      <c r="I267" s="156">
        <f t="shared" si="105"/>
        <v>9.9999999999999995E-8</v>
      </c>
      <c r="K267" s="140">
        <f t="shared" si="61"/>
        <v>2.7800000000000001E-5</v>
      </c>
      <c r="L267">
        <v>2.78</v>
      </c>
      <c r="M267" s="140">
        <f t="shared" si="62"/>
        <v>2.7799999999999992E-7</v>
      </c>
      <c r="N267" s="140">
        <f t="shared" si="63"/>
        <v>5.5599999999999995E-7</v>
      </c>
      <c r="O267" s="140">
        <f t="shared" si="64"/>
        <v>8.3399999999999998E-7</v>
      </c>
      <c r="P267" s="140">
        <f t="shared" si="65"/>
        <v>1.1120000000000001E-6</v>
      </c>
      <c r="Q267" s="140">
        <f t="shared" si="66"/>
        <v>1.3900000000000002E-6</v>
      </c>
      <c r="R267" s="157">
        <f>IF(K267&lt;$B$25*DATA!$H$1037,DATA!$H$1037,IF(K267&gt;DATA!$H$1036*$B$25,DATA!$H$1036,1))</f>
        <v>0.8</v>
      </c>
      <c r="S267" s="156">
        <f t="shared" si="102"/>
        <v>9.9999999999999995E-8</v>
      </c>
      <c r="U267" s="140">
        <f t="shared" si="67"/>
        <v>2.7800000000000001E-5</v>
      </c>
      <c r="V267">
        <v>2.78</v>
      </c>
      <c r="W267" s="140">
        <f t="shared" si="68"/>
        <v>2.7799999999999992E-7</v>
      </c>
      <c r="X267" s="140">
        <f t="shared" si="69"/>
        <v>5.5599999999999995E-7</v>
      </c>
      <c r="Y267" s="140">
        <f t="shared" si="70"/>
        <v>8.3399999999999998E-7</v>
      </c>
      <c r="Z267" s="140">
        <f t="shared" si="71"/>
        <v>1.1120000000000001E-6</v>
      </c>
      <c r="AA267" s="140">
        <f t="shared" si="72"/>
        <v>1.3900000000000002E-6</v>
      </c>
      <c r="AB267" s="157">
        <f>IF(U267&lt;$B$41*DATA!$H$1037,DATA!$H$1037,IF(U267&gt;DATA!$H$1036*$B$41,DATA!$H$1036,1))</f>
        <v>0.8</v>
      </c>
      <c r="AC267" s="156">
        <f t="shared" si="103"/>
        <v>9.9999999999999995E-8</v>
      </c>
      <c r="AE267" s="140">
        <f t="shared" si="73"/>
        <v>2.7800000000000001E-5</v>
      </c>
      <c r="AF267">
        <v>2.78</v>
      </c>
      <c r="AG267" s="140">
        <f t="shared" si="74"/>
        <v>2.7799999999999992E-7</v>
      </c>
      <c r="AH267" s="140">
        <f t="shared" si="75"/>
        <v>5.5599999999999995E-7</v>
      </c>
      <c r="AI267" s="140">
        <f t="shared" si="76"/>
        <v>8.3399999999999998E-7</v>
      </c>
      <c r="AJ267" s="140">
        <f t="shared" si="77"/>
        <v>1.1120000000000001E-6</v>
      </c>
      <c r="AK267" s="140">
        <f t="shared" si="78"/>
        <v>1.3900000000000002E-6</v>
      </c>
      <c r="AL267" s="157">
        <f>IF(AE267&lt;$B$57*DATA!$H$1037,DATA!$H$1037,IF(AE267&gt;DATA!$H$1036*$B$57,DATA!$H$1036,1))</f>
        <v>1.2</v>
      </c>
      <c r="AM267" s="156">
        <f t="shared" si="104"/>
        <v>9.9999999999999995E-8</v>
      </c>
      <c r="AO267" s="140">
        <f t="shared" si="79"/>
        <v>2.7800000000000001E-5</v>
      </c>
      <c r="AP267">
        <v>2.78</v>
      </c>
      <c r="AQ267" s="140">
        <f t="shared" si="80"/>
        <v>2.7799999999999992E-7</v>
      </c>
      <c r="AR267" s="140">
        <f t="shared" si="81"/>
        <v>5.5599999999999995E-7</v>
      </c>
      <c r="AS267" s="140">
        <f t="shared" si="82"/>
        <v>8.3399999999999998E-7</v>
      </c>
      <c r="AT267" s="140">
        <f t="shared" si="83"/>
        <v>1.1120000000000001E-6</v>
      </c>
      <c r="AU267" s="140">
        <f t="shared" si="84"/>
        <v>1.3900000000000002E-6</v>
      </c>
      <c r="AV267" s="157">
        <f>IF(AO267&lt;$B$73*DATA!$H$1037,DATA!$H$1037,IF(AO267&gt;DATA!$H$1036*$B$73,DATA!$H$1036,1))</f>
        <v>1.2</v>
      </c>
      <c r="AW267" s="156">
        <f t="shared" si="85"/>
        <v>9.9999999999999995E-8</v>
      </c>
      <c r="AY267" s="140">
        <f t="shared" si="86"/>
        <v>2.7800000000000001E-5</v>
      </c>
      <c r="AZ267">
        <v>2.78</v>
      </c>
      <c r="BA267" s="140">
        <f t="shared" si="87"/>
        <v>2.7799999999999992E-7</v>
      </c>
      <c r="BB267" s="140">
        <f t="shared" si="88"/>
        <v>5.5599999999999995E-7</v>
      </c>
      <c r="BC267" s="140">
        <f t="shared" si="89"/>
        <v>8.3399999999999998E-7</v>
      </c>
      <c r="BD267" s="140">
        <f t="shared" si="90"/>
        <v>1.1120000000000001E-6</v>
      </c>
      <c r="BE267" s="140">
        <f t="shared" si="91"/>
        <v>1.3900000000000002E-6</v>
      </c>
      <c r="BF267" s="157">
        <f>IF(AY267&lt;$B$89*DATA!$H$1037,DATA!$H$1037,IF(AY267&gt;DATA!$H$1036*$B$89,DATA!$H$1036,1))</f>
        <v>1.2</v>
      </c>
      <c r="BG267" s="156">
        <f t="shared" si="92"/>
        <v>9.9999999999999995E-8</v>
      </c>
      <c r="BI267" s="140">
        <f t="shared" si="93"/>
        <v>2.7800000000000001E-5</v>
      </c>
      <c r="BJ267">
        <v>2.78</v>
      </c>
      <c r="BK267" s="140">
        <f t="shared" si="94"/>
        <v>2.7799999999999992E-7</v>
      </c>
      <c r="BL267" s="140">
        <f t="shared" si="95"/>
        <v>5.5599999999999995E-7</v>
      </c>
      <c r="BM267" s="140">
        <f t="shared" si="96"/>
        <v>8.3399999999999998E-7</v>
      </c>
      <c r="BN267" s="140">
        <f t="shared" si="97"/>
        <v>1.1120000000000001E-6</v>
      </c>
      <c r="BO267" s="140">
        <f t="shared" si="98"/>
        <v>1.3900000000000002E-6</v>
      </c>
      <c r="BP267" s="157">
        <f>IF(BI267&lt;$B$105*DATA!$H$1037,DATA!$H$1037,IF(BI267&gt;DATA!$H$1036*$B$105,DATA!$H$1036,1))</f>
        <v>1.2</v>
      </c>
      <c r="BQ267" s="156">
        <f t="shared" si="99"/>
        <v>9.9999999999999995E-8</v>
      </c>
    </row>
    <row r="268" spans="1:69">
      <c r="A268" s="140">
        <f t="shared" si="59"/>
        <v>2.8E-5</v>
      </c>
      <c r="B268">
        <v>2.8</v>
      </c>
      <c r="C268" s="140">
        <f t="shared" si="106"/>
        <v>2.7999999999999991E-7</v>
      </c>
      <c r="D268" s="140">
        <f t="shared" si="106"/>
        <v>5.5999999999999993E-7</v>
      </c>
      <c r="E268" s="140">
        <f t="shared" si="106"/>
        <v>8.4E-7</v>
      </c>
      <c r="F268" s="140">
        <f t="shared" si="106"/>
        <v>1.1200000000000001E-6</v>
      </c>
      <c r="G268" s="140">
        <f t="shared" si="106"/>
        <v>1.4000000000000001E-6</v>
      </c>
      <c r="H268" s="157">
        <f>IF(A268&lt;$B$9*DATA!$H$1037,DATA!$H$1037,IF(A268&gt;DATA!$H$1036*$B$9,DATA!$H$1036,1))</f>
        <v>0.8</v>
      </c>
      <c r="I268" s="156">
        <f t="shared" si="105"/>
        <v>9.9999999999999995E-8</v>
      </c>
      <c r="K268" s="140">
        <f t="shared" si="61"/>
        <v>2.8E-5</v>
      </c>
      <c r="L268">
        <v>2.8</v>
      </c>
      <c r="M268" s="140">
        <f t="shared" si="62"/>
        <v>2.7999999999999991E-7</v>
      </c>
      <c r="N268" s="140">
        <f t="shared" si="63"/>
        <v>5.5999999999999993E-7</v>
      </c>
      <c r="O268" s="140">
        <f t="shared" si="64"/>
        <v>8.4E-7</v>
      </c>
      <c r="P268" s="140">
        <f t="shared" si="65"/>
        <v>1.1200000000000001E-6</v>
      </c>
      <c r="Q268" s="140">
        <f t="shared" si="66"/>
        <v>1.4000000000000001E-6</v>
      </c>
      <c r="R268" s="157">
        <f>IF(K268&lt;$B$25*DATA!$H$1037,DATA!$H$1037,IF(K268&gt;DATA!$H$1036*$B$25,DATA!$H$1036,1))</f>
        <v>0.8</v>
      </c>
      <c r="S268" s="156">
        <f t="shared" si="102"/>
        <v>9.9999999999999995E-8</v>
      </c>
      <c r="U268" s="140">
        <f t="shared" si="67"/>
        <v>2.8E-5</v>
      </c>
      <c r="V268">
        <v>2.8</v>
      </c>
      <c r="W268" s="140">
        <f t="shared" si="68"/>
        <v>2.7999999999999991E-7</v>
      </c>
      <c r="X268" s="140">
        <f t="shared" si="69"/>
        <v>5.5999999999999993E-7</v>
      </c>
      <c r="Y268" s="140">
        <f t="shared" si="70"/>
        <v>8.4E-7</v>
      </c>
      <c r="Z268" s="140">
        <f t="shared" si="71"/>
        <v>1.1200000000000001E-6</v>
      </c>
      <c r="AA268" s="140">
        <f t="shared" si="72"/>
        <v>1.4000000000000001E-6</v>
      </c>
      <c r="AB268" s="157">
        <f>IF(U268&lt;$B$41*DATA!$H$1037,DATA!$H$1037,IF(U268&gt;DATA!$H$1036*$B$41,DATA!$H$1036,1))</f>
        <v>0.8</v>
      </c>
      <c r="AC268" s="156">
        <f t="shared" si="103"/>
        <v>9.9999999999999995E-8</v>
      </c>
      <c r="AE268" s="140">
        <f t="shared" si="73"/>
        <v>2.8E-5</v>
      </c>
      <c r="AF268">
        <v>2.8</v>
      </c>
      <c r="AG268" s="140">
        <f t="shared" si="74"/>
        <v>2.7999999999999991E-7</v>
      </c>
      <c r="AH268" s="140">
        <f t="shared" si="75"/>
        <v>5.5999999999999993E-7</v>
      </c>
      <c r="AI268" s="140">
        <f t="shared" si="76"/>
        <v>8.4E-7</v>
      </c>
      <c r="AJ268" s="140">
        <f t="shared" si="77"/>
        <v>1.1200000000000001E-6</v>
      </c>
      <c r="AK268" s="140">
        <f t="shared" si="78"/>
        <v>1.4000000000000001E-6</v>
      </c>
      <c r="AL268" s="157">
        <f>IF(AE268&lt;$B$57*DATA!$H$1037,DATA!$H$1037,IF(AE268&gt;DATA!$H$1036*$B$57,DATA!$H$1036,1))</f>
        <v>1.2</v>
      </c>
      <c r="AM268" s="156">
        <f t="shared" si="104"/>
        <v>9.9999999999999995E-8</v>
      </c>
      <c r="AO268" s="140">
        <f t="shared" si="79"/>
        <v>2.8E-5</v>
      </c>
      <c r="AP268">
        <v>2.8</v>
      </c>
      <c r="AQ268" s="140">
        <f t="shared" si="80"/>
        <v>2.7999999999999991E-7</v>
      </c>
      <c r="AR268" s="140">
        <f t="shared" si="81"/>
        <v>5.5999999999999993E-7</v>
      </c>
      <c r="AS268" s="140">
        <f t="shared" si="82"/>
        <v>8.4E-7</v>
      </c>
      <c r="AT268" s="140">
        <f t="shared" si="83"/>
        <v>1.1200000000000001E-6</v>
      </c>
      <c r="AU268" s="140">
        <f t="shared" si="84"/>
        <v>1.4000000000000001E-6</v>
      </c>
      <c r="AV268" s="157">
        <f>IF(AO268&lt;$B$73*DATA!$H$1037,DATA!$H$1037,IF(AO268&gt;DATA!$H$1036*$B$73,DATA!$H$1036,1))</f>
        <v>1.2</v>
      </c>
      <c r="AW268" s="156">
        <f t="shared" si="85"/>
        <v>9.9999999999999995E-8</v>
      </c>
      <c r="AY268" s="140">
        <f t="shared" si="86"/>
        <v>2.8E-5</v>
      </c>
      <c r="AZ268">
        <v>2.8</v>
      </c>
      <c r="BA268" s="140">
        <f t="shared" si="87"/>
        <v>2.7999999999999991E-7</v>
      </c>
      <c r="BB268" s="140">
        <f t="shared" si="88"/>
        <v>5.5999999999999993E-7</v>
      </c>
      <c r="BC268" s="140">
        <f t="shared" si="89"/>
        <v>8.4E-7</v>
      </c>
      <c r="BD268" s="140">
        <f t="shared" si="90"/>
        <v>1.1200000000000001E-6</v>
      </c>
      <c r="BE268" s="140">
        <f t="shared" si="91"/>
        <v>1.4000000000000001E-6</v>
      </c>
      <c r="BF268" s="157">
        <f>IF(AY268&lt;$B$89*DATA!$H$1037,DATA!$H$1037,IF(AY268&gt;DATA!$H$1036*$B$89,DATA!$H$1036,1))</f>
        <v>1.2</v>
      </c>
      <c r="BG268" s="156">
        <f t="shared" si="92"/>
        <v>9.9999999999999995E-8</v>
      </c>
      <c r="BI268" s="140">
        <f t="shared" si="93"/>
        <v>2.8E-5</v>
      </c>
      <c r="BJ268">
        <v>2.8</v>
      </c>
      <c r="BK268" s="140">
        <f t="shared" si="94"/>
        <v>2.7999999999999991E-7</v>
      </c>
      <c r="BL268" s="140">
        <f t="shared" si="95"/>
        <v>5.5999999999999993E-7</v>
      </c>
      <c r="BM268" s="140">
        <f t="shared" si="96"/>
        <v>8.4E-7</v>
      </c>
      <c r="BN268" s="140">
        <f t="shared" si="97"/>
        <v>1.1200000000000001E-6</v>
      </c>
      <c r="BO268" s="140">
        <f t="shared" si="98"/>
        <v>1.4000000000000001E-6</v>
      </c>
      <c r="BP268" s="157">
        <f>IF(BI268&lt;$B$105*DATA!$H$1037,DATA!$H$1037,IF(BI268&gt;DATA!$H$1036*$B$105,DATA!$H$1036,1))</f>
        <v>1.2</v>
      </c>
      <c r="BQ268" s="156">
        <f t="shared" si="99"/>
        <v>9.9999999999999995E-8</v>
      </c>
    </row>
    <row r="269" spans="1:69">
      <c r="A269" s="140">
        <f t="shared" si="59"/>
        <v>2.8200000000000001E-5</v>
      </c>
      <c r="B269">
        <v>2.82</v>
      </c>
      <c r="C269" s="140">
        <f t="shared" si="106"/>
        <v>2.819999999999999E-7</v>
      </c>
      <c r="D269" s="140">
        <f t="shared" si="106"/>
        <v>5.6399999999999992E-7</v>
      </c>
      <c r="E269" s="140">
        <f t="shared" si="106"/>
        <v>8.4600000000000003E-7</v>
      </c>
      <c r="F269" s="140">
        <f t="shared" si="106"/>
        <v>1.128E-6</v>
      </c>
      <c r="G269" s="140">
        <f t="shared" si="106"/>
        <v>1.4100000000000001E-6</v>
      </c>
      <c r="H269" s="157">
        <f>IF(A269&lt;$B$9*DATA!$H$1037,DATA!$H$1037,IF(A269&gt;DATA!$H$1036*$B$9,DATA!$H$1036,1))</f>
        <v>0.8</v>
      </c>
      <c r="I269" s="156">
        <f t="shared" si="105"/>
        <v>9.9999999999999995E-8</v>
      </c>
      <c r="K269" s="140">
        <f t="shared" si="61"/>
        <v>2.8200000000000001E-5</v>
      </c>
      <c r="L269">
        <v>2.82</v>
      </c>
      <c r="M269" s="140">
        <f t="shared" si="62"/>
        <v>2.819999999999999E-7</v>
      </c>
      <c r="N269" s="140">
        <f t="shared" si="63"/>
        <v>5.6399999999999992E-7</v>
      </c>
      <c r="O269" s="140">
        <f t="shared" si="64"/>
        <v>8.4600000000000003E-7</v>
      </c>
      <c r="P269" s="140">
        <f t="shared" si="65"/>
        <v>1.128E-6</v>
      </c>
      <c r="Q269" s="140">
        <f t="shared" si="66"/>
        <v>1.4100000000000001E-6</v>
      </c>
      <c r="R269" s="157">
        <f>IF(K269&lt;$B$25*DATA!$H$1037,DATA!$H$1037,IF(K269&gt;DATA!$H$1036*$B$25,DATA!$H$1036,1))</f>
        <v>0.8</v>
      </c>
      <c r="S269" s="156">
        <f t="shared" si="102"/>
        <v>9.9999999999999995E-8</v>
      </c>
      <c r="U269" s="140">
        <f t="shared" si="67"/>
        <v>2.8200000000000001E-5</v>
      </c>
      <c r="V269">
        <v>2.82</v>
      </c>
      <c r="W269" s="140">
        <f t="shared" si="68"/>
        <v>2.819999999999999E-7</v>
      </c>
      <c r="X269" s="140">
        <f t="shared" si="69"/>
        <v>5.6399999999999992E-7</v>
      </c>
      <c r="Y269" s="140">
        <f t="shared" si="70"/>
        <v>8.4600000000000003E-7</v>
      </c>
      <c r="Z269" s="140">
        <f t="shared" si="71"/>
        <v>1.128E-6</v>
      </c>
      <c r="AA269" s="140">
        <f t="shared" si="72"/>
        <v>1.4100000000000001E-6</v>
      </c>
      <c r="AB269" s="157">
        <f>IF(U269&lt;$B$41*DATA!$H$1037,DATA!$H$1037,IF(U269&gt;DATA!$H$1036*$B$41,DATA!$H$1036,1))</f>
        <v>0.8</v>
      </c>
      <c r="AC269" s="156">
        <f t="shared" si="103"/>
        <v>9.9999999999999995E-8</v>
      </c>
      <c r="AE269" s="140">
        <f t="shared" si="73"/>
        <v>2.8200000000000001E-5</v>
      </c>
      <c r="AF269">
        <v>2.82</v>
      </c>
      <c r="AG269" s="140">
        <f t="shared" si="74"/>
        <v>2.819999999999999E-7</v>
      </c>
      <c r="AH269" s="140">
        <f t="shared" si="75"/>
        <v>5.6399999999999992E-7</v>
      </c>
      <c r="AI269" s="140">
        <f t="shared" si="76"/>
        <v>8.4600000000000003E-7</v>
      </c>
      <c r="AJ269" s="140">
        <f t="shared" si="77"/>
        <v>1.128E-6</v>
      </c>
      <c r="AK269" s="140">
        <f t="shared" si="78"/>
        <v>1.4100000000000001E-6</v>
      </c>
      <c r="AL269" s="157">
        <f>IF(AE269&lt;$B$57*DATA!$H$1037,DATA!$H$1037,IF(AE269&gt;DATA!$H$1036*$B$57,DATA!$H$1036,1))</f>
        <v>1.2</v>
      </c>
      <c r="AM269" s="156">
        <f t="shared" si="104"/>
        <v>9.9999999999999995E-8</v>
      </c>
      <c r="AO269" s="140">
        <f t="shared" si="79"/>
        <v>2.8200000000000001E-5</v>
      </c>
      <c r="AP269">
        <v>2.82</v>
      </c>
      <c r="AQ269" s="140">
        <f t="shared" si="80"/>
        <v>2.819999999999999E-7</v>
      </c>
      <c r="AR269" s="140">
        <f t="shared" si="81"/>
        <v>5.6399999999999992E-7</v>
      </c>
      <c r="AS269" s="140">
        <f t="shared" si="82"/>
        <v>8.4600000000000003E-7</v>
      </c>
      <c r="AT269" s="140">
        <f t="shared" si="83"/>
        <v>1.128E-6</v>
      </c>
      <c r="AU269" s="140">
        <f t="shared" si="84"/>
        <v>1.4100000000000001E-6</v>
      </c>
      <c r="AV269" s="157">
        <f>IF(AO269&lt;$B$73*DATA!$H$1037,DATA!$H$1037,IF(AO269&gt;DATA!$H$1036*$B$73,DATA!$H$1036,1))</f>
        <v>1.2</v>
      </c>
      <c r="AW269" s="156">
        <f t="shared" si="85"/>
        <v>9.9999999999999995E-8</v>
      </c>
      <c r="AY269" s="140">
        <f t="shared" si="86"/>
        <v>2.8200000000000001E-5</v>
      </c>
      <c r="AZ269">
        <v>2.82</v>
      </c>
      <c r="BA269" s="140">
        <f t="shared" si="87"/>
        <v>2.819999999999999E-7</v>
      </c>
      <c r="BB269" s="140">
        <f t="shared" si="88"/>
        <v>5.6399999999999992E-7</v>
      </c>
      <c r="BC269" s="140">
        <f t="shared" si="89"/>
        <v>8.4600000000000003E-7</v>
      </c>
      <c r="BD269" s="140">
        <f t="shared" si="90"/>
        <v>1.128E-6</v>
      </c>
      <c r="BE269" s="140">
        <f t="shared" si="91"/>
        <v>1.4100000000000001E-6</v>
      </c>
      <c r="BF269" s="157">
        <f>IF(AY269&lt;$B$89*DATA!$H$1037,DATA!$H$1037,IF(AY269&gt;DATA!$H$1036*$B$89,DATA!$H$1036,1))</f>
        <v>1.2</v>
      </c>
      <c r="BG269" s="156">
        <f t="shared" si="92"/>
        <v>9.9999999999999995E-8</v>
      </c>
      <c r="BI269" s="140">
        <f t="shared" si="93"/>
        <v>2.8200000000000001E-5</v>
      </c>
      <c r="BJ269">
        <v>2.82</v>
      </c>
      <c r="BK269" s="140">
        <f t="shared" si="94"/>
        <v>2.819999999999999E-7</v>
      </c>
      <c r="BL269" s="140">
        <f t="shared" si="95"/>
        <v>5.6399999999999992E-7</v>
      </c>
      <c r="BM269" s="140">
        <f t="shared" si="96"/>
        <v>8.4600000000000003E-7</v>
      </c>
      <c r="BN269" s="140">
        <f t="shared" si="97"/>
        <v>1.128E-6</v>
      </c>
      <c r="BO269" s="140">
        <f t="shared" si="98"/>
        <v>1.4100000000000001E-6</v>
      </c>
      <c r="BP269" s="157">
        <f>IF(BI269&lt;$B$105*DATA!$H$1037,DATA!$H$1037,IF(BI269&gt;DATA!$H$1036*$B$105,DATA!$H$1036,1))</f>
        <v>1.2</v>
      </c>
      <c r="BQ269" s="156">
        <f t="shared" si="99"/>
        <v>9.9999999999999995E-8</v>
      </c>
    </row>
    <row r="270" spans="1:69">
      <c r="A270" s="140">
        <f t="shared" si="59"/>
        <v>2.8400000000000003E-5</v>
      </c>
      <c r="B270">
        <v>2.84</v>
      </c>
      <c r="C270" s="140">
        <f t="shared" si="106"/>
        <v>2.8399999999999995E-7</v>
      </c>
      <c r="D270" s="140">
        <f t="shared" si="106"/>
        <v>5.68E-7</v>
      </c>
      <c r="E270" s="140">
        <f t="shared" si="106"/>
        <v>8.5200000000000006E-7</v>
      </c>
      <c r="F270" s="140">
        <f t="shared" si="106"/>
        <v>1.1360000000000002E-6</v>
      </c>
      <c r="G270" s="140">
        <f t="shared" si="106"/>
        <v>1.4200000000000002E-6</v>
      </c>
      <c r="H270" s="157">
        <f>IF(A270&lt;$B$9*DATA!$H$1037,DATA!$H$1037,IF(A270&gt;DATA!$H$1036*$B$9,DATA!$H$1036,1))</f>
        <v>0.8</v>
      </c>
      <c r="I270" s="156">
        <f t="shared" si="105"/>
        <v>9.9999999999999995E-8</v>
      </c>
      <c r="K270" s="140">
        <f t="shared" si="61"/>
        <v>2.8400000000000003E-5</v>
      </c>
      <c r="L270">
        <v>2.84</v>
      </c>
      <c r="M270" s="140">
        <f t="shared" si="62"/>
        <v>2.8399999999999995E-7</v>
      </c>
      <c r="N270" s="140">
        <f t="shared" si="63"/>
        <v>5.68E-7</v>
      </c>
      <c r="O270" s="140">
        <f t="shared" si="64"/>
        <v>8.5200000000000006E-7</v>
      </c>
      <c r="P270" s="140">
        <f t="shared" si="65"/>
        <v>1.1360000000000002E-6</v>
      </c>
      <c r="Q270" s="140">
        <f t="shared" si="66"/>
        <v>1.4200000000000002E-6</v>
      </c>
      <c r="R270" s="157">
        <f>IF(K270&lt;$B$25*DATA!$H$1037,DATA!$H$1037,IF(K270&gt;DATA!$H$1036*$B$25,DATA!$H$1036,1))</f>
        <v>0.8</v>
      </c>
      <c r="S270" s="156">
        <f t="shared" si="102"/>
        <v>9.9999999999999995E-8</v>
      </c>
      <c r="U270" s="140">
        <f t="shared" si="67"/>
        <v>2.8400000000000003E-5</v>
      </c>
      <c r="V270">
        <v>2.84</v>
      </c>
      <c r="W270" s="140">
        <f t="shared" si="68"/>
        <v>2.8399999999999995E-7</v>
      </c>
      <c r="X270" s="140">
        <f t="shared" si="69"/>
        <v>5.68E-7</v>
      </c>
      <c r="Y270" s="140">
        <f t="shared" si="70"/>
        <v>8.5200000000000006E-7</v>
      </c>
      <c r="Z270" s="140">
        <f t="shared" si="71"/>
        <v>1.1360000000000002E-6</v>
      </c>
      <c r="AA270" s="140">
        <f t="shared" si="72"/>
        <v>1.4200000000000002E-6</v>
      </c>
      <c r="AB270" s="157">
        <f>IF(U270&lt;$B$41*DATA!$H$1037,DATA!$H$1037,IF(U270&gt;DATA!$H$1036*$B$41,DATA!$H$1036,1))</f>
        <v>0.8</v>
      </c>
      <c r="AC270" s="156">
        <f t="shared" si="103"/>
        <v>9.9999999999999995E-8</v>
      </c>
      <c r="AE270" s="140">
        <f t="shared" si="73"/>
        <v>2.8400000000000003E-5</v>
      </c>
      <c r="AF270">
        <v>2.84</v>
      </c>
      <c r="AG270" s="140">
        <f t="shared" si="74"/>
        <v>2.8399999999999995E-7</v>
      </c>
      <c r="AH270" s="140">
        <f t="shared" si="75"/>
        <v>5.68E-7</v>
      </c>
      <c r="AI270" s="140">
        <f t="shared" si="76"/>
        <v>8.5200000000000006E-7</v>
      </c>
      <c r="AJ270" s="140">
        <f t="shared" si="77"/>
        <v>1.1360000000000002E-6</v>
      </c>
      <c r="AK270" s="140">
        <f t="shared" si="78"/>
        <v>1.4200000000000002E-6</v>
      </c>
      <c r="AL270" s="157">
        <f>IF(AE270&lt;$B$57*DATA!$H$1037,DATA!$H$1037,IF(AE270&gt;DATA!$H$1036*$B$57,DATA!$H$1036,1))</f>
        <v>1.2</v>
      </c>
      <c r="AM270" s="156">
        <f t="shared" si="104"/>
        <v>9.9999999999999995E-8</v>
      </c>
      <c r="AO270" s="140">
        <f t="shared" si="79"/>
        <v>2.8400000000000003E-5</v>
      </c>
      <c r="AP270">
        <v>2.84</v>
      </c>
      <c r="AQ270" s="140">
        <f t="shared" si="80"/>
        <v>2.8399999999999995E-7</v>
      </c>
      <c r="AR270" s="140">
        <f t="shared" si="81"/>
        <v>5.68E-7</v>
      </c>
      <c r="AS270" s="140">
        <f t="shared" si="82"/>
        <v>8.5200000000000006E-7</v>
      </c>
      <c r="AT270" s="140">
        <f t="shared" si="83"/>
        <v>1.1360000000000002E-6</v>
      </c>
      <c r="AU270" s="140">
        <f t="shared" si="84"/>
        <v>1.4200000000000002E-6</v>
      </c>
      <c r="AV270" s="157">
        <f>IF(AO270&lt;$B$73*DATA!$H$1037,DATA!$H$1037,IF(AO270&gt;DATA!$H$1036*$B$73,DATA!$H$1036,1))</f>
        <v>1.2</v>
      </c>
      <c r="AW270" s="156">
        <f t="shared" si="85"/>
        <v>9.9999999999999995E-8</v>
      </c>
      <c r="AY270" s="140">
        <f t="shared" si="86"/>
        <v>2.8400000000000003E-5</v>
      </c>
      <c r="AZ270">
        <v>2.84</v>
      </c>
      <c r="BA270" s="140">
        <f t="shared" si="87"/>
        <v>2.8399999999999995E-7</v>
      </c>
      <c r="BB270" s="140">
        <f t="shared" si="88"/>
        <v>5.68E-7</v>
      </c>
      <c r="BC270" s="140">
        <f t="shared" si="89"/>
        <v>8.5200000000000006E-7</v>
      </c>
      <c r="BD270" s="140">
        <f t="shared" si="90"/>
        <v>1.1360000000000002E-6</v>
      </c>
      <c r="BE270" s="140">
        <f t="shared" si="91"/>
        <v>1.4200000000000002E-6</v>
      </c>
      <c r="BF270" s="157">
        <f>IF(AY270&lt;$B$89*DATA!$H$1037,DATA!$H$1037,IF(AY270&gt;DATA!$H$1036*$B$89,DATA!$H$1036,1))</f>
        <v>1.2</v>
      </c>
      <c r="BG270" s="156">
        <f t="shared" si="92"/>
        <v>9.9999999999999995E-8</v>
      </c>
      <c r="BI270" s="140">
        <f t="shared" si="93"/>
        <v>2.8400000000000003E-5</v>
      </c>
      <c r="BJ270">
        <v>2.84</v>
      </c>
      <c r="BK270" s="140">
        <f t="shared" si="94"/>
        <v>2.8399999999999995E-7</v>
      </c>
      <c r="BL270" s="140">
        <f t="shared" si="95"/>
        <v>5.68E-7</v>
      </c>
      <c r="BM270" s="140">
        <f t="shared" si="96"/>
        <v>8.5200000000000006E-7</v>
      </c>
      <c r="BN270" s="140">
        <f t="shared" si="97"/>
        <v>1.1360000000000002E-6</v>
      </c>
      <c r="BO270" s="140">
        <f t="shared" si="98"/>
        <v>1.4200000000000002E-6</v>
      </c>
      <c r="BP270" s="157">
        <f>IF(BI270&lt;$B$105*DATA!$H$1037,DATA!$H$1037,IF(BI270&gt;DATA!$H$1036*$B$105,DATA!$H$1036,1))</f>
        <v>1.2</v>
      </c>
      <c r="BQ270" s="156">
        <f t="shared" si="99"/>
        <v>9.9999999999999995E-8</v>
      </c>
    </row>
    <row r="271" spans="1:69">
      <c r="A271" s="140">
        <f t="shared" si="59"/>
        <v>2.8600000000000001E-5</v>
      </c>
      <c r="B271">
        <v>2.86</v>
      </c>
      <c r="C271" s="140">
        <f t="shared" ref="C271:G286" si="107">C$142*$A271</f>
        <v>2.8599999999999989E-7</v>
      </c>
      <c r="D271" s="140">
        <f t="shared" si="107"/>
        <v>5.7199999999999988E-7</v>
      </c>
      <c r="E271" s="140">
        <f t="shared" si="107"/>
        <v>8.5799999999999998E-7</v>
      </c>
      <c r="F271" s="140">
        <f t="shared" si="107"/>
        <v>1.144E-6</v>
      </c>
      <c r="G271" s="140">
        <f t="shared" si="107"/>
        <v>1.4300000000000001E-6</v>
      </c>
      <c r="H271" s="157">
        <f>IF(A271&lt;$B$9*DATA!$H$1037,DATA!$H$1037,IF(A271&gt;DATA!$H$1036*$B$9,DATA!$H$1036,1))</f>
        <v>0.8</v>
      </c>
      <c r="I271" s="156">
        <f t="shared" si="105"/>
        <v>9.9999999999999995E-8</v>
      </c>
      <c r="K271" s="140">
        <f t="shared" si="61"/>
        <v>2.8600000000000001E-5</v>
      </c>
      <c r="L271">
        <v>2.86</v>
      </c>
      <c r="M271" s="140">
        <f t="shared" si="62"/>
        <v>2.8599999999999989E-7</v>
      </c>
      <c r="N271" s="140">
        <f t="shared" si="63"/>
        <v>5.7199999999999988E-7</v>
      </c>
      <c r="O271" s="140">
        <f t="shared" si="64"/>
        <v>8.5799999999999998E-7</v>
      </c>
      <c r="P271" s="140">
        <f t="shared" si="65"/>
        <v>1.144E-6</v>
      </c>
      <c r="Q271" s="140">
        <f t="shared" si="66"/>
        <v>1.4300000000000001E-6</v>
      </c>
      <c r="R271" s="157">
        <f>IF(K271&lt;$B$25*DATA!$H$1037,DATA!$H$1037,IF(K271&gt;DATA!$H$1036*$B$25,DATA!$H$1036,1))</f>
        <v>0.8</v>
      </c>
      <c r="S271" s="156">
        <f t="shared" ref="S271:S302" si="108">IF(OR(L$134=0,L$133=0),0.0000001,IF(R271=1,L$134,K271*((L$134*L$138)/(R271*L$133)+0.023*LOG10(R271*L$133/K271))/L$138))</f>
        <v>9.9999999999999995E-8</v>
      </c>
      <c r="U271" s="140">
        <f t="shared" si="67"/>
        <v>2.8600000000000001E-5</v>
      </c>
      <c r="V271">
        <v>2.86</v>
      </c>
      <c r="W271" s="140">
        <f t="shared" si="68"/>
        <v>2.8599999999999989E-7</v>
      </c>
      <c r="X271" s="140">
        <f t="shared" si="69"/>
        <v>5.7199999999999988E-7</v>
      </c>
      <c r="Y271" s="140">
        <f t="shared" si="70"/>
        <v>8.5799999999999998E-7</v>
      </c>
      <c r="Z271" s="140">
        <f t="shared" si="71"/>
        <v>1.144E-6</v>
      </c>
      <c r="AA271" s="140">
        <f t="shared" si="72"/>
        <v>1.4300000000000001E-6</v>
      </c>
      <c r="AB271" s="157">
        <f>IF(U271&lt;$B$41*DATA!$H$1037,DATA!$H$1037,IF(U271&gt;DATA!$H$1036*$B$41,DATA!$H$1036,1))</f>
        <v>0.8</v>
      </c>
      <c r="AC271" s="156">
        <f t="shared" ref="AC271:AC302" si="109">IF(OR(V$134=0,V$133=0),0.0000001,IF(AB271=1,V$134,U271*((V$134*V$138)/(AB271*V$133)+0.023*LOG10(AB271*V$133/U271))/V$138))</f>
        <v>9.9999999999999995E-8</v>
      </c>
      <c r="AE271" s="140">
        <f t="shared" si="73"/>
        <v>2.8600000000000001E-5</v>
      </c>
      <c r="AF271">
        <v>2.86</v>
      </c>
      <c r="AG271" s="140">
        <f t="shared" si="74"/>
        <v>2.8599999999999989E-7</v>
      </c>
      <c r="AH271" s="140">
        <f t="shared" si="75"/>
        <v>5.7199999999999988E-7</v>
      </c>
      <c r="AI271" s="140">
        <f t="shared" si="76"/>
        <v>8.5799999999999998E-7</v>
      </c>
      <c r="AJ271" s="140">
        <f t="shared" si="77"/>
        <v>1.144E-6</v>
      </c>
      <c r="AK271" s="140">
        <f t="shared" si="78"/>
        <v>1.4300000000000001E-6</v>
      </c>
      <c r="AL271" s="157">
        <f>IF(AE271&lt;$B$57*DATA!$H$1037,DATA!$H$1037,IF(AE271&gt;DATA!$H$1036*$B$57,DATA!$H$1036,1))</f>
        <v>1.2</v>
      </c>
      <c r="AM271" s="156">
        <f t="shared" ref="AM271:AM302" si="110">IF(OR(AF$134=0,AF$133=0),0.0000001,IF(AL271=1,AF$134,AE271*((AF$134*AF$138)/(AL271*AF$133)+0.023*LOG10(AL271*AF$133/AE271))/AF$138))</f>
        <v>9.9999999999999995E-8</v>
      </c>
      <c r="AO271" s="140">
        <f t="shared" si="79"/>
        <v>2.8600000000000001E-5</v>
      </c>
      <c r="AP271">
        <v>2.86</v>
      </c>
      <c r="AQ271" s="140">
        <f t="shared" si="80"/>
        <v>2.8599999999999989E-7</v>
      </c>
      <c r="AR271" s="140">
        <f t="shared" si="81"/>
        <v>5.7199999999999988E-7</v>
      </c>
      <c r="AS271" s="140">
        <f t="shared" si="82"/>
        <v>8.5799999999999998E-7</v>
      </c>
      <c r="AT271" s="140">
        <f t="shared" si="83"/>
        <v>1.144E-6</v>
      </c>
      <c r="AU271" s="140">
        <f t="shared" si="84"/>
        <v>1.4300000000000001E-6</v>
      </c>
      <c r="AV271" s="157">
        <f>IF(AO271&lt;$B$73*DATA!$H$1037,DATA!$H$1037,IF(AO271&gt;DATA!$H$1036*$B$73,DATA!$H$1036,1))</f>
        <v>1.2</v>
      </c>
      <c r="AW271" s="156">
        <f t="shared" si="85"/>
        <v>9.9999999999999995E-8</v>
      </c>
      <c r="AY271" s="140">
        <f t="shared" si="86"/>
        <v>2.8600000000000001E-5</v>
      </c>
      <c r="AZ271">
        <v>2.86</v>
      </c>
      <c r="BA271" s="140">
        <f t="shared" si="87"/>
        <v>2.8599999999999989E-7</v>
      </c>
      <c r="BB271" s="140">
        <f t="shared" si="88"/>
        <v>5.7199999999999988E-7</v>
      </c>
      <c r="BC271" s="140">
        <f t="shared" si="89"/>
        <v>8.5799999999999998E-7</v>
      </c>
      <c r="BD271" s="140">
        <f t="shared" si="90"/>
        <v>1.144E-6</v>
      </c>
      <c r="BE271" s="140">
        <f t="shared" si="91"/>
        <v>1.4300000000000001E-6</v>
      </c>
      <c r="BF271" s="157">
        <f>IF(AY271&lt;$B$89*DATA!$H$1037,DATA!$H$1037,IF(AY271&gt;DATA!$H$1036*$B$89,DATA!$H$1036,1))</f>
        <v>1.2</v>
      </c>
      <c r="BG271" s="156">
        <f t="shared" si="92"/>
        <v>9.9999999999999995E-8</v>
      </c>
      <c r="BI271" s="140">
        <f t="shared" si="93"/>
        <v>2.8600000000000001E-5</v>
      </c>
      <c r="BJ271">
        <v>2.86</v>
      </c>
      <c r="BK271" s="140">
        <f t="shared" si="94"/>
        <v>2.8599999999999989E-7</v>
      </c>
      <c r="BL271" s="140">
        <f t="shared" si="95"/>
        <v>5.7199999999999988E-7</v>
      </c>
      <c r="BM271" s="140">
        <f t="shared" si="96"/>
        <v>8.5799999999999998E-7</v>
      </c>
      <c r="BN271" s="140">
        <f t="shared" si="97"/>
        <v>1.144E-6</v>
      </c>
      <c r="BO271" s="140">
        <f t="shared" si="98"/>
        <v>1.4300000000000001E-6</v>
      </c>
      <c r="BP271" s="157">
        <f>IF(BI271&lt;$B$105*DATA!$H$1037,DATA!$H$1037,IF(BI271&gt;DATA!$H$1036*$B$105,DATA!$H$1036,1))</f>
        <v>1.2</v>
      </c>
      <c r="BQ271" s="156">
        <f t="shared" si="99"/>
        <v>9.9999999999999995E-8</v>
      </c>
    </row>
    <row r="272" spans="1:69">
      <c r="A272" s="140">
        <f t="shared" ref="A272:A318" si="111">B272*B$136</f>
        <v>2.8800000000000002E-5</v>
      </c>
      <c r="B272">
        <v>2.88</v>
      </c>
      <c r="C272" s="140">
        <f t="shared" si="107"/>
        <v>2.8799999999999993E-7</v>
      </c>
      <c r="D272" s="140">
        <f t="shared" si="107"/>
        <v>5.7599999999999997E-7</v>
      </c>
      <c r="E272" s="140">
        <f t="shared" si="107"/>
        <v>8.6400000000000001E-7</v>
      </c>
      <c r="F272" s="140">
        <f t="shared" si="107"/>
        <v>1.1520000000000002E-6</v>
      </c>
      <c r="G272" s="140">
        <f t="shared" si="107"/>
        <v>1.4400000000000002E-6</v>
      </c>
      <c r="H272" s="157">
        <f>IF(A272&lt;$B$9*DATA!$H$1037,DATA!$H$1037,IF(A272&gt;DATA!$H$1036*$B$9,DATA!$H$1036,1))</f>
        <v>0.8</v>
      </c>
      <c r="I272" s="156">
        <f t="shared" ref="I272:I303" si="112">IF(OR(B$134=0,$B$133=0),0.0000001,IF(H272=1,$B$134,A272*(($B$134*$B$138)/(H272*$B$133)+0.023*LOG10(H272*$B$133/A272))/$B$138))</f>
        <v>9.9999999999999995E-8</v>
      </c>
      <c r="K272" s="140">
        <f t="shared" ref="K272:K318" si="113">L272*L$136</f>
        <v>2.8800000000000002E-5</v>
      </c>
      <c r="L272">
        <v>2.88</v>
      </c>
      <c r="M272" s="140">
        <f t="shared" ref="M272:M318" si="114">M$142*K272</f>
        <v>2.8799999999999993E-7</v>
      </c>
      <c r="N272" s="140">
        <f t="shared" ref="N272:N318" si="115">N$142*K272</f>
        <v>5.7599999999999997E-7</v>
      </c>
      <c r="O272" s="140">
        <f t="shared" ref="O272:O318" si="116">O$142*K272</f>
        <v>8.6400000000000001E-7</v>
      </c>
      <c r="P272" s="140">
        <f t="shared" ref="P272:P318" si="117">P$142*$K272</f>
        <v>1.1520000000000002E-6</v>
      </c>
      <c r="Q272" s="140">
        <f t="shared" ref="Q272:Q318" si="118">Q$142*K272</f>
        <v>1.4400000000000002E-6</v>
      </c>
      <c r="R272" s="157">
        <f>IF(K272&lt;$B$25*DATA!$H$1037,DATA!$H$1037,IF(K272&gt;DATA!$H$1036*$B$25,DATA!$H$1036,1))</f>
        <v>0.8</v>
      </c>
      <c r="S272" s="156">
        <f t="shared" si="108"/>
        <v>9.9999999999999995E-8</v>
      </c>
      <c r="U272" s="140">
        <f t="shared" ref="U272:U318" si="119">V272*V$136</f>
        <v>2.8800000000000002E-5</v>
      </c>
      <c r="V272">
        <v>2.88</v>
      </c>
      <c r="W272" s="140">
        <f t="shared" ref="W272:W318" si="120">W$142*U272</f>
        <v>2.8799999999999993E-7</v>
      </c>
      <c r="X272" s="140">
        <f t="shared" ref="X272:X318" si="121">X$142*U272</f>
        <v>5.7599999999999997E-7</v>
      </c>
      <c r="Y272" s="140">
        <f t="shared" ref="Y272:Y318" si="122">Y$142*U272</f>
        <v>8.6400000000000001E-7</v>
      </c>
      <c r="Z272" s="140">
        <f t="shared" ref="Z272:Z318" si="123">Z$142*U272</f>
        <v>1.1520000000000002E-6</v>
      </c>
      <c r="AA272" s="140">
        <f t="shared" ref="AA272:AA318" si="124">AA$142*U272</f>
        <v>1.4400000000000002E-6</v>
      </c>
      <c r="AB272" s="157">
        <f>IF(U272&lt;$B$41*DATA!$H$1037,DATA!$H$1037,IF(U272&gt;DATA!$H$1036*$B$41,DATA!$H$1036,1))</f>
        <v>0.8</v>
      </c>
      <c r="AC272" s="156">
        <f t="shared" si="109"/>
        <v>9.9999999999999995E-8</v>
      </c>
      <c r="AE272" s="140">
        <f t="shared" ref="AE272:AE318" si="125">AF272*AF$136</f>
        <v>2.8800000000000002E-5</v>
      </c>
      <c r="AF272">
        <v>2.88</v>
      </c>
      <c r="AG272" s="140">
        <f t="shared" ref="AG272:AG318" si="126">AG$142*AE272</f>
        <v>2.8799999999999993E-7</v>
      </c>
      <c r="AH272" s="140">
        <f t="shared" ref="AH272:AH318" si="127">AH$142*AE272</f>
        <v>5.7599999999999997E-7</v>
      </c>
      <c r="AI272" s="140">
        <f t="shared" ref="AI272:AI318" si="128">AI$142*AE272</f>
        <v>8.6400000000000001E-7</v>
      </c>
      <c r="AJ272" s="140">
        <f t="shared" ref="AJ272:AJ318" si="129">AJ$142*AE272</f>
        <v>1.1520000000000002E-6</v>
      </c>
      <c r="AK272" s="140">
        <f t="shared" ref="AK272:AK318" si="130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si="110"/>
        <v>9.9999999999999995E-8</v>
      </c>
      <c r="AO272" s="140">
        <f t="shared" ref="AO272:AO318" si="131">AP272*AP$136</f>
        <v>2.8800000000000002E-5</v>
      </c>
      <c r="AP272">
        <v>2.88</v>
      </c>
      <c r="AQ272" s="140">
        <f t="shared" ref="AQ272:AQ318" si="132">AQ$142*AO272</f>
        <v>2.8799999999999993E-7</v>
      </c>
      <c r="AR272" s="140">
        <f t="shared" ref="AR272:AR318" si="133">AR$142*AO272</f>
        <v>5.7599999999999997E-7</v>
      </c>
      <c r="AS272" s="140">
        <f t="shared" ref="AS272:AS318" si="134">AS$142*AO272</f>
        <v>8.6400000000000001E-7</v>
      </c>
      <c r="AT272" s="140">
        <f t="shared" ref="AT272:AT318" si="135">AT$142*AO272</f>
        <v>1.1520000000000002E-6</v>
      </c>
      <c r="AU272" s="140">
        <f t="shared" ref="AU272:AU318" si="136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37">IF(OR(AP$134=0,AP$133=0),0.0000001,IF(AV272=1,AP$134,AO272*((AP$134*AP$138)/(AV272*AP$133)+0.023*LOG10(AV272*AP$133/AO272))/AP$138))</f>
        <v>9.9999999999999995E-8</v>
      </c>
      <c r="AY272" s="140">
        <f t="shared" ref="AY272:AY318" si="138">AZ272*AZ$136</f>
        <v>2.8800000000000002E-5</v>
      </c>
      <c r="AZ272">
        <v>2.88</v>
      </c>
      <c r="BA272" s="140">
        <f t="shared" ref="BA272:BA318" si="139">BA$142*AY272</f>
        <v>2.8799999999999993E-7</v>
      </c>
      <c r="BB272" s="140">
        <f t="shared" ref="BB272:BB318" si="140">BB$142*AY272</f>
        <v>5.7599999999999997E-7</v>
      </c>
      <c r="BC272" s="140">
        <f t="shared" ref="BC272:BC318" si="141">BC$142*AY272</f>
        <v>8.6400000000000001E-7</v>
      </c>
      <c r="BD272" s="140">
        <f t="shared" ref="BD272:BD318" si="142">BD$142*AY272</f>
        <v>1.1520000000000002E-6</v>
      </c>
      <c r="BE272" s="140">
        <f t="shared" ref="BE272:BE318" si="143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44">IF(OR(AZ$134=0,AZ$133=0),0.0000001,IF(BF272=1,AZ$134,AY272*((AZ$134*AZ$138)/(BF272*AZ$133)+0.023*LOG10(BF272*AZ$133/AY272))/AZ$138))</f>
        <v>9.9999999999999995E-8</v>
      </c>
      <c r="BI272" s="140">
        <f t="shared" ref="BI272:BI318" si="145">BJ272*BJ$136</f>
        <v>2.8800000000000002E-5</v>
      </c>
      <c r="BJ272">
        <v>2.88</v>
      </c>
      <c r="BK272" s="140">
        <f t="shared" ref="BK272:BK318" si="146">BK$142*BI272</f>
        <v>2.8799999999999993E-7</v>
      </c>
      <c r="BL272" s="140">
        <f t="shared" ref="BL272:BL318" si="147">BL$142*BI272</f>
        <v>5.7599999999999997E-7</v>
      </c>
      <c r="BM272" s="140">
        <f t="shared" ref="BM272:BM318" si="148">BM$142*BI272</f>
        <v>8.6400000000000001E-7</v>
      </c>
      <c r="BN272" s="140">
        <f t="shared" ref="BN272:BN318" si="149">BN$142*$BI272</f>
        <v>1.1520000000000002E-6</v>
      </c>
      <c r="BO272" s="140">
        <f t="shared" ref="BO272:BO318" si="150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1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111"/>
        <v>2.9E-5</v>
      </c>
      <c r="B273">
        <v>2.9</v>
      </c>
      <c r="C273" s="140">
        <f t="shared" si="107"/>
        <v>2.8999999999999992E-7</v>
      </c>
      <c r="D273" s="140">
        <f t="shared" si="107"/>
        <v>5.7999999999999995E-7</v>
      </c>
      <c r="E273" s="140">
        <f t="shared" si="107"/>
        <v>8.6999999999999993E-7</v>
      </c>
      <c r="F273" s="140">
        <f t="shared" si="107"/>
        <v>1.1600000000000001E-6</v>
      </c>
      <c r="G273" s="140">
        <f t="shared" si="107"/>
        <v>1.4500000000000001E-6</v>
      </c>
      <c r="H273" s="157">
        <f>IF(A273&lt;$B$9*DATA!$H$1037,DATA!$H$1037,IF(A273&gt;DATA!$H$1036*$B$9,DATA!$H$1036,1))</f>
        <v>0.8</v>
      </c>
      <c r="I273" s="156">
        <f t="shared" si="112"/>
        <v>9.9999999999999995E-8</v>
      </c>
      <c r="K273" s="140">
        <f t="shared" si="113"/>
        <v>2.9E-5</v>
      </c>
      <c r="L273">
        <v>2.9</v>
      </c>
      <c r="M273" s="140">
        <f t="shared" si="114"/>
        <v>2.8999999999999992E-7</v>
      </c>
      <c r="N273" s="140">
        <f t="shared" si="115"/>
        <v>5.7999999999999995E-7</v>
      </c>
      <c r="O273" s="140">
        <f t="shared" si="116"/>
        <v>8.6999999999999993E-7</v>
      </c>
      <c r="P273" s="140">
        <f t="shared" si="117"/>
        <v>1.1600000000000001E-6</v>
      </c>
      <c r="Q273" s="140">
        <f t="shared" si="118"/>
        <v>1.4500000000000001E-6</v>
      </c>
      <c r="R273" s="157">
        <f>IF(K273&lt;$B$25*DATA!$H$1037,DATA!$H$1037,IF(K273&gt;DATA!$H$1036*$B$25,DATA!$H$1036,1))</f>
        <v>0.8</v>
      </c>
      <c r="S273" s="156">
        <f t="shared" si="108"/>
        <v>9.9999999999999995E-8</v>
      </c>
      <c r="U273" s="140">
        <f t="shared" si="119"/>
        <v>2.9E-5</v>
      </c>
      <c r="V273">
        <v>2.9</v>
      </c>
      <c r="W273" s="140">
        <f t="shared" si="120"/>
        <v>2.8999999999999992E-7</v>
      </c>
      <c r="X273" s="140">
        <f t="shared" si="121"/>
        <v>5.7999999999999995E-7</v>
      </c>
      <c r="Y273" s="140">
        <f t="shared" si="122"/>
        <v>8.6999999999999993E-7</v>
      </c>
      <c r="Z273" s="140">
        <f t="shared" si="123"/>
        <v>1.1600000000000001E-6</v>
      </c>
      <c r="AA273" s="140">
        <f t="shared" si="124"/>
        <v>1.4500000000000001E-6</v>
      </c>
      <c r="AB273" s="157">
        <f>IF(U273&lt;$B$41*DATA!$H$1037,DATA!$H$1037,IF(U273&gt;DATA!$H$1036*$B$41,DATA!$H$1036,1))</f>
        <v>0.8</v>
      </c>
      <c r="AC273" s="156">
        <f t="shared" si="109"/>
        <v>9.9999999999999995E-8</v>
      </c>
      <c r="AE273" s="140">
        <f t="shared" si="125"/>
        <v>2.9E-5</v>
      </c>
      <c r="AF273">
        <v>2.9</v>
      </c>
      <c r="AG273" s="140">
        <f t="shared" si="126"/>
        <v>2.8999999999999992E-7</v>
      </c>
      <c r="AH273" s="140">
        <f t="shared" si="127"/>
        <v>5.7999999999999995E-7</v>
      </c>
      <c r="AI273" s="140">
        <f t="shared" si="128"/>
        <v>8.6999999999999993E-7</v>
      </c>
      <c r="AJ273" s="140">
        <f t="shared" si="129"/>
        <v>1.1600000000000001E-6</v>
      </c>
      <c r="AK273" s="140">
        <f t="shared" si="130"/>
        <v>1.4500000000000001E-6</v>
      </c>
      <c r="AL273" s="157">
        <f>IF(AE273&lt;$B$57*DATA!$H$1037,DATA!$H$1037,IF(AE273&gt;DATA!$H$1036*$B$57,DATA!$H$1036,1))</f>
        <v>1.2</v>
      </c>
      <c r="AM273" s="156">
        <f t="shared" si="110"/>
        <v>9.9999999999999995E-8</v>
      </c>
      <c r="AO273" s="140">
        <f t="shared" si="131"/>
        <v>2.9E-5</v>
      </c>
      <c r="AP273">
        <v>2.9</v>
      </c>
      <c r="AQ273" s="140">
        <f t="shared" si="132"/>
        <v>2.8999999999999992E-7</v>
      </c>
      <c r="AR273" s="140">
        <f t="shared" si="133"/>
        <v>5.7999999999999995E-7</v>
      </c>
      <c r="AS273" s="140">
        <f t="shared" si="134"/>
        <v>8.6999999999999993E-7</v>
      </c>
      <c r="AT273" s="140">
        <f t="shared" si="135"/>
        <v>1.1600000000000001E-6</v>
      </c>
      <c r="AU273" s="140">
        <f t="shared" si="136"/>
        <v>1.4500000000000001E-6</v>
      </c>
      <c r="AV273" s="157">
        <f>IF(AO273&lt;$B$73*DATA!$H$1037,DATA!$H$1037,IF(AO273&gt;DATA!$H$1036*$B$73,DATA!$H$1036,1))</f>
        <v>1.2</v>
      </c>
      <c r="AW273" s="156">
        <f t="shared" si="137"/>
        <v>9.9999999999999995E-8</v>
      </c>
      <c r="AY273" s="140">
        <f t="shared" si="138"/>
        <v>2.9E-5</v>
      </c>
      <c r="AZ273">
        <v>2.9</v>
      </c>
      <c r="BA273" s="140">
        <f t="shared" si="139"/>
        <v>2.8999999999999992E-7</v>
      </c>
      <c r="BB273" s="140">
        <f t="shared" si="140"/>
        <v>5.7999999999999995E-7</v>
      </c>
      <c r="BC273" s="140">
        <f t="shared" si="141"/>
        <v>8.6999999999999993E-7</v>
      </c>
      <c r="BD273" s="140">
        <f t="shared" si="142"/>
        <v>1.1600000000000001E-6</v>
      </c>
      <c r="BE273" s="140">
        <f t="shared" si="143"/>
        <v>1.4500000000000001E-6</v>
      </c>
      <c r="BF273" s="157">
        <f>IF(AY273&lt;$B$89*DATA!$H$1037,DATA!$H$1037,IF(AY273&gt;DATA!$H$1036*$B$89,DATA!$H$1036,1))</f>
        <v>1.2</v>
      </c>
      <c r="BG273" s="156">
        <f t="shared" si="144"/>
        <v>9.9999999999999995E-8</v>
      </c>
      <c r="BI273" s="140">
        <f t="shared" si="145"/>
        <v>2.9E-5</v>
      </c>
      <c r="BJ273">
        <v>2.9</v>
      </c>
      <c r="BK273" s="140">
        <f t="shared" si="146"/>
        <v>2.8999999999999992E-7</v>
      </c>
      <c r="BL273" s="140">
        <f t="shared" si="147"/>
        <v>5.7999999999999995E-7</v>
      </c>
      <c r="BM273" s="140">
        <f t="shared" si="148"/>
        <v>8.6999999999999993E-7</v>
      </c>
      <c r="BN273" s="140">
        <f t="shared" si="149"/>
        <v>1.1600000000000001E-6</v>
      </c>
      <c r="BO273" s="140">
        <f t="shared" si="150"/>
        <v>1.4500000000000001E-6</v>
      </c>
      <c r="BP273" s="157">
        <f>IF(BI273&lt;$B$105*DATA!$H$1037,DATA!$H$1037,IF(BI273&gt;DATA!$H$1036*$B$105,DATA!$H$1036,1))</f>
        <v>1.2</v>
      </c>
      <c r="BQ273" s="156">
        <f t="shared" si="151"/>
        <v>9.9999999999999995E-8</v>
      </c>
    </row>
    <row r="274" spans="1:69">
      <c r="A274" s="140">
        <f t="shared" si="111"/>
        <v>2.9200000000000002E-5</v>
      </c>
      <c r="B274">
        <v>2.92</v>
      </c>
      <c r="C274" s="140">
        <f t="shared" si="107"/>
        <v>2.9199999999999991E-7</v>
      </c>
      <c r="D274" s="140">
        <f t="shared" si="107"/>
        <v>5.8399999999999994E-7</v>
      </c>
      <c r="E274" s="140">
        <f t="shared" si="107"/>
        <v>8.7600000000000006E-7</v>
      </c>
      <c r="F274" s="140">
        <f t="shared" si="107"/>
        <v>1.1680000000000001E-6</v>
      </c>
      <c r="G274" s="140">
        <f t="shared" si="107"/>
        <v>1.4600000000000002E-6</v>
      </c>
      <c r="H274" s="157">
        <f>IF(A274&lt;$B$9*DATA!$H$1037,DATA!$H$1037,IF(A274&gt;DATA!$H$1036*$B$9,DATA!$H$1036,1))</f>
        <v>0.8</v>
      </c>
      <c r="I274" s="156">
        <f t="shared" si="112"/>
        <v>9.9999999999999995E-8</v>
      </c>
      <c r="K274" s="140">
        <f t="shared" si="113"/>
        <v>2.9200000000000002E-5</v>
      </c>
      <c r="L274">
        <v>2.92</v>
      </c>
      <c r="M274" s="140">
        <f t="shared" si="114"/>
        <v>2.9199999999999991E-7</v>
      </c>
      <c r="N274" s="140">
        <f t="shared" si="115"/>
        <v>5.8399999999999994E-7</v>
      </c>
      <c r="O274" s="140">
        <f t="shared" si="116"/>
        <v>8.7600000000000006E-7</v>
      </c>
      <c r="P274" s="140">
        <f t="shared" si="117"/>
        <v>1.1680000000000001E-6</v>
      </c>
      <c r="Q274" s="140">
        <f t="shared" si="118"/>
        <v>1.4600000000000002E-6</v>
      </c>
      <c r="R274" s="157">
        <f>IF(K274&lt;$B$25*DATA!$H$1037,DATA!$H$1037,IF(K274&gt;DATA!$H$1036*$B$25,DATA!$H$1036,1))</f>
        <v>0.8</v>
      </c>
      <c r="S274" s="156">
        <f t="shared" si="108"/>
        <v>9.9999999999999995E-8</v>
      </c>
      <c r="U274" s="140">
        <f t="shared" si="119"/>
        <v>2.9200000000000002E-5</v>
      </c>
      <c r="V274">
        <v>2.92</v>
      </c>
      <c r="W274" s="140">
        <f t="shared" si="120"/>
        <v>2.9199999999999991E-7</v>
      </c>
      <c r="X274" s="140">
        <f t="shared" si="121"/>
        <v>5.8399999999999994E-7</v>
      </c>
      <c r="Y274" s="140">
        <f t="shared" si="122"/>
        <v>8.7600000000000006E-7</v>
      </c>
      <c r="Z274" s="140">
        <f t="shared" si="123"/>
        <v>1.1680000000000001E-6</v>
      </c>
      <c r="AA274" s="140">
        <f t="shared" si="124"/>
        <v>1.4600000000000002E-6</v>
      </c>
      <c r="AB274" s="157">
        <f>IF(U274&lt;$B$41*DATA!$H$1037,DATA!$H$1037,IF(U274&gt;DATA!$H$1036*$B$41,DATA!$H$1036,1))</f>
        <v>0.8</v>
      </c>
      <c r="AC274" s="156">
        <f t="shared" si="109"/>
        <v>9.9999999999999995E-8</v>
      </c>
      <c r="AE274" s="140">
        <f t="shared" si="125"/>
        <v>2.9200000000000002E-5</v>
      </c>
      <c r="AF274">
        <v>2.92</v>
      </c>
      <c r="AG274" s="140">
        <f t="shared" si="126"/>
        <v>2.9199999999999991E-7</v>
      </c>
      <c r="AH274" s="140">
        <f t="shared" si="127"/>
        <v>5.8399999999999994E-7</v>
      </c>
      <c r="AI274" s="140">
        <f t="shared" si="128"/>
        <v>8.7600000000000006E-7</v>
      </c>
      <c r="AJ274" s="140">
        <f t="shared" si="129"/>
        <v>1.1680000000000001E-6</v>
      </c>
      <c r="AK274" s="140">
        <f t="shared" si="130"/>
        <v>1.4600000000000002E-6</v>
      </c>
      <c r="AL274" s="157">
        <f>IF(AE274&lt;$B$57*DATA!$H$1037,DATA!$H$1037,IF(AE274&gt;DATA!$H$1036*$B$57,DATA!$H$1036,1))</f>
        <v>1.2</v>
      </c>
      <c r="AM274" s="156">
        <f t="shared" si="110"/>
        <v>9.9999999999999995E-8</v>
      </c>
      <c r="AO274" s="140">
        <f t="shared" si="131"/>
        <v>2.9200000000000002E-5</v>
      </c>
      <c r="AP274">
        <v>2.92</v>
      </c>
      <c r="AQ274" s="140">
        <f t="shared" si="132"/>
        <v>2.9199999999999991E-7</v>
      </c>
      <c r="AR274" s="140">
        <f t="shared" si="133"/>
        <v>5.8399999999999994E-7</v>
      </c>
      <c r="AS274" s="140">
        <f t="shared" si="134"/>
        <v>8.7600000000000006E-7</v>
      </c>
      <c r="AT274" s="140">
        <f t="shared" si="135"/>
        <v>1.1680000000000001E-6</v>
      </c>
      <c r="AU274" s="140">
        <f t="shared" si="136"/>
        <v>1.4600000000000002E-6</v>
      </c>
      <c r="AV274" s="157">
        <f>IF(AO274&lt;$B$73*DATA!$H$1037,DATA!$H$1037,IF(AO274&gt;DATA!$H$1036*$B$73,DATA!$H$1036,1))</f>
        <v>1.2</v>
      </c>
      <c r="AW274" s="156">
        <f t="shared" si="137"/>
        <v>9.9999999999999995E-8</v>
      </c>
      <c r="AY274" s="140">
        <f t="shared" si="138"/>
        <v>2.9200000000000002E-5</v>
      </c>
      <c r="AZ274">
        <v>2.92</v>
      </c>
      <c r="BA274" s="140">
        <f t="shared" si="139"/>
        <v>2.9199999999999991E-7</v>
      </c>
      <c r="BB274" s="140">
        <f t="shared" si="140"/>
        <v>5.8399999999999994E-7</v>
      </c>
      <c r="BC274" s="140">
        <f t="shared" si="141"/>
        <v>8.7600000000000006E-7</v>
      </c>
      <c r="BD274" s="140">
        <f t="shared" si="142"/>
        <v>1.1680000000000001E-6</v>
      </c>
      <c r="BE274" s="140">
        <f t="shared" si="143"/>
        <v>1.4600000000000002E-6</v>
      </c>
      <c r="BF274" s="157">
        <f>IF(AY274&lt;$B$89*DATA!$H$1037,DATA!$H$1037,IF(AY274&gt;DATA!$H$1036*$B$89,DATA!$H$1036,1))</f>
        <v>1.2</v>
      </c>
      <c r="BG274" s="156">
        <f t="shared" si="144"/>
        <v>9.9999999999999995E-8</v>
      </c>
      <c r="BI274" s="140">
        <f t="shared" si="145"/>
        <v>2.9200000000000002E-5</v>
      </c>
      <c r="BJ274">
        <v>2.92</v>
      </c>
      <c r="BK274" s="140">
        <f t="shared" si="146"/>
        <v>2.9199999999999991E-7</v>
      </c>
      <c r="BL274" s="140">
        <f t="shared" si="147"/>
        <v>5.8399999999999994E-7</v>
      </c>
      <c r="BM274" s="140">
        <f t="shared" si="148"/>
        <v>8.7600000000000006E-7</v>
      </c>
      <c r="BN274" s="140">
        <f t="shared" si="149"/>
        <v>1.1680000000000001E-6</v>
      </c>
      <c r="BO274" s="140">
        <f t="shared" si="150"/>
        <v>1.4600000000000002E-6</v>
      </c>
      <c r="BP274" s="157">
        <f>IF(BI274&lt;$B$105*DATA!$H$1037,DATA!$H$1037,IF(BI274&gt;DATA!$H$1036*$B$105,DATA!$H$1036,1))</f>
        <v>1.2</v>
      </c>
      <c r="BQ274" s="156">
        <f t="shared" si="151"/>
        <v>9.9999999999999995E-8</v>
      </c>
    </row>
    <row r="275" spans="1:69">
      <c r="A275" s="140">
        <f t="shared" si="111"/>
        <v>2.9400000000000003E-5</v>
      </c>
      <c r="B275">
        <v>2.94</v>
      </c>
      <c r="C275" s="140">
        <f t="shared" si="107"/>
        <v>2.9399999999999996E-7</v>
      </c>
      <c r="D275" s="140">
        <f t="shared" si="107"/>
        <v>5.8800000000000002E-7</v>
      </c>
      <c r="E275" s="140">
        <f t="shared" si="107"/>
        <v>8.8200000000000009E-7</v>
      </c>
      <c r="F275" s="140">
        <f t="shared" si="107"/>
        <v>1.176E-6</v>
      </c>
      <c r="G275" s="140">
        <f t="shared" si="107"/>
        <v>1.4700000000000003E-6</v>
      </c>
      <c r="H275" s="157">
        <f>IF(A275&lt;$B$9*DATA!$H$1037,DATA!$H$1037,IF(A275&gt;DATA!$H$1036*$B$9,DATA!$H$1036,1))</f>
        <v>0.8</v>
      </c>
      <c r="I275" s="156">
        <f t="shared" si="112"/>
        <v>9.9999999999999995E-8</v>
      </c>
      <c r="K275" s="140">
        <f t="shared" si="113"/>
        <v>2.9400000000000003E-5</v>
      </c>
      <c r="L275">
        <v>2.94</v>
      </c>
      <c r="M275" s="140">
        <f t="shared" si="114"/>
        <v>2.9399999999999996E-7</v>
      </c>
      <c r="N275" s="140">
        <f t="shared" si="115"/>
        <v>5.8800000000000002E-7</v>
      </c>
      <c r="O275" s="140">
        <f t="shared" si="116"/>
        <v>8.8200000000000009E-7</v>
      </c>
      <c r="P275" s="140">
        <f t="shared" si="117"/>
        <v>1.176E-6</v>
      </c>
      <c r="Q275" s="140">
        <f t="shared" si="118"/>
        <v>1.4700000000000003E-6</v>
      </c>
      <c r="R275" s="157">
        <f>IF(K275&lt;$B$25*DATA!$H$1037,DATA!$H$1037,IF(K275&gt;DATA!$H$1036*$B$25,DATA!$H$1036,1))</f>
        <v>0.8</v>
      </c>
      <c r="S275" s="156">
        <f t="shared" si="108"/>
        <v>9.9999999999999995E-8</v>
      </c>
      <c r="U275" s="140">
        <f t="shared" si="119"/>
        <v>2.9400000000000003E-5</v>
      </c>
      <c r="V275">
        <v>2.94</v>
      </c>
      <c r="W275" s="140">
        <f t="shared" si="120"/>
        <v>2.9399999999999996E-7</v>
      </c>
      <c r="X275" s="140">
        <f t="shared" si="121"/>
        <v>5.8800000000000002E-7</v>
      </c>
      <c r="Y275" s="140">
        <f t="shared" si="122"/>
        <v>8.8200000000000009E-7</v>
      </c>
      <c r="Z275" s="140">
        <f t="shared" si="123"/>
        <v>1.176E-6</v>
      </c>
      <c r="AA275" s="140">
        <f t="shared" si="124"/>
        <v>1.4700000000000003E-6</v>
      </c>
      <c r="AB275" s="157">
        <f>IF(U275&lt;$B$41*DATA!$H$1037,DATA!$H$1037,IF(U275&gt;DATA!$H$1036*$B$41,DATA!$H$1036,1))</f>
        <v>0.8</v>
      </c>
      <c r="AC275" s="156">
        <f t="shared" si="109"/>
        <v>9.9999999999999995E-8</v>
      </c>
      <c r="AE275" s="140">
        <f t="shared" si="125"/>
        <v>2.9400000000000003E-5</v>
      </c>
      <c r="AF275">
        <v>2.94</v>
      </c>
      <c r="AG275" s="140">
        <f t="shared" si="126"/>
        <v>2.9399999999999996E-7</v>
      </c>
      <c r="AH275" s="140">
        <f t="shared" si="127"/>
        <v>5.8800000000000002E-7</v>
      </c>
      <c r="AI275" s="140">
        <f t="shared" si="128"/>
        <v>8.8200000000000009E-7</v>
      </c>
      <c r="AJ275" s="140">
        <f t="shared" si="129"/>
        <v>1.176E-6</v>
      </c>
      <c r="AK275" s="140">
        <f t="shared" si="130"/>
        <v>1.4700000000000003E-6</v>
      </c>
      <c r="AL275" s="157">
        <f>IF(AE275&lt;$B$57*DATA!$H$1037,DATA!$H$1037,IF(AE275&gt;DATA!$H$1036*$B$57,DATA!$H$1036,1))</f>
        <v>1.2</v>
      </c>
      <c r="AM275" s="156">
        <f t="shared" si="110"/>
        <v>9.9999999999999995E-8</v>
      </c>
      <c r="AO275" s="140">
        <f t="shared" si="131"/>
        <v>2.9400000000000003E-5</v>
      </c>
      <c r="AP275">
        <v>2.94</v>
      </c>
      <c r="AQ275" s="140">
        <f t="shared" si="132"/>
        <v>2.9399999999999996E-7</v>
      </c>
      <c r="AR275" s="140">
        <f t="shared" si="133"/>
        <v>5.8800000000000002E-7</v>
      </c>
      <c r="AS275" s="140">
        <f t="shared" si="134"/>
        <v>8.8200000000000009E-7</v>
      </c>
      <c r="AT275" s="140">
        <f t="shared" si="135"/>
        <v>1.176E-6</v>
      </c>
      <c r="AU275" s="140">
        <f t="shared" si="136"/>
        <v>1.4700000000000003E-6</v>
      </c>
      <c r="AV275" s="157">
        <f>IF(AO275&lt;$B$73*DATA!$H$1037,DATA!$H$1037,IF(AO275&gt;DATA!$H$1036*$B$73,DATA!$H$1036,1))</f>
        <v>1.2</v>
      </c>
      <c r="AW275" s="156">
        <f t="shared" si="137"/>
        <v>9.9999999999999995E-8</v>
      </c>
      <c r="AY275" s="140">
        <f t="shared" si="138"/>
        <v>2.9400000000000003E-5</v>
      </c>
      <c r="AZ275">
        <v>2.94</v>
      </c>
      <c r="BA275" s="140">
        <f t="shared" si="139"/>
        <v>2.9399999999999996E-7</v>
      </c>
      <c r="BB275" s="140">
        <f t="shared" si="140"/>
        <v>5.8800000000000002E-7</v>
      </c>
      <c r="BC275" s="140">
        <f t="shared" si="141"/>
        <v>8.8200000000000009E-7</v>
      </c>
      <c r="BD275" s="140">
        <f t="shared" si="142"/>
        <v>1.176E-6</v>
      </c>
      <c r="BE275" s="140">
        <f t="shared" si="143"/>
        <v>1.4700000000000003E-6</v>
      </c>
      <c r="BF275" s="157">
        <f>IF(AY275&lt;$B$89*DATA!$H$1037,DATA!$H$1037,IF(AY275&gt;DATA!$H$1036*$B$89,DATA!$H$1036,1))</f>
        <v>1.2</v>
      </c>
      <c r="BG275" s="156">
        <f t="shared" si="144"/>
        <v>9.9999999999999995E-8</v>
      </c>
      <c r="BI275" s="140">
        <f t="shared" si="145"/>
        <v>2.9400000000000003E-5</v>
      </c>
      <c r="BJ275">
        <v>2.94</v>
      </c>
      <c r="BK275" s="140">
        <f t="shared" si="146"/>
        <v>2.9399999999999996E-7</v>
      </c>
      <c r="BL275" s="140">
        <f t="shared" si="147"/>
        <v>5.8800000000000002E-7</v>
      </c>
      <c r="BM275" s="140">
        <f t="shared" si="148"/>
        <v>8.8200000000000009E-7</v>
      </c>
      <c r="BN275" s="140">
        <f t="shared" si="149"/>
        <v>1.176E-6</v>
      </c>
      <c r="BO275" s="140">
        <f t="shared" si="150"/>
        <v>1.4700000000000003E-6</v>
      </c>
      <c r="BP275" s="157">
        <f>IF(BI275&lt;$B$105*DATA!$H$1037,DATA!$H$1037,IF(BI275&gt;DATA!$H$1036*$B$105,DATA!$H$1036,1))</f>
        <v>1.2</v>
      </c>
      <c r="BQ275" s="156">
        <f t="shared" si="151"/>
        <v>9.9999999999999995E-8</v>
      </c>
    </row>
    <row r="276" spans="1:69">
      <c r="A276" s="140">
        <f t="shared" si="111"/>
        <v>2.9600000000000001E-5</v>
      </c>
      <c r="B276">
        <v>2.96</v>
      </c>
      <c r="C276" s="140">
        <f t="shared" si="107"/>
        <v>2.959999999999999E-7</v>
      </c>
      <c r="D276" s="140">
        <f t="shared" si="107"/>
        <v>5.919999999999999E-7</v>
      </c>
      <c r="E276" s="140">
        <f t="shared" si="107"/>
        <v>8.8800000000000001E-7</v>
      </c>
      <c r="F276" s="140">
        <f t="shared" si="107"/>
        <v>1.184E-6</v>
      </c>
      <c r="G276" s="140">
        <f t="shared" si="107"/>
        <v>1.4800000000000002E-6</v>
      </c>
      <c r="H276" s="157">
        <f>IF(A276&lt;$B$9*DATA!$H$1037,DATA!$H$1037,IF(A276&gt;DATA!$H$1036*$B$9,DATA!$H$1036,1))</f>
        <v>0.8</v>
      </c>
      <c r="I276" s="156">
        <f t="shared" si="112"/>
        <v>9.9999999999999995E-8</v>
      </c>
      <c r="K276" s="140">
        <f t="shared" si="113"/>
        <v>2.9600000000000001E-5</v>
      </c>
      <c r="L276">
        <v>2.96</v>
      </c>
      <c r="M276" s="140">
        <f t="shared" si="114"/>
        <v>2.959999999999999E-7</v>
      </c>
      <c r="N276" s="140">
        <f t="shared" si="115"/>
        <v>5.919999999999999E-7</v>
      </c>
      <c r="O276" s="140">
        <f t="shared" si="116"/>
        <v>8.8800000000000001E-7</v>
      </c>
      <c r="P276" s="140">
        <f t="shared" si="117"/>
        <v>1.184E-6</v>
      </c>
      <c r="Q276" s="140">
        <f t="shared" si="118"/>
        <v>1.4800000000000002E-6</v>
      </c>
      <c r="R276" s="157">
        <f>IF(K276&lt;$B$25*DATA!$H$1037,DATA!$H$1037,IF(K276&gt;DATA!$H$1036*$B$25,DATA!$H$1036,1))</f>
        <v>0.8</v>
      </c>
      <c r="S276" s="156">
        <f t="shared" si="108"/>
        <v>9.9999999999999995E-8</v>
      </c>
      <c r="U276" s="140">
        <f t="shared" si="119"/>
        <v>2.9600000000000001E-5</v>
      </c>
      <c r="V276">
        <v>2.96</v>
      </c>
      <c r="W276" s="140">
        <f t="shared" si="120"/>
        <v>2.959999999999999E-7</v>
      </c>
      <c r="X276" s="140">
        <f t="shared" si="121"/>
        <v>5.919999999999999E-7</v>
      </c>
      <c r="Y276" s="140">
        <f t="shared" si="122"/>
        <v>8.8800000000000001E-7</v>
      </c>
      <c r="Z276" s="140">
        <f t="shared" si="123"/>
        <v>1.184E-6</v>
      </c>
      <c r="AA276" s="140">
        <f t="shared" si="124"/>
        <v>1.4800000000000002E-6</v>
      </c>
      <c r="AB276" s="157">
        <f>IF(U276&lt;$B$41*DATA!$H$1037,DATA!$H$1037,IF(U276&gt;DATA!$H$1036*$B$41,DATA!$H$1036,1))</f>
        <v>0.8</v>
      </c>
      <c r="AC276" s="156">
        <f t="shared" si="109"/>
        <v>9.9999999999999995E-8</v>
      </c>
      <c r="AE276" s="140">
        <f t="shared" si="125"/>
        <v>2.9600000000000001E-5</v>
      </c>
      <c r="AF276">
        <v>2.96</v>
      </c>
      <c r="AG276" s="140">
        <f t="shared" si="126"/>
        <v>2.959999999999999E-7</v>
      </c>
      <c r="AH276" s="140">
        <f t="shared" si="127"/>
        <v>5.919999999999999E-7</v>
      </c>
      <c r="AI276" s="140">
        <f t="shared" si="128"/>
        <v>8.8800000000000001E-7</v>
      </c>
      <c r="AJ276" s="140">
        <f t="shared" si="129"/>
        <v>1.184E-6</v>
      </c>
      <c r="AK276" s="140">
        <f t="shared" si="130"/>
        <v>1.4800000000000002E-6</v>
      </c>
      <c r="AL276" s="157">
        <f>IF(AE276&lt;$B$57*DATA!$H$1037,DATA!$H$1037,IF(AE276&gt;DATA!$H$1036*$B$57,DATA!$H$1036,1))</f>
        <v>1.2</v>
      </c>
      <c r="AM276" s="156">
        <f t="shared" si="110"/>
        <v>9.9999999999999995E-8</v>
      </c>
      <c r="AO276" s="140">
        <f t="shared" si="131"/>
        <v>2.9600000000000001E-5</v>
      </c>
      <c r="AP276">
        <v>2.96</v>
      </c>
      <c r="AQ276" s="140">
        <f t="shared" si="132"/>
        <v>2.959999999999999E-7</v>
      </c>
      <c r="AR276" s="140">
        <f t="shared" si="133"/>
        <v>5.919999999999999E-7</v>
      </c>
      <c r="AS276" s="140">
        <f t="shared" si="134"/>
        <v>8.8800000000000001E-7</v>
      </c>
      <c r="AT276" s="140">
        <f t="shared" si="135"/>
        <v>1.184E-6</v>
      </c>
      <c r="AU276" s="140">
        <f t="shared" si="136"/>
        <v>1.4800000000000002E-6</v>
      </c>
      <c r="AV276" s="157">
        <f>IF(AO276&lt;$B$73*DATA!$H$1037,DATA!$H$1037,IF(AO276&gt;DATA!$H$1036*$B$73,DATA!$H$1036,1))</f>
        <v>1.2</v>
      </c>
      <c r="AW276" s="156">
        <f t="shared" si="137"/>
        <v>9.9999999999999995E-8</v>
      </c>
      <c r="AY276" s="140">
        <f t="shared" si="138"/>
        <v>2.9600000000000001E-5</v>
      </c>
      <c r="AZ276">
        <v>2.96</v>
      </c>
      <c r="BA276" s="140">
        <f t="shared" si="139"/>
        <v>2.959999999999999E-7</v>
      </c>
      <c r="BB276" s="140">
        <f t="shared" si="140"/>
        <v>5.919999999999999E-7</v>
      </c>
      <c r="BC276" s="140">
        <f t="shared" si="141"/>
        <v>8.8800000000000001E-7</v>
      </c>
      <c r="BD276" s="140">
        <f t="shared" si="142"/>
        <v>1.184E-6</v>
      </c>
      <c r="BE276" s="140">
        <f t="shared" si="143"/>
        <v>1.4800000000000002E-6</v>
      </c>
      <c r="BF276" s="157">
        <f>IF(AY276&lt;$B$89*DATA!$H$1037,DATA!$H$1037,IF(AY276&gt;DATA!$H$1036*$B$89,DATA!$H$1036,1))</f>
        <v>1.2</v>
      </c>
      <c r="BG276" s="156">
        <f t="shared" si="144"/>
        <v>9.9999999999999995E-8</v>
      </c>
      <c r="BI276" s="140">
        <f t="shared" si="145"/>
        <v>2.9600000000000001E-5</v>
      </c>
      <c r="BJ276">
        <v>2.96</v>
      </c>
      <c r="BK276" s="140">
        <f t="shared" si="146"/>
        <v>2.959999999999999E-7</v>
      </c>
      <c r="BL276" s="140">
        <f t="shared" si="147"/>
        <v>5.919999999999999E-7</v>
      </c>
      <c r="BM276" s="140">
        <f t="shared" si="148"/>
        <v>8.8800000000000001E-7</v>
      </c>
      <c r="BN276" s="140">
        <f t="shared" si="149"/>
        <v>1.184E-6</v>
      </c>
      <c r="BO276" s="140">
        <f t="shared" si="150"/>
        <v>1.4800000000000002E-6</v>
      </c>
      <c r="BP276" s="157">
        <f>IF(BI276&lt;$B$105*DATA!$H$1037,DATA!$H$1037,IF(BI276&gt;DATA!$H$1036*$B$105,DATA!$H$1036,1))</f>
        <v>1.2</v>
      </c>
      <c r="BQ276" s="156">
        <f t="shared" si="151"/>
        <v>9.9999999999999995E-8</v>
      </c>
    </row>
    <row r="277" spans="1:69">
      <c r="A277" s="140">
        <f t="shared" si="111"/>
        <v>2.9800000000000003E-5</v>
      </c>
      <c r="B277">
        <v>2.98</v>
      </c>
      <c r="C277" s="140">
        <f t="shared" si="107"/>
        <v>2.9799999999999994E-7</v>
      </c>
      <c r="D277" s="140">
        <f t="shared" si="107"/>
        <v>5.9599999999999999E-7</v>
      </c>
      <c r="E277" s="140">
        <f t="shared" si="107"/>
        <v>8.9400000000000004E-7</v>
      </c>
      <c r="F277" s="140">
        <f t="shared" si="107"/>
        <v>1.1920000000000002E-6</v>
      </c>
      <c r="G277" s="140">
        <f t="shared" si="107"/>
        <v>1.4900000000000001E-6</v>
      </c>
      <c r="H277" s="157">
        <f>IF(A277&lt;$B$9*DATA!$H$1037,DATA!$H$1037,IF(A277&gt;DATA!$H$1036*$B$9,DATA!$H$1036,1))</f>
        <v>0.8</v>
      </c>
      <c r="I277" s="156">
        <f t="shared" si="112"/>
        <v>9.9999999999999995E-8</v>
      </c>
      <c r="K277" s="140">
        <f t="shared" si="113"/>
        <v>2.9800000000000003E-5</v>
      </c>
      <c r="L277">
        <v>2.98</v>
      </c>
      <c r="M277" s="140">
        <f t="shared" si="114"/>
        <v>2.9799999999999994E-7</v>
      </c>
      <c r="N277" s="140">
        <f t="shared" si="115"/>
        <v>5.9599999999999999E-7</v>
      </c>
      <c r="O277" s="140">
        <f t="shared" si="116"/>
        <v>8.9400000000000004E-7</v>
      </c>
      <c r="P277" s="140">
        <f t="shared" si="117"/>
        <v>1.1920000000000002E-6</v>
      </c>
      <c r="Q277" s="140">
        <f t="shared" si="118"/>
        <v>1.4900000000000001E-6</v>
      </c>
      <c r="R277" s="157">
        <f>IF(K277&lt;$B$25*DATA!$H$1037,DATA!$H$1037,IF(K277&gt;DATA!$H$1036*$B$25,DATA!$H$1036,1))</f>
        <v>0.8</v>
      </c>
      <c r="S277" s="156">
        <f t="shared" si="108"/>
        <v>9.9999999999999995E-8</v>
      </c>
      <c r="U277" s="140">
        <f t="shared" si="119"/>
        <v>2.9800000000000003E-5</v>
      </c>
      <c r="V277">
        <v>2.98</v>
      </c>
      <c r="W277" s="140">
        <f t="shared" si="120"/>
        <v>2.9799999999999994E-7</v>
      </c>
      <c r="X277" s="140">
        <f t="shared" si="121"/>
        <v>5.9599999999999999E-7</v>
      </c>
      <c r="Y277" s="140">
        <f t="shared" si="122"/>
        <v>8.9400000000000004E-7</v>
      </c>
      <c r="Z277" s="140">
        <f t="shared" si="123"/>
        <v>1.1920000000000002E-6</v>
      </c>
      <c r="AA277" s="140">
        <f t="shared" si="124"/>
        <v>1.4900000000000001E-6</v>
      </c>
      <c r="AB277" s="157">
        <f>IF(U277&lt;$B$41*DATA!$H$1037,DATA!$H$1037,IF(U277&gt;DATA!$H$1036*$B$41,DATA!$H$1036,1))</f>
        <v>0.8</v>
      </c>
      <c r="AC277" s="156">
        <f t="shared" si="109"/>
        <v>9.9999999999999995E-8</v>
      </c>
      <c r="AE277" s="140">
        <f t="shared" si="125"/>
        <v>2.9800000000000003E-5</v>
      </c>
      <c r="AF277">
        <v>2.98</v>
      </c>
      <c r="AG277" s="140">
        <f t="shared" si="126"/>
        <v>2.9799999999999994E-7</v>
      </c>
      <c r="AH277" s="140">
        <f t="shared" si="127"/>
        <v>5.9599999999999999E-7</v>
      </c>
      <c r="AI277" s="140">
        <f t="shared" si="128"/>
        <v>8.9400000000000004E-7</v>
      </c>
      <c r="AJ277" s="140">
        <f t="shared" si="129"/>
        <v>1.1920000000000002E-6</v>
      </c>
      <c r="AK277" s="140">
        <f t="shared" si="130"/>
        <v>1.4900000000000001E-6</v>
      </c>
      <c r="AL277" s="157">
        <f>IF(AE277&lt;$B$57*DATA!$H$1037,DATA!$H$1037,IF(AE277&gt;DATA!$H$1036*$B$57,DATA!$H$1036,1))</f>
        <v>1.2</v>
      </c>
      <c r="AM277" s="156">
        <f t="shared" si="110"/>
        <v>9.9999999999999995E-8</v>
      </c>
      <c r="AO277" s="140">
        <f t="shared" si="131"/>
        <v>2.9800000000000003E-5</v>
      </c>
      <c r="AP277">
        <v>2.98</v>
      </c>
      <c r="AQ277" s="140">
        <f t="shared" si="132"/>
        <v>2.9799999999999994E-7</v>
      </c>
      <c r="AR277" s="140">
        <f t="shared" si="133"/>
        <v>5.9599999999999999E-7</v>
      </c>
      <c r="AS277" s="140">
        <f t="shared" si="134"/>
        <v>8.9400000000000004E-7</v>
      </c>
      <c r="AT277" s="140">
        <f t="shared" si="135"/>
        <v>1.1920000000000002E-6</v>
      </c>
      <c r="AU277" s="140">
        <f t="shared" si="136"/>
        <v>1.4900000000000001E-6</v>
      </c>
      <c r="AV277" s="157">
        <f>IF(AO277&lt;$B$73*DATA!$H$1037,DATA!$H$1037,IF(AO277&gt;DATA!$H$1036*$B$73,DATA!$H$1036,1))</f>
        <v>1.2</v>
      </c>
      <c r="AW277" s="156">
        <f t="shared" si="137"/>
        <v>9.9999999999999995E-8</v>
      </c>
      <c r="AY277" s="140">
        <f t="shared" si="138"/>
        <v>2.9800000000000003E-5</v>
      </c>
      <c r="AZ277">
        <v>2.98</v>
      </c>
      <c r="BA277" s="140">
        <f t="shared" si="139"/>
        <v>2.9799999999999994E-7</v>
      </c>
      <c r="BB277" s="140">
        <f t="shared" si="140"/>
        <v>5.9599999999999999E-7</v>
      </c>
      <c r="BC277" s="140">
        <f t="shared" si="141"/>
        <v>8.9400000000000004E-7</v>
      </c>
      <c r="BD277" s="140">
        <f t="shared" si="142"/>
        <v>1.1920000000000002E-6</v>
      </c>
      <c r="BE277" s="140">
        <f t="shared" si="143"/>
        <v>1.4900000000000001E-6</v>
      </c>
      <c r="BF277" s="157">
        <f>IF(AY277&lt;$B$89*DATA!$H$1037,DATA!$H$1037,IF(AY277&gt;DATA!$H$1036*$B$89,DATA!$H$1036,1))</f>
        <v>1.2</v>
      </c>
      <c r="BG277" s="156">
        <f t="shared" si="144"/>
        <v>9.9999999999999995E-8</v>
      </c>
      <c r="BI277" s="140">
        <f t="shared" si="145"/>
        <v>2.9800000000000003E-5</v>
      </c>
      <c r="BJ277">
        <v>2.98</v>
      </c>
      <c r="BK277" s="140">
        <f t="shared" si="146"/>
        <v>2.9799999999999994E-7</v>
      </c>
      <c r="BL277" s="140">
        <f t="shared" si="147"/>
        <v>5.9599999999999999E-7</v>
      </c>
      <c r="BM277" s="140">
        <f t="shared" si="148"/>
        <v>8.9400000000000004E-7</v>
      </c>
      <c r="BN277" s="140">
        <f t="shared" si="149"/>
        <v>1.1920000000000002E-6</v>
      </c>
      <c r="BO277" s="140">
        <f t="shared" si="150"/>
        <v>1.4900000000000001E-6</v>
      </c>
      <c r="BP277" s="157">
        <f>IF(BI277&lt;$B$105*DATA!$H$1037,DATA!$H$1037,IF(BI277&gt;DATA!$H$1036*$B$105,DATA!$H$1036,1))</f>
        <v>1.2</v>
      </c>
      <c r="BQ277" s="156">
        <f t="shared" si="151"/>
        <v>9.9999999999999995E-8</v>
      </c>
    </row>
    <row r="278" spans="1:69">
      <c r="A278" s="140">
        <f t="shared" si="111"/>
        <v>3.0000000000000004E-5</v>
      </c>
      <c r="B278">
        <v>3</v>
      </c>
      <c r="C278" s="140">
        <f t="shared" si="107"/>
        <v>2.9999999999999993E-7</v>
      </c>
      <c r="D278" s="140">
        <f t="shared" si="107"/>
        <v>5.9999999999999997E-7</v>
      </c>
      <c r="E278" s="140">
        <f t="shared" si="107"/>
        <v>9.0000000000000007E-7</v>
      </c>
      <c r="F278" s="140">
        <f t="shared" si="107"/>
        <v>1.2000000000000002E-6</v>
      </c>
      <c r="G278" s="140">
        <f t="shared" si="107"/>
        <v>1.5000000000000002E-6</v>
      </c>
      <c r="H278" s="157">
        <f>IF(A278&lt;$B$9*DATA!$H$1037,DATA!$H$1037,IF(A278&gt;DATA!$H$1036*$B$9,DATA!$H$1036,1))</f>
        <v>0.8</v>
      </c>
      <c r="I278" s="156">
        <f t="shared" si="112"/>
        <v>9.9999999999999995E-8</v>
      </c>
      <c r="K278" s="140">
        <f t="shared" si="113"/>
        <v>3.0000000000000004E-5</v>
      </c>
      <c r="L278">
        <v>3</v>
      </c>
      <c r="M278" s="140">
        <f t="shared" si="114"/>
        <v>2.9999999999999993E-7</v>
      </c>
      <c r="N278" s="140">
        <f t="shared" si="115"/>
        <v>5.9999999999999997E-7</v>
      </c>
      <c r="O278" s="140">
        <f t="shared" si="116"/>
        <v>9.0000000000000007E-7</v>
      </c>
      <c r="P278" s="140">
        <f t="shared" si="117"/>
        <v>1.2000000000000002E-6</v>
      </c>
      <c r="Q278" s="140">
        <f t="shared" si="118"/>
        <v>1.5000000000000002E-6</v>
      </c>
      <c r="R278" s="157">
        <f>IF(K278&lt;$B$25*DATA!$H$1037,DATA!$H$1037,IF(K278&gt;DATA!$H$1036*$B$25,DATA!$H$1036,1))</f>
        <v>0.8</v>
      </c>
      <c r="S278" s="156">
        <f t="shared" si="108"/>
        <v>9.9999999999999995E-8</v>
      </c>
      <c r="U278" s="140">
        <f t="shared" si="119"/>
        <v>3.0000000000000004E-5</v>
      </c>
      <c r="V278">
        <v>3</v>
      </c>
      <c r="W278" s="140">
        <f t="shared" si="120"/>
        <v>2.9999999999999993E-7</v>
      </c>
      <c r="X278" s="140">
        <f t="shared" si="121"/>
        <v>5.9999999999999997E-7</v>
      </c>
      <c r="Y278" s="140">
        <f t="shared" si="122"/>
        <v>9.0000000000000007E-7</v>
      </c>
      <c r="Z278" s="140">
        <f t="shared" si="123"/>
        <v>1.2000000000000002E-6</v>
      </c>
      <c r="AA278" s="140">
        <f t="shared" si="124"/>
        <v>1.5000000000000002E-6</v>
      </c>
      <c r="AB278" s="157">
        <f>IF(U278&lt;$B$41*DATA!$H$1037,DATA!$H$1037,IF(U278&gt;DATA!$H$1036*$B$41,DATA!$H$1036,1))</f>
        <v>0.8</v>
      </c>
      <c r="AC278" s="156">
        <f t="shared" si="109"/>
        <v>9.9999999999999995E-8</v>
      </c>
      <c r="AE278" s="140">
        <f t="shared" si="125"/>
        <v>3.0000000000000004E-5</v>
      </c>
      <c r="AF278">
        <v>3</v>
      </c>
      <c r="AG278" s="140">
        <f t="shared" si="126"/>
        <v>2.9999999999999993E-7</v>
      </c>
      <c r="AH278" s="140">
        <f t="shared" si="127"/>
        <v>5.9999999999999997E-7</v>
      </c>
      <c r="AI278" s="140">
        <f t="shared" si="128"/>
        <v>9.0000000000000007E-7</v>
      </c>
      <c r="AJ278" s="140">
        <f t="shared" si="129"/>
        <v>1.2000000000000002E-6</v>
      </c>
      <c r="AK278" s="140">
        <f t="shared" si="130"/>
        <v>1.5000000000000002E-6</v>
      </c>
      <c r="AL278" s="157">
        <f>IF(AE278&lt;$B$57*DATA!$H$1037,DATA!$H$1037,IF(AE278&gt;DATA!$H$1036*$B$57,DATA!$H$1036,1))</f>
        <v>1.2</v>
      </c>
      <c r="AM278" s="156">
        <f t="shared" si="110"/>
        <v>9.9999999999999995E-8</v>
      </c>
      <c r="AO278" s="140">
        <f t="shared" si="131"/>
        <v>3.0000000000000004E-5</v>
      </c>
      <c r="AP278">
        <v>3</v>
      </c>
      <c r="AQ278" s="140">
        <f t="shared" si="132"/>
        <v>2.9999999999999993E-7</v>
      </c>
      <c r="AR278" s="140">
        <f t="shared" si="133"/>
        <v>5.9999999999999997E-7</v>
      </c>
      <c r="AS278" s="140">
        <f t="shared" si="134"/>
        <v>9.0000000000000007E-7</v>
      </c>
      <c r="AT278" s="140">
        <f t="shared" si="135"/>
        <v>1.2000000000000002E-6</v>
      </c>
      <c r="AU278" s="140">
        <f t="shared" si="136"/>
        <v>1.5000000000000002E-6</v>
      </c>
      <c r="AV278" s="157">
        <f>IF(AO278&lt;$B$73*DATA!$H$1037,DATA!$H$1037,IF(AO278&gt;DATA!$H$1036*$B$73,DATA!$H$1036,1))</f>
        <v>1.2</v>
      </c>
      <c r="AW278" s="156">
        <f t="shared" si="137"/>
        <v>9.9999999999999995E-8</v>
      </c>
      <c r="AY278" s="140">
        <f t="shared" si="138"/>
        <v>3.0000000000000004E-5</v>
      </c>
      <c r="AZ278">
        <v>3</v>
      </c>
      <c r="BA278" s="140">
        <f t="shared" si="139"/>
        <v>2.9999999999999993E-7</v>
      </c>
      <c r="BB278" s="140">
        <f t="shared" si="140"/>
        <v>5.9999999999999997E-7</v>
      </c>
      <c r="BC278" s="140">
        <f t="shared" si="141"/>
        <v>9.0000000000000007E-7</v>
      </c>
      <c r="BD278" s="140">
        <f t="shared" si="142"/>
        <v>1.2000000000000002E-6</v>
      </c>
      <c r="BE278" s="140">
        <f t="shared" si="143"/>
        <v>1.5000000000000002E-6</v>
      </c>
      <c r="BF278" s="157">
        <f>IF(AY278&lt;$B$89*DATA!$H$1037,DATA!$H$1037,IF(AY278&gt;DATA!$H$1036*$B$89,DATA!$H$1036,1))</f>
        <v>1.2</v>
      </c>
      <c r="BG278" s="156">
        <f t="shared" si="144"/>
        <v>9.9999999999999995E-8</v>
      </c>
      <c r="BI278" s="140">
        <f t="shared" si="145"/>
        <v>3.0000000000000004E-5</v>
      </c>
      <c r="BJ278">
        <v>3</v>
      </c>
      <c r="BK278" s="140">
        <f t="shared" si="146"/>
        <v>2.9999999999999993E-7</v>
      </c>
      <c r="BL278" s="140">
        <f t="shared" si="147"/>
        <v>5.9999999999999997E-7</v>
      </c>
      <c r="BM278" s="140">
        <f t="shared" si="148"/>
        <v>9.0000000000000007E-7</v>
      </c>
      <c r="BN278" s="140">
        <f t="shared" si="149"/>
        <v>1.2000000000000002E-6</v>
      </c>
      <c r="BO278" s="140">
        <f t="shared" si="150"/>
        <v>1.5000000000000002E-6</v>
      </c>
      <c r="BP278" s="157">
        <f>IF(BI278&lt;$B$105*DATA!$H$1037,DATA!$H$1037,IF(BI278&gt;DATA!$H$1036*$B$105,DATA!$H$1036,1))</f>
        <v>1.2</v>
      </c>
      <c r="BQ278" s="156">
        <f t="shared" si="151"/>
        <v>9.9999999999999995E-8</v>
      </c>
    </row>
    <row r="279" spans="1:69">
      <c r="A279" s="140">
        <f t="shared" si="111"/>
        <v>3.0200000000000002E-5</v>
      </c>
      <c r="B279">
        <v>3.02</v>
      </c>
      <c r="C279" s="140">
        <f t="shared" si="107"/>
        <v>3.0199999999999992E-7</v>
      </c>
      <c r="D279" s="140">
        <f t="shared" si="107"/>
        <v>6.0399999999999996E-7</v>
      </c>
      <c r="E279" s="140">
        <f t="shared" si="107"/>
        <v>9.0599999999999999E-7</v>
      </c>
      <c r="F279" s="140">
        <f t="shared" si="107"/>
        <v>1.2080000000000001E-6</v>
      </c>
      <c r="G279" s="140">
        <f t="shared" si="107"/>
        <v>1.5100000000000002E-6</v>
      </c>
      <c r="H279" s="157">
        <f>IF(A279&lt;$B$9*DATA!$H$1037,DATA!$H$1037,IF(A279&gt;DATA!$H$1036*$B$9,DATA!$H$1036,1))</f>
        <v>0.8</v>
      </c>
      <c r="I279" s="156">
        <f t="shared" si="112"/>
        <v>9.9999999999999995E-8</v>
      </c>
      <c r="K279" s="140">
        <f t="shared" si="113"/>
        <v>3.0200000000000002E-5</v>
      </c>
      <c r="L279">
        <v>3.02</v>
      </c>
      <c r="M279" s="140">
        <f t="shared" si="114"/>
        <v>3.0199999999999992E-7</v>
      </c>
      <c r="N279" s="140">
        <f t="shared" si="115"/>
        <v>6.0399999999999996E-7</v>
      </c>
      <c r="O279" s="140">
        <f t="shared" si="116"/>
        <v>9.0599999999999999E-7</v>
      </c>
      <c r="P279" s="140">
        <f t="shared" si="117"/>
        <v>1.2080000000000001E-6</v>
      </c>
      <c r="Q279" s="140">
        <f t="shared" si="118"/>
        <v>1.5100000000000002E-6</v>
      </c>
      <c r="R279" s="157">
        <f>IF(K279&lt;$B$25*DATA!$H$1037,DATA!$H$1037,IF(K279&gt;DATA!$H$1036*$B$25,DATA!$H$1036,1))</f>
        <v>0.8</v>
      </c>
      <c r="S279" s="156">
        <f t="shared" si="108"/>
        <v>9.9999999999999995E-8</v>
      </c>
      <c r="U279" s="140">
        <f t="shared" si="119"/>
        <v>3.0200000000000002E-5</v>
      </c>
      <c r="V279">
        <v>3.02</v>
      </c>
      <c r="W279" s="140">
        <f t="shared" si="120"/>
        <v>3.0199999999999992E-7</v>
      </c>
      <c r="X279" s="140">
        <f t="shared" si="121"/>
        <v>6.0399999999999996E-7</v>
      </c>
      <c r="Y279" s="140">
        <f t="shared" si="122"/>
        <v>9.0599999999999999E-7</v>
      </c>
      <c r="Z279" s="140">
        <f t="shared" si="123"/>
        <v>1.2080000000000001E-6</v>
      </c>
      <c r="AA279" s="140">
        <f t="shared" si="124"/>
        <v>1.5100000000000002E-6</v>
      </c>
      <c r="AB279" s="157">
        <f>IF(U279&lt;$B$41*DATA!$H$1037,DATA!$H$1037,IF(U279&gt;DATA!$H$1036*$B$41,DATA!$H$1036,1))</f>
        <v>0.8</v>
      </c>
      <c r="AC279" s="156">
        <f t="shared" si="109"/>
        <v>9.9999999999999995E-8</v>
      </c>
      <c r="AE279" s="140">
        <f t="shared" si="125"/>
        <v>3.0200000000000002E-5</v>
      </c>
      <c r="AF279">
        <v>3.02</v>
      </c>
      <c r="AG279" s="140">
        <f t="shared" si="126"/>
        <v>3.0199999999999992E-7</v>
      </c>
      <c r="AH279" s="140">
        <f t="shared" si="127"/>
        <v>6.0399999999999996E-7</v>
      </c>
      <c r="AI279" s="140">
        <f t="shared" si="128"/>
        <v>9.0599999999999999E-7</v>
      </c>
      <c r="AJ279" s="140">
        <f t="shared" si="129"/>
        <v>1.2080000000000001E-6</v>
      </c>
      <c r="AK279" s="140">
        <f t="shared" si="130"/>
        <v>1.5100000000000002E-6</v>
      </c>
      <c r="AL279" s="157">
        <f>IF(AE279&lt;$B$57*DATA!$H$1037,DATA!$H$1037,IF(AE279&gt;DATA!$H$1036*$B$57,DATA!$H$1036,1))</f>
        <v>1.2</v>
      </c>
      <c r="AM279" s="156">
        <f t="shared" si="110"/>
        <v>9.9999999999999995E-8</v>
      </c>
      <c r="AO279" s="140">
        <f t="shared" si="131"/>
        <v>3.0200000000000002E-5</v>
      </c>
      <c r="AP279">
        <v>3.02</v>
      </c>
      <c r="AQ279" s="140">
        <f t="shared" si="132"/>
        <v>3.0199999999999992E-7</v>
      </c>
      <c r="AR279" s="140">
        <f t="shared" si="133"/>
        <v>6.0399999999999996E-7</v>
      </c>
      <c r="AS279" s="140">
        <f t="shared" si="134"/>
        <v>9.0599999999999999E-7</v>
      </c>
      <c r="AT279" s="140">
        <f t="shared" si="135"/>
        <v>1.2080000000000001E-6</v>
      </c>
      <c r="AU279" s="140">
        <f t="shared" si="136"/>
        <v>1.5100000000000002E-6</v>
      </c>
      <c r="AV279" s="157">
        <f>IF(AO279&lt;$B$73*DATA!$H$1037,DATA!$H$1037,IF(AO279&gt;DATA!$H$1036*$B$73,DATA!$H$1036,1))</f>
        <v>1.2</v>
      </c>
      <c r="AW279" s="156">
        <f t="shared" si="137"/>
        <v>9.9999999999999995E-8</v>
      </c>
      <c r="AY279" s="140">
        <f t="shared" si="138"/>
        <v>3.0200000000000002E-5</v>
      </c>
      <c r="AZ279">
        <v>3.02</v>
      </c>
      <c r="BA279" s="140">
        <f t="shared" si="139"/>
        <v>3.0199999999999992E-7</v>
      </c>
      <c r="BB279" s="140">
        <f t="shared" si="140"/>
        <v>6.0399999999999996E-7</v>
      </c>
      <c r="BC279" s="140">
        <f t="shared" si="141"/>
        <v>9.0599999999999999E-7</v>
      </c>
      <c r="BD279" s="140">
        <f t="shared" si="142"/>
        <v>1.2080000000000001E-6</v>
      </c>
      <c r="BE279" s="140">
        <f t="shared" si="143"/>
        <v>1.5100000000000002E-6</v>
      </c>
      <c r="BF279" s="157">
        <f>IF(AY279&lt;$B$89*DATA!$H$1037,DATA!$H$1037,IF(AY279&gt;DATA!$H$1036*$B$89,DATA!$H$1036,1))</f>
        <v>1.2</v>
      </c>
      <c r="BG279" s="156">
        <f t="shared" si="144"/>
        <v>9.9999999999999995E-8</v>
      </c>
      <c r="BI279" s="140">
        <f t="shared" si="145"/>
        <v>3.0200000000000002E-5</v>
      </c>
      <c r="BJ279">
        <v>3.02</v>
      </c>
      <c r="BK279" s="140">
        <f t="shared" si="146"/>
        <v>3.0199999999999992E-7</v>
      </c>
      <c r="BL279" s="140">
        <f t="shared" si="147"/>
        <v>6.0399999999999996E-7</v>
      </c>
      <c r="BM279" s="140">
        <f t="shared" si="148"/>
        <v>9.0599999999999999E-7</v>
      </c>
      <c r="BN279" s="140">
        <f t="shared" si="149"/>
        <v>1.2080000000000001E-6</v>
      </c>
      <c r="BO279" s="140">
        <f t="shared" si="150"/>
        <v>1.5100000000000002E-6</v>
      </c>
      <c r="BP279" s="157">
        <f>IF(BI279&lt;$B$105*DATA!$H$1037,DATA!$H$1037,IF(BI279&gt;DATA!$H$1036*$B$105,DATA!$H$1036,1))</f>
        <v>1.2</v>
      </c>
      <c r="BQ279" s="156">
        <f t="shared" si="151"/>
        <v>9.9999999999999995E-8</v>
      </c>
    </row>
    <row r="280" spans="1:69">
      <c r="A280" s="140">
        <f t="shared" si="111"/>
        <v>3.0400000000000004E-5</v>
      </c>
      <c r="B280">
        <v>3.04</v>
      </c>
      <c r="C280" s="140">
        <f t="shared" si="107"/>
        <v>3.0399999999999992E-7</v>
      </c>
      <c r="D280" s="140">
        <f t="shared" si="107"/>
        <v>6.0799999999999994E-7</v>
      </c>
      <c r="E280" s="140">
        <f t="shared" si="107"/>
        <v>9.1200000000000012E-7</v>
      </c>
      <c r="F280" s="140">
        <f t="shared" si="107"/>
        <v>1.2160000000000001E-6</v>
      </c>
      <c r="G280" s="140">
        <f t="shared" si="107"/>
        <v>1.5200000000000003E-6</v>
      </c>
      <c r="H280" s="157">
        <f>IF(A280&lt;$B$9*DATA!$H$1037,DATA!$H$1037,IF(A280&gt;DATA!$H$1036*$B$9,DATA!$H$1036,1))</f>
        <v>0.8</v>
      </c>
      <c r="I280" s="156">
        <f t="shared" si="112"/>
        <v>9.9999999999999995E-8</v>
      </c>
      <c r="K280" s="140">
        <f t="shared" si="113"/>
        <v>3.0400000000000004E-5</v>
      </c>
      <c r="L280">
        <v>3.04</v>
      </c>
      <c r="M280" s="140">
        <f t="shared" si="114"/>
        <v>3.0399999999999992E-7</v>
      </c>
      <c r="N280" s="140">
        <f t="shared" si="115"/>
        <v>6.0799999999999994E-7</v>
      </c>
      <c r="O280" s="140">
        <f t="shared" si="116"/>
        <v>9.1200000000000012E-7</v>
      </c>
      <c r="P280" s="140">
        <f t="shared" si="117"/>
        <v>1.2160000000000001E-6</v>
      </c>
      <c r="Q280" s="140">
        <f t="shared" si="118"/>
        <v>1.5200000000000003E-6</v>
      </c>
      <c r="R280" s="157">
        <f>IF(K280&lt;$B$25*DATA!$H$1037,DATA!$H$1037,IF(K280&gt;DATA!$H$1036*$B$25,DATA!$H$1036,1))</f>
        <v>0.8</v>
      </c>
      <c r="S280" s="156">
        <f t="shared" si="108"/>
        <v>9.9999999999999995E-8</v>
      </c>
      <c r="U280" s="140">
        <f t="shared" si="119"/>
        <v>3.0400000000000004E-5</v>
      </c>
      <c r="V280">
        <v>3.04</v>
      </c>
      <c r="W280" s="140">
        <f t="shared" si="120"/>
        <v>3.0399999999999992E-7</v>
      </c>
      <c r="X280" s="140">
        <f t="shared" si="121"/>
        <v>6.0799999999999994E-7</v>
      </c>
      <c r="Y280" s="140">
        <f t="shared" si="122"/>
        <v>9.1200000000000012E-7</v>
      </c>
      <c r="Z280" s="140">
        <f t="shared" si="123"/>
        <v>1.2160000000000001E-6</v>
      </c>
      <c r="AA280" s="140">
        <f t="shared" si="124"/>
        <v>1.5200000000000003E-6</v>
      </c>
      <c r="AB280" s="157">
        <f>IF(U280&lt;$B$41*DATA!$H$1037,DATA!$H$1037,IF(U280&gt;DATA!$H$1036*$B$41,DATA!$H$1036,1))</f>
        <v>0.8</v>
      </c>
      <c r="AC280" s="156">
        <f t="shared" si="109"/>
        <v>9.9999999999999995E-8</v>
      </c>
      <c r="AE280" s="140">
        <f t="shared" si="125"/>
        <v>3.0400000000000004E-5</v>
      </c>
      <c r="AF280">
        <v>3.04</v>
      </c>
      <c r="AG280" s="140">
        <f t="shared" si="126"/>
        <v>3.0399999999999992E-7</v>
      </c>
      <c r="AH280" s="140">
        <f t="shared" si="127"/>
        <v>6.0799999999999994E-7</v>
      </c>
      <c r="AI280" s="140">
        <f t="shared" si="128"/>
        <v>9.1200000000000012E-7</v>
      </c>
      <c r="AJ280" s="140">
        <f t="shared" si="129"/>
        <v>1.2160000000000001E-6</v>
      </c>
      <c r="AK280" s="140">
        <f t="shared" si="130"/>
        <v>1.5200000000000003E-6</v>
      </c>
      <c r="AL280" s="157">
        <f>IF(AE280&lt;$B$57*DATA!$H$1037,DATA!$H$1037,IF(AE280&gt;DATA!$H$1036*$B$57,DATA!$H$1036,1))</f>
        <v>1.2</v>
      </c>
      <c r="AM280" s="156">
        <f t="shared" si="110"/>
        <v>9.9999999999999995E-8</v>
      </c>
      <c r="AO280" s="140">
        <f t="shared" si="131"/>
        <v>3.0400000000000004E-5</v>
      </c>
      <c r="AP280">
        <v>3.04</v>
      </c>
      <c r="AQ280" s="140">
        <f t="shared" si="132"/>
        <v>3.0399999999999992E-7</v>
      </c>
      <c r="AR280" s="140">
        <f t="shared" si="133"/>
        <v>6.0799999999999994E-7</v>
      </c>
      <c r="AS280" s="140">
        <f t="shared" si="134"/>
        <v>9.1200000000000012E-7</v>
      </c>
      <c r="AT280" s="140">
        <f t="shared" si="135"/>
        <v>1.2160000000000001E-6</v>
      </c>
      <c r="AU280" s="140">
        <f t="shared" si="136"/>
        <v>1.5200000000000003E-6</v>
      </c>
      <c r="AV280" s="157">
        <f>IF(AO280&lt;$B$73*DATA!$H$1037,DATA!$H$1037,IF(AO280&gt;DATA!$H$1036*$B$73,DATA!$H$1036,1))</f>
        <v>1.2</v>
      </c>
      <c r="AW280" s="156">
        <f t="shared" si="137"/>
        <v>9.9999999999999995E-8</v>
      </c>
      <c r="AY280" s="140">
        <f t="shared" si="138"/>
        <v>3.0400000000000004E-5</v>
      </c>
      <c r="AZ280">
        <v>3.04</v>
      </c>
      <c r="BA280" s="140">
        <f t="shared" si="139"/>
        <v>3.0399999999999992E-7</v>
      </c>
      <c r="BB280" s="140">
        <f t="shared" si="140"/>
        <v>6.0799999999999994E-7</v>
      </c>
      <c r="BC280" s="140">
        <f t="shared" si="141"/>
        <v>9.1200000000000012E-7</v>
      </c>
      <c r="BD280" s="140">
        <f t="shared" si="142"/>
        <v>1.2160000000000001E-6</v>
      </c>
      <c r="BE280" s="140">
        <f t="shared" si="143"/>
        <v>1.5200000000000003E-6</v>
      </c>
      <c r="BF280" s="157">
        <f>IF(AY280&lt;$B$89*DATA!$H$1037,DATA!$H$1037,IF(AY280&gt;DATA!$H$1036*$B$89,DATA!$H$1036,1))</f>
        <v>1.2</v>
      </c>
      <c r="BG280" s="156">
        <f t="shared" si="144"/>
        <v>9.9999999999999995E-8</v>
      </c>
      <c r="BI280" s="140">
        <f t="shared" si="145"/>
        <v>3.0400000000000004E-5</v>
      </c>
      <c r="BJ280">
        <v>3.04</v>
      </c>
      <c r="BK280" s="140">
        <f t="shared" si="146"/>
        <v>3.0399999999999992E-7</v>
      </c>
      <c r="BL280" s="140">
        <f t="shared" si="147"/>
        <v>6.0799999999999994E-7</v>
      </c>
      <c r="BM280" s="140">
        <f t="shared" si="148"/>
        <v>9.1200000000000012E-7</v>
      </c>
      <c r="BN280" s="140">
        <f t="shared" si="149"/>
        <v>1.2160000000000001E-6</v>
      </c>
      <c r="BO280" s="140">
        <f t="shared" si="150"/>
        <v>1.5200000000000003E-6</v>
      </c>
      <c r="BP280" s="157">
        <f>IF(BI280&lt;$B$105*DATA!$H$1037,DATA!$H$1037,IF(BI280&gt;DATA!$H$1036*$B$105,DATA!$H$1036,1))</f>
        <v>1.2</v>
      </c>
      <c r="BQ280" s="156">
        <f t="shared" si="151"/>
        <v>9.9999999999999995E-8</v>
      </c>
    </row>
    <row r="281" spans="1:69">
      <c r="A281" s="140">
        <f t="shared" si="111"/>
        <v>3.0600000000000005E-5</v>
      </c>
      <c r="B281">
        <v>3.06</v>
      </c>
      <c r="C281" s="140">
        <f t="shared" si="107"/>
        <v>3.0599999999999996E-7</v>
      </c>
      <c r="D281" s="140">
        <f t="shared" si="107"/>
        <v>6.1200000000000003E-7</v>
      </c>
      <c r="E281" s="140">
        <f t="shared" si="107"/>
        <v>9.1800000000000015E-7</v>
      </c>
      <c r="F281" s="140">
        <f t="shared" si="107"/>
        <v>1.2240000000000003E-6</v>
      </c>
      <c r="G281" s="140">
        <f t="shared" si="107"/>
        <v>1.5300000000000004E-6</v>
      </c>
      <c r="H281" s="157">
        <f>IF(A281&lt;$B$9*DATA!$H$1037,DATA!$H$1037,IF(A281&gt;DATA!$H$1036*$B$9,DATA!$H$1036,1))</f>
        <v>0.8</v>
      </c>
      <c r="I281" s="156">
        <f t="shared" si="112"/>
        <v>9.9999999999999995E-8</v>
      </c>
      <c r="K281" s="140">
        <f t="shared" si="113"/>
        <v>3.0600000000000005E-5</v>
      </c>
      <c r="L281">
        <v>3.06</v>
      </c>
      <c r="M281" s="140">
        <f t="shared" si="114"/>
        <v>3.0599999999999996E-7</v>
      </c>
      <c r="N281" s="140">
        <f t="shared" si="115"/>
        <v>6.1200000000000003E-7</v>
      </c>
      <c r="O281" s="140">
        <f t="shared" si="116"/>
        <v>9.1800000000000015E-7</v>
      </c>
      <c r="P281" s="140">
        <f t="shared" si="117"/>
        <v>1.2240000000000003E-6</v>
      </c>
      <c r="Q281" s="140">
        <f t="shared" si="118"/>
        <v>1.5300000000000004E-6</v>
      </c>
      <c r="R281" s="157">
        <f>IF(K281&lt;$B$25*DATA!$H$1037,DATA!$H$1037,IF(K281&gt;DATA!$H$1036*$B$25,DATA!$H$1036,1))</f>
        <v>0.8</v>
      </c>
      <c r="S281" s="156">
        <f t="shared" si="108"/>
        <v>9.9999999999999995E-8</v>
      </c>
      <c r="U281" s="140">
        <f t="shared" si="119"/>
        <v>3.0600000000000005E-5</v>
      </c>
      <c r="V281">
        <v>3.06</v>
      </c>
      <c r="W281" s="140">
        <f t="shared" si="120"/>
        <v>3.0599999999999996E-7</v>
      </c>
      <c r="X281" s="140">
        <f t="shared" si="121"/>
        <v>6.1200000000000003E-7</v>
      </c>
      <c r="Y281" s="140">
        <f t="shared" si="122"/>
        <v>9.1800000000000015E-7</v>
      </c>
      <c r="Z281" s="140">
        <f t="shared" si="123"/>
        <v>1.2240000000000003E-6</v>
      </c>
      <c r="AA281" s="140">
        <f t="shared" si="124"/>
        <v>1.5300000000000004E-6</v>
      </c>
      <c r="AB281" s="157">
        <f>IF(U281&lt;$B$41*DATA!$H$1037,DATA!$H$1037,IF(U281&gt;DATA!$H$1036*$B$41,DATA!$H$1036,1))</f>
        <v>0.8</v>
      </c>
      <c r="AC281" s="156">
        <f t="shared" si="109"/>
        <v>9.9999999999999995E-8</v>
      </c>
      <c r="AE281" s="140">
        <f t="shared" si="125"/>
        <v>3.0600000000000005E-5</v>
      </c>
      <c r="AF281">
        <v>3.06</v>
      </c>
      <c r="AG281" s="140">
        <f t="shared" si="126"/>
        <v>3.0599999999999996E-7</v>
      </c>
      <c r="AH281" s="140">
        <f t="shared" si="127"/>
        <v>6.1200000000000003E-7</v>
      </c>
      <c r="AI281" s="140">
        <f t="shared" si="128"/>
        <v>9.1800000000000015E-7</v>
      </c>
      <c r="AJ281" s="140">
        <f t="shared" si="129"/>
        <v>1.2240000000000003E-6</v>
      </c>
      <c r="AK281" s="140">
        <f t="shared" si="130"/>
        <v>1.5300000000000004E-6</v>
      </c>
      <c r="AL281" s="157">
        <f>IF(AE281&lt;$B$57*DATA!$H$1037,DATA!$H$1037,IF(AE281&gt;DATA!$H$1036*$B$57,DATA!$H$1036,1))</f>
        <v>1.2</v>
      </c>
      <c r="AM281" s="156">
        <f t="shared" si="110"/>
        <v>9.9999999999999995E-8</v>
      </c>
      <c r="AO281" s="140">
        <f t="shared" si="131"/>
        <v>3.0600000000000005E-5</v>
      </c>
      <c r="AP281">
        <v>3.06</v>
      </c>
      <c r="AQ281" s="140">
        <f t="shared" si="132"/>
        <v>3.0599999999999996E-7</v>
      </c>
      <c r="AR281" s="140">
        <f t="shared" si="133"/>
        <v>6.1200000000000003E-7</v>
      </c>
      <c r="AS281" s="140">
        <f t="shared" si="134"/>
        <v>9.1800000000000015E-7</v>
      </c>
      <c r="AT281" s="140">
        <f t="shared" si="135"/>
        <v>1.2240000000000003E-6</v>
      </c>
      <c r="AU281" s="140">
        <f t="shared" si="136"/>
        <v>1.5300000000000004E-6</v>
      </c>
      <c r="AV281" s="157">
        <f>IF(AO281&lt;$B$73*DATA!$H$1037,DATA!$H$1037,IF(AO281&gt;DATA!$H$1036*$B$73,DATA!$H$1036,1))</f>
        <v>1.2</v>
      </c>
      <c r="AW281" s="156">
        <f t="shared" si="137"/>
        <v>9.9999999999999995E-8</v>
      </c>
      <c r="AY281" s="140">
        <f t="shared" si="138"/>
        <v>3.0600000000000005E-5</v>
      </c>
      <c r="AZ281">
        <v>3.06</v>
      </c>
      <c r="BA281" s="140">
        <f t="shared" si="139"/>
        <v>3.0599999999999996E-7</v>
      </c>
      <c r="BB281" s="140">
        <f t="shared" si="140"/>
        <v>6.1200000000000003E-7</v>
      </c>
      <c r="BC281" s="140">
        <f t="shared" si="141"/>
        <v>9.1800000000000015E-7</v>
      </c>
      <c r="BD281" s="140">
        <f t="shared" si="142"/>
        <v>1.2240000000000003E-6</v>
      </c>
      <c r="BE281" s="140">
        <f t="shared" si="143"/>
        <v>1.5300000000000004E-6</v>
      </c>
      <c r="BF281" s="157">
        <f>IF(AY281&lt;$B$89*DATA!$H$1037,DATA!$H$1037,IF(AY281&gt;DATA!$H$1036*$B$89,DATA!$H$1036,1))</f>
        <v>1.2</v>
      </c>
      <c r="BG281" s="156">
        <f t="shared" si="144"/>
        <v>9.9999999999999995E-8</v>
      </c>
      <c r="BI281" s="140">
        <f t="shared" si="145"/>
        <v>3.0600000000000005E-5</v>
      </c>
      <c r="BJ281">
        <v>3.06</v>
      </c>
      <c r="BK281" s="140">
        <f t="shared" si="146"/>
        <v>3.0599999999999996E-7</v>
      </c>
      <c r="BL281" s="140">
        <f t="shared" si="147"/>
        <v>6.1200000000000003E-7</v>
      </c>
      <c r="BM281" s="140">
        <f t="shared" si="148"/>
        <v>9.1800000000000015E-7</v>
      </c>
      <c r="BN281" s="140">
        <f t="shared" si="149"/>
        <v>1.2240000000000003E-6</v>
      </c>
      <c r="BO281" s="140">
        <f t="shared" si="150"/>
        <v>1.5300000000000004E-6</v>
      </c>
      <c r="BP281" s="157">
        <f>IF(BI281&lt;$B$105*DATA!$H$1037,DATA!$H$1037,IF(BI281&gt;DATA!$H$1036*$B$105,DATA!$H$1036,1))</f>
        <v>1.2</v>
      </c>
      <c r="BQ281" s="156">
        <f t="shared" si="151"/>
        <v>9.9999999999999995E-8</v>
      </c>
    </row>
    <row r="282" spans="1:69">
      <c r="A282" s="140">
        <f t="shared" si="111"/>
        <v>3.0800000000000003E-5</v>
      </c>
      <c r="B282">
        <v>3.08</v>
      </c>
      <c r="C282" s="140">
        <f t="shared" si="107"/>
        <v>3.0799999999999995E-7</v>
      </c>
      <c r="D282" s="140">
        <f t="shared" si="107"/>
        <v>6.1600000000000001E-7</v>
      </c>
      <c r="E282" s="140">
        <f t="shared" si="107"/>
        <v>9.2400000000000007E-7</v>
      </c>
      <c r="F282" s="140">
        <f t="shared" si="107"/>
        <v>1.2320000000000002E-6</v>
      </c>
      <c r="G282" s="140">
        <f t="shared" si="107"/>
        <v>1.5400000000000003E-6</v>
      </c>
      <c r="H282" s="157">
        <f>IF(A282&lt;$B$9*DATA!$H$1037,DATA!$H$1037,IF(A282&gt;DATA!$H$1036*$B$9,DATA!$H$1036,1))</f>
        <v>0.8</v>
      </c>
      <c r="I282" s="156">
        <f t="shared" si="112"/>
        <v>9.9999999999999995E-8</v>
      </c>
      <c r="K282" s="140">
        <f t="shared" si="113"/>
        <v>3.0800000000000003E-5</v>
      </c>
      <c r="L282">
        <v>3.08</v>
      </c>
      <c r="M282" s="140">
        <f t="shared" si="114"/>
        <v>3.0799999999999995E-7</v>
      </c>
      <c r="N282" s="140">
        <f t="shared" si="115"/>
        <v>6.1600000000000001E-7</v>
      </c>
      <c r="O282" s="140">
        <f t="shared" si="116"/>
        <v>9.2400000000000007E-7</v>
      </c>
      <c r="P282" s="140">
        <f t="shared" si="117"/>
        <v>1.2320000000000002E-6</v>
      </c>
      <c r="Q282" s="140">
        <f t="shared" si="118"/>
        <v>1.5400000000000003E-6</v>
      </c>
      <c r="R282" s="157">
        <f>IF(K282&lt;$B$25*DATA!$H$1037,DATA!$H$1037,IF(K282&gt;DATA!$H$1036*$B$25,DATA!$H$1036,1))</f>
        <v>0.8</v>
      </c>
      <c r="S282" s="156">
        <f t="shared" si="108"/>
        <v>9.9999999999999995E-8</v>
      </c>
      <c r="U282" s="140">
        <f t="shared" si="119"/>
        <v>3.0800000000000003E-5</v>
      </c>
      <c r="V282">
        <v>3.08</v>
      </c>
      <c r="W282" s="140">
        <f t="shared" si="120"/>
        <v>3.0799999999999995E-7</v>
      </c>
      <c r="X282" s="140">
        <f t="shared" si="121"/>
        <v>6.1600000000000001E-7</v>
      </c>
      <c r="Y282" s="140">
        <f t="shared" si="122"/>
        <v>9.2400000000000007E-7</v>
      </c>
      <c r="Z282" s="140">
        <f t="shared" si="123"/>
        <v>1.2320000000000002E-6</v>
      </c>
      <c r="AA282" s="140">
        <f t="shared" si="124"/>
        <v>1.5400000000000003E-6</v>
      </c>
      <c r="AB282" s="157">
        <f>IF(U282&lt;$B$41*DATA!$H$1037,DATA!$H$1037,IF(U282&gt;DATA!$H$1036*$B$41,DATA!$H$1036,1))</f>
        <v>0.8</v>
      </c>
      <c r="AC282" s="156">
        <f t="shared" si="109"/>
        <v>9.9999999999999995E-8</v>
      </c>
      <c r="AE282" s="140">
        <f t="shared" si="125"/>
        <v>3.0800000000000003E-5</v>
      </c>
      <c r="AF282">
        <v>3.08</v>
      </c>
      <c r="AG282" s="140">
        <f t="shared" si="126"/>
        <v>3.0799999999999995E-7</v>
      </c>
      <c r="AH282" s="140">
        <f t="shared" si="127"/>
        <v>6.1600000000000001E-7</v>
      </c>
      <c r="AI282" s="140">
        <f t="shared" si="128"/>
        <v>9.2400000000000007E-7</v>
      </c>
      <c r="AJ282" s="140">
        <f t="shared" si="129"/>
        <v>1.2320000000000002E-6</v>
      </c>
      <c r="AK282" s="140">
        <f t="shared" si="130"/>
        <v>1.5400000000000003E-6</v>
      </c>
      <c r="AL282" s="157">
        <f>IF(AE282&lt;$B$57*DATA!$H$1037,DATA!$H$1037,IF(AE282&gt;DATA!$H$1036*$B$57,DATA!$H$1036,1))</f>
        <v>1.2</v>
      </c>
      <c r="AM282" s="156">
        <f t="shared" si="110"/>
        <v>9.9999999999999995E-8</v>
      </c>
      <c r="AO282" s="140">
        <f t="shared" si="131"/>
        <v>3.0800000000000003E-5</v>
      </c>
      <c r="AP282">
        <v>3.08</v>
      </c>
      <c r="AQ282" s="140">
        <f t="shared" si="132"/>
        <v>3.0799999999999995E-7</v>
      </c>
      <c r="AR282" s="140">
        <f t="shared" si="133"/>
        <v>6.1600000000000001E-7</v>
      </c>
      <c r="AS282" s="140">
        <f t="shared" si="134"/>
        <v>9.2400000000000007E-7</v>
      </c>
      <c r="AT282" s="140">
        <f t="shared" si="135"/>
        <v>1.2320000000000002E-6</v>
      </c>
      <c r="AU282" s="140">
        <f t="shared" si="136"/>
        <v>1.5400000000000003E-6</v>
      </c>
      <c r="AV282" s="157">
        <f>IF(AO282&lt;$B$73*DATA!$H$1037,DATA!$H$1037,IF(AO282&gt;DATA!$H$1036*$B$73,DATA!$H$1036,1))</f>
        <v>1.2</v>
      </c>
      <c r="AW282" s="156">
        <f t="shared" si="137"/>
        <v>9.9999999999999995E-8</v>
      </c>
      <c r="AY282" s="140">
        <f t="shared" si="138"/>
        <v>3.0800000000000003E-5</v>
      </c>
      <c r="AZ282">
        <v>3.08</v>
      </c>
      <c r="BA282" s="140">
        <f t="shared" si="139"/>
        <v>3.0799999999999995E-7</v>
      </c>
      <c r="BB282" s="140">
        <f t="shared" si="140"/>
        <v>6.1600000000000001E-7</v>
      </c>
      <c r="BC282" s="140">
        <f t="shared" si="141"/>
        <v>9.2400000000000007E-7</v>
      </c>
      <c r="BD282" s="140">
        <f t="shared" si="142"/>
        <v>1.2320000000000002E-6</v>
      </c>
      <c r="BE282" s="140">
        <f t="shared" si="143"/>
        <v>1.5400000000000003E-6</v>
      </c>
      <c r="BF282" s="157">
        <f>IF(AY282&lt;$B$89*DATA!$H$1037,DATA!$H$1037,IF(AY282&gt;DATA!$H$1036*$B$89,DATA!$H$1036,1))</f>
        <v>1.2</v>
      </c>
      <c r="BG282" s="156">
        <f t="shared" si="144"/>
        <v>9.9999999999999995E-8</v>
      </c>
      <c r="BI282" s="140">
        <f t="shared" si="145"/>
        <v>3.0800000000000003E-5</v>
      </c>
      <c r="BJ282">
        <v>3.08</v>
      </c>
      <c r="BK282" s="140">
        <f t="shared" si="146"/>
        <v>3.0799999999999995E-7</v>
      </c>
      <c r="BL282" s="140">
        <f t="shared" si="147"/>
        <v>6.1600000000000001E-7</v>
      </c>
      <c r="BM282" s="140">
        <f t="shared" si="148"/>
        <v>9.2400000000000007E-7</v>
      </c>
      <c r="BN282" s="140">
        <f t="shared" si="149"/>
        <v>1.2320000000000002E-6</v>
      </c>
      <c r="BO282" s="140">
        <f t="shared" si="150"/>
        <v>1.5400000000000003E-6</v>
      </c>
      <c r="BP282" s="157">
        <f>IF(BI282&lt;$B$105*DATA!$H$1037,DATA!$H$1037,IF(BI282&gt;DATA!$H$1036*$B$105,DATA!$H$1036,1))</f>
        <v>1.2</v>
      </c>
      <c r="BQ282" s="156">
        <f t="shared" si="151"/>
        <v>9.9999999999999995E-8</v>
      </c>
    </row>
    <row r="283" spans="1:69">
      <c r="A283" s="140">
        <f t="shared" si="111"/>
        <v>3.1000000000000001E-5</v>
      </c>
      <c r="B283">
        <v>3.1</v>
      </c>
      <c r="C283" s="140">
        <f t="shared" si="107"/>
        <v>3.0999999999999989E-7</v>
      </c>
      <c r="D283" s="140">
        <f t="shared" si="107"/>
        <v>6.1999999999999989E-7</v>
      </c>
      <c r="E283" s="140">
        <f t="shared" si="107"/>
        <v>9.2999999999999999E-7</v>
      </c>
      <c r="F283" s="140">
        <f t="shared" si="107"/>
        <v>1.24E-6</v>
      </c>
      <c r="G283" s="140">
        <f t="shared" si="107"/>
        <v>1.5500000000000002E-6</v>
      </c>
      <c r="H283" s="157">
        <f>IF(A283&lt;$B$9*DATA!$H$1037,DATA!$H$1037,IF(A283&gt;DATA!$H$1036*$B$9,DATA!$H$1036,1))</f>
        <v>0.8</v>
      </c>
      <c r="I283" s="156">
        <f t="shared" si="112"/>
        <v>9.9999999999999995E-8</v>
      </c>
      <c r="K283" s="140">
        <f t="shared" si="113"/>
        <v>3.1000000000000001E-5</v>
      </c>
      <c r="L283">
        <v>3.1</v>
      </c>
      <c r="M283" s="140">
        <f t="shared" si="114"/>
        <v>3.0999999999999989E-7</v>
      </c>
      <c r="N283" s="140">
        <f t="shared" si="115"/>
        <v>6.1999999999999989E-7</v>
      </c>
      <c r="O283" s="140">
        <f t="shared" si="116"/>
        <v>9.2999999999999999E-7</v>
      </c>
      <c r="P283" s="140">
        <f t="shared" si="117"/>
        <v>1.24E-6</v>
      </c>
      <c r="Q283" s="140">
        <f t="shared" si="118"/>
        <v>1.5500000000000002E-6</v>
      </c>
      <c r="R283" s="157">
        <f>IF(K283&lt;$B$25*DATA!$H$1037,DATA!$H$1037,IF(K283&gt;DATA!$H$1036*$B$25,DATA!$H$1036,1))</f>
        <v>0.8</v>
      </c>
      <c r="S283" s="156">
        <f t="shared" si="108"/>
        <v>9.9999999999999995E-8</v>
      </c>
      <c r="U283" s="140">
        <f t="shared" si="119"/>
        <v>3.1000000000000001E-5</v>
      </c>
      <c r="V283">
        <v>3.1</v>
      </c>
      <c r="W283" s="140">
        <f t="shared" si="120"/>
        <v>3.0999999999999989E-7</v>
      </c>
      <c r="X283" s="140">
        <f t="shared" si="121"/>
        <v>6.1999999999999989E-7</v>
      </c>
      <c r="Y283" s="140">
        <f t="shared" si="122"/>
        <v>9.2999999999999999E-7</v>
      </c>
      <c r="Z283" s="140">
        <f t="shared" si="123"/>
        <v>1.24E-6</v>
      </c>
      <c r="AA283" s="140">
        <f t="shared" si="124"/>
        <v>1.5500000000000002E-6</v>
      </c>
      <c r="AB283" s="157">
        <f>IF(U283&lt;$B$41*DATA!$H$1037,DATA!$H$1037,IF(U283&gt;DATA!$H$1036*$B$41,DATA!$H$1036,1))</f>
        <v>0.8</v>
      </c>
      <c r="AC283" s="156">
        <f t="shared" si="109"/>
        <v>9.9999999999999995E-8</v>
      </c>
      <c r="AE283" s="140">
        <f t="shared" si="125"/>
        <v>3.1000000000000001E-5</v>
      </c>
      <c r="AF283">
        <v>3.1</v>
      </c>
      <c r="AG283" s="140">
        <f t="shared" si="126"/>
        <v>3.0999999999999989E-7</v>
      </c>
      <c r="AH283" s="140">
        <f t="shared" si="127"/>
        <v>6.1999999999999989E-7</v>
      </c>
      <c r="AI283" s="140">
        <f t="shared" si="128"/>
        <v>9.2999999999999999E-7</v>
      </c>
      <c r="AJ283" s="140">
        <f t="shared" si="129"/>
        <v>1.24E-6</v>
      </c>
      <c r="AK283" s="140">
        <f t="shared" si="130"/>
        <v>1.5500000000000002E-6</v>
      </c>
      <c r="AL283" s="157">
        <f>IF(AE283&lt;$B$57*DATA!$H$1037,DATA!$H$1037,IF(AE283&gt;DATA!$H$1036*$B$57,DATA!$H$1036,1))</f>
        <v>1.2</v>
      </c>
      <c r="AM283" s="156">
        <f t="shared" si="110"/>
        <v>9.9999999999999995E-8</v>
      </c>
      <c r="AO283" s="140">
        <f t="shared" si="131"/>
        <v>3.1000000000000001E-5</v>
      </c>
      <c r="AP283">
        <v>3.1</v>
      </c>
      <c r="AQ283" s="140">
        <f t="shared" si="132"/>
        <v>3.0999999999999989E-7</v>
      </c>
      <c r="AR283" s="140">
        <f t="shared" si="133"/>
        <v>6.1999999999999989E-7</v>
      </c>
      <c r="AS283" s="140">
        <f t="shared" si="134"/>
        <v>9.2999999999999999E-7</v>
      </c>
      <c r="AT283" s="140">
        <f t="shared" si="135"/>
        <v>1.24E-6</v>
      </c>
      <c r="AU283" s="140">
        <f t="shared" si="136"/>
        <v>1.5500000000000002E-6</v>
      </c>
      <c r="AV283" s="157">
        <f>IF(AO283&lt;$B$73*DATA!$H$1037,DATA!$H$1037,IF(AO283&gt;DATA!$H$1036*$B$73,DATA!$H$1036,1))</f>
        <v>1.2</v>
      </c>
      <c r="AW283" s="156">
        <f t="shared" si="137"/>
        <v>9.9999999999999995E-8</v>
      </c>
      <c r="AY283" s="140">
        <f t="shared" si="138"/>
        <v>3.1000000000000001E-5</v>
      </c>
      <c r="AZ283">
        <v>3.1</v>
      </c>
      <c r="BA283" s="140">
        <f t="shared" si="139"/>
        <v>3.0999999999999989E-7</v>
      </c>
      <c r="BB283" s="140">
        <f t="shared" si="140"/>
        <v>6.1999999999999989E-7</v>
      </c>
      <c r="BC283" s="140">
        <f t="shared" si="141"/>
        <v>9.2999999999999999E-7</v>
      </c>
      <c r="BD283" s="140">
        <f t="shared" si="142"/>
        <v>1.24E-6</v>
      </c>
      <c r="BE283" s="140">
        <f t="shared" si="143"/>
        <v>1.5500000000000002E-6</v>
      </c>
      <c r="BF283" s="157">
        <f>IF(AY283&lt;$B$89*DATA!$H$1037,DATA!$H$1037,IF(AY283&gt;DATA!$H$1036*$B$89,DATA!$H$1036,1))</f>
        <v>1.2</v>
      </c>
      <c r="BG283" s="156">
        <f t="shared" si="144"/>
        <v>9.9999999999999995E-8</v>
      </c>
      <c r="BI283" s="140">
        <f t="shared" si="145"/>
        <v>3.1000000000000001E-5</v>
      </c>
      <c r="BJ283">
        <v>3.1</v>
      </c>
      <c r="BK283" s="140">
        <f t="shared" si="146"/>
        <v>3.0999999999999989E-7</v>
      </c>
      <c r="BL283" s="140">
        <f t="shared" si="147"/>
        <v>6.1999999999999989E-7</v>
      </c>
      <c r="BM283" s="140">
        <f t="shared" si="148"/>
        <v>9.2999999999999999E-7</v>
      </c>
      <c r="BN283" s="140">
        <f t="shared" si="149"/>
        <v>1.24E-6</v>
      </c>
      <c r="BO283" s="140">
        <f t="shared" si="150"/>
        <v>1.5500000000000002E-6</v>
      </c>
      <c r="BP283" s="157">
        <f>IF(BI283&lt;$B$105*DATA!$H$1037,DATA!$H$1037,IF(BI283&gt;DATA!$H$1036*$B$105,DATA!$H$1036,1))</f>
        <v>1.2</v>
      </c>
      <c r="BQ283" s="156">
        <f t="shared" si="151"/>
        <v>9.9999999999999995E-8</v>
      </c>
    </row>
    <row r="284" spans="1:69">
      <c r="A284" s="140">
        <f t="shared" si="111"/>
        <v>3.1200000000000006E-5</v>
      </c>
      <c r="B284">
        <v>3.12</v>
      </c>
      <c r="C284" s="140">
        <f t="shared" si="107"/>
        <v>3.1199999999999994E-7</v>
      </c>
      <c r="D284" s="140">
        <f t="shared" si="107"/>
        <v>6.2400000000000008E-7</v>
      </c>
      <c r="E284" s="140">
        <f t="shared" si="107"/>
        <v>9.3600000000000012E-7</v>
      </c>
      <c r="F284" s="140">
        <f t="shared" si="107"/>
        <v>1.2480000000000004E-6</v>
      </c>
      <c r="G284" s="140">
        <f t="shared" si="107"/>
        <v>1.5600000000000003E-6</v>
      </c>
      <c r="H284" s="157">
        <f>IF(A284&lt;$B$9*DATA!$H$1037,DATA!$H$1037,IF(A284&gt;DATA!$H$1036*$B$9,DATA!$H$1036,1))</f>
        <v>0.8</v>
      </c>
      <c r="I284" s="156">
        <f t="shared" si="112"/>
        <v>9.9999999999999995E-8</v>
      </c>
      <c r="K284" s="140">
        <f t="shared" si="113"/>
        <v>3.1200000000000006E-5</v>
      </c>
      <c r="L284">
        <v>3.12</v>
      </c>
      <c r="M284" s="140">
        <f t="shared" si="114"/>
        <v>3.1199999999999994E-7</v>
      </c>
      <c r="N284" s="140">
        <f t="shared" si="115"/>
        <v>6.2400000000000008E-7</v>
      </c>
      <c r="O284" s="140">
        <f t="shared" si="116"/>
        <v>9.3600000000000012E-7</v>
      </c>
      <c r="P284" s="140">
        <f t="shared" si="117"/>
        <v>1.2480000000000004E-6</v>
      </c>
      <c r="Q284" s="140">
        <f t="shared" si="118"/>
        <v>1.5600000000000003E-6</v>
      </c>
      <c r="R284" s="157">
        <f>IF(K284&lt;$B$25*DATA!$H$1037,DATA!$H$1037,IF(K284&gt;DATA!$H$1036*$B$25,DATA!$H$1036,1))</f>
        <v>0.8</v>
      </c>
      <c r="S284" s="156">
        <f t="shared" si="108"/>
        <v>9.9999999999999995E-8</v>
      </c>
      <c r="U284" s="140">
        <f t="shared" si="119"/>
        <v>3.1200000000000006E-5</v>
      </c>
      <c r="V284">
        <v>3.12</v>
      </c>
      <c r="W284" s="140">
        <f t="shared" si="120"/>
        <v>3.1199999999999994E-7</v>
      </c>
      <c r="X284" s="140">
        <f t="shared" si="121"/>
        <v>6.2400000000000008E-7</v>
      </c>
      <c r="Y284" s="140">
        <f t="shared" si="122"/>
        <v>9.3600000000000012E-7</v>
      </c>
      <c r="Z284" s="140">
        <f t="shared" si="123"/>
        <v>1.2480000000000004E-6</v>
      </c>
      <c r="AA284" s="140">
        <f t="shared" si="124"/>
        <v>1.5600000000000003E-6</v>
      </c>
      <c r="AB284" s="157">
        <f>IF(U284&lt;$B$41*DATA!$H$1037,DATA!$H$1037,IF(U284&gt;DATA!$H$1036*$B$41,DATA!$H$1036,1))</f>
        <v>0.8</v>
      </c>
      <c r="AC284" s="156">
        <f t="shared" si="109"/>
        <v>9.9999999999999995E-8</v>
      </c>
      <c r="AE284" s="140">
        <f t="shared" si="125"/>
        <v>3.1200000000000006E-5</v>
      </c>
      <c r="AF284">
        <v>3.12</v>
      </c>
      <c r="AG284" s="140">
        <f t="shared" si="126"/>
        <v>3.1199999999999994E-7</v>
      </c>
      <c r="AH284" s="140">
        <f t="shared" si="127"/>
        <v>6.2400000000000008E-7</v>
      </c>
      <c r="AI284" s="140">
        <f t="shared" si="128"/>
        <v>9.3600000000000012E-7</v>
      </c>
      <c r="AJ284" s="140">
        <f t="shared" si="129"/>
        <v>1.2480000000000004E-6</v>
      </c>
      <c r="AK284" s="140">
        <f t="shared" si="130"/>
        <v>1.5600000000000003E-6</v>
      </c>
      <c r="AL284" s="157">
        <f>IF(AE284&lt;$B$57*DATA!$H$1037,DATA!$H$1037,IF(AE284&gt;DATA!$H$1036*$B$57,DATA!$H$1036,1))</f>
        <v>1.2</v>
      </c>
      <c r="AM284" s="156">
        <f t="shared" si="110"/>
        <v>9.9999999999999995E-8</v>
      </c>
      <c r="AO284" s="140">
        <f t="shared" si="131"/>
        <v>3.1200000000000006E-5</v>
      </c>
      <c r="AP284">
        <v>3.12</v>
      </c>
      <c r="AQ284" s="140">
        <f t="shared" si="132"/>
        <v>3.1199999999999994E-7</v>
      </c>
      <c r="AR284" s="140">
        <f t="shared" si="133"/>
        <v>6.2400000000000008E-7</v>
      </c>
      <c r="AS284" s="140">
        <f t="shared" si="134"/>
        <v>9.3600000000000012E-7</v>
      </c>
      <c r="AT284" s="140">
        <f t="shared" si="135"/>
        <v>1.2480000000000004E-6</v>
      </c>
      <c r="AU284" s="140">
        <f t="shared" si="136"/>
        <v>1.5600000000000003E-6</v>
      </c>
      <c r="AV284" s="157">
        <f>IF(AO284&lt;$B$73*DATA!$H$1037,DATA!$H$1037,IF(AO284&gt;DATA!$H$1036*$B$73,DATA!$H$1036,1))</f>
        <v>1.2</v>
      </c>
      <c r="AW284" s="156">
        <f t="shared" si="137"/>
        <v>9.9999999999999995E-8</v>
      </c>
      <c r="AY284" s="140">
        <f t="shared" si="138"/>
        <v>3.1200000000000006E-5</v>
      </c>
      <c r="AZ284">
        <v>3.12</v>
      </c>
      <c r="BA284" s="140">
        <f t="shared" si="139"/>
        <v>3.1199999999999994E-7</v>
      </c>
      <c r="BB284" s="140">
        <f t="shared" si="140"/>
        <v>6.2400000000000008E-7</v>
      </c>
      <c r="BC284" s="140">
        <f t="shared" si="141"/>
        <v>9.3600000000000012E-7</v>
      </c>
      <c r="BD284" s="140">
        <f t="shared" si="142"/>
        <v>1.2480000000000004E-6</v>
      </c>
      <c r="BE284" s="140">
        <f t="shared" si="143"/>
        <v>1.5600000000000003E-6</v>
      </c>
      <c r="BF284" s="157">
        <f>IF(AY284&lt;$B$89*DATA!$H$1037,DATA!$H$1037,IF(AY284&gt;DATA!$H$1036*$B$89,DATA!$H$1036,1))</f>
        <v>1.2</v>
      </c>
      <c r="BG284" s="156">
        <f t="shared" si="144"/>
        <v>9.9999999999999995E-8</v>
      </c>
      <c r="BI284" s="140">
        <f t="shared" si="145"/>
        <v>3.1200000000000006E-5</v>
      </c>
      <c r="BJ284">
        <v>3.12</v>
      </c>
      <c r="BK284" s="140">
        <f t="shared" si="146"/>
        <v>3.1199999999999994E-7</v>
      </c>
      <c r="BL284" s="140">
        <f t="shared" si="147"/>
        <v>6.2400000000000008E-7</v>
      </c>
      <c r="BM284" s="140">
        <f t="shared" si="148"/>
        <v>9.3600000000000012E-7</v>
      </c>
      <c r="BN284" s="140">
        <f t="shared" si="149"/>
        <v>1.2480000000000004E-6</v>
      </c>
      <c r="BO284" s="140">
        <f t="shared" si="150"/>
        <v>1.5600000000000003E-6</v>
      </c>
      <c r="BP284" s="157">
        <f>IF(BI284&lt;$B$105*DATA!$H$1037,DATA!$H$1037,IF(BI284&gt;DATA!$H$1036*$B$105,DATA!$H$1036,1))</f>
        <v>1.2</v>
      </c>
      <c r="BQ284" s="156">
        <f t="shared" si="151"/>
        <v>9.9999999999999995E-8</v>
      </c>
    </row>
    <row r="285" spans="1:69">
      <c r="A285" s="140">
        <f t="shared" si="111"/>
        <v>3.1400000000000004E-5</v>
      </c>
      <c r="B285">
        <v>3.14</v>
      </c>
      <c r="C285" s="140">
        <f t="shared" si="107"/>
        <v>3.1399999999999993E-7</v>
      </c>
      <c r="D285" s="140">
        <f t="shared" si="107"/>
        <v>6.2799999999999996E-7</v>
      </c>
      <c r="E285" s="140">
        <f t="shared" si="107"/>
        <v>9.4200000000000004E-7</v>
      </c>
      <c r="F285" s="140">
        <f t="shared" si="107"/>
        <v>1.2560000000000001E-6</v>
      </c>
      <c r="G285" s="140">
        <f t="shared" si="107"/>
        <v>1.5700000000000002E-6</v>
      </c>
      <c r="H285" s="157">
        <f>IF(A285&lt;$B$9*DATA!$H$1037,DATA!$H$1037,IF(A285&gt;DATA!$H$1036*$B$9,DATA!$H$1036,1))</f>
        <v>0.8</v>
      </c>
      <c r="I285" s="156">
        <f t="shared" si="112"/>
        <v>9.9999999999999995E-8</v>
      </c>
      <c r="K285" s="140">
        <f t="shared" si="113"/>
        <v>3.1400000000000004E-5</v>
      </c>
      <c r="L285">
        <v>3.14</v>
      </c>
      <c r="M285" s="140">
        <f t="shared" si="114"/>
        <v>3.1399999999999993E-7</v>
      </c>
      <c r="N285" s="140">
        <f t="shared" si="115"/>
        <v>6.2799999999999996E-7</v>
      </c>
      <c r="O285" s="140">
        <f t="shared" si="116"/>
        <v>9.4200000000000004E-7</v>
      </c>
      <c r="P285" s="140">
        <f t="shared" si="117"/>
        <v>1.2560000000000001E-6</v>
      </c>
      <c r="Q285" s="140">
        <f t="shared" si="118"/>
        <v>1.5700000000000002E-6</v>
      </c>
      <c r="R285" s="157">
        <f>IF(K285&lt;$B$25*DATA!$H$1037,DATA!$H$1037,IF(K285&gt;DATA!$H$1036*$B$25,DATA!$H$1036,1))</f>
        <v>0.8</v>
      </c>
      <c r="S285" s="156">
        <f t="shared" si="108"/>
        <v>9.9999999999999995E-8</v>
      </c>
      <c r="U285" s="140">
        <f t="shared" si="119"/>
        <v>3.1400000000000004E-5</v>
      </c>
      <c r="V285">
        <v>3.14</v>
      </c>
      <c r="W285" s="140">
        <f t="shared" si="120"/>
        <v>3.1399999999999993E-7</v>
      </c>
      <c r="X285" s="140">
        <f t="shared" si="121"/>
        <v>6.2799999999999996E-7</v>
      </c>
      <c r="Y285" s="140">
        <f t="shared" si="122"/>
        <v>9.4200000000000004E-7</v>
      </c>
      <c r="Z285" s="140">
        <f t="shared" si="123"/>
        <v>1.2560000000000001E-6</v>
      </c>
      <c r="AA285" s="140">
        <f t="shared" si="124"/>
        <v>1.5700000000000002E-6</v>
      </c>
      <c r="AB285" s="157">
        <f>IF(U285&lt;$B$41*DATA!$H$1037,DATA!$H$1037,IF(U285&gt;DATA!$H$1036*$B$41,DATA!$H$1036,1))</f>
        <v>0.8</v>
      </c>
      <c r="AC285" s="156">
        <f t="shared" si="109"/>
        <v>9.9999999999999995E-8</v>
      </c>
      <c r="AE285" s="140">
        <f t="shared" si="125"/>
        <v>3.1400000000000004E-5</v>
      </c>
      <c r="AF285">
        <v>3.14</v>
      </c>
      <c r="AG285" s="140">
        <f t="shared" si="126"/>
        <v>3.1399999999999993E-7</v>
      </c>
      <c r="AH285" s="140">
        <f t="shared" si="127"/>
        <v>6.2799999999999996E-7</v>
      </c>
      <c r="AI285" s="140">
        <f t="shared" si="128"/>
        <v>9.4200000000000004E-7</v>
      </c>
      <c r="AJ285" s="140">
        <f t="shared" si="129"/>
        <v>1.2560000000000001E-6</v>
      </c>
      <c r="AK285" s="140">
        <f t="shared" si="130"/>
        <v>1.5700000000000002E-6</v>
      </c>
      <c r="AL285" s="157">
        <f>IF(AE285&lt;$B$57*DATA!$H$1037,DATA!$H$1037,IF(AE285&gt;DATA!$H$1036*$B$57,DATA!$H$1036,1))</f>
        <v>1.2</v>
      </c>
      <c r="AM285" s="156">
        <f t="shared" si="110"/>
        <v>9.9999999999999995E-8</v>
      </c>
      <c r="AO285" s="140">
        <f t="shared" si="131"/>
        <v>3.1400000000000004E-5</v>
      </c>
      <c r="AP285">
        <v>3.14</v>
      </c>
      <c r="AQ285" s="140">
        <f t="shared" si="132"/>
        <v>3.1399999999999993E-7</v>
      </c>
      <c r="AR285" s="140">
        <f t="shared" si="133"/>
        <v>6.2799999999999996E-7</v>
      </c>
      <c r="AS285" s="140">
        <f t="shared" si="134"/>
        <v>9.4200000000000004E-7</v>
      </c>
      <c r="AT285" s="140">
        <f t="shared" si="135"/>
        <v>1.2560000000000001E-6</v>
      </c>
      <c r="AU285" s="140">
        <f t="shared" si="136"/>
        <v>1.5700000000000002E-6</v>
      </c>
      <c r="AV285" s="157">
        <f>IF(AO285&lt;$B$73*DATA!$H$1037,DATA!$H$1037,IF(AO285&gt;DATA!$H$1036*$B$73,DATA!$H$1036,1))</f>
        <v>1.2</v>
      </c>
      <c r="AW285" s="156">
        <f t="shared" si="137"/>
        <v>9.9999999999999995E-8</v>
      </c>
      <c r="AY285" s="140">
        <f t="shared" si="138"/>
        <v>3.1400000000000004E-5</v>
      </c>
      <c r="AZ285">
        <v>3.14</v>
      </c>
      <c r="BA285" s="140">
        <f t="shared" si="139"/>
        <v>3.1399999999999993E-7</v>
      </c>
      <c r="BB285" s="140">
        <f t="shared" si="140"/>
        <v>6.2799999999999996E-7</v>
      </c>
      <c r="BC285" s="140">
        <f t="shared" si="141"/>
        <v>9.4200000000000004E-7</v>
      </c>
      <c r="BD285" s="140">
        <f t="shared" si="142"/>
        <v>1.2560000000000001E-6</v>
      </c>
      <c r="BE285" s="140">
        <f t="shared" si="143"/>
        <v>1.5700000000000002E-6</v>
      </c>
      <c r="BF285" s="157">
        <f>IF(AY285&lt;$B$89*DATA!$H$1037,DATA!$H$1037,IF(AY285&gt;DATA!$H$1036*$B$89,DATA!$H$1036,1))</f>
        <v>1.2</v>
      </c>
      <c r="BG285" s="156">
        <f t="shared" si="144"/>
        <v>9.9999999999999995E-8</v>
      </c>
      <c r="BI285" s="140">
        <f t="shared" si="145"/>
        <v>3.1400000000000004E-5</v>
      </c>
      <c r="BJ285">
        <v>3.14</v>
      </c>
      <c r="BK285" s="140">
        <f t="shared" si="146"/>
        <v>3.1399999999999993E-7</v>
      </c>
      <c r="BL285" s="140">
        <f t="shared" si="147"/>
        <v>6.2799999999999996E-7</v>
      </c>
      <c r="BM285" s="140">
        <f t="shared" si="148"/>
        <v>9.4200000000000004E-7</v>
      </c>
      <c r="BN285" s="140">
        <f t="shared" si="149"/>
        <v>1.2560000000000001E-6</v>
      </c>
      <c r="BO285" s="140">
        <f t="shared" si="150"/>
        <v>1.5700000000000002E-6</v>
      </c>
      <c r="BP285" s="157">
        <f>IF(BI285&lt;$B$105*DATA!$H$1037,DATA!$H$1037,IF(BI285&gt;DATA!$H$1036*$B$105,DATA!$H$1036,1))</f>
        <v>1.2</v>
      </c>
      <c r="BQ285" s="156">
        <f t="shared" si="151"/>
        <v>9.9999999999999995E-8</v>
      </c>
    </row>
    <row r="286" spans="1:69">
      <c r="A286" s="140">
        <f t="shared" si="111"/>
        <v>3.1600000000000002E-5</v>
      </c>
      <c r="B286">
        <v>3.16</v>
      </c>
      <c r="C286" s="140">
        <f t="shared" si="107"/>
        <v>3.1599999999999992E-7</v>
      </c>
      <c r="D286" s="140">
        <f t="shared" si="107"/>
        <v>6.3199999999999994E-7</v>
      </c>
      <c r="E286" s="140">
        <f t="shared" si="107"/>
        <v>9.4800000000000007E-7</v>
      </c>
      <c r="F286" s="140">
        <f t="shared" si="107"/>
        <v>1.2640000000000001E-6</v>
      </c>
      <c r="G286" s="140">
        <f t="shared" si="107"/>
        <v>1.5800000000000001E-6</v>
      </c>
      <c r="H286" s="157">
        <f>IF(A286&lt;$B$9*DATA!$H$1037,DATA!$H$1037,IF(A286&gt;DATA!$H$1036*$B$9,DATA!$H$1036,1))</f>
        <v>0.8</v>
      </c>
      <c r="I286" s="156">
        <f t="shared" si="112"/>
        <v>9.9999999999999995E-8</v>
      </c>
      <c r="K286" s="140">
        <f t="shared" si="113"/>
        <v>3.1600000000000002E-5</v>
      </c>
      <c r="L286">
        <v>3.16</v>
      </c>
      <c r="M286" s="140">
        <f t="shared" si="114"/>
        <v>3.1599999999999992E-7</v>
      </c>
      <c r="N286" s="140">
        <f t="shared" si="115"/>
        <v>6.3199999999999994E-7</v>
      </c>
      <c r="O286" s="140">
        <f t="shared" si="116"/>
        <v>9.4800000000000007E-7</v>
      </c>
      <c r="P286" s="140">
        <f t="shared" si="117"/>
        <v>1.2640000000000001E-6</v>
      </c>
      <c r="Q286" s="140">
        <f t="shared" si="118"/>
        <v>1.5800000000000001E-6</v>
      </c>
      <c r="R286" s="157">
        <f>IF(K286&lt;$B$25*DATA!$H$1037,DATA!$H$1037,IF(K286&gt;DATA!$H$1036*$B$25,DATA!$H$1036,1))</f>
        <v>0.8</v>
      </c>
      <c r="S286" s="156">
        <f t="shared" si="108"/>
        <v>9.9999999999999995E-8</v>
      </c>
      <c r="U286" s="140">
        <f t="shared" si="119"/>
        <v>3.1600000000000002E-5</v>
      </c>
      <c r="V286">
        <v>3.16</v>
      </c>
      <c r="W286" s="140">
        <f t="shared" si="120"/>
        <v>3.1599999999999992E-7</v>
      </c>
      <c r="X286" s="140">
        <f t="shared" si="121"/>
        <v>6.3199999999999994E-7</v>
      </c>
      <c r="Y286" s="140">
        <f t="shared" si="122"/>
        <v>9.4800000000000007E-7</v>
      </c>
      <c r="Z286" s="140">
        <f t="shared" si="123"/>
        <v>1.2640000000000001E-6</v>
      </c>
      <c r="AA286" s="140">
        <f t="shared" si="124"/>
        <v>1.5800000000000001E-6</v>
      </c>
      <c r="AB286" s="157">
        <f>IF(U286&lt;$B$41*DATA!$H$1037,DATA!$H$1037,IF(U286&gt;DATA!$H$1036*$B$41,DATA!$H$1036,1))</f>
        <v>0.8</v>
      </c>
      <c r="AC286" s="156">
        <f t="shared" si="109"/>
        <v>9.9999999999999995E-8</v>
      </c>
      <c r="AE286" s="140">
        <f t="shared" si="125"/>
        <v>3.1600000000000002E-5</v>
      </c>
      <c r="AF286">
        <v>3.16</v>
      </c>
      <c r="AG286" s="140">
        <f t="shared" si="126"/>
        <v>3.1599999999999992E-7</v>
      </c>
      <c r="AH286" s="140">
        <f t="shared" si="127"/>
        <v>6.3199999999999994E-7</v>
      </c>
      <c r="AI286" s="140">
        <f t="shared" si="128"/>
        <v>9.4800000000000007E-7</v>
      </c>
      <c r="AJ286" s="140">
        <f t="shared" si="129"/>
        <v>1.2640000000000001E-6</v>
      </c>
      <c r="AK286" s="140">
        <f t="shared" si="130"/>
        <v>1.5800000000000001E-6</v>
      </c>
      <c r="AL286" s="157">
        <f>IF(AE286&lt;$B$57*DATA!$H$1037,DATA!$H$1037,IF(AE286&gt;DATA!$H$1036*$B$57,DATA!$H$1036,1))</f>
        <v>1.2</v>
      </c>
      <c r="AM286" s="156">
        <f t="shared" si="110"/>
        <v>9.9999999999999995E-8</v>
      </c>
      <c r="AO286" s="140">
        <f t="shared" si="131"/>
        <v>3.1600000000000002E-5</v>
      </c>
      <c r="AP286">
        <v>3.16</v>
      </c>
      <c r="AQ286" s="140">
        <f t="shared" si="132"/>
        <v>3.1599999999999992E-7</v>
      </c>
      <c r="AR286" s="140">
        <f t="shared" si="133"/>
        <v>6.3199999999999994E-7</v>
      </c>
      <c r="AS286" s="140">
        <f t="shared" si="134"/>
        <v>9.4800000000000007E-7</v>
      </c>
      <c r="AT286" s="140">
        <f t="shared" si="135"/>
        <v>1.2640000000000001E-6</v>
      </c>
      <c r="AU286" s="140">
        <f t="shared" si="136"/>
        <v>1.5800000000000001E-6</v>
      </c>
      <c r="AV286" s="157">
        <f>IF(AO286&lt;$B$73*DATA!$H$1037,DATA!$H$1037,IF(AO286&gt;DATA!$H$1036*$B$73,DATA!$H$1036,1))</f>
        <v>1.2</v>
      </c>
      <c r="AW286" s="156">
        <f t="shared" si="137"/>
        <v>9.9999999999999995E-8</v>
      </c>
      <c r="AY286" s="140">
        <f t="shared" si="138"/>
        <v>3.1600000000000002E-5</v>
      </c>
      <c r="AZ286">
        <v>3.16</v>
      </c>
      <c r="BA286" s="140">
        <f t="shared" si="139"/>
        <v>3.1599999999999992E-7</v>
      </c>
      <c r="BB286" s="140">
        <f t="shared" si="140"/>
        <v>6.3199999999999994E-7</v>
      </c>
      <c r="BC286" s="140">
        <f t="shared" si="141"/>
        <v>9.4800000000000007E-7</v>
      </c>
      <c r="BD286" s="140">
        <f t="shared" si="142"/>
        <v>1.2640000000000001E-6</v>
      </c>
      <c r="BE286" s="140">
        <f t="shared" si="143"/>
        <v>1.5800000000000001E-6</v>
      </c>
      <c r="BF286" s="157">
        <f>IF(AY286&lt;$B$89*DATA!$H$1037,DATA!$H$1037,IF(AY286&gt;DATA!$H$1036*$B$89,DATA!$H$1036,1))</f>
        <v>1.2</v>
      </c>
      <c r="BG286" s="156">
        <f t="shared" si="144"/>
        <v>9.9999999999999995E-8</v>
      </c>
      <c r="BI286" s="140">
        <f t="shared" si="145"/>
        <v>3.1600000000000002E-5</v>
      </c>
      <c r="BJ286">
        <v>3.16</v>
      </c>
      <c r="BK286" s="140">
        <f t="shared" si="146"/>
        <v>3.1599999999999992E-7</v>
      </c>
      <c r="BL286" s="140">
        <f t="shared" si="147"/>
        <v>6.3199999999999994E-7</v>
      </c>
      <c r="BM286" s="140">
        <f t="shared" si="148"/>
        <v>9.4800000000000007E-7</v>
      </c>
      <c r="BN286" s="140">
        <f t="shared" si="149"/>
        <v>1.2640000000000001E-6</v>
      </c>
      <c r="BO286" s="140">
        <f t="shared" si="150"/>
        <v>1.5800000000000001E-6</v>
      </c>
      <c r="BP286" s="157">
        <f>IF(BI286&lt;$B$105*DATA!$H$1037,DATA!$H$1037,IF(BI286&gt;DATA!$H$1036*$B$105,DATA!$H$1036,1))</f>
        <v>1.2</v>
      </c>
      <c r="BQ286" s="156">
        <f t="shared" si="151"/>
        <v>9.9999999999999995E-8</v>
      </c>
    </row>
    <row r="287" spans="1:69">
      <c r="A287" s="140">
        <f t="shared" si="111"/>
        <v>3.1800000000000007E-5</v>
      </c>
      <c r="B287">
        <v>3.18</v>
      </c>
      <c r="C287" s="140">
        <f t="shared" ref="C287:G302" si="152">C$142*$A287</f>
        <v>3.1799999999999996E-7</v>
      </c>
      <c r="D287" s="140">
        <f t="shared" si="152"/>
        <v>6.3600000000000003E-7</v>
      </c>
      <c r="E287" s="140">
        <f t="shared" si="152"/>
        <v>9.540000000000001E-7</v>
      </c>
      <c r="F287" s="140">
        <f t="shared" si="152"/>
        <v>1.2720000000000003E-6</v>
      </c>
      <c r="G287" s="140">
        <f t="shared" si="152"/>
        <v>1.5900000000000004E-6</v>
      </c>
      <c r="H287" s="157">
        <f>IF(A287&lt;$B$9*DATA!$H$1037,DATA!$H$1037,IF(A287&gt;DATA!$H$1036*$B$9,DATA!$H$1036,1))</f>
        <v>0.8</v>
      </c>
      <c r="I287" s="156">
        <f t="shared" si="112"/>
        <v>9.9999999999999995E-8</v>
      </c>
      <c r="K287" s="140">
        <f t="shared" si="113"/>
        <v>3.1800000000000007E-5</v>
      </c>
      <c r="L287">
        <v>3.18</v>
      </c>
      <c r="M287" s="140">
        <f t="shared" si="114"/>
        <v>3.1799999999999996E-7</v>
      </c>
      <c r="N287" s="140">
        <f t="shared" si="115"/>
        <v>6.3600000000000003E-7</v>
      </c>
      <c r="O287" s="140">
        <f t="shared" si="116"/>
        <v>9.540000000000001E-7</v>
      </c>
      <c r="P287" s="140">
        <f t="shared" si="117"/>
        <v>1.2720000000000003E-6</v>
      </c>
      <c r="Q287" s="140">
        <f t="shared" si="118"/>
        <v>1.5900000000000004E-6</v>
      </c>
      <c r="R287" s="157">
        <f>IF(K287&lt;$B$25*DATA!$H$1037,DATA!$H$1037,IF(K287&gt;DATA!$H$1036*$B$25,DATA!$H$1036,1))</f>
        <v>0.8</v>
      </c>
      <c r="S287" s="156">
        <f t="shared" si="108"/>
        <v>9.9999999999999995E-8</v>
      </c>
      <c r="U287" s="140">
        <f t="shared" si="119"/>
        <v>3.1800000000000007E-5</v>
      </c>
      <c r="V287">
        <v>3.18</v>
      </c>
      <c r="W287" s="140">
        <f t="shared" si="120"/>
        <v>3.1799999999999996E-7</v>
      </c>
      <c r="X287" s="140">
        <f t="shared" si="121"/>
        <v>6.3600000000000003E-7</v>
      </c>
      <c r="Y287" s="140">
        <f t="shared" si="122"/>
        <v>9.540000000000001E-7</v>
      </c>
      <c r="Z287" s="140">
        <f t="shared" si="123"/>
        <v>1.2720000000000003E-6</v>
      </c>
      <c r="AA287" s="140">
        <f t="shared" si="124"/>
        <v>1.5900000000000004E-6</v>
      </c>
      <c r="AB287" s="157">
        <f>IF(U287&lt;$B$41*DATA!$H$1037,DATA!$H$1037,IF(U287&gt;DATA!$H$1036*$B$41,DATA!$H$1036,1))</f>
        <v>0.8</v>
      </c>
      <c r="AC287" s="156">
        <f t="shared" si="109"/>
        <v>9.9999999999999995E-8</v>
      </c>
      <c r="AE287" s="140">
        <f t="shared" si="125"/>
        <v>3.1800000000000007E-5</v>
      </c>
      <c r="AF287">
        <v>3.18</v>
      </c>
      <c r="AG287" s="140">
        <f t="shared" si="126"/>
        <v>3.1799999999999996E-7</v>
      </c>
      <c r="AH287" s="140">
        <f t="shared" si="127"/>
        <v>6.3600000000000003E-7</v>
      </c>
      <c r="AI287" s="140">
        <f t="shared" si="128"/>
        <v>9.540000000000001E-7</v>
      </c>
      <c r="AJ287" s="140">
        <f t="shared" si="129"/>
        <v>1.2720000000000003E-6</v>
      </c>
      <c r="AK287" s="140">
        <f t="shared" si="130"/>
        <v>1.5900000000000004E-6</v>
      </c>
      <c r="AL287" s="157">
        <f>IF(AE287&lt;$B$57*DATA!$H$1037,DATA!$H$1037,IF(AE287&gt;DATA!$H$1036*$B$57,DATA!$H$1036,1))</f>
        <v>1.2</v>
      </c>
      <c r="AM287" s="156">
        <f t="shared" si="110"/>
        <v>9.9999999999999995E-8</v>
      </c>
      <c r="AO287" s="140">
        <f t="shared" si="131"/>
        <v>3.1800000000000007E-5</v>
      </c>
      <c r="AP287">
        <v>3.18</v>
      </c>
      <c r="AQ287" s="140">
        <f t="shared" si="132"/>
        <v>3.1799999999999996E-7</v>
      </c>
      <c r="AR287" s="140">
        <f t="shared" si="133"/>
        <v>6.3600000000000003E-7</v>
      </c>
      <c r="AS287" s="140">
        <f t="shared" si="134"/>
        <v>9.540000000000001E-7</v>
      </c>
      <c r="AT287" s="140">
        <f t="shared" si="135"/>
        <v>1.2720000000000003E-6</v>
      </c>
      <c r="AU287" s="140">
        <f t="shared" si="136"/>
        <v>1.5900000000000004E-6</v>
      </c>
      <c r="AV287" s="157">
        <f>IF(AO287&lt;$B$73*DATA!$H$1037,DATA!$H$1037,IF(AO287&gt;DATA!$H$1036*$B$73,DATA!$H$1036,1))</f>
        <v>1.2</v>
      </c>
      <c r="AW287" s="156">
        <f t="shared" si="137"/>
        <v>9.9999999999999995E-8</v>
      </c>
      <c r="AY287" s="140">
        <f t="shared" si="138"/>
        <v>3.1800000000000007E-5</v>
      </c>
      <c r="AZ287">
        <v>3.18</v>
      </c>
      <c r="BA287" s="140">
        <f t="shared" si="139"/>
        <v>3.1799999999999996E-7</v>
      </c>
      <c r="BB287" s="140">
        <f t="shared" si="140"/>
        <v>6.3600000000000003E-7</v>
      </c>
      <c r="BC287" s="140">
        <f t="shared" si="141"/>
        <v>9.540000000000001E-7</v>
      </c>
      <c r="BD287" s="140">
        <f t="shared" si="142"/>
        <v>1.2720000000000003E-6</v>
      </c>
      <c r="BE287" s="140">
        <f t="shared" si="143"/>
        <v>1.5900000000000004E-6</v>
      </c>
      <c r="BF287" s="157">
        <f>IF(AY287&lt;$B$89*DATA!$H$1037,DATA!$H$1037,IF(AY287&gt;DATA!$H$1036*$B$89,DATA!$H$1036,1))</f>
        <v>1.2</v>
      </c>
      <c r="BG287" s="156">
        <f t="shared" si="144"/>
        <v>9.9999999999999995E-8</v>
      </c>
      <c r="BI287" s="140">
        <f t="shared" si="145"/>
        <v>3.1800000000000007E-5</v>
      </c>
      <c r="BJ287">
        <v>3.18</v>
      </c>
      <c r="BK287" s="140">
        <f t="shared" si="146"/>
        <v>3.1799999999999996E-7</v>
      </c>
      <c r="BL287" s="140">
        <f t="shared" si="147"/>
        <v>6.3600000000000003E-7</v>
      </c>
      <c r="BM287" s="140">
        <f t="shared" si="148"/>
        <v>9.540000000000001E-7</v>
      </c>
      <c r="BN287" s="140">
        <f t="shared" si="149"/>
        <v>1.2720000000000003E-6</v>
      </c>
      <c r="BO287" s="140">
        <f t="shared" si="150"/>
        <v>1.5900000000000004E-6</v>
      </c>
      <c r="BP287" s="157">
        <f>IF(BI287&lt;$B$105*DATA!$H$1037,DATA!$H$1037,IF(BI287&gt;DATA!$H$1036*$B$105,DATA!$H$1036,1))</f>
        <v>1.2</v>
      </c>
      <c r="BQ287" s="156">
        <f t="shared" si="151"/>
        <v>9.9999999999999995E-8</v>
      </c>
    </row>
    <row r="288" spans="1:69">
      <c r="A288" s="140">
        <f t="shared" si="111"/>
        <v>3.2000000000000005E-5</v>
      </c>
      <c r="B288">
        <v>3.2</v>
      </c>
      <c r="C288" s="140">
        <f t="shared" si="152"/>
        <v>3.1999999999999995E-7</v>
      </c>
      <c r="D288" s="140">
        <f t="shared" si="152"/>
        <v>6.4000000000000001E-7</v>
      </c>
      <c r="E288" s="140">
        <f t="shared" si="152"/>
        <v>9.6000000000000013E-7</v>
      </c>
      <c r="F288" s="140">
        <f t="shared" si="152"/>
        <v>1.2800000000000002E-6</v>
      </c>
      <c r="G288" s="140">
        <f t="shared" si="152"/>
        <v>1.6000000000000004E-6</v>
      </c>
      <c r="H288" s="157">
        <f>IF(A288&lt;$B$9*DATA!$H$1037,DATA!$H$1037,IF(A288&gt;DATA!$H$1036*$B$9,DATA!$H$1036,1))</f>
        <v>0.8</v>
      </c>
      <c r="I288" s="156">
        <f t="shared" si="112"/>
        <v>9.9999999999999995E-8</v>
      </c>
      <c r="K288" s="140">
        <f t="shared" si="113"/>
        <v>3.2000000000000005E-5</v>
      </c>
      <c r="L288">
        <v>3.2</v>
      </c>
      <c r="M288" s="140">
        <f t="shared" si="114"/>
        <v>3.1999999999999995E-7</v>
      </c>
      <c r="N288" s="140">
        <f t="shared" si="115"/>
        <v>6.4000000000000001E-7</v>
      </c>
      <c r="O288" s="140">
        <f t="shared" si="116"/>
        <v>9.6000000000000013E-7</v>
      </c>
      <c r="P288" s="140">
        <f t="shared" si="117"/>
        <v>1.2800000000000002E-6</v>
      </c>
      <c r="Q288" s="140">
        <f t="shared" si="118"/>
        <v>1.6000000000000004E-6</v>
      </c>
      <c r="R288" s="157">
        <f>IF(K288&lt;$B$25*DATA!$H$1037,DATA!$H$1037,IF(K288&gt;DATA!$H$1036*$B$25,DATA!$H$1036,1))</f>
        <v>0.8</v>
      </c>
      <c r="S288" s="156">
        <f t="shared" si="108"/>
        <v>9.9999999999999995E-8</v>
      </c>
      <c r="U288" s="140">
        <f t="shared" si="119"/>
        <v>3.2000000000000005E-5</v>
      </c>
      <c r="V288">
        <v>3.2</v>
      </c>
      <c r="W288" s="140">
        <f t="shared" si="120"/>
        <v>3.1999999999999995E-7</v>
      </c>
      <c r="X288" s="140">
        <f t="shared" si="121"/>
        <v>6.4000000000000001E-7</v>
      </c>
      <c r="Y288" s="140">
        <f t="shared" si="122"/>
        <v>9.6000000000000013E-7</v>
      </c>
      <c r="Z288" s="140">
        <f t="shared" si="123"/>
        <v>1.2800000000000002E-6</v>
      </c>
      <c r="AA288" s="140">
        <f t="shared" si="124"/>
        <v>1.6000000000000004E-6</v>
      </c>
      <c r="AB288" s="157">
        <f>IF(U288&lt;$B$41*DATA!$H$1037,DATA!$H$1037,IF(U288&gt;DATA!$H$1036*$B$41,DATA!$H$1036,1))</f>
        <v>0.8</v>
      </c>
      <c r="AC288" s="156">
        <f t="shared" si="109"/>
        <v>9.9999999999999995E-8</v>
      </c>
      <c r="AE288" s="140">
        <f t="shared" si="125"/>
        <v>3.2000000000000005E-5</v>
      </c>
      <c r="AF288">
        <v>3.2</v>
      </c>
      <c r="AG288" s="140">
        <f t="shared" si="126"/>
        <v>3.1999999999999995E-7</v>
      </c>
      <c r="AH288" s="140">
        <f t="shared" si="127"/>
        <v>6.4000000000000001E-7</v>
      </c>
      <c r="AI288" s="140">
        <f t="shared" si="128"/>
        <v>9.6000000000000013E-7</v>
      </c>
      <c r="AJ288" s="140">
        <f t="shared" si="129"/>
        <v>1.2800000000000002E-6</v>
      </c>
      <c r="AK288" s="140">
        <f t="shared" si="130"/>
        <v>1.6000000000000004E-6</v>
      </c>
      <c r="AL288" s="157">
        <f>IF(AE288&lt;$B$57*DATA!$H$1037,DATA!$H$1037,IF(AE288&gt;DATA!$H$1036*$B$57,DATA!$H$1036,1))</f>
        <v>1.2</v>
      </c>
      <c r="AM288" s="156">
        <f t="shared" si="110"/>
        <v>9.9999999999999995E-8</v>
      </c>
      <c r="AO288" s="140">
        <f t="shared" si="131"/>
        <v>3.2000000000000005E-5</v>
      </c>
      <c r="AP288">
        <v>3.2</v>
      </c>
      <c r="AQ288" s="140">
        <f t="shared" si="132"/>
        <v>3.1999999999999995E-7</v>
      </c>
      <c r="AR288" s="140">
        <f t="shared" si="133"/>
        <v>6.4000000000000001E-7</v>
      </c>
      <c r="AS288" s="140">
        <f t="shared" si="134"/>
        <v>9.6000000000000013E-7</v>
      </c>
      <c r="AT288" s="140">
        <f t="shared" si="135"/>
        <v>1.2800000000000002E-6</v>
      </c>
      <c r="AU288" s="140">
        <f t="shared" si="136"/>
        <v>1.6000000000000004E-6</v>
      </c>
      <c r="AV288" s="157">
        <f>IF(AO288&lt;$B$73*DATA!$H$1037,DATA!$H$1037,IF(AO288&gt;DATA!$H$1036*$B$73,DATA!$H$1036,1))</f>
        <v>1.2</v>
      </c>
      <c r="AW288" s="156">
        <f t="shared" si="137"/>
        <v>9.9999999999999995E-8</v>
      </c>
      <c r="AY288" s="140">
        <f t="shared" si="138"/>
        <v>3.2000000000000005E-5</v>
      </c>
      <c r="AZ288">
        <v>3.2</v>
      </c>
      <c r="BA288" s="140">
        <f t="shared" si="139"/>
        <v>3.1999999999999995E-7</v>
      </c>
      <c r="BB288" s="140">
        <f t="shared" si="140"/>
        <v>6.4000000000000001E-7</v>
      </c>
      <c r="BC288" s="140">
        <f t="shared" si="141"/>
        <v>9.6000000000000013E-7</v>
      </c>
      <c r="BD288" s="140">
        <f t="shared" si="142"/>
        <v>1.2800000000000002E-6</v>
      </c>
      <c r="BE288" s="140">
        <f t="shared" si="143"/>
        <v>1.6000000000000004E-6</v>
      </c>
      <c r="BF288" s="157">
        <f>IF(AY288&lt;$B$89*DATA!$H$1037,DATA!$H$1037,IF(AY288&gt;DATA!$H$1036*$B$89,DATA!$H$1036,1))</f>
        <v>1.2</v>
      </c>
      <c r="BG288" s="156">
        <f t="shared" si="144"/>
        <v>9.9999999999999995E-8</v>
      </c>
      <c r="BI288" s="140">
        <f t="shared" si="145"/>
        <v>3.2000000000000005E-5</v>
      </c>
      <c r="BJ288">
        <v>3.2</v>
      </c>
      <c r="BK288" s="140">
        <f t="shared" si="146"/>
        <v>3.1999999999999995E-7</v>
      </c>
      <c r="BL288" s="140">
        <f t="shared" si="147"/>
        <v>6.4000000000000001E-7</v>
      </c>
      <c r="BM288" s="140">
        <f t="shared" si="148"/>
        <v>9.6000000000000013E-7</v>
      </c>
      <c r="BN288" s="140">
        <f t="shared" si="149"/>
        <v>1.2800000000000002E-6</v>
      </c>
      <c r="BO288" s="140">
        <f t="shared" si="150"/>
        <v>1.6000000000000004E-6</v>
      </c>
      <c r="BP288" s="157">
        <f>IF(BI288&lt;$B$105*DATA!$H$1037,DATA!$H$1037,IF(BI288&gt;DATA!$H$1036*$B$105,DATA!$H$1036,1))</f>
        <v>1.2</v>
      </c>
      <c r="BQ288" s="156">
        <f t="shared" si="151"/>
        <v>9.9999999999999995E-8</v>
      </c>
    </row>
    <row r="289" spans="1:69">
      <c r="A289" s="140">
        <f t="shared" si="111"/>
        <v>3.2200000000000003E-5</v>
      </c>
      <c r="B289">
        <v>3.22</v>
      </c>
      <c r="C289" s="140">
        <f t="shared" si="152"/>
        <v>3.2199999999999995E-7</v>
      </c>
      <c r="D289" s="140">
        <f t="shared" si="152"/>
        <v>6.44E-7</v>
      </c>
      <c r="E289" s="140">
        <f t="shared" si="152"/>
        <v>9.6600000000000015E-7</v>
      </c>
      <c r="F289" s="140">
        <f t="shared" si="152"/>
        <v>1.2880000000000002E-6</v>
      </c>
      <c r="G289" s="140">
        <f t="shared" si="152"/>
        <v>1.6100000000000003E-6</v>
      </c>
      <c r="H289" s="157">
        <f>IF(A289&lt;$B$9*DATA!$H$1037,DATA!$H$1037,IF(A289&gt;DATA!$H$1036*$B$9,DATA!$H$1036,1))</f>
        <v>0.8</v>
      </c>
      <c r="I289" s="156">
        <f t="shared" si="112"/>
        <v>9.9999999999999995E-8</v>
      </c>
      <c r="K289" s="140">
        <f t="shared" si="113"/>
        <v>3.2200000000000003E-5</v>
      </c>
      <c r="L289">
        <v>3.22</v>
      </c>
      <c r="M289" s="140">
        <f t="shared" si="114"/>
        <v>3.2199999999999995E-7</v>
      </c>
      <c r="N289" s="140">
        <f t="shared" si="115"/>
        <v>6.44E-7</v>
      </c>
      <c r="O289" s="140">
        <f t="shared" si="116"/>
        <v>9.6600000000000015E-7</v>
      </c>
      <c r="P289" s="140">
        <f t="shared" si="117"/>
        <v>1.2880000000000002E-6</v>
      </c>
      <c r="Q289" s="140">
        <f t="shared" si="118"/>
        <v>1.6100000000000003E-6</v>
      </c>
      <c r="R289" s="157">
        <f>IF(K289&lt;$B$25*DATA!$H$1037,DATA!$H$1037,IF(K289&gt;DATA!$H$1036*$B$25,DATA!$H$1036,1))</f>
        <v>0.8</v>
      </c>
      <c r="S289" s="156">
        <f t="shared" si="108"/>
        <v>9.9999999999999995E-8</v>
      </c>
      <c r="U289" s="140">
        <f t="shared" si="119"/>
        <v>3.2200000000000003E-5</v>
      </c>
      <c r="V289">
        <v>3.22</v>
      </c>
      <c r="W289" s="140">
        <f t="shared" si="120"/>
        <v>3.2199999999999995E-7</v>
      </c>
      <c r="X289" s="140">
        <f t="shared" si="121"/>
        <v>6.44E-7</v>
      </c>
      <c r="Y289" s="140">
        <f t="shared" si="122"/>
        <v>9.6600000000000015E-7</v>
      </c>
      <c r="Z289" s="140">
        <f t="shared" si="123"/>
        <v>1.2880000000000002E-6</v>
      </c>
      <c r="AA289" s="140">
        <f t="shared" si="124"/>
        <v>1.6100000000000003E-6</v>
      </c>
      <c r="AB289" s="157">
        <f>IF(U289&lt;$B$41*DATA!$H$1037,DATA!$H$1037,IF(U289&gt;DATA!$H$1036*$B$41,DATA!$H$1036,1))</f>
        <v>0.8</v>
      </c>
      <c r="AC289" s="156">
        <f t="shared" si="109"/>
        <v>9.9999999999999995E-8</v>
      </c>
      <c r="AE289" s="140">
        <f t="shared" si="125"/>
        <v>3.2200000000000003E-5</v>
      </c>
      <c r="AF289">
        <v>3.22</v>
      </c>
      <c r="AG289" s="140">
        <f t="shared" si="126"/>
        <v>3.2199999999999995E-7</v>
      </c>
      <c r="AH289" s="140">
        <f t="shared" si="127"/>
        <v>6.44E-7</v>
      </c>
      <c r="AI289" s="140">
        <f t="shared" si="128"/>
        <v>9.6600000000000015E-7</v>
      </c>
      <c r="AJ289" s="140">
        <f t="shared" si="129"/>
        <v>1.2880000000000002E-6</v>
      </c>
      <c r="AK289" s="140">
        <f t="shared" si="130"/>
        <v>1.6100000000000003E-6</v>
      </c>
      <c r="AL289" s="157">
        <f>IF(AE289&lt;$B$57*DATA!$H$1037,DATA!$H$1037,IF(AE289&gt;DATA!$H$1036*$B$57,DATA!$H$1036,1))</f>
        <v>1.2</v>
      </c>
      <c r="AM289" s="156">
        <f t="shared" si="110"/>
        <v>9.9999999999999995E-8</v>
      </c>
      <c r="AO289" s="140">
        <f t="shared" si="131"/>
        <v>3.2200000000000003E-5</v>
      </c>
      <c r="AP289">
        <v>3.22</v>
      </c>
      <c r="AQ289" s="140">
        <f t="shared" si="132"/>
        <v>3.2199999999999995E-7</v>
      </c>
      <c r="AR289" s="140">
        <f t="shared" si="133"/>
        <v>6.44E-7</v>
      </c>
      <c r="AS289" s="140">
        <f t="shared" si="134"/>
        <v>9.6600000000000015E-7</v>
      </c>
      <c r="AT289" s="140">
        <f t="shared" si="135"/>
        <v>1.2880000000000002E-6</v>
      </c>
      <c r="AU289" s="140">
        <f t="shared" si="136"/>
        <v>1.6100000000000003E-6</v>
      </c>
      <c r="AV289" s="157">
        <f>IF(AO289&lt;$B$73*DATA!$H$1037,DATA!$H$1037,IF(AO289&gt;DATA!$H$1036*$B$73,DATA!$H$1036,1))</f>
        <v>1.2</v>
      </c>
      <c r="AW289" s="156">
        <f t="shared" si="137"/>
        <v>9.9999999999999995E-8</v>
      </c>
      <c r="AY289" s="140">
        <f t="shared" si="138"/>
        <v>3.2200000000000003E-5</v>
      </c>
      <c r="AZ289">
        <v>3.22</v>
      </c>
      <c r="BA289" s="140">
        <f t="shared" si="139"/>
        <v>3.2199999999999995E-7</v>
      </c>
      <c r="BB289" s="140">
        <f t="shared" si="140"/>
        <v>6.44E-7</v>
      </c>
      <c r="BC289" s="140">
        <f t="shared" si="141"/>
        <v>9.6600000000000015E-7</v>
      </c>
      <c r="BD289" s="140">
        <f t="shared" si="142"/>
        <v>1.2880000000000002E-6</v>
      </c>
      <c r="BE289" s="140">
        <f t="shared" si="143"/>
        <v>1.6100000000000003E-6</v>
      </c>
      <c r="BF289" s="157">
        <f>IF(AY289&lt;$B$89*DATA!$H$1037,DATA!$H$1037,IF(AY289&gt;DATA!$H$1036*$B$89,DATA!$H$1036,1))</f>
        <v>1.2</v>
      </c>
      <c r="BG289" s="156">
        <f t="shared" si="144"/>
        <v>9.9999999999999995E-8</v>
      </c>
      <c r="BI289" s="140">
        <f t="shared" si="145"/>
        <v>3.2200000000000003E-5</v>
      </c>
      <c r="BJ289">
        <v>3.22</v>
      </c>
      <c r="BK289" s="140">
        <f t="shared" si="146"/>
        <v>3.2199999999999995E-7</v>
      </c>
      <c r="BL289" s="140">
        <f t="shared" si="147"/>
        <v>6.44E-7</v>
      </c>
      <c r="BM289" s="140">
        <f t="shared" si="148"/>
        <v>9.6600000000000015E-7</v>
      </c>
      <c r="BN289" s="140">
        <f t="shared" si="149"/>
        <v>1.2880000000000002E-6</v>
      </c>
      <c r="BO289" s="140">
        <f t="shared" si="150"/>
        <v>1.6100000000000003E-6</v>
      </c>
      <c r="BP289" s="157">
        <f>IF(BI289&lt;$B$105*DATA!$H$1037,DATA!$H$1037,IF(BI289&gt;DATA!$H$1036*$B$105,DATA!$H$1036,1))</f>
        <v>1.2</v>
      </c>
      <c r="BQ289" s="156">
        <f t="shared" si="151"/>
        <v>9.9999999999999995E-8</v>
      </c>
    </row>
    <row r="290" spans="1:69">
      <c r="A290" s="140">
        <f t="shared" si="111"/>
        <v>3.2400000000000001E-5</v>
      </c>
      <c r="B290">
        <v>3.24</v>
      </c>
      <c r="C290" s="140">
        <f t="shared" si="152"/>
        <v>3.2399999999999988E-7</v>
      </c>
      <c r="D290" s="140">
        <f t="shared" si="152"/>
        <v>6.4799999999999998E-7</v>
      </c>
      <c r="E290" s="140">
        <f t="shared" si="152"/>
        <v>9.7199999999999997E-7</v>
      </c>
      <c r="F290" s="140">
        <f t="shared" si="152"/>
        <v>1.2960000000000002E-6</v>
      </c>
      <c r="G290" s="140">
        <f t="shared" si="152"/>
        <v>1.6200000000000002E-6</v>
      </c>
      <c r="H290" s="157">
        <f>IF(A290&lt;$B$9*DATA!$H$1037,DATA!$H$1037,IF(A290&gt;DATA!$H$1036*$B$9,DATA!$H$1036,1))</f>
        <v>0.8</v>
      </c>
      <c r="I290" s="156">
        <f t="shared" si="112"/>
        <v>9.9999999999999995E-8</v>
      </c>
      <c r="K290" s="140">
        <f t="shared" si="113"/>
        <v>3.2400000000000001E-5</v>
      </c>
      <c r="L290">
        <v>3.24</v>
      </c>
      <c r="M290" s="140">
        <f t="shared" si="114"/>
        <v>3.2399999999999988E-7</v>
      </c>
      <c r="N290" s="140">
        <f t="shared" si="115"/>
        <v>6.4799999999999998E-7</v>
      </c>
      <c r="O290" s="140">
        <f t="shared" si="116"/>
        <v>9.7199999999999997E-7</v>
      </c>
      <c r="P290" s="140">
        <f t="shared" si="117"/>
        <v>1.2960000000000002E-6</v>
      </c>
      <c r="Q290" s="140">
        <f t="shared" si="118"/>
        <v>1.6200000000000002E-6</v>
      </c>
      <c r="R290" s="157">
        <f>IF(K290&lt;$B$25*DATA!$H$1037,DATA!$H$1037,IF(K290&gt;DATA!$H$1036*$B$25,DATA!$H$1036,1))</f>
        <v>0.8</v>
      </c>
      <c r="S290" s="156">
        <f t="shared" si="108"/>
        <v>9.9999999999999995E-8</v>
      </c>
      <c r="U290" s="140">
        <f t="shared" si="119"/>
        <v>3.2400000000000001E-5</v>
      </c>
      <c r="V290">
        <v>3.24</v>
      </c>
      <c r="W290" s="140">
        <f t="shared" si="120"/>
        <v>3.2399999999999988E-7</v>
      </c>
      <c r="X290" s="140">
        <f t="shared" si="121"/>
        <v>6.4799999999999998E-7</v>
      </c>
      <c r="Y290" s="140">
        <f t="shared" si="122"/>
        <v>9.7199999999999997E-7</v>
      </c>
      <c r="Z290" s="140">
        <f t="shared" si="123"/>
        <v>1.2960000000000002E-6</v>
      </c>
      <c r="AA290" s="140">
        <f t="shared" si="124"/>
        <v>1.6200000000000002E-6</v>
      </c>
      <c r="AB290" s="157">
        <f>IF(U290&lt;$B$41*DATA!$H$1037,DATA!$H$1037,IF(U290&gt;DATA!$H$1036*$B$41,DATA!$H$1036,1))</f>
        <v>0.8</v>
      </c>
      <c r="AC290" s="156">
        <f t="shared" si="109"/>
        <v>9.9999999999999995E-8</v>
      </c>
      <c r="AE290" s="140">
        <f t="shared" si="125"/>
        <v>3.2400000000000001E-5</v>
      </c>
      <c r="AF290">
        <v>3.24</v>
      </c>
      <c r="AG290" s="140">
        <f t="shared" si="126"/>
        <v>3.2399999999999988E-7</v>
      </c>
      <c r="AH290" s="140">
        <f t="shared" si="127"/>
        <v>6.4799999999999998E-7</v>
      </c>
      <c r="AI290" s="140">
        <f t="shared" si="128"/>
        <v>9.7199999999999997E-7</v>
      </c>
      <c r="AJ290" s="140">
        <f t="shared" si="129"/>
        <v>1.2960000000000002E-6</v>
      </c>
      <c r="AK290" s="140">
        <f t="shared" si="130"/>
        <v>1.6200000000000002E-6</v>
      </c>
      <c r="AL290" s="157">
        <f>IF(AE290&lt;$B$57*DATA!$H$1037,DATA!$H$1037,IF(AE290&gt;DATA!$H$1036*$B$57,DATA!$H$1036,1))</f>
        <v>1.2</v>
      </c>
      <c r="AM290" s="156">
        <f t="shared" si="110"/>
        <v>9.9999999999999995E-8</v>
      </c>
      <c r="AO290" s="140">
        <f t="shared" si="131"/>
        <v>3.2400000000000001E-5</v>
      </c>
      <c r="AP290">
        <v>3.24</v>
      </c>
      <c r="AQ290" s="140">
        <f t="shared" si="132"/>
        <v>3.2399999999999988E-7</v>
      </c>
      <c r="AR290" s="140">
        <f t="shared" si="133"/>
        <v>6.4799999999999998E-7</v>
      </c>
      <c r="AS290" s="140">
        <f t="shared" si="134"/>
        <v>9.7199999999999997E-7</v>
      </c>
      <c r="AT290" s="140">
        <f t="shared" si="135"/>
        <v>1.2960000000000002E-6</v>
      </c>
      <c r="AU290" s="140">
        <f t="shared" si="136"/>
        <v>1.6200000000000002E-6</v>
      </c>
      <c r="AV290" s="157">
        <f>IF(AO290&lt;$B$73*DATA!$H$1037,DATA!$H$1037,IF(AO290&gt;DATA!$H$1036*$B$73,DATA!$H$1036,1))</f>
        <v>1.2</v>
      </c>
      <c r="AW290" s="156">
        <f t="shared" si="137"/>
        <v>9.9999999999999995E-8</v>
      </c>
      <c r="AY290" s="140">
        <f t="shared" si="138"/>
        <v>3.2400000000000001E-5</v>
      </c>
      <c r="AZ290">
        <v>3.24</v>
      </c>
      <c r="BA290" s="140">
        <f t="shared" si="139"/>
        <v>3.2399999999999988E-7</v>
      </c>
      <c r="BB290" s="140">
        <f t="shared" si="140"/>
        <v>6.4799999999999998E-7</v>
      </c>
      <c r="BC290" s="140">
        <f t="shared" si="141"/>
        <v>9.7199999999999997E-7</v>
      </c>
      <c r="BD290" s="140">
        <f t="shared" si="142"/>
        <v>1.2960000000000002E-6</v>
      </c>
      <c r="BE290" s="140">
        <f t="shared" si="143"/>
        <v>1.6200000000000002E-6</v>
      </c>
      <c r="BF290" s="157">
        <f>IF(AY290&lt;$B$89*DATA!$H$1037,DATA!$H$1037,IF(AY290&gt;DATA!$H$1036*$B$89,DATA!$H$1036,1))</f>
        <v>1.2</v>
      </c>
      <c r="BG290" s="156">
        <f t="shared" si="144"/>
        <v>9.9999999999999995E-8</v>
      </c>
      <c r="BI290" s="140">
        <f t="shared" si="145"/>
        <v>3.2400000000000001E-5</v>
      </c>
      <c r="BJ290">
        <v>3.24</v>
      </c>
      <c r="BK290" s="140">
        <f t="shared" si="146"/>
        <v>3.2399999999999988E-7</v>
      </c>
      <c r="BL290" s="140">
        <f t="shared" si="147"/>
        <v>6.4799999999999998E-7</v>
      </c>
      <c r="BM290" s="140">
        <f t="shared" si="148"/>
        <v>9.7199999999999997E-7</v>
      </c>
      <c r="BN290" s="140">
        <f t="shared" si="149"/>
        <v>1.2960000000000002E-6</v>
      </c>
      <c r="BO290" s="140">
        <f t="shared" si="150"/>
        <v>1.6200000000000002E-6</v>
      </c>
      <c r="BP290" s="157">
        <f>IF(BI290&lt;$B$105*DATA!$H$1037,DATA!$H$1037,IF(BI290&gt;DATA!$H$1036*$B$105,DATA!$H$1036,1))</f>
        <v>1.2</v>
      </c>
      <c r="BQ290" s="156">
        <f t="shared" si="151"/>
        <v>9.9999999999999995E-8</v>
      </c>
    </row>
    <row r="291" spans="1:69">
      <c r="A291" s="140">
        <f t="shared" si="111"/>
        <v>3.26E-5</v>
      </c>
      <c r="B291">
        <v>3.26</v>
      </c>
      <c r="C291" s="140">
        <f t="shared" si="152"/>
        <v>3.2599999999999988E-7</v>
      </c>
      <c r="D291" s="140">
        <f t="shared" si="152"/>
        <v>6.5199999999999986E-7</v>
      </c>
      <c r="E291" s="140">
        <f t="shared" si="152"/>
        <v>9.78E-7</v>
      </c>
      <c r="F291" s="140">
        <f t="shared" si="152"/>
        <v>1.3039999999999999E-6</v>
      </c>
      <c r="G291" s="140">
        <f t="shared" si="152"/>
        <v>1.6300000000000001E-6</v>
      </c>
      <c r="H291" s="157">
        <f>IF(A291&lt;$B$9*DATA!$H$1037,DATA!$H$1037,IF(A291&gt;DATA!$H$1036*$B$9,DATA!$H$1036,1))</f>
        <v>0.8</v>
      </c>
      <c r="I291" s="156">
        <f t="shared" si="112"/>
        <v>9.9999999999999995E-8</v>
      </c>
      <c r="K291" s="140">
        <f t="shared" si="113"/>
        <v>3.26E-5</v>
      </c>
      <c r="L291">
        <v>3.26</v>
      </c>
      <c r="M291" s="140">
        <f t="shared" si="114"/>
        <v>3.2599999999999988E-7</v>
      </c>
      <c r="N291" s="140">
        <f t="shared" si="115"/>
        <v>6.5199999999999986E-7</v>
      </c>
      <c r="O291" s="140">
        <f t="shared" si="116"/>
        <v>9.78E-7</v>
      </c>
      <c r="P291" s="140">
        <f t="shared" si="117"/>
        <v>1.3039999999999999E-6</v>
      </c>
      <c r="Q291" s="140">
        <f t="shared" si="118"/>
        <v>1.6300000000000001E-6</v>
      </c>
      <c r="R291" s="157">
        <f>IF(K291&lt;$B$25*DATA!$H$1037,DATA!$H$1037,IF(K291&gt;DATA!$H$1036*$B$25,DATA!$H$1036,1))</f>
        <v>0.8</v>
      </c>
      <c r="S291" s="156">
        <f t="shared" si="108"/>
        <v>9.9999999999999995E-8</v>
      </c>
      <c r="U291" s="140">
        <f t="shared" si="119"/>
        <v>3.26E-5</v>
      </c>
      <c r="V291">
        <v>3.26</v>
      </c>
      <c r="W291" s="140">
        <f t="shared" si="120"/>
        <v>3.2599999999999988E-7</v>
      </c>
      <c r="X291" s="140">
        <f t="shared" si="121"/>
        <v>6.5199999999999986E-7</v>
      </c>
      <c r="Y291" s="140">
        <f t="shared" si="122"/>
        <v>9.78E-7</v>
      </c>
      <c r="Z291" s="140">
        <f t="shared" si="123"/>
        <v>1.3039999999999999E-6</v>
      </c>
      <c r="AA291" s="140">
        <f t="shared" si="124"/>
        <v>1.6300000000000001E-6</v>
      </c>
      <c r="AB291" s="157">
        <f>IF(U291&lt;$B$41*DATA!$H$1037,DATA!$H$1037,IF(U291&gt;DATA!$H$1036*$B$41,DATA!$H$1036,1))</f>
        <v>0.8</v>
      </c>
      <c r="AC291" s="156">
        <f t="shared" si="109"/>
        <v>9.9999999999999995E-8</v>
      </c>
      <c r="AE291" s="140">
        <f t="shared" si="125"/>
        <v>3.26E-5</v>
      </c>
      <c r="AF291">
        <v>3.26</v>
      </c>
      <c r="AG291" s="140">
        <f t="shared" si="126"/>
        <v>3.2599999999999988E-7</v>
      </c>
      <c r="AH291" s="140">
        <f t="shared" si="127"/>
        <v>6.5199999999999986E-7</v>
      </c>
      <c r="AI291" s="140">
        <f t="shared" si="128"/>
        <v>9.78E-7</v>
      </c>
      <c r="AJ291" s="140">
        <f t="shared" si="129"/>
        <v>1.3039999999999999E-6</v>
      </c>
      <c r="AK291" s="140">
        <f t="shared" si="130"/>
        <v>1.6300000000000001E-6</v>
      </c>
      <c r="AL291" s="157">
        <f>IF(AE291&lt;$B$57*DATA!$H$1037,DATA!$H$1037,IF(AE291&gt;DATA!$H$1036*$B$57,DATA!$H$1036,1))</f>
        <v>1.2</v>
      </c>
      <c r="AM291" s="156">
        <f t="shared" si="110"/>
        <v>9.9999999999999995E-8</v>
      </c>
      <c r="AO291" s="140">
        <f t="shared" si="131"/>
        <v>3.26E-5</v>
      </c>
      <c r="AP291">
        <v>3.26</v>
      </c>
      <c r="AQ291" s="140">
        <f t="shared" si="132"/>
        <v>3.2599999999999988E-7</v>
      </c>
      <c r="AR291" s="140">
        <f t="shared" si="133"/>
        <v>6.5199999999999986E-7</v>
      </c>
      <c r="AS291" s="140">
        <f t="shared" si="134"/>
        <v>9.78E-7</v>
      </c>
      <c r="AT291" s="140">
        <f t="shared" si="135"/>
        <v>1.3039999999999999E-6</v>
      </c>
      <c r="AU291" s="140">
        <f t="shared" si="136"/>
        <v>1.6300000000000001E-6</v>
      </c>
      <c r="AV291" s="157">
        <f>IF(AO291&lt;$B$73*DATA!$H$1037,DATA!$H$1037,IF(AO291&gt;DATA!$H$1036*$B$73,DATA!$H$1036,1))</f>
        <v>1.2</v>
      </c>
      <c r="AW291" s="156">
        <f t="shared" si="137"/>
        <v>9.9999999999999995E-8</v>
      </c>
      <c r="AY291" s="140">
        <f t="shared" si="138"/>
        <v>3.26E-5</v>
      </c>
      <c r="AZ291">
        <v>3.26</v>
      </c>
      <c r="BA291" s="140">
        <f t="shared" si="139"/>
        <v>3.2599999999999988E-7</v>
      </c>
      <c r="BB291" s="140">
        <f t="shared" si="140"/>
        <v>6.5199999999999986E-7</v>
      </c>
      <c r="BC291" s="140">
        <f t="shared" si="141"/>
        <v>9.78E-7</v>
      </c>
      <c r="BD291" s="140">
        <f t="shared" si="142"/>
        <v>1.3039999999999999E-6</v>
      </c>
      <c r="BE291" s="140">
        <f t="shared" si="143"/>
        <v>1.6300000000000001E-6</v>
      </c>
      <c r="BF291" s="157">
        <f>IF(AY291&lt;$B$89*DATA!$H$1037,DATA!$H$1037,IF(AY291&gt;DATA!$H$1036*$B$89,DATA!$H$1036,1))</f>
        <v>1.2</v>
      </c>
      <c r="BG291" s="156">
        <f t="shared" si="144"/>
        <v>9.9999999999999995E-8</v>
      </c>
      <c r="BI291" s="140">
        <f t="shared" si="145"/>
        <v>3.26E-5</v>
      </c>
      <c r="BJ291">
        <v>3.26</v>
      </c>
      <c r="BK291" s="140">
        <f t="shared" si="146"/>
        <v>3.2599999999999988E-7</v>
      </c>
      <c r="BL291" s="140">
        <f t="shared" si="147"/>
        <v>6.5199999999999986E-7</v>
      </c>
      <c r="BM291" s="140">
        <f t="shared" si="148"/>
        <v>9.78E-7</v>
      </c>
      <c r="BN291" s="140">
        <f t="shared" si="149"/>
        <v>1.3039999999999999E-6</v>
      </c>
      <c r="BO291" s="140">
        <f t="shared" si="150"/>
        <v>1.6300000000000001E-6</v>
      </c>
      <c r="BP291" s="157">
        <f>IF(BI291&lt;$B$105*DATA!$H$1037,DATA!$H$1037,IF(BI291&gt;DATA!$H$1036*$B$105,DATA!$H$1036,1))</f>
        <v>1.2</v>
      </c>
      <c r="BQ291" s="156">
        <f t="shared" si="151"/>
        <v>9.9999999999999995E-8</v>
      </c>
    </row>
    <row r="292" spans="1:69">
      <c r="A292" s="140">
        <f t="shared" si="111"/>
        <v>3.2799999999999998E-5</v>
      </c>
      <c r="B292">
        <v>3.28</v>
      </c>
      <c r="C292" s="140">
        <f t="shared" si="152"/>
        <v>3.2799999999999987E-7</v>
      </c>
      <c r="D292" s="140">
        <f t="shared" si="152"/>
        <v>6.5599999999999984E-7</v>
      </c>
      <c r="E292" s="140">
        <f t="shared" si="152"/>
        <v>9.8399999999999981E-7</v>
      </c>
      <c r="F292" s="140">
        <f t="shared" si="152"/>
        <v>1.3119999999999999E-6</v>
      </c>
      <c r="G292" s="140">
        <f t="shared" si="152"/>
        <v>1.64E-6</v>
      </c>
      <c r="H292" s="157">
        <f>IF(A292&lt;$B$9*DATA!$H$1037,DATA!$H$1037,IF(A292&gt;DATA!$H$1036*$B$9,DATA!$H$1036,1))</f>
        <v>0.8</v>
      </c>
      <c r="I292" s="156">
        <f t="shared" si="112"/>
        <v>9.9999999999999995E-8</v>
      </c>
      <c r="K292" s="140">
        <f t="shared" si="113"/>
        <v>3.2799999999999998E-5</v>
      </c>
      <c r="L292">
        <v>3.28</v>
      </c>
      <c r="M292" s="140">
        <f t="shared" si="114"/>
        <v>3.2799999999999987E-7</v>
      </c>
      <c r="N292" s="140">
        <f t="shared" si="115"/>
        <v>6.5599999999999984E-7</v>
      </c>
      <c r="O292" s="140">
        <f t="shared" si="116"/>
        <v>9.8399999999999981E-7</v>
      </c>
      <c r="P292" s="140">
        <f t="shared" si="117"/>
        <v>1.3119999999999999E-6</v>
      </c>
      <c r="Q292" s="140">
        <f t="shared" si="118"/>
        <v>1.64E-6</v>
      </c>
      <c r="R292" s="157">
        <f>IF(K292&lt;$B$25*DATA!$H$1037,DATA!$H$1037,IF(K292&gt;DATA!$H$1036*$B$25,DATA!$H$1036,1))</f>
        <v>0.8</v>
      </c>
      <c r="S292" s="156">
        <f t="shared" si="108"/>
        <v>9.9999999999999995E-8</v>
      </c>
      <c r="U292" s="140">
        <f t="shared" si="119"/>
        <v>3.2799999999999998E-5</v>
      </c>
      <c r="V292">
        <v>3.28</v>
      </c>
      <c r="W292" s="140">
        <f t="shared" si="120"/>
        <v>3.2799999999999987E-7</v>
      </c>
      <c r="X292" s="140">
        <f t="shared" si="121"/>
        <v>6.5599999999999984E-7</v>
      </c>
      <c r="Y292" s="140">
        <f t="shared" si="122"/>
        <v>9.8399999999999981E-7</v>
      </c>
      <c r="Z292" s="140">
        <f t="shared" si="123"/>
        <v>1.3119999999999999E-6</v>
      </c>
      <c r="AA292" s="140">
        <f t="shared" si="124"/>
        <v>1.64E-6</v>
      </c>
      <c r="AB292" s="157">
        <f>IF(U292&lt;$B$41*DATA!$H$1037,DATA!$H$1037,IF(U292&gt;DATA!$H$1036*$B$41,DATA!$H$1036,1))</f>
        <v>0.8</v>
      </c>
      <c r="AC292" s="156">
        <f t="shared" si="109"/>
        <v>9.9999999999999995E-8</v>
      </c>
      <c r="AE292" s="140">
        <f t="shared" si="125"/>
        <v>3.2799999999999998E-5</v>
      </c>
      <c r="AF292">
        <v>3.28</v>
      </c>
      <c r="AG292" s="140">
        <f t="shared" si="126"/>
        <v>3.2799999999999987E-7</v>
      </c>
      <c r="AH292" s="140">
        <f t="shared" si="127"/>
        <v>6.5599999999999984E-7</v>
      </c>
      <c r="AI292" s="140">
        <f t="shared" si="128"/>
        <v>9.8399999999999981E-7</v>
      </c>
      <c r="AJ292" s="140">
        <f t="shared" si="129"/>
        <v>1.3119999999999999E-6</v>
      </c>
      <c r="AK292" s="140">
        <f t="shared" si="130"/>
        <v>1.64E-6</v>
      </c>
      <c r="AL292" s="157">
        <f>IF(AE292&lt;$B$57*DATA!$H$1037,DATA!$H$1037,IF(AE292&gt;DATA!$H$1036*$B$57,DATA!$H$1036,1))</f>
        <v>1.2</v>
      </c>
      <c r="AM292" s="156">
        <f t="shared" si="110"/>
        <v>9.9999999999999995E-8</v>
      </c>
      <c r="AO292" s="140">
        <f t="shared" si="131"/>
        <v>3.2799999999999998E-5</v>
      </c>
      <c r="AP292">
        <v>3.28</v>
      </c>
      <c r="AQ292" s="140">
        <f t="shared" si="132"/>
        <v>3.2799999999999987E-7</v>
      </c>
      <c r="AR292" s="140">
        <f t="shared" si="133"/>
        <v>6.5599999999999984E-7</v>
      </c>
      <c r="AS292" s="140">
        <f t="shared" si="134"/>
        <v>9.8399999999999981E-7</v>
      </c>
      <c r="AT292" s="140">
        <f t="shared" si="135"/>
        <v>1.3119999999999999E-6</v>
      </c>
      <c r="AU292" s="140">
        <f t="shared" si="136"/>
        <v>1.64E-6</v>
      </c>
      <c r="AV292" s="157">
        <f>IF(AO292&lt;$B$73*DATA!$H$1037,DATA!$H$1037,IF(AO292&gt;DATA!$H$1036*$B$73,DATA!$H$1036,1))</f>
        <v>1.2</v>
      </c>
      <c r="AW292" s="156">
        <f t="shared" si="137"/>
        <v>9.9999999999999995E-8</v>
      </c>
      <c r="AY292" s="140">
        <f t="shared" si="138"/>
        <v>3.2799999999999998E-5</v>
      </c>
      <c r="AZ292">
        <v>3.28</v>
      </c>
      <c r="BA292" s="140">
        <f t="shared" si="139"/>
        <v>3.2799999999999987E-7</v>
      </c>
      <c r="BB292" s="140">
        <f t="shared" si="140"/>
        <v>6.5599999999999984E-7</v>
      </c>
      <c r="BC292" s="140">
        <f t="shared" si="141"/>
        <v>9.8399999999999981E-7</v>
      </c>
      <c r="BD292" s="140">
        <f t="shared" si="142"/>
        <v>1.3119999999999999E-6</v>
      </c>
      <c r="BE292" s="140">
        <f t="shared" si="143"/>
        <v>1.64E-6</v>
      </c>
      <c r="BF292" s="157">
        <f>IF(AY292&lt;$B$89*DATA!$H$1037,DATA!$H$1037,IF(AY292&gt;DATA!$H$1036*$B$89,DATA!$H$1036,1))</f>
        <v>1.2</v>
      </c>
      <c r="BG292" s="156">
        <f t="shared" si="144"/>
        <v>9.9999999999999995E-8</v>
      </c>
      <c r="BI292" s="140">
        <f t="shared" si="145"/>
        <v>3.2799999999999998E-5</v>
      </c>
      <c r="BJ292">
        <v>3.28</v>
      </c>
      <c r="BK292" s="140">
        <f t="shared" si="146"/>
        <v>3.2799999999999987E-7</v>
      </c>
      <c r="BL292" s="140">
        <f t="shared" si="147"/>
        <v>6.5599999999999984E-7</v>
      </c>
      <c r="BM292" s="140">
        <f t="shared" si="148"/>
        <v>9.8399999999999981E-7</v>
      </c>
      <c r="BN292" s="140">
        <f t="shared" si="149"/>
        <v>1.3119999999999999E-6</v>
      </c>
      <c r="BO292" s="140">
        <f t="shared" si="150"/>
        <v>1.64E-6</v>
      </c>
      <c r="BP292" s="157">
        <f>IF(BI292&lt;$B$105*DATA!$H$1037,DATA!$H$1037,IF(BI292&gt;DATA!$H$1036*$B$105,DATA!$H$1036,1))</f>
        <v>1.2</v>
      </c>
      <c r="BQ292" s="156">
        <f t="shared" si="151"/>
        <v>9.9999999999999995E-8</v>
      </c>
    </row>
    <row r="293" spans="1:69">
      <c r="A293" s="140">
        <f t="shared" si="111"/>
        <v>3.3000000000000003E-5</v>
      </c>
      <c r="B293">
        <v>3.3</v>
      </c>
      <c r="C293" s="140">
        <f t="shared" si="152"/>
        <v>3.2999999999999991E-7</v>
      </c>
      <c r="D293" s="140">
        <f t="shared" si="152"/>
        <v>6.5999999999999993E-7</v>
      </c>
      <c r="E293" s="140">
        <f t="shared" si="152"/>
        <v>9.9000000000000005E-7</v>
      </c>
      <c r="F293" s="140">
        <f t="shared" si="152"/>
        <v>1.3200000000000001E-6</v>
      </c>
      <c r="G293" s="140">
        <f t="shared" si="152"/>
        <v>1.6500000000000003E-6</v>
      </c>
      <c r="H293" s="157">
        <f>IF(A293&lt;$B$9*DATA!$H$1037,DATA!$H$1037,IF(A293&gt;DATA!$H$1036*$B$9,DATA!$H$1036,1))</f>
        <v>0.8</v>
      </c>
      <c r="I293" s="156">
        <f t="shared" si="112"/>
        <v>9.9999999999999995E-8</v>
      </c>
      <c r="K293" s="140">
        <f t="shared" si="113"/>
        <v>3.3000000000000003E-5</v>
      </c>
      <c r="L293">
        <v>3.3</v>
      </c>
      <c r="M293" s="140">
        <f t="shared" si="114"/>
        <v>3.2999999999999991E-7</v>
      </c>
      <c r="N293" s="140">
        <f t="shared" si="115"/>
        <v>6.5999999999999993E-7</v>
      </c>
      <c r="O293" s="140">
        <f t="shared" si="116"/>
        <v>9.9000000000000005E-7</v>
      </c>
      <c r="P293" s="140">
        <f t="shared" si="117"/>
        <v>1.3200000000000001E-6</v>
      </c>
      <c r="Q293" s="140">
        <f t="shared" si="118"/>
        <v>1.6500000000000003E-6</v>
      </c>
      <c r="R293" s="157">
        <f>IF(K293&lt;$B$25*DATA!$H$1037,DATA!$H$1037,IF(K293&gt;DATA!$H$1036*$B$25,DATA!$H$1036,1))</f>
        <v>0.8</v>
      </c>
      <c r="S293" s="156">
        <f t="shared" si="108"/>
        <v>9.9999999999999995E-8</v>
      </c>
      <c r="U293" s="140">
        <f t="shared" si="119"/>
        <v>3.3000000000000003E-5</v>
      </c>
      <c r="V293">
        <v>3.3</v>
      </c>
      <c r="W293" s="140">
        <f t="shared" si="120"/>
        <v>3.2999999999999991E-7</v>
      </c>
      <c r="X293" s="140">
        <f t="shared" si="121"/>
        <v>6.5999999999999993E-7</v>
      </c>
      <c r="Y293" s="140">
        <f t="shared" si="122"/>
        <v>9.9000000000000005E-7</v>
      </c>
      <c r="Z293" s="140">
        <f t="shared" si="123"/>
        <v>1.3200000000000001E-6</v>
      </c>
      <c r="AA293" s="140">
        <f t="shared" si="124"/>
        <v>1.6500000000000003E-6</v>
      </c>
      <c r="AB293" s="157">
        <f>IF(U293&lt;$B$41*DATA!$H$1037,DATA!$H$1037,IF(U293&gt;DATA!$H$1036*$B$41,DATA!$H$1036,1))</f>
        <v>0.8</v>
      </c>
      <c r="AC293" s="156">
        <f t="shared" si="109"/>
        <v>9.9999999999999995E-8</v>
      </c>
      <c r="AE293" s="140">
        <f t="shared" si="125"/>
        <v>3.3000000000000003E-5</v>
      </c>
      <c r="AF293">
        <v>3.3</v>
      </c>
      <c r="AG293" s="140">
        <f t="shared" si="126"/>
        <v>3.2999999999999991E-7</v>
      </c>
      <c r="AH293" s="140">
        <f t="shared" si="127"/>
        <v>6.5999999999999993E-7</v>
      </c>
      <c r="AI293" s="140">
        <f t="shared" si="128"/>
        <v>9.9000000000000005E-7</v>
      </c>
      <c r="AJ293" s="140">
        <f t="shared" si="129"/>
        <v>1.3200000000000001E-6</v>
      </c>
      <c r="AK293" s="140">
        <f t="shared" si="130"/>
        <v>1.6500000000000003E-6</v>
      </c>
      <c r="AL293" s="157">
        <f>IF(AE293&lt;$B$57*DATA!$H$1037,DATA!$H$1037,IF(AE293&gt;DATA!$H$1036*$B$57,DATA!$H$1036,1))</f>
        <v>1.2</v>
      </c>
      <c r="AM293" s="156">
        <f t="shared" si="110"/>
        <v>9.9999999999999995E-8</v>
      </c>
      <c r="AO293" s="140">
        <f t="shared" si="131"/>
        <v>3.3000000000000003E-5</v>
      </c>
      <c r="AP293">
        <v>3.3</v>
      </c>
      <c r="AQ293" s="140">
        <f t="shared" si="132"/>
        <v>3.2999999999999991E-7</v>
      </c>
      <c r="AR293" s="140">
        <f t="shared" si="133"/>
        <v>6.5999999999999993E-7</v>
      </c>
      <c r="AS293" s="140">
        <f t="shared" si="134"/>
        <v>9.9000000000000005E-7</v>
      </c>
      <c r="AT293" s="140">
        <f t="shared" si="135"/>
        <v>1.3200000000000001E-6</v>
      </c>
      <c r="AU293" s="140">
        <f t="shared" si="136"/>
        <v>1.6500000000000003E-6</v>
      </c>
      <c r="AV293" s="157">
        <f>IF(AO293&lt;$B$73*DATA!$H$1037,DATA!$H$1037,IF(AO293&gt;DATA!$H$1036*$B$73,DATA!$H$1036,1))</f>
        <v>1.2</v>
      </c>
      <c r="AW293" s="156">
        <f t="shared" si="137"/>
        <v>9.9999999999999995E-8</v>
      </c>
      <c r="AY293" s="140">
        <f t="shared" si="138"/>
        <v>3.3000000000000003E-5</v>
      </c>
      <c r="AZ293">
        <v>3.3</v>
      </c>
      <c r="BA293" s="140">
        <f t="shared" si="139"/>
        <v>3.2999999999999991E-7</v>
      </c>
      <c r="BB293" s="140">
        <f t="shared" si="140"/>
        <v>6.5999999999999993E-7</v>
      </c>
      <c r="BC293" s="140">
        <f t="shared" si="141"/>
        <v>9.9000000000000005E-7</v>
      </c>
      <c r="BD293" s="140">
        <f t="shared" si="142"/>
        <v>1.3200000000000001E-6</v>
      </c>
      <c r="BE293" s="140">
        <f t="shared" si="143"/>
        <v>1.6500000000000003E-6</v>
      </c>
      <c r="BF293" s="157">
        <f>IF(AY293&lt;$B$89*DATA!$H$1037,DATA!$H$1037,IF(AY293&gt;DATA!$H$1036*$B$89,DATA!$H$1036,1))</f>
        <v>1.2</v>
      </c>
      <c r="BG293" s="156">
        <f t="shared" si="144"/>
        <v>9.9999999999999995E-8</v>
      </c>
      <c r="BI293" s="140">
        <f t="shared" si="145"/>
        <v>3.3000000000000003E-5</v>
      </c>
      <c r="BJ293">
        <v>3.3</v>
      </c>
      <c r="BK293" s="140">
        <f t="shared" si="146"/>
        <v>3.2999999999999991E-7</v>
      </c>
      <c r="BL293" s="140">
        <f t="shared" si="147"/>
        <v>6.5999999999999993E-7</v>
      </c>
      <c r="BM293" s="140">
        <f t="shared" si="148"/>
        <v>9.9000000000000005E-7</v>
      </c>
      <c r="BN293" s="140">
        <f t="shared" si="149"/>
        <v>1.3200000000000001E-6</v>
      </c>
      <c r="BO293" s="140">
        <f t="shared" si="150"/>
        <v>1.6500000000000003E-6</v>
      </c>
      <c r="BP293" s="157">
        <f>IF(BI293&lt;$B$105*DATA!$H$1037,DATA!$H$1037,IF(BI293&gt;DATA!$H$1036*$B$105,DATA!$H$1036,1))</f>
        <v>1.2</v>
      </c>
      <c r="BQ293" s="156">
        <f t="shared" si="151"/>
        <v>9.9999999999999995E-8</v>
      </c>
    </row>
    <row r="294" spans="1:69">
      <c r="A294" s="140">
        <f t="shared" si="111"/>
        <v>3.3200000000000001E-5</v>
      </c>
      <c r="B294">
        <v>3.32</v>
      </c>
      <c r="C294" s="140">
        <f t="shared" si="152"/>
        <v>3.319999999999999E-7</v>
      </c>
      <c r="D294" s="140">
        <f t="shared" si="152"/>
        <v>6.6399999999999991E-7</v>
      </c>
      <c r="E294" s="140">
        <f t="shared" si="152"/>
        <v>9.9600000000000008E-7</v>
      </c>
      <c r="F294" s="140">
        <f t="shared" si="152"/>
        <v>1.328E-6</v>
      </c>
      <c r="G294" s="140">
        <f t="shared" si="152"/>
        <v>1.6600000000000002E-6</v>
      </c>
      <c r="H294" s="157">
        <f>IF(A294&lt;$B$9*DATA!$H$1037,DATA!$H$1037,IF(A294&gt;DATA!$H$1036*$B$9,DATA!$H$1036,1))</f>
        <v>0.8</v>
      </c>
      <c r="I294" s="156">
        <f t="shared" si="112"/>
        <v>9.9999999999999995E-8</v>
      </c>
      <c r="K294" s="140">
        <f t="shared" si="113"/>
        <v>3.3200000000000001E-5</v>
      </c>
      <c r="L294">
        <v>3.32</v>
      </c>
      <c r="M294" s="140">
        <f t="shared" si="114"/>
        <v>3.319999999999999E-7</v>
      </c>
      <c r="N294" s="140">
        <f t="shared" si="115"/>
        <v>6.6399999999999991E-7</v>
      </c>
      <c r="O294" s="140">
        <f t="shared" si="116"/>
        <v>9.9600000000000008E-7</v>
      </c>
      <c r="P294" s="140">
        <f t="shared" si="117"/>
        <v>1.328E-6</v>
      </c>
      <c r="Q294" s="140">
        <f t="shared" si="118"/>
        <v>1.6600000000000002E-6</v>
      </c>
      <c r="R294" s="157">
        <f>IF(K294&lt;$B$25*DATA!$H$1037,DATA!$H$1037,IF(K294&gt;DATA!$H$1036*$B$25,DATA!$H$1036,1))</f>
        <v>0.8</v>
      </c>
      <c r="S294" s="156">
        <f t="shared" si="108"/>
        <v>9.9999999999999995E-8</v>
      </c>
      <c r="U294" s="140">
        <f t="shared" si="119"/>
        <v>3.3200000000000001E-5</v>
      </c>
      <c r="V294">
        <v>3.32</v>
      </c>
      <c r="W294" s="140">
        <f t="shared" si="120"/>
        <v>3.319999999999999E-7</v>
      </c>
      <c r="X294" s="140">
        <f t="shared" si="121"/>
        <v>6.6399999999999991E-7</v>
      </c>
      <c r="Y294" s="140">
        <f t="shared" si="122"/>
        <v>9.9600000000000008E-7</v>
      </c>
      <c r="Z294" s="140">
        <f t="shared" si="123"/>
        <v>1.328E-6</v>
      </c>
      <c r="AA294" s="140">
        <f t="shared" si="124"/>
        <v>1.6600000000000002E-6</v>
      </c>
      <c r="AB294" s="157">
        <f>IF(U294&lt;$B$41*DATA!$H$1037,DATA!$H$1037,IF(U294&gt;DATA!$H$1036*$B$41,DATA!$H$1036,1))</f>
        <v>0.8</v>
      </c>
      <c r="AC294" s="156">
        <f t="shared" si="109"/>
        <v>9.9999999999999995E-8</v>
      </c>
      <c r="AE294" s="140">
        <f t="shared" si="125"/>
        <v>3.3200000000000001E-5</v>
      </c>
      <c r="AF294">
        <v>3.32</v>
      </c>
      <c r="AG294" s="140">
        <f t="shared" si="126"/>
        <v>3.319999999999999E-7</v>
      </c>
      <c r="AH294" s="140">
        <f t="shared" si="127"/>
        <v>6.6399999999999991E-7</v>
      </c>
      <c r="AI294" s="140">
        <f t="shared" si="128"/>
        <v>9.9600000000000008E-7</v>
      </c>
      <c r="AJ294" s="140">
        <f t="shared" si="129"/>
        <v>1.328E-6</v>
      </c>
      <c r="AK294" s="140">
        <f t="shared" si="130"/>
        <v>1.6600000000000002E-6</v>
      </c>
      <c r="AL294" s="157">
        <f>IF(AE294&lt;$B$57*DATA!$H$1037,DATA!$H$1037,IF(AE294&gt;DATA!$H$1036*$B$57,DATA!$H$1036,1))</f>
        <v>1.2</v>
      </c>
      <c r="AM294" s="156">
        <f t="shared" si="110"/>
        <v>9.9999999999999995E-8</v>
      </c>
      <c r="AO294" s="140">
        <f t="shared" si="131"/>
        <v>3.3200000000000001E-5</v>
      </c>
      <c r="AP294">
        <v>3.32</v>
      </c>
      <c r="AQ294" s="140">
        <f t="shared" si="132"/>
        <v>3.319999999999999E-7</v>
      </c>
      <c r="AR294" s="140">
        <f t="shared" si="133"/>
        <v>6.6399999999999991E-7</v>
      </c>
      <c r="AS294" s="140">
        <f t="shared" si="134"/>
        <v>9.9600000000000008E-7</v>
      </c>
      <c r="AT294" s="140">
        <f t="shared" si="135"/>
        <v>1.328E-6</v>
      </c>
      <c r="AU294" s="140">
        <f t="shared" si="136"/>
        <v>1.6600000000000002E-6</v>
      </c>
      <c r="AV294" s="157">
        <f>IF(AO294&lt;$B$73*DATA!$H$1037,DATA!$H$1037,IF(AO294&gt;DATA!$H$1036*$B$73,DATA!$H$1036,1))</f>
        <v>1.2</v>
      </c>
      <c r="AW294" s="156">
        <f t="shared" si="137"/>
        <v>9.9999999999999995E-8</v>
      </c>
      <c r="AY294" s="140">
        <f t="shared" si="138"/>
        <v>3.3200000000000001E-5</v>
      </c>
      <c r="AZ294">
        <v>3.32</v>
      </c>
      <c r="BA294" s="140">
        <f t="shared" si="139"/>
        <v>3.319999999999999E-7</v>
      </c>
      <c r="BB294" s="140">
        <f t="shared" si="140"/>
        <v>6.6399999999999991E-7</v>
      </c>
      <c r="BC294" s="140">
        <f t="shared" si="141"/>
        <v>9.9600000000000008E-7</v>
      </c>
      <c r="BD294" s="140">
        <f t="shared" si="142"/>
        <v>1.328E-6</v>
      </c>
      <c r="BE294" s="140">
        <f t="shared" si="143"/>
        <v>1.6600000000000002E-6</v>
      </c>
      <c r="BF294" s="157">
        <f>IF(AY294&lt;$B$89*DATA!$H$1037,DATA!$H$1037,IF(AY294&gt;DATA!$H$1036*$B$89,DATA!$H$1036,1))</f>
        <v>1.2</v>
      </c>
      <c r="BG294" s="156">
        <f t="shared" si="144"/>
        <v>9.9999999999999995E-8</v>
      </c>
      <c r="BI294" s="140">
        <f t="shared" si="145"/>
        <v>3.3200000000000001E-5</v>
      </c>
      <c r="BJ294">
        <v>3.32</v>
      </c>
      <c r="BK294" s="140">
        <f t="shared" si="146"/>
        <v>3.319999999999999E-7</v>
      </c>
      <c r="BL294" s="140">
        <f t="shared" si="147"/>
        <v>6.6399999999999991E-7</v>
      </c>
      <c r="BM294" s="140">
        <f t="shared" si="148"/>
        <v>9.9600000000000008E-7</v>
      </c>
      <c r="BN294" s="140">
        <f t="shared" si="149"/>
        <v>1.328E-6</v>
      </c>
      <c r="BO294" s="140">
        <f t="shared" si="150"/>
        <v>1.6600000000000002E-6</v>
      </c>
      <c r="BP294" s="157">
        <f>IF(BI294&lt;$B$105*DATA!$H$1037,DATA!$H$1037,IF(BI294&gt;DATA!$H$1036*$B$105,DATA!$H$1036,1))</f>
        <v>1.2</v>
      </c>
      <c r="BQ294" s="156">
        <f t="shared" si="151"/>
        <v>9.9999999999999995E-8</v>
      </c>
    </row>
    <row r="295" spans="1:69">
      <c r="A295" s="140">
        <f t="shared" si="111"/>
        <v>3.3399999999999999E-5</v>
      </c>
      <c r="B295">
        <v>3.34</v>
      </c>
      <c r="C295" s="140">
        <f t="shared" si="152"/>
        <v>3.3399999999999989E-7</v>
      </c>
      <c r="D295" s="140">
        <f t="shared" si="152"/>
        <v>6.6799999999999989E-7</v>
      </c>
      <c r="E295" s="140">
        <f t="shared" si="152"/>
        <v>1.0019999999999999E-6</v>
      </c>
      <c r="F295" s="140">
        <f t="shared" si="152"/>
        <v>1.336E-6</v>
      </c>
      <c r="G295" s="140">
        <f t="shared" si="152"/>
        <v>1.6700000000000001E-6</v>
      </c>
      <c r="H295" s="157">
        <f>IF(A295&lt;$B$9*DATA!$H$1037,DATA!$H$1037,IF(A295&gt;DATA!$H$1036*$B$9,DATA!$H$1036,1))</f>
        <v>0.8</v>
      </c>
      <c r="I295" s="156">
        <f t="shared" si="112"/>
        <v>9.9999999999999995E-8</v>
      </c>
      <c r="K295" s="140">
        <f t="shared" si="113"/>
        <v>3.3399999999999999E-5</v>
      </c>
      <c r="L295">
        <v>3.34</v>
      </c>
      <c r="M295" s="140">
        <f t="shared" si="114"/>
        <v>3.3399999999999989E-7</v>
      </c>
      <c r="N295" s="140">
        <f t="shared" si="115"/>
        <v>6.6799999999999989E-7</v>
      </c>
      <c r="O295" s="140">
        <f t="shared" si="116"/>
        <v>1.0019999999999999E-6</v>
      </c>
      <c r="P295" s="140">
        <f t="shared" si="117"/>
        <v>1.336E-6</v>
      </c>
      <c r="Q295" s="140">
        <f t="shared" si="118"/>
        <v>1.6700000000000001E-6</v>
      </c>
      <c r="R295" s="157">
        <f>IF(K295&lt;$B$25*DATA!$H$1037,DATA!$H$1037,IF(K295&gt;DATA!$H$1036*$B$25,DATA!$H$1036,1))</f>
        <v>0.8</v>
      </c>
      <c r="S295" s="156">
        <f t="shared" si="108"/>
        <v>9.9999999999999995E-8</v>
      </c>
      <c r="U295" s="140">
        <f t="shared" si="119"/>
        <v>3.3399999999999999E-5</v>
      </c>
      <c r="V295">
        <v>3.34</v>
      </c>
      <c r="W295" s="140">
        <f t="shared" si="120"/>
        <v>3.3399999999999989E-7</v>
      </c>
      <c r="X295" s="140">
        <f t="shared" si="121"/>
        <v>6.6799999999999989E-7</v>
      </c>
      <c r="Y295" s="140">
        <f t="shared" si="122"/>
        <v>1.0019999999999999E-6</v>
      </c>
      <c r="Z295" s="140">
        <f t="shared" si="123"/>
        <v>1.336E-6</v>
      </c>
      <c r="AA295" s="140">
        <f t="shared" si="124"/>
        <v>1.6700000000000001E-6</v>
      </c>
      <c r="AB295" s="157">
        <f>IF(U295&lt;$B$41*DATA!$H$1037,DATA!$H$1037,IF(U295&gt;DATA!$H$1036*$B$41,DATA!$H$1036,1))</f>
        <v>0.8</v>
      </c>
      <c r="AC295" s="156">
        <f t="shared" si="109"/>
        <v>9.9999999999999995E-8</v>
      </c>
      <c r="AE295" s="140">
        <f t="shared" si="125"/>
        <v>3.3399999999999999E-5</v>
      </c>
      <c r="AF295">
        <v>3.34</v>
      </c>
      <c r="AG295" s="140">
        <f t="shared" si="126"/>
        <v>3.3399999999999989E-7</v>
      </c>
      <c r="AH295" s="140">
        <f t="shared" si="127"/>
        <v>6.6799999999999989E-7</v>
      </c>
      <c r="AI295" s="140">
        <f t="shared" si="128"/>
        <v>1.0019999999999999E-6</v>
      </c>
      <c r="AJ295" s="140">
        <f t="shared" si="129"/>
        <v>1.336E-6</v>
      </c>
      <c r="AK295" s="140">
        <f t="shared" si="130"/>
        <v>1.6700000000000001E-6</v>
      </c>
      <c r="AL295" s="157">
        <f>IF(AE295&lt;$B$57*DATA!$H$1037,DATA!$H$1037,IF(AE295&gt;DATA!$H$1036*$B$57,DATA!$H$1036,1))</f>
        <v>1.2</v>
      </c>
      <c r="AM295" s="156">
        <f t="shared" si="110"/>
        <v>9.9999999999999995E-8</v>
      </c>
      <c r="AO295" s="140">
        <f t="shared" si="131"/>
        <v>3.3399999999999999E-5</v>
      </c>
      <c r="AP295">
        <v>3.34</v>
      </c>
      <c r="AQ295" s="140">
        <f t="shared" si="132"/>
        <v>3.3399999999999989E-7</v>
      </c>
      <c r="AR295" s="140">
        <f t="shared" si="133"/>
        <v>6.6799999999999989E-7</v>
      </c>
      <c r="AS295" s="140">
        <f t="shared" si="134"/>
        <v>1.0019999999999999E-6</v>
      </c>
      <c r="AT295" s="140">
        <f t="shared" si="135"/>
        <v>1.336E-6</v>
      </c>
      <c r="AU295" s="140">
        <f t="shared" si="136"/>
        <v>1.6700000000000001E-6</v>
      </c>
      <c r="AV295" s="157">
        <f>IF(AO295&lt;$B$73*DATA!$H$1037,DATA!$H$1037,IF(AO295&gt;DATA!$H$1036*$B$73,DATA!$H$1036,1))</f>
        <v>1.2</v>
      </c>
      <c r="AW295" s="156">
        <f t="shared" si="137"/>
        <v>9.9999999999999995E-8</v>
      </c>
      <c r="AY295" s="140">
        <f t="shared" si="138"/>
        <v>3.3399999999999999E-5</v>
      </c>
      <c r="AZ295">
        <v>3.34</v>
      </c>
      <c r="BA295" s="140">
        <f t="shared" si="139"/>
        <v>3.3399999999999989E-7</v>
      </c>
      <c r="BB295" s="140">
        <f t="shared" si="140"/>
        <v>6.6799999999999989E-7</v>
      </c>
      <c r="BC295" s="140">
        <f t="shared" si="141"/>
        <v>1.0019999999999999E-6</v>
      </c>
      <c r="BD295" s="140">
        <f t="shared" si="142"/>
        <v>1.336E-6</v>
      </c>
      <c r="BE295" s="140">
        <f t="shared" si="143"/>
        <v>1.6700000000000001E-6</v>
      </c>
      <c r="BF295" s="157">
        <f>IF(AY295&lt;$B$89*DATA!$H$1037,DATA!$H$1037,IF(AY295&gt;DATA!$H$1036*$B$89,DATA!$H$1036,1))</f>
        <v>1.2</v>
      </c>
      <c r="BG295" s="156">
        <f t="shared" si="144"/>
        <v>9.9999999999999995E-8</v>
      </c>
      <c r="BI295" s="140">
        <f t="shared" si="145"/>
        <v>3.3399999999999999E-5</v>
      </c>
      <c r="BJ295">
        <v>3.34</v>
      </c>
      <c r="BK295" s="140">
        <f t="shared" si="146"/>
        <v>3.3399999999999989E-7</v>
      </c>
      <c r="BL295" s="140">
        <f t="shared" si="147"/>
        <v>6.6799999999999989E-7</v>
      </c>
      <c r="BM295" s="140">
        <f t="shared" si="148"/>
        <v>1.0019999999999999E-6</v>
      </c>
      <c r="BN295" s="140">
        <f t="shared" si="149"/>
        <v>1.336E-6</v>
      </c>
      <c r="BO295" s="140">
        <f t="shared" si="150"/>
        <v>1.6700000000000001E-6</v>
      </c>
      <c r="BP295" s="157">
        <f>IF(BI295&lt;$B$105*DATA!$H$1037,DATA!$H$1037,IF(BI295&gt;DATA!$H$1036*$B$105,DATA!$H$1036,1))</f>
        <v>1.2</v>
      </c>
      <c r="BQ295" s="156">
        <f t="shared" si="151"/>
        <v>9.9999999999999995E-8</v>
      </c>
    </row>
    <row r="296" spans="1:69">
      <c r="A296" s="140">
        <f t="shared" si="111"/>
        <v>3.3600000000000004E-5</v>
      </c>
      <c r="B296">
        <v>3.36</v>
      </c>
      <c r="C296" s="140">
        <f t="shared" si="152"/>
        <v>3.3599999999999994E-7</v>
      </c>
      <c r="D296" s="140">
        <f t="shared" si="152"/>
        <v>6.7199999999999998E-7</v>
      </c>
      <c r="E296" s="140">
        <f t="shared" si="152"/>
        <v>1.0080000000000001E-6</v>
      </c>
      <c r="F296" s="140">
        <f t="shared" si="152"/>
        <v>1.3440000000000002E-6</v>
      </c>
      <c r="G296" s="140">
        <f t="shared" si="152"/>
        <v>1.6800000000000002E-6</v>
      </c>
      <c r="H296" s="157">
        <f>IF(A296&lt;$B$9*DATA!$H$1037,DATA!$H$1037,IF(A296&gt;DATA!$H$1036*$B$9,DATA!$H$1036,1))</f>
        <v>0.8</v>
      </c>
      <c r="I296" s="156">
        <f t="shared" si="112"/>
        <v>9.9999999999999995E-8</v>
      </c>
      <c r="K296" s="140">
        <f t="shared" si="113"/>
        <v>3.3600000000000004E-5</v>
      </c>
      <c r="L296">
        <v>3.36</v>
      </c>
      <c r="M296" s="140">
        <f t="shared" si="114"/>
        <v>3.3599999999999994E-7</v>
      </c>
      <c r="N296" s="140">
        <f t="shared" si="115"/>
        <v>6.7199999999999998E-7</v>
      </c>
      <c r="O296" s="140">
        <f t="shared" si="116"/>
        <v>1.0080000000000001E-6</v>
      </c>
      <c r="P296" s="140">
        <f t="shared" si="117"/>
        <v>1.3440000000000002E-6</v>
      </c>
      <c r="Q296" s="140">
        <f t="shared" si="118"/>
        <v>1.6800000000000002E-6</v>
      </c>
      <c r="R296" s="157">
        <f>IF(K296&lt;$B$25*DATA!$H$1037,DATA!$H$1037,IF(K296&gt;DATA!$H$1036*$B$25,DATA!$H$1036,1))</f>
        <v>0.8</v>
      </c>
      <c r="S296" s="156">
        <f t="shared" si="108"/>
        <v>9.9999999999999995E-8</v>
      </c>
      <c r="U296" s="140">
        <f t="shared" si="119"/>
        <v>3.3600000000000004E-5</v>
      </c>
      <c r="V296">
        <v>3.36</v>
      </c>
      <c r="W296" s="140">
        <f t="shared" si="120"/>
        <v>3.3599999999999994E-7</v>
      </c>
      <c r="X296" s="140">
        <f t="shared" si="121"/>
        <v>6.7199999999999998E-7</v>
      </c>
      <c r="Y296" s="140">
        <f t="shared" si="122"/>
        <v>1.0080000000000001E-6</v>
      </c>
      <c r="Z296" s="140">
        <f t="shared" si="123"/>
        <v>1.3440000000000002E-6</v>
      </c>
      <c r="AA296" s="140">
        <f t="shared" si="124"/>
        <v>1.6800000000000002E-6</v>
      </c>
      <c r="AB296" s="157">
        <f>IF(U296&lt;$B$41*DATA!$H$1037,DATA!$H$1037,IF(U296&gt;DATA!$H$1036*$B$41,DATA!$H$1036,1))</f>
        <v>0.8</v>
      </c>
      <c r="AC296" s="156">
        <f t="shared" si="109"/>
        <v>9.9999999999999995E-8</v>
      </c>
      <c r="AE296" s="140">
        <f t="shared" si="125"/>
        <v>3.3600000000000004E-5</v>
      </c>
      <c r="AF296">
        <v>3.36</v>
      </c>
      <c r="AG296" s="140">
        <f t="shared" si="126"/>
        <v>3.3599999999999994E-7</v>
      </c>
      <c r="AH296" s="140">
        <f t="shared" si="127"/>
        <v>6.7199999999999998E-7</v>
      </c>
      <c r="AI296" s="140">
        <f t="shared" si="128"/>
        <v>1.0080000000000001E-6</v>
      </c>
      <c r="AJ296" s="140">
        <f t="shared" si="129"/>
        <v>1.3440000000000002E-6</v>
      </c>
      <c r="AK296" s="140">
        <f t="shared" si="130"/>
        <v>1.6800000000000002E-6</v>
      </c>
      <c r="AL296" s="157">
        <f>IF(AE296&lt;$B$57*DATA!$H$1037,DATA!$H$1037,IF(AE296&gt;DATA!$H$1036*$B$57,DATA!$H$1036,1))</f>
        <v>1.2</v>
      </c>
      <c r="AM296" s="156">
        <f t="shared" si="110"/>
        <v>9.9999999999999995E-8</v>
      </c>
      <c r="AO296" s="140">
        <f t="shared" si="131"/>
        <v>3.3600000000000004E-5</v>
      </c>
      <c r="AP296">
        <v>3.36</v>
      </c>
      <c r="AQ296" s="140">
        <f t="shared" si="132"/>
        <v>3.3599999999999994E-7</v>
      </c>
      <c r="AR296" s="140">
        <f t="shared" si="133"/>
        <v>6.7199999999999998E-7</v>
      </c>
      <c r="AS296" s="140">
        <f t="shared" si="134"/>
        <v>1.0080000000000001E-6</v>
      </c>
      <c r="AT296" s="140">
        <f t="shared" si="135"/>
        <v>1.3440000000000002E-6</v>
      </c>
      <c r="AU296" s="140">
        <f t="shared" si="136"/>
        <v>1.6800000000000002E-6</v>
      </c>
      <c r="AV296" s="157">
        <f>IF(AO296&lt;$B$73*DATA!$H$1037,DATA!$H$1037,IF(AO296&gt;DATA!$H$1036*$B$73,DATA!$H$1036,1))</f>
        <v>1.2</v>
      </c>
      <c r="AW296" s="156">
        <f t="shared" si="137"/>
        <v>9.9999999999999995E-8</v>
      </c>
      <c r="AY296" s="140">
        <f t="shared" si="138"/>
        <v>3.3600000000000004E-5</v>
      </c>
      <c r="AZ296">
        <v>3.36</v>
      </c>
      <c r="BA296" s="140">
        <f t="shared" si="139"/>
        <v>3.3599999999999994E-7</v>
      </c>
      <c r="BB296" s="140">
        <f t="shared" si="140"/>
        <v>6.7199999999999998E-7</v>
      </c>
      <c r="BC296" s="140">
        <f t="shared" si="141"/>
        <v>1.0080000000000001E-6</v>
      </c>
      <c r="BD296" s="140">
        <f t="shared" si="142"/>
        <v>1.3440000000000002E-6</v>
      </c>
      <c r="BE296" s="140">
        <f t="shared" si="143"/>
        <v>1.6800000000000002E-6</v>
      </c>
      <c r="BF296" s="157">
        <f>IF(AY296&lt;$B$89*DATA!$H$1037,DATA!$H$1037,IF(AY296&gt;DATA!$H$1036*$B$89,DATA!$H$1036,1))</f>
        <v>1.2</v>
      </c>
      <c r="BG296" s="156">
        <f t="shared" si="144"/>
        <v>9.9999999999999995E-8</v>
      </c>
      <c r="BI296" s="140">
        <f t="shared" si="145"/>
        <v>3.3600000000000004E-5</v>
      </c>
      <c r="BJ296">
        <v>3.36</v>
      </c>
      <c r="BK296" s="140">
        <f t="shared" si="146"/>
        <v>3.3599999999999994E-7</v>
      </c>
      <c r="BL296" s="140">
        <f t="shared" si="147"/>
        <v>6.7199999999999998E-7</v>
      </c>
      <c r="BM296" s="140">
        <f t="shared" si="148"/>
        <v>1.0080000000000001E-6</v>
      </c>
      <c r="BN296" s="140">
        <f t="shared" si="149"/>
        <v>1.3440000000000002E-6</v>
      </c>
      <c r="BO296" s="140">
        <f t="shared" si="150"/>
        <v>1.6800000000000002E-6</v>
      </c>
      <c r="BP296" s="157">
        <f>IF(BI296&lt;$B$105*DATA!$H$1037,DATA!$H$1037,IF(BI296&gt;DATA!$H$1036*$B$105,DATA!$H$1036,1))</f>
        <v>1.2</v>
      </c>
      <c r="BQ296" s="156">
        <f t="shared" si="151"/>
        <v>9.9999999999999995E-8</v>
      </c>
    </row>
    <row r="297" spans="1:69">
      <c r="A297" s="140">
        <f t="shared" si="111"/>
        <v>3.3800000000000002E-5</v>
      </c>
      <c r="B297">
        <v>3.38</v>
      </c>
      <c r="C297" s="140">
        <f t="shared" si="152"/>
        <v>3.3799999999999993E-7</v>
      </c>
      <c r="D297" s="140">
        <f t="shared" si="152"/>
        <v>6.7599999999999997E-7</v>
      </c>
      <c r="E297" s="140">
        <f t="shared" si="152"/>
        <v>1.0139999999999999E-6</v>
      </c>
      <c r="F297" s="140">
        <f t="shared" si="152"/>
        <v>1.3520000000000001E-6</v>
      </c>
      <c r="G297" s="140">
        <f t="shared" si="152"/>
        <v>1.6900000000000001E-6</v>
      </c>
      <c r="H297" s="157">
        <f>IF(A297&lt;$B$9*DATA!$H$1037,DATA!$H$1037,IF(A297&gt;DATA!$H$1036*$B$9,DATA!$H$1036,1))</f>
        <v>0.8</v>
      </c>
      <c r="I297" s="156">
        <f t="shared" si="112"/>
        <v>9.9999999999999995E-8</v>
      </c>
      <c r="K297" s="140">
        <f t="shared" si="113"/>
        <v>3.3800000000000002E-5</v>
      </c>
      <c r="L297">
        <v>3.38</v>
      </c>
      <c r="M297" s="140">
        <f t="shared" si="114"/>
        <v>3.3799999999999993E-7</v>
      </c>
      <c r="N297" s="140">
        <f t="shared" si="115"/>
        <v>6.7599999999999997E-7</v>
      </c>
      <c r="O297" s="140">
        <f t="shared" si="116"/>
        <v>1.0139999999999999E-6</v>
      </c>
      <c r="P297" s="140">
        <f t="shared" si="117"/>
        <v>1.3520000000000001E-6</v>
      </c>
      <c r="Q297" s="140">
        <f t="shared" si="118"/>
        <v>1.6900000000000001E-6</v>
      </c>
      <c r="R297" s="157">
        <f>IF(K297&lt;$B$25*DATA!$H$1037,DATA!$H$1037,IF(K297&gt;DATA!$H$1036*$B$25,DATA!$H$1036,1))</f>
        <v>0.8</v>
      </c>
      <c r="S297" s="156">
        <f t="shared" si="108"/>
        <v>9.9999999999999995E-8</v>
      </c>
      <c r="U297" s="140">
        <f t="shared" si="119"/>
        <v>3.3800000000000002E-5</v>
      </c>
      <c r="V297">
        <v>3.38</v>
      </c>
      <c r="W297" s="140">
        <f t="shared" si="120"/>
        <v>3.3799999999999993E-7</v>
      </c>
      <c r="X297" s="140">
        <f t="shared" si="121"/>
        <v>6.7599999999999997E-7</v>
      </c>
      <c r="Y297" s="140">
        <f t="shared" si="122"/>
        <v>1.0139999999999999E-6</v>
      </c>
      <c r="Z297" s="140">
        <f t="shared" si="123"/>
        <v>1.3520000000000001E-6</v>
      </c>
      <c r="AA297" s="140">
        <f t="shared" si="124"/>
        <v>1.6900000000000001E-6</v>
      </c>
      <c r="AB297" s="157">
        <f>IF(U297&lt;$B$41*DATA!$H$1037,DATA!$H$1037,IF(U297&gt;DATA!$H$1036*$B$41,DATA!$H$1036,1))</f>
        <v>0.8</v>
      </c>
      <c r="AC297" s="156">
        <f t="shared" si="109"/>
        <v>9.9999999999999995E-8</v>
      </c>
      <c r="AE297" s="140">
        <f t="shared" si="125"/>
        <v>3.3800000000000002E-5</v>
      </c>
      <c r="AF297">
        <v>3.38</v>
      </c>
      <c r="AG297" s="140">
        <f t="shared" si="126"/>
        <v>3.3799999999999993E-7</v>
      </c>
      <c r="AH297" s="140">
        <f t="shared" si="127"/>
        <v>6.7599999999999997E-7</v>
      </c>
      <c r="AI297" s="140">
        <f t="shared" si="128"/>
        <v>1.0139999999999999E-6</v>
      </c>
      <c r="AJ297" s="140">
        <f t="shared" si="129"/>
        <v>1.3520000000000001E-6</v>
      </c>
      <c r="AK297" s="140">
        <f t="shared" si="130"/>
        <v>1.6900000000000001E-6</v>
      </c>
      <c r="AL297" s="157">
        <f>IF(AE297&lt;$B$57*DATA!$H$1037,DATA!$H$1037,IF(AE297&gt;DATA!$H$1036*$B$57,DATA!$H$1036,1))</f>
        <v>1.2</v>
      </c>
      <c r="AM297" s="156">
        <f t="shared" si="110"/>
        <v>9.9999999999999995E-8</v>
      </c>
      <c r="AO297" s="140">
        <f t="shared" si="131"/>
        <v>3.3800000000000002E-5</v>
      </c>
      <c r="AP297">
        <v>3.38</v>
      </c>
      <c r="AQ297" s="140">
        <f t="shared" si="132"/>
        <v>3.3799999999999993E-7</v>
      </c>
      <c r="AR297" s="140">
        <f t="shared" si="133"/>
        <v>6.7599999999999997E-7</v>
      </c>
      <c r="AS297" s="140">
        <f t="shared" si="134"/>
        <v>1.0139999999999999E-6</v>
      </c>
      <c r="AT297" s="140">
        <f t="shared" si="135"/>
        <v>1.3520000000000001E-6</v>
      </c>
      <c r="AU297" s="140">
        <f t="shared" si="136"/>
        <v>1.6900000000000001E-6</v>
      </c>
      <c r="AV297" s="157">
        <f>IF(AO297&lt;$B$73*DATA!$H$1037,DATA!$H$1037,IF(AO297&gt;DATA!$H$1036*$B$73,DATA!$H$1036,1))</f>
        <v>1.2</v>
      </c>
      <c r="AW297" s="156">
        <f t="shared" si="137"/>
        <v>9.9999999999999995E-8</v>
      </c>
      <c r="AY297" s="140">
        <f t="shared" si="138"/>
        <v>3.3800000000000002E-5</v>
      </c>
      <c r="AZ297">
        <v>3.38</v>
      </c>
      <c r="BA297" s="140">
        <f t="shared" si="139"/>
        <v>3.3799999999999993E-7</v>
      </c>
      <c r="BB297" s="140">
        <f t="shared" si="140"/>
        <v>6.7599999999999997E-7</v>
      </c>
      <c r="BC297" s="140">
        <f t="shared" si="141"/>
        <v>1.0139999999999999E-6</v>
      </c>
      <c r="BD297" s="140">
        <f t="shared" si="142"/>
        <v>1.3520000000000001E-6</v>
      </c>
      <c r="BE297" s="140">
        <f t="shared" si="143"/>
        <v>1.6900000000000001E-6</v>
      </c>
      <c r="BF297" s="157">
        <f>IF(AY297&lt;$B$89*DATA!$H$1037,DATA!$H$1037,IF(AY297&gt;DATA!$H$1036*$B$89,DATA!$H$1036,1))</f>
        <v>1.2</v>
      </c>
      <c r="BG297" s="156">
        <f t="shared" si="144"/>
        <v>9.9999999999999995E-8</v>
      </c>
      <c r="BI297" s="140">
        <f t="shared" si="145"/>
        <v>3.3800000000000002E-5</v>
      </c>
      <c r="BJ297">
        <v>3.38</v>
      </c>
      <c r="BK297" s="140">
        <f t="shared" si="146"/>
        <v>3.3799999999999993E-7</v>
      </c>
      <c r="BL297" s="140">
        <f t="shared" si="147"/>
        <v>6.7599999999999997E-7</v>
      </c>
      <c r="BM297" s="140">
        <f t="shared" si="148"/>
        <v>1.0139999999999999E-6</v>
      </c>
      <c r="BN297" s="140">
        <f t="shared" si="149"/>
        <v>1.3520000000000001E-6</v>
      </c>
      <c r="BO297" s="140">
        <f t="shared" si="150"/>
        <v>1.6900000000000001E-6</v>
      </c>
      <c r="BP297" s="157">
        <f>IF(BI297&lt;$B$105*DATA!$H$1037,DATA!$H$1037,IF(BI297&gt;DATA!$H$1036*$B$105,DATA!$H$1036,1))</f>
        <v>1.2</v>
      </c>
      <c r="BQ297" s="156">
        <f t="shared" si="151"/>
        <v>9.9999999999999995E-8</v>
      </c>
    </row>
    <row r="298" spans="1:69">
      <c r="A298" s="140">
        <f t="shared" si="111"/>
        <v>3.4E-5</v>
      </c>
      <c r="B298">
        <v>3.4</v>
      </c>
      <c r="C298" s="140">
        <f t="shared" si="152"/>
        <v>3.3999999999999987E-7</v>
      </c>
      <c r="D298" s="140">
        <f t="shared" si="152"/>
        <v>6.7999999999999984E-7</v>
      </c>
      <c r="E298" s="140">
        <f t="shared" si="152"/>
        <v>1.02E-6</v>
      </c>
      <c r="F298" s="140">
        <f t="shared" si="152"/>
        <v>1.3600000000000001E-6</v>
      </c>
      <c r="G298" s="140">
        <f t="shared" si="152"/>
        <v>1.7E-6</v>
      </c>
      <c r="H298" s="157">
        <f>IF(A298&lt;$B$9*DATA!$H$1037,DATA!$H$1037,IF(A298&gt;DATA!$H$1036*$B$9,DATA!$H$1036,1))</f>
        <v>0.8</v>
      </c>
      <c r="I298" s="156">
        <f t="shared" si="112"/>
        <v>9.9999999999999995E-8</v>
      </c>
      <c r="K298" s="140">
        <f t="shared" si="113"/>
        <v>3.4E-5</v>
      </c>
      <c r="L298">
        <v>3.4</v>
      </c>
      <c r="M298" s="140">
        <f t="shared" si="114"/>
        <v>3.3999999999999987E-7</v>
      </c>
      <c r="N298" s="140">
        <f t="shared" si="115"/>
        <v>6.7999999999999984E-7</v>
      </c>
      <c r="O298" s="140">
        <f t="shared" si="116"/>
        <v>1.02E-6</v>
      </c>
      <c r="P298" s="140">
        <f t="shared" si="117"/>
        <v>1.3600000000000001E-6</v>
      </c>
      <c r="Q298" s="140">
        <f t="shared" si="118"/>
        <v>1.7E-6</v>
      </c>
      <c r="R298" s="157">
        <f>IF(K298&lt;$B$25*DATA!$H$1037,DATA!$H$1037,IF(K298&gt;DATA!$H$1036*$B$25,DATA!$H$1036,1))</f>
        <v>0.8</v>
      </c>
      <c r="S298" s="156">
        <f t="shared" si="108"/>
        <v>9.9999999999999995E-8</v>
      </c>
      <c r="U298" s="140">
        <f t="shared" si="119"/>
        <v>3.4E-5</v>
      </c>
      <c r="V298">
        <v>3.4</v>
      </c>
      <c r="W298" s="140">
        <f t="shared" si="120"/>
        <v>3.3999999999999987E-7</v>
      </c>
      <c r="X298" s="140">
        <f t="shared" si="121"/>
        <v>6.7999999999999984E-7</v>
      </c>
      <c r="Y298" s="140">
        <f t="shared" si="122"/>
        <v>1.02E-6</v>
      </c>
      <c r="Z298" s="140">
        <f t="shared" si="123"/>
        <v>1.3600000000000001E-6</v>
      </c>
      <c r="AA298" s="140">
        <f t="shared" si="124"/>
        <v>1.7E-6</v>
      </c>
      <c r="AB298" s="157">
        <f>IF(U298&lt;$B$41*DATA!$H$1037,DATA!$H$1037,IF(U298&gt;DATA!$H$1036*$B$41,DATA!$H$1036,1))</f>
        <v>0.8</v>
      </c>
      <c r="AC298" s="156">
        <f t="shared" si="109"/>
        <v>9.9999999999999995E-8</v>
      </c>
      <c r="AE298" s="140">
        <f t="shared" si="125"/>
        <v>3.4E-5</v>
      </c>
      <c r="AF298">
        <v>3.4</v>
      </c>
      <c r="AG298" s="140">
        <f t="shared" si="126"/>
        <v>3.3999999999999987E-7</v>
      </c>
      <c r="AH298" s="140">
        <f t="shared" si="127"/>
        <v>6.7999999999999984E-7</v>
      </c>
      <c r="AI298" s="140">
        <f t="shared" si="128"/>
        <v>1.02E-6</v>
      </c>
      <c r="AJ298" s="140">
        <f t="shared" si="129"/>
        <v>1.3600000000000001E-6</v>
      </c>
      <c r="AK298" s="140">
        <f t="shared" si="130"/>
        <v>1.7E-6</v>
      </c>
      <c r="AL298" s="157">
        <f>IF(AE298&lt;$B$57*DATA!$H$1037,DATA!$H$1037,IF(AE298&gt;DATA!$H$1036*$B$57,DATA!$H$1036,1))</f>
        <v>1.2</v>
      </c>
      <c r="AM298" s="156">
        <f t="shared" si="110"/>
        <v>9.9999999999999995E-8</v>
      </c>
      <c r="AO298" s="140">
        <f t="shared" si="131"/>
        <v>3.4E-5</v>
      </c>
      <c r="AP298">
        <v>3.4</v>
      </c>
      <c r="AQ298" s="140">
        <f t="shared" si="132"/>
        <v>3.3999999999999987E-7</v>
      </c>
      <c r="AR298" s="140">
        <f t="shared" si="133"/>
        <v>6.7999999999999984E-7</v>
      </c>
      <c r="AS298" s="140">
        <f t="shared" si="134"/>
        <v>1.02E-6</v>
      </c>
      <c r="AT298" s="140">
        <f t="shared" si="135"/>
        <v>1.3600000000000001E-6</v>
      </c>
      <c r="AU298" s="140">
        <f t="shared" si="136"/>
        <v>1.7E-6</v>
      </c>
      <c r="AV298" s="157">
        <f>IF(AO298&lt;$B$73*DATA!$H$1037,DATA!$H$1037,IF(AO298&gt;DATA!$H$1036*$B$73,DATA!$H$1036,1))</f>
        <v>1.2</v>
      </c>
      <c r="AW298" s="156">
        <f t="shared" si="137"/>
        <v>9.9999999999999995E-8</v>
      </c>
      <c r="AY298" s="140">
        <f t="shared" si="138"/>
        <v>3.4E-5</v>
      </c>
      <c r="AZ298">
        <v>3.4</v>
      </c>
      <c r="BA298" s="140">
        <f t="shared" si="139"/>
        <v>3.3999999999999987E-7</v>
      </c>
      <c r="BB298" s="140">
        <f t="shared" si="140"/>
        <v>6.7999999999999984E-7</v>
      </c>
      <c r="BC298" s="140">
        <f t="shared" si="141"/>
        <v>1.02E-6</v>
      </c>
      <c r="BD298" s="140">
        <f t="shared" si="142"/>
        <v>1.3600000000000001E-6</v>
      </c>
      <c r="BE298" s="140">
        <f t="shared" si="143"/>
        <v>1.7E-6</v>
      </c>
      <c r="BF298" s="157">
        <f>IF(AY298&lt;$B$89*DATA!$H$1037,DATA!$H$1037,IF(AY298&gt;DATA!$H$1036*$B$89,DATA!$H$1036,1))</f>
        <v>1.2</v>
      </c>
      <c r="BG298" s="156">
        <f t="shared" si="144"/>
        <v>9.9999999999999995E-8</v>
      </c>
      <c r="BI298" s="140">
        <f t="shared" si="145"/>
        <v>3.4E-5</v>
      </c>
      <c r="BJ298">
        <v>3.4</v>
      </c>
      <c r="BK298" s="140">
        <f t="shared" si="146"/>
        <v>3.3999999999999987E-7</v>
      </c>
      <c r="BL298" s="140">
        <f t="shared" si="147"/>
        <v>6.7999999999999984E-7</v>
      </c>
      <c r="BM298" s="140">
        <f t="shared" si="148"/>
        <v>1.02E-6</v>
      </c>
      <c r="BN298" s="140">
        <f t="shared" si="149"/>
        <v>1.3600000000000001E-6</v>
      </c>
      <c r="BO298" s="140">
        <f t="shared" si="150"/>
        <v>1.7E-6</v>
      </c>
      <c r="BP298" s="157">
        <f>IF(BI298&lt;$B$105*DATA!$H$1037,DATA!$H$1037,IF(BI298&gt;DATA!$H$1036*$B$105,DATA!$H$1036,1))</f>
        <v>1.2</v>
      </c>
      <c r="BQ298" s="156">
        <f t="shared" si="151"/>
        <v>9.9999999999999995E-8</v>
      </c>
    </row>
    <row r="299" spans="1:69">
      <c r="A299" s="140">
        <f t="shared" si="111"/>
        <v>3.4200000000000005E-5</v>
      </c>
      <c r="B299">
        <v>3.42</v>
      </c>
      <c r="C299" s="140">
        <f t="shared" si="152"/>
        <v>3.4199999999999991E-7</v>
      </c>
      <c r="D299" s="140">
        <f t="shared" si="152"/>
        <v>6.8400000000000004E-7</v>
      </c>
      <c r="E299" s="140">
        <f t="shared" si="152"/>
        <v>1.026E-6</v>
      </c>
      <c r="F299" s="140">
        <f t="shared" si="152"/>
        <v>1.3680000000000003E-6</v>
      </c>
      <c r="G299" s="140">
        <f t="shared" si="152"/>
        <v>1.7100000000000004E-6</v>
      </c>
      <c r="H299" s="157">
        <f>IF(A299&lt;$B$9*DATA!$H$1037,DATA!$H$1037,IF(A299&gt;DATA!$H$1036*$B$9,DATA!$H$1036,1))</f>
        <v>0.8</v>
      </c>
      <c r="I299" s="156">
        <f t="shared" si="112"/>
        <v>9.9999999999999995E-8</v>
      </c>
      <c r="K299" s="140">
        <f t="shared" si="113"/>
        <v>3.4200000000000005E-5</v>
      </c>
      <c r="L299">
        <v>3.42</v>
      </c>
      <c r="M299" s="140">
        <f t="shared" si="114"/>
        <v>3.4199999999999991E-7</v>
      </c>
      <c r="N299" s="140">
        <f t="shared" si="115"/>
        <v>6.8400000000000004E-7</v>
      </c>
      <c r="O299" s="140">
        <f t="shared" si="116"/>
        <v>1.026E-6</v>
      </c>
      <c r="P299" s="140">
        <f t="shared" si="117"/>
        <v>1.3680000000000003E-6</v>
      </c>
      <c r="Q299" s="140">
        <f t="shared" si="118"/>
        <v>1.7100000000000004E-6</v>
      </c>
      <c r="R299" s="157">
        <f>IF(K299&lt;$B$25*DATA!$H$1037,DATA!$H$1037,IF(K299&gt;DATA!$H$1036*$B$25,DATA!$H$1036,1))</f>
        <v>0.8</v>
      </c>
      <c r="S299" s="156">
        <f t="shared" si="108"/>
        <v>9.9999999999999995E-8</v>
      </c>
      <c r="U299" s="140">
        <f t="shared" si="119"/>
        <v>3.4200000000000005E-5</v>
      </c>
      <c r="V299">
        <v>3.42</v>
      </c>
      <c r="W299" s="140">
        <f t="shared" si="120"/>
        <v>3.4199999999999991E-7</v>
      </c>
      <c r="X299" s="140">
        <f t="shared" si="121"/>
        <v>6.8400000000000004E-7</v>
      </c>
      <c r="Y299" s="140">
        <f t="shared" si="122"/>
        <v>1.026E-6</v>
      </c>
      <c r="Z299" s="140">
        <f t="shared" si="123"/>
        <v>1.3680000000000003E-6</v>
      </c>
      <c r="AA299" s="140">
        <f t="shared" si="124"/>
        <v>1.7100000000000004E-6</v>
      </c>
      <c r="AB299" s="157">
        <f>IF(U299&lt;$B$41*DATA!$H$1037,DATA!$H$1037,IF(U299&gt;DATA!$H$1036*$B$41,DATA!$H$1036,1))</f>
        <v>0.8</v>
      </c>
      <c r="AC299" s="156">
        <f t="shared" si="109"/>
        <v>9.9999999999999995E-8</v>
      </c>
      <c r="AE299" s="140">
        <f t="shared" si="125"/>
        <v>3.4200000000000005E-5</v>
      </c>
      <c r="AF299">
        <v>3.42</v>
      </c>
      <c r="AG299" s="140">
        <f t="shared" si="126"/>
        <v>3.4199999999999991E-7</v>
      </c>
      <c r="AH299" s="140">
        <f t="shared" si="127"/>
        <v>6.8400000000000004E-7</v>
      </c>
      <c r="AI299" s="140">
        <f t="shared" si="128"/>
        <v>1.026E-6</v>
      </c>
      <c r="AJ299" s="140">
        <f t="shared" si="129"/>
        <v>1.3680000000000003E-6</v>
      </c>
      <c r="AK299" s="140">
        <f t="shared" si="130"/>
        <v>1.7100000000000004E-6</v>
      </c>
      <c r="AL299" s="157">
        <f>IF(AE299&lt;$B$57*DATA!$H$1037,DATA!$H$1037,IF(AE299&gt;DATA!$H$1036*$B$57,DATA!$H$1036,1))</f>
        <v>1.2</v>
      </c>
      <c r="AM299" s="156">
        <f t="shared" si="110"/>
        <v>9.9999999999999995E-8</v>
      </c>
      <c r="AO299" s="140">
        <f t="shared" si="131"/>
        <v>3.4200000000000005E-5</v>
      </c>
      <c r="AP299">
        <v>3.42</v>
      </c>
      <c r="AQ299" s="140">
        <f t="shared" si="132"/>
        <v>3.4199999999999991E-7</v>
      </c>
      <c r="AR299" s="140">
        <f t="shared" si="133"/>
        <v>6.8400000000000004E-7</v>
      </c>
      <c r="AS299" s="140">
        <f t="shared" si="134"/>
        <v>1.026E-6</v>
      </c>
      <c r="AT299" s="140">
        <f t="shared" si="135"/>
        <v>1.3680000000000003E-6</v>
      </c>
      <c r="AU299" s="140">
        <f t="shared" si="136"/>
        <v>1.7100000000000004E-6</v>
      </c>
      <c r="AV299" s="157">
        <f>IF(AO299&lt;$B$73*DATA!$H$1037,DATA!$H$1037,IF(AO299&gt;DATA!$H$1036*$B$73,DATA!$H$1036,1))</f>
        <v>1.2</v>
      </c>
      <c r="AW299" s="156">
        <f t="shared" si="137"/>
        <v>9.9999999999999995E-8</v>
      </c>
      <c r="AY299" s="140">
        <f t="shared" si="138"/>
        <v>3.4200000000000005E-5</v>
      </c>
      <c r="AZ299">
        <v>3.42</v>
      </c>
      <c r="BA299" s="140">
        <f t="shared" si="139"/>
        <v>3.4199999999999991E-7</v>
      </c>
      <c r="BB299" s="140">
        <f t="shared" si="140"/>
        <v>6.8400000000000004E-7</v>
      </c>
      <c r="BC299" s="140">
        <f t="shared" si="141"/>
        <v>1.026E-6</v>
      </c>
      <c r="BD299" s="140">
        <f t="shared" si="142"/>
        <v>1.3680000000000003E-6</v>
      </c>
      <c r="BE299" s="140">
        <f t="shared" si="143"/>
        <v>1.7100000000000004E-6</v>
      </c>
      <c r="BF299" s="157">
        <f>IF(AY299&lt;$B$89*DATA!$H$1037,DATA!$H$1037,IF(AY299&gt;DATA!$H$1036*$B$89,DATA!$H$1036,1))</f>
        <v>1.2</v>
      </c>
      <c r="BG299" s="156">
        <f t="shared" si="144"/>
        <v>9.9999999999999995E-8</v>
      </c>
      <c r="BI299" s="140">
        <f t="shared" si="145"/>
        <v>3.4200000000000005E-5</v>
      </c>
      <c r="BJ299">
        <v>3.42</v>
      </c>
      <c r="BK299" s="140">
        <f t="shared" si="146"/>
        <v>3.4199999999999991E-7</v>
      </c>
      <c r="BL299" s="140">
        <f t="shared" si="147"/>
        <v>6.8400000000000004E-7</v>
      </c>
      <c r="BM299" s="140">
        <f t="shared" si="148"/>
        <v>1.026E-6</v>
      </c>
      <c r="BN299" s="140">
        <f t="shared" si="149"/>
        <v>1.3680000000000003E-6</v>
      </c>
      <c r="BO299" s="140">
        <f t="shared" si="150"/>
        <v>1.7100000000000004E-6</v>
      </c>
      <c r="BP299" s="157">
        <f>IF(BI299&lt;$B$105*DATA!$H$1037,DATA!$H$1037,IF(BI299&gt;DATA!$H$1036*$B$105,DATA!$H$1036,1))</f>
        <v>1.2</v>
      </c>
      <c r="BQ299" s="156">
        <f t="shared" si="151"/>
        <v>9.9999999999999995E-8</v>
      </c>
    </row>
    <row r="300" spans="1:69">
      <c r="A300" s="140">
        <f t="shared" si="111"/>
        <v>3.4400000000000003E-5</v>
      </c>
      <c r="B300">
        <v>3.44</v>
      </c>
      <c r="C300" s="140">
        <f t="shared" si="152"/>
        <v>3.439999999999999E-7</v>
      </c>
      <c r="D300" s="140">
        <f t="shared" si="152"/>
        <v>6.8799999999999991E-7</v>
      </c>
      <c r="E300" s="140">
        <f t="shared" si="152"/>
        <v>1.032E-6</v>
      </c>
      <c r="F300" s="140">
        <f t="shared" si="152"/>
        <v>1.376E-6</v>
      </c>
      <c r="G300" s="140">
        <f t="shared" si="152"/>
        <v>1.7200000000000003E-6</v>
      </c>
      <c r="H300" s="157">
        <f>IF(A300&lt;$B$9*DATA!$H$1037,DATA!$H$1037,IF(A300&gt;DATA!$H$1036*$B$9,DATA!$H$1036,1))</f>
        <v>0.8</v>
      </c>
      <c r="I300" s="156">
        <f t="shared" si="112"/>
        <v>9.9999999999999995E-8</v>
      </c>
      <c r="K300" s="140">
        <f t="shared" si="113"/>
        <v>3.4400000000000003E-5</v>
      </c>
      <c r="L300">
        <v>3.44</v>
      </c>
      <c r="M300" s="140">
        <f t="shared" si="114"/>
        <v>3.439999999999999E-7</v>
      </c>
      <c r="N300" s="140">
        <f t="shared" si="115"/>
        <v>6.8799999999999991E-7</v>
      </c>
      <c r="O300" s="140">
        <f t="shared" si="116"/>
        <v>1.032E-6</v>
      </c>
      <c r="P300" s="140">
        <f t="shared" si="117"/>
        <v>1.376E-6</v>
      </c>
      <c r="Q300" s="140">
        <f t="shared" si="118"/>
        <v>1.7200000000000003E-6</v>
      </c>
      <c r="R300" s="157">
        <f>IF(K300&lt;$B$25*DATA!$H$1037,DATA!$H$1037,IF(K300&gt;DATA!$H$1036*$B$25,DATA!$H$1036,1))</f>
        <v>0.8</v>
      </c>
      <c r="S300" s="156">
        <f t="shared" si="108"/>
        <v>9.9999999999999995E-8</v>
      </c>
      <c r="U300" s="140">
        <f t="shared" si="119"/>
        <v>3.4400000000000003E-5</v>
      </c>
      <c r="V300">
        <v>3.44</v>
      </c>
      <c r="W300" s="140">
        <f t="shared" si="120"/>
        <v>3.439999999999999E-7</v>
      </c>
      <c r="X300" s="140">
        <f t="shared" si="121"/>
        <v>6.8799999999999991E-7</v>
      </c>
      <c r="Y300" s="140">
        <f t="shared" si="122"/>
        <v>1.032E-6</v>
      </c>
      <c r="Z300" s="140">
        <f t="shared" si="123"/>
        <v>1.376E-6</v>
      </c>
      <c r="AA300" s="140">
        <f t="shared" si="124"/>
        <v>1.7200000000000003E-6</v>
      </c>
      <c r="AB300" s="157">
        <f>IF(U300&lt;$B$41*DATA!$H$1037,DATA!$H$1037,IF(U300&gt;DATA!$H$1036*$B$41,DATA!$H$1036,1))</f>
        <v>0.8</v>
      </c>
      <c r="AC300" s="156">
        <f t="shared" si="109"/>
        <v>9.9999999999999995E-8</v>
      </c>
      <c r="AE300" s="140">
        <f t="shared" si="125"/>
        <v>3.4400000000000003E-5</v>
      </c>
      <c r="AF300">
        <v>3.44</v>
      </c>
      <c r="AG300" s="140">
        <f t="shared" si="126"/>
        <v>3.439999999999999E-7</v>
      </c>
      <c r="AH300" s="140">
        <f t="shared" si="127"/>
        <v>6.8799999999999991E-7</v>
      </c>
      <c r="AI300" s="140">
        <f t="shared" si="128"/>
        <v>1.032E-6</v>
      </c>
      <c r="AJ300" s="140">
        <f t="shared" si="129"/>
        <v>1.376E-6</v>
      </c>
      <c r="AK300" s="140">
        <f t="shared" si="130"/>
        <v>1.7200000000000003E-6</v>
      </c>
      <c r="AL300" s="157">
        <f>IF(AE300&lt;$B$57*DATA!$H$1037,DATA!$H$1037,IF(AE300&gt;DATA!$H$1036*$B$57,DATA!$H$1036,1))</f>
        <v>1.2</v>
      </c>
      <c r="AM300" s="156">
        <f t="shared" si="110"/>
        <v>9.9999999999999995E-8</v>
      </c>
      <c r="AO300" s="140">
        <f t="shared" si="131"/>
        <v>3.4400000000000003E-5</v>
      </c>
      <c r="AP300">
        <v>3.44</v>
      </c>
      <c r="AQ300" s="140">
        <f t="shared" si="132"/>
        <v>3.439999999999999E-7</v>
      </c>
      <c r="AR300" s="140">
        <f t="shared" si="133"/>
        <v>6.8799999999999991E-7</v>
      </c>
      <c r="AS300" s="140">
        <f t="shared" si="134"/>
        <v>1.032E-6</v>
      </c>
      <c r="AT300" s="140">
        <f t="shared" si="135"/>
        <v>1.376E-6</v>
      </c>
      <c r="AU300" s="140">
        <f t="shared" si="136"/>
        <v>1.7200000000000003E-6</v>
      </c>
      <c r="AV300" s="157">
        <f>IF(AO300&lt;$B$73*DATA!$H$1037,DATA!$H$1037,IF(AO300&gt;DATA!$H$1036*$B$73,DATA!$H$1036,1))</f>
        <v>1.2</v>
      </c>
      <c r="AW300" s="156">
        <f t="shared" si="137"/>
        <v>9.9999999999999995E-8</v>
      </c>
      <c r="AY300" s="140">
        <f t="shared" si="138"/>
        <v>3.4400000000000003E-5</v>
      </c>
      <c r="AZ300">
        <v>3.44</v>
      </c>
      <c r="BA300" s="140">
        <f t="shared" si="139"/>
        <v>3.439999999999999E-7</v>
      </c>
      <c r="BB300" s="140">
        <f t="shared" si="140"/>
        <v>6.8799999999999991E-7</v>
      </c>
      <c r="BC300" s="140">
        <f t="shared" si="141"/>
        <v>1.032E-6</v>
      </c>
      <c r="BD300" s="140">
        <f t="shared" si="142"/>
        <v>1.376E-6</v>
      </c>
      <c r="BE300" s="140">
        <f t="shared" si="143"/>
        <v>1.7200000000000003E-6</v>
      </c>
      <c r="BF300" s="157">
        <f>IF(AY300&lt;$B$89*DATA!$H$1037,DATA!$H$1037,IF(AY300&gt;DATA!$H$1036*$B$89,DATA!$H$1036,1))</f>
        <v>1.2</v>
      </c>
      <c r="BG300" s="156">
        <f t="shared" si="144"/>
        <v>9.9999999999999995E-8</v>
      </c>
      <c r="BI300" s="140">
        <f t="shared" si="145"/>
        <v>3.4400000000000003E-5</v>
      </c>
      <c r="BJ300">
        <v>3.44</v>
      </c>
      <c r="BK300" s="140">
        <f t="shared" si="146"/>
        <v>3.439999999999999E-7</v>
      </c>
      <c r="BL300" s="140">
        <f t="shared" si="147"/>
        <v>6.8799999999999991E-7</v>
      </c>
      <c r="BM300" s="140">
        <f t="shared" si="148"/>
        <v>1.032E-6</v>
      </c>
      <c r="BN300" s="140">
        <f t="shared" si="149"/>
        <v>1.376E-6</v>
      </c>
      <c r="BO300" s="140">
        <f t="shared" si="150"/>
        <v>1.7200000000000003E-6</v>
      </c>
      <c r="BP300" s="157">
        <f>IF(BI300&lt;$B$105*DATA!$H$1037,DATA!$H$1037,IF(BI300&gt;DATA!$H$1036*$B$105,DATA!$H$1036,1))</f>
        <v>1.2</v>
      </c>
      <c r="BQ300" s="156">
        <f t="shared" si="151"/>
        <v>9.9999999999999995E-8</v>
      </c>
    </row>
    <row r="301" spans="1:69">
      <c r="A301" s="140">
        <f t="shared" si="111"/>
        <v>3.4600000000000001E-5</v>
      </c>
      <c r="B301">
        <v>3.46</v>
      </c>
      <c r="C301" s="140">
        <f t="shared" si="152"/>
        <v>3.459999999999999E-7</v>
      </c>
      <c r="D301" s="140">
        <f t="shared" si="152"/>
        <v>6.919999999999999E-7</v>
      </c>
      <c r="E301" s="140">
        <f t="shared" si="152"/>
        <v>1.0380000000000001E-6</v>
      </c>
      <c r="F301" s="140">
        <f t="shared" si="152"/>
        <v>1.384E-6</v>
      </c>
      <c r="G301" s="140">
        <f t="shared" si="152"/>
        <v>1.7300000000000002E-6</v>
      </c>
      <c r="H301" s="157">
        <f>IF(A301&lt;$B$9*DATA!$H$1037,DATA!$H$1037,IF(A301&gt;DATA!$H$1036*$B$9,DATA!$H$1036,1))</f>
        <v>0.8</v>
      </c>
      <c r="I301" s="156">
        <f t="shared" si="112"/>
        <v>9.9999999999999995E-8</v>
      </c>
      <c r="K301" s="140">
        <f t="shared" si="113"/>
        <v>3.4600000000000001E-5</v>
      </c>
      <c r="L301">
        <v>3.46</v>
      </c>
      <c r="M301" s="140">
        <f t="shared" si="114"/>
        <v>3.459999999999999E-7</v>
      </c>
      <c r="N301" s="140">
        <f t="shared" si="115"/>
        <v>6.919999999999999E-7</v>
      </c>
      <c r="O301" s="140">
        <f t="shared" si="116"/>
        <v>1.0380000000000001E-6</v>
      </c>
      <c r="P301" s="140">
        <f t="shared" si="117"/>
        <v>1.384E-6</v>
      </c>
      <c r="Q301" s="140">
        <f t="shared" si="118"/>
        <v>1.7300000000000002E-6</v>
      </c>
      <c r="R301" s="157">
        <f>IF(K301&lt;$B$25*DATA!$H$1037,DATA!$H$1037,IF(K301&gt;DATA!$H$1036*$B$25,DATA!$H$1036,1))</f>
        <v>0.8</v>
      </c>
      <c r="S301" s="156">
        <f t="shared" si="108"/>
        <v>9.9999999999999995E-8</v>
      </c>
      <c r="U301" s="140">
        <f t="shared" si="119"/>
        <v>3.4600000000000001E-5</v>
      </c>
      <c r="V301">
        <v>3.46</v>
      </c>
      <c r="W301" s="140">
        <f t="shared" si="120"/>
        <v>3.459999999999999E-7</v>
      </c>
      <c r="X301" s="140">
        <f t="shared" si="121"/>
        <v>6.919999999999999E-7</v>
      </c>
      <c r="Y301" s="140">
        <f t="shared" si="122"/>
        <v>1.0380000000000001E-6</v>
      </c>
      <c r="Z301" s="140">
        <f t="shared" si="123"/>
        <v>1.384E-6</v>
      </c>
      <c r="AA301" s="140">
        <f t="shared" si="124"/>
        <v>1.7300000000000002E-6</v>
      </c>
      <c r="AB301" s="157">
        <f>IF(U301&lt;$B$41*DATA!$H$1037,DATA!$H$1037,IF(U301&gt;DATA!$H$1036*$B$41,DATA!$H$1036,1))</f>
        <v>0.8</v>
      </c>
      <c r="AC301" s="156">
        <f t="shared" si="109"/>
        <v>9.9999999999999995E-8</v>
      </c>
      <c r="AE301" s="140">
        <f t="shared" si="125"/>
        <v>3.4600000000000001E-5</v>
      </c>
      <c r="AF301">
        <v>3.46</v>
      </c>
      <c r="AG301" s="140">
        <f t="shared" si="126"/>
        <v>3.459999999999999E-7</v>
      </c>
      <c r="AH301" s="140">
        <f t="shared" si="127"/>
        <v>6.919999999999999E-7</v>
      </c>
      <c r="AI301" s="140">
        <f t="shared" si="128"/>
        <v>1.0380000000000001E-6</v>
      </c>
      <c r="AJ301" s="140">
        <f t="shared" si="129"/>
        <v>1.384E-6</v>
      </c>
      <c r="AK301" s="140">
        <f t="shared" si="130"/>
        <v>1.7300000000000002E-6</v>
      </c>
      <c r="AL301" s="157">
        <f>IF(AE301&lt;$B$57*DATA!$H$1037,DATA!$H$1037,IF(AE301&gt;DATA!$H$1036*$B$57,DATA!$H$1036,1))</f>
        <v>1.2</v>
      </c>
      <c r="AM301" s="156">
        <f t="shared" si="110"/>
        <v>9.9999999999999995E-8</v>
      </c>
      <c r="AO301" s="140">
        <f t="shared" si="131"/>
        <v>3.4600000000000001E-5</v>
      </c>
      <c r="AP301">
        <v>3.46</v>
      </c>
      <c r="AQ301" s="140">
        <f t="shared" si="132"/>
        <v>3.459999999999999E-7</v>
      </c>
      <c r="AR301" s="140">
        <f t="shared" si="133"/>
        <v>6.919999999999999E-7</v>
      </c>
      <c r="AS301" s="140">
        <f t="shared" si="134"/>
        <v>1.0380000000000001E-6</v>
      </c>
      <c r="AT301" s="140">
        <f t="shared" si="135"/>
        <v>1.384E-6</v>
      </c>
      <c r="AU301" s="140">
        <f t="shared" si="136"/>
        <v>1.7300000000000002E-6</v>
      </c>
      <c r="AV301" s="157">
        <f>IF(AO301&lt;$B$73*DATA!$H$1037,DATA!$H$1037,IF(AO301&gt;DATA!$H$1036*$B$73,DATA!$H$1036,1))</f>
        <v>1.2</v>
      </c>
      <c r="AW301" s="156">
        <f t="shared" si="137"/>
        <v>9.9999999999999995E-8</v>
      </c>
      <c r="AY301" s="140">
        <f t="shared" si="138"/>
        <v>3.4600000000000001E-5</v>
      </c>
      <c r="AZ301">
        <v>3.46</v>
      </c>
      <c r="BA301" s="140">
        <f t="shared" si="139"/>
        <v>3.459999999999999E-7</v>
      </c>
      <c r="BB301" s="140">
        <f t="shared" si="140"/>
        <v>6.919999999999999E-7</v>
      </c>
      <c r="BC301" s="140">
        <f t="shared" si="141"/>
        <v>1.0380000000000001E-6</v>
      </c>
      <c r="BD301" s="140">
        <f t="shared" si="142"/>
        <v>1.384E-6</v>
      </c>
      <c r="BE301" s="140">
        <f t="shared" si="143"/>
        <v>1.7300000000000002E-6</v>
      </c>
      <c r="BF301" s="157">
        <f>IF(AY301&lt;$B$89*DATA!$H$1037,DATA!$H$1037,IF(AY301&gt;DATA!$H$1036*$B$89,DATA!$H$1036,1))</f>
        <v>1.2</v>
      </c>
      <c r="BG301" s="156">
        <f t="shared" si="144"/>
        <v>9.9999999999999995E-8</v>
      </c>
      <c r="BI301" s="140">
        <f t="shared" si="145"/>
        <v>3.4600000000000001E-5</v>
      </c>
      <c r="BJ301">
        <v>3.46</v>
      </c>
      <c r="BK301" s="140">
        <f t="shared" si="146"/>
        <v>3.459999999999999E-7</v>
      </c>
      <c r="BL301" s="140">
        <f t="shared" si="147"/>
        <v>6.919999999999999E-7</v>
      </c>
      <c r="BM301" s="140">
        <f t="shared" si="148"/>
        <v>1.0380000000000001E-6</v>
      </c>
      <c r="BN301" s="140">
        <f t="shared" si="149"/>
        <v>1.384E-6</v>
      </c>
      <c r="BO301" s="140">
        <f t="shared" si="150"/>
        <v>1.7300000000000002E-6</v>
      </c>
      <c r="BP301" s="157">
        <f>IF(BI301&lt;$B$105*DATA!$H$1037,DATA!$H$1037,IF(BI301&gt;DATA!$H$1036*$B$105,DATA!$H$1036,1))</f>
        <v>1.2</v>
      </c>
      <c r="BQ301" s="156">
        <f t="shared" si="151"/>
        <v>9.9999999999999995E-8</v>
      </c>
    </row>
    <row r="302" spans="1:69">
      <c r="A302" s="140">
        <f t="shared" si="111"/>
        <v>3.4800000000000006E-5</v>
      </c>
      <c r="B302">
        <v>3.48</v>
      </c>
      <c r="C302" s="140">
        <f t="shared" si="152"/>
        <v>3.4799999999999994E-7</v>
      </c>
      <c r="D302" s="140">
        <f t="shared" si="152"/>
        <v>6.9599999999999999E-7</v>
      </c>
      <c r="E302" s="140">
        <f t="shared" si="152"/>
        <v>1.0440000000000001E-6</v>
      </c>
      <c r="F302" s="140">
        <f t="shared" si="152"/>
        <v>1.3920000000000002E-6</v>
      </c>
      <c r="G302" s="140">
        <f t="shared" si="152"/>
        <v>1.7400000000000003E-6</v>
      </c>
      <c r="H302" s="157">
        <f>IF(A302&lt;$B$9*DATA!$H$1037,DATA!$H$1037,IF(A302&gt;DATA!$H$1036*$B$9,DATA!$H$1036,1))</f>
        <v>0.8</v>
      </c>
      <c r="I302" s="156">
        <f t="shared" si="112"/>
        <v>9.9999999999999995E-8</v>
      </c>
      <c r="K302" s="140">
        <f t="shared" si="113"/>
        <v>3.4800000000000006E-5</v>
      </c>
      <c r="L302">
        <v>3.48</v>
      </c>
      <c r="M302" s="140">
        <f t="shared" si="114"/>
        <v>3.4799999999999994E-7</v>
      </c>
      <c r="N302" s="140">
        <f t="shared" si="115"/>
        <v>6.9599999999999999E-7</v>
      </c>
      <c r="O302" s="140">
        <f t="shared" si="116"/>
        <v>1.0440000000000001E-6</v>
      </c>
      <c r="P302" s="140">
        <f t="shared" si="117"/>
        <v>1.3920000000000002E-6</v>
      </c>
      <c r="Q302" s="140">
        <f t="shared" si="118"/>
        <v>1.7400000000000003E-6</v>
      </c>
      <c r="R302" s="157">
        <f>IF(K302&lt;$B$25*DATA!$H$1037,DATA!$H$1037,IF(K302&gt;DATA!$H$1036*$B$25,DATA!$H$1036,1))</f>
        <v>0.8</v>
      </c>
      <c r="S302" s="156">
        <f t="shared" si="108"/>
        <v>9.9999999999999995E-8</v>
      </c>
      <c r="U302" s="140">
        <f t="shared" si="119"/>
        <v>3.4800000000000006E-5</v>
      </c>
      <c r="V302">
        <v>3.48</v>
      </c>
      <c r="W302" s="140">
        <f t="shared" si="120"/>
        <v>3.4799999999999994E-7</v>
      </c>
      <c r="X302" s="140">
        <f t="shared" si="121"/>
        <v>6.9599999999999999E-7</v>
      </c>
      <c r="Y302" s="140">
        <f t="shared" si="122"/>
        <v>1.0440000000000001E-6</v>
      </c>
      <c r="Z302" s="140">
        <f t="shared" si="123"/>
        <v>1.3920000000000002E-6</v>
      </c>
      <c r="AA302" s="140">
        <f t="shared" si="124"/>
        <v>1.7400000000000003E-6</v>
      </c>
      <c r="AB302" s="157">
        <f>IF(U302&lt;$B$41*DATA!$H$1037,DATA!$H$1037,IF(U302&gt;DATA!$H$1036*$B$41,DATA!$H$1036,1))</f>
        <v>0.8</v>
      </c>
      <c r="AC302" s="156">
        <f t="shared" si="109"/>
        <v>9.9999999999999995E-8</v>
      </c>
      <c r="AE302" s="140">
        <f t="shared" si="125"/>
        <v>3.4800000000000006E-5</v>
      </c>
      <c r="AF302">
        <v>3.48</v>
      </c>
      <c r="AG302" s="140">
        <f t="shared" si="126"/>
        <v>3.4799999999999994E-7</v>
      </c>
      <c r="AH302" s="140">
        <f t="shared" si="127"/>
        <v>6.9599999999999999E-7</v>
      </c>
      <c r="AI302" s="140">
        <f t="shared" si="128"/>
        <v>1.0440000000000001E-6</v>
      </c>
      <c r="AJ302" s="140">
        <f t="shared" si="129"/>
        <v>1.3920000000000002E-6</v>
      </c>
      <c r="AK302" s="140">
        <f t="shared" si="130"/>
        <v>1.7400000000000003E-6</v>
      </c>
      <c r="AL302" s="157">
        <f>IF(AE302&lt;$B$57*DATA!$H$1037,DATA!$H$1037,IF(AE302&gt;DATA!$H$1036*$B$57,DATA!$H$1036,1))</f>
        <v>1.2</v>
      </c>
      <c r="AM302" s="156">
        <f t="shared" si="110"/>
        <v>9.9999999999999995E-8</v>
      </c>
      <c r="AO302" s="140">
        <f t="shared" si="131"/>
        <v>3.4800000000000006E-5</v>
      </c>
      <c r="AP302">
        <v>3.48</v>
      </c>
      <c r="AQ302" s="140">
        <f t="shared" si="132"/>
        <v>3.4799999999999994E-7</v>
      </c>
      <c r="AR302" s="140">
        <f t="shared" si="133"/>
        <v>6.9599999999999999E-7</v>
      </c>
      <c r="AS302" s="140">
        <f t="shared" si="134"/>
        <v>1.0440000000000001E-6</v>
      </c>
      <c r="AT302" s="140">
        <f t="shared" si="135"/>
        <v>1.3920000000000002E-6</v>
      </c>
      <c r="AU302" s="140">
        <f t="shared" si="136"/>
        <v>1.7400000000000003E-6</v>
      </c>
      <c r="AV302" s="157">
        <f>IF(AO302&lt;$B$73*DATA!$H$1037,DATA!$H$1037,IF(AO302&gt;DATA!$H$1036*$B$73,DATA!$H$1036,1))</f>
        <v>1.2</v>
      </c>
      <c r="AW302" s="156">
        <f t="shared" si="137"/>
        <v>9.9999999999999995E-8</v>
      </c>
      <c r="AY302" s="140">
        <f t="shared" si="138"/>
        <v>3.4800000000000006E-5</v>
      </c>
      <c r="AZ302">
        <v>3.48</v>
      </c>
      <c r="BA302" s="140">
        <f t="shared" si="139"/>
        <v>3.4799999999999994E-7</v>
      </c>
      <c r="BB302" s="140">
        <f t="shared" si="140"/>
        <v>6.9599999999999999E-7</v>
      </c>
      <c r="BC302" s="140">
        <f t="shared" si="141"/>
        <v>1.0440000000000001E-6</v>
      </c>
      <c r="BD302" s="140">
        <f t="shared" si="142"/>
        <v>1.3920000000000002E-6</v>
      </c>
      <c r="BE302" s="140">
        <f t="shared" si="143"/>
        <v>1.7400000000000003E-6</v>
      </c>
      <c r="BF302" s="157">
        <f>IF(AY302&lt;$B$89*DATA!$H$1037,DATA!$H$1037,IF(AY302&gt;DATA!$H$1036*$B$89,DATA!$H$1036,1))</f>
        <v>1.2</v>
      </c>
      <c r="BG302" s="156">
        <f t="shared" si="144"/>
        <v>9.9999999999999995E-8</v>
      </c>
      <c r="BI302" s="140">
        <f t="shared" si="145"/>
        <v>3.4800000000000006E-5</v>
      </c>
      <c r="BJ302">
        <v>3.48</v>
      </c>
      <c r="BK302" s="140">
        <f t="shared" si="146"/>
        <v>3.4799999999999994E-7</v>
      </c>
      <c r="BL302" s="140">
        <f t="shared" si="147"/>
        <v>6.9599999999999999E-7</v>
      </c>
      <c r="BM302" s="140">
        <f t="shared" si="148"/>
        <v>1.0440000000000001E-6</v>
      </c>
      <c r="BN302" s="140">
        <f t="shared" si="149"/>
        <v>1.3920000000000002E-6</v>
      </c>
      <c r="BO302" s="140">
        <f t="shared" si="150"/>
        <v>1.7400000000000003E-6</v>
      </c>
      <c r="BP302" s="157">
        <f>IF(BI302&lt;$B$105*DATA!$H$1037,DATA!$H$1037,IF(BI302&gt;DATA!$H$1036*$B$105,DATA!$H$1036,1))</f>
        <v>1.2</v>
      </c>
      <c r="BQ302" s="156">
        <f t="shared" si="151"/>
        <v>9.9999999999999995E-8</v>
      </c>
    </row>
    <row r="303" spans="1:69">
      <c r="A303" s="140">
        <f t="shared" si="111"/>
        <v>3.5000000000000004E-5</v>
      </c>
      <c r="B303">
        <v>3.5</v>
      </c>
      <c r="C303" s="140">
        <f t="shared" ref="C303:G318" si="153">C$142*$A303</f>
        <v>3.4999999999999993E-7</v>
      </c>
      <c r="D303" s="140">
        <f t="shared" si="153"/>
        <v>6.9999999999999997E-7</v>
      </c>
      <c r="E303" s="140">
        <f t="shared" si="153"/>
        <v>1.0500000000000001E-6</v>
      </c>
      <c r="F303" s="140">
        <f t="shared" si="153"/>
        <v>1.4000000000000001E-6</v>
      </c>
      <c r="G303" s="140">
        <f t="shared" si="153"/>
        <v>1.7500000000000002E-6</v>
      </c>
      <c r="H303" s="157">
        <f>IF(A303&lt;$B$9*DATA!$H$1037,DATA!$H$1037,IF(A303&gt;DATA!$H$1036*$B$9,DATA!$H$1036,1))</f>
        <v>0.8</v>
      </c>
      <c r="I303" s="156">
        <f t="shared" si="112"/>
        <v>9.9999999999999995E-8</v>
      </c>
      <c r="K303" s="140">
        <f t="shared" si="113"/>
        <v>3.5000000000000004E-5</v>
      </c>
      <c r="L303">
        <v>3.5</v>
      </c>
      <c r="M303" s="140">
        <f t="shared" si="114"/>
        <v>3.4999999999999993E-7</v>
      </c>
      <c r="N303" s="140">
        <f t="shared" si="115"/>
        <v>6.9999999999999997E-7</v>
      </c>
      <c r="O303" s="140">
        <f t="shared" si="116"/>
        <v>1.0500000000000001E-6</v>
      </c>
      <c r="P303" s="140">
        <f t="shared" si="117"/>
        <v>1.4000000000000001E-6</v>
      </c>
      <c r="Q303" s="140">
        <f t="shared" si="118"/>
        <v>1.7500000000000002E-6</v>
      </c>
      <c r="R303" s="157">
        <f>IF(K303&lt;$B$25*DATA!$H$1037,DATA!$H$1037,IF(K303&gt;DATA!$H$1036*$B$25,DATA!$H$1036,1))</f>
        <v>0.8</v>
      </c>
      <c r="S303" s="156">
        <f t="shared" ref="S303:S318" si="154">IF(OR(L$134=0,L$133=0),0.0000001,IF(R303=1,L$134,K303*((L$134*L$138)/(R303*L$133)+0.023*LOG10(R303*L$133/K303))/L$138))</f>
        <v>9.9999999999999995E-8</v>
      </c>
      <c r="U303" s="140">
        <f t="shared" si="119"/>
        <v>3.5000000000000004E-5</v>
      </c>
      <c r="V303">
        <v>3.5</v>
      </c>
      <c r="W303" s="140">
        <f t="shared" si="120"/>
        <v>3.4999999999999993E-7</v>
      </c>
      <c r="X303" s="140">
        <f t="shared" si="121"/>
        <v>6.9999999999999997E-7</v>
      </c>
      <c r="Y303" s="140">
        <f t="shared" si="122"/>
        <v>1.0500000000000001E-6</v>
      </c>
      <c r="Z303" s="140">
        <f t="shared" si="123"/>
        <v>1.4000000000000001E-6</v>
      </c>
      <c r="AA303" s="140">
        <f t="shared" si="124"/>
        <v>1.7500000000000002E-6</v>
      </c>
      <c r="AB303" s="157">
        <f>IF(U303&lt;$B$41*DATA!$H$1037,DATA!$H$1037,IF(U303&gt;DATA!$H$1036*$B$41,DATA!$H$1036,1))</f>
        <v>0.8</v>
      </c>
      <c r="AC303" s="156">
        <f t="shared" ref="AC303:AC318" si="155">IF(OR(V$134=0,V$133=0),0.0000001,IF(AB303=1,V$134,U303*((V$134*V$138)/(AB303*V$133)+0.023*LOG10(AB303*V$133/U303))/V$138))</f>
        <v>9.9999999999999995E-8</v>
      </c>
      <c r="AE303" s="140">
        <f t="shared" si="125"/>
        <v>3.5000000000000004E-5</v>
      </c>
      <c r="AF303">
        <v>3.5</v>
      </c>
      <c r="AG303" s="140">
        <f t="shared" si="126"/>
        <v>3.4999999999999993E-7</v>
      </c>
      <c r="AH303" s="140">
        <f t="shared" si="127"/>
        <v>6.9999999999999997E-7</v>
      </c>
      <c r="AI303" s="140">
        <f t="shared" si="128"/>
        <v>1.0500000000000001E-6</v>
      </c>
      <c r="AJ303" s="140">
        <f t="shared" si="129"/>
        <v>1.4000000000000001E-6</v>
      </c>
      <c r="AK303" s="140">
        <f t="shared" si="130"/>
        <v>1.7500000000000002E-6</v>
      </c>
      <c r="AL303" s="157">
        <f>IF(AE303&lt;$B$57*DATA!$H$1037,DATA!$H$1037,IF(AE303&gt;DATA!$H$1036*$B$57,DATA!$H$1036,1))</f>
        <v>1.2</v>
      </c>
      <c r="AM303" s="156">
        <f t="shared" ref="AM303:AM318" si="156">IF(OR(AF$134=0,AF$133=0),0.0000001,IF(AL303=1,AF$134,AE303*((AF$134*AF$138)/(AL303*AF$133)+0.023*LOG10(AL303*AF$133/AE303))/AF$138))</f>
        <v>9.9999999999999995E-8</v>
      </c>
      <c r="AO303" s="140">
        <f t="shared" si="131"/>
        <v>3.5000000000000004E-5</v>
      </c>
      <c r="AP303">
        <v>3.5</v>
      </c>
      <c r="AQ303" s="140">
        <f t="shared" si="132"/>
        <v>3.4999999999999993E-7</v>
      </c>
      <c r="AR303" s="140">
        <f t="shared" si="133"/>
        <v>6.9999999999999997E-7</v>
      </c>
      <c r="AS303" s="140">
        <f t="shared" si="134"/>
        <v>1.0500000000000001E-6</v>
      </c>
      <c r="AT303" s="140">
        <f t="shared" si="135"/>
        <v>1.4000000000000001E-6</v>
      </c>
      <c r="AU303" s="140">
        <f t="shared" si="136"/>
        <v>1.7500000000000002E-6</v>
      </c>
      <c r="AV303" s="157">
        <f>IF(AO303&lt;$B$73*DATA!$H$1037,DATA!$H$1037,IF(AO303&gt;DATA!$H$1036*$B$73,DATA!$H$1036,1))</f>
        <v>1.2</v>
      </c>
      <c r="AW303" s="156">
        <f t="shared" si="137"/>
        <v>9.9999999999999995E-8</v>
      </c>
      <c r="AY303" s="140">
        <f t="shared" si="138"/>
        <v>3.5000000000000004E-5</v>
      </c>
      <c r="AZ303">
        <v>3.5</v>
      </c>
      <c r="BA303" s="140">
        <f t="shared" si="139"/>
        <v>3.4999999999999993E-7</v>
      </c>
      <c r="BB303" s="140">
        <f t="shared" si="140"/>
        <v>6.9999999999999997E-7</v>
      </c>
      <c r="BC303" s="140">
        <f t="shared" si="141"/>
        <v>1.0500000000000001E-6</v>
      </c>
      <c r="BD303" s="140">
        <f t="shared" si="142"/>
        <v>1.4000000000000001E-6</v>
      </c>
      <c r="BE303" s="140">
        <f t="shared" si="143"/>
        <v>1.7500000000000002E-6</v>
      </c>
      <c r="BF303" s="157">
        <f>IF(AY303&lt;$B$89*DATA!$H$1037,DATA!$H$1037,IF(AY303&gt;DATA!$H$1036*$B$89,DATA!$H$1036,1))</f>
        <v>1.2</v>
      </c>
      <c r="BG303" s="156">
        <f t="shared" si="144"/>
        <v>9.9999999999999995E-8</v>
      </c>
      <c r="BI303" s="140">
        <f t="shared" si="145"/>
        <v>3.5000000000000004E-5</v>
      </c>
      <c r="BJ303">
        <v>3.5</v>
      </c>
      <c r="BK303" s="140">
        <f t="shared" si="146"/>
        <v>3.4999999999999993E-7</v>
      </c>
      <c r="BL303" s="140">
        <f t="shared" si="147"/>
        <v>6.9999999999999997E-7</v>
      </c>
      <c r="BM303" s="140">
        <f t="shared" si="148"/>
        <v>1.0500000000000001E-6</v>
      </c>
      <c r="BN303" s="140">
        <f t="shared" si="149"/>
        <v>1.4000000000000001E-6</v>
      </c>
      <c r="BO303" s="140">
        <f t="shared" si="150"/>
        <v>1.7500000000000002E-6</v>
      </c>
      <c r="BP303" s="157">
        <f>IF(BI303&lt;$B$105*DATA!$H$1037,DATA!$H$1037,IF(BI303&gt;DATA!$H$1036*$B$105,DATA!$H$1036,1))</f>
        <v>1.2</v>
      </c>
      <c r="BQ303" s="156">
        <f t="shared" si="151"/>
        <v>9.9999999999999995E-8</v>
      </c>
    </row>
    <row r="304" spans="1:69">
      <c r="A304" s="140">
        <f t="shared" si="111"/>
        <v>3.5200000000000002E-5</v>
      </c>
      <c r="B304">
        <v>3.52</v>
      </c>
      <c r="C304" s="140">
        <f t="shared" si="153"/>
        <v>3.5199999999999992E-7</v>
      </c>
      <c r="D304" s="140">
        <f t="shared" si="153"/>
        <v>7.0399999999999995E-7</v>
      </c>
      <c r="E304" s="140">
        <f t="shared" si="153"/>
        <v>1.0559999999999999E-6</v>
      </c>
      <c r="F304" s="140">
        <f t="shared" si="153"/>
        <v>1.4080000000000001E-6</v>
      </c>
      <c r="G304" s="140">
        <f t="shared" si="153"/>
        <v>1.7600000000000001E-6</v>
      </c>
      <c r="H304" s="157">
        <f>IF(A304&lt;$B$9*DATA!$H$1037,DATA!$H$1037,IF(A304&gt;DATA!$H$1036*$B$9,DATA!$H$1036,1))</f>
        <v>0.8</v>
      </c>
      <c r="I304" s="156">
        <f t="shared" ref="I304:I318" si="157">IF(OR(B$134=0,$B$133=0),0.0000001,IF(H304=1,$B$134,A304*(($B$134*$B$138)/(H304*$B$133)+0.023*LOG10(H304*$B$133/A304))/$B$138))</f>
        <v>9.9999999999999995E-8</v>
      </c>
      <c r="K304" s="140">
        <f t="shared" si="113"/>
        <v>3.5200000000000002E-5</v>
      </c>
      <c r="L304">
        <v>3.52</v>
      </c>
      <c r="M304" s="140">
        <f t="shared" si="114"/>
        <v>3.5199999999999992E-7</v>
      </c>
      <c r="N304" s="140">
        <f t="shared" si="115"/>
        <v>7.0399999999999995E-7</v>
      </c>
      <c r="O304" s="140">
        <f t="shared" si="116"/>
        <v>1.0559999999999999E-6</v>
      </c>
      <c r="P304" s="140">
        <f t="shared" si="117"/>
        <v>1.4080000000000001E-6</v>
      </c>
      <c r="Q304" s="140">
        <f t="shared" si="118"/>
        <v>1.7600000000000001E-6</v>
      </c>
      <c r="R304" s="157">
        <f>IF(K304&lt;$B$25*DATA!$H$1037,DATA!$H$1037,IF(K304&gt;DATA!$H$1036*$B$25,DATA!$H$1036,1))</f>
        <v>0.8</v>
      </c>
      <c r="S304" s="156">
        <f t="shared" si="154"/>
        <v>9.9999999999999995E-8</v>
      </c>
      <c r="U304" s="140">
        <f t="shared" si="119"/>
        <v>3.5200000000000002E-5</v>
      </c>
      <c r="V304">
        <v>3.52</v>
      </c>
      <c r="W304" s="140">
        <f t="shared" si="120"/>
        <v>3.5199999999999992E-7</v>
      </c>
      <c r="X304" s="140">
        <f t="shared" si="121"/>
        <v>7.0399999999999995E-7</v>
      </c>
      <c r="Y304" s="140">
        <f t="shared" si="122"/>
        <v>1.0559999999999999E-6</v>
      </c>
      <c r="Z304" s="140">
        <f t="shared" si="123"/>
        <v>1.4080000000000001E-6</v>
      </c>
      <c r="AA304" s="140">
        <f t="shared" si="124"/>
        <v>1.7600000000000001E-6</v>
      </c>
      <c r="AB304" s="157">
        <f>IF(U304&lt;$B$41*DATA!$H$1037,DATA!$H$1037,IF(U304&gt;DATA!$H$1036*$B$41,DATA!$H$1036,1))</f>
        <v>0.8</v>
      </c>
      <c r="AC304" s="156">
        <f t="shared" si="155"/>
        <v>9.9999999999999995E-8</v>
      </c>
      <c r="AE304" s="140">
        <f t="shared" si="125"/>
        <v>3.5200000000000002E-5</v>
      </c>
      <c r="AF304">
        <v>3.52</v>
      </c>
      <c r="AG304" s="140">
        <f t="shared" si="126"/>
        <v>3.5199999999999992E-7</v>
      </c>
      <c r="AH304" s="140">
        <f t="shared" si="127"/>
        <v>7.0399999999999995E-7</v>
      </c>
      <c r="AI304" s="140">
        <f t="shared" si="128"/>
        <v>1.0559999999999999E-6</v>
      </c>
      <c r="AJ304" s="140">
        <f t="shared" si="129"/>
        <v>1.4080000000000001E-6</v>
      </c>
      <c r="AK304" s="140">
        <f t="shared" si="130"/>
        <v>1.7600000000000001E-6</v>
      </c>
      <c r="AL304" s="157">
        <f>IF(AE304&lt;$B$57*DATA!$H$1037,DATA!$H$1037,IF(AE304&gt;DATA!$H$1036*$B$57,DATA!$H$1036,1))</f>
        <v>1.2</v>
      </c>
      <c r="AM304" s="156">
        <f t="shared" si="156"/>
        <v>9.9999999999999995E-8</v>
      </c>
      <c r="AO304" s="140">
        <f t="shared" si="131"/>
        <v>3.5200000000000002E-5</v>
      </c>
      <c r="AP304">
        <v>3.52</v>
      </c>
      <c r="AQ304" s="140">
        <f t="shared" si="132"/>
        <v>3.5199999999999992E-7</v>
      </c>
      <c r="AR304" s="140">
        <f t="shared" si="133"/>
        <v>7.0399999999999995E-7</v>
      </c>
      <c r="AS304" s="140">
        <f t="shared" si="134"/>
        <v>1.0559999999999999E-6</v>
      </c>
      <c r="AT304" s="140">
        <f t="shared" si="135"/>
        <v>1.4080000000000001E-6</v>
      </c>
      <c r="AU304" s="140">
        <f t="shared" si="136"/>
        <v>1.7600000000000001E-6</v>
      </c>
      <c r="AV304" s="157">
        <f>IF(AO304&lt;$B$73*DATA!$H$1037,DATA!$H$1037,IF(AO304&gt;DATA!$H$1036*$B$73,DATA!$H$1036,1))</f>
        <v>1.2</v>
      </c>
      <c r="AW304" s="156">
        <f t="shared" si="137"/>
        <v>9.9999999999999995E-8</v>
      </c>
      <c r="AY304" s="140">
        <f t="shared" si="138"/>
        <v>3.5200000000000002E-5</v>
      </c>
      <c r="AZ304">
        <v>3.52</v>
      </c>
      <c r="BA304" s="140">
        <f t="shared" si="139"/>
        <v>3.5199999999999992E-7</v>
      </c>
      <c r="BB304" s="140">
        <f t="shared" si="140"/>
        <v>7.0399999999999995E-7</v>
      </c>
      <c r="BC304" s="140">
        <f t="shared" si="141"/>
        <v>1.0559999999999999E-6</v>
      </c>
      <c r="BD304" s="140">
        <f t="shared" si="142"/>
        <v>1.4080000000000001E-6</v>
      </c>
      <c r="BE304" s="140">
        <f t="shared" si="143"/>
        <v>1.7600000000000001E-6</v>
      </c>
      <c r="BF304" s="157">
        <f>IF(AY304&lt;$B$89*DATA!$H$1037,DATA!$H$1037,IF(AY304&gt;DATA!$H$1036*$B$89,DATA!$H$1036,1))</f>
        <v>1.2</v>
      </c>
      <c r="BG304" s="156">
        <f t="shared" si="144"/>
        <v>9.9999999999999995E-8</v>
      </c>
      <c r="BI304" s="140">
        <f t="shared" si="145"/>
        <v>3.5200000000000002E-5</v>
      </c>
      <c r="BJ304">
        <v>3.52</v>
      </c>
      <c r="BK304" s="140">
        <f t="shared" si="146"/>
        <v>3.5199999999999992E-7</v>
      </c>
      <c r="BL304" s="140">
        <f t="shared" si="147"/>
        <v>7.0399999999999995E-7</v>
      </c>
      <c r="BM304" s="140">
        <f t="shared" si="148"/>
        <v>1.0559999999999999E-6</v>
      </c>
      <c r="BN304" s="140">
        <f t="shared" si="149"/>
        <v>1.4080000000000001E-6</v>
      </c>
      <c r="BO304" s="140">
        <f t="shared" si="150"/>
        <v>1.7600000000000001E-6</v>
      </c>
      <c r="BP304" s="157">
        <f>IF(BI304&lt;$B$105*DATA!$H$1037,DATA!$H$1037,IF(BI304&gt;DATA!$H$1036*$B$105,DATA!$H$1036,1))</f>
        <v>1.2</v>
      </c>
      <c r="BQ304" s="156">
        <f t="shared" si="151"/>
        <v>9.9999999999999995E-8</v>
      </c>
    </row>
    <row r="305" spans="1:69">
      <c r="A305" s="140">
        <f t="shared" si="111"/>
        <v>3.54E-5</v>
      </c>
      <c r="B305">
        <v>3.54</v>
      </c>
      <c r="C305" s="140">
        <f t="shared" si="153"/>
        <v>3.5399999999999986E-7</v>
      </c>
      <c r="D305" s="140">
        <f t="shared" si="153"/>
        <v>7.0799999999999993E-7</v>
      </c>
      <c r="E305" s="140">
        <f t="shared" si="153"/>
        <v>1.062E-6</v>
      </c>
      <c r="F305" s="140">
        <f t="shared" si="153"/>
        <v>1.4160000000000001E-6</v>
      </c>
      <c r="G305" s="140">
        <f t="shared" si="153"/>
        <v>1.77E-6</v>
      </c>
      <c r="H305" s="157">
        <f>IF(A305&lt;$B$9*DATA!$H$1037,DATA!$H$1037,IF(A305&gt;DATA!$H$1036*$B$9,DATA!$H$1036,1))</f>
        <v>0.8</v>
      </c>
      <c r="I305" s="156">
        <f t="shared" si="157"/>
        <v>9.9999999999999995E-8</v>
      </c>
      <c r="K305" s="140">
        <f t="shared" si="113"/>
        <v>3.54E-5</v>
      </c>
      <c r="L305">
        <v>3.54</v>
      </c>
      <c r="M305" s="140">
        <f t="shared" si="114"/>
        <v>3.5399999999999986E-7</v>
      </c>
      <c r="N305" s="140">
        <f t="shared" si="115"/>
        <v>7.0799999999999993E-7</v>
      </c>
      <c r="O305" s="140">
        <f t="shared" si="116"/>
        <v>1.062E-6</v>
      </c>
      <c r="P305" s="140">
        <f t="shared" si="117"/>
        <v>1.4160000000000001E-6</v>
      </c>
      <c r="Q305" s="140">
        <f t="shared" si="118"/>
        <v>1.77E-6</v>
      </c>
      <c r="R305" s="157">
        <f>IF(K305&lt;$B$25*DATA!$H$1037,DATA!$H$1037,IF(K305&gt;DATA!$H$1036*$B$25,DATA!$H$1036,1))</f>
        <v>0.8</v>
      </c>
      <c r="S305" s="156">
        <f t="shared" si="154"/>
        <v>9.9999999999999995E-8</v>
      </c>
      <c r="U305" s="140">
        <f t="shared" si="119"/>
        <v>3.54E-5</v>
      </c>
      <c r="V305">
        <v>3.54</v>
      </c>
      <c r="W305" s="140">
        <f t="shared" si="120"/>
        <v>3.5399999999999986E-7</v>
      </c>
      <c r="X305" s="140">
        <f t="shared" si="121"/>
        <v>7.0799999999999993E-7</v>
      </c>
      <c r="Y305" s="140">
        <f t="shared" si="122"/>
        <v>1.062E-6</v>
      </c>
      <c r="Z305" s="140">
        <f t="shared" si="123"/>
        <v>1.4160000000000001E-6</v>
      </c>
      <c r="AA305" s="140">
        <f t="shared" si="124"/>
        <v>1.77E-6</v>
      </c>
      <c r="AB305" s="157">
        <f>IF(U305&lt;$B$41*DATA!$H$1037,DATA!$H$1037,IF(U305&gt;DATA!$H$1036*$B$41,DATA!$H$1036,1))</f>
        <v>0.8</v>
      </c>
      <c r="AC305" s="156">
        <f t="shared" si="155"/>
        <v>9.9999999999999995E-8</v>
      </c>
      <c r="AE305" s="140">
        <f t="shared" si="125"/>
        <v>3.54E-5</v>
      </c>
      <c r="AF305">
        <v>3.54</v>
      </c>
      <c r="AG305" s="140">
        <f t="shared" si="126"/>
        <v>3.5399999999999986E-7</v>
      </c>
      <c r="AH305" s="140">
        <f t="shared" si="127"/>
        <v>7.0799999999999993E-7</v>
      </c>
      <c r="AI305" s="140">
        <f t="shared" si="128"/>
        <v>1.062E-6</v>
      </c>
      <c r="AJ305" s="140">
        <f t="shared" si="129"/>
        <v>1.4160000000000001E-6</v>
      </c>
      <c r="AK305" s="140">
        <f t="shared" si="130"/>
        <v>1.77E-6</v>
      </c>
      <c r="AL305" s="157">
        <f>IF(AE305&lt;$B$57*DATA!$H$1037,DATA!$H$1037,IF(AE305&gt;DATA!$H$1036*$B$57,DATA!$H$1036,1))</f>
        <v>1.2</v>
      </c>
      <c r="AM305" s="156">
        <f t="shared" si="156"/>
        <v>9.9999999999999995E-8</v>
      </c>
      <c r="AO305" s="140">
        <f t="shared" si="131"/>
        <v>3.54E-5</v>
      </c>
      <c r="AP305">
        <v>3.54</v>
      </c>
      <c r="AQ305" s="140">
        <f t="shared" si="132"/>
        <v>3.5399999999999986E-7</v>
      </c>
      <c r="AR305" s="140">
        <f t="shared" si="133"/>
        <v>7.0799999999999993E-7</v>
      </c>
      <c r="AS305" s="140">
        <f t="shared" si="134"/>
        <v>1.062E-6</v>
      </c>
      <c r="AT305" s="140">
        <f t="shared" si="135"/>
        <v>1.4160000000000001E-6</v>
      </c>
      <c r="AU305" s="140">
        <f t="shared" si="136"/>
        <v>1.77E-6</v>
      </c>
      <c r="AV305" s="157">
        <f>IF(AO305&lt;$B$73*DATA!$H$1037,DATA!$H$1037,IF(AO305&gt;DATA!$H$1036*$B$73,DATA!$H$1036,1))</f>
        <v>1.2</v>
      </c>
      <c r="AW305" s="156">
        <f t="shared" si="137"/>
        <v>9.9999999999999995E-8</v>
      </c>
      <c r="AY305" s="140">
        <f t="shared" si="138"/>
        <v>3.54E-5</v>
      </c>
      <c r="AZ305">
        <v>3.54</v>
      </c>
      <c r="BA305" s="140">
        <f t="shared" si="139"/>
        <v>3.5399999999999986E-7</v>
      </c>
      <c r="BB305" s="140">
        <f t="shared" si="140"/>
        <v>7.0799999999999993E-7</v>
      </c>
      <c r="BC305" s="140">
        <f t="shared" si="141"/>
        <v>1.062E-6</v>
      </c>
      <c r="BD305" s="140">
        <f t="shared" si="142"/>
        <v>1.4160000000000001E-6</v>
      </c>
      <c r="BE305" s="140">
        <f t="shared" si="143"/>
        <v>1.77E-6</v>
      </c>
      <c r="BF305" s="157">
        <f>IF(AY305&lt;$B$89*DATA!$H$1037,DATA!$H$1037,IF(AY305&gt;DATA!$H$1036*$B$89,DATA!$H$1036,1))</f>
        <v>1.2</v>
      </c>
      <c r="BG305" s="156">
        <f t="shared" si="144"/>
        <v>9.9999999999999995E-8</v>
      </c>
      <c r="BI305" s="140">
        <f t="shared" si="145"/>
        <v>3.54E-5</v>
      </c>
      <c r="BJ305">
        <v>3.54</v>
      </c>
      <c r="BK305" s="140">
        <f t="shared" si="146"/>
        <v>3.5399999999999986E-7</v>
      </c>
      <c r="BL305" s="140">
        <f t="shared" si="147"/>
        <v>7.0799999999999993E-7</v>
      </c>
      <c r="BM305" s="140">
        <f t="shared" si="148"/>
        <v>1.062E-6</v>
      </c>
      <c r="BN305" s="140">
        <f t="shared" si="149"/>
        <v>1.4160000000000001E-6</v>
      </c>
      <c r="BO305" s="140">
        <f t="shared" si="150"/>
        <v>1.77E-6</v>
      </c>
      <c r="BP305" s="157">
        <f>IF(BI305&lt;$B$105*DATA!$H$1037,DATA!$H$1037,IF(BI305&gt;DATA!$H$1036*$B$105,DATA!$H$1036,1))</f>
        <v>1.2</v>
      </c>
      <c r="BQ305" s="156">
        <f t="shared" si="151"/>
        <v>9.9999999999999995E-8</v>
      </c>
    </row>
    <row r="306" spans="1:69">
      <c r="A306" s="140">
        <f t="shared" si="111"/>
        <v>3.5600000000000005E-5</v>
      </c>
      <c r="B306">
        <v>3.56</v>
      </c>
      <c r="C306" s="140">
        <f t="shared" si="153"/>
        <v>3.5599999999999991E-7</v>
      </c>
      <c r="D306" s="140">
        <f t="shared" si="153"/>
        <v>7.1200000000000002E-7</v>
      </c>
      <c r="E306" s="140">
        <f t="shared" si="153"/>
        <v>1.0680000000000002E-6</v>
      </c>
      <c r="F306" s="140">
        <f t="shared" si="153"/>
        <v>1.4240000000000003E-6</v>
      </c>
      <c r="G306" s="140">
        <f t="shared" si="153"/>
        <v>1.7800000000000003E-6</v>
      </c>
      <c r="H306" s="157">
        <f>IF(A306&lt;$B$9*DATA!$H$1037,DATA!$H$1037,IF(A306&gt;DATA!$H$1036*$B$9,DATA!$H$1036,1))</f>
        <v>0.8</v>
      </c>
      <c r="I306" s="156">
        <f t="shared" si="157"/>
        <v>9.9999999999999995E-8</v>
      </c>
      <c r="K306" s="140">
        <f t="shared" si="113"/>
        <v>3.5600000000000005E-5</v>
      </c>
      <c r="L306">
        <v>3.56</v>
      </c>
      <c r="M306" s="140">
        <f t="shared" si="114"/>
        <v>3.5599999999999991E-7</v>
      </c>
      <c r="N306" s="140">
        <f t="shared" si="115"/>
        <v>7.1200000000000002E-7</v>
      </c>
      <c r="O306" s="140">
        <f t="shared" si="116"/>
        <v>1.0680000000000002E-6</v>
      </c>
      <c r="P306" s="140">
        <f t="shared" si="117"/>
        <v>1.4240000000000003E-6</v>
      </c>
      <c r="Q306" s="140">
        <f t="shared" si="118"/>
        <v>1.7800000000000003E-6</v>
      </c>
      <c r="R306" s="157">
        <f>IF(K306&lt;$B$25*DATA!$H$1037,DATA!$H$1037,IF(K306&gt;DATA!$H$1036*$B$25,DATA!$H$1036,1))</f>
        <v>0.8</v>
      </c>
      <c r="S306" s="156">
        <f t="shared" si="154"/>
        <v>9.9999999999999995E-8</v>
      </c>
      <c r="U306" s="140">
        <f t="shared" si="119"/>
        <v>3.5600000000000005E-5</v>
      </c>
      <c r="V306">
        <v>3.56</v>
      </c>
      <c r="W306" s="140">
        <f t="shared" si="120"/>
        <v>3.5599999999999991E-7</v>
      </c>
      <c r="X306" s="140">
        <f t="shared" si="121"/>
        <v>7.1200000000000002E-7</v>
      </c>
      <c r="Y306" s="140">
        <f t="shared" si="122"/>
        <v>1.0680000000000002E-6</v>
      </c>
      <c r="Z306" s="140">
        <f t="shared" si="123"/>
        <v>1.4240000000000003E-6</v>
      </c>
      <c r="AA306" s="140">
        <f t="shared" si="124"/>
        <v>1.7800000000000003E-6</v>
      </c>
      <c r="AB306" s="157">
        <f>IF(U306&lt;$B$41*DATA!$H$1037,DATA!$H$1037,IF(U306&gt;DATA!$H$1036*$B$41,DATA!$H$1036,1))</f>
        <v>0.8</v>
      </c>
      <c r="AC306" s="156">
        <f t="shared" si="155"/>
        <v>9.9999999999999995E-8</v>
      </c>
      <c r="AE306" s="140">
        <f t="shared" si="125"/>
        <v>3.5600000000000005E-5</v>
      </c>
      <c r="AF306">
        <v>3.56</v>
      </c>
      <c r="AG306" s="140">
        <f t="shared" si="126"/>
        <v>3.5599999999999991E-7</v>
      </c>
      <c r="AH306" s="140">
        <f t="shared" si="127"/>
        <v>7.1200000000000002E-7</v>
      </c>
      <c r="AI306" s="140">
        <f t="shared" si="128"/>
        <v>1.0680000000000002E-6</v>
      </c>
      <c r="AJ306" s="140">
        <f t="shared" si="129"/>
        <v>1.4240000000000003E-6</v>
      </c>
      <c r="AK306" s="140">
        <f t="shared" si="130"/>
        <v>1.7800000000000003E-6</v>
      </c>
      <c r="AL306" s="157">
        <f>IF(AE306&lt;$B$57*DATA!$H$1037,DATA!$H$1037,IF(AE306&gt;DATA!$H$1036*$B$57,DATA!$H$1036,1))</f>
        <v>1.2</v>
      </c>
      <c r="AM306" s="156">
        <f t="shared" si="156"/>
        <v>9.9999999999999995E-8</v>
      </c>
      <c r="AO306" s="140">
        <f t="shared" si="131"/>
        <v>3.5600000000000005E-5</v>
      </c>
      <c r="AP306">
        <v>3.56</v>
      </c>
      <c r="AQ306" s="140">
        <f t="shared" si="132"/>
        <v>3.5599999999999991E-7</v>
      </c>
      <c r="AR306" s="140">
        <f t="shared" si="133"/>
        <v>7.1200000000000002E-7</v>
      </c>
      <c r="AS306" s="140">
        <f t="shared" si="134"/>
        <v>1.0680000000000002E-6</v>
      </c>
      <c r="AT306" s="140">
        <f t="shared" si="135"/>
        <v>1.4240000000000003E-6</v>
      </c>
      <c r="AU306" s="140">
        <f t="shared" si="136"/>
        <v>1.7800000000000003E-6</v>
      </c>
      <c r="AV306" s="157">
        <f>IF(AO306&lt;$B$73*DATA!$H$1037,DATA!$H$1037,IF(AO306&gt;DATA!$H$1036*$B$73,DATA!$H$1036,1))</f>
        <v>1.2</v>
      </c>
      <c r="AW306" s="156">
        <f t="shared" si="137"/>
        <v>9.9999999999999995E-8</v>
      </c>
      <c r="AY306" s="140">
        <f t="shared" si="138"/>
        <v>3.5600000000000005E-5</v>
      </c>
      <c r="AZ306">
        <v>3.56</v>
      </c>
      <c r="BA306" s="140">
        <f t="shared" si="139"/>
        <v>3.5599999999999991E-7</v>
      </c>
      <c r="BB306" s="140">
        <f t="shared" si="140"/>
        <v>7.1200000000000002E-7</v>
      </c>
      <c r="BC306" s="140">
        <f t="shared" si="141"/>
        <v>1.0680000000000002E-6</v>
      </c>
      <c r="BD306" s="140">
        <f t="shared" si="142"/>
        <v>1.4240000000000003E-6</v>
      </c>
      <c r="BE306" s="140">
        <f t="shared" si="143"/>
        <v>1.7800000000000003E-6</v>
      </c>
      <c r="BF306" s="157">
        <f>IF(AY306&lt;$B$89*DATA!$H$1037,DATA!$H$1037,IF(AY306&gt;DATA!$H$1036*$B$89,DATA!$H$1036,1))</f>
        <v>1.2</v>
      </c>
      <c r="BG306" s="156">
        <f t="shared" si="144"/>
        <v>9.9999999999999995E-8</v>
      </c>
      <c r="BI306" s="140">
        <f t="shared" si="145"/>
        <v>3.5600000000000005E-5</v>
      </c>
      <c r="BJ306">
        <v>3.56</v>
      </c>
      <c r="BK306" s="140">
        <f t="shared" si="146"/>
        <v>3.5599999999999991E-7</v>
      </c>
      <c r="BL306" s="140">
        <f t="shared" si="147"/>
        <v>7.1200000000000002E-7</v>
      </c>
      <c r="BM306" s="140">
        <f t="shared" si="148"/>
        <v>1.0680000000000002E-6</v>
      </c>
      <c r="BN306" s="140">
        <f t="shared" si="149"/>
        <v>1.4240000000000003E-6</v>
      </c>
      <c r="BO306" s="140">
        <f t="shared" si="150"/>
        <v>1.7800000000000003E-6</v>
      </c>
      <c r="BP306" s="157">
        <f>IF(BI306&lt;$B$105*DATA!$H$1037,DATA!$H$1037,IF(BI306&gt;DATA!$H$1036*$B$105,DATA!$H$1036,1))</f>
        <v>1.2</v>
      </c>
      <c r="BQ306" s="156">
        <f t="shared" si="151"/>
        <v>9.9999999999999995E-8</v>
      </c>
    </row>
    <row r="307" spans="1:69">
      <c r="A307" s="140">
        <f t="shared" si="111"/>
        <v>3.5800000000000003E-5</v>
      </c>
      <c r="B307">
        <v>3.58</v>
      </c>
      <c r="C307" s="140">
        <f t="shared" si="153"/>
        <v>3.579999999999999E-7</v>
      </c>
      <c r="D307" s="140">
        <f t="shared" si="153"/>
        <v>7.159999999999999E-7</v>
      </c>
      <c r="E307" s="140">
        <f t="shared" si="153"/>
        <v>1.074E-6</v>
      </c>
      <c r="F307" s="140">
        <f t="shared" si="153"/>
        <v>1.4320000000000002E-6</v>
      </c>
      <c r="G307" s="140">
        <f t="shared" si="153"/>
        <v>1.7900000000000002E-6</v>
      </c>
      <c r="H307" s="157">
        <f>IF(A307&lt;$B$9*DATA!$H$1037,DATA!$H$1037,IF(A307&gt;DATA!$H$1036*$B$9,DATA!$H$1036,1))</f>
        <v>0.8</v>
      </c>
      <c r="I307" s="156">
        <f t="shared" si="157"/>
        <v>9.9999999999999995E-8</v>
      </c>
      <c r="K307" s="140">
        <f t="shared" si="113"/>
        <v>3.5800000000000003E-5</v>
      </c>
      <c r="L307">
        <v>3.58</v>
      </c>
      <c r="M307" s="140">
        <f t="shared" si="114"/>
        <v>3.579999999999999E-7</v>
      </c>
      <c r="N307" s="140">
        <f t="shared" si="115"/>
        <v>7.159999999999999E-7</v>
      </c>
      <c r="O307" s="140">
        <f t="shared" si="116"/>
        <v>1.074E-6</v>
      </c>
      <c r="P307" s="140">
        <f t="shared" si="117"/>
        <v>1.4320000000000002E-6</v>
      </c>
      <c r="Q307" s="140">
        <f t="shared" si="118"/>
        <v>1.7900000000000002E-6</v>
      </c>
      <c r="R307" s="157">
        <f>IF(K307&lt;$B$25*DATA!$H$1037,DATA!$H$1037,IF(K307&gt;DATA!$H$1036*$B$25,DATA!$H$1036,1))</f>
        <v>0.8</v>
      </c>
      <c r="S307" s="156">
        <f t="shared" si="154"/>
        <v>9.9999999999999995E-8</v>
      </c>
      <c r="U307" s="140">
        <f t="shared" si="119"/>
        <v>3.5800000000000003E-5</v>
      </c>
      <c r="V307">
        <v>3.58</v>
      </c>
      <c r="W307" s="140">
        <f t="shared" si="120"/>
        <v>3.579999999999999E-7</v>
      </c>
      <c r="X307" s="140">
        <f t="shared" si="121"/>
        <v>7.159999999999999E-7</v>
      </c>
      <c r="Y307" s="140">
        <f t="shared" si="122"/>
        <v>1.074E-6</v>
      </c>
      <c r="Z307" s="140">
        <f t="shared" si="123"/>
        <v>1.4320000000000002E-6</v>
      </c>
      <c r="AA307" s="140">
        <f t="shared" si="124"/>
        <v>1.7900000000000002E-6</v>
      </c>
      <c r="AB307" s="157">
        <f>IF(U307&lt;$B$41*DATA!$H$1037,DATA!$H$1037,IF(U307&gt;DATA!$H$1036*$B$41,DATA!$H$1036,1))</f>
        <v>0.8</v>
      </c>
      <c r="AC307" s="156">
        <f t="shared" si="155"/>
        <v>9.9999999999999995E-8</v>
      </c>
      <c r="AE307" s="140">
        <f t="shared" si="125"/>
        <v>3.5800000000000003E-5</v>
      </c>
      <c r="AF307">
        <v>3.58</v>
      </c>
      <c r="AG307" s="140">
        <f t="shared" si="126"/>
        <v>3.579999999999999E-7</v>
      </c>
      <c r="AH307" s="140">
        <f t="shared" si="127"/>
        <v>7.159999999999999E-7</v>
      </c>
      <c r="AI307" s="140">
        <f t="shared" si="128"/>
        <v>1.074E-6</v>
      </c>
      <c r="AJ307" s="140">
        <f t="shared" si="129"/>
        <v>1.4320000000000002E-6</v>
      </c>
      <c r="AK307" s="140">
        <f t="shared" si="130"/>
        <v>1.7900000000000002E-6</v>
      </c>
      <c r="AL307" s="157">
        <f>IF(AE307&lt;$B$57*DATA!$H$1037,DATA!$H$1037,IF(AE307&gt;DATA!$H$1036*$B$57,DATA!$H$1036,1))</f>
        <v>1.2</v>
      </c>
      <c r="AM307" s="156">
        <f t="shared" si="156"/>
        <v>9.9999999999999995E-8</v>
      </c>
      <c r="AO307" s="140">
        <f t="shared" si="131"/>
        <v>3.5800000000000003E-5</v>
      </c>
      <c r="AP307">
        <v>3.58</v>
      </c>
      <c r="AQ307" s="140">
        <f t="shared" si="132"/>
        <v>3.579999999999999E-7</v>
      </c>
      <c r="AR307" s="140">
        <f t="shared" si="133"/>
        <v>7.159999999999999E-7</v>
      </c>
      <c r="AS307" s="140">
        <f t="shared" si="134"/>
        <v>1.074E-6</v>
      </c>
      <c r="AT307" s="140">
        <f t="shared" si="135"/>
        <v>1.4320000000000002E-6</v>
      </c>
      <c r="AU307" s="140">
        <f t="shared" si="136"/>
        <v>1.7900000000000002E-6</v>
      </c>
      <c r="AV307" s="157">
        <f>IF(AO307&lt;$B$73*DATA!$H$1037,DATA!$H$1037,IF(AO307&gt;DATA!$H$1036*$B$73,DATA!$H$1036,1))</f>
        <v>1.2</v>
      </c>
      <c r="AW307" s="156">
        <f t="shared" si="137"/>
        <v>9.9999999999999995E-8</v>
      </c>
      <c r="AY307" s="140">
        <f t="shared" si="138"/>
        <v>3.5800000000000003E-5</v>
      </c>
      <c r="AZ307">
        <v>3.58</v>
      </c>
      <c r="BA307" s="140">
        <f t="shared" si="139"/>
        <v>3.579999999999999E-7</v>
      </c>
      <c r="BB307" s="140">
        <f t="shared" si="140"/>
        <v>7.159999999999999E-7</v>
      </c>
      <c r="BC307" s="140">
        <f t="shared" si="141"/>
        <v>1.074E-6</v>
      </c>
      <c r="BD307" s="140">
        <f t="shared" si="142"/>
        <v>1.4320000000000002E-6</v>
      </c>
      <c r="BE307" s="140">
        <f t="shared" si="143"/>
        <v>1.7900000000000002E-6</v>
      </c>
      <c r="BF307" s="157">
        <f>IF(AY307&lt;$B$89*DATA!$H$1037,DATA!$H$1037,IF(AY307&gt;DATA!$H$1036*$B$89,DATA!$H$1036,1))</f>
        <v>1.2</v>
      </c>
      <c r="BG307" s="156">
        <f t="shared" si="144"/>
        <v>9.9999999999999995E-8</v>
      </c>
      <c r="BI307" s="140">
        <f t="shared" si="145"/>
        <v>3.5800000000000003E-5</v>
      </c>
      <c r="BJ307">
        <v>3.58</v>
      </c>
      <c r="BK307" s="140">
        <f t="shared" si="146"/>
        <v>3.579999999999999E-7</v>
      </c>
      <c r="BL307" s="140">
        <f t="shared" si="147"/>
        <v>7.159999999999999E-7</v>
      </c>
      <c r="BM307" s="140">
        <f t="shared" si="148"/>
        <v>1.074E-6</v>
      </c>
      <c r="BN307" s="140">
        <f t="shared" si="149"/>
        <v>1.4320000000000002E-6</v>
      </c>
      <c r="BO307" s="140">
        <f t="shared" si="150"/>
        <v>1.7900000000000002E-6</v>
      </c>
      <c r="BP307" s="157">
        <f>IF(BI307&lt;$B$105*DATA!$H$1037,DATA!$H$1037,IF(BI307&gt;DATA!$H$1036*$B$105,DATA!$H$1036,1))</f>
        <v>1.2</v>
      </c>
      <c r="BQ307" s="156">
        <f t="shared" si="151"/>
        <v>9.9999999999999995E-8</v>
      </c>
    </row>
    <row r="308" spans="1:69">
      <c r="A308" s="140">
        <f t="shared" si="111"/>
        <v>3.6000000000000001E-5</v>
      </c>
      <c r="B308">
        <v>3.6</v>
      </c>
      <c r="C308" s="140">
        <f t="shared" si="153"/>
        <v>3.5999999999999989E-7</v>
      </c>
      <c r="D308" s="140">
        <f t="shared" si="153"/>
        <v>7.1999999999999988E-7</v>
      </c>
      <c r="E308" s="140">
        <f t="shared" si="153"/>
        <v>1.08E-6</v>
      </c>
      <c r="F308" s="140">
        <f t="shared" si="153"/>
        <v>1.44E-6</v>
      </c>
      <c r="G308" s="140">
        <f t="shared" si="153"/>
        <v>1.8000000000000001E-6</v>
      </c>
      <c r="H308" s="157">
        <f>IF(A308&lt;$B$9*DATA!$H$1037,DATA!$H$1037,IF(A308&gt;DATA!$H$1036*$B$9,DATA!$H$1036,1))</f>
        <v>0.8</v>
      </c>
      <c r="I308" s="156">
        <f t="shared" si="157"/>
        <v>9.9999999999999995E-8</v>
      </c>
      <c r="K308" s="140">
        <f t="shared" si="113"/>
        <v>3.6000000000000001E-5</v>
      </c>
      <c r="L308">
        <v>3.6</v>
      </c>
      <c r="M308" s="140">
        <f t="shared" si="114"/>
        <v>3.5999999999999989E-7</v>
      </c>
      <c r="N308" s="140">
        <f t="shared" si="115"/>
        <v>7.1999999999999988E-7</v>
      </c>
      <c r="O308" s="140">
        <f t="shared" si="116"/>
        <v>1.08E-6</v>
      </c>
      <c r="P308" s="140">
        <f t="shared" si="117"/>
        <v>1.44E-6</v>
      </c>
      <c r="Q308" s="140">
        <f t="shared" si="118"/>
        <v>1.8000000000000001E-6</v>
      </c>
      <c r="R308" s="157">
        <f>IF(K308&lt;$B$25*DATA!$H$1037,DATA!$H$1037,IF(K308&gt;DATA!$H$1036*$B$25,DATA!$H$1036,1))</f>
        <v>0.8</v>
      </c>
      <c r="S308" s="156">
        <f t="shared" si="154"/>
        <v>9.9999999999999995E-8</v>
      </c>
      <c r="U308" s="140">
        <f t="shared" si="119"/>
        <v>3.6000000000000001E-5</v>
      </c>
      <c r="V308">
        <v>3.6</v>
      </c>
      <c r="W308" s="140">
        <f t="shared" si="120"/>
        <v>3.5999999999999989E-7</v>
      </c>
      <c r="X308" s="140">
        <f t="shared" si="121"/>
        <v>7.1999999999999988E-7</v>
      </c>
      <c r="Y308" s="140">
        <f t="shared" si="122"/>
        <v>1.08E-6</v>
      </c>
      <c r="Z308" s="140">
        <f t="shared" si="123"/>
        <v>1.44E-6</v>
      </c>
      <c r="AA308" s="140">
        <f t="shared" si="124"/>
        <v>1.8000000000000001E-6</v>
      </c>
      <c r="AB308" s="157">
        <f>IF(U308&lt;$B$41*DATA!$H$1037,DATA!$H$1037,IF(U308&gt;DATA!$H$1036*$B$41,DATA!$H$1036,1))</f>
        <v>0.8</v>
      </c>
      <c r="AC308" s="156">
        <f t="shared" si="155"/>
        <v>9.9999999999999995E-8</v>
      </c>
      <c r="AE308" s="140">
        <f t="shared" si="125"/>
        <v>3.6000000000000001E-5</v>
      </c>
      <c r="AF308">
        <v>3.6</v>
      </c>
      <c r="AG308" s="140">
        <f t="shared" si="126"/>
        <v>3.5999999999999989E-7</v>
      </c>
      <c r="AH308" s="140">
        <f t="shared" si="127"/>
        <v>7.1999999999999988E-7</v>
      </c>
      <c r="AI308" s="140">
        <f t="shared" si="128"/>
        <v>1.08E-6</v>
      </c>
      <c r="AJ308" s="140">
        <f t="shared" si="129"/>
        <v>1.44E-6</v>
      </c>
      <c r="AK308" s="140">
        <f t="shared" si="130"/>
        <v>1.8000000000000001E-6</v>
      </c>
      <c r="AL308" s="157">
        <f>IF(AE308&lt;$B$57*DATA!$H$1037,DATA!$H$1037,IF(AE308&gt;DATA!$H$1036*$B$57,DATA!$H$1036,1))</f>
        <v>1.2</v>
      </c>
      <c r="AM308" s="156">
        <f t="shared" si="156"/>
        <v>9.9999999999999995E-8</v>
      </c>
      <c r="AO308" s="140">
        <f t="shared" si="131"/>
        <v>3.6000000000000001E-5</v>
      </c>
      <c r="AP308">
        <v>3.6</v>
      </c>
      <c r="AQ308" s="140">
        <f t="shared" si="132"/>
        <v>3.5999999999999989E-7</v>
      </c>
      <c r="AR308" s="140">
        <f t="shared" si="133"/>
        <v>7.1999999999999988E-7</v>
      </c>
      <c r="AS308" s="140">
        <f t="shared" si="134"/>
        <v>1.08E-6</v>
      </c>
      <c r="AT308" s="140">
        <f t="shared" si="135"/>
        <v>1.44E-6</v>
      </c>
      <c r="AU308" s="140">
        <f t="shared" si="136"/>
        <v>1.8000000000000001E-6</v>
      </c>
      <c r="AV308" s="157">
        <f>IF(AO308&lt;$B$73*DATA!$H$1037,DATA!$H$1037,IF(AO308&gt;DATA!$H$1036*$B$73,DATA!$H$1036,1))</f>
        <v>1.2</v>
      </c>
      <c r="AW308" s="156">
        <f t="shared" si="137"/>
        <v>9.9999999999999995E-8</v>
      </c>
      <c r="AY308" s="140">
        <f t="shared" si="138"/>
        <v>3.6000000000000001E-5</v>
      </c>
      <c r="AZ308">
        <v>3.6</v>
      </c>
      <c r="BA308" s="140">
        <f t="shared" si="139"/>
        <v>3.5999999999999989E-7</v>
      </c>
      <c r="BB308" s="140">
        <f t="shared" si="140"/>
        <v>7.1999999999999988E-7</v>
      </c>
      <c r="BC308" s="140">
        <f t="shared" si="141"/>
        <v>1.08E-6</v>
      </c>
      <c r="BD308" s="140">
        <f t="shared" si="142"/>
        <v>1.44E-6</v>
      </c>
      <c r="BE308" s="140">
        <f t="shared" si="143"/>
        <v>1.8000000000000001E-6</v>
      </c>
      <c r="BF308" s="157">
        <f>IF(AY308&lt;$B$89*DATA!$H$1037,DATA!$H$1037,IF(AY308&gt;DATA!$H$1036*$B$89,DATA!$H$1036,1))</f>
        <v>1.2</v>
      </c>
      <c r="BG308" s="156">
        <f t="shared" si="144"/>
        <v>9.9999999999999995E-8</v>
      </c>
      <c r="BI308" s="140">
        <f t="shared" si="145"/>
        <v>3.6000000000000001E-5</v>
      </c>
      <c r="BJ308">
        <v>3.6</v>
      </c>
      <c r="BK308" s="140">
        <f t="shared" si="146"/>
        <v>3.5999999999999989E-7</v>
      </c>
      <c r="BL308" s="140">
        <f t="shared" si="147"/>
        <v>7.1999999999999988E-7</v>
      </c>
      <c r="BM308" s="140">
        <f t="shared" si="148"/>
        <v>1.08E-6</v>
      </c>
      <c r="BN308" s="140">
        <f t="shared" si="149"/>
        <v>1.44E-6</v>
      </c>
      <c r="BO308" s="140">
        <f t="shared" si="150"/>
        <v>1.8000000000000001E-6</v>
      </c>
      <c r="BP308" s="157">
        <f>IF(BI308&lt;$B$105*DATA!$H$1037,DATA!$H$1037,IF(BI308&gt;DATA!$H$1036*$B$105,DATA!$H$1036,1))</f>
        <v>1.2</v>
      </c>
      <c r="BQ308" s="156">
        <f t="shared" si="151"/>
        <v>9.9999999999999995E-8</v>
      </c>
    </row>
    <row r="309" spans="1:69">
      <c r="A309" s="140">
        <f t="shared" si="111"/>
        <v>3.6200000000000006E-5</v>
      </c>
      <c r="B309">
        <v>3.62</v>
      </c>
      <c r="C309" s="140">
        <f t="shared" si="153"/>
        <v>3.6199999999999993E-7</v>
      </c>
      <c r="D309" s="140">
        <f t="shared" si="153"/>
        <v>7.2399999999999997E-7</v>
      </c>
      <c r="E309" s="140">
        <f t="shared" si="153"/>
        <v>1.0860000000000001E-6</v>
      </c>
      <c r="F309" s="140">
        <f t="shared" si="153"/>
        <v>1.4480000000000004E-6</v>
      </c>
      <c r="G309" s="140">
        <f t="shared" si="153"/>
        <v>1.8100000000000005E-6</v>
      </c>
      <c r="H309" s="157">
        <f>IF(A309&lt;$B$9*DATA!$H$1037,DATA!$H$1037,IF(A309&gt;DATA!$H$1036*$B$9,DATA!$H$1036,1))</f>
        <v>0.8</v>
      </c>
      <c r="I309" s="156">
        <f t="shared" si="157"/>
        <v>9.9999999999999995E-8</v>
      </c>
      <c r="K309" s="140">
        <f t="shared" si="113"/>
        <v>3.6200000000000006E-5</v>
      </c>
      <c r="L309">
        <v>3.62</v>
      </c>
      <c r="M309" s="140">
        <f t="shared" si="114"/>
        <v>3.6199999999999993E-7</v>
      </c>
      <c r="N309" s="140">
        <f t="shared" si="115"/>
        <v>7.2399999999999997E-7</v>
      </c>
      <c r="O309" s="140">
        <f t="shared" si="116"/>
        <v>1.0860000000000001E-6</v>
      </c>
      <c r="P309" s="140">
        <f t="shared" si="117"/>
        <v>1.4480000000000004E-6</v>
      </c>
      <c r="Q309" s="140">
        <f t="shared" si="118"/>
        <v>1.8100000000000005E-6</v>
      </c>
      <c r="R309" s="157">
        <f>IF(K309&lt;$B$25*DATA!$H$1037,DATA!$H$1037,IF(K309&gt;DATA!$H$1036*$B$25,DATA!$H$1036,1))</f>
        <v>0.8</v>
      </c>
      <c r="S309" s="156">
        <f t="shared" si="154"/>
        <v>9.9999999999999995E-8</v>
      </c>
      <c r="U309" s="140">
        <f t="shared" si="119"/>
        <v>3.6200000000000006E-5</v>
      </c>
      <c r="V309">
        <v>3.62</v>
      </c>
      <c r="W309" s="140">
        <f t="shared" si="120"/>
        <v>3.6199999999999993E-7</v>
      </c>
      <c r="X309" s="140">
        <f t="shared" si="121"/>
        <v>7.2399999999999997E-7</v>
      </c>
      <c r="Y309" s="140">
        <f t="shared" si="122"/>
        <v>1.0860000000000001E-6</v>
      </c>
      <c r="Z309" s="140">
        <f t="shared" si="123"/>
        <v>1.4480000000000004E-6</v>
      </c>
      <c r="AA309" s="140">
        <f t="shared" si="124"/>
        <v>1.8100000000000005E-6</v>
      </c>
      <c r="AB309" s="157">
        <f>IF(U309&lt;$B$41*DATA!$H$1037,DATA!$H$1037,IF(U309&gt;DATA!$H$1036*$B$41,DATA!$H$1036,1))</f>
        <v>0.8</v>
      </c>
      <c r="AC309" s="156">
        <f t="shared" si="155"/>
        <v>9.9999999999999995E-8</v>
      </c>
      <c r="AE309" s="140">
        <f t="shared" si="125"/>
        <v>3.6200000000000006E-5</v>
      </c>
      <c r="AF309">
        <v>3.62</v>
      </c>
      <c r="AG309" s="140">
        <f t="shared" si="126"/>
        <v>3.6199999999999993E-7</v>
      </c>
      <c r="AH309" s="140">
        <f t="shared" si="127"/>
        <v>7.2399999999999997E-7</v>
      </c>
      <c r="AI309" s="140">
        <f t="shared" si="128"/>
        <v>1.0860000000000001E-6</v>
      </c>
      <c r="AJ309" s="140">
        <f t="shared" si="129"/>
        <v>1.4480000000000004E-6</v>
      </c>
      <c r="AK309" s="140">
        <f t="shared" si="130"/>
        <v>1.8100000000000005E-6</v>
      </c>
      <c r="AL309" s="157">
        <f>IF(AE309&lt;$B$57*DATA!$H$1037,DATA!$H$1037,IF(AE309&gt;DATA!$H$1036*$B$57,DATA!$H$1036,1))</f>
        <v>1.2</v>
      </c>
      <c r="AM309" s="156">
        <f t="shared" si="156"/>
        <v>9.9999999999999995E-8</v>
      </c>
      <c r="AO309" s="140">
        <f t="shared" si="131"/>
        <v>3.6200000000000006E-5</v>
      </c>
      <c r="AP309">
        <v>3.62</v>
      </c>
      <c r="AQ309" s="140">
        <f t="shared" si="132"/>
        <v>3.6199999999999993E-7</v>
      </c>
      <c r="AR309" s="140">
        <f t="shared" si="133"/>
        <v>7.2399999999999997E-7</v>
      </c>
      <c r="AS309" s="140">
        <f t="shared" si="134"/>
        <v>1.0860000000000001E-6</v>
      </c>
      <c r="AT309" s="140">
        <f t="shared" si="135"/>
        <v>1.4480000000000004E-6</v>
      </c>
      <c r="AU309" s="140">
        <f t="shared" si="136"/>
        <v>1.8100000000000005E-6</v>
      </c>
      <c r="AV309" s="157">
        <f>IF(AO309&lt;$B$73*DATA!$H$1037,DATA!$H$1037,IF(AO309&gt;DATA!$H$1036*$B$73,DATA!$H$1036,1))</f>
        <v>1.2</v>
      </c>
      <c r="AW309" s="156">
        <f t="shared" si="137"/>
        <v>9.9999999999999995E-8</v>
      </c>
      <c r="AY309" s="140">
        <f t="shared" si="138"/>
        <v>3.6200000000000006E-5</v>
      </c>
      <c r="AZ309">
        <v>3.62</v>
      </c>
      <c r="BA309" s="140">
        <f t="shared" si="139"/>
        <v>3.6199999999999993E-7</v>
      </c>
      <c r="BB309" s="140">
        <f t="shared" si="140"/>
        <v>7.2399999999999997E-7</v>
      </c>
      <c r="BC309" s="140">
        <f t="shared" si="141"/>
        <v>1.0860000000000001E-6</v>
      </c>
      <c r="BD309" s="140">
        <f t="shared" si="142"/>
        <v>1.4480000000000004E-6</v>
      </c>
      <c r="BE309" s="140">
        <f t="shared" si="143"/>
        <v>1.8100000000000005E-6</v>
      </c>
      <c r="BF309" s="157">
        <f>IF(AY309&lt;$B$89*DATA!$H$1037,DATA!$H$1037,IF(AY309&gt;DATA!$H$1036*$B$89,DATA!$H$1036,1))</f>
        <v>1.2</v>
      </c>
      <c r="BG309" s="156">
        <f t="shared" si="144"/>
        <v>9.9999999999999995E-8</v>
      </c>
      <c r="BI309" s="140">
        <f t="shared" si="145"/>
        <v>3.6200000000000006E-5</v>
      </c>
      <c r="BJ309">
        <v>3.62</v>
      </c>
      <c r="BK309" s="140">
        <f t="shared" si="146"/>
        <v>3.6199999999999993E-7</v>
      </c>
      <c r="BL309" s="140">
        <f t="shared" si="147"/>
        <v>7.2399999999999997E-7</v>
      </c>
      <c r="BM309" s="140">
        <f t="shared" si="148"/>
        <v>1.0860000000000001E-6</v>
      </c>
      <c r="BN309" s="140">
        <f t="shared" si="149"/>
        <v>1.4480000000000004E-6</v>
      </c>
      <c r="BO309" s="140">
        <f t="shared" si="150"/>
        <v>1.8100000000000005E-6</v>
      </c>
      <c r="BP309" s="157">
        <f>IF(BI309&lt;$B$105*DATA!$H$1037,DATA!$H$1037,IF(BI309&gt;DATA!$H$1036*$B$105,DATA!$H$1036,1))</f>
        <v>1.2</v>
      </c>
      <c r="BQ309" s="156">
        <f t="shared" si="151"/>
        <v>9.9999999999999995E-8</v>
      </c>
    </row>
    <row r="310" spans="1:69">
      <c r="A310" s="140">
        <f t="shared" si="111"/>
        <v>3.6400000000000004E-5</v>
      </c>
      <c r="B310">
        <v>3.64</v>
      </c>
      <c r="C310" s="140">
        <f t="shared" si="153"/>
        <v>3.6399999999999992E-7</v>
      </c>
      <c r="D310" s="140">
        <f t="shared" si="153"/>
        <v>7.2799999999999995E-7</v>
      </c>
      <c r="E310" s="140">
        <f t="shared" si="153"/>
        <v>1.0920000000000001E-6</v>
      </c>
      <c r="F310" s="140">
        <f t="shared" si="153"/>
        <v>1.4560000000000001E-6</v>
      </c>
      <c r="G310" s="140">
        <f t="shared" si="153"/>
        <v>1.8200000000000004E-6</v>
      </c>
      <c r="H310" s="157">
        <f>IF(A310&lt;$B$9*DATA!$H$1037,DATA!$H$1037,IF(A310&gt;DATA!$H$1036*$B$9,DATA!$H$1036,1))</f>
        <v>0.8</v>
      </c>
      <c r="I310" s="156">
        <f t="shared" si="157"/>
        <v>9.9999999999999995E-8</v>
      </c>
      <c r="K310" s="140">
        <f t="shared" si="113"/>
        <v>3.6400000000000004E-5</v>
      </c>
      <c r="L310">
        <v>3.64</v>
      </c>
      <c r="M310" s="140">
        <f t="shared" si="114"/>
        <v>3.6399999999999992E-7</v>
      </c>
      <c r="N310" s="140">
        <f t="shared" si="115"/>
        <v>7.2799999999999995E-7</v>
      </c>
      <c r="O310" s="140">
        <f t="shared" si="116"/>
        <v>1.0920000000000001E-6</v>
      </c>
      <c r="P310" s="140">
        <f t="shared" si="117"/>
        <v>1.4560000000000001E-6</v>
      </c>
      <c r="Q310" s="140">
        <f t="shared" si="118"/>
        <v>1.8200000000000004E-6</v>
      </c>
      <c r="R310" s="157">
        <f>IF(K310&lt;$B$25*DATA!$H$1037,DATA!$H$1037,IF(K310&gt;DATA!$H$1036*$B$25,DATA!$H$1036,1))</f>
        <v>0.8</v>
      </c>
      <c r="S310" s="156">
        <f t="shared" si="154"/>
        <v>9.9999999999999995E-8</v>
      </c>
      <c r="U310" s="140">
        <f t="shared" si="119"/>
        <v>3.6400000000000004E-5</v>
      </c>
      <c r="V310">
        <v>3.64</v>
      </c>
      <c r="W310" s="140">
        <f t="shared" si="120"/>
        <v>3.6399999999999992E-7</v>
      </c>
      <c r="X310" s="140">
        <f t="shared" si="121"/>
        <v>7.2799999999999995E-7</v>
      </c>
      <c r="Y310" s="140">
        <f t="shared" si="122"/>
        <v>1.0920000000000001E-6</v>
      </c>
      <c r="Z310" s="140">
        <f t="shared" si="123"/>
        <v>1.4560000000000001E-6</v>
      </c>
      <c r="AA310" s="140">
        <f t="shared" si="124"/>
        <v>1.8200000000000004E-6</v>
      </c>
      <c r="AB310" s="157">
        <f>IF(U310&lt;$B$41*DATA!$H$1037,DATA!$H$1037,IF(U310&gt;DATA!$H$1036*$B$41,DATA!$H$1036,1))</f>
        <v>0.8</v>
      </c>
      <c r="AC310" s="156">
        <f t="shared" si="155"/>
        <v>9.9999999999999995E-8</v>
      </c>
      <c r="AE310" s="140">
        <f t="shared" si="125"/>
        <v>3.6400000000000004E-5</v>
      </c>
      <c r="AF310">
        <v>3.64</v>
      </c>
      <c r="AG310" s="140">
        <f t="shared" si="126"/>
        <v>3.6399999999999992E-7</v>
      </c>
      <c r="AH310" s="140">
        <f t="shared" si="127"/>
        <v>7.2799999999999995E-7</v>
      </c>
      <c r="AI310" s="140">
        <f t="shared" si="128"/>
        <v>1.0920000000000001E-6</v>
      </c>
      <c r="AJ310" s="140">
        <f t="shared" si="129"/>
        <v>1.4560000000000001E-6</v>
      </c>
      <c r="AK310" s="140">
        <f t="shared" si="130"/>
        <v>1.8200000000000004E-6</v>
      </c>
      <c r="AL310" s="157">
        <f>IF(AE310&lt;$B$57*DATA!$H$1037,DATA!$H$1037,IF(AE310&gt;DATA!$H$1036*$B$57,DATA!$H$1036,1))</f>
        <v>1.2</v>
      </c>
      <c r="AM310" s="156">
        <f t="shared" si="156"/>
        <v>9.9999999999999995E-8</v>
      </c>
      <c r="AO310" s="140">
        <f t="shared" si="131"/>
        <v>3.6400000000000004E-5</v>
      </c>
      <c r="AP310">
        <v>3.64</v>
      </c>
      <c r="AQ310" s="140">
        <f t="shared" si="132"/>
        <v>3.6399999999999992E-7</v>
      </c>
      <c r="AR310" s="140">
        <f t="shared" si="133"/>
        <v>7.2799999999999995E-7</v>
      </c>
      <c r="AS310" s="140">
        <f t="shared" si="134"/>
        <v>1.0920000000000001E-6</v>
      </c>
      <c r="AT310" s="140">
        <f t="shared" si="135"/>
        <v>1.4560000000000001E-6</v>
      </c>
      <c r="AU310" s="140">
        <f t="shared" si="136"/>
        <v>1.8200000000000004E-6</v>
      </c>
      <c r="AV310" s="157">
        <f>IF(AO310&lt;$B$73*DATA!$H$1037,DATA!$H$1037,IF(AO310&gt;DATA!$H$1036*$B$73,DATA!$H$1036,1))</f>
        <v>1.2</v>
      </c>
      <c r="AW310" s="156">
        <f t="shared" si="137"/>
        <v>9.9999999999999995E-8</v>
      </c>
      <c r="AY310" s="140">
        <f t="shared" si="138"/>
        <v>3.6400000000000004E-5</v>
      </c>
      <c r="AZ310">
        <v>3.64</v>
      </c>
      <c r="BA310" s="140">
        <f t="shared" si="139"/>
        <v>3.6399999999999992E-7</v>
      </c>
      <c r="BB310" s="140">
        <f t="shared" si="140"/>
        <v>7.2799999999999995E-7</v>
      </c>
      <c r="BC310" s="140">
        <f t="shared" si="141"/>
        <v>1.0920000000000001E-6</v>
      </c>
      <c r="BD310" s="140">
        <f t="shared" si="142"/>
        <v>1.4560000000000001E-6</v>
      </c>
      <c r="BE310" s="140">
        <f t="shared" si="143"/>
        <v>1.8200000000000004E-6</v>
      </c>
      <c r="BF310" s="157">
        <f>IF(AY310&lt;$B$89*DATA!$H$1037,DATA!$H$1037,IF(AY310&gt;DATA!$H$1036*$B$89,DATA!$H$1036,1))</f>
        <v>1.2</v>
      </c>
      <c r="BG310" s="156">
        <f t="shared" si="144"/>
        <v>9.9999999999999995E-8</v>
      </c>
      <c r="BI310" s="140">
        <f t="shared" si="145"/>
        <v>3.6400000000000004E-5</v>
      </c>
      <c r="BJ310">
        <v>3.64</v>
      </c>
      <c r="BK310" s="140">
        <f t="shared" si="146"/>
        <v>3.6399999999999992E-7</v>
      </c>
      <c r="BL310" s="140">
        <f t="shared" si="147"/>
        <v>7.2799999999999995E-7</v>
      </c>
      <c r="BM310" s="140">
        <f t="shared" si="148"/>
        <v>1.0920000000000001E-6</v>
      </c>
      <c r="BN310" s="140">
        <f t="shared" si="149"/>
        <v>1.4560000000000001E-6</v>
      </c>
      <c r="BO310" s="140">
        <f t="shared" si="150"/>
        <v>1.8200000000000004E-6</v>
      </c>
      <c r="BP310" s="157">
        <f>IF(BI310&lt;$B$105*DATA!$H$1037,DATA!$H$1037,IF(BI310&gt;DATA!$H$1036*$B$105,DATA!$H$1036,1))</f>
        <v>1.2</v>
      </c>
      <c r="BQ310" s="156">
        <f t="shared" si="151"/>
        <v>9.9999999999999995E-8</v>
      </c>
    </row>
    <row r="311" spans="1:69">
      <c r="A311" s="140">
        <f t="shared" si="111"/>
        <v>3.6600000000000002E-5</v>
      </c>
      <c r="B311">
        <v>3.66</v>
      </c>
      <c r="C311" s="140">
        <f t="shared" si="153"/>
        <v>3.6599999999999992E-7</v>
      </c>
      <c r="D311" s="140">
        <f t="shared" si="153"/>
        <v>7.3199999999999994E-7</v>
      </c>
      <c r="E311" s="140">
        <f t="shared" si="153"/>
        <v>1.0980000000000001E-6</v>
      </c>
      <c r="F311" s="140">
        <f t="shared" si="153"/>
        <v>1.4640000000000001E-6</v>
      </c>
      <c r="G311" s="140">
        <f t="shared" si="153"/>
        <v>1.8300000000000003E-6</v>
      </c>
      <c r="H311" s="157">
        <f>IF(A311&lt;$B$9*DATA!$H$1037,DATA!$H$1037,IF(A311&gt;DATA!$H$1036*$B$9,DATA!$H$1036,1))</f>
        <v>0.8</v>
      </c>
      <c r="I311" s="156">
        <f t="shared" si="157"/>
        <v>9.9999999999999995E-8</v>
      </c>
      <c r="K311" s="140">
        <f t="shared" si="113"/>
        <v>3.6600000000000002E-5</v>
      </c>
      <c r="L311">
        <v>3.66</v>
      </c>
      <c r="M311" s="140">
        <f t="shared" si="114"/>
        <v>3.6599999999999992E-7</v>
      </c>
      <c r="N311" s="140">
        <f t="shared" si="115"/>
        <v>7.3199999999999994E-7</v>
      </c>
      <c r="O311" s="140">
        <f t="shared" si="116"/>
        <v>1.0980000000000001E-6</v>
      </c>
      <c r="P311" s="140">
        <f t="shared" si="117"/>
        <v>1.4640000000000001E-6</v>
      </c>
      <c r="Q311" s="140">
        <f t="shared" si="118"/>
        <v>1.8300000000000003E-6</v>
      </c>
      <c r="R311" s="157">
        <f>IF(K311&lt;$B$25*DATA!$H$1037,DATA!$H$1037,IF(K311&gt;DATA!$H$1036*$B$25,DATA!$H$1036,1))</f>
        <v>0.8</v>
      </c>
      <c r="S311" s="156">
        <f t="shared" si="154"/>
        <v>9.9999999999999995E-8</v>
      </c>
      <c r="U311" s="140">
        <f t="shared" si="119"/>
        <v>3.6600000000000002E-5</v>
      </c>
      <c r="V311">
        <v>3.66</v>
      </c>
      <c r="W311" s="140">
        <f t="shared" si="120"/>
        <v>3.6599999999999992E-7</v>
      </c>
      <c r="X311" s="140">
        <f t="shared" si="121"/>
        <v>7.3199999999999994E-7</v>
      </c>
      <c r="Y311" s="140">
        <f t="shared" si="122"/>
        <v>1.0980000000000001E-6</v>
      </c>
      <c r="Z311" s="140">
        <f t="shared" si="123"/>
        <v>1.4640000000000001E-6</v>
      </c>
      <c r="AA311" s="140">
        <f t="shared" si="124"/>
        <v>1.8300000000000003E-6</v>
      </c>
      <c r="AB311" s="157">
        <f>IF(U311&lt;$B$41*DATA!$H$1037,DATA!$H$1037,IF(U311&gt;DATA!$H$1036*$B$41,DATA!$H$1036,1))</f>
        <v>0.8</v>
      </c>
      <c r="AC311" s="156">
        <f t="shared" si="155"/>
        <v>9.9999999999999995E-8</v>
      </c>
      <c r="AE311" s="140">
        <f t="shared" si="125"/>
        <v>3.6600000000000002E-5</v>
      </c>
      <c r="AF311">
        <v>3.66</v>
      </c>
      <c r="AG311" s="140">
        <f t="shared" si="126"/>
        <v>3.6599999999999992E-7</v>
      </c>
      <c r="AH311" s="140">
        <f t="shared" si="127"/>
        <v>7.3199999999999994E-7</v>
      </c>
      <c r="AI311" s="140">
        <f t="shared" si="128"/>
        <v>1.0980000000000001E-6</v>
      </c>
      <c r="AJ311" s="140">
        <f t="shared" si="129"/>
        <v>1.4640000000000001E-6</v>
      </c>
      <c r="AK311" s="140">
        <f t="shared" si="130"/>
        <v>1.8300000000000003E-6</v>
      </c>
      <c r="AL311" s="157">
        <f>IF(AE311&lt;$B$57*DATA!$H$1037,DATA!$H$1037,IF(AE311&gt;DATA!$H$1036*$B$57,DATA!$H$1036,1))</f>
        <v>1.2</v>
      </c>
      <c r="AM311" s="156">
        <f t="shared" si="156"/>
        <v>9.9999999999999995E-8</v>
      </c>
      <c r="AO311" s="140">
        <f t="shared" si="131"/>
        <v>3.6600000000000002E-5</v>
      </c>
      <c r="AP311">
        <v>3.66</v>
      </c>
      <c r="AQ311" s="140">
        <f t="shared" si="132"/>
        <v>3.6599999999999992E-7</v>
      </c>
      <c r="AR311" s="140">
        <f t="shared" si="133"/>
        <v>7.3199999999999994E-7</v>
      </c>
      <c r="AS311" s="140">
        <f t="shared" si="134"/>
        <v>1.0980000000000001E-6</v>
      </c>
      <c r="AT311" s="140">
        <f t="shared" si="135"/>
        <v>1.4640000000000001E-6</v>
      </c>
      <c r="AU311" s="140">
        <f t="shared" si="136"/>
        <v>1.8300000000000003E-6</v>
      </c>
      <c r="AV311" s="157">
        <f>IF(AO311&lt;$B$73*DATA!$H$1037,DATA!$H$1037,IF(AO311&gt;DATA!$H$1036*$B$73,DATA!$H$1036,1))</f>
        <v>1.2</v>
      </c>
      <c r="AW311" s="156">
        <f t="shared" si="137"/>
        <v>9.9999999999999995E-8</v>
      </c>
      <c r="AY311" s="140">
        <f t="shared" si="138"/>
        <v>3.6600000000000002E-5</v>
      </c>
      <c r="AZ311">
        <v>3.66</v>
      </c>
      <c r="BA311" s="140">
        <f t="shared" si="139"/>
        <v>3.6599999999999992E-7</v>
      </c>
      <c r="BB311" s="140">
        <f t="shared" si="140"/>
        <v>7.3199999999999994E-7</v>
      </c>
      <c r="BC311" s="140">
        <f t="shared" si="141"/>
        <v>1.0980000000000001E-6</v>
      </c>
      <c r="BD311" s="140">
        <f t="shared" si="142"/>
        <v>1.4640000000000001E-6</v>
      </c>
      <c r="BE311" s="140">
        <f t="shared" si="143"/>
        <v>1.8300000000000003E-6</v>
      </c>
      <c r="BF311" s="157">
        <f>IF(AY311&lt;$B$89*DATA!$H$1037,DATA!$H$1037,IF(AY311&gt;DATA!$H$1036*$B$89,DATA!$H$1036,1))</f>
        <v>1.2</v>
      </c>
      <c r="BG311" s="156">
        <f t="shared" si="144"/>
        <v>9.9999999999999995E-8</v>
      </c>
      <c r="BI311" s="140">
        <f t="shared" si="145"/>
        <v>3.6600000000000002E-5</v>
      </c>
      <c r="BJ311">
        <v>3.66</v>
      </c>
      <c r="BK311" s="140">
        <f t="shared" si="146"/>
        <v>3.6599999999999992E-7</v>
      </c>
      <c r="BL311" s="140">
        <f t="shared" si="147"/>
        <v>7.3199999999999994E-7</v>
      </c>
      <c r="BM311" s="140">
        <f t="shared" si="148"/>
        <v>1.0980000000000001E-6</v>
      </c>
      <c r="BN311" s="140">
        <f t="shared" si="149"/>
        <v>1.4640000000000001E-6</v>
      </c>
      <c r="BO311" s="140">
        <f t="shared" si="150"/>
        <v>1.8300000000000003E-6</v>
      </c>
      <c r="BP311" s="157">
        <f>IF(BI311&lt;$B$105*DATA!$H$1037,DATA!$H$1037,IF(BI311&gt;DATA!$H$1036*$B$105,DATA!$H$1036,1))</f>
        <v>1.2</v>
      </c>
      <c r="BQ311" s="156">
        <f t="shared" si="151"/>
        <v>9.9999999999999995E-8</v>
      </c>
    </row>
    <row r="312" spans="1:69">
      <c r="A312" s="140">
        <f t="shared" si="111"/>
        <v>3.6800000000000007E-5</v>
      </c>
      <c r="B312">
        <v>3.68</v>
      </c>
      <c r="C312" s="140">
        <f t="shared" si="153"/>
        <v>3.6799999999999996E-7</v>
      </c>
      <c r="D312" s="140">
        <f t="shared" si="153"/>
        <v>7.3600000000000003E-7</v>
      </c>
      <c r="E312" s="140">
        <f t="shared" si="153"/>
        <v>1.1040000000000001E-6</v>
      </c>
      <c r="F312" s="140">
        <f t="shared" si="153"/>
        <v>1.4720000000000003E-6</v>
      </c>
      <c r="G312" s="140">
        <f t="shared" si="153"/>
        <v>1.8400000000000004E-6</v>
      </c>
      <c r="H312" s="157">
        <f>IF(A312&lt;$B$9*DATA!$H$1037,DATA!$H$1037,IF(A312&gt;DATA!$H$1036*$B$9,DATA!$H$1036,1))</f>
        <v>0.8</v>
      </c>
      <c r="I312" s="156">
        <f t="shared" si="157"/>
        <v>9.9999999999999995E-8</v>
      </c>
      <c r="K312" s="140">
        <f t="shared" si="113"/>
        <v>3.6800000000000007E-5</v>
      </c>
      <c r="L312">
        <v>3.68</v>
      </c>
      <c r="M312" s="140">
        <f t="shared" si="114"/>
        <v>3.6799999999999996E-7</v>
      </c>
      <c r="N312" s="140">
        <f t="shared" si="115"/>
        <v>7.3600000000000003E-7</v>
      </c>
      <c r="O312" s="140">
        <f t="shared" si="116"/>
        <v>1.1040000000000001E-6</v>
      </c>
      <c r="P312" s="140">
        <f t="shared" si="117"/>
        <v>1.4720000000000003E-6</v>
      </c>
      <c r="Q312" s="140">
        <f t="shared" si="118"/>
        <v>1.8400000000000004E-6</v>
      </c>
      <c r="R312" s="157">
        <f>IF(K312&lt;$B$25*DATA!$H$1037,DATA!$H$1037,IF(K312&gt;DATA!$H$1036*$B$25,DATA!$H$1036,1))</f>
        <v>0.8</v>
      </c>
      <c r="S312" s="156">
        <f t="shared" si="154"/>
        <v>9.9999999999999995E-8</v>
      </c>
      <c r="U312" s="140">
        <f t="shared" si="119"/>
        <v>3.6800000000000007E-5</v>
      </c>
      <c r="V312">
        <v>3.68</v>
      </c>
      <c r="W312" s="140">
        <f t="shared" si="120"/>
        <v>3.6799999999999996E-7</v>
      </c>
      <c r="X312" s="140">
        <f t="shared" si="121"/>
        <v>7.3600000000000003E-7</v>
      </c>
      <c r="Y312" s="140">
        <f t="shared" si="122"/>
        <v>1.1040000000000001E-6</v>
      </c>
      <c r="Z312" s="140">
        <f t="shared" si="123"/>
        <v>1.4720000000000003E-6</v>
      </c>
      <c r="AA312" s="140">
        <f t="shared" si="124"/>
        <v>1.8400000000000004E-6</v>
      </c>
      <c r="AB312" s="157">
        <f>IF(U312&lt;$B$41*DATA!$H$1037,DATA!$H$1037,IF(U312&gt;DATA!$H$1036*$B$41,DATA!$H$1036,1))</f>
        <v>0.8</v>
      </c>
      <c r="AC312" s="156">
        <f t="shared" si="155"/>
        <v>9.9999999999999995E-8</v>
      </c>
      <c r="AE312" s="140">
        <f t="shared" si="125"/>
        <v>3.6800000000000007E-5</v>
      </c>
      <c r="AF312">
        <v>3.68</v>
      </c>
      <c r="AG312" s="140">
        <f t="shared" si="126"/>
        <v>3.6799999999999996E-7</v>
      </c>
      <c r="AH312" s="140">
        <f t="shared" si="127"/>
        <v>7.3600000000000003E-7</v>
      </c>
      <c r="AI312" s="140">
        <f t="shared" si="128"/>
        <v>1.1040000000000001E-6</v>
      </c>
      <c r="AJ312" s="140">
        <f t="shared" si="129"/>
        <v>1.4720000000000003E-6</v>
      </c>
      <c r="AK312" s="140">
        <f t="shared" si="130"/>
        <v>1.8400000000000004E-6</v>
      </c>
      <c r="AL312" s="157">
        <f>IF(AE312&lt;$B$57*DATA!$H$1037,DATA!$H$1037,IF(AE312&gt;DATA!$H$1036*$B$57,DATA!$H$1036,1))</f>
        <v>1.2</v>
      </c>
      <c r="AM312" s="156">
        <f t="shared" si="156"/>
        <v>9.9999999999999995E-8</v>
      </c>
      <c r="AO312" s="140">
        <f t="shared" si="131"/>
        <v>3.6800000000000007E-5</v>
      </c>
      <c r="AP312">
        <v>3.68</v>
      </c>
      <c r="AQ312" s="140">
        <f t="shared" si="132"/>
        <v>3.6799999999999996E-7</v>
      </c>
      <c r="AR312" s="140">
        <f t="shared" si="133"/>
        <v>7.3600000000000003E-7</v>
      </c>
      <c r="AS312" s="140">
        <f t="shared" si="134"/>
        <v>1.1040000000000001E-6</v>
      </c>
      <c r="AT312" s="140">
        <f t="shared" si="135"/>
        <v>1.4720000000000003E-6</v>
      </c>
      <c r="AU312" s="140">
        <f t="shared" si="136"/>
        <v>1.8400000000000004E-6</v>
      </c>
      <c r="AV312" s="157">
        <f>IF(AO312&lt;$B$73*DATA!$H$1037,DATA!$H$1037,IF(AO312&gt;DATA!$H$1036*$B$73,DATA!$H$1036,1))</f>
        <v>1.2</v>
      </c>
      <c r="AW312" s="156">
        <f t="shared" si="137"/>
        <v>9.9999999999999995E-8</v>
      </c>
      <c r="AY312" s="140">
        <f t="shared" si="138"/>
        <v>3.6800000000000007E-5</v>
      </c>
      <c r="AZ312">
        <v>3.68</v>
      </c>
      <c r="BA312" s="140">
        <f t="shared" si="139"/>
        <v>3.6799999999999996E-7</v>
      </c>
      <c r="BB312" s="140">
        <f t="shared" si="140"/>
        <v>7.3600000000000003E-7</v>
      </c>
      <c r="BC312" s="140">
        <f t="shared" si="141"/>
        <v>1.1040000000000001E-6</v>
      </c>
      <c r="BD312" s="140">
        <f t="shared" si="142"/>
        <v>1.4720000000000003E-6</v>
      </c>
      <c r="BE312" s="140">
        <f t="shared" si="143"/>
        <v>1.8400000000000004E-6</v>
      </c>
      <c r="BF312" s="157">
        <f>IF(AY312&lt;$B$89*DATA!$H$1037,DATA!$H$1037,IF(AY312&gt;DATA!$H$1036*$B$89,DATA!$H$1036,1))</f>
        <v>1.2</v>
      </c>
      <c r="BG312" s="156">
        <f t="shared" si="144"/>
        <v>9.9999999999999995E-8</v>
      </c>
      <c r="BI312" s="140">
        <f t="shared" si="145"/>
        <v>3.6800000000000007E-5</v>
      </c>
      <c r="BJ312">
        <v>3.68</v>
      </c>
      <c r="BK312" s="140">
        <f t="shared" si="146"/>
        <v>3.6799999999999996E-7</v>
      </c>
      <c r="BL312" s="140">
        <f t="shared" si="147"/>
        <v>7.3600000000000003E-7</v>
      </c>
      <c r="BM312" s="140">
        <f t="shared" si="148"/>
        <v>1.1040000000000001E-6</v>
      </c>
      <c r="BN312" s="140">
        <f t="shared" si="149"/>
        <v>1.4720000000000003E-6</v>
      </c>
      <c r="BO312" s="140">
        <f t="shared" si="150"/>
        <v>1.8400000000000004E-6</v>
      </c>
      <c r="BP312" s="157">
        <f>IF(BI312&lt;$B$105*DATA!$H$1037,DATA!$H$1037,IF(BI312&gt;DATA!$H$1036*$B$105,DATA!$H$1036,1))</f>
        <v>1.2</v>
      </c>
      <c r="BQ312" s="156">
        <f t="shared" si="151"/>
        <v>9.9999999999999995E-8</v>
      </c>
    </row>
    <row r="313" spans="1:69">
      <c r="A313" s="140">
        <f t="shared" si="111"/>
        <v>3.7000000000000005E-5</v>
      </c>
      <c r="B313">
        <v>3.7</v>
      </c>
      <c r="C313" s="140">
        <f t="shared" si="153"/>
        <v>3.6999999999999995E-7</v>
      </c>
      <c r="D313" s="140">
        <f t="shared" si="153"/>
        <v>7.4000000000000001E-7</v>
      </c>
      <c r="E313" s="140">
        <f t="shared" si="153"/>
        <v>1.1100000000000002E-6</v>
      </c>
      <c r="F313" s="140">
        <f t="shared" si="153"/>
        <v>1.4800000000000002E-6</v>
      </c>
      <c r="G313" s="140">
        <f t="shared" si="153"/>
        <v>1.8500000000000003E-6</v>
      </c>
      <c r="H313" s="157">
        <f>IF(A313&lt;$B$9*DATA!$H$1037,DATA!$H$1037,IF(A313&gt;DATA!$H$1036*$B$9,DATA!$H$1036,1))</f>
        <v>0.8</v>
      </c>
      <c r="I313" s="156">
        <f t="shared" si="157"/>
        <v>9.9999999999999995E-8</v>
      </c>
      <c r="K313" s="140">
        <f t="shared" si="113"/>
        <v>3.7000000000000005E-5</v>
      </c>
      <c r="L313">
        <v>3.7</v>
      </c>
      <c r="M313" s="140">
        <f t="shared" si="114"/>
        <v>3.6999999999999995E-7</v>
      </c>
      <c r="N313" s="140">
        <f t="shared" si="115"/>
        <v>7.4000000000000001E-7</v>
      </c>
      <c r="O313" s="140">
        <f t="shared" si="116"/>
        <v>1.1100000000000002E-6</v>
      </c>
      <c r="P313" s="140">
        <f t="shared" si="117"/>
        <v>1.4800000000000002E-6</v>
      </c>
      <c r="Q313" s="140">
        <f t="shared" si="118"/>
        <v>1.8500000000000003E-6</v>
      </c>
      <c r="R313" s="157">
        <f>IF(K313&lt;$B$25*DATA!$H$1037,DATA!$H$1037,IF(K313&gt;DATA!$H$1036*$B$25,DATA!$H$1036,1))</f>
        <v>0.8</v>
      </c>
      <c r="S313" s="156">
        <f t="shared" si="154"/>
        <v>9.9999999999999995E-8</v>
      </c>
      <c r="U313" s="140">
        <f t="shared" si="119"/>
        <v>3.7000000000000005E-5</v>
      </c>
      <c r="V313">
        <v>3.7</v>
      </c>
      <c r="W313" s="140">
        <f t="shared" si="120"/>
        <v>3.6999999999999995E-7</v>
      </c>
      <c r="X313" s="140">
        <f t="shared" si="121"/>
        <v>7.4000000000000001E-7</v>
      </c>
      <c r="Y313" s="140">
        <f t="shared" si="122"/>
        <v>1.1100000000000002E-6</v>
      </c>
      <c r="Z313" s="140">
        <f t="shared" si="123"/>
        <v>1.4800000000000002E-6</v>
      </c>
      <c r="AA313" s="140">
        <f t="shared" si="124"/>
        <v>1.8500000000000003E-6</v>
      </c>
      <c r="AB313" s="157">
        <f>IF(U313&lt;$B$41*DATA!$H$1037,DATA!$H$1037,IF(U313&gt;DATA!$H$1036*$B$41,DATA!$H$1036,1))</f>
        <v>0.8</v>
      </c>
      <c r="AC313" s="156">
        <f t="shared" si="155"/>
        <v>9.9999999999999995E-8</v>
      </c>
      <c r="AE313" s="140">
        <f t="shared" si="125"/>
        <v>3.7000000000000005E-5</v>
      </c>
      <c r="AF313">
        <v>3.7</v>
      </c>
      <c r="AG313" s="140">
        <f t="shared" si="126"/>
        <v>3.6999999999999995E-7</v>
      </c>
      <c r="AH313" s="140">
        <f t="shared" si="127"/>
        <v>7.4000000000000001E-7</v>
      </c>
      <c r="AI313" s="140">
        <f t="shared" si="128"/>
        <v>1.1100000000000002E-6</v>
      </c>
      <c r="AJ313" s="140">
        <f t="shared" si="129"/>
        <v>1.4800000000000002E-6</v>
      </c>
      <c r="AK313" s="140">
        <f t="shared" si="130"/>
        <v>1.8500000000000003E-6</v>
      </c>
      <c r="AL313" s="157">
        <f>IF(AE313&lt;$B$57*DATA!$H$1037,DATA!$H$1037,IF(AE313&gt;DATA!$H$1036*$B$57,DATA!$H$1036,1))</f>
        <v>1.2</v>
      </c>
      <c r="AM313" s="156">
        <f t="shared" si="156"/>
        <v>9.9999999999999995E-8</v>
      </c>
      <c r="AO313" s="140">
        <f t="shared" si="131"/>
        <v>3.7000000000000005E-5</v>
      </c>
      <c r="AP313">
        <v>3.7</v>
      </c>
      <c r="AQ313" s="140">
        <f t="shared" si="132"/>
        <v>3.6999999999999995E-7</v>
      </c>
      <c r="AR313" s="140">
        <f t="shared" si="133"/>
        <v>7.4000000000000001E-7</v>
      </c>
      <c r="AS313" s="140">
        <f t="shared" si="134"/>
        <v>1.1100000000000002E-6</v>
      </c>
      <c r="AT313" s="140">
        <f t="shared" si="135"/>
        <v>1.4800000000000002E-6</v>
      </c>
      <c r="AU313" s="140">
        <f t="shared" si="136"/>
        <v>1.8500000000000003E-6</v>
      </c>
      <c r="AV313" s="157">
        <f>IF(AO313&lt;$B$73*DATA!$H$1037,DATA!$H$1037,IF(AO313&gt;DATA!$H$1036*$B$73,DATA!$H$1036,1))</f>
        <v>1.2</v>
      </c>
      <c r="AW313" s="156">
        <f t="shared" si="137"/>
        <v>9.9999999999999995E-8</v>
      </c>
      <c r="AY313" s="140">
        <f t="shared" si="138"/>
        <v>3.7000000000000005E-5</v>
      </c>
      <c r="AZ313">
        <v>3.7</v>
      </c>
      <c r="BA313" s="140">
        <f t="shared" si="139"/>
        <v>3.6999999999999995E-7</v>
      </c>
      <c r="BB313" s="140">
        <f t="shared" si="140"/>
        <v>7.4000000000000001E-7</v>
      </c>
      <c r="BC313" s="140">
        <f t="shared" si="141"/>
        <v>1.1100000000000002E-6</v>
      </c>
      <c r="BD313" s="140">
        <f t="shared" si="142"/>
        <v>1.4800000000000002E-6</v>
      </c>
      <c r="BE313" s="140">
        <f t="shared" si="143"/>
        <v>1.8500000000000003E-6</v>
      </c>
      <c r="BF313" s="157">
        <f>IF(AY313&lt;$B$89*DATA!$H$1037,DATA!$H$1037,IF(AY313&gt;DATA!$H$1036*$B$89,DATA!$H$1036,1))</f>
        <v>1.2</v>
      </c>
      <c r="BG313" s="156">
        <f t="shared" si="144"/>
        <v>9.9999999999999995E-8</v>
      </c>
      <c r="BI313" s="140">
        <f t="shared" si="145"/>
        <v>3.7000000000000005E-5</v>
      </c>
      <c r="BJ313">
        <v>3.7</v>
      </c>
      <c r="BK313" s="140">
        <f t="shared" si="146"/>
        <v>3.6999999999999995E-7</v>
      </c>
      <c r="BL313" s="140">
        <f t="shared" si="147"/>
        <v>7.4000000000000001E-7</v>
      </c>
      <c r="BM313" s="140">
        <f t="shared" si="148"/>
        <v>1.1100000000000002E-6</v>
      </c>
      <c r="BN313" s="140">
        <f t="shared" si="149"/>
        <v>1.4800000000000002E-6</v>
      </c>
      <c r="BO313" s="140">
        <f t="shared" si="150"/>
        <v>1.8500000000000003E-6</v>
      </c>
      <c r="BP313" s="157">
        <f>IF(BI313&lt;$B$105*DATA!$H$1037,DATA!$H$1037,IF(BI313&gt;DATA!$H$1036*$B$105,DATA!$H$1036,1))</f>
        <v>1.2</v>
      </c>
      <c r="BQ313" s="156">
        <f t="shared" si="151"/>
        <v>9.9999999999999995E-8</v>
      </c>
    </row>
    <row r="314" spans="1:69">
      <c r="A314" s="140">
        <f t="shared" si="111"/>
        <v>3.7200000000000003E-5</v>
      </c>
      <c r="B314">
        <v>3.72</v>
      </c>
      <c r="C314" s="140">
        <f t="shared" si="153"/>
        <v>3.7199999999999989E-7</v>
      </c>
      <c r="D314" s="140">
        <f t="shared" si="153"/>
        <v>7.4399999999999999E-7</v>
      </c>
      <c r="E314" s="140">
        <f t="shared" si="153"/>
        <v>1.116E-6</v>
      </c>
      <c r="F314" s="140">
        <f t="shared" si="153"/>
        <v>1.4880000000000002E-6</v>
      </c>
      <c r="G314" s="140">
        <f t="shared" si="153"/>
        <v>1.8600000000000002E-6</v>
      </c>
      <c r="H314" s="157">
        <f>IF(A314&lt;$B$9*DATA!$H$1037,DATA!$H$1037,IF(A314&gt;DATA!$H$1036*$B$9,DATA!$H$1036,1))</f>
        <v>0.8</v>
      </c>
      <c r="I314" s="156">
        <f t="shared" si="157"/>
        <v>9.9999999999999995E-8</v>
      </c>
      <c r="K314" s="140">
        <f t="shared" si="113"/>
        <v>3.7200000000000003E-5</v>
      </c>
      <c r="L314">
        <v>3.72</v>
      </c>
      <c r="M314" s="140">
        <f t="shared" si="114"/>
        <v>3.7199999999999989E-7</v>
      </c>
      <c r="N314" s="140">
        <f t="shared" si="115"/>
        <v>7.4399999999999999E-7</v>
      </c>
      <c r="O314" s="140">
        <f t="shared" si="116"/>
        <v>1.116E-6</v>
      </c>
      <c r="P314" s="140">
        <f t="shared" si="117"/>
        <v>1.4880000000000002E-6</v>
      </c>
      <c r="Q314" s="140">
        <f t="shared" si="118"/>
        <v>1.8600000000000002E-6</v>
      </c>
      <c r="R314" s="157">
        <f>IF(K314&lt;$B$25*DATA!$H$1037,DATA!$H$1037,IF(K314&gt;DATA!$H$1036*$B$25,DATA!$H$1036,1))</f>
        <v>0.8</v>
      </c>
      <c r="S314" s="156">
        <f t="shared" si="154"/>
        <v>9.9999999999999995E-8</v>
      </c>
      <c r="U314" s="140">
        <f t="shared" si="119"/>
        <v>3.7200000000000003E-5</v>
      </c>
      <c r="V314">
        <v>3.72</v>
      </c>
      <c r="W314" s="140">
        <f t="shared" si="120"/>
        <v>3.7199999999999989E-7</v>
      </c>
      <c r="X314" s="140">
        <f t="shared" si="121"/>
        <v>7.4399999999999999E-7</v>
      </c>
      <c r="Y314" s="140">
        <f t="shared" si="122"/>
        <v>1.116E-6</v>
      </c>
      <c r="Z314" s="140">
        <f t="shared" si="123"/>
        <v>1.4880000000000002E-6</v>
      </c>
      <c r="AA314" s="140">
        <f t="shared" si="124"/>
        <v>1.8600000000000002E-6</v>
      </c>
      <c r="AB314" s="157">
        <f>IF(U314&lt;$B$41*DATA!$H$1037,DATA!$H$1037,IF(U314&gt;DATA!$H$1036*$B$41,DATA!$H$1036,1))</f>
        <v>0.8</v>
      </c>
      <c r="AC314" s="156">
        <f t="shared" si="155"/>
        <v>9.9999999999999995E-8</v>
      </c>
      <c r="AE314" s="140">
        <f t="shared" si="125"/>
        <v>3.7200000000000003E-5</v>
      </c>
      <c r="AF314">
        <v>3.72</v>
      </c>
      <c r="AG314" s="140">
        <f t="shared" si="126"/>
        <v>3.7199999999999989E-7</v>
      </c>
      <c r="AH314" s="140">
        <f t="shared" si="127"/>
        <v>7.4399999999999999E-7</v>
      </c>
      <c r="AI314" s="140">
        <f t="shared" si="128"/>
        <v>1.116E-6</v>
      </c>
      <c r="AJ314" s="140">
        <f t="shared" si="129"/>
        <v>1.4880000000000002E-6</v>
      </c>
      <c r="AK314" s="140">
        <f t="shared" si="130"/>
        <v>1.8600000000000002E-6</v>
      </c>
      <c r="AL314" s="157">
        <f>IF(AE314&lt;$B$57*DATA!$H$1037,DATA!$H$1037,IF(AE314&gt;DATA!$H$1036*$B$57,DATA!$H$1036,1))</f>
        <v>1.2</v>
      </c>
      <c r="AM314" s="156">
        <f t="shared" si="156"/>
        <v>9.9999999999999995E-8</v>
      </c>
      <c r="AO314" s="140">
        <f t="shared" si="131"/>
        <v>3.7200000000000003E-5</v>
      </c>
      <c r="AP314">
        <v>3.72</v>
      </c>
      <c r="AQ314" s="140">
        <f t="shared" si="132"/>
        <v>3.7199999999999989E-7</v>
      </c>
      <c r="AR314" s="140">
        <f t="shared" si="133"/>
        <v>7.4399999999999999E-7</v>
      </c>
      <c r="AS314" s="140">
        <f t="shared" si="134"/>
        <v>1.116E-6</v>
      </c>
      <c r="AT314" s="140">
        <f t="shared" si="135"/>
        <v>1.4880000000000002E-6</v>
      </c>
      <c r="AU314" s="140">
        <f t="shared" si="136"/>
        <v>1.8600000000000002E-6</v>
      </c>
      <c r="AV314" s="157">
        <f>IF(AO314&lt;$B$73*DATA!$H$1037,DATA!$H$1037,IF(AO314&gt;DATA!$H$1036*$B$73,DATA!$H$1036,1))</f>
        <v>1.2</v>
      </c>
      <c r="AW314" s="156">
        <f t="shared" si="137"/>
        <v>9.9999999999999995E-8</v>
      </c>
      <c r="AY314" s="140">
        <f t="shared" si="138"/>
        <v>3.7200000000000003E-5</v>
      </c>
      <c r="AZ314">
        <v>3.72</v>
      </c>
      <c r="BA314" s="140">
        <f t="shared" si="139"/>
        <v>3.7199999999999989E-7</v>
      </c>
      <c r="BB314" s="140">
        <f t="shared" si="140"/>
        <v>7.4399999999999999E-7</v>
      </c>
      <c r="BC314" s="140">
        <f t="shared" si="141"/>
        <v>1.116E-6</v>
      </c>
      <c r="BD314" s="140">
        <f t="shared" si="142"/>
        <v>1.4880000000000002E-6</v>
      </c>
      <c r="BE314" s="140">
        <f t="shared" si="143"/>
        <v>1.8600000000000002E-6</v>
      </c>
      <c r="BF314" s="157">
        <f>IF(AY314&lt;$B$89*DATA!$H$1037,DATA!$H$1037,IF(AY314&gt;DATA!$H$1036*$B$89,DATA!$H$1036,1))</f>
        <v>1.2</v>
      </c>
      <c r="BG314" s="156">
        <f t="shared" si="144"/>
        <v>9.9999999999999995E-8</v>
      </c>
      <c r="BI314" s="140">
        <f t="shared" si="145"/>
        <v>3.7200000000000003E-5</v>
      </c>
      <c r="BJ314">
        <v>3.72</v>
      </c>
      <c r="BK314" s="140">
        <f t="shared" si="146"/>
        <v>3.7199999999999989E-7</v>
      </c>
      <c r="BL314" s="140">
        <f t="shared" si="147"/>
        <v>7.4399999999999999E-7</v>
      </c>
      <c r="BM314" s="140">
        <f t="shared" si="148"/>
        <v>1.116E-6</v>
      </c>
      <c r="BN314" s="140">
        <f t="shared" si="149"/>
        <v>1.4880000000000002E-6</v>
      </c>
      <c r="BO314" s="140">
        <f t="shared" si="150"/>
        <v>1.8600000000000002E-6</v>
      </c>
      <c r="BP314" s="157">
        <f>IF(BI314&lt;$B$105*DATA!$H$1037,DATA!$H$1037,IF(BI314&gt;DATA!$H$1036*$B$105,DATA!$H$1036,1))</f>
        <v>1.2</v>
      </c>
      <c r="BQ314" s="156">
        <f t="shared" si="151"/>
        <v>9.9999999999999995E-8</v>
      </c>
    </row>
    <row r="315" spans="1:69">
      <c r="A315" s="140">
        <f t="shared" si="111"/>
        <v>3.7400000000000008E-5</v>
      </c>
      <c r="B315">
        <v>3.74</v>
      </c>
      <c r="C315" s="140">
        <f t="shared" si="153"/>
        <v>3.7399999999999993E-7</v>
      </c>
      <c r="D315" s="140">
        <f t="shared" si="153"/>
        <v>7.4800000000000008E-7</v>
      </c>
      <c r="E315" s="140">
        <f t="shared" si="153"/>
        <v>1.1220000000000002E-6</v>
      </c>
      <c r="F315" s="140">
        <f t="shared" si="153"/>
        <v>1.4960000000000004E-6</v>
      </c>
      <c r="G315" s="140">
        <f t="shared" si="153"/>
        <v>1.8700000000000005E-6</v>
      </c>
      <c r="H315" s="157">
        <f>IF(A315&lt;$B$9*DATA!$H$1037,DATA!$H$1037,IF(A315&gt;DATA!$H$1036*$B$9,DATA!$H$1036,1))</f>
        <v>0.8</v>
      </c>
      <c r="I315" s="156">
        <f t="shared" si="157"/>
        <v>9.9999999999999995E-8</v>
      </c>
      <c r="K315" s="140">
        <f t="shared" si="113"/>
        <v>3.7400000000000008E-5</v>
      </c>
      <c r="L315">
        <v>3.74</v>
      </c>
      <c r="M315" s="140">
        <f t="shared" si="114"/>
        <v>3.7399999999999993E-7</v>
      </c>
      <c r="N315" s="140">
        <f t="shared" si="115"/>
        <v>7.4800000000000008E-7</v>
      </c>
      <c r="O315" s="140">
        <f t="shared" si="116"/>
        <v>1.1220000000000002E-6</v>
      </c>
      <c r="P315" s="140">
        <f t="shared" si="117"/>
        <v>1.4960000000000004E-6</v>
      </c>
      <c r="Q315" s="140">
        <f t="shared" si="118"/>
        <v>1.8700000000000005E-6</v>
      </c>
      <c r="R315" s="157">
        <f>IF(K315&lt;$B$25*DATA!$H$1037,DATA!$H$1037,IF(K315&gt;DATA!$H$1036*$B$25,DATA!$H$1036,1))</f>
        <v>0.8</v>
      </c>
      <c r="S315" s="156">
        <f t="shared" si="154"/>
        <v>9.9999999999999995E-8</v>
      </c>
      <c r="U315" s="140">
        <f t="shared" si="119"/>
        <v>3.7400000000000008E-5</v>
      </c>
      <c r="V315">
        <v>3.74</v>
      </c>
      <c r="W315" s="140">
        <f t="shared" si="120"/>
        <v>3.7399999999999993E-7</v>
      </c>
      <c r="X315" s="140">
        <f t="shared" si="121"/>
        <v>7.4800000000000008E-7</v>
      </c>
      <c r="Y315" s="140">
        <f t="shared" si="122"/>
        <v>1.1220000000000002E-6</v>
      </c>
      <c r="Z315" s="140">
        <f t="shared" si="123"/>
        <v>1.4960000000000004E-6</v>
      </c>
      <c r="AA315" s="140">
        <f t="shared" si="124"/>
        <v>1.8700000000000005E-6</v>
      </c>
      <c r="AB315" s="157">
        <f>IF(U315&lt;$B$41*DATA!$H$1037,DATA!$H$1037,IF(U315&gt;DATA!$H$1036*$B$41,DATA!$H$1036,1))</f>
        <v>0.8</v>
      </c>
      <c r="AC315" s="156">
        <f t="shared" si="155"/>
        <v>9.9999999999999995E-8</v>
      </c>
      <c r="AE315" s="140">
        <f t="shared" si="125"/>
        <v>3.7400000000000008E-5</v>
      </c>
      <c r="AF315">
        <v>3.74</v>
      </c>
      <c r="AG315" s="140">
        <f t="shared" si="126"/>
        <v>3.7399999999999993E-7</v>
      </c>
      <c r="AH315" s="140">
        <f t="shared" si="127"/>
        <v>7.4800000000000008E-7</v>
      </c>
      <c r="AI315" s="140">
        <f t="shared" si="128"/>
        <v>1.1220000000000002E-6</v>
      </c>
      <c r="AJ315" s="140">
        <f t="shared" si="129"/>
        <v>1.4960000000000004E-6</v>
      </c>
      <c r="AK315" s="140">
        <f t="shared" si="130"/>
        <v>1.8700000000000005E-6</v>
      </c>
      <c r="AL315" s="157">
        <f>IF(AE315&lt;$B$57*DATA!$H$1037,DATA!$H$1037,IF(AE315&gt;DATA!$H$1036*$B$57,DATA!$H$1036,1))</f>
        <v>1.2</v>
      </c>
      <c r="AM315" s="156">
        <f t="shared" si="156"/>
        <v>9.9999999999999995E-8</v>
      </c>
      <c r="AO315" s="140">
        <f t="shared" si="131"/>
        <v>3.7400000000000008E-5</v>
      </c>
      <c r="AP315">
        <v>3.74</v>
      </c>
      <c r="AQ315" s="140">
        <f t="shared" si="132"/>
        <v>3.7399999999999993E-7</v>
      </c>
      <c r="AR315" s="140">
        <f t="shared" si="133"/>
        <v>7.4800000000000008E-7</v>
      </c>
      <c r="AS315" s="140">
        <f t="shared" si="134"/>
        <v>1.1220000000000002E-6</v>
      </c>
      <c r="AT315" s="140">
        <f t="shared" si="135"/>
        <v>1.4960000000000004E-6</v>
      </c>
      <c r="AU315" s="140">
        <f t="shared" si="136"/>
        <v>1.8700000000000005E-6</v>
      </c>
      <c r="AV315" s="157">
        <f>IF(AO315&lt;$B$73*DATA!$H$1037,DATA!$H$1037,IF(AO315&gt;DATA!$H$1036*$B$73,DATA!$H$1036,1))</f>
        <v>1.2</v>
      </c>
      <c r="AW315" s="156">
        <f t="shared" si="137"/>
        <v>9.9999999999999995E-8</v>
      </c>
      <c r="AY315" s="140">
        <f t="shared" si="138"/>
        <v>3.7400000000000008E-5</v>
      </c>
      <c r="AZ315">
        <v>3.74</v>
      </c>
      <c r="BA315" s="140">
        <f t="shared" si="139"/>
        <v>3.7399999999999993E-7</v>
      </c>
      <c r="BB315" s="140">
        <f t="shared" si="140"/>
        <v>7.4800000000000008E-7</v>
      </c>
      <c r="BC315" s="140">
        <f t="shared" si="141"/>
        <v>1.1220000000000002E-6</v>
      </c>
      <c r="BD315" s="140">
        <f t="shared" si="142"/>
        <v>1.4960000000000004E-6</v>
      </c>
      <c r="BE315" s="140">
        <f t="shared" si="143"/>
        <v>1.8700000000000005E-6</v>
      </c>
      <c r="BF315" s="157">
        <f>IF(AY315&lt;$B$89*DATA!$H$1037,DATA!$H$1037,IF(AY315&gt;DATA!$H$1036*$B$89,DATA!$H$1036,1))</f>
        <v>1.2</v>
      </c>
      <c r="BG315" s="156">
        <f t="shared" si="144"/>
        <v>9.9999999999999995E-8</v>
      </c>
      <c r="BI315" s="140">
        <f t="shared" si="145"/>
        <v>3.7400000000000008E-5</v>
      </c>
      <c r="BJ315">
        <v>3.74</v>
      </c>
      <c r="BK315" s="140">
        <f t="shared" si="146"/>
        <v>3.7399999999999993E-7</v>
      </c>
      <c r="BL315" s="140">
        <f t="shared" si="147"/>
        <v>7.4800000000000008E-7</v>
      </c>
      <c r="BM315" s="140">
        <f t="shared" si="148"/>
        <v>1.1220000000000002E-6</v>
      </c>
      <c r="BN315" s="140">
        <f t="shared" si="149"/>
        <v>1.4960000000000004E-6</v>
      </c>
      <c r="BO315" s="140">
        <f t="shared" si="150"/>
        <v>1.8700000000000005E-6</v>
      </c>
      <c r="BP315" s="157">
        <f>IF(BI315&lt;$B$105*DATA!$H$1037,DATA!$H$1037,IF(BI315&gt;DATA!$H$1036*$B$105,DATA!$H$1036,1))</f>
        <v>1.2</v>
      </c>
      <c r="BQ315" s="156">
        <f t="shared" si="151"/>
        <v>9.9999999999999995E-8</v>
      </c>
    </row>
    <row r="316" spans="1:69">
      <c r="A316" s="140">
        <f t="shared" si="111"/>
        <v>3.7599999999999999E-5</v>
      </c>
      <c r="B316">
        <v>3.76</v>
      </c>
      <c r="C316" s="140">
        <f t="shared" si="153"/>
        <v>3.7599999999999987E-7</v>
      </c>
      <c r="D316" s="140">
        <f t="shared" si="153"/>
        <v>7.5199999999999985E-7</v>
      </c>
      <c r="E316" s="140">
        <f t="shared" si="153"/>
        <v>1.1279999999999998E-6</v>
      </c>
      <c r="F316" s="140">
        <f t="shared" si="153"/>
        <v>1.5039999999999999E-6</v>
      </c>
      <c r="G316" s="140">
        <f t="shared" si="153"/>
        <v>1.88E-6</v>
      </c>
      <c r="H316" s="157">
        <f>IF(A316&lt;$B$9*DATA!$H$1037,DATA!$H$1037,IF(A316&gt;DATA!$H$1036*$B$9,DATA!$H$1036,1))</f>
        <v>0.8</v>
      </c>
      <c r="I316" s="156">
        <f t="shared" si="157"/>
        <v>9.9999999999999995E-8</v>
      </c>
      <c r="K316" s="140">
        <f t="shared" si="113"/>
        <v>3.7599999999999999E-5</v>
      </c>
      <c r="L316">
        <v>3.76</v>
      </c>
      <c r="M316" s="140">
        <f t="shared" si="114"/>
        <v>3.7599999999999987E-7</v>
      </c>
      <c r="N316" s="140">
        <f t="shared" si="115"/>
        <v>7.5199999999999985E-7</v>
      </c>
      <c r="O316" s="140">
        <f t="shared" si="116"/>
        <v>1.1279999999999998E-6</v>
      </c>
      <c r="P316" s="140">
        <f t="shared" si="117"/>
        <v>1.5039999999999999E-6</v>
      </c>
      <c r="Q316" s="140">
        <f t="shared" si="118"/>
        <v>1.88E-6</v>
      </c>
      <c r="R316" s="157">
        <f>IF(K316&lt;$B$25*DATA!$H$1037,DATA!$H$1037,IF(K316&gt;DATA!$H$1036*$B$25,DATA!$H$1036,1))</f>
        <v>0.8</v>
      </c>
      <c r="S316" s="156">
        <f t="shared" si="154"/>
        <v>9.9999999999999995E-8</v>
      </c>
      <c r="U316" s="140">
        <f t="shared" si="119"/>
        <v>3.7599999999999999E-5</v>
      </c>
      <c r="V316">
        <v>3.76</v>
      </c>
      <c r="W316" s="140">
        <f t="shared" si="120"/>
        <v>3.7599999999999987E-7</v>
      </c>
      <c r="X316" s="140">
        <f t="shared" si="121"/>
        <v>7.5199999999999985E-7</v>
      </c>
      <c r="Y316" s="140">
        <f t="shared" si="122"/>
        <v>1.1279999999999998E-6</v>
      </c>
      <c r="Z316" s="140">
        <f t="shared" si="123"/>
        <v>1.5039999999999999E-6</v>
      </c>
      <c r="AA316" s="140">
        <f t="shared" si="124"/>
        <v>1.88E-6</v>
      </c>
      <c r="AB316" s="157">
        <f>IF(U316&lt;$B$41*DATA!$H$1037,DATA!$H$1037,IF(U316&gt;DATA!$H$1036*$B$41,DATA!$H$1036,1))</f>
        <v>0.8</v>
      </c>
      <c r="AC316" s="156">
        <f t="shared" si="155"/>
        <v>9.9999999999999995E-8</v>
      </c>
      <c r="AE316" s="140">
        <f t="shared" si="125"/>
        <v>3.7599999999999999E-5</v>
      </c>
      <c r="AF316">
        <v>3.76</v>
      </c>
      <c r="AG316" s="140">
        <f t="shared" si="126"/>
        <v>3.7599999999999987E-7</v>
      </c>
      <c r="AH316" s="140">
        <f t="shared" si="127"/>
        <v>7.5199999999999985E-7</v>
      </c>
      <c r="AI316" s="140">
        <f t="shared" si="128"/>
        <v>1.1279999999999998E-6</v>
      </c>
      <c r="AJ316" s="140">
        <f t="shared" si="129"/>
        <v>1.5039999999999999E-6</v>
      </c>
      <c r="AK316" s="140">
        <f t="shared" si="130"/>
        <v>1.88E-6</v>
      </c>
      <c r="AL316" s="157">
        <f>IF(AE316&lt;$B$57*DATA!$H$1037,DATA!$H$1037,IF(AE316&gt;DATA!$H$1036*$B$57,DATA!$H$1036,1))</f>
        <v>1.2</v>
      </c>
      <c r="AM316" s="156">
        <f t="shared" si="156"/>
        <v>9.9999999999999995E-8</v>
      </c>
      <c r="AO316" s="140">
        <f t="shared" si="131"/>
        <v>3.7599999999999999E-5</v>
      </c>
      <c r="AP316">
        <v>3.76</v>
      </c>
      <c r="AQ316" s="140">
        <f t="shared" si="132"/>
        <v>3.7599999999999987E-7</v>
      </c>
      <c r="AR316" s="140">
        <f t="shared" si="133"/>
        <v>7.5199999999999985E-7</v>
      </c>
      <c r="AS316" s="140">
        <f t="shared" si="134"/>
        <v>1.1279999999999998E-6</v>
      </c>
      <c r="AT316" s="140">
        <f t="shared" si="135"/>
        <v>1.5039999999999999E-6</v>
      </c>
      <c r="AU316" s="140">
        <f t="shared" si="136"/>
        <v>1.88E-6</v>
      </c>
      <c r="AV316" s="157">
        <f>IF(AO316&lt;$B$73*DATA!$H$1037,DATA!$H$1037,IF(AO316&gt;DATA!$H$1036*$B$73,DATA!$H$1036,1))</f>
        <v>1.2</v>
      </c>
      <c r="AW316" s="156">
        <f t="shared" si="137"/>
        <v>9.9999999999999995E-8</v>
      </c>
      <c r="AY316" s="140">
        <f t="shared" si="138"/>
        <v>3.7599999999999999E-5</v>
      </c>
      <c r="AZ316">
        <v>3.76</v>
      </c>
      <c r="BA316" s="140">
        <f t="shared" si="139"/>
        <v>3.7599999999999987E-7</v>
      </c>
      <c r="BB316" s="140">
        <f t="shared" si="140"/>
        <v>7.5199999999999985E-7</v>
      </c>
      <c r="BC316" s="140">
        <f t="shared" si="141"/>
        <v>1.1279999999999998E-6</v>
      </c>
      <c r="BD316" s="140">
        <f t="shared" si="142"/>
        <v>1.5039999999999999E-6</v>
      </c>
      <c r="BE316" s="140">
        <f t="shared" si="143"/>
        <v>1.88E-6</v>
      </c>
      <c r="BF316" s="157">
        <f>IF(AY316&lt;$B$89*DATA!$H$1037,DATA!$H$1037,IF(AY316&gt;DATA!$H$1036*$B$89,DATA!$H$1036,1))</f>
        <v>1.2</v>
      </c>
      <c r="BG316" s="156">
        <f t="shared" si="144"/>
        <v>9.9999999999999995E-8</v>
      </c>
      <c r="BI316" s="140">
        <f t="shared" si="145"/>
        <v>3.7599999999999999E-5</v>
      </c>
      <c r="BJ316">
        <v>3.76</v>
      </c>
      <c r="BK316" s="140">
        <f t="shared" si="146"/>
        <v>3.7599999999999987E-7</v>
      </c>
      <c r="BL316" s="140">
        <f t="shared" si="147"/>
        <v>7.5199999999999985E-7</v>
      </c>
      <c r="BM316" s="140">
        <f t="shared" si="148"/>
        <v>1.1279999999999998E-6</v>
      </c>
      <c r="BN316" s="140">
        <f t="shared" si="149"/>
        <v>1.5039999999999999E-6</v>
      </c>
      <c r="BO316" s="140">
        <f t="shared" si="150"/>
        <v>1.88E-6</v>
      </c>
      <c r="BP316" s="157">
        <f>IF(BI316&lt;$B$105*DATA!$H$1037,DATA!$H$1037,IF(BI316&gt;DATA!$H$1036*$B$105,DATA!$H$1036,1))</f>
        <v>1.2</v>
      </c>
      <c r="BQ316" s="156">
        <f t="shared" si="151"/>
        <v>9.9999999999999995E-8</v>
      </c>
    </row>
    <row r="317" spans="1:69">
      <c r="A317" s="140">
        <f t="shared" si="111"/>
        <v>3.7800000000000004E-5</v>
      </c>
      <c r="B317">
        <v>3.78</v>
      </c>
      <c r="C317" s="140">
        <f t="shared" si="153"/>
        <v>3.7799999999999992E-7</v>
      </c>
      <c r="D317" s="140">
        <f t="shared" si="153"/>
        <v>7.5599999999999994E-7</v>
      </c>
      <c r="E317" s="140">
        <f t="shared" si="153"/>
        <v>1.1340000000000001E-6</v>
      </c>
      <c r="F317" s="140">
        <f t="shared" si="153"/>
        <v>1.5120000000000001E-6</v>
      </c>
      <c r="G317" s="140">
        <f t="shared" si="153"/>
        <v>1.8900000000000003E-6</v>
      </c>
      <c r="H317" s="157">
        <f>IF(A317&lt;$B$9*DATA!$H$1037,DATA!$H$1037,IF(A317&gt;DATA!$H$1036*$B$9,DATA!$H$1036,1))</f>
        <v>0.8</v>
      </c>
      <c r="I317" s="156">
        <f t="shared" si="157"/>
        <v>9.9999999999999995E-8</v>
      </c>
      <c r="K317" s="140">
        <f t="shared" si="113"/>
        <v>3.7800000000000004E-5</v>
      </c>
      <c r="L317">
        <v>3.78</v>
      </c>
      <c r="M317" s="140">
        <f t="shared" si="114"/>
        <v>3.7799999999999992E-7</v>
      </c>
      <c r="N317" s="140">
        <f t="shared" si="115"/>
        <v>7.5599999999999994E-7</v>
      </c>
      <c r="O317" s="140">
        <f t="shared" si="116"/>
        <v>1.1340000000000001E-6</v>
      </c>
      <c r="P317" s="140">
        <f t="shared" si="117"/>
        <v>1.5120000000000001E-6</v>
      </c>
      <c r="Q317" s="140">
        <f t="shared" si="118"/>
        <v>1.8900000000000003E-6</v>
      </c>
      <c r="R317" s="157">
        <f>IF(K317&lt;$B$25*DATA!$H$1037,DATA!$H$1037,IF(K317&gt;DATA!$H$1036*$B$25,DATA!$H$1036,1))</f>
        <v>0.8</v>
      </c>
      <c r="S317" s="156">
        <f t="shared" si="154"/>
        <v>9.9999999999999995E-8</v>
      </c>
      <c r="U317" s="140">
        <f t="shared" si="119"/>
        <v>3.7800000000000004E-5</v>
      </c>
      <c r="V317">
        <v>3.78</v>
      </c>
      <c r="W317" s="140">
        <f t="shared" si="120"/>
        <v>3.7799999999999992E-7</v>
      </c>
      <c r="X317" s="140">
        <f t="shared" si="121"/>
        <v>7.5599999999999994E-7</v>
      </c>
      <c r="Y317" s="140">
        <f t="shared" si="122"/>
        <v>1.1340000000000001E-6</v>
      </c>
      <c r="Z317" s="140">
        <f t="shared" si="123"/>
        <v>1.5120000000000001E-6</v>
      </c>
      <c r="AA317" s="140">
        <f t="shared" si="124"/>
        <v>1.8900000000000003E-6</v>
      </c>
      <c r="AB317" s="157">
        <f>IF(U317&lt;$B$41*DATA!$H$1037,DATA!$H$1037,IF(U317&gt;DATA!$H$1036*$B$41,DATA!$H$1036,1))</f>
        <v>0.8</v>
      </c>
      <c r="AC317" s="156">
        <f t="shared" si="155"/>
        <v>9.9999999999999995E-8</v>
      </c>
      <c r="AE317" s="140">
        <f t="shared" si="125"/>
        <v>3.7800000000000004E-5</v>
      </c>
      <c r="AF317">
        <v>3.78</v>
      </c>
      <c r="AG317" s="140">
        <f t="shared" si="126"/>
        <v>3.7799999999999992E-7</v>
      </c>
      <c r="AH317" s="140">
        <f t="shared" si="127"/>
        <v>7.5599999999999994E-7</v>
      </c>
      <c r="AI317" s="140">
        <f t="shared" si="128"/>
        <v>1.1340000000000001E-6</v>
      </c>
      <c r="AJ317" s="140">
        <f t="shared" si="129"/>
        <v>1.5120000000000001E-6</v>
      </c>
      <c r="AK317" s="140">
        <f t="shared" si="130"/>
        <v>1.8900000000000003E-6</v>
      </c>
      <c r="AL317" s="157">
        <f>IF(AE317&lt;$B$57*DATA!$H$1037,DATA!$H$1037,IF(AE317&gt;DATA!$H$1036*$B$57,DATA!$H$1036,1))</f>
        <v>1.2</v>
      </c>
      <c r="AM317" s="156">
        <f t="shared" si="156"/>
        <v>9.9999999999999995E-8</v>
      </c>
      <c r="AO317" s="140">
        <f t="shared" si="131"/>
        <v>3.7800000000000004E-5</v>
      </c>
      <c r="AP317">
        <v>3.78</v>
      </c>
      <c r="AQ317" s="140">
        <f t="shared" si="132"/>
        <v>3.7799999999999992E-7</v>
      </c>
      <c r="AR317" s="140">
        <f t="shared" si="133"/>
        <v>7.5599999999999994E-7</v>
      </c>
      <c r="AS317" s="140">
        <f t="shared" si="134"/>
        <v>1.1340000000000001E-6</v>
      </c>
      <c r="AT317" s="140">
        <f t="shared" si="135"/>
        <v>1.5120000000000001E-6</v>
      </c>
      <c r="AU317" s="140">
        <f t="shared" si="136"/>
        <v>1.8900000000000003E-6</v>
      </c>
      <c r="AV317" s="157">
        <f>IF(AO317&lt;$B$73*DATA!$H$1037,DATA!$H$1037,IF(AO317&gt;DATA!$H$1036*$B$73,DATA!$H$1036,1))</f>
        <v>1.2</v>
      </c>
      <c r="AW317" s="156">
        <f t="shared" si="137"/>
        <v>9.9999999999999995E-8</v>
      </c>
      <c r="AY317" s="140">
        <f t="shared" si="138"/>
        <v>3.7800000000000004E-5</v>
      </c>
      <c r="AZ317">
        <v>3.78</v>
      </c>
      <c r="BA317" s="140">
        <f t="shared" si="139"/>
        <v>3.7799999999999992E-7</v>
      </c>
      <c r="BB317" s="140">
        <f t="shared" si="140"/>
        <v>7.5599999999999994E-7</v>
      </c>
      <c r="BC317" s="140">
        <f t="shared" si="141"/>
        <v>1.1340000000000001E-6</v>
      </c>
      <c r="BD317" s="140">
        <f t="shared" si="142"/>
        <v>1.5120000000000001E-6</v>
      </c>
      <c r="BE317" s="140">
        <f t="shared" si="143"/>
        <v>1.8900000000000003E-6</v>
      </c>
      <c r="BF317" s="157">
        <f>IF(AY317&lt;$B$89*DATA!$H$1037,DATA!$H$1037,IF(AY317&gt;DATA!$H$1036*$B$89,DATA!$H$1036,1))</f>
        <v>1.2</v>
      </c>
      <c r="BG317" s="156">
        <f t="shared" si="144"/>
        <v>9.9999999999999995E-8</v>
      </c>
      <c r="BI317" s="140">
        <f t="shared" si="145"/>
        <v>3.7800000000000004E-5</v>
      </c>
      <c r="BJ317">
        <v>3.78</v>
      </c>
      <c r="BK317" s="140">
        <f t="shared" si="146"/>
        <v>3.7799999999999992E-7</v>
      </c>
      <c r="BL317" s="140">
        <f t="shared" si="147"/>
        <v>7.5599999999999994E-7</v>
      </c>
      <c r="BM317" s="140">
        <f t="shared" si="148"/>
        <v>1.1340000000000001E-6</v>
      </c>
      <c r="BN317" s="140">
        <f t="shared" si="149"/>
        <v>1.5120000000000001E-6</v>
      </c>
      <c r="BO317" s="140">
        <f t="shared" si="150"/>
        <v>1.8900000000000003E-6</v>
      </c>
      <c r="BP317" s="157">
        <f>IF(BI317&lt;$B$105*DATA!$H$1037,DATA!$H$1037,IF(BI317&gt;DATA!$H$1036*$B$105,DATA!$H$1036,1))</f>
        <v>1.2</v>
      </c>
      <c r="BQ317" s="156">
        <f t="shared" si="151"/>
        <v>9.9999999999999995E-8</v>
      </c>
    </row>
    <row r="318" spans="1:69">
      <c r="A318" s="140">
        <f t="shared" si="111"/>
        <v>4.7800000000000003E-5</v>
      </c>
      <c r="B318">
        <v>4.78</v>
      </c>
      <c r="C318" s="140">
        <f>C$142*$A318</f>
        <v>4.7799999999999991E-7</v>
      </c>
      <c r="D318" s="140">
        <f t="shared" si="153"/>
        <v>9.5599999999999983E-7</v>
      </c>
      <c r="E318" s="140">
        <f t="shared" si="153"/>
        <v>1.4339999999999999E-6</v>
      </c>
      <c r="F318" s="140">
        <f t="shared" si="153"/>
        <v>1.9120000000000001E-6</v>
      </c>
      <c r="G318" s="140">
        <f t="shared" si="153"/>
        <v>2.3900000000000004E-6</v>
      </c>
      <c r="H318" s="157">
        <f>IF(A318&lt;$B$9*DATA!$H$1037,DATA!$H$1037,IF(A318&gt;DATA!$H$1036*$B$9,DATA!$H$1036,1))</f>
        <v>0.8</v>
      </c>
      <c r="I318" s="156">
        <f t="shared" si="157"/>
        <v>9.9999999999999995E-8</v>
      </c>
      <c r="K318" s="140">
        <f t="shared" si="113"/>
        <v>4.7800000000000003E-5</v>
      </c>
      <c r="L318">
        <v>4.78</v>
      </c>
      <c r="M318" s="140">
        <f t="shared" si="114"/>
        <v>4.7799999999999991E-7</v>
      </c>
      <c r="N318" s="140">
        <f t="shared" si="115"/>
        <v>9.5599999999999983E-7</v>
      </c>
      <c r="O318" s="140">
        <f t="shared" si="116"/>
        <v>1.4339999999999999E-6</v>
      </c>
      <c r="P318" s="140">
        <f t="shared" si="117"/>
        <v>1.9120000000000001E-6</v>
      </c>
      <c r="Q318" s="140">
        <f t="shared" si="118"/>
        <v>2.3900000000000004E-6</v>
      </c>
      <c r="R318" s="157">
        <f>IF(K318&lt;$B$25*DATA!$H$1037,DATA!$H$1037,IF(K318&gt;DATA!$H$1036*$B$25,DATA!$H$1036,1))</f>
        <v>0.8</v>
      </c>
      <c r="S318" s="156">
        <f t="shared" si="154"/>
        <v>9.9999999999999995E-8</v>
      </c>
      <c r="U318" s="140">
        <f t="shared" si="119"/>
        <v>4.7800000000000003E-5</v>
      </c>
      <c r="V318">
        <v>4.78</v>
      </c>
      <c r="W318" s="140">
        <f t="shared" si="120"/>
        <v>4.7799999999999991E-7</v>
      </c>
      <c r="X318" s="140">
        <f t="shared" si="121"/>
        <v>9.5599999999999983E-7</v>
      </c>
      <c r="Y318" s="140">
        <f t="shared" si="122"/>
        <v>1.4339999999999999E-6</v>
      </c>
      <c r="Z318" s="140">
        <f t="shared" si="123"/>
        <v>1.9120000000000001E-6</v>
      </c>
      <c r="AA318" s="140">
        <f t="shared" si="124"/>
        <v>2.3900000000000004E-6</v>
      </c>
      <c r="AB318" s="157">
        <f>IF(U318&lt;$B$41*DATA!$H$1037,DATA!$H$1037,IF(U318&gt;DATA!$H$1036*$B$41,DATA!$H$1036,1))</f>
        <v>0.8</v>
      </c>
      <c r="AC318" s="156">
        <f t="shared" si="155"/>
        <v>9.9999999999999995E-8</v>
      </c>
      <c r="AE318" s="140">
        <f t="shared" si="125"/>
        <v>4.7800000000000003E-5</v>
      </c>
      <c r="AF318">
        <v>4.78</v>
      </c>
      <c r="AG318" s="140">
        <f t="shared" si="126"/>
        <v>4.7799999999999991E-7</v>
      </c>
      <c r="AH318" s="140">
        <f t="shared" si="127"/>
        <v>9.5599999999999983E-7</v>
      </c>
      <c r="AI318" s="140">
        <f t="shared" si="128"/>
        <v>1.4339999999999999E-6</v>
      </c>
      <c r="AJ318" s="140">
        <f t="shared" si="129"/>
        <v>1.9120000000000001E-6</v>
      </c>
      <c r="AK318" s="140">
        <f t="shared" si="130"/>
        <v>2.3900000000000004E-6</v>
      </c>
      <c r="AL318" s="157">
        <f>IF(AE318&lt;$B$57*DATA!$H$1037,DATA!$H$1037,IF(AE318&gt;DATA!$H$1036*$B$57,DATA!$H$1036,1))</f>
        <v>1.2</v>
      </c>
      <c r="AM318" s="156">
        <f t="shared" si="156"/>
        <v>9.9999999999999995E-8</v>
      </c>
      <c r="AO318" s="140">
        <f t="shared" si="131"/>
        <v>4.7800000000000003E-5</v>
      </c>
      <c r="AP318">
        <v>4.78</v>
      </c>
      <c r="AQ318" s="140">
        <f t="shared" si="132"/>
        <v>4.7799999999999991E-7</v>
      </c>
      <c r="AR318" s="140">
        <f t="shared" si="133"/>
        <v>9.5599999999999983E-7</v>
      </c>
      <c r="AS318" s="140">
        <f t="shared" si="134"/>
        <v>1.4339999999999999E-6</v>
      </c>
      <c r="AT318" s="140">
        <f t="shared" si="135"/>
        <v>1.9120000000000001E-6</v>
      </c>
      <c r="AU318" s="140">
        <f t="shared" si="136"/>
        <v>2.3900000000000004E-6</v>
      </c>
      <c r="AV318" s="157">
        <f>IF(AO318&lt;$B$73*DATA!$H$1037,DATA!$H$1037,IF(AO318&gt;DATA!$H$1036*$B$73,DATA!$H$1036,1))</f>
        <v>1.2</v>
      </c>
      <c r="AW318" s="156">
        <f t="shared" si="137"/>
        <v>9.9999999999999995E-8</v>
      </c>
      <c r="AY318" s="140">
        <f t="shared" si="138"/>
        <v>4.7800000000000003E-5</v>
      </c>
      <c r="AZ318">
        <v>4.78</v>
      </c>
      <c r="BA318" s="140">
        <f t="shared" si="139"/>
        <v>4.7799999999999991E-7</v>
      </c>
      <c r="BB318" s="140">
        <f t="shared" si="140"/>
        <v>9.5599999999999983E-7</v>
      </c>
      <c r="BC318" s="140">
        <f t="shared" si="141"/>
        <v>1.4339999999999999E-6</v>
      </c>
      <c r="BD318" s="140">
        <f t="shared" si="142"/>
        <v>1.9120000000000001E-6</v>
      </c>
      <c r="BE318" s="140">
        <f t="shared" si="143"/>
        <v>2.3900000000000004E-6</v>
      </c>
      <c r="BF318" s="157">
        <f>IF(AY318&lt;$B$89*DATA!$H$1037,DATA!$H$1037,IF(AY318&gt;DATA!$H$1036*$B$89,DATA!$H$1036,1))</f>
        <v>1.2</v>
      </c>
      <c r="BG318" s="156">
        <f t="shared" si="144"/>
        <v>9.9999999999999995E-8</v>
      </c>
      <c r="BI318" s="140">
        <f t="shared" si="145"/>
        <v>4.7800000000000003E-5</v>
      </c>
      <c r="BJ318">
        <v>4.78</v>
      </c>
      <c r="BK318" s="140">
        <f t="shared" si="146"/>
        <v>4.7799999999999991E-7</v>
      </c>
      <c r="BL318" s="140">
        <f t="shared" si="147"/>
        <v>9.5599999999999983E-7</v>
      </c>
      <c r="BM318" s="140">
        <f t="shared" si="148"/>
        <v>1.4339999999999999E-6</v>
      </c>
      <c r="BN318" s="140">
        <f t="shared" si="149"/>
        <v>1.9120000000000001E-6</v>
      </c>
      <c r="BO318" s="140">
        <f t="shared" si="150"/>
        <v>2.3900000000000004E-6</v>
      </c>
      <c r="BP318" s="157">
        <f>IF(BI318&lt;$B$105*DATA!$H$1037,DATA!$H$1037,IF(BI318&gt;DATA!$H$1036*$B$105,DATA!$H$1036,1))</f>
        <v>1.2</v>
      </c>
      <c r="BQ318" s="156">
        <f t="shared" si="151"/>
        <v>9.9999999999999995E-8</v>
      </c>
    </row>
  </sheetData>
  <mergeCells count="8">
    <mergeCell ref="C1:J2"/>
    <mergeCell ref="A116:B119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7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700-000001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D7" xr:uid="{00000000-0002-0000-2700-000002000000}">
      <formula1>1</formula1>
      <formula2>31</formula2>
    </dataValidation>
  </dataValidations>
  <pageMargins left="0.31496062992125984" right="0.31496062992125984" top="0.35433070866141736" bottom="0.31496062992125984" header="0.15748031496062992" footer="0.15748031496062992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0">
    <tabColor rgb="FF7030A0"/>
    <pageSetUpPr fitToPage="1"/>
  </sheetPr>
  <dimension ref="A1:DM318"/>
  <sheetViews>
    <sheetView workbookViewId="0">
      <selection activeCell="B15" sqref="B15"/>
    </sheetView>
  </sheetViews>
  <sheetFormatPr defaultRowHeight="15"/>
  <cols>
    <col min="1" max="1" width="24" bestFit="1" customWidth="1"/>
    <col min="2" max="2" width="19" bestFit="1" customWidth="1"/>
    <col min="3" max="6" width="6.7109375" customWidth="1"/>
    <col min="7" max="7" width="16" customWidth="1"/>
    <col min="9" max="9" width="16.140625" bestFit="1" customWidth="1"/>
    <col min="10" max="10" width="14" bestFit="1" customWidth="1"/>
    <col min="11" max="12" width="16" bestFit="1" customWidth="1"/>
    <col min="13" max="16" width="15" bestFit="1" customWidth="1"/>
    <col min="17" max="17" width="18.140625" bestFit="1" customWidth="1"/>
    <col min="18" max="18" width="7.85546875" bestFit="1" customWidth="1"/>
    <col min="19" max="19" width="15" bestFit="1" customWidth="1"/>
    <col min="21" max="21" width="17.42578125" bestFit="1" customWidth="1"/>
    <col min="22" max="22" width="16" bestFit="1" customWidth="1"/>
    <col min="23" max="24" width="15" bestFit="1" customWidth="1"/>
    <col min="25" max="25" width="17.42578125" bestFit="1" customWidth="1"/>
    <col min="26" max="26" width="16" bestFit="1" customWidth="1"/>
    <col min="27" max="27" width="18.14062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4062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40625" bestFit="1" customWidth="1"/>
    <col min="48" max="48" width="7.85546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4062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40625" bestFit="1" customWidth="1"/>
    <col min="69" max="69" width="15" bestFit="1" customWidth="1"/>
  </cols>
  <sheetData>
    <row r="1" spans="1:12" ht="15" customHeight="1">
      <c r="A1" s="263" t="str">
        <f>DATA!$C$1004</f>
        <v>NRA.N.011-050-2012/1F</v>
      </c>
      <c r="C1" s="1612" t="str">
        <f>DATA!$C$1005</f>
        <v>CONSULTING ENGINEERING SERVICES FOR THE PRELIMINARY DESIGN REVIEW,DETAIL DESIGN, CONTRACT DOCUMENTATION AND CONSTRUCTION MONITORING OF THE ERMELO RING ROAD</v>
      </c>
      <c r="D1" s="1612"/>
      <c r="E1" s="1612"/>
      <c r="F1" s="1612"/>
      <c r="G1" s="1612"/>
      <c r="H1" s="1612"/>
      <c r="I1" s="1612"/>
      <c r="J1" s="1612"/>
    </row>
    <row r="2" spans="1:12">
      <c r="C2" s="1612"/>
      <c r="D2" s="1612"/>
      <c r="E2" s="1612"/>
      <c r="F2" s="1612"/>
      <c r="G2" s="1612"/>
      <c r="H2" s="1612"/>
      <c r="I2" s="1612"/>
      <c r="J2" s="1612"/>
    </row>
    <row r="3" spans="1:12">
      <c r="A3" s="232" t="str">
        <f>'All Hours'!$D$1</f>
        <v>PLEASE INSERT TENDERER NAME ON INPUT DATA SHEET</v>
      </c>
    </row>
    <row r="4" spans="1:12">
      <c r="A4" s="1" t="s">
        <v>188</v>
      </c>
      <c r="B4" t="s">
        <v>189</v>
      </c>
    </row>
    <row r="6" spans="1:12">
      <c r="D6" s="124" t="s">
        <v>171</v>
      </c>
      <c r="E6" s="124" t="s">
        <v>172</v>
      </c>
      <c r="F6" s="124" t="s">
        <v>173</v>
      </c>
      <c r="G6" s="162"/>
      <c r="I6" s="133" t="s">
        <v>174</v>
      </c>
    </row>
    <row r="7" spans="1:12">
      <c r="C7" s="124" t="s">
        <v>175</v>
      </c>
      <c r="D7" s="909"/>
      <c r="E7" s="909"/>
      <c r="F7" s="909"/>
      <c r="I7" s="157">
        <f>IF(OR(D7=0,E7=0,F7=0),0,DATEVALUE(F7 &amp; "/" &amp; E7 &amp; "/" &amp;D7))</f>
        <v>0</v>
      </c>
    </row>
    <row r="8" spans="1:12">
      <c r="A8" s="1" t="str">
        <f>'ADJ-1'!A8</f>
        <v>Road works</v>
      </c>
    </row>
    <row r="9" spans="1:12">
      <c r="A9" s="124" t="s">
        <v>177</v>
      </c>
      <c r="B9" s="152">
        <f>DATA!$J$1010</f>
        <v>4500000000</v>
      </c>
      <c r="C9" s="140"/>
      <c r="D9" s="140"/>
      <c r="E9" s="140"/>
      <c r="F9" s="140"/>
      <c r="G9" s="140"/>
    </row>
    <row r="10" spans="1:12">
      <c r="A10" s="124" t="s">
        <v>178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2">
      <c r="A11" s="124" t="s">
        <v>807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2">
      <c r="A12" s="124" t="s">
        <v>180</v>
      </c>
      <c r="B12" s="139">
        <f>L13+L14+L15</f>
        <v>0</v>
      </c>
    </row>
    <row r="13" spans="1:12">
      <c r="A13" s="124" t="s">
        <v>181</v>
      </c>
      <c r="B13" s="124">
        <f>IF(B12&lt;B9*0.8,0.8,IF(B12&gt;1.2*B9,1.2,1))</f>
        <v>0.8</v>
      </c>
      <c r="C13" s="134"/>
      <c r="D13" s="134"/>
      <c r="E13" s="134"/>
      <c r="F13" s="134"/>
      <c r="K13" s="124" t="s">
        <v>190</v>
      </c>
      <c r="L13" s="152">
        <f>'ADJ-1'!B12</f>
        <v>0</v>
      </c>
    </row>
    <row r="14" spans="1:12">
      <c r="A14" s="124" t="s">
        <v>804</v>
      </c>
      <c r="B14" s="881">
        <f>IF(OR(B10=0,B9=0),0,B9*(0.261-0.023*LOG10(B9))/B10)</f>
        <v>0</v>
      </c>
      <c r="K14" s="124" t="s">
        <v>191</v>
      </c>
      <c r="L14" s="908">
        <v>0</v>
      </c>
    </row>
    <row r="15" spans="1:12">
      <c r="A15" s="124" t="s">
        <v>182</v>
      </c>
      <c r="B15" s="158">
        <f>IF(B12=0,0,IF(B13=1,B10,B12*((B10*B14/(B13*B9)+0.023*LOG10(B13*B9/B12)))/B14))</f>
        <v>0</v>
      </c>
      <c r="K15" s="124" t="s">
        <v>192</v>
      </c>
      <c r="L15" s="908">
        <v>0</v>
      </c>
    </row>
    <row r="16" spans="1:12">
      <c r="A16" s="124" t="s">
        <v>808</v>
      </c>
      <c r="B16" s="153">
        <f>IF(B12=0,0,B15/B12)</f>
        <v>0</v>
      </c>
      <c r="D16" s="159"/>
      <c r="E16" s="159"/>
      <c r="F16" s="159"/>
      <c r="H16" s="140"/>
      <c r="K16" s="140"/>
    </row>
    <row r="19" spans="1:13">
      <c r="A19" s="129" t="s">
        <v>183</v>
      </c>
      <c r="C19" s="140"/>
      <c r="F19" s="140"/>
      <c r="G19" s="140"/>
    </row>
    <row r="20" spans="1:13">
      <c r="A20" s="1613"/>
      <c r="B20" s="1614"/>
    </row>
    <row r="21" spans="1:13">
      <c r="A21" s="1615"/>
      <c r="B21" s="1616"/>
    </row>
    <row r="22" spans="1:13">
      <c r="A22" s="1617"/>
      <c r="B22" s="1618"/>
    </row>
    <row r="24" spans="1:13">
      <c r="A24" s="1" t="str">
        <f>'ADJ-1'!A24</f>
        <v>Structures</v>
      </c>
    </row>
    <row r="25" spans="1:13">
      <c r="A25" s="124" t="s">
        <v>177</v>
      </c>
      <c r="B25" s="152">
        <f>DATA!$J$1011</f>
        <v>300000000</v>
      </c>
    </row>
    <row r="26" spans="1:13">
      <c r="A26" s="124" t="s">
        <v>178</v>
      </c>
      <c r="B26" s="152">
        <f>'SUMMARY TENDERED FEE'!$C$18</f>
        <v>0</v>
      </c>
    </row>
    <row r="27" spans="1:13">
      <c r="A27" s="124" t="s">
        <v>807</v>
      </c>
      <c r="B27" s="166">
        <f>'SUMMARY TENDERED FEE'!$D$18</f>
        <v>0</v>
      </c>
    </row>
    <row r="28" spans="1:13">
      <c r="A28" s="124" t="s">
        <v>180</v>
      </c>
      <c r="B28" s="139">
        <f>L31+L32+L33</f>
        <v>0</v>
      </c>
      <c r="M28" s="140"/>
    </row>
    <row r="29" spans="1:13">
      <c r="A29" s="124" t="s">
        <v>181</v>
      </c>
      <c r="B29" s="124">
        <f>IF(B28&lt;B25*0.8,0.8,IF(B28&gt;1.2*B25,1.2,1))</f>
        <v>0.8</v>
      </c>
    </row>
    <row r="30" spans="1:13">
      <c r="A30" s="124" t="s">
        <v>804</v>
      </c>
      <c r="B30" s="881">
        <f>IF(OR(B26=0,B25=0),0,B25*(0.261-0.023*LOG10(B25))/B26)</f>
        <v>0</v>
      </c>
    </row>
    <row r="31" spans="1:13">
      <c r="A31" s="124" t="s">
        <v>182</v>
      </c>
      <c r="B31" s="158">
        <f>IF(B28=0,0,IF(B29=1,B26,B28*((B26*B30/(B29*B25)+0.023*LOG10(B29*B25/B28)))/B30))</f>
        <v>0</v>
      </c>
      <c r="K31" s="124" t="s">
        <v>190</v>
      </c>
      <c r="L31" s="152">
        <f>'ADJ-1'!B28</f>
        <v>0</v>
      </c>
    </row>
    <row r="32" spans="1:13">
      <c r="A32" s="124" t="s">
        <v>808</v>
      </c>
      <c r="B32" s="153">
        <f>IF(B28=0,0,B31/B28)</f>
        <v>0</v>
      </c>
      <c r="K32" s="124" t="s">
        <v>191</v>
      </c>
      <c r="L32" s="908">
        <v>0</v>
      </c>
    </row>
    <row r="33" spans="1:13">
      <c r="K33" s="124" t="s">
        <v>192</v>
      </c>
      <c r="L33" s="908">
        <v>0</v>
      </c>
    </row>
    <row r="35" spans="1:13">
      <c r="A35" s="129" t="s">
        <v>183</v>
      </c>
      <c r="B35" s="126"/>
    </row>
    <row r="36" spans="1:13">
      <c r="A36" s="1613"/>
      <c r="B36" s="1614"/>
    </row>
    <row r="37" spans="1:13">
      <c r="A37" s="1615"/>
      <c r="B37" s="1616"/>
    </row>
    <row r="38" spans="1:13">
      <c r="A38" s="1617"/>
      <c r="B38" s="1618"/>
    </row>
    <row r="40" spans="1:13">
      <c r="A40" s="1" t="str">
        <f>'ADJ-1'!A40</f>
        <v>Electrical</v>
      </c>
    </row>
    <row r="41" spans="1:13">
      <c r="A41" s="124" t="s">
        <v>177</v>
      </c>
      <c r="B41" s="152">
        <f>DATA!$J$1012</f>
        <v>100000000</v>
      </c>
    </row>
    <row r="42" spans="1:13">
      <c r="A42" s="124" t="s">
        <v>178</v>
      </c>
      <c r="B42" s="152">
        <f>'SUMMARY TENDERED FEE'!$C$19</f>
        <v>0</v>
      </c>
    </row>
    <row r="43" spans="1:13">
      <c r="A43" s="124" t="s">
        <v>807</v>
      </c>
      <c r="B43" s="166">
        <f>'SUMMARY TENDERED FEE'!$D$19</f>
        <v>0</v>
      </c>
    </row>
    <row r="44" spans="1:13">
      <c r="A44" s="124" t="s">
        <v>180</v>
      </c>
      <c r="B44" s="139">
        <f>L44+L45+L46</f>
        <v>0</v>
      </c>
      <c r="K44" s="124" t="s">
        <v>190</v>
      </c>
      <c r="L44" s="152">
        <f>'ADJ-1'!B44</f>
        <v>0</v>
      </c>
      <c r="M44" s="140"/>
    </row>
    <row r="45" spans="1:13">
      <c r="A45" s="124" t="s">
        <v>181</v>
      </c>
      <c r="B45" s="124">
        <f>IF(B44&lt;B41*0.8,0.8,IF(B44&gt;1.2*B41,1.2,1))</f>
        <v>0.8</v>
      </c>
      <c r="K45" s="124" t="s">
        <v>191</v>
      </c>
      <c r="L45" s="908">
        <v>0</v>
      </c>
    </row>
    <row r="46" spans="1:13">
      <c r="A46" s="124" t="s">
        <v>804</v>
      </c>
      <c r="B46" s="881">
        <f>IF(OR(B42=0,B41=0),0,B41*(0.261-0.023*LOG10(B41))/B42)</f>
        <v>0</v>
      </c>
      <c r="K46" s="124" t="s">
        <v>192</v>
      </c>
      <c r="L46" s="908">
        <v>0</v>
      </c>
    </row>
    <row r="47" spans="1:13">
      <c r="A47" s="124" t="s">
        <v>182</v>
      </c>
      <c r="B47" s="158">
        <f>IF(B44=0,0,IF(B45=1,B42,B44*((B42*B46/(B45*B41)+0.023*LOG10(B45*B41/B44)))/B46))</f>
        <v>0</v>
      </c>
    </row>
    <row r="48" spans="1:13">
      <c r="A48" s="124" t="s">
        <v>808</v>
      </c>
      <c r="B48" s="153">
        <f>IF(B44=0,0,B47/B44)</f>
        <v>0</v>
      </c>
    </row>
    <row r="51" spans="1:12">
      <c r="A51" s="129" t="s">
        <v>183</v>
      </c>
      <c r="B51" s="126"/>
    </row>
    <row r="52" spans="1:12">
      <c r="A52" s="1613"/>
      <c r="B52" s="1614"/>
    </row>
    <row r="53" spans="1:12">
      <c r="A53" s="1615"/>
      <c r="B53" s="1616"/>
    </row>
    <row r="54" spans="1:12">
      <c r="A54" s="1617"/>
      <c r="B54" s="1618"/>
    </row>
    <row r="56" spans="1:12">
      <c r="A56" s="1" t="str">
        <f>'ADJ-1'!A56</f>
        <v xml:space="preserve">Building </v>
      </c>
    </row>
    <row r="57" spans="1:12">
      <c r="A57" s="124" t="s">
        <v>177</v>
      </c>
      <c r="B57" s="152">
        <f>DATA!$J$1013</f>
        <v>0</v>
      </c>
    </row>
    <row r="58" spans="1:12">
      <c r="A58" s="124" t="s">
        <v>178</v>
      </c>
      <c r="B58" s="152">
        <f>'SUMMARY TENDERED FEE'!$C$20</f>
        <v>0</v>
      </c>
    </row>
    <row r="59" spans="1:12">
      <c r="A59" s="124" t="s">
        <v>807</v>
      </c>
      <c r="B59" s="166">
        <f>'SUMMARY TENDERED FEE'!$D$20</f>
        <v>0</v>
      </c>
    </row>
    <row r="60" spans="1:12">
      <c r="A60" s="124" t="s">
        <v>180</v>
      </c>
      <c r="B60" s="139">
        <f>L62+L63+L64</f>
        <v>0</v>
      </c>
    </row>
    <row r="61" spans="1:12">
      <c r="A61" s="124" t="s">
        <v>181</v>
      </c>
      <c r="B61" s="124">
        <f>IF(B60&lt;B57*0.8,0.8,IF(B60&gt;1.2*B57,1.2,1))</f>
        <v>1</v>
      </c>
    </row>
    <row r="62" spans="1:12">
      <c r="A62" s="124" t="s">
        <v>804</v>
      </c>
      <c r="B62" s="881">
        <f>IF(OR(B58=0,B57=0),0,B57*(0.261-0.023*LOG10(B57))/B58)</f>
        <v>0</v>
      </c>
      <c r="J62" s="140"/>
      <c r="K62" s="124" t="s">
        <v>190</v>
      </c>
      <c r="L62" s="152">
        <f>'ADJ-1'!B60</f>
        <v>0</v>
      </c>
    </row>
    <row r="63" spans="1:12">
      <c r="A63" s="124" t="s">
        <v>182</v>
      </c>
      <c r="B63" s="158">
        <f>IF(B60=0,0,IF(B61=1,B58,B60*((B58*B62/(B61*B57)+0.023*LOG10(B61*B57/B60)))/B62))</f>
        <v>0</v>
      </c>
      <c r="K63" s="124" t="s">
        <v>191</v>
      </c>
      <c r="L63" s="908">
        <v>0</v>
      </c>
    </row>
    <row r="64" spans="1:12">
      <c r="A64" s="124" t="s">
        <v>808</v>
      </c>
      <c r="B64" s="153">
        <f>IF(B60=0,0,B63/B60)</f>
        <v>0</v>
      </c>
      <c r="K64" s="124" t="s">
        <v>192</v>
      </c>
      <c r="L64" s="908">
        <v>0</v>
      </c>
    </row>
    <row r="67" spans="1:13">
      <c r="A67" s="129" t="s">
        <v>183</v>
      </c>
      <c r="B67" s="126"/>
    </row>
    <row r="68" spans="1:13">
      <c r="A68" s="1613"/>
      <c r="B68" s="1614"/>
    </row>
    <row r="69" spans="1:13">
      <c r="A69" s="1615"/>
      <c r="B69" s="1616"/>
    </row>
    <row r="70" spans="1:13">
      <c r="A70" s="1617"/>
      <c r="B70" s="1618"/>
    </row>
    <row r="71" spans="1:13">
      <c r="A71" s="160"/>
      <c r="B71" s="160"/>
    </row>
    <row r="72" spans="1:13">
      <c r="A72" s="1" t="str">
        <f>'ADJ-1'!A72</f>
        <v>Mechanical</v>
      </c>
    </row>
    <row r="73" spans="1:13">
      <c r="A73" s="124" t="s">
        <v>177</v>
      </c>
      <c r="B73" s="152">
        <f>DATA!$J$1014</f>
        <v>0</v>
      </c>
    </row>
    <row r="74" spans="1:13">
      <c r="A74" s="124" t="s">
        <v>178</v>
      </c>
      <c r="B74" s="152">
        <f>'SUMMARY TENDERED FEE'!$C$21</f>
        <v>0</v>
      </c>
    </row>
    <row r="75" spans="1:13">
      <c r="A75" s="124" t="s">
        <v>807</v>
      </c>
      <c r="B75" s="166">
        <f>'SUMMARY TENDERED FEE'!$D$21</f>
        <v>0</v>
      </c>
    </row>
    <row r="76" spans="1:13">
      <c r="A76" s="124" t="s">
        <v>180</v>
      </c>
      <c r="B76" s="139">
        <f>L77+L78+L79</f>
        <v>0</v>
      </c>
      <c r="M76" s="140"/>
    </row>
    <row r="77" spans="1:13">
      <c r="A77" s="124" t="s">
        <v>181</v>
      </c>
      <c r="B77" s="124">
        <f>IF(B76&lt;B73*0.8,0.8,IF(B76&gt;1.2*B73,1.2,1))</f>
        <v>1</v>
      </c>
      <c r="K77" s="124" t="s">
        <v>190</v>
      </c>
      <c r="L77" s="152">
        <f>'ADJ-1'!B76</f>
        <v>0</v>
      </c>
    </row>
    <row r="78" spans="1:13">
      <c r="A78" s="124" t="s">
        <v>804</v>
      </c>
      <c r="B78" s="881">
        <f>IF(OR(B74=0,B73=0),0,B73*(0.261-0.023*LOG10(B73))/B74)</f>
        <v>0</v>
      </c>
      <c r="K78" s="124" t="s">
        <v>191</v>
      </c>
      <c r="L78" s="908">
        <v>0</v>
      </c>
    </row>
    <row r="79" spans="1:13">
      <c r="A79" s="124" t="s">
        <v>182</v>
      </c>
      <c r="B79" s="158">
        <f>IF(B76=0,0,IF(B77=1,B74,B76*((B74*B78/(B77*B73)+0.023*LOG10(B77*B73/B76)))/B78))</f>
        <v>0</v>
      </c>
      <c r="K79" s="124" t="s">
        <v>192</v>
      </c>
      <c r="L79" s="908">
        <v>0</v>
      </c>
    </row>
    <row r="80" spans="1:13">
      <c r="A80" s="124" t="s">
        <v>808</v>
      </c>
      <c r="B80" s="153">
        <f>IF(B76=0,0,B79/B76)</f>
        <v>0</v>
      </c>
    </row>
    <row r="83" spans="1:14">
      <c r="A83" s="129" t="s">
        <v>183</v>
      </c>
      <c r="B83" s="126"/>
    </row>
    <row r="84" spans="1:14">
      <c r="A84" s="1613"/>
      <c r="B84" s="1614"/>
    </row>
    <row r="85" spans="1:14">
      <c r="A85" s="1615"/>
      <c r="B85" s="1616"/>
    </row>
    <row r="86" spans="1:14">
      <c r="A86" s="1617"/>
      <c r="B86" s="1618"/>
    </row>
    <row r="88" spans="1:14">
      <c r="A88" s="1" t="str">
        <f>'ADJ-1'!A88</f>
        <v>Electronic</v>
      </c>
    </row>
    <row r="89" spans="1:14">
      <c r="A89" s="124" t="s">
        <v>177</v>
      </c>
      <c r="B89" s="152">
        <f>DATA!$J$1015</f>
        <v>0</v>
      </c>
    </row>
    <row r="90" spans="1:14">
      <c r="A90" s="124" t="s">
        <v>178</v>
      </c>
      <c r="B90" s="152">
        <f>'SUMMARY TENDERED FEE'!$C$22</f>
        <v>0</v>
      </c>
    </row>
    <row r="91" spans="1:14">
      <c r="A91" s="124" t="s">
        <v>807</v>
      </c>
      <c r="B91" s="166">
        <f>'SUMMARY TENDERED FEE'!$D$22</f>
        <v>0</v>
      </c>
    </row>
    <row r="92" spans="1:14">
      <c r="A92" s="124" t="s">
        <v>180</v>
      </c>
      <c r="B92" s="139">
        <f>L93+L94+L95</f>
        <v>0</v>
      </c>
    </row>
    <row r="93" spans="1:14">
      <c r="A93" s="124" t="s">
        <v>181</v>
      </c>
      <c r="B93" s="124">
        <f>IF(B92&lt;B89*0.8,0.8,IF(B92&gt;1.2*B89,1.2,1))</f>
        <v>1</v>
      </c>
      <c r="K93" s="124" t="s">
        <v>190</v>
      </c>
      <c r="L93" s="152">
        <f>'ADJ-1'!B92</f>
        <v>0</v>
      </c>
      <c r="N93" s="140"/>
    </row>
    <row r="94" spans="1:14">
      <c r="A94" s="124" t="s">
        <v>804</v>
      </c>
      <c r="B94" s="881">
        <f>IF(OR(B90=0,B89=0),0,B89*(0.261-0.023*LOG10(B89))/B90)</f>
        <v>0</v>
      </c>
      <c r="K94" s="124" t="s">
        <v>191</v>
      </c>
      <c r="L94" s="908">
        <v>0</v>
      </c>
    </row>
    <row r="95" spans="1:14">
      <c r="A95" s="124" t="s">
        <v>182</v>
      </c>
      <c r="B95" s="158">
        <f>IF(B92=0,0,IF(B93=1,B90,B92*((B90*B94/(B93*B89)+0.023*LOG10(B93*B89/B92)))/B94))</f>
        <v>0</v>
      </c>
      <c r="K95" s="124" t="s">
        <v>192</v>
      </c>
      <c r="L95" s="908">
        <v>0</v>
      </c>
    </row>
    <row r="96" spans="1:14">
      <c r="A96" s="124" t="s">
        <v>808</v>
      </c>
      <c r="B96" s="153">
        <f>IF(B92=0,0,B95/B92)</f>
        <v>0</v>
      </c>
    </row>
    <row r="99" spans="1:13">
      <c r="A99" s="129" t="s">
        <v>183</v>
      </c>
      <c r="B99" s="126"/>
    </row>
    <row r="100" spans="1:13">
      <c r="A100" s="1613"/>
      <c r="B100" s="1614"/>
    </row>
    <row r="101" spans="1:13">
      <c r="A101" s="1615"/>
      <c r="B101" s="1616"/>
    </row>
    <row r="102" spans="1:13">
      <c r="A102" s="1617"/>
      <c r="B102" s="1618"/>
    </row>
    <row r="104" spans="1:13">
      <c r="A104" s="1" t="str">
        <f>'ADJ-1'!A104</f>
        <v>Other:</v>
      </c>
    </row>
    <row r="105" spans="1:13">
      <c r="A105" s="124" t="s">
        <v>177</v>
      </c>
      <c r="B105" s="152">
        <f>DATA!$J$1016</f>
        <v>0</v>
      </c>
    </row>
    <row r="106" spans="1:13">
      <c r="A106" s="124" t="s">
        <v>178</v>
      </c>
      <c r="B106" s="152">
        <f>'SUMMARY TENDERED FEE'!$C$23</f>
        <v>0</v>
      </c>
    </row>
    <row r="107" spans="1:13">
      <c r="A107" s="124" t="s">
        <v>807</v>
      </c>
      <c r="B107" s="166">
        <f>'SUMMARY TENDERED FEE'!$D$23</f>
        <v>0</v>
      </c>
    </row>
    <row r="108" spans="1:13">
      <c r="A108" s="124" t="s">
        <v>180</v>
      </c>
      <c r="B108" s="139">
        <f>L112+L113+L114</f>
        <v>0</v>
      </c>
      <c r="M108" s="140"/>
    </row>
    <row r="109" spans="1:13">
      <c r="A109" s="124" t="s">
        <v>181</v>
      </c>
      <c r="B109" s="124">
        <f>IF(B108&lt;B105*0.8,0.8,IF(B108&gt;1.2*B105,1.2,1))</f>
        <v>1</v>
      </c>
    </row>
    <row r="110" spans="1:13">
      <c r="A110" s="124" t="s">
        <v>804</v>
      </c>
      <c r="B110" s="881">
        <f>IF(OR(B106=0,B105=0),0,B105*(0.261-0.023*LOG10(B105))/B106)</f>
        <v>0</v>
      </c>
    </row>
    <row r="111" spans="1:13">
      <c r="A111" s="124" t="s">
        <v>182</v>
      </c>
      <c r="B111" s="158">
        <f>IF(B108=0,0,IF(B109=1,B106,B108*((B106*B110/(B109*B105)+0.023*LOG10(B109*B105/B108)))/B110))</f>
        <v>0</v>
      </c>
    </row>
    <row r="112" spans="1:13">
      <c r="A112" s="124" t="s">
        <v>808</v>
      </c>
      <c r="B112" s="153">
        <f>IF(B108=0,0,B111/B108)</f>
        <v>0</v>
      </c>
      <c r="K112" s="124" t="s">
        <v>190</v>
      </c>
      <c r="L112" s="152">
        <f>'ADJ-1'!B108</f>
        <v>0</v>
      </c>
    </row>
    <row r="113" spans="1:68">
      <c r="K113" s="124" t="s">
        <v>191</v>
      </c>
      <c r="L113" s="908">
        <v>0</v>
      </c>
    </row>
    <row r="114" spans="1:68">
      <c r="K114" s="124" t="s">
        <v>192</v>
      </c>
      <c r="L114" s="908">
        <v>0</v>
      </c>
    </row>
    <row r="115" spans="1:68">
      <c r="A115" s="129" t="s">
        <v>183</v>
      </c>
      <c r="B115" s="126"/>
    </row>
    <row r="116" spans="1:68">
      <c r="A116" s="1613"/>
      <c r="B116" s="1614"/>
    </row>
    <row r="117" spans="1:68">
      <c r="A117" s="1615"/>
      <c r="B117" s="1616"/>
    </row>
    <row r="118" spans="1:68">
      <c r="A118" s="1617"/>
      <c r="B118" s="1618"/>
    </row>
    <row r="126" spans="1:68">
      <c r="R126" s="140"/>
      <c r="AB126" s="140"/>
      <c r="AL126" s="140"/>
    </row>
    <row r="127" spans="1:68">
      <c r="H127" s="140"/>
      <c r="R127" s="140"/>
      <c r="AB127" s="140"/>
      <c r="AL127" s="140"/>
      <c r="AV127" s="140"/>
      <c r="BP127" s="140"/>
    </row>
    <row r="128" spans="1:68">
      <c r="H128" s="140"/>
      <c r="AV128" s="140"/>
      <c r="BF128" s="140"/>
      <c r="BP128" s="140"/>
    </row>
    <row r="129" spans="1:117">
      <c r="Q129" s="122"/>
      <c r="R129" s="131"/>
      <c r="AA129" s="122"/>
      <c r="AB129" s="131"/>
      <c r="AK129" s="122"/>
      <c r="AL129" s="131"/>
      <c r="BF129" s="140"/>
    </row>
    <row r="130" spans="1:117">
      <c r="G130" s="122"/>
      <c r="H130" s="131"/>
      <c r="R130" s="131"/>
      <c r="AB130" s="131"/>
      <c r="AL130" s="131"/>
      <c r="AU130" s="122"/>
      <c r="AV130" s="131"/>
      <c r="BO130" s="122"/>
      <c r="BP130" s="131"/>
    </row>
    <row r="131" spans="1:117">
      <c r="H131" s="131"/>
      <c r="AV131" s="131"/>
      <c r="BE131" s="122"/>
      <c r="BF131" s="131"/>
      <c r="BP131" s="131"/>
    </row>
    <row r="132" spans="1:117">
      <c r="BF132" s="131"/>
    </row>
    <row r="133" spans="1:117">
      <c r="A133" t="s">
        <v>177</v>
      </c>
      <c r="B133" s="140">
        <f>B9</f>
        <v>4500000000</v>
      </c>
      <c r="K133" t="s">
        <v>177</v>
      </c>
      <c r="L133" s="140">
        <f>B25</f>
        <v>300000000</v>
      </c>
      <c r="U133" t="s">
        <v>177</v>
      </c>
      <c r="V133" s="140">
        <f>B41</f>
        <v>100000000</v>
      </c>
      <c r="AE133" t="s">
        <v>177</v>
      </c>
      <c r="AF133" s="140">
        <f>B57</f>
        <v>0</v>
      </c>
      <c r="AO133" t="s">
        <v>177</v>
      </c>
      <c r="AP133" s="140">
        <f>B73</f>
        <v>0</v>
      </c>
      <c r="AY133" t="s">
        <v>177</v>
      </c>
      <c r="AZ133" s="140">
        <f>B89</f>
        <v>0</v>
      </c>
      <c r="BI133" t="s">
        <v>177</v>
      </c>
      <c r="BJ133" s="140">
        <f>B105</f>
        <v>0</v>
      </c>
    </row>
    <row r="134" spans="1:117">
      <c r="A134" t="s">
        <v>805</v>
      </c>
      <c r="B134" s="140">
        <f>B10</f>
        <v>0</v>
      </c>
      <c r="K134" t="s">
        <v>805</v>
      </c>
      <c r="L134" s="140">
        <f>B26</f>
        <v>0</v>
      </c>
      <c r="U134" t="s">
        <v>805</v>
      </c>
      <c r="V134" s="140">
        <f>B42</f>
        <v>0</v>
      </c>
      <c r="AA134" s="140"/>
      <c r="AE134" t="s">
        <v>805</v>
      </c>
      <c r="AF134" s="140">
        <f>B58</f>
        <v>0</v>
      </c>
      <c r="AL134" s="140"/>
      <c r="AO134" t="s">
        <v>805</v>
      </c>
      <c r="AP134" s="140">
        <f t="shared" ref="AP134:AP138" si="0">B74</f>
        <v>0</v>
      </c>
      <c r="AV134" s="140"/>
      <c r="AY134" t="s">
        <v>805</v>
      </c>
      <c r="AZ134" s="140">
        <f t="shared" ref="AZ134:AZ138" si="1">B90</f>
        <v>0</v>
      </c>
      <c r="BF134" s="140"/>
      <c r="BI134" t="s">
        <v>805</v>
      </c>
      <c r="BJ134" s="140">
        <f t="shared" ref="BJ134:BJ138" si="2">B106</f>
        <v>0</v>
      </c>
    </row>
    <row r="135" spans="1:117">
      <c r="A135" t="s">
        <v>806</v>
      </c>
      <c r="B135" s="154">
        <f>B11</f>
        <v>0</v>
      </c>
      <c r="K135" t="s">
        <v>806</v>
      </c>
      <c r="L135" s="140">
        <f>B27</f>
        <v>0</v>
      </c>
      <c r="Q135" s="140"/>
      <c r="U135" t="s">
        <v>806</v>
      </c>
      <c r="V135" s="140">
        <f>B43</f>
        <v>0</v>
      </c>
      <c r="AA135" s="140"/>
      <c r="AE135" t="s">
        <v>806</v>
      </c>
      <c r="AF135" s="140">
        <f>B59</f>
        <v>0</v>
      </c>
      <c r="AL135" s="140"/>
      <c r="AO135" t="s">
        <v>806</v>
      </c>
      <c r="AP135" s="140">
        <f t="shared" si="0"/>
        <v>0</v>
      </c>
      <c r="AV135" s="140"/>
      <c r="AY135" t="s">
        <v>806</v>
      </c>
      <c r="AZ135" s="140">
        <f t="shared" si="1"/>
        <v>0</v>
      </c>
      <c r="BF135" s="140"/>
      <c r="BI135" t="s">
        <v>806</v>
      </c>
      <c r="BJ135" s="140">
        <f t="shared" si="2"/>
        <v>0</v>
      </c>
      <c r="BP135" s="140"/>
    </row>
    <row r="136" spans="1:117">
      <c r="A136" t="s">
        <v>185</v>
      </c>
      <c r="B136" s="140">
        <f>IF(B12=0,0.00001,B12)</f>
        <v>1.0000000000000001E-5</v>
      </c>
      <c r="K136" t="s">
        <v>185</v>
      </c>
      <c r="L136" s="140">
        <f>IF(B28=0,0.00001,B28)</f>
        <v>1.0000000000000001E-5</v>
      </c>
      <c r="Q136" s="140"/>
      <c r="U136" t="s">
        <v>185</v>
      </c>
      <c r="V136" s="140">
        <f>IF(B44=0,0.00001,B44)</f>
        <v>1.0000000000000001E-5</v>
      </c>
      <c r="AA136" s="140"/>
      <c r="AE136" t="s">
        <v>185</v>
      </c>
      <c r="AF136" s="140">
        <f>IF(B60=0,0.00001,B60)</f>
        <v>1.0000000000000001E-5</v>
      </c>
      <c r="AL136" s="140"/>
      <c r="AO136" t="s">
        <v>185</v>
      </c>
      <c r="AP136" s="140">
        <f>IF(B76=0,0.00001,B76)</f>
        <v>1.0000000000000001E-5</v>
      </c>
      <c r="AV136" s="140"/>
      <c r="AY136" t="s">
        <v>185</v>
      </c>
      <c r="AZ136" s="140">
        <f>IF(B92=0,0.00001,B92)</f>
        <v>1.0000000000000001E-5</v>
      </c>
      <c r="BF136" s="140"/>
      <c r="BI136" t="s">
        <v>185</v>
      </c>
      <c r="BJ136" s="140">
        <f>IF(B108=0,0.00001,B108)</f>
        <v>1.0000000000000001E-5</v>
      </c>
      <c r="BP136" s="140"/>
    </row>
    <row r="137" spans="1:117">
      <c r="A137" t="s">
        <v>181</v>
      </c>
      <c r="B137">
        <f>B13</f>
        <v>0.8</v>
      </c>
      <c r="K137" t="s">
        <v>181</v>
      </c>
      <c r="L137" s="140">
        <f>B29</f>
        <v>0.8</v>
      </c>
      <c r="Q137" s="140"/>
      <c r="U137" t="s">
        <v>181</v>
      </c>
      <c r="V137" s="140">
        <f>B45</f>
        <v>0.8</v>
      </c>
      <c r="AE137" t="s">
        <v>181</v>
      </c>
      <c r="AF137" s="140">
        <f>B61</f>
        <v>1</v>
      </c>
      <c r="AO137" t="s">
        <v>181</v>
      </c>
      <c r="AP137" s="140">
        <f t="shared" si="0"/>
        <v>1</v>
      </c>
      <c r="AY137" t="s">
        <v>181</v>
      </c>
      <c r="AZ137" s="140">
        <f t="shared" si="1"/>
        <v>1</v>
      </c>
      <c r="BI137" t="s">
        <v>181</v>
      </c>
      <c r="BJ137" s="140">
        <f t="shared" si="2"/>
        <v>1</v>
      </c>
      <c r="BP137" s="140"/>
      <c r="BY137" s="140"/>
      <c r="CI137" s="140"/>
      <c r="CS137" s="140"/>
      <c r="DC137" s="140"/>
      <c r="DM137" s="140"/>
    </row>
    <row r="138" spans="1:117">
      <c r="A138" t="s">
        <v>804</v>
      </c>
      <c r="B138" s="745">
        <f>B14</f>
        <v>0</v>
      </c>
      <c r="K138" t="s">
        <v>804</v>
      </c>
      <c r="L138" s="140">
        <f>B30</f>
        <v>0</v>
      </c>
      <c r="U138" t="s">
        <v>804</v>
      </c>
      <c r="V138" s="140">
        <f>B46</f>
        <v>0</v>
      </c>
      <c r="AE138" t="s">
        <v>804</v>
      </c>
      <c r="AF138" s="140">
        <f>B62</f>
        <v>0</v>
      </c>
      <c r="AO138" t="s">
        <v>804</v>
      </c>
      <c r="AP138" s="140">
        <f t="shared" si="0"/>
        <v>0</v>
      </c>
      <c r="AY138" t="s">
        <v>804</v>
      </c>
      <c r="AZ138" s="140">
        <f t="shared" si="1"/>
        <v>0</v>
      </c>
      <c r="BI138" t="s">
        <v>804</v>
      </c>
      <c r="BJ138" s="140">
        <f t="shared" si="2"/>
        <v>0</v>
      </c>
      <c r="BY138" s="140"/>
      <c r="CI138" s="140"/>
      <c r="CS138" s="140"/>
      <c r="DC138" s="140"/>
      <c r="DM138" s="140"/>
    </row>
    <row r="139" spans="1:117">
      <c r="A139" t="s">
        <v>184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184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184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184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184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184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184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117">
      <c r="I140" s="156"/>
      <c r="S140" s="156"/>
      <c r="AC140" s="156"/>
      <c r="AM140" s="156"/>
      <c r="AW140" s="156"/>
      <c r="BG140" s="156"/>
      <c r="BQ140" s="156"/>
    </row>
    <row r="141" spans="1:117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117">
      <c r="A142" s="132" t="s">
        <v>185</v>
      </c>
      <c r="B142" s="132" t="s">
        <v>186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181</v>
      </c>
      <c r="I142" s="132" t="s">
        <v>187</v>
      </c>
      <c r="K142" s="132" t="s">
        <v>185</v>
      </c>
      <c r="L142" s="132" t="s">
        <v>186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181</v>
      </c>
      <c r="S142" s="132" t="s">
        <v>187</v>
      </c>
      <c r="U142" s="132" t="s">
        <v>185</v>
      </c>
      <c r="V142" s="132" t="s">
        <v>186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181</v>
      </c>
      <c r="AC142" s="132" t="s">
        <v>187</v>
      </c>
      <c r="AE142" s="132" t="s">
        <v>185</v>
      </c>
      <c r="AF142" s="132" t="s">
        <v>186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181</v>
      </c>
      <c r="AM142" s="132" t="s">
        <v>187</v>
      </c>
      <c r="AO142" s="132" t="s">
        <v>185</v>
      </c>
      <c r="AP142" s="132" t="s">
        <v>186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181</v>
      </c>
      <c r="AW142" s="132" t="s">
        <v>187</v>
      </c>
      <c r="AY142" s="132" t="s">
        <v>185</v>
      </c>
      <c r="AZ142" s="132" t="s">
        <v>186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181</v>
      </c>
      <c r="BG142" s="132" t="s">
        <v>187</v>
      </c>
      <c r="BI142" s="132" t="s">
        <v>185</v>
      </c>
      <c r="BJ142" s="132" t="s">
        <v>186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181</v>
      </c>
      <c r="BQ142" s="132" t="s">
        <v>187</v>
      </c>
    </row>
    <row r="143" spans="1:117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58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0.8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0.8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117">
      <c r="A144" s="140">
        <f t="shared" ref="A144:A207" si="4">B144*B$136</f>
        <v>3.2000000000000003E-6</v>
      </c>
      <c r="B144">
        <v>0.32</v>
      </c>
      <c r="C144" s="140">
        <f t="shared" ref="C144:G175" si="5">C$142*$A144</f>
        <v>3.1999999999999995E-8</v>
      </c>
      <c r="D144" s="140">
        <f t="shared" si="3"/>
        <v>6.3999999999999991E-8</v>
      </c>
      <c r="E144" s="140">
        <f t="shared" si="3"/>
        <v>9.5999999999999999E-8</v>
      </c>
      <c r="F144" s="140">
        <f t="shared" si="3"/>
        <v>1.2800000000000001E-7</v>
      </c>
      <c r="G144" s="140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207" si="6">IF(OR(B$134=0,B$133=0),0.0000001,IF(H144=1,B$134,A144*((B$134*B$138)/(H144*B$133)+0.023*LOG10(H144*B$133/A144))/B$138))</f>
        <v>9.9999999999999995E-8</v>
      </c>
      <c r="K144" s="140">
        <f t="shared" ref="K144:K207" si="7">L144*L$136</f>
        <v>3.2000000000000003E-6</v>
      </c>
      <c r="L144">
        <v>0.32</v>
      </c>
      <c r="M144" s="140">
        <f t="shared" ref="M144:M207" si="8">M$142*K144</f>
        <v>3.1999999999999995E-8</v>
      </c>
      <c r="N144" s="140">
        <f t="shared" ref="N144:N207" si="9">N$142*K144</f>
        <v>6.3999999999999991E-8</v>
      </c>
      <c r="O144" s="140">
        <f t="shared" ref="O144:O207" si="10">O$142*K144</f>
        <v>9.5999999999999999E-8</v>
      </c>
      <c r="P144" s="140">
        <f t="shared" ref="P144:P207" si="11">P$142*$K144</f>
        <v>1.2800000000000001E-7</v>
      </c>
      <c r="Q144" s="140">
        <f t="shared" ref="Q144:Q207" si="12">Q$142*K144</f>
        <v>1.6000000000000003E-7</v>
      </c>
      <c r="R144" s="157">
        <f>IF(K144&lt;$B$25*DATA!$H$1037,DATA!$H$1037,IF(K144&gt;DATA!$H$1036*$B$25,DATA!$H$1036,1))</f>
        <v>0.8</v>
      </c>
      <c r="S144" s="156">
        <f t="shared" ref="S144:S207" si="13">IF(OR(L$134=0,L$133=0),0.0000001,IF(R144=1,L$134,K144*((L$134*L$138)/(R144*L$133)+0.023*LOG10(R144*L$133/K144))/L$138))</f>
        <v>9.9999999999999995E-8</v>
      </c>
      <c r="U144" s="140">
        <f t="shared" ref="U144:U207" si="14">V144*V$136</f>
        <v>3.2000000000000003E-6</v>
      </c>
      <c r="V144">
        <v>0.32</v>
      </c>
      <c r="W144" s="140">
        <f t="shared" ref="W144:W207" si="15">W$142*U144</f>
        <v>3.1999999999999995E-8</v>
      </c>
      <c r="X144" s="140">
        <f t="shared" ref="X144:X207" si="16">X$142*U144</f>
        <v>6.3999999999999991E-8</v>
      </c>
      <c r="Y144" s="140">
        <f t="shared" ref="Y144:Y207" si="17">Y$142*U144</f>
        <v>9.5999999999999999E-8</v>
      </c>
      <c r="Z144" s="140">
        <f t="shared" ref="Z144:Z207" si="18">Z$142*U144</f>
        <v>1.2800000000000001E-7</v>
      </c>
      <c r="AA144" s="140">
        <f t="shared" ref="AA144:AA207" si="19">AA$142*U144</f>
        <v>1.6000000000000003E-7</v>
      </c>
      <c r="AB144" s="157">
        <f>IF(U144&lt;$B$41*DATA!$H$1037,DATA!$H$1037,IF(U144&gt;DATA!$H$1036*$B$41,DATA!$H$1036,1))</f>
        <v>0.8</v>
      </c>
      <c r="AC144" s="156">
        <f t="shared" ref="AC144:AC207" si="20">IF(OR(V$134=0,V$133=0),0.0000001,IF(AB144=1,V$134,U144*((V$134*V$138)/(AB144*V$133)+0.023*LOG10(AB144*V$133/U144))/V$138))</f>
        <v>9.9999999999999995E-8</v>
      </c>
      <c r="AE144" s="140">
        <f t="shared" ref="AE144:AE207" si="21">AF144*AF$136</f>
        <v>3.2000000000000003E-6</v>
      </c>
      <c r="AF144">
        <v>0.32</v>
      </c>
      <c r="AG144" s="140">
        <f t="shared" ref="AG144:AG207" si="22">AG$142*AE144</f>
        <v>3.1999999999999995E-8</v>
      </c>
      <c r="AH144" s="140">
        <f t="shared" ref="AH144:AH207" si="23">AH$142*AE144</f>
        <v>6.3999999999999991E-8</v>
      </c>
      <c r="AI144" s="140">
        <f t="shared" ref="AI144:AI207" si="24">AI$142*AE144</f>
        <v>9.5999999999999999E-8</v>
      </c>
      <c r="AJ144" s="140">
        <f t="shared" ref="AJ144:AJ207" si="25">AJ$142*AE144</f>
        <v>1.2800000000000001E-7</v>
      </c>
      <c r="AK144" s="140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ref="AM144:AM207" si="27">IF(OR(AF$134=0,AF$133=0),0.0000001,IF(AL144=1,AF$134,AE144*((AF$134*AF$138)/(AL144*AF$133)+0.023*LOG10(AL144*AF$133/AE144))/AF$138))</f>
        <v>9.9999999999999995E-8</v>
      </c>
      <c r="AO144" s="140">
        <f t="shared" ref="AO144:AO207" si="28">AP144*AP$136</f>
        <v>3.2000000000000003E-6</v>
      </c>
      <c r="AP144">
        <v>0.32</v>
      </c>
      <c r="AQ144" s="140">
        <f t="shared" ref="AQ144:AQ207" si="29">AQ$142*AO144</f>
        <v>3.1999999999999995E-8</v>
      </c>
      <c r="AR144" s="140">
        <f t="shared" ref="AR144:AR207" si="30">AR$142*AO144</f>
        <v>6.3999999999999991E-8</v>
      </c>
      <c r="AS144" s="140">
        <f t="shared" ref="AS144:AS207" si="31">AS$142*AO144</f>
        <v>9.5999999999999999E-8</v>
      </c>
      <c r="AT144" s="140">
        <f t="shared" ref="AT144:AT207" si="32">AT$142*AO144</f>
        <v>1.2800000000000001E-7</v>
      </c>
      <c r="AU144" s="140">
        <f t="shared" ref="AU144:AU207" si="33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4">IF(OR(AP$134=0,AP$133=0),0.0000001,IF(AV144=1,AP$134,AO144*((AP$134*AP$138)/(AV144*AP$133)+0.023*LOG10(AV144*AP$133/AO144))/AP$138))</f>
        <v>9.9999999999999995E-8</v>
      </c>
      <c r="AY144" s="140">
        <f t="shared" ref="AY144:AY207" si="35">AZ144*AZ$136</f>
        <v>3.2000000000000003E-6</v>
      </c>
      <c r="AZ144">
        <v>0.32</v>
      </c>
      <c r="BA144" s="140">
        <f t="shared" ref="BA144:BA207" si="36">BA$142*AY144</f>
        <v>3.1999999999999995E-8</v>
      </c>
      <c r="BB144" s="140">
        <f t="shared" ref="BB144:BB207" si="37">BB$142*AY144</f>
        <v>6.3999999999999991E-8</v>
      </c>
      <c r="BC144" s="140">
        <f t="shared" ref="BC144:BC207" si="38">BC$142*AY144</f>
        <v>9.5999999999999999E-8</v>
      </c>
      <c r="BD144" s="140">
        <f t="shared" ref="BD144:BD207" si="39">BD$142*AY144</f>
        <v>1.2800000000000001E-7</v>
      </c>
      <c r="BE144" s="140">
        <f t="shared" ref="BE144:BE207" si="40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1">IF(OR(AZ$134=0,AZ$133=0),0.0000001,IF(BF144=1,AZ$134,AY144*((AZ$134*AZ$138)/(BF144*AZ$133)+0.023*LOG10(BF144*AZ$133/AY144))/AZ$138))</f>
        <v>9.9999999999999995E-8</v>
      </c>
      <c r="BI144" s="140">
        <f t="shared" ref="BI144:BI207" si="42">BJ144*BJ$136</f>
        <v>3.2000000000000003E-6</v>
      </c>
      <c r="BJ144">
        <v>0.32</v>
      </c>
      <c r="BK144" s="140">
        <f t="shared" ref="BK144:BK207" si="43">BK$142*BI144</f>
        <v>3.1999999999999995E-8</v>
      </c>
      <c r="BL144" s="140">
        <f t="shared" ref="BL144:BL207" si="44">BL$142*BI144</f>
        <v>6.3999999999999991E-8</v>
      </c>
      <c r="BM144" s="140">
        <f t="shared" ref="BM144:BM207" si="45">BM$142*BI144</f>
        <v>9.5999999999999999E-8</v>
      </c>
      <c r="BN144" s="140">
        <f t="shared" ref="BN144:BN207" si="46">BN$142*$BI144</f>
        <v>1.2800000000000001E-7</v>
      </c>
      <c r="BO144" s="140">
        <f t="shared" ref="BO144:BO207" si="47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8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3"/>
        <v>6.8E-8</v>
      </c>
      <c r="E145" s="140">
        <f t="shared" si="3"/>
        <v>1.0200000000000001E-7</v>
      </c>
      <c r="F145" s="140">
        <f t="shared" si="3"/>
        <v>1.3600000000000003E-7</v>
      </c>
      <c r="G145" s="140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6"/>
        <v>9.9999999999999995E-8</v>
      </c>
      <c r="K145" s="140">
        <f t="shared" si="7"/>
        <v>3.4000000000000005E-6</v>
      </c>
      <c r="L145">
        <v>0.34</v>
      </c>
      <c r="M145" s="140">
        <f t="shared" si="8"/>
        <v>3.3999999999999993E-8</v>
      </c>
      <c r="N145" s="140">
        <f t="shared" si="9"/>
        <v>6.8E-8</v>
      </c>
      <c r="O145" s="140">
        <f t="shared" si="10"/>
        <v>1.0200000000000001E-7</v>
      </c>
      <c r="P145" s="140">
        <f t="shared" si="11"/>
        <v>1.3600000000000003E-7</v>
      </c>
      <c r="Q145" s="140">
        <f t="shared" si="12"/>
        <v>1.7000000000000004E-7</v>
      </c>
      <c r="R145" s="157">
        <f>IF(K145&lt;$B$25*DATA!$H$1037,DATA!$H$1037,IF(K145&gt;DATA!$H$1036*$B$25,DATA!$H$1036,1))</f>
        <v>0.8</v>
      </c>
      <c r="S145" s="156">
        <f t="shared" si="13"/>
        <v>9.9999999999999995E-8</v>
      </c>
      <c r="U145" s="140">
        <f t="shared" si="14"/>
        <v>3.4000000000000005E-6</v>
      </c>
      <c r="V145">
        <v>0.34</v>
      </c>
      <c r="W145" s="140">
        <f t="shared" si="15"/>
        <v>3.3999999999999993E-8</v>
      </c>
      <c r="X145" s="140">
        <f t="shared" si="16"/>
        <v>6.8E-8</v>
      </c>
      <c r="Y145" s="140">
        <f t="shared" si="17"/>
        <v>1.0200000000000001E-7</v>
      </c>
      <c r="Z145" s="140">
        <f t="shared" si="18"/>
        <v>1.3600000000000003E-7</v>
      </c>
      <c r="AA145" s="140">
        <f t="shared" si="19"/>
        <v>1.7000000000000004E-7</v>
      </c>
      <c r="AB145" s="157">
        <f>IF(U145&lt;$B$41*DATA!$H$1037,DATA!$H$1037,IF(U145&gt;DATA!$H$1036*$B$41,DATA!$H$1036,1))</f>
        <v>0.8</v>
      </c>
      <c r="AC145" s="156">
        <f t="shared" si="20"/>
        <v>9.9999999999999995E-8</v>
      </c>
      <c r="AE145" s="140">
        <f t="shared" si="21"/>
        <v>3.4000000000000005E-6</v>
      </c>
      <c r="AF145">
        <v>0.34</v>
      </c>
      <c r="AG145" s="140">
        <f t="shared" si="22"/>
        <v>3.3999999999999993E-8</v>
      </c>
      <c r="AH145" s="140">
        <f t="shared" si="23"/>
        <v>6.8E-8</v>
      </c>
      <c r="AI145" s="140">
        <f t="shared" si="24"/>
        <v>1.0200000000000001E-7</v>
      </c>
      <c r="AJ145" s="140">
        <f t="shared" si="25"/>
        <v>1.3600000000000003E-7</v>
      </c>
      <c r="AK145" s="140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27"/>
        <v>9.9999999999999995E-8</v>
      </c>
      <c r="AO145" s="140">
        <f t="shared" si="28"/>
        <v>3.4000000000000005E-6</v>
      </c>
      <c r="AP145">
        <v>0.34</v>
      </c>
      <c r="AQ145" s="140">
        <f t="shared" si="29"/>
        <v>3.3999999999999993E-8</v>
      </c>
      <c r="AR145" s="140">
        <f t="shared" si="30"/>
        <v>6.8E-8</v>
      </c>
      <c r="AS145" s="140">
        <f t="shared" si="31"/>
        <v>1.0200000000000001E-7</v>
      </c>
      <c r="AT145" s="140">
        <f t="shared" si="32"/>
        <v>1.3600000000000003E-7</v>
      </c>
      <c r="AU145" s="140">
        <f t="shared" si="33"/>
        <v>1.7000000000000004E-7</v>
      </c>
      <c r="AV145" s="157">
        <f>IF(AO145&lt;$B$73*DATA!$H$1037,DATA!$H$1037,IF(AO145&gt;DATA!$H$1036*$B$73,DATA!$H$1036,1))</f>
        <v>1.2</v>
      </c>
      <c r="AW145" s="156">
        <f t="shared" si="34"/>
        <v>9.9999999999999995E-8</v>
      </c>
      <c r="AY145" s="140">
        <f t="shared" si="35"/>
        <v>3.4000000000000005E-6</v>
      </c>
      <c r="AZ145">
        <v>0.34</v>
      </c>
      <c r="BA145" s="140">
        <f t="shared" si="36"/>
        <v>3.3999999999999993E-8</v>
      </c>
      <c r="BB145" s="140">
        <f t="shared" si="37"/>
        <v>6.8E-8</v>
      </c>
      <c r="BC145" s="140">
        <f t="shared" si="38"/>
        <v>1.0200000000000001E-7</v>
      </c>
      <c r="BD145" s="140">
        <f t="shared" si="39"/>
        <v>1.3600000000000003E-7</v>
      </c>
      <c r="BE145" s="140">
        <f t="shared" si="40"/>
        <v>1.7000000000000004E-7</v>
      </c>
      <c r="BF145" s="157">
        <f>IF(AY145&lt;$B$89*DATA!$H$1037,DATA!$H$1037,IF(AY145&gt;DATA!$H$1036*$B$89,DATA!$H$1036,1))</f>
        <v>1.2</v>
      </c>
      <c r="BG145" s="156">
        <f t="shared" si="41"/>
        <v>9.9999999999999995E-8</v>
      </c>
      <c r="BI145" s="140">
        <f t="shared" si="42"/>
        <v>3.4000000000000005E-6</v>
      </c>
      <c r="BJ145">
        <v>0.34</v>
      </c>
      <c r="BK145" s="140">
        <f t="shared" si="43"/>
        <v>3.3999999999999993E-8</v>
      </c>
      <c r="BL145" s="140">
        <f t="shared" si="44"/>
        <v>6.8E-8</v>
      </c>
      <c r="BM145" s="140">
        <f t="shared" si="45"/>
        <v>1.0200000000000001E-7</v>
      </c>
      <c r="BN145" s="140">
        <f t="shared" si="46"/>
        <v>1.3600000000000003E-7</v>
      </c>
      <c r="BO145" s="140">
        <f t="shared" si="47"/>
        <v>1.7000000000000004E-7</v>
      </c>
      <c r="BP145" s="157">
        <f>IF(BI145&lt;$B$105*DATA!$H$1037,DATA!$H$1037,IF(BI145&gt;DATA!$H$1036*$B$105,DATA!$H$1036,1))</f>
        <v>1.2</v>
      </c>
      <c r="BQ145" s="156">
        <f t="shared" si="48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3"/>
        <v>7.1999999999999996E-8</v>
      </c>
      <c r="E146" s="140">
        <f t="shared" si="3"/>
        <v>1.08E-7</v>
      </c>
      <c r="F146" s="140">
        <f t="shared" si="3"/>
        <v>1.4400000000000002E-7</v>
      </c>
      <c r="G146" s="140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6"/>
        <v>9.9999999999999995E-8</v>
      </c>
      <c r="K146" s="140">
        <f t="shared" si="7"/>
        <v>3.6000000000000003E-6</v>
      </c>
      <c r="L146">
        <v>0.36</v>
      </c>
      <c r="M146" s="140">
        <f t="shared" si="8"/>
        <v>3.5999999999999991E-8</v>
      </c>
      <c r="N146" s="140">
        <f t="shared" si="9"/>
        <v>7.1999999999999996E-8</v>
      </c>
      <c r="O146" s="140">
        <f t="shared" si="10"/>
        <v>1.08E-7</v>
      </c>
      <c r="P146" s="140">
        <f t="shared" si="11"/>
        <v>1.4400000000000002E-7</v>
      </c>
      <c r="Q146" s="140">
        <f t="shared" si="12"/>
        <v>1.8000000000000002E-7</v>
      </c>
      <c r="R146" s="157">
        <f>IF(K146&lt;$B$25*DATA!$H$1037,DATA!$H$1037,IF(K146&gt;DATA!$H$1036*$B$25,DATA!$H$1036,1))</f>
        <v>0.8</v>
      </c>
      <c r="S146" s="156">
        <f t="shared" si="13"/>
        <v>9.9999999999999995E-8</v>
      </c>
      <c r="U146" s="140">
        <f t="shared" si="14"/>
        <v>3.6000000000000003E-6</v>
      </c>
      <c r="V146">
        <v>0.36</v>
      </c>
      <c r="W146" s="140">
        <f t="shared" si="15"/>
        <v>3.5999999999999991E-8</v>
      </c>
      <c r="X146" s="140">
        <f t="shared" si="16"/>
        <v>7.1999999999999996E-8</v>
      </c>
      <c r="Y146" s="140">
        <f t="shared" si="17"/>
        <v>1.08E-7</v>
      </c>
      <c r="Z146" s="140">
        <f t="shared" si="18"/>
        <v>1.4400000000000002E-7</v>
      </c>
      <c r="AA146" s="140">
        <f t="shared" si="19"/>
        <v>1.8000000000000002E-7</v>
      </c>
      <c r="AB146" s="157">
        <f>IF(U146&lt;$B$41*DATA!$H$1037,DATA!$H$1037,IF(U146&gt;DATA!$H$1036*$B$41,DATA!$H$1036,1))</f>
        <v>0.8</v>
      </c>
      <c r="AC146" s="156">
        <f t="shared" si="20"/>
        <v>9.9999999999999995E-8</v>
      </c>
      <c r="AE146" s="140">
        <f t="shared" si="21"/>
        <v>3.6000000000000003E-6</v>
      </c>
      <c r="AF146">
        <v>0.36</v>
      </c>
      <c r="AG146" s="140">
        <f t="shared" si="22"/>
        <v>3.5999999999999991E-8</v>
      </c>
      <c r="AH146" s="140">
        <f t="shared" si="23"/>
        <v>7.1999999999999996E-8</v>
      </c>
      <c r="AI146" s="140">
        <f t="shared" si="24"/>
        <v>1.08E-7</v>
      </c>
      <c r="AJ146" s="140">
        <f t="shared" si="25"/>
        <v>1.4400000000000002E-7</v>
      </c>
      <c r="AK146" s="140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27"/>
        <v>9.9999999999999995E-8</v>
      </c>
      <c r="AO146" s="140">
        <f t="shared" si="28"/>
        <v>3.6000000000000003E-6</v>
      </c>
      <c r="AP146">
        <v>0.36</v>
      </c>
      <c r="AQ146" s="140">
        <f t="shared" si="29"/>
        <v>3.5999999999999991E-8</v>
      </c>
      <c r="AR146" s="140">
        <f t="shared" si="30"/>
        <v>7.1999999999999996E-8</v>
      </c>
      <c r="AS146" s="140">
        <f t="shared" si="31"/>
        <v>1.08E-7</v>
      </c>
      <c r="AT146" s="140">
        <f t="shared" si="32"/>
        <v>1.4400000000000002E-7</v>
      </c>
      <c r="AU146" s="140">
        <f t="shared" si="33"/>
        <v>1.8000000000000002E-7</v>
      </c>
      <c r="AV146" s="157">
        <f>IF(AO146&lt;$B$73*DATA!$H$1037,DATA!$H$1037,IF(AO146&gt;DATA!$H$1036*$B$73,DATA!$H$1036,1))</f>
        <v>1.2</v>
      </c>
      <c r="AW146" s="156">
        <f t="shared" si="34"/>
        <v>9.9999999999999995E-8</v>
      </c>
      <c r="AY146" s="140">
        <f t="shared" si="35"/>
        <v>3.6000000000000003E-6</v>
      </c>
      <c r="AZ146">
        <v>0.36</v>
      </c>
      <c r="BA146" s="140">
        <f t="shared" si="36"/>
        <v>3.5999999999999991E-8</v>
      </c>
      <c r="BB146" s="140">
        <f t="shared" si="37"/>
        <v>7.1999999999999996E-8</v>
      </c>
      <c r="BC146" s="140">
        <f t="shared" si="38"/>
        <v>1.08E-7</v>
      </c>
      <c r="BD146" s="140">
        <f t="shared" si="39"/>
        <v>1.4400000000000002E-7</v>
      </c>
      <c r="BE146" s="140">
        <f t="shared" si="40"/>
        <v>1.8000000000000002E-7</v>
      </c>
      <c r="BF146" s="157">
        <f>IF(AY146&lt;$B$89*DATA!$H$1037,DATA!$H$1037,IF(AY146&gt;DATA!$H$1036*$B$89,DATA!$H$1036,1))</f>
        <v>1.2</v>
      </c>
      <c r="BG146" s="156">
        <f t="shared" si="41"/>
        <v>9.9999999999999995E-8</v>
      </c>
      <c r="BI146" s="140">
        <f t="shared" si="42"/>
        <v>3.6000000000000003E-6</v>
      </c>
      <c r="BJ146">
        <v>0.36</v>
      </c>
      <c r="BK146" s="140">
        <f t="shared" si="43"/>
        <v>3.5999999999999991E-8</v>
      </c>
      <c r="BL146" s="140">
        <f t="shared" si="44"/>
        <v>7.1999999999999996E-8</v>
      </c>
      <c r="BM146" s="140">
        <f t="shared" si="45"/>
        <v>1.08E-7</v>
      </c>
      <c r="BN146" s="140">
        <f t="shared" si="46"/>
        <v>1.4400000000000002E-7</v>
      </c>
      <c r="BO146" s="140">
        <f t="shared" si="47"/>
        <v>1.8000000000000002E-7</v>
      </c>
      <c r="BP146" s="157">
        <f>IF(BI146&lt;$B$105*DATA!$H$1037,DATA!$H$1037,IF(BI146&gt;DATA!$H$1036*$B$105,DATA!$H$1036,1))</f>
        <v>1.2</v>
      </c>
      <c r="BQ146" s="156">
        <f t="shared" si="48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3"/>
        <v>7.5999999999999992E-8</v>
      </c>
      <c r="E147" s="140">
        <f t="shared" si="3"/>
        <v>1.1400000000000001E-7</v>
      </c>
      <c r="F147" s="140">
        <f t="shared" si="3"/>
        <v>1.5200000000000001E-7</v>
      </c>
      <c r="G147" s="140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6"/>
        <v>9.9999999999999995E-8</v>
      </c>
      <c r="K147" s="140">
        <f t="shared" si="7"/>
        <v>3.8000000000000005E-6</v>
      </c>
      <c r="L147">
        <v>0.38</v>
      </c>
      <c r="M147" s="140">
        <f t="shared" si="8"/>
        <v>3.799999999999999E-8</v>
      </c>
      <c r="N147" s="140">
        <f t="shared" si="9"/>
        <v>7.5999999999999992E-8</v>
      </c>
      <c r="O147" s="140">
        <f t="shared" si="10"/>
        <v>1.1400000000000001E-7</v>
      </c>
      <c r="P147" s="140">
        <f t="shared" si="11"/>
        <v>1.5200000000000001E-7</v>
      </c>
      <c r="Q147" s="140">
        <f t="shared" si="12"/>
        <v>1.9000000000000003E-7</v>
      </c>
      <c r="R147" s="157">
        <f>IF(K147&lt;$B$25*DATA!$H$1037,DATA!$H$1037,IF(K147&gt;DATA!$H$1036*$B$25,DATA!$H$1036,1))</f>
        <v>0.8</v>
      </c>
      <c r="S147" s="156">
        <f t="shared" si="13"/>
        <v>9.9999999999999995E-8</v>
      </c>
      <c r="U147" s="140">
        <f t="shared" si="14"/>
        <v>3.8000000000000005E-6</v>
      </c>
      <c r="V147">
        <v>0.38</v>
      </c>
      <c r="W147" s="140">
        <f t="shared" si="15"/>
        <v>3.799999999999999E-8</v>
      </c>
      <c r="X147" s="140">
        <f t="shared" si="16"/>
        <v>7.5999999999999992E-8</v>
      </c>
      <c r="Y147" s="140">
        <f t="shared" si="17"/>
        <v>1.1400000000000001E-7</v>
      </c>
      <c r="Z147" s="140">
        <f t="shared" si="18"/>
        <v>1.5200000000000001E-7</v>
      </c>
      <c r="AA147" s="140">
        <f t="shared" si="19"/>
        <v>1.9000000000000003E-7</v>
      </c>
      <c r="AB147" s="157">
        <f>IF(U147&lt;$B$41*DATA!$H$1037,DATA!$H$1037,IF(U147&gt;DATA!$H$1036*$B$41,DATA!$H$1036,1))</f>
        <v>0.8</v>
      </c>
      <c r="AC147" s="156">
        <f t="shared" si="20"/>
        <v>9.9999999999999995E-8</v>
      </c>
      <c r="AE147" s="140">
        <f t="shared" si="21"/>
        <v>3.8000000000000005E-6</v>
      </c>
      <c r="AF147">
        <v>0.38</v>
      </c>
      <c r="AG147" s="140">
        <f t="shared" si="22"/>
        <v>3.799999999999999E-8</v>
      </c>
      <c r="AH147" s="140">
        <f t="shared" si="23"/>
        <v>7.5999999999999992E-8</v>
      </c>
      <c r="AI147" s="140">
        <f t="shared" si="24"/>
        <v>1.1400000000000001E-7</v>
      </c>
      <c r="AJ147" s="140">
        <f t="shared" si="25"/>
        <v>1.5200000000000001E-7</v>
      </c>
      <c r="AK147" s="140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27"/>
        <v>9.9999999999999995E-8</v>
      </c>
      <c r="AO147" s="140">
        <f t="shared" si="28"/>
        <v>3.8000000000000005E-6</v>
      </c>
      <c r="AP147">
        <v>0.38</v>
      </c>
      <c r="AQ147" s="140">
        <f t="shared" si="29"/>
        <v>3.799999999999999E-8</v>
      </c>
      <c r="AR147" s="140">
        <f t="shared" si="30"/>
        <v>7.5999999999999992E-8</v>
      </c>
      <c r="AS147" s="140">
        <f t="shared" si="31"/>
        <v>1.1400000000000001E-7</v>
      </c>
      <c r="AT147" s="140">
        <f t="shared" si="32"/>
        <v>1.5200000000000001E-7</v>
      </c>
      <c r="AU147" s="140">
        <f t="shared" si="33"/>
        <v>1.9000000000000003E-7</v>
      </c>
      <c r="AV147" s="157">
        <f>IF(AO147&lt;$B$73*DATA!$H$1037,DATA!$H$1037,IF(AO147&gt;DATA!$H$1036*$B$73,DATA!$H$1036,1))</f>
        <v>1.2</v>
      </c>
      <c r="AW147" s="156">
        <f t="shared" si="34"/>
        <v>9.9999999999999995E-8</v>
      </c>
      <c r="AY147" s="140">
        <f t="shared" si="35"/>
        <v>3.8000000000000005E-6</v>
      </c>
      <c r="AZ147">
        <v>0.38</v>
      </c>
      <c r="BA147" s="140">
        <f t="shared" si="36"/>
        <v>3.799999999999999E-8</v>
      </c>
      <c r="BB147" s="140">
        <f t="shared" si="37"/>
        <v>7.5999999999999992E-8</v>
      </c>
      <c r="BC147" s="140">
        <f t="shared" si="38"/>
        <v>1.1400000000000001E-7</v>
      </c>
      <c r="BD147" s="140">
        <f t="shared" si="39"/>
        <v>1.5200000000000001E-7</v>
      </c>
      <c r="BE147" s="140">
        <f t="shared" si="40"/>
        <v>1.9000000000000003E-7</v>
      </c>
      <c r="BF147" s="157">
        <f>IF(AY147&lt;$B$89*DATA!$H$1037,DATA!$H$1037,IF(AY147&gt;DATA!$H$1036*$B$89,DATA!$H$1036,1))</f>
        <v>1.2</v>
      </c>
      <c r="BG147" s="156">
        <f t="shared" si="41"/>
        <v>9.9999999999999995E-8</v>
      </c>
      <c r="BI147" s="140">
        <f t="shared" si="42"/>
        <v>3.8000000000000005E-6</v>
      </c>
      <c r="BJ147">
        <v>0.38</v>
      </c>
      <c r="BK147" s="140">
        <f t="shared" si="43"/>
        <v>3.799999999999999E-8</v>
      </c>
      <c r="BL147" s="140">
        <f t="shared" si="44"/>
        <v>7.5999999999999992E-8</v>
      </c>
      <c r="BM147" s="140">
        <f t="shared" si="45"/>
        <v>1.1400000000000001E-7</v>
      </c>
      <c r="BN147" s="140">
        <f t="shared" si="46"/>
        <v>1.5200000000000001E-7</v>
      </c>
      <c r="BO147" s="140">
        <f t="shared" si="47"/>
        <v>1.9000000000000003E-7</v>
      </c>
      <c r="BP147" s="157">
        <f>IF(BI147&lt;$B$105*DATA!$H$1037,DATA!$H$1037,IF(BI147&gt;DATA!$H$1036*$B$105,DATA!$H$1036,1))</f>
        <v>1.2</v>
      </c>
      <c r="BQ147" s="156">
        <f t="shared" si="48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3"/>
        <v>8.0000000000000002E-8</v>
      </c>
      <c r="E148" s="140">
        <f t="shared" si="3"/>
        <v>1.2000000000000002E-7</v>
      </c>
      <c r="F148" s="140">
        <f t="shared" si="3"/>
        <v>1.6000000000000003E-7</v>
      </c>
      <c r="G148" s="140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6"/>
        <v>9.9999999999999995E-8</v>
      </c>
      <c r="K148" s="140">
        <f t="shared" si="7"/>
        <v>4.0000000000000007E-6</v>
      </c>
      <c r="L148">
        <v>0.4</v>
      </c>
      <c r="M148" s="140">
        <f t="shared" si="8"/>
        <v>3.9999999999999994E-8</v>
      </c>
      <c r="N148" s="140">
        <f t="shared" si="9"/>
        <v>8.0000000000000002E-8</v>
      </c>
      <c r="O148" s="140">
        <f t="shared" si="10"/>
        <v>1.2000000000000002E-7</v>
      </c>
      <c r="P148" s="140">
        <f t="shared" si="11"/>
        <v>1.6000000000000003E-7</v>
      </c>
      <c r="Q148" s="140">
        <f t="shared" si="12"/>
        <v>2.0000000000000004E-7</v>
      </c>
      <c r="R148" s="157">
        <f>IF(K148&lt;$B$25*DATA!$H$1037,DATA!$H$1037,IF(K148&gt;DATA!$H$1036*$B$25,DATA!$H$1036,1))</f>
        <v>0.8</v>
      </c>
      <c r="S148" s="156">
        <f t="shared" si="13"/>
        <v>9.9999999999999995E-8</v>
      </c>
      <c r="U148" s="140">
        <f t="shared" si="14"/>
        <v>4.0000000000000007E-6</v>
      </c>
      <c r="V148">
        <v>0.4</v>
      </c>
      <c r="W148" s="140">
        <f t="shared" si="15"/>
        <v>3.9999999999999994E-8</v>
      </c>
      <c r="X148" s="140">
        <f t="shared" si="16"/>
        <v>8.0000000000000002E-8</v>
      </c>
      <c r="Y148" s="140">
        <f t="shared" si="17"/>
        <v>1.2000000000000002E-7</v>
      </c>
      <c r="Z148" s="140">
        <f t="shared" si="18"/>
        <v>1.6000000000000003E-7</v>
      </c>
      <c r="AA148" s="140">
        <f t="shared" si="19"/>
        <v>2.0000000000000004E-7</v>
      </c>
      <c r="AB148" s="157">
        <f>IF(U148&lt;$B$41*DATA!$H$1037,DATA!$H$1037,IF(U148&gt;DATA!$H$1036*$B$41,DATA!$H$1036,1))</f>
        <v>0.8</v>
      </c>
      <c r="AC148" s="156">
        <f t="shared" si="20"/>
        <v>9.9999999999999995E-8</v>
      </c>
      <c r="AE148" s="140">
        <f t="shared" si="21"/>
        <v>4.0000000000000007E-6</v>
      </c>
      <c r="AF148">
        <v>0.4</v>
      </c>
      <c r="AG148" s="140">
        <f t="shared" si="22"/>
        <v>3.9999999999999994E-8</v>
      </c>
      <c r="AH148" s="140">
        <f t="shared" si="23"/>
        <v>8.0000000000000002E-8</v>
      </c>
      <c r="AI148" s="140">
        <f t="shared" si="24"/>
        <v>1.2000000000000002E-7</v>
      </c>
      <c r="AJ148" s="140">
        <f t="shared" si="25"/>
        <v>1.6000000000000003E-7</v>
      </c>
      <c r="AK148" s="140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27"/>
        <v>9.9999999999999995E-8</v>
      </c>
      <c r="AO148" s="140">
        <f t="shared" si="28"/>
        <v>4.0000000000000007E-6</v>
      </c>
      <c r="AP148">
        <v>0.4</v>
      </c>
      <c r="AQ148" s="140">
        <f t="shared" si="29"/>
        <v>3.9999999999999994E-8</v>
      </c>
      <c r="AR148" s="140">
        <f t="shared" si="30"/>
        <v>8.0000000000000002E-8</v>
      </c>
      <c r="AS148" s="140">
        <f t="shared" si="31"/>
        <v>1.2000000000000002E-7</v>
      </c>
      <c r="AT148" s="140">
        <f t="shared" si="32"/>
        <v>1.6000000000000003E-7</v>
      </c>
      <c r="AU148" s="140">
        <f t="shared" si="33"/>
        <v>2.0000000000000004E-7</v>
      </c>
      <c r="AV148" s="157">
        <f>IF(AO148&lt;$B$73*DATA!$H$1037,DATA!$H$1037,IF(AO148&gt;DATA!$H$1036*$B$73,DATA!$H$1036,1))</f>
        <v>1.2</v>
      </c>
      <c r="AW148" s="156">
        <f t="shared" si="34"/>
        <v>9.9999999999999995E-8</v>
      </c>
      <c r="AY148" s="140">
        <f t="shared" si="35"/>
        <v>4.0000000000000007E-6</v>
      </c>
      <c r="AZ148">
        <v>0.4</v>
      </c>
      <c r="BA148" s="140">
        <f t="shared" si="36"/>
        <v>3.9999999999999994E-8</v>
      </c>
      <c r="BB148" s="140">
        <f t="shared" si="37"/>
        <v>8.0000000000000002E-8</v>
      </c>
      <c r="BC148" s="140">
        <f t="shared" si="38"/>
        <v>1.2000000000000002E-7</v>
      </c>
      <c r="BD148" s="140">
        <f t="shared" si="39"/>
        <v>1.6000000000000003E-7</v>
      </c>
      <c r="BE148" s="140">
        <f t="shared" si="40"/>
        <v>2.0000000000000004E-7</v>
      </c>
      <c r="BF148" s="157">
        <f>IF(AY148&lt;$B$89*DATA!$H$1037,DATA!$H$1037,IF(AY148&gt;DATA!$H$1036*$B$89,DATA!$H$1036,1))</f>
        <v>1.2</v>
      </c>
      <c r="BG148" s="156">
        <f t="shared" si="41"/>
        <v>9.9999999999999995E-8</v>
      </c>
      <c r="BI148" s="140">
        <f t="shared" si="42"/>
        <v>4.0000000000000007E-6</v>
      </c>
      <c r="BJ148">
        <v>0.4</v>
      </c>
      <c r="BK148" s="140">
        <f t="shared" si="43"/>
        <v>3.9999999999999994E-8</v>
      </c>
      <c r="BL148" s="140">
        <f t="shared" si="44"/>
        <v>8.0000000000000002E-8</v>
      </c>
      <c r="BM148" s="140">
        <f t="shared" si="45"/>
        <v>1.2000000000000002E-7</v>
      </c>
      <c r="BN148" s="140">
        <f t="shared" si="46"/>
        <v>1.6000000000000003E-7</v>
      </c>
      <c r="BO148" s="140">
        <f t="shared" si="47"/>
        <v>2.0000000000000004E-7</v>
      </c>
      <c r="BP148" s="157">
        <f>IF(BI148&lt;$B$105*DATA!$H$1037,DATA!$H$1037,IF(BI148&gt;DATA!$H$1036*$B$105,DATA!$H$1036,1))</f>
        <v>1.2</v>
      </c>
      <c r="BQ148" s="156">
        <f t="shared" si="48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3"/>
        <v>8.3999999999999998E-8</v>
      </c>
      <c r="E149" s="140">
        <f t="shared" si="3"/>
        <v>1.2600000000000002E-7</v>
      </c>
      <c r="F149" s="140">
        <f t="shared" si="3"/>
        <v>1.6800000000000002E-7</v>
      </c>
      <c r="G149" s="140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6"/>
        <v>9.9999999999999995E-8</v>
      </c>
      <c r="K149" s="140">
        <f t="shared" si="7"/>
        <v>4.2000000000000004E-6</v>
      </c>
      <c r="L149">
        <v>0.42</v>
      </c>
      <c r="M149" s="140">
        <f t="shared" si="8"/>
        <v>4.1999999999999992E-8</v>
      </c>
      <c r="N149" s="140">
        <f t="shared" si="9"/>
        <v>8.3999999999999998E-8</v>
      </c>
      <c r="O149" s="140">
        <f t="shared" si="10"/>
        <v>1.2600000000000002E-7</v>
      </c>
      <c r="P149" s="140">
        <f t="shared" si="11"/>
        <v>1.6800000000000002E-7</v>
      </c>
      <c r="Q149" s="140">
        <f t="shared" si="12"/>
        <v>2.1000000000000003E-7</v>
      </c>
      <c r="R149" s="157">
        <f>IF(K149&lt;$B$25*DATA!$H$1037,DATA!$H$1037,IF(K149&gt;DATA!$H$1036*$B$25,DATA!$H$1036,1))</f>
        <v>0.8</v>
      </c>
      <c r="S149" s="156">
        <f t="shared" si="13"/>
        <v>9.9999999999999995E-8</v>
      </c>
      <c r="U149" s="140">
        <f t="shared" si="14"/>
        <v>4.2000000000000004E-6</v>
      </c>
      <c r="V149">
        <v>0.42</v>
      </c>
      <c r="W149" s="140">
        <f t="shared" si="15"/>
        <v>4.1999999999999992E-8</v>
      </c>
      <c r="X149" s="140">
        <f t="shared" si="16"/>
        <v>8.3999999999999998E-8</v>
      </c>
      <c r="Y149" s="140">
        <f t="shared" si="17"/>
        <v>1.2600000000000002E-7</v>
      </c>
      <c r="Z149" s="140">
        <f t="shared" si="18"/>
        <v>1.6800000000000002E-7</v>
      </c>
      <c r="AA149" s="140">
        <f t="shared" si="19"/>
        <v>2.1000000000000003E-7</v>
      </c>
      <c r="AB149" s="157">
        <f>IF(U149&lt;$B$41*DATA!$H$1037,DATA!$H$1037,IF(U149&gt;DATA!$H$1036*$B$41,DATA!$H$1036,1))</f>
        <v>0.8</v>
      </c>
      <c r="AC149" s="156">
        <f t="shared" si="20"/>
        <v>9.9999999999999995E-8</v>
      </c>
      <c r="AE149" s="140">
        <f t="shared" si="21"/>
        <v>4.2000000000000004E-6</v>
      </c>
      <c r="AF149">
        <v>0.42</v>
      </c>
      <c r="AG149" s="140">
        <f t="shared" si="22"/>
        <v>4.1999999999999992E-8</v>
      </c>
      <c r="AH149" s="140">
        <f t="shared" si="23"/>
        <v>8.3999999999999998E-8</v>
      </c>
      <c r="AI149" s="140">
        <f t="shared" si="24"/>
        <v>1.2600000000000002E-7</v>
      </c>
      <c r="AJ149" s="140">
        <f t="shared" si="25"/>
        <v>1.6800000000000002E-7</v>
      </c>
      <c r="AK149" s="140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27"/>
        <v>9.9999999999999995E-8</v>
      </c>
      <c r="AO149" s="140">
        <f t="shared" si="28"/>
        <v>4.2000000000000004E-6</v>
      </c>
      <c r="AP149">
        <v>0.42</v>
      </c>
      <c r="AQ149" s="140">
        <f t="shared" si="29"/>
        <v>4.1999999999999992E-8</v>
      </c>
      <c r="AR149" s="140">
        <f t="shared" si="30"/>
        <v>8.3999999999999998E-8</v>
      </c>
      <c r="AS149" s="140">
        <f t="shared" si="31"/>
        <v>1.2600000000000002E-7</v>
      </c>
      <c r="AT149" s="140">
        <f t="shared" si="32"/>
        <v>1.6800000000000002E-7</v>
      </c>
      <c r="AU149" s="140">
        <f t="shared" si="33"/>
        <v>2.1000000000000003E-7</v>
      </c>
      <c r="AV149" s="157">
        <f>IF(AO149&lt;$B$73*DATA!$H$1037,DATA!$H$1037,IF(AO149&gt;DATA!$H$1036*$B$73,DATA!$H$1036,1))</f>
        <v>1.2</v>
      </c>
      <c r="AW149" s="156">
        <f t="shared" si="34"/>
        <v>9.9999999999999995E-8</v>
      </c>
      <c r="AY149" s="140">
        <f t="shared" si="35"/>
        <v>4.2000000000000004E-6</v>
      </c>
      <c r="AZ149">
        <v>0.42</v>
      </c>
      <c r="BA149" s="140">
        <f t="shared" si="36"/>
        <v>4.1999999999999992E-8</v>
      </c>
      <c r="BB149" s="140">
        <f t="shared" si="37"/>
        <v>8.3999999999999998E-8</v>
      </c>
      <c r="BC149" s="140">
        <f t="shared" si="38"/>
        <v>1.2600000000000002E-7</v>
      </c>
      <c r="BD149" s="140">
        <f t="shared" si="39"/>
        <v>1.6800000000000002E-7</v>
      </c>
      <c r="BE149" s="140">
        <f t="shared" si="40"/>
        <v>2.1000000000000003E-7</v>
      </c>
      <c r="BF149" s="157">
        <f>IF(AY149&lt;$B$89*DATA!$H$1037,DATA!$H$1037,IF(AY149&gt;DATA!$H$1036*$B$89,DATA!$H$1036,1))</f>
        <v>1.2</v>
      </c>
      <c r="BG149" s="156">
        <f t="shared" si="41"/>
        <v>9.9999999999999995E-8</v>
      </c>
      <c r="BI149" s="140">
        <f t="shared" si="42"/>
        <v>4.2000000000000004E-6</v>
      </c>
      <c r="BJ149">
        <v>0.42</v>
      </c>
      <c r="BK149" s="140">
        <f t="shared" si="43"/>
        <v>4.1999999999999992E-8</v>
      </c>
      <c r="BL149" s="140">
        <f t="shared" si="44"/>
        <v>8.3999999999999998E-8</v>
      </c>
      <c r="BM149" s="140">
        <f t="shared" si="45"/>
        <v>1.2600000000000002E-7</v>
      </c>
      <c r="BN149" s="140">
        <f t="shared" si="46"/>
        <v>1.6800000000000002E-7</v>
      </c>
      <c r="BO149" s="140">
        <f t="shared" si="47"/>
        <v>2.1000000000000003E-7</v>
      </c>
      <c r="BP149" s="157">
        <f>IF(BI149&lt;$B$105*DATA!$H$1037,DATA!$H$1037,IF(BI149&gt;DATA!$H$1036*$B$105,DATA!$H$1036,1))</f>
        <v>1.2</v>
      </c>
      <c r="BQ149" s="156">
        <f t="shared" si="48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3"/>
        <v>8.7999999999999994E-8</v>
      </c>
      <c r="E150" s="140">
        <f t="shared" si="3"/>
        <v>1.3199999999999999E-7</v>
      </c>
      <c r="F150" s="140">
        <f t="shared" si="3"/>
        <v>1.7600000000000001E-7</v>
      </c>
      <c r="G150" s="140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6"/>
        <v>9.9999999999999995E-8</v>
      </c>
      <c r="K150" s="140">
        <f t="shared" si="7"/>
        <v>4.4000000000000002E-6</v>
      </c>
      <c r="L150">
        <v>0.44</v>
      </c>
      <c r="M150" s="140">
        <f t="shared" si="8"/>
        <v>4.399999999999999E-8</v>
      </c>
      <c r="N150" s="140">
        <f t="shared" si="9"/>
        <v>8.7999999999999994E-8</v>
      </c>
      <c r="O150" s="140">
        <f t="shared" si="10"/>
        <v>1.3199999999999999E-7</v>
      </c>
      <c r="P150" s="140">
        <f t="shared" si="11"/>
        <v>1.7600000000000001E-7</v>
      </c>
      <c r="Q150" s="140">
        <f t="shared" si="12"/>
        <v>2.2000000000000001E-7</v>
      </c>
      <c r="R150" s="157">
        <f>IF(K150&lt;$B$25*DATA!$H$1037,DATA!$H$1037,IF(K150&gt;DATA!$H$1036*$B$25,DATA!$H$1036,1))</f>
        <v>0.8</v>
      </c>
      <c r="S150" s="156">
        <f t="shared" si="13"/>
        <v>9.9999999999999995E-8</v>
      </c>
      <c r="U150" s="140">
        <f t="shared" si="14"/>
        <v>4.4000000000000002E-6</v>
      </c>
      <c r="V150">
        <v>0.44</v>
      </c>
      <c r="W150" s="140">
        <f t="shared" si="15"/>
        <v>4.399999999999999E-8</v>
      </c>
      <c r="X150" s="140">
        <f t="shared" si="16"/>
        <v>8.7999999999999994E-8</v>
      </c>
      <c r="Y150" s="140">
        <f t="shared" si="17"/>
        <v>1.3199999999999999E-7</v>
      </c>
      <c r="Z150" s="140">
        <f t="shared" si="18"/>
        <v>1.7600000000000001E-7</v>
      </c>
      <c r="AA150" s="140">
        <f t="shared" si="19"/>
        <v>2.2000000000000001E-7</v>
      </c>
      <c r="AB150" s="157">
        <f>IF(U150&lt;$B$41*DATA!$H$1037,DATA!$H$1037,IF(U150&gt;DATA!$H$1036*$B$41,DATA!$H$1036,1))</f>
        <v>0.8</v>
      </c>
      <c r="AC150" s="156">
        <f t="shared" si="20"/>
        <v>9.9999999999999995E-8</v>
      </c>
      <c r="AE150" s="140">
        <f t="shared" si="21"/>
        <v>4.4000000000000002E-6</v>
      </c>
      <c r="AF150">
        <v>0.44</v>
      </c>
      <c r="AG150" s="140">
        <f t="shared" si="22"/>
        <v>4.399999999999999E-8</v>
      </c>
      <c r="AH150" s="140">
        <f t="shared" si="23"/>
        <v>8.7999999999999994E-8</v>
      </c>
      <c r="AI150" s="140">
        <f t="shared" si="24"/>
        <v>1.3199999999999999E-7</v>
      </c>
      <c r="AJ150" s="140">
        <f t="shared" si="25"/>
        <v>1.7600000000000001E-7</v>
      </c>
      <c r="AK150" s="140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27"/>
        <v>9.9999999999999995E-8</v>
      </c>
      <c r="AO150" s="140">
        <f t="shared" si="28"/>
        <v>4.4000000000000002E-6</v>
      </c>
      <c r="AP150">
        <v>0.44</v>
      </c>
      <c r="AQ150" s="140">
        <f t="shared" si="29"/>
        <v>4.399999999999999E-8</v>
      </c>
      <c r="AR150" s="140">
        <f t="shared" si="30"/>
        <v>8.7999999999999994E-8</v>
      </c>
      <c r="AS150" s="140">
        <f t="shared" si="31"/>
        <v>1.3199999999999999E-7</v>
      </c>
      <c r="AT150" s="140">
        <f t="shared" si="32"/>
        <v>1.7600000000000001E-7</v>
      </c>
      <c r="AU150" s="140">
        <f t="shared" si="33"/>
        <v>2.2000000000000001E-7</v>
      </c>
      <c r="AV150" s="157">
        <f>IF(AO150&lt;$B$73*DATA!$H$1037,DATA!$H$1037,IF(AO150&gt;DATA!$H$1036*$B$73,DATA!$H$1036,1))</f>
        <v>1.2</v>
      </c>
      <c r="AW150" s="156">
        <f t="shared" si="34"/>
        <v>9.9999999999999995E-8</v>
      </c>
      <c r="AY150" s="140">
        <f t="shared" si="35"/>
        <v>4.4000000000000002E-6</v>
      </c>
      <c r="AZ150">
        <v>0.44</v>
      </c>
      <c r="BA150" s="140">
        <f t="shared" si="36"/>
        <v>4.399999999999999E-8</v>
      </c>
      <c r="BB150" s="140">
        <f t="shared" si="37"/>
        <v>8.7999999999999994E-8</v>
      </c>
      <c r="BC150" s="140">
        <f t="shared" si="38"/>
        <v>1.3199999999999999E-7</v>
      </c>
      <c r="BD150" s="140">
        <f t="shared" si="39"/>
        <v>1.7600000000000001E-7</v>
      </c>
      <c r="BE150" s="140">
        <f t="shared" si="40"/>
        <v>2.2000000000000001E-7</v>
      </c>
      <c r="BF150" s="157">
        <f>IF(AY150&lt;$B$89*DATA!$H$1037,DATA!$H$1037,IF(AY150&gt;DATA!$H$1036*$B$89,DATA!$H$1036,1))</f>
        <v>1.2</v>
      </c>
      <c r="BG150" s="156">
        <f t="shared" si="41"/>
        <v>9.9999999999999995E-8</v>
      </c>
      <c r="BI150" s="140">
        <f t="shared" si="42"/>
        <v>4.4000000000000002E-6</v>
      </c>
      <c r="BJ150">
        <v>0.44</v>
      </c>
      <c r="BK150" s="140">
        <f t="shared" si="43"/>
        <v>4.399999999999999E-8</v>
      </c>
      <c r="BL150" s="140">
        <f t="shared" si="44"/>
        <v>8.7999999999999994E-8</v>
      </c>
      <c r="BM150" s="140">
        <f t="shared" si="45"/>
        <v>1.3199999999999999E-7</v>
      </c>
      <c r="BN150" s="140">
        <f t="shared" si="46"/>
        <v>1.7600000000000001E-7</v>
      </c>
      <c r="BO150" s="140">
        <f t="shared" si="47"/>
        <v>2.2000000000000001E-7</v>
      </c>
      <c r="BP150" s="157">
        <f>IF(BI150&lt;$B$105*DATA!$H$1037,DATA!$H$1037,IF(BI150&gt;DATA!$H$1036*$B$105,DATA!$H$1036,1))</f>
        <v>1.2</v>
      </c>
      <c r="BQ150" s="156">
        <f t="shared" si="48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3"/>
        <v>9.2000000000000003E-8</v>
      </c>
      <c r="E151" s="140">
        <f t="shared" si="3"/>
        <v>1.3800000000000002E-7</v>
      </c>
      <c r="F151" s="140">
        <f t="shared" si="3"/>
        <v>1.8400000000000003E-7</v>
      </c>
      <c r="G151" s="140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6"/>
        <v>9.9999999999999995E-8</v>
      </c>
      <c r="K151" s="140">
        <f t="shared" si="7"/>
        <v>4.6000000000000009E-6</v>
      </c>
      <c r="L151">
        <v>0.46</v>
      </c>
      <c r="M151" s="140">
        <f t="shared" si="8"/>
        <v>4.5999999999999995E-8</v>
      </c>
      <c r="N151" s="140">
        <f t="shared" si="9"/>
        <v>9.2000000000000003E-8</v>
      </c>
      <c r="O151" s="140">
        <f t="shared" si="10"/>
        <v>1.3800000000000002E-7</v>
      </c>
      <c r="P151" s="140">
        <f t="shared" si="11"/>
        <v>1.8400000000000003E-7</v>
      </c>
      <c r="Q151" s="140">
        <f t="shared" si="12"/>
        <v>2.3000000000000005E-7</v>
      </c>
      <c r="R151" s="157">
        <f>IF(K151&lt;$B$25*DATA!$H$1037,DATA!$H$1037,IF(K151&gt;DATA!$H$1036*$B$25,DATA!$H$1036,1))</f>
        <v>0.8</v>
      </c>
      <c r="S151" s="156">
        <f t="shared" si="13"/>
        <v>9.9999999999999995E-8</v>
      </c>
      <c r="U151" s="140">
        <f t="shared" si="14"/>
        <v>4.6000000000000009E-6</v>
      </c>
      <c r="V151">
        <v>0.46</v>
      </c>
      <c r="W151" s="140">
        <f t="shared" si="15"/>
        <v>4.5999999999999995E-8</v>
      </c>
      <c r="X151" s="140">
        <f t="shared" si="16"/>
        <v>9.2000000000000003E-8</v>
      </c>
      <c r="Y151" s="140">
        <f t="shared" si="17"/>
        <v>1.3800000000000002E-7</v>
      </c>
      <c r="Z151" s="140">
        <f t="shared" si="18"/>
        <v>1.8400000000000003E-7</v>
      </c>
      <c r="AA151" s="140">
        <f t="shared" si="19"/>
        <v>2.3000000000000005E-7</v>
      </c>
      <c r="AB151" s="157">
        <f>IF(U151&lt;$B$41*DATA!$H$1037,DATA!$H$1037,IF(U151&gt;DATA!$H$1036*$B$41,DATA!$H$1036,1))</f>
        <v>0.8</v>
      </c>
      <c r="AC151" s="156">
        <f t="shared" si="20"/>
        <v>9.9999999999999995E-8</v>
      </c>
      <c r="AE151" s="140">
        <f t="shared" si="21"/>
        <v>4.6000000000000009E-6</v>
      </c>
      <c r="AF151">
        <v>0.46</v>
      </c>
      <c r="AG151" s="140">
        <f t="shared" si="22"/>
        <v>4.5999999999999995E-8</v>
      </c>
      <c r="AH151" s="140">
        <f t="shared" si="23"/>
        <v>9.2000000000000003E-8</v>
      </c>
      <c r="AI151" s="140">
        <f t="shared" si="24"/>
        <v>1.3800000000000002E-7</v>
      </c>
      <c r="AJ151" s="140">
        <f t="shared" si="25"/>
        <v>1.8400000000000003E-7</v>
      </c>
      <c r="AK151" s="140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27"/>
        <v>9.9999999999999995E-8</v>
      </c>
      <c r="AO151" s="140">
        <f t="shared" si="28"/>
        <v>4.6000000000000009E-6</v>
      </c>
      <c r="AP151">
        <v>0.46</v>
      </c>
      <c r="AQ151" s="140">
        <f t="shared" si="29"/>
        <v>4.5999999999999995E-8</v>
      </c>
      <c r="AR151" s="140">
        <f t="shared" si="30"/>
        <v>9.2000000000000003E-8</v>
      </c>
      <c r="AS151" s="140">
        <f t="shared" si="31"/>
        <v>1.3800000000000002E-7</v>
      </c>
      <c r="AT151" s="140">
        <f t="shared" si="32"/>
        <v>1.8400000000000003E-7</v>
      </c>
      <c r="AU151" s="140">
        <f t="shared" si="33"/>
        <v>2.3000000000000005E-7</v>
      </c>
      <c r="AV151" s="157">
        <f>IF(AO151&lt;$B$73*DATA!$H$1037,DATA!$H$1037,IF(AO151&gt;DATA!$H$1036*$B$73,DATA!$H$1036,1))</f>
        <v>1.2</v>
      </c>
      <c r="AW151" s="156">
        <f t="shared" si="34"/>
        <v>9.9999999999999995E-8</v>
      </c>
      <c r="AY151" s="140">
        <f t="shared" si="35"/>
        <v>4.6000000000000009E-6</v>
      </c>
      <c r="AZ151">
        <v>0.46</v>
      </c>
      <c r="BA151" s="140">
        <f t="shared" si="36"/>
        <v>4.5999999999999995E-8</v>
      </c>
      <c r="BB151" s="140">
        <f t="shared" si="37"/>
        <v>9.2000000000000003E-8</v>
      </c>
      <c r="BC151" s="140">
        <f t="shared" si="38"/>
        <v>1.3800000000000002E-7</v>
      </c>
      <c r="BD151" s="140">
        <f t="shared" si="39"/>
        <v>1.8400000000000003E-7</v>
      </c>
      <c r="BE151" s="140">
        <f t="shared" si="40"/>
        <v>2.3000000000000005E-7</v>
      </c>
      <c r="BF151" s="157">
        <f>IF(AY151&lt;$B$89*DATA!$H$1037,DATA!$H$1037,IF(AY151&gt;DATA!$H$1036*$B$89,DATA!$H$1036,1))</f>
        <v>1.2</v>
      </c>
      <c r="BG151" s="156">
        <f t="shared" si="41"/>
        <v>9.9999999999999995E-8</v>
      </c>
      <c r="BI151" s="140">
        <f t="shared" si="42"/>
        <v>4.6000000000000009E-6</v>
      </c>
      <c r="BJ151">
        <v>0.46</v>
      </c>
      <c r="BK151" s="140">
        <f t="shared" si="43"/>
        <v>4.5999999999999995E-8</v>
      </c>
      <c r="BL151" s="140">
        <f t="shared" si="44"/>
        <v>9.2000000000000003E-8</v>
      </c>
      <c r="BM151" s="140">
        <f t="shared" si="45"/>
        <v>1.3800000000000002E-7</v>
      </c>
      <c r="BN151" s="140">
        <f t="shared" si="46"/>
        <v>1.8400000000000003E-7</v>
      </c>
      <c r="BO151" s="140">
        <f t="shared" si="47"/>
        <v>2.3000000000000005E-7</v>
      </c>
      <c r="BP151" s="157">
        <f>IF(BI151&lt;$B$105*DATA!$H$1037,DATA!$H$1037,IF(BI151&gt;DATA!$H$1036*$B$105,DATA!$H$1036,1))</f>
        <v>1.2</v>
      </c>
      <c r="BQ151" s="156">
        <f t="shared" si="48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3"/>
        <v>9.5999999999999999E-8</v>
      </c>
      <c r="E152" s="140">
        <f t="shared" si="3"/>
        <v>1.4400000000000002E-7</v>
      </c>
      <c r="F152" s="140">
        <f t="shared" si="3"/>
        <v>1.9200000000000003E-7</v>
      </c>
      <c r="G152" s="140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6"/>
        <v>9.9999999999999995E-8</v>
      </c>
      <c r="K152" s="140">
        <f t="shared" si="7"/>
        <v>4.8000000000000006E-6</v>
      </c>
      <c r="L152">
        <v>0.48</v>
      </c>
      <c r="M152" s="140">
        <f t="shared" si="8"/>
        <v>4.7999999999999993E-8</v>
      </c>
      <c r="N152" s="140">
        <f t="shared" si="9"/>
        <v>9.5999999999999999E-8</v>
      </c>
      <c r="O152" s="140">
        <f t="shared" si="10"/>
        <v>1.4400000000000002E-7</v>
      </c>
      <c r="P152" s="140">
        <f t="shared" si="11"/>
        <v>1.9200000000000003E-7</v>
      </c>
      <c r="Q152" s="140">
        <f t="shared" si="12"/>
        <v>2.4000000000000003E-7</v>
      </c>
      <c r="R152" s="157">
        <f>IF(K152&lt;$B$25*DATA!$H$1037,DATA!$H$1037,IF(K152&gt;DATA!$H$1036*$B$25,DATA!$H$1036,1))</f>
        <v>0.8</v>
      </c>
      <c r="S152" s="156">
        <f t="shared" si="13"/>
        <v>9.9999999999999995E-8</v>
      </c>
      <c r="U152" s="140">
        <f t="shared" si="14"/>
        <v>4.8000000000000006E-6</v>
      </c>
      <c r="V152">
        <v>0.48</v>
      </c>
      <c r="W152" s="140">
        <f t="shared" si="15"/>
        <v>4.7999999999999993E-8</v>
      </c>
      <c r="X152" s="140">
        <f t="shared" si="16"/>
        <v>9.5999999999999999E-8</v>
      </c>
      <c r="Y152" s="140">
        <f t="shared" si="17"/>
        <v>1.4400000000000002E-7</v>
      </c>
      <c r="Z152" s="140">
        <f t="shared" si="18"/>
        <v>1.9200000000000003E-7</v>
      </c>
      <c r="AA152" s="140">
        <f t="shared" si="19"/>
        <v>2.4000000000000003E-7</v>
      </c>
      <c r="AB152" s="157">
        <f>IF(U152&lt;$B$41*DATA!$H$1037,DATA!$H$1037,IF(U152&gt;DATA!$H$1036*$B$41,DATA!$H$1036,1))</f>
        <v>0.8</v>
      </c>
      <c r="AC152" s="156">
        <f t="shared" si="20"/>
        <v>9.9999999999999995E-8</v>
      </c>
      <c r="AE152" s="140">
        <f t="shared" si="21"/>
        <v>4.8000000000000006E-6</v>
      </c>
      <c r="AF152">
        <v>0.48</v>
      </c>
      <c r="AG152" s="140">
        <f t="shared" si="22"/>
        <v>4.7999999999999993E-8</v>
      </c>
      <c r="AH152" s="140">
        <f t="shared" si="23"/>
        <v>9.5999999999999999E-8</v>
      </c>
      <c r="AI152" s="140">
        <f t="shared" si="24"/>
        <v>1.4400000000000002E-7</v>
      </c>
      <c r="AJ152" s="140">
        <f t="shared" si="25"/>
        <v>1.9200000000000003E-7</v>
      </c>
      <c r="AK152" s="140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27"/>
        <v>9.9999999999999995E-8</v>
      </c>
      <c r="AO152" s="140">
        <f t="shared" si="28"/>
        <v>4.8000000000000006E-6</v>
      </c>
      <c r="AP152">
        <v>0.48</v>
      </c>
      <c r="AQ152" s="140">
        <f t="shared" si="29"/>
        <v>4.7999999999999993E-8</v>
      </c>
      <c r="AR152" s="140">
        <f t="shared" si="30"/>
        <v>9.5999999999999999E-8</v>
      </c>
      <c r="AS152" s="140">
        <f t="shared" si="31"/>
        <v>1.4400000000000002E-7</v>
      </c>
      <c r="AT152" s="140">
        <f t="shared" si="32"/>
        <v>1.9200000000000003E-7</v>
      </c>
      <c r="AU152" s="140">
        <f t="shared" si="33"/>
        <v>2.4000000000000003E-7</v>
      </c>
      <c r="AV152" s="157">
        <f>IF(AO152&lt;$B$73*DATA!$H$1037,DATA!$H$1037,IF(AO152&gt;DATA!$H$1036*$B$73,DATA!$H$1036,1))</f>
        <v>1.2</v>
      </c>
      <c r="AW152" s="156">
        <f t="shared" si="34"/>
        <v>9.9999999999999995E-8</v>
      </c>
      <c r="AY152" s="140">
        <f t="shared" si="35"/>
        <v>4.8000000000000006E-6</v>
      </c>
      <c r="AZ152">
        <v>0.48</v>
      </c>
      <c r="BA152" s="140">
        <f t="shared" si="36"/>
        <v>4.7999999999999993E-8</v>
      </c>
      <c r="BB152" s="140">
        <f t="shared" si="37"/>
        <v>9.5999999999999999E-8</v>
      </c>
      <c r="BC152" s="140">
        <f t="shared" si="38"/>
        <v>1.4400000000000002E-7</v>
      </c>
      <c r="BD152" s="140">
        <f t="shared" si="39"/>
        <v>1.9200000000000003E-7</v>
      </c>
      <c r="BE152" s="140">
        <f t="shared" si="40"/>
        <v>2.4000000000000003E-7</v>
      </c>
      <c r="BF152" s="157">
        <f>IF(AY152&lt;$B$89*DATA!$H$1037,DATA!$H$1037,IF(AY152&gt;DATA!$H$1036*$B$89,DATA!$H$1036,1))</f>
        <v>1.2</v>
      </c>
      <c r="BG152" s="156">
        <f t="shared" si="41"/>
        <v>9.9999999999999995E-8</v>
      </c>
      <c r="BI152" s="140">
        <f t="shared" si="42"/>
        <v>4.8000000000000006E-6</v>
      </c>
      <c r="BJ152">
        <v>0.48</v>
      </c>
      <c r="BK152" s="140">
        <f t="shared" si="43"/>
        <v>4.7999999999999993E-8</v>
      </c>
      <c r="BL152" s="140">
        <f t="shared" si="44"/>
        <v>9.5999999999999999E-8</v>
      </c>
      <c r="BM152" s="140">
        <f t="shared" si="45"/>
        <v>1.4400000000000002E-7</v>
      </c>
      <c r="BN152" s="140">
        <f t="shared" si="46"/>
        <v>1.9200000000000003E-7</v>
      </c>
      <c r="BO152" s="140">
        <f t="shared" si="47"/>
        <v>2.4000000000000003E-7</v>
      </c>
      <c r="BP152" s="157">
        <f>IF(BI152&lt;$B$105*DATA!$H$1037,DATA!$H$1037,IF(BI152&gt;DATA!$H$1036*$B$105,DATA!$H$1036,1))</f>
        <v>1.2</v>
      </c>
      <c r="BQ152" s="156">
        <f t="shared" si="48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3"/>
        <v>9.9999999999999995E-8</v>
      </c>
      <c r="E153" s="140">
        <f t="shared" si="3"/>
        <v>1.5000000000000002E-7</v>
      </c>
      <c r="F153" s="140">
        <f t="shared" si="3"/>
        <v>2.0000000000000002E-7</v>
      </c>
      <c r="G153" s="140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6"/>
        <v>9.9999999999999995E-8</v>
      </c>
      <c r="K153" s="140">
        <f t="shared" si="7"/>
        <v>5.0000000000000004E-6</v>
      </c>
      <c r="L153">
        <v>0.5</v>
      </c>
      <c r="M153" s="140">
        <f t="shared" si="8"/>
        <v>4.9999999999999985E-8</v>
      </c>
      <c r="N153" s="140">
        <f t="shared" si="9"/>
        <v>9.9999999999999995E-8</v>
      </c>
      <c r="O153" s="140">
        <f t="shared" si="10"/>
        <v>1.5000000000000002E-7</v>
      </c>
      <c r="P153" s="140">
        <f t="shared" si="11"/>
        <v>2.0000000000000002E-7</v>
      </c>
      <c r="Q153" s="140">
        <f t="shared" si="12"/>
        <v>2.5000000000000004E-7</v>
      </c>
      <c r="R153" s="157">
        <f>IF(K153&lt;$B$25*DATA!$H$1037,DATA!$H$1037,IF(K153&gt;DATA!$H$1036*$B$25,DATA!$H$1036,1))</f>
        <v>0.8</v>
      </c>
      <c r="S153" s="156">
        <f t="shared" si="13"/>
        <v>9.9999999999999995E-8</v>
      </c>
      <c r="U153" s="140">
        <f t="shared" si="14"/>
        <v>5.0000000000000004E-6</v>
      </c>
      <c r="V153">
        <v>0.5</v>
      </c>
      <c r="W153" s="140">
        <f t="shared" si="15"/>
        <v>4.9999999999999985E-8</v>
      </c>
      <c r="X153" s="140">
        <f t="shared" si="16"/>
        <v>9.9999999999999995E-8</v>
      </c>
      <c r="Y153" s="140">
        <f t="shared" si="17"/>
        <v>1.5000000000000002E-7</v>
      </c>
      <c r="Z153" s="140">
        <f t="shared" si="18"/>
        <v>2.0000000000000002E-7</v>
      </c>
      <c r="AA153" s="140">
        <f t="shared" si="19"/>
        <v>2.5000000000000004E-7</v>
      </c>
      <c r="AB153" s="157">
        <f>IF(U153&lt;$B$41*DATA!$H$1037,DATA!$H$1037,IF(U153&gt;DATA!$H$1036*$B$41,DATA!$H$1036,1))</f>
        <v>0.8</v>
      </c>
      <c r="AC153" s="156">
        <f t="shared" si="20"/>
        <v>9.9999999999999995E-8</v>
      </c>
      <c r="AE153" s="140">
        <f t="shared" si="21"/>
        <v>5.0000000000000004E-6</v>
      </c>
      <c r="AF153">
        <v>0.5</v>
      </c>
      <c r="AG153" s="140">
        <f t="shared" si="22"/>
        <v>4.9999999999999985E-8</v>
      </c>
      <c r="AH153" s="140">
        <f t="shared" si="23"/>
        <v>9.9999999999999995E-8</v>
      </c>
      <c r="AI153" s="140">
        <f t="shared" si="24"/>
        <v>1.5000000000000002E-7</v>
      </c>
      <c r="AJ153" s="140">
        <f t="shared" si="25"/>
        <v>2.0000000000000002E-7</v>
      </c>
      <c r="AK153" s="140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27"/>
        <v>9.9999999999999995E-8</v>
      </c>
      <c r="AO153" s="140">
        <f t="shared" si="28"/>
        <v>5.0000000000000004E-6</v>
      </c>
      <c r="AP153">
        <v>0.5</v>
      </c>
      <c r="AQ153" s="140">
        <f t="shared" si="29"/>
        <v>4.9999999999999985E-8</v>
      </c>
      <c r="AR153" s="140">
        <f t="shared" si="30"/>
        <v>9.9999999999999995E-8</v>
      </c>
      <c r="AS153" s="140">
        <f t="shared" si="31"/>
        <v>1.5000000000000002E-7</v>
      </c>
      <c r="AT153" s="140">
        <f t="shared" si="32"/>
        <v>2.0000000000000002E-7</v>
      </c>
      <c r="AU153" s="140">
        <f t="shared" si="33"/>
        <v>2.5000000000000004E-7</v>
      </c>
      <c r="AV153" s="157">
        <f>IF(AO153&lt;$B$73*DATA!$H$1037,DATA!$H$1037,IF(AO153&gt;DATA!$H$1036*$B$73,DATA!$H$1036,1))</f>
        <v>1.2</v>
      </c>
      <c r="AW153" s="156">
        <f t="shared" si="34"/>
        <v>9.9999999999999995E-8</v>
      </c>
      <c r="AY153" s="140">
        <f t="shared" si="35"/>
        <v>5.0000000000000004E-6</v>
      </c>
      <c r="AZ153">
        <v>0.5</v>
      </c>
      <c r="BA153" s="140">
        <f t="shared" si="36"/>
        <v>4.9999999999999985E-8</v>
      </c>
      <c r="BB153" s="140">
        <f t="shared" si="37"/>
        <v>9.9999999999999995E-8</v>
      </c>
      <c r="BC153" s="140">
        <f t="shared" si="38"/>
        <v>1.5000000000000002E-7</v>
      </c>
      <c r="BD153" s="140">
        <f t="shared" si="39"/>
        <v>2.0000000000000002E-7</v>
      </c>
      <c r="BE153" s="140">
        <f t="shared" si="40"/>
        <v>2.5000000000000004E-7</v>
      </c>
      <c r="BF153" s="157">
        <f>IF(AY153&lt;$B$89*DATA!$H$1037,DATA!$H$1037,IF(AY153&gt;DATA!$H$1036*$B$89,DATA!$H$1036,1))</f>
        <v>1.2</v>
      </c>
      <c r="BG153" s="156">
        <f t="shared" si="41"/>
        <v>9.9999999999999995E-8</v>
      </c>
      <c r="BI153" s="140">
        <f t="shared" si="42"/>
        <v>5.0000000000000004E-6</v>
      </c>
      <c r="BJ153">
        <v>0.5</v>
      </c>
      <c r="BK153" s="140">
        <f t="shared" si="43"/>
        <v>4.9999999999999985E-8</v>
      </c>
      <c r="BL153" s="140">
        <f t="shared" si="44"/>
        <v>9.9999999999999995E-8</v>
      </c>
      <c r="BM153" s="140">
        <f t="shared" si="45"/>
        <v>1.5000000000000002E-7</v>
      </c>
      <c r="BN153" s="140">
        <f t="shared" si="46"/>
        <v>2.0000000000000002E-7</v>
      </c>
      <c r="BO153" s="140">
        <f t="shared" si="47"/>
        <v>2.5000000000000004E-7</v>
      </c>
      <c r="BP153" s="157">
        <f>IF(BI153&lt;$B$105*DATA!$H$1037,DATA!$H$1037,IF(BI153&gt;DATA!$H$1036*$B$105,DATA!$H$1036,1))</f>
        <v>1.2</v>
      </c>
      <c r="BQ153" s="156">
        <f t="shared" si="48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3"/>
        <v>1.0399999999999999E-7</v>
      </c>
      <c r="E154" s="140">
        <f t="shared" si="3"/>
        <v>1.5599999999999999E-7</v>
      </c>
      <c r="F154" s="140">
        <f t="shared" si="3"/>
        <v>2.0800000000000001E-7</v>
      </c>
      <c r="G154" s="140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6"/>
        <v>9.9999999999999995E-8</v>
      </c>
      <c r="K154" s="140">
        <f t="shared" si="7"/>
        <v>5.2000000000000002E-6</v>
      </c>
      <c r="L154">
        <v>0.52</v>
      </c>
      <c r="M154" s="140">
        <f t="shared" si="8"/>
        <v>5.1999999999999983E-8</v>
      </c>
      <c r="N154" s="140">
        <f t="shared" si="9"/>
        <v>1.0399999999999999E-7</v>
      </c>
      <c r="O154" s="140">
        <f t="shared" si="10"/>
        <v>1.5599999999999999E-7</v>
      </c>
      <c r="P154" s="140">
        <f t="shared" si="11"/>
        <v>2.0800000000000001E-7</v>
      </c>
      <c r="Q154" s="140">
        <f t="shared" si="12"/>
        <v>2.6E-7</v>
      </c>
      <c r="R154" s="157">
        <f>IF(K154&lt;$B$25*DATA!$H$1037,DATA!$H$1037,IF(K154&gt;DATA!$H$1036*$B$25,DATA!$H$1036,1))</f>
        <v>0.8</v>
      </c>
      <c r="S154" s="156">
        <f t="shared" si="13"/>
        <v>9.9999999999999995E-8</v>
      </c>
      <c r="U154" s="140">
        <f t="shared" si="14"/>
        <v>5.2000000000000002E-6</v>
      </c>
      <c r="V154">
        <v>0.52</v>
      </c>
      <c r="W154" s="140">
        <f t="shared" si="15"/>
        <v>5.1999999999999983E-8</v>
      </c>
      <c r="X154" s="140">
        <f t="shared" si="16"/>
        <v>1.0399999999999999E-7</v>
      </c>
      <c r="Y154" s="140">
        <f t="shared" si="17"/>
        <v>1.5599999999999999E-7</v>
      </c>
      <c r="Z154" s="140">
        <f t="shared" si="18"/>
        <v>2.0800000000000001E-7</v>
      </c>
      <c r="AA154" s="140">
        <f t="shared" si="19"/>
        <v>2.6E-7</v>
      </c>
      <c r="AB154" s="157">
        <f>IF(U154&lt;$B$41*DATA!$H$1037,DATA!$H$1037,IF(U154&gt;DATA!$H$1036*$B$41,DATA!$H$1036,1))</f>
        <v>0.8</v>
      </c>
      <c r="AC154" s="156">
        <f t="shared" si="20"/>
        <v>9.9999999999999995E-8</v>
      </c>
      <c r="AE154" s="140">
        <f t="shared" si="21"/>
        <v>5.2000000000000002E-6</v>
      </c>
      <c r="AF154">
        <v>0.52</v>
      </c>
      <c r="AG154" s="140">
        <f t="shared" si="22"/>
        <v>5.1999999999999983E-8</v>
      </c>
      <c r="AH154" s="140">
        <f t="shared" si="23"/>
        <v>1.0399999999999999E-7</v>
      </c>
      <c r="AI154" s="140">
        <f t="shared" si="24"/>
        <v>1.5599999999999999E-7</v>
      </c>
      <c r="AJ154" s="140">
        <f t="shared" si="25"/>
        <v>2.0800000000000001E-7</v>
      </c>
      <c r="AK154" s="140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27"/>
        <v>9.9999999999999995E-8</v>
      </c>
      <c r="AO154" s="140">
        <f t="shared" si="28"/>
        <v>5.2000000000000002E-6</v>
      </c>
      <c r="AP154">
        <v>0.52</v>
      </c>
      <c r="AQ154" s="140">
        <f t="shared" si="29"/>
        <v>5.1999999999999983E-8</v>
      </c>
      <c r="AR154" s="140">
        <f t="shared" si="30"/>
        <v>1.0399999999999999E-7</v>
      </c>
      <c r="AS154" s="140">
        <f t="shared" si="31"/>
        <v>1.5599999999999999E-7</v>
      </c>
      <c r="AT154" s="140">
        <f t="shared" si="32"/>
        <v>2.0800000000000001E-7</v>
      </c>
      <c r="AU154" s="140">
        <f t="shared" si="33"/>
        <v>2.6E-7</v>
      </c>
      <c r="AV154" s="157">
        <f>IF(AO154&lt;$B$73*DATA!$H$1037,DATA!$H$1037,IF(AO154&gt;DATA!$H$1036*$B$73,DATA!$H$1036,1))</f>
        <v>1.2</v>
      </c>
      <c r="AW154" s="156">
        <f t="shared" si="34"/>
        <v>9.9999999999999995E-8</v>
      </c>
      <c r="AY154" s="140">
        <f t="shared" si="35"/>
        <v>5.2000000000000002E-6</v>
      </c>
      <c r="AZ154">
        <v>0.52</v>
      </c>
      <c r="BA154" s="140">
        <f t="shared" si="36"/>
        <v>5.1999999999999983E-8</v>
      </c>
      <c r="BB154" s="140">
        <f t="shared" si="37"/>
        <v>1.0399999999999999E-7</v>
      </c>
      <c r="BC154" s="140">
        <f t="shared" si="38"/>
        <v>1.5599999999999999E-7</v>
      </c>
      <c r="BD154" s="140">
        <f t="shared" si="39"/>
        <v>2.0800000000000001E-7</v>
      </c>
      <c r="BE154" s="140">
        <f t="shared" si="40"/>
        <v>2.6E-7</v>
      </c>
      <c r="BF154" s="157">
        <f>IF(AY154&lt;$B$89*DATA!$H$1037,DATA!$H$1037,IF(AY154&gt;DATA!$H$1036*$B$89,DATA!$H$1036,1))</f>
        <v>1.2</v>
      </c>
      <c r="BG154" s="156">
        <f t="shared" si="41"/>
        <v>9.9999999999999995E-8</v>
      </c>
      <c r="BI154" s="140">
        <f t="shared" si="42"/>
        <v>5.2000000000000002E-6</v>
      </c>
      <c r="BJ154">
        <v>0.52</v>
      </c>
      <c r="BK154" s="140">
        <f t="shared" si="43"/>
        <v>5.1999999999999983E-8</v>
      </c>
      <c r="BL154" s="140">
        <f t="shared" si="44"/>
        <v>1.0399999999999999E-7</v>
      </c>
      <c r="BM154" s="140">
        <f t="shared" si="45"/>
        <v>1.5599999999999999E-7</v>
      </c>
      <c r="BN154" s="140">
        <f t="shared" si="46"/>
        <v>2.0800000000000001E-7</v>
      </c>
      <c r="BO154" s="140">
        <f t="shared" si="47"/>
        <v>2.6E-7</v>
      </c>
      <c r="BP154" s="157">
        <f>IF(BI154&lt;$B$105*DATA!$H$1037,DATA!$H$1037,IF(BI154&gt;DATA!$H$1036*$B$105,DATA!$H$1036,1))</f>
        <v>1.2</v>
      </c>
      <c r="BQ154" s="156">
        <f t="shared" si="48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3"/>
        <v>1.08E-7</v>
      </c>
      <c r="E155" s="140">
        <f t="shared" si="3"/>
        <v>1.6200000000000002E-7</v>
      </c>
      <c r="F155" s="140">
        <f t="shared" si="3"/>
        <v>2.1600000000000003E-7</v>
      </c>
      <c r="G155" s="140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6"/>
        <v>9.9999999999999995E-8</v>
      </c>
      <c r="K155" s="140">
        <f t="shared" si="7"/>
        <v>5.4000000000000008E-6</v>
      </c>
      <c r="L155">
        <v>0.54</v>
      </c>
      <c r="M155" s="140">
        <f t="shared" si="8"/>
        <v>5.3999999999999987E-8</v>
      </c>
      <c r="N155" s="140">
        <f t="shared" si="9"/>
        <v>1.08E-7</v>
      </c>
      <c r="O155" s="140">
        <f t="shared" si="10"/>
        <v>1.6200000000000002E-7</v>
      </c>
      <c r="P155" s="140">
        <f t="shared" si="11"/>
        <v>2.1600000000000003E-7</v>
      </c>
      <c r="Q155" s="140">
        <f t="shared" si="12"/>
        <v>2.7000000000000006E-7</v>
      </c>
      <c r="R155" s="157">
        <f>IF(K155&lt;$B$25*DATA!$H$1037,DATA!$H$1037,IF(K155&gt;DATA!$H$1036*$B$25,DATA!$H$1036,1))</f>
        <v>0.8</v>
      </c>
      <c r="S155" s="156">
        <f t="shared" si="13"/>
        <v>9.9999999999999995E-8</v>
      </c>
      <c r="U155" s="140">
        <f t="shared" si="14"/>
        <v>5.4000000000000008E-6</v>
      </c>
      <c r="V155">
        <v>0.54</v>
      </c>
      <c r="W155" s="140">
        <f t="shared" si="15"/>
        <v>5.3999999999999987E-8</v>
      </c>
      <c r="X155" s="140">
        <f t="shared" si="16"/>
        <v>1.08E-7</v>
      </c>
      <c r="Y155" s="140">
        <f t="shared" si="17"/>
        <v>1.6200000000000002E-7</v>
      </c>
      <c r="Z155" s="140">
        <f t="shared" si="18"/>
        <v>2.1600000000000003E-7</v>
      </c>
      <c r="AA155" s="140">
        <f t="shared" si="19"/>
        <v>2.7000000000000006E-7</v>
      </c>
      <c r="AB155" s="157">
        <f>IF(U155&lt;$B$41*DATA!$H$1037,DATA!$H$1037,IF(U155&gt;DATA!$H$1036*$B$41,DATA!$H$1036,1))</f>
        <v>0.8</v>
      </c>
      <c r="AC155" s="156">
        <f t="shared" si="20"/>
        <v>9.9999999999999995E-8</v>
      </c>
      <c r="AE155" s="140">
        <f t="shared" si="21"/>
        <v>5.4000000000000008E-6</v>
      </c>
      <c r="AF155">
        <v>0.54</v>
      </c>
      <c r="AG155" s="140">
        <f t="shared" si="22"/>
        <v>5.3999999999999987E-8</v>
      </c>
      <c r="AH155" s="140">
        <f t="shared" si="23"/>
        <v>1.08E-7</v>
      </c>
      <c r="AI155" s="140">
        <f t="shared" si="24"/>
        <v>1.6200000000000002E-7</v>
      </c>
      <c r="AJ155" s="140">
        <f t="shared" si="25"/>
        <v>2.1600000000000003E-7</v>
      </c>
      <c r="AK155" s="140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27"/>
        <v>9.9999999999999995E-8</v>
      </c>
      <c r="AO155" s="140">
        <f t="shared" si="28"/>
        <v>5.4000000000000008E-6</v>
      </c>
      <c r="AP155">
        <v>0.54</v>
      </c>
      <c r="AQ155" s="140">
        <f t="shared" si="29"/>
        <v>5.3999999999999987E-8</v>
      </c>
      <c r="AR155" s="140">
        <f t="shared" si="30"/>
        <v>1.08E-7</v>
      </c>
      <c r="AS155" s="140">
        <f t="shared" si="31"/>
        <v>1.6200000000000002E-7</v>
      </c>
      <c r="AT155" s="140">
        <f t="shared" si="32"/>
        <v>2.1600000000000003E-7</v>
      </c>
      <c r="AU155" s="140">
        <f t="shared" si="33"/>
        <v>2.7000000000000006E-7</v>
      </c>
      <c r="AV155" s="157">
        <f>IF(AO155&lt;$B$73*DATA!$H$1037,DATA!$H$1037,IF(AO155&gt;DATA!$H$1036*$B$73,DATA!$H$1036,1))</f>
        <v>1.2</v>
      </c>
      <c r="AW155" s="156">
        <f t="shared" si="34"/>
        <v>9.9999999999999995E-8</v>
      </c>
      <c r="AY155" s="140">
        <f t="shared" si="35"/>
        <v>5.4000000000000008E-6</v>
      </c>
      <c r="AZ155">
        <v>0.54</v>
      </c>
      <c r="BA155" s="140">
        <f t="shared" si="36"/>
        <v>5.3999999999999987E-8</v>
      </c>
      <c r="BB155" s="140">
        <f t="shared" si="37"/>
        <v>1.08E-7</v>
      </c>
      <c r="BC155" s="140">
        <f t="shared" si="38"/>
        <v>1.6200000000000002E-7</v>
      </c>
      <c r="BD155" s="140">
        <f t="shared" si="39"/>
        <v>2.1600000000000003E-7</v>
      </c>
      <c r="BE155" s="140">
        <f t="shared" si="40"/>
        <v>2.7000000000000006E-7</v>
      </c>
      <c r="BF155" s="157">
        <f>IF(AY155&lt;$B$89*DATA!$H$1037,DATA!$H$1037,IF(AY155&gt;DATA!$H$1036*$B$89,DATA!$H$1036,1))</f>
        <v>1.2</v>
      </c>
      <c r="BG155" s="156">
        <f t="shared" si="41"/>
        <v>9.9999999999999995E-8</v>
      </c>
      <c r="BI155" s="140">
        <f t="shared" si="42"/>
        <v>5.4000000000000008E-6</v>
      </c>
      <c r="BJ155">
        <v>0.54</v>
      </c>
      <c r="BK155" s="140">
        <f t="shared" si="43"/>
        <v>5.3999999999999987E-8</v>
      </c>
      <c r="BL155" s="140">
        <f t="shared" si="44"/>
        <v>1.08E-7</v>
      </c>
      <c r="BM155" s="140">
        <f t="shared" si="45"/>
        <v>1.6200000000000002E-7</v>
      </c>
      <c r="BN155" s="140">
        <f t="shared" si="46"/>
        <v>2.1600000000000003E-7</v>
      </c>
      <c r="BO155" s="140">
        <f t="shared" si="47"/>
        <v>2.7000000000000006E-7</v>
      </c>
      <c r="BP155" s="157">
        <f>IF(BI155&lt;$B$105*DATA!$H$1037,DATA!$H$1037,IF(BI155&gt;DATA!$H$1036*$B$105,DATA!$H$1036,1))</f>
        <v>1.2</v>
      </c>
      <c r="BQ155" s="156">
        <f t="shared" si="48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3"/>
        <v>1.12E-7</v>
      </c>
      <c r="E156" s="140">
        <f t="shared" si="3"/>
        <v>1.6800000000000002E-7</v>
      </c>
      <c r="F156" s="140">
        <f t="shared" si="3"/>
        <v>2.2400000000000002E-7</v>
      </c>
      <c r="G156" s="140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6"/>
        <v>9.9999999999999995E-8</v>
      </c>
      <c r="K156" s="140">
        <f t="shared" si="7"/>
        <v>5.6000000000000006E-6</v>
      </c>
      <c r="L156">
        <v>0.56000000000000005</v>
      </c>
      <c r="M156" s="140">
        <f t="shared" si="8"/>
        <v>5.5999999999999985E-8</v>
      </c>
      <c r="N156" s="140">
        <f t="shared" si="9"/>
        <v>1.12E-7</v>
      </c>
      <c r="O156" s="140">
        <f t="shared" si="10"/>
        <v>1.6800000000000002E-7</v>
      </c>
      <c r="P156" s="140">
        <f t="shared" si="11"/>
        <v>2.2400000000000002E-7</v>
      </c>
      <c r="Q156" s="140">
        <f t="shared" si="12"/>
        <v>2.8000000000000002E-7</v>
      </c>
      <c r="R156" s="157">
        <f>IF(K156&lt;$B$25*DATA!$H$1037,DATA!$H$1037,IF(K156&gt;DATA!$H$1036*$B$25,DATA!$H$1036,1))</f>
        <v>0.8</v>
      </c>
      <c r="S156" s="156">
        <f t="shared" si="13"/>
        <v>9.9999999999999995E-8</v>
      </c>
      <c r="U156" s="140">
        <f t="shared" si="14"/>
        <v>5.6000000000000006E-6</v>
      </c>
      <c r="V156">
        <v>0.56000000000000005</v>
      </c>
      <c r="W156" s="140">
        <f t="shared" si="15"/>
        <v>5.5999999999999985E-8</v>
      </c>
      <c r="X156" s="140">
        <f t="shared" si="16"/>
        <v>1.12E-7</v>
      </c>
      <c r="Y156" s="140">
        <f t="shared" si="17"/>
        <v>1.6800000000000002E-7</v>
      </c>
      <c r="Z156" s="140">
        <f t="shared" si="18"/>
        <v>2.2400000000000002E-7</v>
      </c>
      <c r="AA156" s="140">
        <f t="shared" si="19"/>
        <v>2.8000000000000002E-7</v>
      </c>
      <c r="AB156" s="157">
        <f>IF(U156&lt;$B$41*DATA!$H$1037,DATA!$H$1037,IF(U156&gt;DATA!$H$1036*$B$41,DATA!$H$1036,1))</f>
        <v>0.8</v>
      </c>
      <c r="AC156" s="156">
        <f t="shared" si="20"/>
        <v>9.9999999999999995E-8</v>
      </c>
      <c r="AE156" s="140">
        <f t="shared" si="21"/>
        <v>5.6000000000000006E-6</v>
      </c>
      <c r="AF156">
        <v>0.56000000000000005</v>
      </c>
      <c r="AG156" s="140">
        <f t="shared" si="22"/>
        <v>5.5999999999999985E-8</v>
      </c>
      <c r="AH156" s="140">
        <f t="shared" si="23"/>
        <v>1.12E-7</v>
      </c>
      <c r="AI156" s="140">
        <f t="shared" si="24"/>
        <v>1.6800000000000002E-7</v>
      </c>
      <c r="AJ156" s="140">
        <f t="shared" si="25"/>
        <v>2.2400000000000002E-7</v>
      </c>
      <c r="AK156" s="140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27"/>
        <v>9.9999999999999995E-8</v>
      </c>
      <c r="AO156" s="140">
        <f t="shared" si="28"/>
        <v>5.6000000000000006E-6</v>
      </c>
      <c r="AP156">
        <v>0.56000000000000005</v>
      </c>
      <c r="AQ156" s="140">
        <f t="shared" si="29"/>
        <v>5.5999999999999985E-8</v>
      </c>
      <c r="AR156" s="140">
        <f t="shared" si="30"/>
        <v>1.12E-7</v>
      </c>
      <c r="AS156" s="140">
        <f t="shared" si="31"/>
        <v>1.6800000000000002E-7</v>
      </c>
      <c r="AT156" s="140">
        <f t="shared" si="32"/>
        <v>2.2400000000000002E-7</v>
      </c>
      <c r="AU156" s="140">
        <f t="shared" si="33"/>
        <v>2.8000000000000002E-7</v>
      </c>
      <c r="AV156" s="157">
        <f>IF(AO156&lt;$B$73*DATA!$H$1037,DATA!$H$1037,IF(AO156&gt;DATA!$H$1036*$B$73,DATA!$H$1036,1))</f>
        <v>1.2</v>
      </c>
      <c r="AW156" s="156">
        <f t="shared" si="34"/>
        <v>9.9999999999999995E-8</v>
      </c>
      <c r="AY156" s="140">
        <f t="shared" si="35"/>
        <v>5.6000000000000006E-6</v>
      </c>
      <c r="AZ156">
        <v>0.56000000000000005</v>
      </c>
      <c r="BA156" s="140">
        <f t="shared" si="36"/>
        <v>5.5999999999999985E-8</v>
      </c>
      <c r="BB156" s="140">
        <f t="shared" si="37"/>
        <v>1.12E-7</v>
      </c>
      <c r="BC156" s="140">
        <f t="shared" si="38"/>
        <v>1.6800000000000002E-7</v>
      </c>
      <c r="BD156" s="140">
        <f t="shared" si="39"/>
        <v>2.2400000000000002E-7</v>
      </c>
      <c r="BE156" s="140">
        <f t="shared" si="40"/>
        <v>2.8000000000000002E-7</v>
      </c>
      <c r="BF156" s="157">
        <f>IF(AY156&lt;$B$89*DATA!$H$1037,DATA!$H$1037,IF(AY156&gt;DATA!$H$1036*$B$89,DATA!$H$1036,1))</f>
        <v>1.2</v>
      </c>
      <c r="BG156" s="156">
        <f t="shared" si="41"/>
        <v>9.9999999999999995E-8</v>
      </c>
      <c r="BI156" s="140">
        <f t="shared" si="42"/>
        <v>5.6000000000000006E-6</v>
      </c>
      <c r="BJ156">
        <v>0.56000000000000005</v>
      </c>
      <c r="BK156" s="140">
        <f t="shared" si="43"/>
        <v>5.5999999999999985E-8</v>
      </c>
      <c r="BL156" s="140">
        <f t="shared" si="44"/>
        <v>1.12E-7</v>
      </c>
      <c r="BM156" s="140">
        <f t="shared" si="45"/>
        <v>1.6800000000000002E-7</v>
      </c>
      <c r="BN156" s="140">
        <f t="shared" si="46"/>
        <v>2.2400000000000002E-7</v>
      </c>
      <c r="BO156" s="140">
        <f t="shared" si="47"/>
        <v>2.8000000000000002E-7</v>
      </c>
      <c r="BP156" s="157">
        <f>IF(BI156&lt;$B$105*DATA!$H$1037,DATA!$H$1037,IF(BI156&gt;DATA!$H$1036*$B$105,DATA!$H$1036,1))</f>
        <v>1.2</v>
      </c>
      <c r="BQ156" s="156">
        <f t="shared" si="48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3"/>
        <v>1.1599999999999999E-7</v>
      </c>
      <c r="E157" s="140">
        <f t="shared" si="3"/>
        <v>1.74E-7</v>
      </c>
      <c r="F157" s="140">
        <f t="shared" si="3"/>
        <v>2.3200000000000001E-7</v>
      </c>
      <c r="G157" s="140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6"/>
        <v>9.9999999999999995E-8</v>
      </c>
      <c r="K157" s="140">
        <f t="shared" si="7"/>
        <v>5.8000000000000004E-6</v>
      </c>
      <c r="L157">
        <v>0.57999999999999996</v>
      </c>
      <c r="M157" s="140">
        <f t="shared" si="8"/>
        <v>5.7999999999999983E-8</v>
      </c>
      <c r="N157" s="140">
        <f t="shared" si="9"/>
        <v>1.1599999999999999E-7</v>
      </c>
      <c r="O157" s="140">
        <f t="shared" si="10"/>
        <v>1.74E-7</v>
      </c>
      <c r="P157" s="140">
        <f t="shared" si="11"/>
        <v>2.3200000000000001E-7</v>
      </c>
      <c r="Q157" s="140">
        <f t="shared" si="12"/>
        <v>2.9000000000000003E-7</v>
      </c>
      <c r="R157" s="157">
        <f>IF(K157&lt;$B$25*DATA!$H$1037,DATA!$H$1037,IF(K157&gt;DATA!$H$1036*$B$25,DATA!$H$1036,1))</f>
        <v>0.8</v>
      </c>
      <c r="S157" s="156">
        <f t="shared" si="13"/>
        <v>9.9999999999999995E-8</v>
      </c>
      <c r="U157" s="140">
        <f t="shared" si="14"/>
        <v>5.8000000000000004E-6</v>
      </c>
      <c r="V157">
        <v>0.57999999999999996</v>
      </c>
      <c r="W157" s="140">
        <f t="shared" si="15"/>
        <v>5.7999999999999983E-8</v>
      </c>
      <c r="X157" s="140">
        <f t="shared" si="16"/>
        <v>1.1599999999999999E-7</v>
      </c>
      <c r="Y157" s="140">
        <f t="shared" si="17"/>
        <v>1.74E-7</v>
      </c>
      <c r="Z157" s="140">
        <f t="shared" si="18"/>
        <v>2.3200000000000001E-7</v>
      </c>
      <c r="AA157" s="140">
        <f t="shared" si="19"/>
        <v>2.9000000000000003E-7</v>
      </c>
      <c r="AB157" s="157">
        <f>IF(U157&lt;$B$41*DATA!$H$1037,DATA!$H$1037,IF(U157&gt;DATA!$H$1036*$B$41,DATA!$H$1036,1))</f>
        <v>0.8</v>
      </c>
      <c r="AC157" s="156">
        <f t="shared" si="20"/>
        <v>9.9999999999999995E-8</v>
      </c>
      <c r="AE157" s="140">
        <f t="shared" si="21"/>
        <v>5.8000000000000004E-6</v>
      </c>
      <c r="AF157">
        <v>0.57999999999999996</v>
      </c>
      <c r="AG157" s="140">
        <f t="shared" si="22"/>
        <v>5.7999999999999983E-8</v>
      </c>
      <c r="AH157" s="140">
        <f t="shared" si="23"/>
        <v>1.1599999999999999E-7</v>
      </c>
      <c r="AI157" s="140">
        <f t="shared" si="24"/>
        <v>1.74E-7</v>
      </c>
      <c r="AJ157" s="140">
        <f t="shared" si="25"/>
        <v>2.3200000000000001E-7</v>
      </c>
      <c r="AK157" s="140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27"/>
        <v>9.9999999999999995E-8</v>
      </c>
      <c r="AO157" s="140">
        <f t="shared" si="28"/>
        <v>5.8000000000000004E-6</v>
      </c>
      <c r="AP157">
        <v>0.57999999999999996</v>
      </c>
      <c r="AQ157" s="140">
        <f t="shared" si="29"/>
        <v>5.7999999999999983E-8</v>
      </c>
      <c r="AR157" s="140">
        <f t="shared" si="30"/>
        <v>1.1599999999999999E-7</v>
      </c>
      <c r="AS157" s="140">
        <f t="shared" si="31"/>
        <v>1.74E-7</v>
      </c>
      <c r="AT157" s="140">
        <f t="shared" si="32"/>
        <v>2.3200000000000001E-7</v>
      </c>
      <c r="AU157" s="140">
        <f t="shared" si="33"/>
        <v>2.9000000000000003E-7</v>
      </c>
      <c r="AV157" s="157">
        <f>IF(AO157&lt;$B$73*DATA!$H$1037,DATA!$H$1037,IF(AO157&gt;DATA!$H$1036*$B$73,DATA!$H$1036,1))</f>
        <v>1.2</v>
      </c>
      <c r="AW157" s="156">
        <f t="shared" si="34"/>
        <v>9.9999999999999995E-8</v>
      </c>
      <c r="AY157" s="140">
        <f t="shared" si="35"/>
        <v>5.8000000000000004E-6</v>
      </c>
      <c r="AZ157">
        <v>0.57999999999999996</v>
      </c>
      <c r="BA157" s="140">
        <f t="shared" si="36"/>
        <v>5.7999999999999983E-8</v>
      </c>
      <c r="BB157" s="140">
        <f t="shared" si="37"/>
        <v>1.1599999999999999E-7</v>
      </c>
      <c r="BC157" s="140">
        <f t="shared" si="38"/>
        <v>1.74E-7</v>
      </c>
      <c r="BD157" s="140">
        <f t="shared" si="39"/>
        <v>2.3200000000000001E-7</v>
      </c>
      <c r="BE157" s="140">
        <f t="shared" si="40"/>
        <v>2.9000000000000003E-7</v>
      </c>
      <c r="BF157" s="157">
        <f>IF(AY157&lt;$B$89*DATA!$H$1037,DATA!$H$1037,IF(AY157&gt;DATA!$H$1036*$B$89,DATA!$H$1036,1))</f>
        <v>1.2</v>
      </c>
      <c r="BG157" s="156">
        <f t="shared" si="41"/>
        <v>9.9999999999999995E-8</v>
      </c>
      <c r="BI157" s="140">
        <f t="shared" si="42"/>
        <v>5.8000000000000004E-6</v>
      </c>
      <c r="BJ157">
        <v>0.57999999999999996</v>
      </c>
      <c r="BK157" s="140">
        <f t="shared" si="43"/>
        <v>5.7999999999999983E-8</v>
      </c>
      <c r="BL157" s="140">
        <f t="shared" si="44"/>
        <v>1.1599999999999999E-7</v>
      </c>
      <c r="BM157" s="140">
        <f t="shared" si="45"/>
        <v>1.74E-7</v>
      </c>
      <c r="BN157" s="140">
        <f t="shared" si="46"/>
        <v>2.3200000000000001E-7</v>
      </c>
      <c r="BO157" s="140">
        <f t="shared" si="47"/>
        <v>2.9000000000000003E-7</v>
      </c>
      <c r="BP157" s="157">
        <f>IF(BI157&lt;$B$105*DATA!$H$1037,DATA!$H$1037,IF(BI157&gt;DATA!$H$1036*$B$105,DATA!$H$1036,1))</f>
        <v>1.2</v>
      </c>
      <c r="BQ157" s="156">
        <f t="shared" si="48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3"/>
        <v>1.1999999999999999E-7</v>
      </c>
      <c r="E158" s="140">
        <f t="shared" si="3"/>
        <v>1.8E-7</v>
      </c>
      <c r="F158" s="140">
        <f t="shared" si="3"/>
        <v>2.4000000000000003E-7</v>
      </c>
      <c r="G158" s="140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6"/>
        <v>9.9999999999999995E-8</v>
      </c>
      <c r="K158" s="140">
        <f t="shared" si="7"/>
        <v>6.0000000000000002E-6</v>
      </c>
      <c r="L158">
        <v>0.6</v>
      </c>
      <c r="M158" s="140">
        <f t="shared" si="8"/>
        <v>5.9999999999999981E-8</v>
      </c>
      <c r="N158" s="140">
        <f t="shared" si="9"/>
        <v>1.1999999999999999E-7</v>
      </c>
      <c r="O158" s="140">
        <f t="shared" si="10"/>
        <v>1.8E-7</v>
      </c>
      <c r="P158" s="140">
        <f t="shared" si="11"/>
        <v>2.4000000000000003E-7</v>
      </c>
      <c r="Q158" s="140">
        <f t="shared" si="12"/>
        <v>3.0000000000000004E-7</v>
      </c>
      <c r="R158" s="157">
        <f>IF(K158&lt;$B$25*DATA!$H$1037,DATA!$H$1037,IF(K158&gt;DATA!$H$1036*$B$25,DATA!$H$1036,1))</f>
        <v>0.8</v>
      </c>
      <c r="S158" s="156">
        <f t="shared" si="13"/>
        <v>9.9999999999999995E-8</v>
      </c>
      <c r="U158" s="140">
        <f t="shared" si="14"/>
        <v>6.0000000000000002E-6</v>
      </c>
      <c r="V158">
        <v>0.6</v>
      </c>
      <c r="W158" s="140">
        <f t="shared" si="15"/>
        <v>5.9999999999999981E-8</v>
      </c>
      <c r="X158" s="140">
        <f t="shared" si="16"/>
        <v>1.1999999999999999E-7</v>
      </c>
      <c r="Y158" s="140">
        <f t="shared" si="17"/>
        <v>1.8E-7</v>
      </c>
      <c r="Z158" s="140">
        <f t="shared" si="18"/>
        <v>2.4000000000000003E-7</v>
      </c>
      <c r="AA158" s="140">
        <f t="shared" si="19"/>
        <v>3.0000000000000004E-7</v>
      </c>
      <c r="AB158" s="157">
        <f>IF(U158&lt;$B$41*DATA!$H$1037,DATA!$H$1037,IF(U158&gt;DATA!$H$1036*$B$41,DATA!$H$1036,1))</f>
        <v>0.8</v>
      </c>
      <c r="AC158" s="156">
        <f t="shared" si="20"/>
        <v>9.9999999999999995E-8</v>
      </c>
      <c r="AE158" s="140">
        <f t="shared" si="21"/>
        <v>6.0000000000000002E-6</v>
      </c>
      <c r="AF158">
        <v>0.6</v>
      </c>
      <c r="AG158" s="140">
        <f t="shared" si="22"/>
        <v>5.9999999999999981E-8</v>
      </c>
      <c r="AH158" s="140">
        <f t="shared" si="23"/>
        <v>1.1999999999999999E-7</v>
      </c>
      <c r="AI158" s="140">
        <f t="shared" si="24"/>
        <v>1.8E-7</v>
      </c>
      <c r="AJ158" s="140">
        <f t="shared" si="25"/>
        <v>2.4000000000000003E-7</v>
      </c>
      <c r="AK158" s="140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27"/>
        <v>9.9999999999999995E-8</v>
      </c>
      <c r="AO158" s="140">
        <f t="shared" si="28"/>
        <v>6.0000000000000002E-6</v>
      </c>
      <c r="AP158">
        <v>0.6</v>
      </c>
      <c r="AQ158" s="140">
        <f t="shared" si="29"/>
        <v>5.9999999999999981E-8</v>
      </c>
      <c r="AR158" s="140">
        <f t="shared" si="30"/>
        <v>1.1999999999999999E-7</v>
      </c>
      <c r="AS158" s="140">
        <f t="shared" si="31"/>
        <v>1.8E-7</v>
      </c>
      <c r="AT158" s="140">
        <f t="shared" si="32"/>
        <v>2.4000000000000003E-7</v>
      </c>
      <c r="AU158" s="140">
        <f t="shared" si="33"/>
        <v>3.0000000000000004E-7</v>
      </c>
      <c r="AV158" s="157">
        <f>IF(AO158&lt;$B$73*DATA!$H$1037,DATA!$H$1037,IF(AO158&gt;DATA!$H$1036*$B$73,DATA!$H$1036,1))</f>
        <v>1.2</v>
      </c>
      <c r="AW158" s="156">
        <f t="shared" si="34"/>
        <v>9.9999999999999995E-8</v>
      </c>
      <c r="AY158" s="140">
        <f t="shared" si="35"/>
        <v>6.0000000000000002E-6</v>
      </c>
      <c r="AZ158">
        <v>0.6</v>
      </c>
      <c r="BA158" s="140">
        <f t="shared" si="36"/>
        <v>5.9999999999999981E-8</v>
      </c>
      <c r="BB158" s="140">
        <f t="shared" si="37"/>
        <v>1.1999999999999999E-7</v>
      </c>
      <c r="BC158" s="140">
        <f t="shared" si="38"/>
        <v>1.8E-7</v>
      </c>
      <c r="BD158" s="140">
        <f t="shared" si="39"/>
        <v>2.4000000000000003E-7</v>
      </c>
      <c r="BE158" s="140">
        <f t="shared" si="40"/>
        <v>3.0000000000000004E-7</v>
      </c>
      <c r="BF158" s="157">
        <f>IF(AY158&lt;$B$89*DATA!$H$1037,DATA!$H$1037,IF(AY158&gt;DATA!$H$1036*$B$89,DATA!$H$1036,1))</f>
        <v>1.2</v>
      </c>
      <c r="BG158" s="156">
        <f t="shared" si="41"/>
        <v>9.9999999999999995E-8</v>
      </c>
      <c r="BI158" s="140">
        <f t="shared" si="42"/>
        <v>6.0000000000000002E-6</v>
      </c>
      <c r="BJ158">
        <v>0.6</v>
      </c>
      <c r="BK158" s="140">
        <f t="shared" si="43"/>
        <v>5.9999999999999981E-8</v>
      </c>
      <c r="BL158" s="140">
        <f t="shared" si="44"/>
        <v>1.1999999999999999E-7</v>
      </c>
      <c r="BM158" s="140">
        <f t="shared" si="45"/>
        <v>1.8E-7</v>
      </c>
      <c r="BN158" s="140">
        <f t="shared" si="46"/>
        <v>2.4000000000000003E-7</v>
      </c>
      <c r="BO158" s="140">
        <f t="shared" si="47"/>
        <v>3.0000000000000004E-7</v>
      </c>
      <c r="BP158" s="157">
        <f>IF(BI158&lt;$B$105*DATA!$H$1037,DATA!$H$1037,IF(BI158&gt;DATA!$H$1036*$B$105,DATA!$H$1036,1))</f>
        <v>1.2</v>
      </c>
      <c r="BQ158" s="156">
        <f t="shared" si="48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si="5"/>
        <v>6.1999999999999986E-8</v>
      </c>
      <c r="D159" s="140">
        <f t="shared" si="5"/>
        <v>1.24E-7</v>
      </c>
      <c r="E159" s="140">
        <f t="shared" si="5"/>
        <v>1.8600000000000002E-7</v>
      </c>
      <c r="F159" s="140">
        <f t="shared" si="5"/>
        <v>2.4800000000000005E-7</v>
      </c>
      <c r="G159" s="140">
        <f t="shared" si="5"/>
        <v>3.1000000000000005E-7</v>
      </c>
      <c r="H159" s="157">
        <f>IF(A159&lt;$B$9*DATA!$H$1037,DATA!$H$1037,IF(A159&gt;DATA!$H$1036*$B$9,DATA!$H$1036,1))</f>
        <v>0.8</v>
      </c>
      <c r="I159" s="156">
        <f t="shared" si="6"/>
        <v>9.9999999999999995E-8</v>
      </c>
      <c r="K159" s="140">
        <f t="shared" si="7"/>
        <v>6.2000000000000008E-6</v>
      </c>
      <c r="L159">
        <v>0.62</v>
      </c>
      <c r="M159" s="140">
        <f t="shared" si="8"/>
        <v>6.1999999999999986E-8</v>
      </c>
      <c r="N159" s="140">
        <f t="shared" si="9"/>
        <v>1.24E-7</v>
      </c>
      <c r="O159" s="140">
        <f t="shared" si="10"/>
        <v>1.8600000000000002E-7</v>
      </c>
      <c r="P159" s="140">
        <f t="shared" si="11"/>
        <v>2.4800000000000005E-7</v>
      </c>
      <c r="Q159" s="140">
        <f t="shared" si="12"/>
        <v>3.1000000000000005E-7</v>
      </c>
      <c r="R159" s="157">
        <f>IF(K159&lt;$B$25*DATA!$H$1037,DATA!$H$1037,IF(K159&gt;DATA!$H$1036*$B$25,DATA!$H$1036,1))</f>
        <v>0.8</v>
      </c>
      <c r="S159" s="156">
        <f t="shared" si="13"/>
        <v>9.9999999999999995E-8</v>
      </c>
      <c r="U159" s="140">
        <f t="shared" si="14"/>
        <v>6.2000000000000008E-6</v>
      </c>
      <c r="V159">
        <v>0.62</v>
      </c>
      <c r="W159" s="140">
        <f t="shared" si="15"/>
        <v>6.1999999999999986E-8</v>
      </c>
      <c r="X159" s="140">
        <f t="shared" si="16"/>
        <v>1.24E-7</v>
      </c>
      <c r="Y159" s="140">
        <f t="shared" si="17"/>
        <v>1.8600000000000002E-7</v>
      </c>
      <c r="Z159" s="140">
        <f t="shared" si="18"/>
        <v>2.4800000000000005E-7</v>
      </c>
      <c r="AA159" s="140">
        <f t="shared" si="19"/>
        <v>3.1000000000000005E-7</v>
      </c>
      <c r="AB159" s="157">
        <f>IF(U159&lt;$B$41*DATA!$H$1037,DATA!$H$1037,IF(U159&gt;DATA!$H$1036*$B$41,DATA!$H$1036,1))</f>
        <v>0.8</v>
      </c>
      <c r="AC159" s="156">
        <f t="shared" si="20"/>
        <v>9.9999999999999995E-8</v>
      </c>
      <c r="AE159" s="140">
        <f t="shared" si="21"/>
        <v>6.2000000000000008E-6</v>
      </c>
      <c r="AF159">
        <v>0.62</v>
      </c>
      <c r="AG159" s="140">
        <f t="shared" si="22"/>
        <v>6.1999999999999986E-8</v>
      </c>
      <c r="AH159" s="140">
        <f t="shared" si="23"/>
        <v>1.24E-7</v>
      </c>
      <c r="AI159" s="140">
        <f t="shared" si="24"/>
        <v>1.8600000000000002E-7</v>
      </c>
      <c r="AJ159" s="140">
        <f t="shared" si="25"/>
        <v>2.4800000000000005E-7</v>
      </c>
      <c r="AK159" s="140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27"/>
        <v>9.9999999999999995E-8</v>
      </c>
      <c r="AO159" s="140">
        <f t="shared" si="28"/>
        <v>6.2000000000000008E-6</v>
      </c>
      <c r="AP159">
        <v>0.62</v>
      </c>
      <c r="AQ159" s="140">
        <f t="shared" si="29"/>
        <v>6.1999999999999986E-8</v>
      </c>
      <c r="AR159" s="140">
        <f t="shared" si="30"/>
        <v>1.24E-7</v>
      </c>
      <c r="AS159" s="140">
        <f t="shared" si="31"/>
        <v>1.8600000000000002E-7</v>
      </c>
      <c r="AT159" s="140">
        <f t="shared" si="32"/>
        <v>2.4800000000000005E-7</v>
      </c>
      <c r="AU159" s="140">
        <f t="shared" si="33"/>
        <v>3.1000000000000005E-7</v>
      </c>
      <c r="AV159" s="157">
        <f>IF(AO159&lt;$B$73*DATA!$H$1037,DATA!$H$1037,IF(AO159&gt;DATA!$H$1036*$B$73,DATA!$H$1036,1))</f>
        <v>1.2</v>
      </c>
      <c r="AW159" s="156">
        <f t="shared" si="34"/>
        <v>9.9999999999999995E-8</v>
      </c>
      <c r="AY159" s="140">
        <f t="shared" si="35"/>
        <v>6.2000000000000008E-6</v>
      </c>
      <c r="AZ159">
        <v>0.62</v>
      </c>
      <c r="BA159" s="140">
        <f t="shared" si="36"/>
        <v>6.1999999999999986E-8</v>
      </c>
      <c r="BB159" s="140">
        <f t="shared" si="37"/>
        <v>1.24E-7</v>
      </c>
      <c r="BC159" s="140">
        <f t="shared" si="38"/>
        <v>1.8600000000000002E-7</v>
      </c>
      <c r="BD159" s="140">
        <f t="shared" si="39"/>
        <v>2.4800000000000005E-7</v>
      </c>
      <c r="BE159" s="140">
        <f t="shared" si="40"/>
        <v>3.1000000000000005E-7</v>
      </c>
      <c r="BF159" s="157">
        <f>IF(AY159&lt;$B$89*DATA!$H$1037,DATA!$H$1037,IF(AY159&gt;DATA!$H$1036*$B$89,DATA!$H$1036,1))</f>
        <v>1.2</v>
      </c>
      <c r="BG159" s="156">
        <f t="shared" si="41"/>
        <v>9.9999999999999995E-8</v>
      </c>
      <c r="BI159" s="140">
        <f t="shared" si="42"/>
        <v>6.2000000000000008E-6</v>
      </c>
      <c r="BJ159">
        <v>0.62</v>
      </c>
      <c r="BK159" s="140">
        <f t="shared" si="43"/>
        <v>6.1999999999999986E-8</v>
      </c>
      <c r="BL159" s="140">
        <f t="shared" si="44"/>
        <v>1.24E-7</v>
      </c>
      <c r="BM159" s="140">
        <f t="shared" si="45"/>
        <v>1.8600000000000002E-7</v>
      </c>
      <c r="BN159" s="140">
        <f t="shared" si="46"/>
        <v>2.4800000000000005E-7</v>
      </c>
      <c r="BO159" s="140">
        <f t="shared" si="47"/>
        <v>3.1000000000000005E-7</v>
      </c>
      <c r="BP159" s="157">
        <f>IF(BI159&lt;$B$105*DATA!$H$1037,DATA!$H$1037,IF(BI159&gt;DATA!$H$1036*$B$105,DATA!$H$1036,1))</f>
        <v>1.2</v>
      </c>
      <c r="BQ159" s="156">
        <f t="shared" si="48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"/>
        <v>6.3999999999999991E-8</v>
      </c>
      <c r="D160" s="140">
        <f t="shared" si="5"/>
        <v>1.2799999999999998E-7</v>
      </c>
      <c r="E160" s="140">
        <f t="shared" si="5"/>
        <v>1.92E-7</v>
      </c>
      <c r="F160" s="140">
        <f t="shared" si="5"/>
        <v>2.5600000000000002E-7</v>
      </c>
      <c r="G160" s="140">
        <f t="shared" si="5"/>
        <v>3.2000000000000006E-7</v>
      </c>
      <c r="H160" s="157">
        <f>IF(A160&lt;$B$9*DATA!$H$1037,DATA!$H$1037,IF(A160&gt;DATA!$H$1036*$B$9,DATA!$H$1036,1))</f>
        <v>0.8</v>
      </c>
      <c r="I160" s="156">
        <f t="shared" si="6"/>
        <v>9.9999999999999995E-8</v>
      </c>
      <c r="K160" s="140">
        <f t="shared" si="7"/>
        <v>6.4000000000000006E-6</v>
      </c>
      <c r="L160">
        <v>0.64</v>
      </c>
      <c r="M160" s="140">
        <f t="shared" si="8"/>
        <v>6.3999999999999991E-8</v>
      </c>
      <c r="N160" s="140">
        <f t="shared" si="9"/>
        <v>1.2799999999999998E-7</v>
      </c>
      <c r="O160" s="140">
        <f t="shared" si="10"/>
        <v>1.92E-7</v>
      </c>
      <c r="P160" s="140">
        <f t="shared" si="11"/>
        <v>2.5600000000000002E-7</v>
      </c>
      <c r="Q160" s="140">
        <f t="shared" si="12"/>
        <v>3.2000000000000006E-7</v>
      </c>
      <c r="R160" s="157">
        <f>IF(K160&lt;$B$25*DATA!$H$1037,DATA!$H$1037,IF(K160&gt;DATA!$H$1036*$B$25,DATA!$H$1036,1))</f>
        <v>0.8</v>
      </c>
      <c r="S160" s="156">
        <f t="shared" si="13"/>
        <v>9.9999999999999995E-8</v>
      </c>
      <c r="U160" s="140">
        <f t="shared" si="14"/>
        <v>6.4000000000000006E-6</v>
      </c>
      <c r="V160">
        <v>0.64</v>
      </c>
      <c r="W160" s="140">
        <f t="shared" si="15"/>
        <v>6.3999999999999991E-8</v>
      </c>
      <c r="X160" s="140">
        <f t="shared" si="16"/>
        <v>1.2799999999999998E-7</v>
      </c>
      <c r="Y160" s="140">
        <f t="shared" si="17"/>
        <v>1.92E-7</v>
      </c>
      <c r="Z160" s="140">
        <f t="shared" si="18"/>
        <v>2.5600000000000002E-7</v>
      </c>
      <c r="AA160" s="140">
        <f t="shared" si="19"/>
        <v>3.2000000000000006E-7</v>
      </c>
      <c r="AB160" s="157">
        <f>IF(U160&lt;$B$41*DATA!$H$1037,DATA!$H$1037,IF(U160&gt;DATA!$H$1036*$B$41,DATA!$H$1036,1))</f>
        <v>0.8</v>
      </c>
      <c r="AC160" s="156">
        <f t="shared" si="20"/>
        <v>9.9999999999999995E-8</v>
      </c>
      <c r="AE160" s="140">
        <f t="shared" si="21"/>
        <v>6.4000000000000006E-6</v>
      </c>
      <c r="AF160">
        <v>0.64</v>
      </c>
      <c r="AG160" s="140">
        <f t="shared" si="22"/>
        <v>6.3999999999999991E-8</v>
      </c>
      <c r="AH160" s="140">
        <f t="shared" si="23"/>
        <v>1.2799999999999998E-7</v>
      </c>
      <c r="AI160" s="140">
        <f t="shared" si="24"/>
        <v>1.92E-7</v>
      </c>
      <c r="AJ160" s="140">
        <f t="shared" si="25"/>
        <v>2.5600000000000002E-7</v>
      </c>
      <c r="AK160" s="140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27"/>
        <v>9.9999999999999995E-8</v>
      </c>
      <c r="AO160" s="140">
        <f t="shared" si="28"/>
        <v>6.4000000000000006E-6</v>
      </c>
      <c r="AP160">
        <v>0.64</v>
      </c>
      <c r="AQ160" s="140">
        <f t="shared" si="29"/>
        <v>6.3999999999999991E-8</v>
      </c>
      <c r="AR160" s="140">
        <f t="shared" si="30"/>
        <v>1.2799999999999998E-7</v>
      </c>
      <c r="AS160" s="140">
        <f t="shared" si="31"/>
        <v>1.92E-7</v>
      </c>
      <c r="AT160" s="140">
        <f t="shared" si="32"/>
        <v>2.5600000000000002E-7</v>
      </c>
      <c r="AU160" s="140">
        <f t="shared" si="33"/>
        <v>3.2000000000000006E-7</v>
      </c>
      <c r="AV160" s="157">
        <f>IF(AO160&lt;$B$73*DATA!$H$1037,DATA!$H$1037,IF(AO160&gt;DATA!$H$1036*$B$73,DATA!$H$1036,1))</f>
        <v>1.2</v>
      </c>
      <c r="AW160" s="156">
        <f t="shared" si="34"/>
        <v>9.9999999999999995E-8</v>
      </c>
      <c r="AY160" s="140">
        <f t="shared" si="35"/>
        <v>6.4000000000000006E-6</v>
      </c>
      <c r="AZ160">
        <v>0.64</v>
      </c>
      <c r="BA160" s="140">
        <f t="shared" si="36"/>
        <v>6.3999999999999991E-8</v>
      </c>
      <c r="BB160" s="140">
        <f t="shared" si="37"/>
        <v>1.2799999999999998E-7</v>
      </c>
      <c r="BC160" s="140">
        <f t="shared" si="38"/>
        <v>1.92E-7</v>
      </c>
      <c r="BD160" s="140">
        <f t="shared" si="39"/>
        <v>2.5600000000000002E-7</v>
      </c>
      <c r="BE160" s="140">
        <f t="shared" si="40"/>
        <v>3.2000000000000006E-7</v>
      </c>
      <c r="BF160" s="157">
        <f>IF(AY160&lt;$B$89*DATA!$H$1037,DATA!$H$1037,IF(AY160&gt;DATA!$H$1036*$B$89,DATA!$H$1036,1))</f>
        <v>1.2</v>
      </c>
      <c r="BG160" s="156">
        <f t="shared" si="41"/>
        <v>9.9999999999999995E-8</v>
      </c>
      <c r="BI160" s="140">
        <f t="shared" si="42"/>
        <v>6.4000000000000006E-6</v>
      </c>
      <c r="BJ160">
        <v>0.64</v>
      </c>
      <c r="BK160" s="140">
        <f t="shared" si="43"/>
        <v>6.3999999999999991E-8</v>
      </c>
      <c r="BL160" s="140">
        <f t="shared" si="44"/>
        <v>1.2799999999999998E-7</v>
      </c>
      <c r="BM160" s="140">
        <f t="shared" si="45"/>
        <v>1.92E-7</v>
      </c>
      <c r="BN160" s="140">
        <f t="shared" si="46"/>
        <v>2.5600000000000002E-7</v>
      </c>
      <c r="BO160" s="140">
        <f t="shared" si="47"/>
        <v>3.2000000000000006E-7</v>
      </c>
      <c r="BP160" s="157">
        <f>IF(BI160&lt;$B$105*DATA!$H$1037,DATA!$H$1037,IF(BI160&gt;DATA!$H$1036*$B$105,DATA!$H$1036,1))</f>
        <v>1.2</v>
      </c>
      <c r="BQ160" s="156">
        <f t="shared" si="48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"/>
        <v>6.5999999999999995E-8</v>
      </c>
      <c r="D161" s="140">
        <f t="shared" si="5"/>
        <v>1.3199999999999999E-7</v>
      </c>
      <c r="E161" s="140">
        <f t="shared" si="5"/>
        <v>1.9800000000000003E-7</v>
      </c>
      <c r="F161" s="140">
        <f t="shared" si="5"/>
        <v>2.6400000000000003E-7</v>
      </c>
      <c r="G161" s="140">
        <f t="shared" si="5"/>
        <v>3.3000000000000007E-7</v>
      </c>
      <c r="H161" s="157">
        <f>IF(A161&lt;$B$9*DATA!$H$1037,DATA!$H$1037,IF(A161&gt;DATA!$H$1036*$B$9,DATA!$H$1036,1))</f>
        <v>0.8</v>
      </c>
      <c r="I161" s="156">
        <f t="shared" si="6"/>
        <v>9.9999999999999995E-8</v>
      </c>
      <c r="K161" s="140">
        <f t="shared" si="7"/>
        <v>6.6000000000000012E-6</v>
      </c>
      <c r="L161">
        <v>0.66</v>
      </c>
      <c r="M161" s="140">
        <f t="shared" si="8"/>
        <v>6.5999999999999995E-8</v>
      </c>
      <c r="N161" s="140">
        <f t="shared" si="9"/>
        <v>1.3199999999999999E-7</v>
      </c>
      <c r="O161" s="140">
        <f t="shared" si="10"/>
        <v>1.9800000000000003E-7</v>
      </c>
      <c r="P161" s="140">
        <f t="shared" si="11"/>
        <v>2.6400000000000003E-7</v>
      </c>
      <c r="Q161" s="140">
        <f t="shared" si="12"/>
        <v>3.3000000000000007E-7</v>
      </c>
      <c r="R161" s="157">
        <f>IF(K161&lt;$B$25*DATA!$H$1037,DATA!$H$1037,IF(K161&gt;DATA!$H$1036*$B$25,DATA!$H$1036,1))</f>
        <v>0.8</v>
      </c>
      <c r="S161" s="156">
        <f t="shared" si="13"/>
        <v>9.9999999999999995E-8</v>
      </c>
      <c r="U161" s="140">
        <f t="shared" si="14"/>
        <v>6.6000000000000012E-6</v>
      </c>
      <c r="V161">
        <v>0.66</v>
      </c>
      <c r="W161" s="140">
        <f t="shared" si="15"/>
        <v>6.5999999999999995E-8</v>
      </c>
      <c r="X161" s="140">
        <f t="shared" si="16"/>
        <v>1.3199999999999999E-7</v>
      </c>
      <c r="Y161" s="140">
        <f t="shared" si="17"/>
        <v>1.9800000000000003E-7</v>
      </c>
      <c r="Z161" s="140">
        <f t="shared" si="18"/>
        <v>2.6400000000000003E-7</v>
      </c>
      <c r="AA161" s="140">
        <f t="shared" si="19"/>
        <v>3.3000000000000007E-7</v>
      </c>
      <c r="AB161" s="157">
        <f>IF(U161&lt;$B$41*DATA!$H$1037,DATA!$H$1037,IF(U161&gt;DATA!$H$1036*$B$41,DATA!$H$1036,1))</f>
        <v>0.8</v>
      </c>
      <c r="AC161" s="156">
        <f t="shared" si="20"/>
        <v>9.9999999999999995E-8</v>
      </c>
      <c r="AE161" s="140">
        <f t="shared" si="21"/>
        <v>6.6000000000000012E-6</v>
      </c>
      <c r="AF161">
        <v>0.66</v>
      </c>
      <c r="AG161" s="140">
        <f t="shared" si="22"/>
        <v>6.5999999999999995E-8</v>
      </c>
      <c r="AH161" s="140">
        <f t="shared" si="23"/>
        <v>1.3199999999999999E-7</v>
      </c>
      <c r="AI161" s="140">
        <f t="shared" si="24"/>
        <v>1.9800000000000003E-7</v>
      </c>
      <c r="AJ161" s="140">
        <f t="shared" si="25"/>
        <v>2.6400000000000003E-7</v>
      </c>
      <c r="AK161" s="140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27"/>
        <v>9.9999999999999995E-8</v>
      </c>
      <c r="AO161" s="140">
        <f t="shared" si="28"/>
        <v>6.6000000000000012E-6</v>
      </c>
      <c r="AP161">
        <v>0.66</v>
      </c>
      <c r="AQ161" s="140">
        <f t="shared" si="29"/>
        <v>6.5999999999999995E-8</v>
      </c>
      <c r="AR161" s="140">
        <f t="shared" si="30"/>
        <v>1.3199999999999999E-7</v>
      </c>
      <c r="AS161" s="140">
        <f t="shared" si="31"/>
        <v>1.9800000000000003E-7</v>
      </c>
      <c r="AT161" s="140">
        <f t="shared" si="32"/>
        <v>2.6400000000000003E-7</v>
      </c>
      <c r="AU161" s="140">
        <f t="shared" si="33"/>
        <v>3.3000000000000007E-7</v>
      </c>
      <c r="AV161" s="157">
        <f>IF(AO161&lt;$B$73*DATA!$H$1037,DATA!$H$1037,IF(AO161&gt;DATA!$H$1036*$B$73,DATA!$H$1036,1))</f>
        <v>1.2</v>
      </c>
      <c r="AW161" s="156">
        <f t="shared" si="34"/>
        <v>9.9999999999999995E-8</v>
      </c>
      <c r="AY161" s="140">
        <f t="shared" si="35"/>
        <v>6.6000000000000012E-6</v>
      </c>
      <c r="AZ161">
        <v>0.66</v>
      </c>
      <c r="BA161" s="140">
        <f t="shared" si="36"/>
        <v>6.5999999999999995E-8</v>
      </c>
      <c r="BB161" s="140">
        <f t="shared" si="37"/>
        <v>1.3199999999999999E-7</v>
      </c>
      <c r="BC161" s="140">
        <f t="shared" si="38"/>
        <v>1.9800000000000003E-7</v>
      </c>
      <c r="BD161" s="140">
        <f t="shared" si="39"/>
        <v>2.6400000000000003E-7</v>
      </c>
      <c r="BE161" s="140">
        <f t="shared" si="40"/>
        <v>3.3000000000000007E-7</v>
      </c>
      <c r="BF161" s="157">
        <f>IF(AY161&lt;$B$89*DATA!$H$1037,DATA!$H$1037,IF(AY161&gt;DATA!$H$1036*$B$89,DATA!$H$1036,1))</f>
        <v>1.2</v>
      </c>
      <c r="BG161" s="156">
        <f t="shared" si="41"/>
        <v>9.9999999999999995E-8</v>
      </c>
      <c r="BI161" s="140">
        <f t="shared" si="42"/>
        <v>6.6000000000000012E-6</v>
      </c>
      <c r="BJ161">
        <v>0.66</v>
      </c>
      <c r="BK161" s="140">
        <f t="shared" si="43"/>
        <v>6.5999999999999995E-8</v>
      </c>
      <c r="BL161" s="140">
        <f t="shared" si="44"/>
        <v>1.3199999999999999E-7</v>
      </c>
      <c r="BM161" s="140">
        <f t="shared" si="45"/>
        <v>1.9800000000000003E-7</v>
      </c>
      <c r="BN161" s="140">
        <f t="shared" si="46"/>
        <v>2.6400000000000003E-7</v>
      </c>
      <c r="BO161" s="140">
        <f t="shared" si="47"/>
        <v>3.3000000000000007E-7</v>
      </c>
      <c r="BP161" s="157">
        <f>IF(BI161&lt;$B$105*DATA!$H$1037,DATA!$H$1037,IF(BI161&gt;DATA!$H$1036*$B$105,DATA!$H$1036,1))</f>
        <v>1.2</v>
      </c>
      <c r="BQ161" s="156">
        <f t="shared" si="48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"/>
        <v>6.7999999999999987E-8</v>
      </c>
      <c r="D162" s="140">
        <f t="shared" si="5"/>
        <v>1.36E-7</v>
      </c>
      <c r="E162" s="140">
        <f t="shared" si="5"/>
        <v>2.0400000000000003E-7</v>
      </c>
      <c r="F162" s="140">
        <f t="shared" si="5"/>
        <v>2.7200000000000005E-7</v>
      </c>
      <c r="G162" s="140">
        <f t="shared" si="5"/>
        <v>3.4000000000000008E-7</v>
      </c>
      <c r="H162" s="157">
        <f>IF(A162&lt;$B$9*DATA!$H$1037,DATA!$H$1037,IF(A162&gt;DATA!$H$1036*$B$9,DATA!$H$1036,1))</f>
        <v>0.8</v>
      </c>
      <c r="I162" s="156">
        <f t="shared" si="6"/>
        <v>9.9999999999999995E-8</v>
      </c>
      <c r="K162" s="140">
        <f t="shared" si="7"/>
        <v>6.800000000000001E-6</v>
      </c>
      <c r="L162">
        <v>0.68</v>
      </c>
      <c r="M162" s="140">
        <f t="shared" si="8"/>
        <v>6.7999999999999987E-8</v>
      </c>
      <c r="N162" s="140">
        <f t="shared" si="9"/>
        <v>1.36E-7</v>
      </c>
      <c r="O162" s="140">
        <f t="shared" si="10"/>
        <v>2.0400000000000003E-7</v>
      </c>
      <c r="P162" s="140">
        <f t="shared" si="11"/>
        <v>2.7200000000000005E-7</v>
      </c>
      <c r="Q162" s="140">
        <f t="shared" si="12"/>
        <v>3.4000000000000008E-7</v>
      </c>
      <c r="R162" s="157">
        <f>IF(K162&lt;$B$25*DATA!$H$1037,DATA!$H$1037,IF(K162&gt;DATA!$H$1036*$B$25,DATA!$H$1036,1))</f>
        <v>0.8</v>
      </c>
      <c r="S162" s="156">
        <f t="shared" si="13"/>
        <v>9.9999999999999995E-8</v>
      </c>
      <c r="U162" s="140">
        <f t="shared" si="14"/>
        <v>6.800000000000001E-6</v>
      </c>
      <c r="V162">
        <v>0.68</v>
      </c>
      <c r="W162" s="140">
        <f t="shared" si="15"/>
        <v>6.7999999999999987E-8</v>
      </c>
      <c r="X162" s="140">
        <f t="shared" si="16"/>
        <v>1.36E-7</v>
      </c>
      <c r="Y162" s="140">
        <f t="shared" si="17"/>
        <v>2.0400000000000003E-7</v>
      </c>
      <c r="Z162" s="140">
        <f t="shared" si="18"/>
        <v>2.7200000000000005E-7</v>
      </c>
      <c r="AA162" s="140">
        <f t="shared" si="19"/>
        <v>3.4000000000000008E-7</v>
      </c>
      <c r="AB162" s="157">
        <f>IF(U162&lt;$B$41*DATA!$H$1037,DATA!$H$1037,IF(U162&gt;DATA!$H$1036*$B$41,DATA!$H$1036,1))</f>
        <v>0.8</v>
      </c>
      <c r="AC162" s="156">
        <f t="shared" si="20"/>
        <v>9.9999999999999995E-8</v>
      </c>
      <c r="AE162" s="140">
        <f t="shared" si="21"/>
        <v>6.800000000000001E-6</v>
      </c>
      <c r="AF162">
        <v>0.68</v>
      </c>
      <c r="AG162" s="140">
        <f t="shared" si="22"/>
        <v>6.7999999999999987E-8</v>
      </c>
      <c r="AH162" s="140">
        <f t="shared" si="23"/>
        <v>1.36E-7</v>
      </c>
      <c r="AI162" s="140">
        <f t="shared" si="24"/>
        <v>2.0400000000000003E-7</v>
      </c>
      <c r="AJ162" s="140">
        <f t="shared" si="25"/>
        <v>2.7200000000000005E-7</v>
      </c>
      <c r="AK162" s="140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27"/>
        <v>9.9999999999999995E-8</v>
      </c>
      <c r="AO162" s="140">
        <f t="shared" si="28"/>
        <v>6.800000000000001E-6</v>
      </c>
      <c r="AP162">
        <v>0.68</v>
      </c>
      <c r="AQ162" s="140">
        <f t="shared" si="29"/>
        <v>6.7999999999999987E-8</v>
      </c>
      <c r="AR162" s="140">
        <f t="shared" si="30"/>
        <v>1.36E-7</v>
      </c>
      <c r="AS162" s="140">
        <f t="shared" si="31"/>
        <v>2.0400000000000003E-7</v>
      </c>
      <c r="AT162" s="140">
        <f t="shared" si="32"/>
        <v>2.7200000000000005E-7</v>
      </c>
      <c r="AU162" s="140">
        <f t="shared" si="33"/>
        <v>3.4000000000000008E-7</v>
      </c>
      <c r="AV162" s="157">
        <f>IF(AO162&lt;$B$73*DATA!$H$1037,DATA!$H$1037,IF(AO162&gt;DATA!$H$1036*$B$73,DATA!$H$1036,1))</f>
        <v>1.2</v>
      </c>
      <c r="AW162" s="156">
        <f t="shared" si="34"/>
        <v>9.9999999999999995E-8</v>
      </c>
      <c r="AY162" s="140">
        <f t="shared" si="35"/>
        <v>6.800000000000001E-6</v>
      </c>
      <c r="AZ162">
        <v>0.68</v>
      </c>
      <c r="BA162" s="140">
        <f t="shared" si="36"/>
        <v>6.7999999999999987E-8</v>
      </c>
      <c r="BB162" s="140">
        <f t="shared" si="37"/>
        <v>1.36E-7</v>
      </c>
      <c r="BC162" s="140">
        <f t="shared" si="38"/>
        <v>2.0400000000000003E-7</v>
      </c>
      <c r="BD162" s="140">
        <f t="shared" si="39"/>
        <v>2.7200000000000005E-7</v>
      </c>
      <c r="BE162" s="140">
        <f t="shared" si="40"/>
        <v>3.4000000000000008E-7</v>
      </c>
      <c r="BF162" s="157">
        <f>IF(AY162&lt;$B$89*DATA!$H$1037,DATA!$H$1037,IF(AY162&gt;DATA!$H$1036*$B$89,DATA!$H$1036,1))</f>
        <v>1.2</v>
      </c>
      <c r="BG162" s="156">
        <f t="shared" si="41"/>
        <v>9.9999999999999995E-8</v>
      </c>
      <c r="BI162" s="140">
        <f t="shared" si="42"/>
        <v>6.800000000000001E-6</v>
      </c>
      <c r="BJ162">
        <v>0.68</v>
      </c>
      <c r="BK162" s="140">
        <f t="shared" si="43"/>
        <v>6.7999999999999987E-8</v>
      </c>
      <c r="BL162" s="140">
        <f t="shared" si="44"/>
        <v>1.36E-7</v>
      </c>
      <c r="BM162" s="140">
        <f t="shared" si="45"/>
        <v>2.0400000000000003E-7</v>
      </c>
      <c r="BN162" s="140">
        <f t="shared" si="46"/>
        <v>2.7200000000000005E-7</v>
      </c>
      <c r="BO162" s="140">
        <f t="shared" si="47"/>
        <v>3.4000000000000008E-7</v>
      </c>
      <c r="BP162" s="157">
        <f>IF(BI162&lt;$B$105*DATA!$H$1037,DATA!$H$1037,IF(BI162&gt;DATA!$H$1036*$B$105,DATA!$H$1036,1))</f>
        <v>1.2</v>
      </c>
      <c r="BQ162" s="156">
        <f t="shared" si="48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"/>
        <v>6.9999999999999978E-8</v>
      </c>
      <c r="D163" s="140">
        <f t="shared" si="5"/>
        <v>1.3999999999999998E-7</v>
      </c>
      <c r="E163" s="140">
        <f t="shared" si="5"/>
        <v>2.1E-7</v>
      </c>
      <c r="F163" s="140">
        <f t="shared" si="5"/>
        <v>2.8000000000000002E-7</v>
      </c>
      <c r="G163" s="140">
        <f t="shared" si="5"/>
        <v>3.5000000000000004E-7</v>
      </c>
      <c r="H163" s="157">
        <f>IF(A163&lt;$B$9*DATA!$H$1037,DATA!$H$1037,IF(A163&gt;DATA!$H$1036*$B$9,DATA!$H$1036,1))</f>
        <v>0.8</v>
      </c>
      <c r="I163" s="156">
        <f t="shared" si="6"/>
        <v>9.9999999999999995E-8</v>
      </c>
      <c r="K163" s="140">
        <f t="shared" si="7"/>
        <v>6.9999999999999999E-6</v>
      </c>
      <c r="L163">
        <v>0.7</v>
      </c>
      <c r="M163" s="140">
        <f t="shared" si="8"/>
        <v>6.9999999999999978E-8</v>
      </c>
      <c r="N163" s="140">
        <f t="shared" si="9"/>
        <v>1.3999999999999998E-7</v>
      </c>
      <c r="O163" s="140">
        <f t="shared" si="10"/>
        <v>2.1E-7</v>
      </c>
      <c r="P163" s="140">
        <f t="shared" si="11"/>
        <v>2.8000000000000002E-7</v>
      </c>
      <c r="Q163" s="140">
        <f t="shared" si="12"/>
        <v>3.5000000000000004E-7</v>
      </c>
      <c r="R163" s="157">
        <f>IF(K163&lt;$B$25*DATA!$H$1037,DATA!$H$1037,IF(K163&gt;DATA!$H$1036*$B$25,DATA!$H$1036,1))</f>
        <v>0.8</v>
      </c>
      <c r="S163" s="156">
        <f t="shared" si="13"/>
        <v>9.9999999999999995E-8</v>
      </c>
      <c r="U163" s="140">
        <f t="shared" si="14"/>
        <v>6.9999999999999999E-6</v>
      </c>
      <c r="V163">
        <v>0.7</v>
      </c>
      <c r="W163" s="140">
        <f t="shared" si="15"/>
        <v>6.9999999999999978E-8</v>
      </c>
      <c r="X163" s="140">
        <f t="shared" si="16"/>
        <v>1.3999999999999998E-7</v>
      </c>
      <c r="Y163" s="140">
        <f t="shared" si="17"/>
        <v>2.1E-7</v>
      </c>
      <c r="Z163" s="140">
        <f t="shared" si="18"/>
        <v>2.8000000000000002E-7</v>
      </c>
      <c r="AA163" s="140">
        <f t="shared" si="19"/>
        <v>3.5000000000000004E-7</v>
      </c>
      <c r="AB163" s="157">
        <f>IF(U163&lt;$B$41*DATA!$H$1037,DATA!$H$1037,IF(U163&gt;DATA!$H$1036*$B$41,DATA!$H$1036,1))</f>
        <v>0.8</v>
      </c>
      <c r="AC163" s="156">
        <f t="shared" si="20"/>
        <v>9.9999999999999995E-8</v>
      </c>
      <c r="AE163" s="140">
        <f t="shared" si="21"/>
        <v>6.9999999999999999E-6</v>
      </c>
      <c r="AF163">
        <v>0.7</v>
      </c>
      <c r="AG163" s="140">
        <f t="shared" si="22"/>
        <v>6.9999999999999978E-8</v>
      </c>
      <c r="AH163" s="140">
        <f t="shared" si="23"/>
        <v>1.3999999999999998E-7</v>
      </c>
      <c r="AI163" s="140">
        <f t="shared" si="24"/>
        <v>2.1E-7</v>
      </c>
      <c r="AJ163" s="140">
        <f t="shared" si="25"/>
        <v>2.8000000000000002E-7</v>
      </c>
      <c r="AK163" s="140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27"/>
        <v>9.9999999999999995E-8</v>
      </c>
      <c r="AO163" s="140">
        <f t="shared" si="28"/>
        <v>6.9999999999999999E-6</v>
      </c>
      <c r="AP163">
        <v>0.7</v>
      </c>
      <c r="AQ163" s="140">
        <f t="shared" si="29"/>
        <v>6.9999999999999978E-8</v>
      </c>
      <c r="AR163" s="140">
        <f t="shared" si="30"/>
        <v>1.3999999999999998E-7</v>
      </c>
      <c r="AS163" s="140">
        <f t="shared" si="31"/>
        <v>2.1E-7</v>
      </c>
      <c r="AT163" s="140">
        <f t="shared" si="32"/>
        <v>2.8000000000000002E-7</v>
      </c>
      <c r="AU163" s="140">
        <f t="shared" si="33"/>
        <v>3.5000000000000004E-7</v>
      </c>
      <c r="AV163" s="157">
        <f>IF(AO163&lt;$B$73*DATA!$H$1037,DATA!$H$1037,IF(AO163&gt;DATA!$H$1036*$B$73,DATA!$H$1036,1))</f>
        <v>1.2</v>
      </c>
      <c r="AW163" s="156">
        <f t="shared" si="34"/>
        <v>9.9999999999999995E-8</v>
      </c>
      <c r="AY163" s="140">
        <f t="shared" si="35"/>
        <v>6.9999999999999999E-6</v>
      </c>
      <c r="AZ163">
        <v>0.7</v>
      </c>
      <c r="BA163" s="140">
        <f t="shared" si="36"/>
        <v>6.9999999999999978E-8</v>
      </c>
      <c r="BB163" s="140">
        <f t="shared" si="37"/>
        <v>1.3999999999999998E-7</v>
      </c>
      <c r="BC163" s="140">
        <f t="shared" si="38"/>
        <v>2.1E-7</v>
      </c>
      <c r="BD163" s="140">
        <f t="shared" si="39"/>
        <v>2.8000000000000002E-7</v>
      </c>
      <c r="BE163" s="140">
        <f t="shared" si="40"/>
        <v>3.5000000000000004E-7</v>
      </c>
      <c r="BF163" s="157">
        <f>IF(AY163&lt;$B$89*DATA!$H$1037,DATA!$H$1037,IF(AY163&gt;DATA!$H$1036*$B$89,DATA!$H$1036,1))</f>
        <v>1.2</v>
      </c>
      <c r="BG163" s="156">
        <f t="shared" si="41"/>
        <v>9.9999999999999995E-8</v>
      </c>
      <c r="BI163" s="140">
        <f t="shared" si="42"/>
        <v>6.9999999999999999E-6</v>
      </c>
      <c r="BJ163">
        <v>0.7</v>
      </c>
      <c r="BK163" s="140">
        <f t="shared" si="43"/>
        <v>6.9999999999999978E-8</v>
      </c>
      <c r="BL163" s="140">
        <f t="shared" si="44"/>
        <v>1.3999999999999998E-7</v>
      </c>
      <c r="BM163" s="140">
        <f t="shared" si="45"/>
        <v>2.1E-7</v>
      </c>
      <c r="BN163" s="140">
        <f t="shared" si="46"/>
        <v>2.8000000000000002E-7</v>
      </c>
      <c r="BO163" s="140">
        <f t="shared" si="47"/>
        <v>3.5000000000000004E-7</v>
      </c>
      <c r="BP163" s="157">
        <f>IF(BI163&lt;$B$105*DATA!$H$1037,DATA!$H$1037,IF(BI163&gt;DATA!$H$1036*$B$105,DATA!$H$1036,1))</f>
        <v>1.2</v>
      </c>
      <c r="BQ163" s="156">
        <f t="shared" si="48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"/>
        <v>7.1999999999999983E-8</v>
      </c>
      <c r="D164" s="140">
        <f t="shared" si="5"/>
        <v>1.4399999999999999E-7</v>
      </c>
      <c r="E164" s="140">
        <f t="shared" si="5"/>
        <v>2.16E-7</v>
      </c>
      <c r="F164" s="140">
        <f t="shared" si="5"/>
        <v>2.8800000000000004E-7</v>
      </c>
      <c r="G164" s="140">
        <f t="shared" si="5"/>
        <v>3.6000000000000005E-7</v>
      </c>
      <c r="H164" s="157">
        <f>IF(A164&lt;$B$9*DATA!$H$1037,DATA!$H$1037,IF(A164&gt;DATA!$H$1036*$B$9,DATA!$H$1036,1))</f>
        <v>0.8</v>
      </c>
      <c r="I164" s="156">
        <f t="shared" si="6"/>
        <v>9.9999999999999995E-8</v>
      </c>
      <c r="K164" s="140">
        <f t="shared" si="7"/>
        <v>7.2000000000000005E-6</v>
      </c>
      <c r="L164">
        <v>0.72</v>
      </c>
      <c r="M164" s="140">
        <f t="shared" si="8"/>
        <v>7.1999999999999983E-8</v>
      </c>
      <c r="N164" s="140">
        <f t="shared" si="9"/>
        <v>1.4399999999999999E-7</v>
      </c>
      <c r="O164" s="140">
        <f t="shared" si="10"/>
        <v>2.16E-7</v>
      </c>
      <c r="P164" s="140">
        <f t="shared" si="11"/>
        <v>2.8800000000000004E-7</v>
      </c>
      <c r="Q164" s="140">
        <f t="shared" si="12"/>
        <v>3.6000000000000005E-7</v>
      </c>
      <c r="R164" s="157">
        <f>IF(K164&lt;$B$25*DATA!$H$1037,DATA!$H$1037,IF(K164&gt;DATA!$H$1036*$B$25,DATA!$H$1036,1))</f>
        <v>0.8</v>
      </c>
      <c r="S164" s="156">
        <f t="shared" si="13"/>
        <v>9.9999999999999995E-8</v>
      </c>
      <c r="U164" s="140">
        <f t="shared" si="14"/>
        <v>7.2000000000000005E-6</v>
      </c>
      <c r="V164">
        <v>0.72</v>
      </c>
      <c r="W164" s="140">
        <f t="shared" si="15"/>
        <v>7.1999999999999983E-8</v>
      </c>
      <c r="X164" s="140">
        <f t="shared" si="16"/>
        <v>1.4399999999999999E-7</v>
      </c>
      <c r="Y164" s="140">
        <f t="shared" si="17"/>
        <v>2.16E-7</v>
      </c>
      <c r="Z164" s="140">
        <f t="shared" si="18"/>
        <v>2.8800000000000004E-7</v>
      </c>
      <c r="AA164" s="140">
        <f t="shared" si="19"/>
        <v>3.6000000000000005E-7</v>
      </c>
      <c r="AB164" s="157">
        <f>IF(U164&lt;$B$41*DATA!$H$1037,DATA!$H$1037,IF(U164&gt;DATA!$H$1036*$B$41,DATA!$H$1036,1))</f>
        <v>0.8</v>
      </c>
      <c r="AC164" s="156">
        <f t="shared" si="20"/>
        <v>9.9999999999999995E-8</v>
      </c>
      <c r="AE164" s="140">
        <f t="shared" si="21"/>
        <v>7.2000000000000005E-6</v>
      </c>
      <c r="AF164">
        <v>0.72</v>
      </c>
      <c r="AG164" s="140">
        <f t="shared" si="22"/>
        <v>7.1999999999999983E-8</v>
      </c>
      <c r="AH164" s="140">
        <f t="shared" si="23"/>
        <v>1.4399999999999999E-7</v>
      </c>
      <c r="AI164" s="140">
        <f t="shared" si="24"/>
        <v>2.16E-7</v>
      </c>
      <c r="AJ164" s="140">
        <f t="shared" si="25"/>
        <v>2.8800000000000004E-7</v>
      </c>
      <c r="AK164" s="140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27"/>
        <v>9.9999999999999995E-8</v>
      </c>
      <c r="AO164" s="140">
        <f t="shared" si="28"/>
        <v>7.2000000000000005E-6</v>
      </c>
      <c r="AP164">
        <v>0.72</v>
      </c>
      <c r="AQ164" s="140">
        <f t="shared" si="29"/>
        <v>7.1999999999999983E-8</v>
      </c>
      <c r="AR164" s="140">
        <f t="shared" si="30"/>
        <v>1.4399999999999999E-7</v>
      </c>
      <c r="AS164" s="140">
        <f t="shared" si="31"/>
        <v>2.16E-7</v>
      </c>
      <c r="AT164" s="140">
        <f t="shared" si="32"/>
        <v>2.8800000000000004E-7</v>
      </c>
      <c r="AU164" s="140">
        <f t="shared" si="33"/>
        <v>3.6000000000000005E-7</v>
      </c>
      <c r="AV164" s="157">
        <f>IF(AO164&lt;$B$73*DATA!$H$1037,DATA!$H$1037,IF(AO164&gt;DATA!$H$1036*$B$73,DATA!$H$1036,1))</f>
        <v>1.2</v>
      </c>
      <c r="AW164" s="156">
        <f t="shared" si="34"/>
        <v>9.9999999999999995E-8</v>
      </c>
      <c r="AY164" s="140">
        <f t="shared" si="35"/>
        <v>7.2000000000000005E-6</v>
      </c>
      <c r="AZ164">
        <v>0.72</v>
      </c>
      <c r="BA164" s="140">
        <f t="shared" si="36"/>
        <v>7.1999999999999983E-8</v>
      </c>
      <c r="BB164" s="140">
        <f t="shared" si="37"/>
        <v>1.4399999999999999E-7</v>
      </c>
      <c r="BC164" s="140">
        <f t="shared" si="38"/>
        <v>2.16E-7</v>
      </c>
      <c r="BD164" s="140">
        <f t="shared" si="39"/>
        <v>2.8800000000000004E-7</v>
      </c>
      <c r="BE164" s="140">
        <f t="shared" si="40"/>
        <v>3.6000000000000005E-7</v>
      </c>
      <c r="BF164" s="157">
        <f>IF(AY164&lt;$B$89*DATA!$H$1037,DATA!$H$1037,IF(AY164&gt;DATA!$H$1036*$B$89,DATA!$H$1036,1))</f>
        <v>1.2</v>
      </c>
      <c r="BG164" s="156">
        <f t="shared" si="41"/>
        <v>9.9999999999999995E-8</v>
      </c>
      <c r="BI164" s="140">
        <f t="shared" si="42"/>
        <v>7.2000000000000005E-6</v>
      </c>
      <c r="BJ164">
        <v>0.72</v>
      </c>
      <c r="BK164" s="140">
        <f t="shared" si="43"/>
        <v>7.1999999999999983E-8</v>
      </c>
      <c r="BL164" s="140">
        <f t="shared" si="44"/>
        <v>1.4399999999999999E-7</v>
      </c>
      <c r="BM164" s="140">
        <f t="shared" si="45"/>
        <v>2.16E-7</v>
      </c>
      <c r="BN164" s="140">
        <f t="shared" si="46"/>
        <v>2.8800000000000004E-7</v>
      </c>
      <c r="BO164" s="140">
        <f t="shared" si="47"/>
        <v>3.6000000000000005E-7</v>
      </c>
      <c r="BP164" s="157">
        <f>IF(BI164&lt;$B$105*DATA!$H$1037,DATA!$H$1037,IF(BI164&gt;DATA!$H$1036*$B$105,DATA!$H$1036,1))</f>
        <v>1.2</v>
      </c>
      <c r="BQ164" s="156">
        <f t="shared" si="48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"/>
        <v>7.3999999999999974E-8</v>
      </c>
      <c r="D165" s="140">
        <f t="shared" si="5"/>
        <v>1.4799999999999998E-7</v>
      </c>
      <c r="E165" s="140">
        <f t="shared" si="5"/>
        <v>2.22E-7</v>
      </c>
      <c r="F165" s="140">
        <f t="shared" si="5"/>
        <v>2.96E-7</v>
      </c>
      <c r="G165" s="140">
        <f t="shared" si="5"/>
        <v>3.7000000000000006E-7</v>
      </c>
      <c r="H165" s="157">
        <f>IF(A165&lt;$B$9*DATA!$H$1037,DATA!$H$1037,IF(A165&gt;DATA!$H$1036*$B$9,DATA!$H$1036,1))</f>
        <v>0.8</v>
      </c>
      <c r="I165" s="156">
        <f t="shared" si="6"/>
        <v>9.9999999999999995E-8</v>
      </c>
      <c r="K165" s="140">
        <f t="shared" si="7"/>
        <v>7.4000000000000003E-6</v>
      </c>
      <c r="L165">
        <v>0.74</v>
      </c>
      <c r="M165" s="140">
        <f t="shared" si="8"/>
        <v>7.3999999999999974E-8</v>
      </c>
      <c r="N165" s="140">
        <f t="shared" si="9"/>
        <v>1.4799999999999998E-7</v>
      </c>
      <c r="O165" s="140">
        <f t="shared" si="10"/>
        <v>2.22E-7</v>
      </c>
      <c r="P165" s="140">
        <f t="shared" si="11"/>
        <v>2.96E-7</v>
      </c>
      <c r="Q165" s="140">
        <f t="shared" si="12"/>
        <v>3.7000000000000006E-7</v>
      </c>
      <c r="R165" s="157">
        <f>IF(K165&lt;$B$25*DATA!$H$1037,DATA!$H$1037,IF(K165&gt;DATA!$H$1036*$B$25,DATA!$H$1036,1))</f>
        <v>0.8</v>
      </c>
      <c r="S165" s="156">
        <f t="shared" si="13"/>
        <v>9.9999999999999995E-8</v>
      </c>
      <c r="U165" s="140">
        <f t="shared" si="14"/>
        <v>7.4000000000000003E-6</v>
      </c>
      <c r="V165">
        <v>0.74</v>
      </c>
      <c r="W165" s="140">
        <f t="shared" si="15"/>
        <v>7.3999999999999974E-8</v>
      </c>
      <c r="X165" s="140">
        <f t="shared" si="16"/>
        <v>1.4799999999999998E-7</v>
      </c>
      <c r="Y165" s="140">
        <f t="shared" si="17"/>
        <v>2.22E-7</v>
      </c>
      <c r="Z165" s="140">
        <f t="shared" si="18"/>
        <v>2.96E-7</v>
      </c>
      <c r="AA165" s="140">
        <f t="shared" si="19"/>
        <v>3.7000000000000006E-7</v>
      </c>
      <c r="AB165" s="157">
        <f>IF(U165&lt;$B$41*DATA!$H$1037,DATA!$H$1037,IF(U165&gt;DATA!$H$1036*$B$41,DATA!$H$1036,1))</f>
        <v>0.8</v>
      </c>
      <c r="AC165" s="156">
        <f t="shared" si="20"/>
        <v>9.9999999999999995E-8</v>
      </c>
      <c r="AE165" s="140">
        <f t="shared" si="21"/>
        <v>7.4000000000000003E-6</v>
      </c>
      <c r="AF165">
        <v>0.74</v>
      </c>
      <c r="AG165" s="140">
        <f t="shared" si="22"/>
        <v>7.3999999999999974E-8</v>
      </c>
      <c r="AH165" s="140">
        <f t="shared" si="23"/>
        <v>1.4799999999999998E-7</v>
      </c>
      <c r="AI165" s="140">
        <f t="shared" si="24"/>
        <v>2.22E-7</v>
      </c>
      <c r="AJ165" s="140">
        <f t="shared" si="25"/>
        <v>2.96E-7</v>
      </c>
      <c r="AK165" s="140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27"/>
        <v>9.9999999999999995E-8</v>
      </c>
      <c r="AO165" s="140">
        <f t="shared" si="28"/>
        <v>7.4000000000000003E-6</v>
      </c>
      <c r="AP165">
        <v>0.74</v>
      </c>
      <c r="AQ165" s="140">
        <f t="shared" si="29"/>
        <v>7.3999999999999974E-8</v>
      </c>
      <c r="AR165" s="140">
        <f t="shared" si="30"/>
        <v>1.4799999999999998E-7</v>
      </c>
      <c r="AS165" s="140">
        <f t="shared" si="31"/>
        <v>2.22E-7</v>
      </c>
      <c r="AT165" s="140">
        <f t="shared" si="32"/>
        <v>2.96E-7</v>
      </c>
      <c r="AU165" s="140">
        <f t="shared" si="33"/>
        <v>3.7000000000000006E-7</v>
      </c>
      <c r="AV165" s="157">
        <f>IF(AO165&lt;$B$73*DATA!$H$1037,DATA!$H$1037,IF(AO165&gt;DATA!$H$1036*$B$73,DATA!$H$1036,1))</f>
        <v>1.2</v>
      </c>
      <c r="AW165" s="156">
        <f t="shared" si="34"/>
        <v>9.9999999999999995E-8</v>
      </c>
      <c r="AY165" s="140">
        <f t="shared" si="35"/>
        <v>7.4000000000000003E-6</v>
      </c>
      <c r="AZ165">
        <v>0.74</v>
      </c>
      <c r="BA165" s="140">
        <f t="shared" si="36"/>
        <v>7.3999999999999974E-8</v>
      </c>
      <c r="BB165" s="140">
        <f t="shared" si="37"/>
        <v>1.4799999999999998E-7</v>
      </c>
      <c r="BC165" s="140">
        <f t="shared" si="38"/>
        <v>2.22E-7</v>
      </c>
      <c r="BD165" s="140">
        <f t="shared" si="39"/>
        <v>2.96E-7</v>
      </c>
      <c r="BE165" s="140">
        <f t="shared" si="40"/>
        <v>3.7000000000000006E-7</v>
      </c>
      <c r="BF165" s="157">
        <f>IF(AY165&lt;$B$89*DATA!$H$1037,DATA!$H$1037,IF(AY165&gt;DATA!$H$1036*$B$89,DATA!$H$1036,1))</f>
        <v>1.2</v>
      </c>
      <c r="BG165" s="156">
        <f t="shared" si="41"/>
        <v>9.9999999999999995E-8</v>
      </c>
      <c r="BI165" s="140">
        <f t="shared" si="42"/>
        <v>7.4000000000000003E-6</v>
      </c>
      <c r="BJ165">
        <v>0.74</v>
      </c>
      <c r="BK165" s="140">
        <f t="shared" si="43"/>
        <v>7.3999999999999974E-8</v>
      </c>
      <c r="BL165" s="140">
        <f t="shared" si="44"/>
        <v>1.4799999999999998E-7</v>
      </c>
      <c r="BM165" s="140">
        <f t="shared" si="45"/>
        <v>2.22E-7</v>
      </c>
      <c r="BN165" s="140">
        <f t="shared" si="46"/>
        <v>2.96E-7</v>
      </c>
      <c r="BO165" s="140">
        <f t="shared" si="47"/>
        <v>3.7000000000000006E-7</v>
      </c>
      <c r="BP165" s="157">
        <f>IF(BI165&lt;$B$105*DATA!$H$1037,DATA!$H$1037,IF(BI165&gt;DATA!$H$1036*$B$105,DATA!$H$1036,1))</f>
        <v>1.2</v>
      </c>
      <c r="BQ165" s="156">
        <f t="shared" si="48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"/>
        <v>7.5999999999999979E-8</v>
      </c>
      <c r="D166" s="140">
        <f t="shared" si="5"/>
        <v>1.5199999999999998E-7</v>
      </c>
      <c r="E166" s="140">
        <f t="shared" si="5"/>
        <v>2.2800000000000003E-7</v>
      </c>
      <c r="F166" s="140">
        <f t="shared" si="5"/>
        <v>3.0400000000000002E-7</v>
      </c>
      <c r="G166" s="140">
        <f t="shared" si="5"/>
        <v>3.8000000000000007E-7</v>
      </c>
      <c r="H166" s="157">
        <f>IF(A166&lt;$B$9*DATA!$H$1037,DATA!$H$1037,IF(A166&gt;DATA!$H$1036*$B$9,DATA!$H$1036,1))</f>
        <v>0.8</v>
      </c>
      <c r="I166" s="156">
        <f t="shared" si="6"/>
        <v>9.9999999999999995E-8</v>
      </c>
      <c r="K166" s="140">
        <f t="shared" si="7"/>
        <v>7.6000000000000009E-6</v>
      </c>
      <c r="L166">
        <v>0.76</v>
      </c>
      <c r="M166" s="140">
        <f t="shared" si="8"/>
        <v>7.5999999999999979E-8</v>
      </c>
      <c r="N166" s="140">
        <f t="shared" si="9"/>
        <v>1.5199999999999998E-7</v>
      </c>
      <c r="O166" s="140">
        <f t="shared" si="10"/>
        <v>2.2800000000000003E-7</v>
      </c>
      <c r="P166" s="140">
        <f t="shared" si="11"/>
        <v>3.0400000000000002E-7</v>
      </c>
      <c r="Q166" s="140">
        <f t="shared" si="12"/>
        <v>3.8000000000000007E-7</v>
      </c>
      <c r="R166" s="157">
        <f>IF(K166&lt;$B$25*DATA!$H$1037,DATA!$H$1037,IF(K166&gt;DATA!$H$1036*$B$25,DATA!$H$1036,1))</f>
        <v>0.8</v>
      </c>
      <c r="S166" s="156">
        <f t="shared" si="13"/>
        <v>9.9999999999999995E-8</v>
      </c>
      <c r="U166" s="140">
        <f t="shared" si="14"/>
        <v>7.6000000000000009E-6</v>
      </c>
      <c r="V166">
        <v>0.76</v>
      </c>
      <c r="W166" s="140">
        <f t="shared" si="15"/>
        <v>7.5999999999999979E-8</v>
      </c>
      <c r="X166" s="140">
        <f t="shared" si="16"/>
        <v>1.5199999999999998E-7</v>
      </c>
      <c r="Y166" s="140">
        <f t="shared" si="17"/>
        <v>2.2800000000000003E-7</v>
      </c>
      <c r="Z166" s="140">
        <f t="shared" si="18"/>
        <v>3.0400000000000002E-7</v>
      </c>
      <c r="AA166" s="140">
        <f t="shared" si="19"/>
        <v>3.8000000000000007E-7</v>
      </c>
      <c r="AB166" s="157">
        <f>IF(U166&lt;$B$41*DATA!$H$1037,DATA!$H$1037,IF(U166&gt;DATA!$H$1036*$B$41,DATA!$H$1036,1))</f>
        <v>0.8</v>
      </c>
      <c r="AC166" s="156">
        <f t="shared" si="20"/>
        <v>9.9999999999999995E-8</v>
      </c>
      <c r="AE166" s="140">
        <f t="shared" si="21"/>
        <v>7.6000000000000009E-6</v>
      </c>
      <c r="AF166">
        <v>0.76</v>
      </c>
      <c r="AG166" s="140">
        <f t="shared" si="22"/>
        <v>7.5999999999999979E-8</v>
      </c>
      <c r="AH166" s="140">
        <f t="shared" si="23"/>
        <v>1.5199999999999998E-7</v>
      </c>
      <c r="AI166" s="140">
        <f t="shared" si="24"/>
        <v>2.2800000000000003E-7</v>
      </c>
      <c r="AJ166" s="140">
        <f t="shared" si="25"/>
        <v>3.0400000000000002E-7</v>
      </c>
      <c r="AK166" s="140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27"/>
        <v>9.9999999999999995E-8</v>
      </c>
      <c r="AO166" s="140">
        <f t="shared" si="28"/>
        <v>7.6000000000000009E-6</v>
      </c>
      <c r="AP166">
        <v>0.76</v>
      </c>
      <c r="AQ166" s="140">
        <f t="shared" si="29"/>
        <v>7.5999999999999979E-8</v>
      </c>
      <c r="AR166" s="140">
        <f t="shared" si="30"/>
        <v>1.5199999999999998E-7</v>
      </c>
      <c r="AS166" s="140">
        <f t="shared" si="31"/>
        <v>2.2800000000000003E-7</v>
      </c>
      <c r="AT166" s="140">
        <f t="shared" si="32"/>
        <v>3.0400000000000002E-7</v>
      </c>
      <c r="AU166" s="140">
        <f t="shared" si="33"/>
        <v>3.8000000000000007E-7</v>
      </c>
      <c r="AV166" s="157">
        <f>IF(AO166&lt;$B$73*DATA!$H$1037,DATA!$H$1037,IF(AO166&gt;DATA!$H$1036*$B$73,DATA!$H$1036,1))</f>
        <v>1.2</v>
      </c>
      <c r="AW166" s="156">
        <f t="shared" si="34"/>
        <v>9.9999999999999995E-8</v>
      </c>
      <c r="AY166" s="140">
        <f t="shared" si="35"/>
        <v>7.6000000000000009E-6</v>
      </c>
      <c r="AZ166">
        <v>0.76</v>
      </c>
      <c r="BA166" s="140">
        <f t="shared" si="36"/>
        <v>7.5999999999999979E-8</v>
      </c>
      <c r="BB166" s="140">
        <f t="shared" si="37"/>
        <v>1.5199999999999998E-7</v>
      </c>
      <c r="BC166" s="140">
        <f t="shared" si="38"/>
        <v>2.2800000000000003E-7</v>
      </c>
      <c r="BD166" s="140">
        <f t="shared" si="39"/>
        <v>3.0400000000000002E-7</v>
      </c>
      <c r="BE166" s="140">
        <f t="shared" si="40"/>
        <v>3.8000000000000007E-7</v>
      </c>
      <c r="BF166" s="157">
        <f>IF(AY166&lt;$B$89*DATA!$H$1037,DATA!$H$1037,IF(AY166&gt;DATA!$H$1036*$B$89,DATA!$H$1036,1))</f>
        <v>1.2</v>
      </c>
      <c r="BG166" s="156">
        <f t="shared" si="41"/>
        <v>9.9999999999999995E-8</v>
      </c>
      <c r="BI166" s="140">
        <f t="shared" si="42"/>
        <v>7.6000000000000009E-6</v>
      </c>
      <c r="BJ166">
        <v>0.76</v>
      </c>
      <c r="BK166" s="140">
        <f t="shared" si="43"/>
        <v>7.5999999999999979E-8</v>
      </c>
      <c r="BL166" s="140">
        <f t="shared" si="44"/>
        <v>1.5199999999999998E-7</v>
      </c>
      <c r="BM166" s="140">
        <f t="shared" si="45"/>
        <v>2.2800000000000003E-7</v>
      </c>
      <c r="BN166" s="140">
        <f t="shared" si="46"/>
        <v>3.0400000000000002E-7</v>
      </c>
      <c r="BO166" s="140">
        <f t="shared" si="47"/>
        <v>3.8000000000000007E-7</v>
      </c>
      <c r="BP166" s="157">
        <f>IF(BI166&lt;$B$105*DATA!$H$1037,DATA!$H$1037,IF(BI166&gt;DATA!$H$1036*$B$105,DATA!$H$1036,1))</f>
        <v>1.2</v>
      </c>
      <c r="BQ166" s="156">
        <f t="shared" si="48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"/>
        <v>7.7999999999999984E-8</v>
      </c>
      <c r="D167" s="140">
        <f t="shared" si="5"/>
        <v>1.5600000000000002E-7</v>
      </c>
      <c r="E167" s="140">
        <f t="shared" si="5"/>
        <v>2.3400000000000003E-7</v>
      </c>
      <c r="F167" s="140">
        <f t="shared" si="5"/>
        <v>3.1200000000000009E-7</v>
      </c>
      <c r="G167" s="140">
        <f t="shared" si="5"/>
        <v>3.9000000000000008E-7</v>
      </c>
      <c r="H167" s="157">
        <f>IF(A167&lt;$B$9*DATA!$H$1037,DATA!$H$1037,IF(A167&gt;DATA!$H$1036*$B$9,DATA!$H$1036,1))</f>
        <v>0.8</v>
      </c>
      <c r="I167" s="156">
        <f t="shared" si="6"/>
        <v>9.9999999999999995E-8</v>
      </c>
      <c r="K167" s="140">
        <f t="shared" si="7"/>
        <v>7.8000000000000016E-6</v>
      </c>
      <c r="L167">
        <v>0.78</v>
      </c>
      <c r="M167" s="140">
        <f t="shared" si="8"/>
        <v>7.7999999999999984E-8</v>
      </c>
      <c r="N167" s="140">
        <f t="shared" si="9"/>
        <v>1.5600000000000002E-7</v>
      </c>
      <c r="O167" s="140">
        <f t="shared" si="10"/>
        <v>2.3400000000000003E-7</v>
      </c>
      <c r="P167" s="140">
        <f t="shared" si="11"/>
        <v>3.1200000000000009E-7</v>
      </c>
      <c r="Q167" s="140">
        <f t="shared" si="12"/>
        <v>3.9000000000000008E-7</v>
      </c>
      <c r="R167" s="157">
        <f>IF(K167&lt;$B$25*DATA!$H$1037,DATA!$H$1037,IF(K167&gt;DATA!$H$1036*$B$25,DATA!$H$1036,1))</f>
        <v>0.8</v>
      </c>
      <c r="S167" s="156">
        <f t="shared" si="13"/>
        <v>9.9999999999999995E-8</v>
      </c>
      <c r="U167" s="140">
        <f t="shared" si="14"/>
        <v>7.8000000000000016E-6</v>
      </c>
      <c r="V167">
        <v>0.78</v>
      </c>
      <c r="W167" s="140">
        <f t="shared" si="15"/>
        <v>7.7999999999999984E-8</v>
      </c>
      <c r="X167" s="140">
        <f t="shared" si="16"/>
        <v>1.5600000000000002E-7</v>
      </c>
      <c r="Y167" s="140">
        <f t="shared" si="17"/>
        <v>2.3400000000000003E-7</v>
      </c>
      <c r="Z167" s="140">
        <f t="shared" si="18"/>
        <v>3.1200000000000009E-7</v>
      </c>
      <c r="AA167" s="140">
        <f t="shared" si="19"/>
        <v>3.9000000000000008E-7</v>
      </c>
      <c r="AB167" s="157">
        <f>IF(U167&lt;$B$41*DATA!$H$1037,DATA!$H$1037,IF(U167&gt;DATA!$H$1036*$B$41,DATA!$H$1036,1))</f>
        <v>0.8</v>
      </c>
      <c r="AC167" s="156">
        <f t="shared" si="20"/>
        <v>9.9999999999999995E-8</v>
      </c>
      <c r="AE167" s="140">
        <f t="shared" si="21"/>
        <v>7.8000000000000016E-6</v>
      </c>
      <c r="AF167">
        <v>0.78</v>
      </c>
      <c r="AG167" s="140">
        <f t="shared" si="22"/>
        <v>7.7999999999999984E-8</v>
      </c>
      <c r="AH167" s="140">
        <f t="shared" si="23"/>
        <v>1.5600000000000002E-7</v>
      </c>
      <c r="AI167" s="140">
        <f t="shared" si="24"/>
        <v>2.3400000000000003E-7</v>
      </c>
      <c r="AJ167" s="140">
        <f t="shared" si="25"/>
        <v>3.1200000000000009E-7</v>
      </c>
      <c r="AK167" s="140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27"/>
        <v>9.9999999999999995E-8</v>
      </c>
      <c r="AO167" s="140">
        <f t="shared" si="28"/>
        <v>7.8000000000000016E-6</v>
      </c>
      <c r="AP167">
        <v>0.78</v>
      </c>
      <c r="AQ167" s="140">
        <f t="shared" si="29"/>
        <v>7.7999999999999984E-8</v>
      </c>
      <c r="AR167" s="140">
        <f t="shared" si="30"/>
        <v>1.5600000000000002E-7</v>
      </c>
      <c r="AS167" s="140">
        <f t="shared" si="31"/>
        <v>2.3400000000000003E-7</v>
      </c>
      <c r="AT167" s="140">
        <f t="shared" si="32"/>
        <v>3.1200000000000009E-7</v>
      </c>
      <c r="AU167" s="140">
        <f t="shared" si="33"/>
        <v>3.9000000000000008E-7</v>
      </c>
      <c r="AV167" s="157">
        <f>IF(AO167&lt;$B$73*DATA!$H$1037,DATA!$H$1037,IF(AO167&gt;DATA!$H$1036*$B$73,DATA!$H$1036,1))</f>
        <v>1.2</v>
      </c>
      <c r="AW167" s="156">
        <f t="shared" si="34"/>
        <v>9.9999999999999995E-8</v>
      </c>
      <c r="AY167" s="140">
        <f t="shared" si="35"/>
        <v>7.8000000000000016E-6</v>
      </c>
      <c r="AZ167">
        <v>0.78</v>
      </c>
      <c r="BA167" s="140">
        <f t="shared" si="36"/>
        <v>7.7999999999999984E-8</v>
      </c>
      <c r="BB167" s="140">
        <f t="shared" si="37"/>
        <v>1.5600000000000002E-7</v>
      </c>
      <c r="BC167" s="140">
        <f t="shared" si="38"/>
        <v>2.3400000000000003E-7</v>
      </c>
      <c r="BD167" s="140">
        <f t="shared" si="39"/>
        <v>3.1200000000000009E-7</v>
      </c>
      <c r="BE167" s="140">
        <f t="shared" si="40"/>
        <v>3.9000000000000008E-7</v>
      </c>
      <c r="BF167" s="157">
        <f>IF(AY167&lt;$B$89*DATA!$H$1037,DATA!$H$1037,IF(AY167&gt;DATA!$H$1036*$B$89,DATA!$H$1036,1))</f>
        <v>1.2</v>
      </c>
      <c r="BG167" s="156">
        <f t="shared" si="41"/>
        <v>9.9999999999999995E-8</v>
      </c>
      <c r="BI167" s="140">
        <f t="shared" si="42"/>
        <v>7.8000000000000016E-6</v>
      </c>
      <c r="BJ167">
        <v>0.78</v>
      </c>
      <c r="BK167" s="140">
        <f t="shared" si="43"/>
        <v>7.7999999999999984E-8</v>
      </c>
      <c r="BL167" s="140">
        <f t="shared" si="44"/>
        <v>1.5600000000000002E-7</v>
      </c>
      <c r="BM167" s="140">
        <f t="shared" si="45"/>
        <v>2.3400000000000003E-7</v>
      </c>
      <c r="BN167" s="140">
        <f t="shared" si="46"/>
        <v>3.1200000000000009E-7</v>
      </c>
      <c r="BO167" s="140">
        <f t="shared" si="47"/>
        <v>3.9000000000000008E-7</v>
      </c>
      <c r="BP167" s="157">
        <f>IF(BI167&lt;$B$105*DATA!$H$1037,DATA!$H$1037,IF(BI167&gt;DATA!$H$1036*$B$105,DATA!$H$1036,1))</f>
        <v>1.2</v>
      </c>
      <c r="BQ167" s="156">
        <f t="shared" si="48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"/>
        <v>7.9999999999999988E-8</v>
      </c>
      <c r="D168" s="140">
        <f t="shared" si="5"/>
        <v>1.6E-7</v>
      </c>
      <c r="E168" s="140">
        <f t="shared" si="5"/>
        <v>2.4000000000000003E-7</v>
      </c>
      <c r="F168" s="140">
        <f t="shared" si="5"/>
        <v>3.2000000000000006E-7</v>
      </c>
      <c r="G168" s="140">
        <f t="shared" si="5"/>
        <v>4.0000000000000009E-7</v>
      </c>
      <c r="H168" s="157">
        <f>IF(A168&lt;$B$9*DATA!$H$1037,DATA!$H$1037,IF(A168&gt;DATA!$H$1036*$B$9,DATA!$H$1036,1))</f>
        <v>0.8</v>
      </c>
      <c r="I168" s="156">
        <f t="shared" si="6"/>
        <v>9.9999999999999995E-8</v>
      </c>
      <c r="K168" s="140">
        <f t="shared" si="7"/>
        <v>8.0000000000000013E-6</v>
      </c>
      <c r="L168">
        <v>0.8</v>
      </c>
      <c r="M168" s="140">
        <f t="shared" si="8"/>
        <v>7.9999999999999988E-8</v>
      </c>
      <c r="N168" s="140">
        <f t="shared" si="9"/>
        <v>1.6E-7</v>
      </c>
      <c r="O168" s="140">
        <f t="shared" si="10"/>
        <v>2.4000000000000003E-7</v>
      </c>
      <c r="P168" s="140">
        <f t="shared" si="11"/>
        <v>3.2000000000000006E-7</v>
      </c>
      <c r="Q168" s="140">
        <f t="shared" si="12"/>
        <v>4.0000000000000009E-7</v>
      </c>
      <c r="R168" s="157">
        <f>IF(K168&lt;$B$25*DATA!$H$1037,DATA!$H$1037,IF(K168&gt;DATA!$H$1036*$B$25,DATA!$H$1036,1))</f>
        <v>0.8</v>
      </c>
      <c r="S168" s="156">
        <f t="shared" si="13"/>
        <v>9.9999999999999995E-8</v>
      </c>
      <c r="U168" s="140">
        <f t="shared" si="14"/>
        <v>8.0000000000000013E-6</v>
      </c>
      <c r="V168">
        <v>0.8</v>
      </c>
      <c r="W168" s="140">
        <f t="shared" si="15"/>
        <v>7.9999999999999988E-8</v>
      </c>
      <c r="X168" s="140">
        <f t="shared" si="16"/>
        <v>1.6E-7</v>
      </c>
      <c r="Y168" s="140">
        <f t="shared" si="17"/>
        <v>2.4000000000000003E-7</v>
      </c>
      <c r="Z168" s="140">
        <f t="shared" si="18"/>
        <v>3.2000000000000006E-7</v>
      </c>
      <c r="AA168" s="140">
        <f t="shared" si="19"/>
        <v>4.0000000000000009E-7</v>
      </c>
      <c r="AB168" s="157">
        <f>IF(U168&lt;$B$41*DATA!$H$1037,DATA!$H$1037,IF(U168&gt;DATA!$H$1036*$B$41,DATA!$H$1036,1))</f>
        <v>0.8</v>
      </c>
      <c r="AC168" s="156">
        <f t="shared" si="20"/>
        <v>9.9999999999999995E-8</v>
      </c>
      <c r="AE168" s="140">
        <f t="shared" si="21"/>
        <v>8.0000000000000013E-6</v>
      </c>
      <c r="AF168">
        <v>0.8</v>
      </c>
      <c r="AG168" s="140">
        <f t="shared" si="22"/>
        <v>7.9999999999999988E-8</v>
      </c>
      <c r="AH168" s="140">
        <f t="shared" si="23"/>
        <v>1.6E-7</v>
      </c>
      <c r="AI168" s="140">
        <f t="shared" si="24"/>
        <v>2.4000000000000003E-7</v>
      </c>
      <c r="AJ168" s="140">
        <f t="shared" si="25"/>
        <v>3.2000000000000006E-7</v>
      </c>
      <c r="AK168" s="140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27"/>
        <v>9.9999999999999995E-8</v>
      </c>
      <c r="AO168" s="140">
        <f t="shared" si="28"/>
        <v>8.0000000000000013E-6</v>
      </c>
      <c r="AP168">
        <v>0.8</v>
      </c>
      <c r="AQ168" s="140">
        <f t="shared" si="29"/>
        <v>7.9999999999999988E-8</v>
      </c>
      <c r="AR168" s="140">
        <f t="shared" si="30"/>
        <v>1.6E-7</v>
      </c>
      <c r="AS168" s="140">
        <f t="shared" si="31"/>
        <v>2.4000000000000003E-7</v>
      </c>
      <c r="AT168" s="140">
        <f t="shared" si="32"/>
        <v>3.2000000000000006E-7</v>
      </c>
      <c r="AU168" s="140">
        <f t="shared" si="33"/>
        <v>4.0000000000000009E-7</v>
      </c>
      <c r="AV168" s="157">
        <f>IF(AO168&lt;$B$73*DATA!$H$1037,DATA!$H$1037,IF(AO168&gt;DATA!$H$1036*$B$73,DATA!$H$1036,1))</f>
        <v>1.2</v>
      </c>
      <c r="AW168" s="156">
        <f t="shared" si="34"/>
        <v>9.9999999999999995E-8</v>
      </c>
      <c r="AY168" s="140">
        <f t="shared" si="35"/>
        <v>8.0000000000000013E-6</v>
      </c>
      <c r="AZ168">
        <v>0.8</v>
      </c>
      <c r="BA168" s="140">
        <f t="shared" si="36"/>
        <v>7.9999999999999988E-8</v>
      </c>
      <c r="BB168" s="140">
        <f t="shared" si="37"/>
        <v>1.6E-7</v>
      </c>
      <c r="BC168" s="140">
        <f t="shared" si="38"/>
        <v>2.4000000000000003E-7</v>
      </c>
      <c r="BD168" s="140">
        <f t="shared" si="39"/>
        <v>3.2000000000000006E-7</v>
      </c>
      <c r="BE168" s="140">
        <f t="shared" si="40"/>
        <v>4.0000000000000009E-7</v>
      </c>
      <c r="BF168" s="157">
        <f>IF(AY168&lt;$B$89*DATA!$H$1037,DATA!$H$1037,IF(AY168&gt;DATA!$H$1036*$B$89,DATA!$H$1036,1))</f>
        <v>1.2</v>
      </c>
      <c r="BG168" s="156">
        <f t="shared" si="41"/>
        <v>9.9999999999999995E-8</v>
      </c>
      <c r="BI168" s="140">
        <f t="shared" si="42"/>
        <v>8.0000000000000013E-6</v>
      </c>
      <c r="BJ168">
        <v>0.8</v>
      </c>
      <c r="BK168" s="140">
        <f t="shared" si="43"/>
        <v>7.9999999999999988E-8</v>
      </c>
      <c r="BL168" s="140">
        <f t="shared" si="44"/>
        <v>1.6E-7</v>
      </c>
      <c r="BM168" s="140">
        <f t="shared" si="45"/>
        <v>2.4000000000000003E-7</v>
      </c>
      <c r="BN168" s="140">
        <f t="shared" si="46"/>
        <v>3.2000000000000006E-7</v>
      </c>
      <c r="BO168" s="140">
        <f t="shared" si="47"/>
        <v>4.0000000000000009E-7</v>
      </c>
      <c r="BP168" s="157">
        <f>IF(BI168&lt;$B$105*DATA!$H$1037,DATA!$H$1037,IF(BI168&gt;DATA!$H$1036*$B$105,DATA!$H$1036,1))</f>
        <v>1.2</v>
      </c>
      <c r="BQ168" s="156">
        <f t="shared" si="48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"/>
        <v>8.1999999999999967E-8</v>
      </c>
      <c r="D169" s="140">
        <f t="shared" si="5"/>
        <v>1.6399999999999996E-7</v>
      </c>
      <c r="E169" s="140">
        <f t="shared" si="5"/>
        <v>2.4599999999999995E-7</v>
      </c>
      <c r="F169" s="140">
        <f t="shared" si="5"/>
        <v>3.2799999999999997E-7</v>
      </c>
      <c r="G169" s="140">
        <f t="shared" si="5"/>
        <v>4.0999999999999999E-7</v>
      </c>
      <c r="H169" s="157">
        <f>IF(A169&lt;$B$9*DATA!$H$1037,DATA!$H$1037,IF(A169&gt;DATA!$H$1036*$B$9,DATA!$H$1036,1))</f>
        <v>0.8</v>
      </c>
      <c r="I169" s="156">
        <f t="shared" si="6"/>
        <v>9.9999999999999995E-8</v>
      </c>
      <c r="K169" s="140">
        <f t="shared" si="7"/>
        <v>8.1999999999999994E-6</v>
      </c>
      <c r="L169">
        <v>0.82</v>
      </c>
      <c r="M169" s="140">
        <f t="shared" si="8"/>
        <v>8.1999999999999967E-8</v>
      </c>
      <c r="N169" s="140">
        <f t="shared" si="9"/>
        <v>1.6399999999999996E-7</v>
      </c>
      <c r="O169" s="140">
        <f t="shared" si="10"/>
        <v>2.4599999999999995E-7</v>
      </c>
      <c r="P169" s="140">
        <f t="shared" si="11"/>
        <v>3.2799999999999997E-7</v>
      </c>
      <c r="Q169" s="140">
        <f t="shared" si="12"/>
        <v>4.0999999999999999E-7</v>
      </c>
      <c r="R169" s="157">
        <f>IF(K169&lt;$B$25*DATA!$H$1037,DATA!$H$1037,IF(K169&gt;DATA!$H$1036*$B$25,DATA!$H$1036,1))</f>
        <v>0.8</v>
      </c>
      <c r="S169" s="156">
        <f t="shared" si="13"/>
        <v>9.9999999999999995E-8</v>
      </c>
      <c r="U169" s="140">
        <f t="shared" si="14"/>
        <v>8.1999999999999994E-6</v>
      </c>
      <c r="V169">
        <v>0.82</v>
      </c>
      <c r="W169" s="140">
        <f t="shared" si="15"/>
        <v>8.1999999999999967E-8</v>
      </c>
      <c r="X169" s="140">
        <f t="shared" si="16"/>
        <v>1.6399999999999996E-7</v>
      </c>
      <c r="Y169" s="140">
        <f t="shared" si="17"/>
        <v>2.4599999999999995E-7</v>
      </c>
      <c r="Z169" s="140">
        <f t="shared" si="18"/>
        <v>3.2799999999999997E-7</v>
      </c>
      <c r="AA169" s="140">
        <f t="shared" si="19"/>
        <v>4.0999999999999999E-7</v>
      </c>
      <c r="AB169" s="157">
        <f>IF(U169&lt;$B$41*DATA!$H$1037,DATA!$H$1037,IF(U169&gt;DATA!$H$1036*$B$41,DATA!$H$1036,1))</f>
        <v>0.8</v>
      </c>
      <c r="AC169" s="156">
        <f t="shared" si="20"/>
        <v>9.9999999999999995E-8</v>
      </c>
      <c r="AE169" s="140">
        <f t="shared" si="21"/>
        <v>8.1999999999999994E-6</v>
      </c>
      <c r="AF169">
        <v>0.82</v>
      </c>
      <c r="AG169" s="140">
        <f t="shared" si="22"/>
        <v>8.1999999999999967E-8</v>
      </c>
      <c r="AH169" s="140">
        <f t="shared" si="23"/>
        <v>1.6399999999999996E-7</v>
      </c>
      <c r="AI169" s="140">
        <f t="shared" si="24"/>
        <v>2.4599999999999995E-7</v>
      </c>
      <c r="AJ169" s="140">
        <f t="shared" si="25"/>
        <v>3.2799999999999997E-7</v>
      </c>
      <c r="AK169" s="140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27"/>
        <v>9.9999999999999995E-8</v>
      </c>
      <c r="AO169" s="140">
        <f t="shared" si="28"/>
        <v>8.1999999999999994E-6</v>
      </c>
      <c r="AP169">
        <v>0.82</v>
      </c>
      <c r="AQ169" s="140">
        <f t="shared" si="29"/>
        <v>8.1999999999999967E-8</v>
      </c>
      <c r="AR169" s="140">
        <f t="shared" si="30"/>
        <v>1.6399999999999996E-7</v>
      </c>
      <c r="AS169" s="140">
        <f t="shared" si="31"/>
        <v>2.4599999999999995E-7</v>
      </c>
      <c r="AT169" s="140">
        <f t="shared" si="32"/>
        <v>3.2799999999999997E-7</v>
      </c>
      <c r="AU169" s="140">
        <f t="shared" si="33"/>
        <v>4.0999999999999999E-7</v>
      </c>
      <c r="AV169" s="157">
        <f>IF(AO169&lt;$B$73*DATA!$H$1037,DATA!$H$1037,IF(AO169&gt;DATA!$H$1036*$B$73,DATA!$H$1036,1))</f>
        <v>1.2</v>
      </c>
      <c r="AW169" s="156">
        <f t="shared" si="34"/>
        <v>9.9999999999999995E-8</v>
      </c>
      <c r="AY169" s="140">
        <f t="shared" si="35"/>
        <v>8.1999999999999994E-6</v>
      </c>
      <c r="AZ169">
        <v>0.82</v>
      </c>
      <c r="BA169" s="140">
        <f t="shared" si="36"/>
        <v>8.1999999999999967E-8</v>
      </c>
      <c r="BB169" s="140">
        <f t="shared" si="37"/>
        <v>1.6399999999999996E-7</v>
      </c>
      <c r="BC169" s="140">
        <f t="shared" si="38"/>
        <v>2.4599999999999995E-7</v>
      </c>
      <c r="BD169" s="140">
        <f t="shared" si="39"/>
        <v>3.2799999999999997E-7</v>
      </c>
      <c r="BE169" s="140">
        <f t="shared" si="40"/>
        <v>4.0999999999999999E-7</v>
      </c>
      <c r="BF169" s="157">
        <f>IF(AY169&lt;$B$89*DATA!$H$1037,DATA!$H$1037,IF(AY169&gt;DATA!$H$1036*$B$89,DATA!$H$1036,1))</f>
        <v>1.2</v>
      </c>
      <c r="BG169" s="156">
        <f t="shared" si="41"/>
        <v>9.9999999999999995E-8</v>
      </c>
      <c r="BI169" s="140">
        <f t="shared" si="42"/>
        <v>8.1999999999999994E-6</v>
      </c>
      <c r="BJ169">
        <v>0.82</v>
      </c>
      <c r="BK169" s="140">
        <f t="shared" si="43"/>
        <v>8.1999999999999967E-8</v>
      </c>
      <c r="BL169" s="140">
        <f t="shared" si="44"/>
        <v>1.6399999999999996E-7</v>
      </c>
      <c r="BM169" s="140">
        <f t="shared" si="45"/>
        <v>2.4599999999999995E-7</v>
      </c>
      <c r="BN169" s="140">
        <f t="shared" si="46"/>
        <v>3.2799999999999997E-7</v>
      </c>
      <c r="BO169" s="140">
        <f t="shared" si="47"/>
        <v>4.0999999999999999E-7</v>
      </c>
      <c r="BP169" s="157">
        <f>IF(BI169&lt;$B$105*DATA!$H$1037,DATA!$H$1037,IF(BI169&gt;DATA!$H$1036*$B$105,DATA!$H$1036,1))</f>
        <v>1.2</v>
      </c>
      <c r="BQ169" s="156">
        <f t="shared" si="48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"/>
        <v>8.3999999999999985E-8</v>
      </c>
      <c r="D170" s="140">
        <f t="shared" si="5"/>
        <v>1.68E-7</v>
      </c>
      <c r="E170" s="140">
        <f t="shared" si="5"/>
        <v>2.5200000000000003E-7</v>
      </c>
      <c r="F170" s="140">
        <f t="shared" si="5"/>
        <v>3.3600000000000004E-7</v>
      </c>
      <c r="G170" s="140">
        <f t="shared" si="5"/>
        <v>4.2000000000000006E-7</v>
      </c>
      <c r="H170" s="157">
        <f>IF(A170&lt;$B$9*DATA!$H$1037,DATA!$H$1037,IF(A170&gt;DATA!$H$1036*$B$9,DATA!$H$1036,1))</f>
        <v>0.8</v>
      </c>
      <c r="I170" s="156">
        <f t="shared" si="6"/>
        <v>9.9999999999999995E-8</v>
      </c>
      <c r="K170" s="140">
        <f t="shared" si="7"/>
        <v>8.4000000000000009E-6</v>
      </c>
      <c r="L170">
        <v>0.84</v>
      </c>
      <c r="M170" s="140">
        <f t="shared" si="8"/>
        <v>8.3999999999999985E-8</v>
      </c>
      <c r="N170" s="140">
        <f t="shared" si="9"/>
        <v>1.68E-7</v>
      </c>
      <c r="O170" s="140">
        <f t="shared" si="10"/>
        <v>2.5200000000000003E-7</v>
      </c>
      <c r="P170" s="140">
        <f t="shared" si="11"/>
        <v>3.3600000000000004E-7</v>
      </c>
      <c r="Q170" s="140">
        <f t="shared" si="12"/>
        <v>4.2000000000000006E-7</v>
      </c>
      <c r="R170" s="157">
        <f>IF(K170&lt;$B$25*DATA!$H$1037,DATA!$H$1037,IF(K170&gt;DATA!$H$1036*$B$25,DATA!$H$1036,1))</f>
        <v>0.8</v>
      </c>
      <c r="S170" s="156">
        <f t="shared" si="13"/>
        <v>9.9999999999999995E-8</v>
      </c>
      <c r="U170" s="140">
        <f t="shared" si="14"/>
        <v>8.4000000000000009E-6</v>
      </c>
      <c r="V170">
        <v>0.84</v>
      </c>
      <c r="W170" s="140">
        <f t="shared" si="15"/>
        <v>8.3999999999999985E-8</v>
      </c>
      <c r="X170" s="140">
        <f t="shared" si="16"/>
        <v>1.68E-7</v>
      </c>
      <c r="Y170" s="140">
        <f t="shared" si="17"/>
        <v>2.5200000000000003E-7</v>
      </c>
      <c r="Z170" s="140">
        <f t="shared" si="18"/>
        <v>3.3600000000000004E-7</v>
      </c>
      <c r="AA170" s="140">
        <f t="shared" si="19"/>
        <v>4.2000000000000006E-7</v>
      </c>
      <c r="AB170" s="157">
        <f>IF(U170&lt;$B$41*DATA!$H$1037,DATA!$H$1037,IF(U170&gt;DATA!$H$1036*$B$41,DATA!$H$1036,1))</f>
        <v>0.8</v>
      </c>
      <c r="AC170" s="156">
        <f t="shared" si="20"/>
        <v>9.9999999999999995E-8</v>
      </c>
      <c r="AE170" s="140">
        <f t="shared" si="21"/>
        <v>8.4000000000000009E-6</v>
      </c>
      <c r="AF170">
        <v>0.84</v>
      </c>
      <c r="AG170" s="140">
        <f t="shared" si="22"/>
        <v>8.3999999999999985E-8</v>
      </c>
      <c r="AH170" s="140">
        <f t="shared" si="23"/>
        <v>1.68E-7</v>
      </c>
      <c r="AI170" s="140">
        <f t="shared" si="24"/>
        <v>2.5200000000000003E-7</v>
      </c>
      <c r="AJ170" s="140">
        <f t="shared" si="25"/>
        <v>3.3600000000000004E-7</v>
      </c>
      <c r="AK170" s="140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27"/>
        <v>9.9999999999999995E-8</v>
      </c>
      <c r="AO170" s="140">
        <f t="shared" si="28"/>
        <v>8.4000000000000009E-6</v>
      </c>
      <c r="AP170">
        <v>0.84</v>
      </c>
      <c r="AQ170" s="140">
        <f t="shared" si="29"/>
        <v>8.3999999999999985E-8</v>
      </c>
      <c r="AR170" s="140">
        <f t="shared" si="30"/>
        <v>1.68E-7</v>
      </c>
      <c r="AS170" s="140">
        <f t="shared" si="31"/>
        <v>2.5200000000000003E-7</v>
      </c>
      <c r="AT170" s="140">
        <f t="shared" si="32"/>
        <v>3.3600000000000004E-7</v>
      </c>
      <c r="AU170" s="140">
        <f t="shared" si="33"/>
        <v>4.2000000000000006E-7</v>
      </c>
      <c r="AV170" s="157">
        <f>IF(AO170&lt;$B$73*DATA!$H$1037,DATA!$H$1037,IF(AO170&gt;DATA!$H$1036*$B$73,DATA!$H$1036,1))</f>
        <v>1.2</v>
      </c>
      <c r="AW170" s="156">
        <f t="shared" si="34"/>
        <v>9.9999999999999995E-8</v>
      </c>
      <c r="AY170" s="140">
        <f t="shared" si="35"/>
        <v>8.4000000000000009E-6</v>
      </c>
      <c r="AZ170">
        <v>0.84</v>
      </c>
      <c r="BA170" s="140">
        <f t="shared" si="36"/>
        <v>8.3999999999999985E-8</v>
      </c>
      <c r="BB170" s="140">
        <f t="shared" si="37"/>
        <v>1.68E-7</v>
      </c>
      <c r="BC170" s="140">
        <f t="shared" si="38"/>
        <v>2.5200000000000003E-7</v>
      </c>
      <c r="BD170" s="140">
        <f t="shared" si="39"/>
        <v>3.3600000000000004E-7</v>
      </c>
      <c r="BE170" s="140">
        <f t="shared" si="40"/>
        <v>4.2000000000000006E-7</v>
      </c>
      <c r="BF170" s="157">
        <f>IF(AY170&lt;$B$89*DATA!$H$1037,DATA!$H$1037,IF(AY170&gt;DATA!$H$1036*$B$89,DATA!$H$1036,1))</f>
        <v>1.2</v>
      </c>
      <c r="BG170" s="156">
        <f t="shared" si="41"/>
        <v>9.9999999999999995E-8</v>
      </c>
      <c r="BI170" s="140">
        <f t="shared" si="42"/>
        <v>8.4000000000000009E-6</v>
      </c>
      <c r="BJ170">
        <v>0.84</v>
      </c>
      <c r="BK170" s="140">
        <f t="shared" si="43"/>
        <v>8.3999999999999985E-8</v>
      </c>
      <c r="BL170" s="140">
        <f t="shared" si="44"/>
        <v>1.68E-7</v>
      </c>
      <c r="BM170" s="140">
        <f t="shared" si="45"/>
        <v>2.5200000000000003E-7</v>
      </c>
      <c r="BN170" s="140">
        <f t="shared" si="46"/>
        <v>3.3600000000000004E-7</v>
      </c>
      <c r="BO170" s="140">
        <f t="shared" si="47"/>
        <v>4.2000000000000006E-7</v>
      </c>
      <c r="BP170" s="157">
        <f>IF(BI170&lt;$B$105*DATA!$H$1037,DATA!$H$1037,IF(BI170&gt;DATA!$H$1036*$B$105,DATA!$H$1036,1))</f>
        <v>1.2</v>
      </c>
      <c r="BQ170" s="156">
        <f t="shared" si="48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"/>
        <v>8.5999999999999976E-8</v>
      </c>
      <c r="D171" s="140">
        <f t="shared" si="5"/>
        <v>1.7199999999999998E-7</v>
      </c>
      <c r="E171" s="140">
        <f t="shared" si="5"/>
        <v>2.5800000000000001E-7</v>
      </c>
      <c r="F171" s="140">
        <f t="shared" si="5"/>
        <v>3.4400000000000001E-7</v>
      </c>
      <c r="G171" s="140">
        <f t="shared" si="5"/>
        <v>4.3000000000000007E-7</v>
      </c>
      <c r="H171" s="157">
        <f>IF(A171&lt;$B$9*DATA!$H$1037,DATA!$H$1037,IF(A171&gt;DATA!$H$1036*$B$9,DATA!$H$1036,1))</f>
        <v>0.8</v>
      </c>
      <c r="I171" s="156">
        <f t="shared" si="6"/>
        <v>9.9999999999999995E-8</v>
      </c>
      <c r="K171" s="140">
        <f t="shared" si="7"/>
        <v>8.6000000000000007E-6</v>
      </c>
      <c r="L171">
        <v>0.86</v>
      </c>
      <c r="M171" s="140">
        <f t="shared" si="8"/>
        <v>8.5999999999999976E-8</v>
      </c>
      <c r="N171" s="140">
        <f t="shared" si="9"/>
        <v>1.7199999999999998E-7</v>
      </c>
      <c r="O171" s="140">
        <f t="shared" si="10"/>
        <v>2.5800000000000001E-7</v>
      </c>
      <c r="P171" s="140">
        <f t="shared" si="11"/>
        <v>3.4400000000000001E-7</v>
      </c>
      <c r="Q171" s="140">
        <f t="shared" si="12"/>
        <v>4.3000000000000007E-7</v>
      </c>
      <c r="R171" s="157">
        <f>IF(K171&lt;$B$25*DATA!$H$1037,DATA!$H$1037,IF(K171&gt;DATA!$H$1036*$B$25,DATA!$H$1036,1))</f>
        <v>0.8</v>
      </c>
      <c r="S171" s="156">
        <f t="shared" si="13"/>
        <v>9.9999999999999995E-8</v>
      </c>
      <c r="U171" s="140">
        <f t="shared" si="14"/>
        <v>8.6000000000000007E-6</v>
      </c>
      <c r="V171">
        <v>0.86</v>
      </c>
      <c r="W171" s="140">
        <f t="shared" si="15"/>
        <v>8.5999999999999976E-8</v>
      </c>
      <c r="X171" s="140">
        <f t="shared" si="16"/>
        <v>1.7199999999999998E-7</v>
      </c>
      <c r="Y171" s="140">
        <f t="shared" si="17"/>
        <v>2.5800000000000001E-7</v>
      </c>
      <c r="Z171" s="140">
        <f t="shared" si="18"/>
        <v>3.4400000000000001E-7</v>
      </c>
      <c r="AA171" s="140">
        <f t="shared" si="19"/>
        <v>4.3000000000000007E-7</v>
      </c>
      <c r="AB171" s="157">
        <f>IF(U171&lt;$B$41*DATA!$H$1037,DATA!$H$1037,IF(U171&gt;DATA!$H$1036*$B$41,DATA!$H$1036,1))</f>
        <v>0.8</v>
      </c>
      <c r="AC171" s="156">
        <f t="shared" si="20"/>
        <v>9.9999999999999995E-8</v>
      </c>
      <c r="AE171" s="140">
        <f t="shared" si="21"/>
        <v>8.6000000000000007E-6</v>
      </c>
      <c r="AF171">
        <v>0.86</v>
      </c>
      <c r="AG171" s="140">
        <f t="shared" si="22"/>
        <v>8.5999999999999976E-8</v>
      </c>
      <c r="AH171" s="140">
        <f t="shared" si="23"/>
        <v>1.7199999999999998E-7</v>
      </c>
      <c r="AI171" s="140">
        <f t="shared" si="24"/>
        <v>2.5800000000000001E-7</v>
      </c>
      <c r="AJ171" s="140">
        <f t="shared" si="25"/>
        <v>3.4400000000000001E-7</v>
      </c>
      <c r="AK171" s="140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27"/>
        <v>9.9999999999999995E-8</v>
      </c>
      <c r="AO171" s="140">
        <f t="shared" si="28"/>
        <v>8.6000000000000007E-6</v>
      </c>
      <c r="AP171">
        <v>0.86</v>
      </c>
      <c r="AQ171" s="140">
        <f t="shared" si="29"/>
        <v>8.5999999999999976E-8</v>
      </c>
      <c r="AR171" s="140">
        <f t="shared" si="30"/>
        <v>1.7199999999999998E-7</v>
      </c>
      <c r="AS171" s="140">
        <f t="shared" si="31"/>
        <v>2.5800000000000001E-7</v>
      </c>
      <c r="AT171" s="140">
        <f t="shared" si="32"/>
        <v>3.4400000000000001E-7</v>
      </c>
      <c r="AU171" s="140">
        <f t="shared" si="33"/>
        <v>4.3000000000000007E-7</v>
      </c>
      <c r="AV171" s="157">
        <f>IF(AO171&lt;$B$73*DATA!$H$1037,DATA!$H$1037,IF(AO171&gt;DATA!$H$1036*$B$73,DATA!$H$1036,1))</f>
        <v>1.2</v>
      </c>
      <c r="AW171" s="156">
        <f t="shared" si="34"/>
        <v>9.9999999999999995E-8</v>
      </c>
      <c r="AY171" s="140">
        <f t="shared" si="35"/>
        <v>8.6000000000000007E-6</v>
      </c>
      <c r="AZ171">
        <v>0.86</v>
      </c>
      <c r="BA171" s="140">
        <f t="shared" si="36"/>
        <v>8.5999999999999976E-8</v>
      </c>
      <c r="BB171" s="140">
        <f t="shared" si="37"/>
        <v>1.7199999999999998E-7</v>
      </c>
      <c r="BC171" s="140">
        <f t="shared" si="38"/>
        <v>2.5800000000000001E-7</v>
      </c>
      <c r="BD171" s="140">
        <f t="shared" si="39"/>
        <v>3.4400000000000001E-7</v>
      </c>
      <c r="BE171" s="140">
        <f t="shared" si="40"/>
        <v>4.3000000000000007E-7</v>
      </c>
      <c r="BF171" s="157">
        <f>IF(AY171&lt;$B$89*DATA!$H$1037,DATA!$H$1037,IF(AY171&gt;DATA!$H$1036*$B$89,DATA!$H$1036,1))</f>
        <v>1.2</v>
      </c>
      <c r="BG171" s="156">
        <f t="shared" si="41"/>
        <v>9.9999999999999995E-8</v>
      </c>
      <c r="BI171" s="140">
        <f t="shared" si="42"/>
        <v>8.6000000000000007E-6</v>
      </c>
      <c r="BJ171">
        <v>0.86</v>
      </c>
      <c r="BK171" s="140">
        <f t="shared" si="43"/>
        <v>8.5999999999999976E-8</v>
      </c>
      <c r="BL171" s="140">
        <f t="shared" si="44"/>
        <v>1.7199999999999998E-7</v>
      </c>
      <c r="BM171" s="140">
        <f t="shared" si="45"/>
        <v>2.5800000000000001E-7</v>
      </c>
      <c r="BN171" s="140">
        <f t="shared" si="46"/>
        <v>3.4400000000000001E-7</v>
      </c>
      <c r="BO171" s="140">
        <f t="shared" si="47"/>
        <v>4.3000000000000007E-7</v>
      </c>
      <c r="BP171" s="157">
        <f>IF(BI171&lt;$B$105*DATA!$H$1037,DATA!$H$1037,IF(BI171&gt;DATA!$H$1036*$B$105,DATA!$H$1036,1))</f>
        <v>1.2</v>
      </c>
      <c r="BQ171" s="156">
        <f t="shared" si="48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"/>
        <v>8.8000000000000073E-8</v>
      </c>
      <c r="D172" s="140">
        <f t="shared" si="5"/>
        <v>1.7600000000000017E-7</v>
      </c>
      <c r="E172" s="140">
        <f t="shared" si="5"/>
        <v>2.640000000000003E-7</v>
      </c>
      <c r="F172" s="140">
        <f t="shared" si="5"/>
        <v>3.5200000000000045E-7</v>
      </c>
      <c r="G172" s="140">
        <f t="shared" si="5"/>
        <v>4.4000000000000055E-7</v>
      </c>
      <c r="H172" s="157">
        <f>IF(A172&lt;$B$9*DATA!$H$1037,DATA!$H$1037,IF(A172&gt;DATA!$H$1036*$B$9,DATA!$H$1036,1))</f>
        <v>0.8</v>
      </c>
      <c r="I172" s="156">
        <f t="shared" si="6"/>
        <v>9.9999999999999995E-8</v>
      </c>
      <c r="K172" s="140">
        <f t="shared" si="7"/>
        <v>8.8000000000000106E-6</v>
      </c>
      <c r="L172">
        <v>0.880000000000001</v>
      </c>
      <c r="M172" s="140">
        <f t="shared" si="8"/>
        <v>8.8000000000000073E-8</v>
      </c>
      <c r="N172" s="140">
        <f t="shared" si="9"/>
        <v>1.7600000000000017E-7</v>
      </c>
      <c r="O172" s="140">
        <f t="shared" si="10"/>
        <v>2.640000000000003E-7</v>
      </c>
      <c r="P172" s="140">
        <f t="shared" si="11"/>
        <v>3.5200000000000045E-7</v>
      </c>
      <c r="Q172" s="140">
        <f t="shared" si="12"/>
        <v>4.4000000000000055E-7</v>
      </c>
      <c r="R172" s="157">
        <f>IF(K172&lt;$B$25*DATA!$H$1037,DATA!$H$1037,IF(K172&gt;DATA!$H$1036*$B$25,DATA!$H$1036,1))</f>
        <v>0.8</v>
      </c>
      <c r="S172" s="156">
        <f t="shared" si="13"/>
        <v>9.9999999999999995E-8</v>
      </c>
      <c r="U172" s="140">
        <f t="shared" si="14"/>
        <v>8.8000000000000106E-6</v>
      </c>
      <c r="V172">
        <v>0.880000000000001</v>
      </c>
      <c r="W172" s="140">
        <f t="shared" si="15"/>
        <v>8.8000000000000073E-8</v>
      </c>
      <c r="X172" s="140">
        <f t="shared" si="16"/>
        <v>1.7600000000000017E-7</v>
      </c>
      <c r="Y172" s="140">
        <f t="shared" si="17"/>
        <v>2.640000000000003E-7</v>
      </c>
      <c r="Z172" s="140">
        <f t="shared" si="18"/>
        <v>3.5200000000000045E-7</v>
      </c>
      <c r="AA172" s="140">
        <f t="shared" si="19"/>
        <v>4.4000000000000055E-7</v>
      </c>
      <c r="AB172" s="157">
        <f>IF(U172&lt;$B$41*DATA!$H$1037,DATA!$H$1037,IF(U172&gt;DATA!$H$1036*$B$41,DATA!$H$1036,1))</f>
        <v>0.8</v>
      </c>
      <c r="AC172" s="156">
        <f t="shared" si="20"/>
        <v>9.9999999999999995E-8</v>
      </c>
      <c r="AE172" s="140">
        <f t="shared" si="21"/>
        <v>8.8000000000000106E-6</v>
      </c>
      <c r="AF172">
        <v>0.880000000000001</v>
      </c>
      <c r="AG172" s="140">
        <f t="shared" si="22"/>
        <v>8.8000000000000073E-8</v>
      </c>
      <c r="AH172" s="140">
        <f t="shared" si="23"/>
        <v>1.7600000000000017E-7</v>
      </c>
      <c r="AI172" s="140">
        <f t="shared" si="24"/>
        <v>2.640000000000003E-7</v>
      </c>
      <c r="AJ172" s="140">
        <f t="shared" si="25"/>
        <v>3.5200000000000045E-7</v>
      </c>
      <c r="AK172" s="140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27"/>
        <v>9.9999999999999995E-8</v>
      </c>
      <c r="AO172" s="140">
        <f t="shared" si="28"/>
        <v>8.8000000000000106E-6</v>
      </c>
      <c r="AP172">
        <v>0.880000000000001</v>
      </c>
      <c r="AQ172" s="140">
        <f t="shared" si="29"/>
        <v>8.8000000000000073E-8</v>
      </c>
      <c r="AR172" s="140">
        <f t="shared" si="30"/>
        <v>1.7600000000000017E-7</v>
      </c>
      <c r="AS172" s="140">
        <f t="shared" si="31"/>
        <v>2.640000000000003E-7</v>
      </c>
      <c r="AT172" s="140">
        <f t="shared" si="32"/>
        <v>3.5200000000000045E-7</v>
      </c>
      <c r="AU172" s="140">
        <f t="shared" si="33"/>
        <v>4.4000000000000055E-7</v>
      </c>
      <c r="AV172" s="157">
        <f>IF(AO172&lt;$B$73*DATA!$H$1037,DATA!$H$1037,IF(AO172&gt;DATA!$H$1036*$B$73,DATA!$H$1036,1))</f>
        <v>1.2</v>
      </c>
      <c r="AW172" s="156">
        <f t="shared" si="34"/>
        <v>9.9999999999999995E-8</v>
      </c>
      <c r="AY172" s="140">
        <f t="shared" si="35"/>
        <v>8.8000000000000106E-6</v>
      </c>
      <c r="AZ172">
        <v>0.880000000000001</v>
      </c>
      <c r="BA172" s="140">
        <f t="shared" si="36"/>
        <v>8.8000000000000073E-8</v>
      </c>
      <c r="BB172" s="140">
        <f t="shared" si="37"/>
        <v>1.7600000000000017E-7</v>
      </c>
      <c r="BC172" s="140">
        <f t="shared" si="38"/>
        <v>2.640000000000003E-7</v>
      </c>
      <c r="BD172" s="140">
        <f t="shared" si="39"/>
        <v>3.5200000000000045E-7</v>
      </c>
      <c r="BE172" s="140">
        <f t="shared" si="40"/>
        <v>4.4000000000000055E-7</v>
      </c>
      <c r="BF172" s="157">
        <f>IF(AY172&lt;$B$89*DATA!$H$1037,DATA!$H$1037,IF(AY172&gt;DATA!$H$1036*$B$89,DATA!$H$1036,1))</f>
        <v>1.2</v>
      </c>
      <c r="BG172" s="156">
        <f t="shared" si="41"/>
        <v>9.9999999999999995E-8</v>
      </c>
      <c r="BI172" s="140">
        <f t="shared" si="42"/>
        <v>8.8000000000000106E-6</v>
      </c>
      <c r="BJ172">
        <v>0.880000000000001</v>
      </c>
      <c r="BK172" s="140">
        <f t="shared" si="43"/>
        <v>8.8000000000000073E-8</v>
      </c>
      <c r="BL172" s="140">
        <f t="shared" si="44"/>
        <v>1.7600000000000017E-7</v>
      </c>
      <c r="BM172" s="140">
        <f t="shared" si="45"/>
        <v>2.640000000000003E-7</v>
      </c>
      <c r="BN172" s="140">
        <f t="shared" si="46"/>
        <v>3.5200000000000045E-7</v>
      </c>
      <c r="BO172" s="140">
        <f t="shared" si="47"/>
        <v>4.4000000000000055E-7</v>
      </c>
      <c r="BP172" s="157">
        <f>IF(BI172&lt;$B$105*DATA!$H$1037,DATA!$H$1037,IF(BI172&gt;DATA!$H$1036*$B$105,DATA!$H$1036,1))</f>
        <v>1.2</v>
      </c>
      <c r="BQ172" s="156">
        <f t="shared" si="48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"/>
        <v>9.0000000000000078E-8</v>
      </c>
      <c r="D173" s="140">
        <f t="shared" si="5"/>
        <v>1.8000000000000018E-7</v>
      </c>
      <c r="E173" s="140">
        <f t="shared" si="5"/>
        <v>2.7000000000000033E-7</v>
      </c>
      <c r="F173" s="140">
        <f t="shared" si="5"/>
        <v>3.6000000000000042E-7</v>
      </c>
      <c r="G173" s="140">
        <f t="shared" si="5"/>
        <v>4.5000000000000056E-7</v>
      </c>
      <c r="H173" s="157">
        <f>IF(A173&lt;$B$9*DATA!$H$1037,DATA!$H$1037,IF(A173&gt;DATA!$H$1036*$B$9,DATA!$H$1036,1))</f>
        <v>0.8</v>
      </c>
      <c r="I173" s="156">
        <f t="shared" si="6"/>
        <v>9.9999999999999995E-8</v>
      </c>
      <c r="K173" s="140">
        <f t="shared" si="7"/>
        <v>9.0000000000000104E-6</v>
      </c>
      <c r="L173">
        <v>0.90000000000000102</v>
      </c>
      <c r="M173" s="140">
        <f t="shared" si="8"/>
        <v>9.0000000000000078E-8</v>
      </c>
      <c r="N173" s="140">
        <f t="shared" si="9"/>
        <v>1.8000000000000018E-7</v>
      </c>
      <c r="O173" s="140">
        <f t="shared" si="10"/>
        <v>2.7000000000000033E-7</v>
      </c>
      <c r="P173" s="140">
        <f t="shared" si="11"/>
        <v>3.6000000000000042E-7</v>
      </c>
      <c r="Q173" s="140">
        <f t="shared" si="12"/>
        <v>4.5000000000000056E-7</v>
      </c>
      <c r="R173" s="157">
        <f>IF(K173&lt;$B$25*DATA!$H$1037,DATA!$H$1037,IF(K173&gt;DATA!$H$1036*$B$25,DATA!$H$1036,1))</f>
        <v>0.8</v>
      </c>
      <c r="S173" s="156">
        <f t="shared" si="13"/>
        <v>9.9999999999999995E-8</v>
      </c>
      <c r="U173" s="140">
        <f t="shared" si="14"/>
        <v>9.0000000000000104E-6</v>
      </c>
      <c r="V173">
        <v>0.90000000000000102</v>
      </c>
      <c r="W173" s="140">
        <f t="shared" si="15"/>
        <v>9.0000000000000078E-8</v>
      </c>
      <c r="X173" s="140">
        <f t="shared" si="16"/>
        <v>1.8000000000000018E-7</v>
      </c>
      <c r="Y173" s="140">
        <f t="shared" si="17"/>
        <v>2.7000000000000033E-7</v>
      </c>
      <c r="Z173" s="140">
        <f t="shared" si="18"/>
        <v>3.6000000000000042E-7</v>
      </c>
      <c r="AA173" s="140">
        <f t="shared" si="19"/>
        <v>4.5000000000000056E-7</v>
      </c>
      <c r="AB173" s="157">
        <f>IF(U173&lt;$B$41*DATA!$H$1037,DATA!$H$1037,IF(U173&gt;DATA!$H$1036*$B$41,DATA!$H$1036,1))</f>
        <v>0.8</v>
      </c>
      <c r="AC173" s="156">
        <f t="shared" si="20"/>
        <v>9.9999999999999995E-8</v>
      </c>
      <c r="AE173" s="140">
        <f t="shared" si="21"/>
        <v>9.0000000000000104E-6</v>
      </c>
      <c r="AF173">
        <v>0.90000000000000102</v>
      </c>
      <c r="AG173" s="140">
        <f t="shared" si="22"/>
        <v>9.0000000000000078E-8</v>
      </c>
      <c r="AH173" s="140">
        <f t="shared" si="23"/>
        <v>1.8000000000000018E-7</v>
      </c>
      <c r="AI173" s="140">
        <f t="shared" si="24"/>
        <v>2.7000000000000033E-7</v>
      </c>
      <c r="AJ173" s="140">
        <f t="shared" si="25"/>
        <v>3.6000000000000042E-7</v>
      </c>
      <c r="AK173" s="140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27"/>
        <v>9.9999999999999995E-8</v>
      </c>
      <c r="AO173" s="140">
        <f t="shared" si="28"/>
        <v>9.0000000000000104E-6</v>
      </c>
      <c r="AP173">
        <v>0.90000000000000102</v>
      </c>
      <c r="AQ173" s="140">
        <f t="shared" si="29"/>
        <v>9.0000000000000078E-8</v>
      </c>
      <c r="AR173" s="140">
        <f t="shared" si="30"/>
        <v>1.8000000000000018E-7</v>
      </c>
      <c r="AS173" s="140">
        <f t="shared" si="31"/>
        <v>2.7000000000000033E-7</v>
      </c>
      <c r="AT173" s="140">
        <f t="shared" si="32"/>
        <v>3.6000000000000042E-7</v>
      </c>
      <c r="AU173" s="140">
        <f t="shared" si="33"/>
        <v>4.5000000000000056E-7</v>
      </c>
      <c r="AV173" s="157">
        <f>IF(AO173&lt;$B$73*DATA!$H$1037,DATA!$H$1037,IF(AO173&gt;DATA!$H$1036*$B$73,DATA!$H$1036,1))</f>
        <v>1.2</v>
      </c>
      <c r="AW173" s="156">
        <f t="shared" si="34"/>
        <v>9.9999999999999995E-8</v>
      </c>
      <c r="AY173" s="140">
        <f t="shared" si="35"/>
        <v>9.0000000000000104E-6</v>
      </c>
      <c r="AZ173">
        <v>0.90000000000000102</v>
      </c>
      <c r="BA173" s="140">
        <f t="shared" si="36"/>
        <v>9.0000000000000078E-8</v>
      </c>
      <c r="BB173" s="140">
        <f t="shared" si="37"/>
        <v>1.8000000000000018E-7</v>
      </c>
      <c r="BC173" s="140">
        <f t="shared" si="38"/>
        <v>2.7000000000000033E-7</v>
      </c>
      <c r="BD173" s="140">
        <f t="shared" si="39"/>
        <v>3.6000000000000042E-7</v>
      </c>
      <c r="BE173" s="140">
        <f t="shared" si="40"/>
        <v>4.5000000000000056E-7</v>
      </c>
      <c r="BF173" s="157">
        <f>IF(AY173&lt;$B$89*DATA!$H$1037,DATA!$H$1037,IF(AY173&gt;DATA!$H$1036*$B$89,DATA!$H$1036,1))</f>
        <v>1.2</v>
      </c>
      <c r="BG173" s="156">
        <f t="shared" si="41"/>
        <v>9.9999999999999995E-8</v>
      </c>
      <c r="BI173" s="140">
        <f t="shared" si="42"/>
        <v>9.0000000000000104E-6</v>
      </c>
      <c r="BJ173">
        <v>0.90000000000000102</v>
      </c>
      <c r="BK173" s="140">
        <f t="shared" si="43"/>
        <v>9.0000000000000078E-8</v>
      </c>
      <c r="BL173" s="140">
        <f t="shared" si="44"/>
        <v>1.8000000000000018E-7</v>
      </c>
      <c r="BM173" s="140">
        <f t="shared" si="45"/>
        <v>2.7000000000000033E-7</v>
      </c>
      <c r="BN173" s="140">
        <f t="shared" si="46"/>
        <v>3.6000000000000042E-7</v>
      </c>
      <c r="BO173" s="140">
        <f t="shared" si="47"/>
        <v>4.5000000000000056E-7</v>
      </c>
      <c r="BP173" s="157">
        <f>IF(BI173&lt;$B$105*DATA!$H$1037,DATA!$H$1037,IF(BI173&gt;DATA!$H$1036*$B$105,DATA!$H$1036,1))</f>
        <v>1.2</v>
      </c>
      <c r="BQ173" s="156">
        <f t="shared" si="48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"/>
        <v>9.2000000000000083E-8</v>
      </c>
      <c r="D174" s="140">
        <f t="shared" si="5"/>
        <v>1.8400000000000022E-7</v>
      </c>
      <c r="E174" s="140">
        <f t="shared" si="5"/>
        <v>2.7600000000000035E-7</v>
      </c>
      <c r="F174" s="140">
        <f t="shared" si="5"/>
        <v>3.6800000000000049E-7</v>
      </c>
      <c r="G174" s="140">
        <f t="shared" si="5"/>
        <v>4.6000000000000063E-7</v>
      </c>
      <c r="H174" s="157">
        <f>IF(A174&lt;$B$9*DATA!$H$1037,DATA!$H$1037,IF(A174&gt;DATA!$H$1036*$B$9,DATA!$H$1036,1))</f>
        <v>0.8</v>
      </c>
      <c r="I174" s="156">
        <f t="shared" si="6"/>
        <v>9.9999999999999995E-8</v>
      </c>
      <c r="K174" s="140">
        <f t="shared" si="7"/>
        <v>9.2000000000000119E-6</v>
      </c>
      <c r="L174">
        <v>0.92000000000000104</v>
      </c>
      <c r="M174" s="140">
        <f t="shared" si="8"/>
        <v>9.2000000000000083E-8</v>
      </c>
      <c r="N174" s="140">
        <f t="shared" si="9"/>
        <v>1.8400000000000022E-7</v>
      </c>
      <c r="O174" s="140">
        <f t="shared" si="10"/>
        <v>2.7600000000000035E-7</v>
      </c>
      <c r="P174" s="140">
        <f t="shared" si="11"/>
        <v>3.6800000000000049E-7</v>
      </c>
      <c r="Q174" s="140">
        <f t="shared" si="12"/>
        <v>4.6000000000000063E-7</v>
      </c>
      <c r="R174" s="157">
        <f>IF(K174&lt;$B$25*DATA!$H$1037,DATA!$H$1037,IF(K174&gt;DATA!$H$1036*$B$25,DATA!$H$1036,1))</f>
        <v>0.8</v>
      </c>
      <c r="S174" s="156">
        <f t="shared" si="13"/>
        <v>9.9999999999999995E-8</v>
      </c>
      <c r="U174" s="140">
        <f t="shared" si="14"/>
        <v>9.2000000000000119E-6</v>
      </c>
      <c r="V174">
        <v>0.92000000000000104</v>
      </c>
      <c r="W174" s="140">
        <f t="shared" si="15"/>
        <v>9.2000000000000083E-8</v>
      </c>
      <c r="X174" s="140">
        <f t="shared" si="16"/>
        <v>1.8400000000000022E-7</v>
      </c>
      <c r="Y174" s="140">
        <f t="shared" si="17"/>
        <v>2.7600000000000035E-7</v>
      </c>
      <c r="Z174" s="140">
        <f t="shared" si="18"/>
        <v>3.6800000000000049E-7</v>
      </c>
      <c r="AA174" s="140">
        <f t="shared" si="19"/>
        <v>4.6000000000000063E-7</v>
      </c>
      <c r="AB174" s="157">
        <f>IF(U174&lt;$B$41*DATA!$H$1037,DATA!$H$1037,IF(U174&gt;DATA!$H$1036*$B$41,DATA!$H$1036,1))</f>
        <v>0.8</v>
      </c>
      <c r="AC174" s="156">
        <f t="shared" si="20"/>
        <v>9.9999999999999995E-8</v>
      </c>
      <c r="AE174" s="140">
        <f t="shared" si="21"/>
        <v>9.2000000000000119E-6</v>
      </c>
      <c r="AF174">
        <v>0.92000000000000104</v>
      </c>
      <c r="AG174" s="140">
        <f t="shared" si="22"/>
        <v>9.2000000000000083E-8</v>
      </c>
      <c r="AH174" s="140">
        <f t="shared" si="23"/>
        <v>1.8400000000000022E-7</v>
      </c>
      <c r="AI174" s="140">
        <f t="shared" si="24"/>
        <v>2.7600000000000035E-7</v>
      </c>
      <c r="AJ174" s="140">
        <f t="shared" si="25"/>
        <v>3.6800000000000049E-7</v>
      </c>
      <c r="AK174" s="140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27"/>
        <v>9.9999999999999995E-8</v>
      </c>
      <c r="AO174" s="140">
        <f t="shared" si="28"/>
        <v>9.2000000000000119E-6</v>
      </c>
      <c r="AP174">
        <v>0.92000000000000104</v>
      </c>
      <c r="AQ174" s="140">
        <f t="shared" si="29"/>
        <v>9.2000000000000083E-8</v>
      </c>
      <c r="AR174" s="140">
        <f t="shared" si="30"/>
        <v>1.8400000000000022E-7</v>
      </c>
      <c r="AS174" s="140">
        <f t="shared" si="31"/>
        <v>2.7600000000000035E-7</v>
      </c>
      <c r="AT174" s="140">
        <f t="shared" si="32"/>
        <v>3.6800000000000049E-7</v>
      </c>
      <c r="AU174" s="140">
        <f t="shared" si="33"/>
        <v>4.6000000000000063E-7</v>
      </c>
      <c r="AV174" s="157">
        <f>IF(AO174&lt;$B$73*DATA!$H$1037,DATA!$H$1037,IF(AO174&gt;DATA!$H$1036*$B$73,DATA!$H$1036,1))</f>
        <v>1.2</v>
      </c>
      <c r="AW174" s="156">
        <f t="shared" si="34"/>
        <v>9.9999999999999995E-8</v>
      </c>
      <c r="AY174" s="140">
        <f t="shared" si="35"/>
        <v>9.2000000000000119E-6</v>
      </c>
      <c r="AZ174">
        <v>0.92000000000000104</v>
      </c>
      <c r="BA174" s="140">
        <f t="shared" si="36"/>
        <v>9.2000000000000083E-8</v>
      </c>
      <c r="BB174" s="140">
        <f t="shared" si="37"/>
        <v>1.8400000000000022E-7</v>
      </c>
      <c r="BC174" s="140">
        <f t="shared" si="38"/>
        <v>2.7600000000000035E-7</v>
      </c>
      <c r="BD174" s="140">
        <f t="shared" si="39"/>
        <v>3.6800000000000049E-7</v>
      </c>
      <c r="BE174" s="140">
        <f t="shared" si="40"/>
        <v>4.6000000000000063E-7</v>
      </c>
      <c r="BF174" s="157">
        <f>IF(AY174&lt;$B$89*DATA!$H$1037,DATA!$H$1037,IF(AY174&gt;DATA!$H$1036*$B$89,DATA!$H$1036,1))</f>
        <v>1.2</v>
      </c>
      <c r="BG174" s="156">
        <f t="shared" si="41"/>
        <v>9.9999999999999995E-8</v>
      </c>
      <c r="BI174" s="140">
        <f t="shared" si="42"/>
        <v>9.2000000000000119E-6</v>
      </c>
      <c r="BJ174">
        <v>0.92000000000000104</v>
      </c>
      <c r="BK174" s="140">
        <f t="shared" si="43"/>
        <v>9.2000000000000083E-8</v>
      </c>
      <c r="BL174" s="140">
        <f t="shared" si="44"/>
        <v>1.8400000000000022E-7</v>
      </c>
      <c r="BM174" s="140">
        <f t="shared" si="45"/>
        <v>2.7600000000000035E-7</v>
      </c>
      <c r="BN174" s="140">
        <f t="shared" si="46"/>
        <v>3.6800000000000049E-7</v>
      </c>
      <c r="BO174" s="140">
        <f t="shared" si="47"/>
        <v>4.6000000000000063E-7</v>
      </c>
      <c r="BP174" s="157">
        <f>IF(BI174&lt;$B$105*DATA!$H$1037,DATA!$H$1037,IF(BI174&gt;DATA!$H$1036*$B$105,DATA!$H$1036,1))</f>
        <v>1.2</v>
      </c>
      <c r="BQ174" s="156">
        <f t="shared" si="48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si="5"/>
        <v>9.4000000000000074E-8</v>
      </c>
      <c r="D175" s="140">
        <f t="shared" si="5"/>
        <v>1.8800000000000017E-7</v>
      </c>
      <c r="E175" s="140">
        <f t="shared" si="5"/>
        <v>2.8200000000000028E-7</v>
      </c>
      <c r="F175" s="140">
        <f t="shared" si="5"/>
        <v>3.760000000000004E-7</v>
      </c>
      <c r="G175" s="140">
        <f t="shared" si="5"/>
        <v>4.7000000000000053E-7</v>
      </c>
      <c r="H175" s="157">
        <f>IF(A175&lt;$B$9*DATA!$H$1037,DATA!$H$1037,IF(A175&gt;DATA!$H$1036*$B$9,DATA!$H$1036,1))</f>
        <v>0.8</v>
      </c>
      <c r="I175" s="156">
        <f t="shared" si="6"/>
        <v>9.9999999999999995E-8</v>
      </c>
      <c r="K175" s="140">
        <f t="shared" si="7"/>
        <v>9.40000000000001E-6</v>
      </c>
      <c r="L175">
        <v>0.94000000000000095</v>
      </c>
      <c r="M175" s="140">
        <f t="shared" si="8"/>
        <v>9.4000000000000074E-8</v>
      </c>
      <c r="N175" s="140">
        <f t="shared" si="9"/>
        <v>1.8800000000000017E-7</v>
      </c>
      <c r="O175" s="140">
        <f t="shared" si="10"/>
        <v>2.8200000000000028E-7</v>
      </c>
      <c r="P175" s="140">
        <f t="shared" si="11"/>
        <v>3.760000000000004E-7</v>
      </c>
      <c r="Q175" s="140">
        <f t="shared" si="12"/>
        <v>4.7000000000000053E-7</v>
      </c>
      <c r="R175" s="157">
        <f>IF(K175&lt;$B$25*DATA!$H$1037,DATA!$H$1037,IF(K175&gt;DATA!$H$1036*$B$25,DATA!$H$1036,1))</f>
        <v>0.8</v>
      </c>
      <c r="S175" s="156">
        <f t="shared" si="13"/>
        <v>9.9999999999999995E-8</v>
      </c>
      <c r="U175" s="140">
        <f t="shared" si="14"/>
        <v>9.40000000000001E-6</v>
      </c>
      <c r="V175">
        <v>0.94000000000000095</v>
      </c>
      <c r="W175" s="140">
        <f t="shared" si="15"/>
        <v>9.4000000000000074E-8</v>
      </c>
      <c r="X175" s="140">
        <f t="shared" si="16"/>
        <v>1.8800000000000017E-7</v>
      </c>
      <c r="Y175" s="140">
        <f t="shared" si="17"/>
        <v>2.8200000000000028E-7</v>
      </c>
      <c r="Z175" s="140">
        <f t="shared" si="18"/>
        <v>3.760000000000004E-7</v>
      </c>
      <c r="AA175" s="140">
        <f t="shared" si="19"/>
        <v>4.7000000000000053E-7</v>
      </c>
      <c r="AB175" s="157">
        <f>IF(U175&lt;$B$41*DATA!$H$1037,DATA!$H$1037,IF(U175&gt;DATA!$H$1036*$B$41,DATA!$H$1036,1))</f>
        <v>0.8</v>
      </c>
      <c r="AC175" s="156">
        <f t="shared" si="20"/>
        <v>9.9999999999999995E-8</v>
      </c>
      <c r="AE175" s="140">
        <f t="shared" si="21"/>
        <v>9.40000000000001E-6</v>
      </c>
      <c r="AF175">
        <v>0.94000000000000095</v>
      </c>
      <c r="AG175" s="140">
        <f t="shared" si="22"/>
        <v>9.4000000000000074E-8</v>
      </c>
      <c r="AH175" s="140">
        <f t="shared" si="23"/>
        <v>1.8800000000000017E-7</v>
      </c>
      <c r="AI175" s="140">
        <f t="shared" si="24"/>
        <v>2.8200000000000028E-7</v>
      </c>
      <c r="AJ175" s="140">
        <f t="shared" si="25"/>
        <v>3.760000000000004E-7</v>
      </c>
      <c r="AK175" s="140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si="27"/>
        <v>9.9999999999999995E-8</v>
      </c>
      <c r="AO175" s="140">
        <f t="shared" si="28"/>
        <v>9.40000000000001E-6</v>
      </c>
      <c r="AP175">
        <v>0.94000000000000095</v>
      </c>
      <c r="AQ175" s="140">
        <f t="shared" si="29"/>
        <v>9.4000000000000074E-8</v>
      </c>
      <c r="AR175" s="140">
        <f t="shared" si="30"/>
        <v>1.8800000000000017E-7</v>
      </c>
      <c r="AS175" s="140">
        <f t="shared" si="31"/>
        <v>2.8200000000000028E-7</v>
      </c>
      <c r="AT175" s="140">
        <f t="shared" si="32"/>
        <v>3.760000000000004E-7</v>
      </c>
      <c r="AU175" s="140">
        <f t="shared" si="33"/>
        <v>4.7000000000000053E-7</v>
      </c>
      <c r="AV175" s="157">
        <f>IF(AO175&lt;$B$73*DATA!$H$1037,DATA!$H$1037,IF(AO175&gt;DATA!$H$1036*$B$73,DATA!$H$1036,1))</f>
        <v>1.2</v>
      </c>
      <c r="AW175" s="156">
        <f t="shared" si="34"/>
        <v>9.9999999999999995E-8</v>
      </c>
      <c r="AY175" s="140">
        <f t="shared" si="35"/>
        <v>9.40000000000001E-6</v>
      </c>
      <c r="AZ175">
        <v>0.94000000000000095</v>
      </c>
      <c r="BA175" s="140">
        <f t="shared" si="36"/>
        <v>9.4000000000000074E-8</v>
      </c>
      <c r="BB175" s="140">
        <f t="shared" si="37"/>
        <v>1.8800000000000017E-7</v>
      </c>
      <c r="BC175" s="140">
        <f t="shared" si="38"/>
        <v>2.8200000000000028E-7</v>
      </c>
      <c r="BD175" s="140">
        <f t="shared" si="39"/>
        <v>3.760000000000004E-7</v>
      </c>
      <c r="BE175" s="140">
        <f t="shared" si="40"/>
        <v>4.7000000000000053E-7</v>
      </c>
      <c r="BF175" s="157">
        <f>IF(AY175&lt;$B$89*DATA!$H$1037,DATA!$H$1037,IF(AY175&gt;DATA!$H$1036*$B$89,DATA!$H$1036,1))</f>
        <v>1.2</v>
      </c>
      <c r="BG175" s="156">
        <f t="shared" si="41"/>
        <v>9.9999999999999995E-8</v>
      </c>
      <c r="BI175" s="140">
        <f t="shared" si="42"/>
        <v>9.40000000000001E-6</v>
      </c>
      <c r="BJ175">
        <v>0.94000000000000095</v>
      </c>
      <c r="BK175" s="140">
        <f t="shared" si="43"/>
        <v>9.4000000000000074E-8</v>
      </c>
      <c r="BL175" s="140">
        <f t="shared" si="44"/>
        <v>1.8800000000000017E-7</v>
      </c>
      <c r="BM175" s="140">
        <f t="shared" si="45"/>
        <v>2.8200000000000028E-7</v>
      </c>
      <c r="BN175" s="140">
        <f t="shared" si="46"/>
        <v>3.760000000000004E-7</v>
      </c>
      <c r="BO175" s="140">
        <f t="shared" si="47"/>
        <v>4.7000000000000053E-7</v>
      </c>
      <c r="BP175" s="157">
        <f>IF(BI175&lt;$B$105*DATA!$H$1037,DATA!$H$1037,IF(BI175&gt;DATA!$H$1036*$B$105,DATA!$H$1036,1))</f>
        <v>1.2</v>
      </c>
      <c r="BQ175" s="156">
        <f t="shared" si="48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ref="C176:G207" si="49">C$142*$A176</f>
        <v>9.6000000000000066E-8</v>
      </c>
      <c r="D176" s="140">
        <f t="shared" si="49"/>
        <v>1.9200000000000016E-7</v>
      </c>
      <c r="E176" s="140">
        <f t="shared" si="49"/>
        <v>2.880000000000003E-7</v>
      </c>
      <c r="F176" s="140">
        <f t="shared" si="49"/>
        <v>3.8400000000000042E-7</v>
      </c>
      <c r="G176" s="140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si="6"/>
        <v>9.9999999999999995E-8</v>
      </c>
      <c r="K176" s="140">
        <f t="shared" si="7"/>
        <v>9.6000000000000097E-6</v>
      </c>
      <c r="L176">
        <v>0.96000000000000096</v>
      </c>
      <c r="M176" s="140">
        <f t="shared" si="8"/>
        <v>9.6000000000000066E-8</v>
      </c>
      <c r="N176" s="140">
        <f t="shared" si="9"/>
        <v>1.9200000000000016E-7</v>
      </c>
      <c r="O176" s="140">
        <f t="shared" si="10"/>
        <v>2.880000000000003E-7</v>
      </c>
      <c r="P176" s="140">
        <f t="shared" si="11"/>
        <v>3.8400000000000042E-7</v>
      </c>
      <c r="Q176" s="140">
        <f t="shared" si="12"/>
        <v>4.8000000000000049E-7</v>
      </c>
      <c r="R176" s="157">
        <f>IF(K176&lt;$B$25*DATA!$H$1037,DATA!$H$1037,IF(K176&gt;DATA!$H$1036*$B$25,DATA!$H$1036,1))</f>
        <v>0.8</v>
      </c>
      <c r="S176" s="156">
        <f t="shared" si="13"/>
        <v>9.9999999999999995E-8</v>
      </c>
      <c r="U176" s="140">
        <f t="shared" si="14"/>
        <v>9.6000000000000097E-6</v>
      </c>
      <c r="V176">
        <v>0.96000000000000096</v>
      </c>
      <c r="W176" s="140">
        <f t="shared" si="15"/>
        <v>9.6000000000000066E-8</v>
      </c>
      <c r="X176" s="140">
        <f t="shared" si="16"/>
        <v>1.9200000000000016E-7</v>
      </c>
      <c r="Y176" s="140">
        <f t="shared" si="17"/>
        <v>2.880000000000003E-7</v>
      </c>
      <c r="Z176" s="140">
        <f t="shared" si="18"/>
        <v>3.8400000000000042E-7</v>
      </c>
      <c r="AA176" s="140">
        <f t="shared" si="19"/>
        <v>4.8000000000000049E-7</v>
      </c>
      <c r="AB176" s="157">
        <f>IF(U176&lt;$B$41*DATA!$H$1037,DATA!$H$1037,IF(U176&gt;DATA!$H$1036*$B$41,DATA!$H$1036,1))</f>
        <v>0.8</v>
      </c>
      <c r="AC176" s="156">
        <f t="shared" si="20"/>
        <v>9.9999999999999995E-8</v>
      </c>
      <c r="AE176" s="140">
        <f t="shared" si="21"/>
        <v>9.6000000000000097E-6</v>
      </c>
      <c r="AF176">
        <v>0.96000000000000096</v>
      </c>
      <c r="AG176" s="140">
        <f t="shared" si="22"/>
        <v>9.6000000000000066E-8</v>
      </c>
      <c r="AH176" s="140">
        <f t="shared" si="23"/>
        <v>1.9200000000000016E-7</v>
      </c>
      <c r="AI176" s="140">
        <f t="shared" si="24"/>
        <v>2.880000000000003E-7</v>
      </c>
      <c r="AJ176" s="140">
        <f t="shared" si="25"/>
        <v>3.8400000000000042E-7</v>
      </c>
      <c r="AK176" s="140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27"/>
        <v>9.9999999999999995E-8</v>
      </c>
      <c r="AO176" s="140">
        <f t="shared" si="28"/>
        <v>9.6000000000000097E-6</v>
      </c>
      <c r="AP176">
        <v>0.96000000000000096</v>
      </c>
      <c r="AQ176" s="140">
        <f t="shared" si="29"/>
        <v>9.6000000000000066E-8</v>
      </c>
      <c r="AR176" s="140">
        <f t="shared" si="30"/>
        <v>1.9200000000000016E-7</v>
      </c>
      <c r="AS176" s="140">
        <f t="shared" si="31"/>
        <v>2.880000000000003E-7</v>
      </c>
      <c r="AT176" s="140">
        <f t="shared" si="32"/>
        <v>3.8400000000000042E-7</v>
      </c>
      <c r="AU176" s="140">
        <f t="shared" si="33"/>
        <v>4.8000000000000049E-7</v>
      </c>
      <c r="AV176" s="157">
        <f>IF(AO176&lt;$B$73*DATA!$H$1037,DATA!$H$1037,IF(AO176&gt;DATA!$H$1036*$B$73,DATA!$H$1036,1))</f>
        <v>1.2</v>
      </c>
      <c r="AW176" s="156">
        <f t="shared" si="34"/>
        <v>9.9999999999999995E-8</v>
      </c>
      <c r="AY176" s="140">
        <f t="shared" si="35"/>
        <v>9.6000000000000097E-6</v>
      </c>
      <c r="AZ176">
        <v>0.96000000000000096</v>
      </c>
      <c r="BA176" s="140">
        <f t="shared" si="36"/>
        <v>9.6000000000000066E-8</v>
      </c>
      <c r="BB176" s="140">
        <f t="shared" si="37"/>
        <v>1.9200000000000016E-7</v>
      </c>
      <c r="BC176" s="140">
        <f t="shared" si="38"/>
        <v>2.880000000000003E-7</v>
      </c>
      <c r="BD176" s="140">
        <f t="shared" si="39"/>
        <v>3.8400000000000042E-7</v>
      </c>
      <c r="BE176" s="140">
        <f t="shared" si="40"/>
        <v>4.8000000000000049E-7</v>
      </c>
      <c r="BF176" s="157">
        <f>IF(AY176&lt;$B$89*DATA!$H$1037,DATA!$H$1037,IF(AY176&gt;DATA!$H$1036*$B$89,DATA!$H$1036,1))</f>
        <v>1.2</v>
      </c>
      <c r="BG176" s="156">
        <f t="shared" si="41"/>
        <v>9.9999999999999995E-8</v>
      </c>
      <c r="BI176" s="140">
        <f t="shared" si="42"/>
        <v>9.6000000000000097E-6</v>
      </c>
      <c r="BJ176">
        <v>0.96000000000000096</v>
      </c>
      <c r="BK176" s="140">
        <f t="shared" si="43"/>
        <v>9.6000000000000066E-8</v>
      </c>
      <c r="BL176" s="140">
        <f t="shared" si="44"/>
        <v>1.9200000000000016E-7</v>
      </c>
      <c r="BM176" s="140">
        <f t="shared" si="45"/>
        <v>2.880000000000003E-7</v>
      </c>
      <c r="BN176" s="140">
        <f t="shared" si="46"/>
        <v>3.8400000000000042E-7</v>
      </c>
      <c r="BO176" s="140">
        <f t="shared" si="47"/>
        <v>4.8000000000000049E-7</v>
      </c>
      <c r="BP176" s="157">
        <f>IF(BI176&lt;$B$105*DATA!$H$1037,DATA!$H$1037,IF(BI176&gt;DATA!$H$1036*$B$105,DATA!$H$1036,1))</f>
        <v>1.2</v>
      </c>
      <c r="BQ176" s="156">
        <f t="shared" si="48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49"/>
        <v>9.8000000000000083E-8</v>
      </c>
      <c r="D177" s="140">
        <f t="shared" si="49"/>
        <v>1.9600000000000019E-7</v>
      </c>
      <c r="E177" s="140">
        <f t="shared" si="49"/>
        <v>2.9400000000000033E-7</v>
      </c>
      <c r="F177" s="140">
        <f t="shared" si="49"/>
        <v>3.9200000000000044E-7</v>
      </c>
      <c r="G177" s="140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6"/>
        <v>9.9999999999999995E-8</v>
      </c>
      <c r="K177" s="140">
        <f t="shared" si="7"/>
        <v>9.8000000000000112E-6</v>
      </c>
      <c r="L177">
        <v>0.98000000000000098</v>
      </c>
      <c r="M177" s="140">
        <f t="shared" si="8"/>
        <v>9.8000000000000083E-8</v>
      </c>
      <c r="N177" s="140">
        <f t="shared" si="9"/>
        <v>1.9600000000000019E-7</v>
      </c>
      <c r="O177" s="140">
        <f t="shared" si="10"/>
        <v>2.9400000000000033E-7</v>
      </c>
      <c r="P177" s="140">
        <f t="shared" si="11"/>
        <v>3.9200000000000044E-7</v>
      </c>
      <c r="Q177" s="140">
        <f t="shared" si="12"/>
        <v>4.900000000000006E-7</v>
      </c>
      <c r="R177" s="157">
        <f>IF(K177&lt;$B$25*DATA!$H$1037,DATA!$H$1037,IF(K177&gt;DATA!$H$1036*$B$25,DATA!$H$1036,1))</f>
        <v>0.8</v>
      </c>
      <c r="S177" s="156">
        <f t="shared" si="13"/>
        <v>9.9999999999999995E-8</v>
      </c>
      <c r="U177" s="140">
        <f t="shared" si="14"/>
        <v>9.8000000000000112E-6</v>
      </c>
      <c r="V177">
        <v>0.98000000000000098</v>
      </c>
      <c r="W177" s="140">
        <f t="shared" si="15"/>
        <v>9.8000000000000083E-8</v>
      </c>
      <c r="X177" s="140">
        <f t="shared" si="16"/>
        <v>1.9600000000000019E-7</v>
      </c>
      <c r="Y177" s="140">
        <f t="shared" si="17"/>
        <v>2.9400000000000033E-7</v>
      </c>
      <c r="Z177" s="140">
        <f t="shared" si="18"/>
        <v>3.9200000000000044E-7</v>
      </c>
      <c r="AA177" s="140">
        <f t="shared" si="19"/>
        <v>4.900000000000006E-7</v>
      </c>
      <c r="AB177" s="157">
        <f>IF(U177&lt;$B$41*DATA!$H$1037,DATA!$H$1037,IF(U177&gt;DATA!$H$1036*$B$41,DATA!$H$1036,1))</f>
        <v>0.8</v>
      </c>
      <c r="AC177" s="156">
        <f t="shared" si="20"/>
        <v>9.9999999999999995E-8</v>
      </c>
      <c r="AE177" s="140">
        <f t="shared" si="21"/>
        <v>9.8000000000000112E-6</v>
      </c>
      <c r="AF177">
        <v>0.98000000000000098</v>
      </c>
      <c r="AG177" s="140">
        <f t="shared" si="22"/>
        <v>9.8000000000000083E-8</v>
      </c>
      <c r="AH177" s="140">
        <f t="shared" si="23"/>
        <v>1.9600000000000019E-7</v>
      </c>
      <c r="AI177" s="140">
        <f t="shared" si="24"/>
        <v>2.9400000000000033E-7</v>
      </c>
      <c r="AJ177" s="140">
        <f t="shared" si="25"/>
        <v>3.9200000000000044E-7</v>
      </c>
      <c r="AK177" s="140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27"/>
        <v>9.9999999999999995E-8</v>
      </c>
      <c r="AO177" s="140">
        <f t="shared" si="28"/>
        <v>9.8000000000000112E-6</v>
      </c>
      <c r="AP177">
        <v>0.98000000000000098</v>
      </c>
      <c r="AQ177" s="140">
        <f t="shared" si="29"/>
        <v>9.8000000000000083E-8</v>
      </c>
      <c r="AR177" s="140">
        <f t="shared" si="30"/>
        <v>1.9600000000000019E-7</v>
      </c>
      <c r="AS177" s="140">
        <f t="shared" si="31"/>
        <v>2.9400000000000033E-7</v>
      </c>
      <c r="AT177" s="140">
        <f t="shared" si="32"/>
        <v>3.9200000000000044E-7</v>
      </c>
      <c r="AU177" s="140">
        <f t="shared" si="33"/>
        <v>4.900000000000006E-7</v>
      </c>
      <c r="AV177" s="157">
        <f>IF(AO177&lt;$B$73*DATA!$H$1037,DATA!$H$1037,IF(AO177&gt;DATA!$H$1036*$B$73,DATA!$H$1036,1))</f>
        <v>1.2</v>
      </c>
      <c r="AW177" s="156">
        <f t="shared" si="34"/>
        <v>9.9999999999999995E-8</v>
      </c>
      <c r="AY177" s="140">
        <f t="shared" si="35"/>
        <v>9.8000000000000112E-6</v>
      </c>
      <c r="AZ177">
        <v>0.98000000000000098</v>
      </c>
      <c r="BA177" s="140">
        <f t="shared" si="36"/>
        <v>9.8000000000000083E-8</v>
      </c>
      <c r="BB177" s="140">
        <f t="shared" si="37"/>
        <v>1.9600000000000019E-7</v>
      </c>
      <c r="BC177" s="140">
        <f t="shared" si="38"/>
        <v>2.9400000000000033E-7</v>
      </c>
      <c r="BD177" s="140">
        <f t="shared" si="39"/>
        <v>3.9200000000000044E-7</v>
      </c>
      <c r="BE177" s="140">
        <f t="shared" si="40"/>
        <v>4.900000000000006E-7</v>
      </c>
      <c r="BF177" s="157">
        <f>IF(AY177&lt;$B$89*DATA!$H$1037,DATA!$H$1037,IF(AY177&gt;DATA!$H$1036*$B$89,DATA!$H$1036,1))</f>
        <v>1.2</v>
      </c>
      <c r="BG177" s="156">
        <f t="shared" si="41"/>
        <v>9.9999999999999995E-8</v>
      </c>
      <c r="BI177" s="140">
        <f t="shared" si="42"/>
        <v>9.8000000000000112E-6</v>
      </c>
      <c r="BJ177">
        <v>0.98000000000000098</v>
      </c>
      <c r="BK177" s="140">
        <f t="shared" si="43"/>
        <v>9.8000000000000083E-8</v>
      </c>
      <c r="BL177" s="140">
        <f t="shared" si="44"/>
        <v>1.9600000000000019E-7</v>
      </c>
      <c r="BM177" s="140">
        <f t="shared" si="45"/>
        <v>2.9400000000000033E-7</v>
      </c>
      <c r="BN177" s="140">
        <f t="shared" si="46"/>
        <v>3.9200000000000044E-7</v>
      </c>
      <c r="BO177" s="140">
        <f t="shared" si="47"/>
        <v>4.900000000000006E-7</v>
      </c>
      <c r="BP177" s="157">
        <f>IF(BI177&lt;$B$105*DATA!$H$1037,DATA!$H$1037,IF(BI177&gt;DATA!$H$1036*$B$105,DATA!$H$1036,1))</f>
        <v>1.2</v>
      </c>
      <c r="BQ177" s="156">
        <f t="shared" si="48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49"/>
        <v>9.9999999999999969E-8</v>
      </c>
      <c r="D178" s="140">
        <f t="shared" si="49"/>
        <v>1.9999999999999999E-7</v>
      </c>
      <c r="E178" s="140">
        <f t="shared" si="49"/>
        <v>3.0000000000000004E-7</v>
      </c>
      <c r="F178" s="140">
        <f t="shared" si="49"/>
        <v>4.0000000000000003E-7</v>
      </c>
      <c r="G178" s="140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6"/>
        <v>9.9999999999999995E-8</v>
      </c>
      <c r="K178" s="140">
        <f t="shared" si="7"/>
        <v>1.0000000000000001E-5</v>
      </c>
      <c r="L178">
        <v>1</v>
      </c>
      <c r="M178" s="140">
        <f t="shared" si="8"/>
        <v>9.9999999999999969E-8</v>
      </c>
      <c r="N178" s="140">
        <f t="shared" si="9"/>
        <v>1.9999999999999999E-7</v>
      </c>
      <c r="O178" s="140">
        <f t="shared" si="10"/>
        <v>3.0000000000000004E-7</v>
      </c>
      <c r="P178" s="140">
        <f t="shared" si="11"/>
        <v>4.0000000000000003E-7</v>
      </c>
      <c r="Q178" s="140">
        <f t="shared" si="12"/>
        <v>5.0000000000000008E-7</v>
      </c>
      <c r="R178" s="157">
        <f>IF(K178&lt;$B$25*DATA!$H$1037,DATA!$H$1037,IF(K178&gt;DATA!$H$1036*$B$25,DATA!$H$1036,1))</f>
        <v>0.8</v>
      </c>
      <c r="S178" s="156">
        <f t="shared" si="13"/>
        <v>9.9999999999999995E-8</v>
      </c>
      <c r="U178" s="140">
        <f t="shared" si="14"/>
        <v>1.0000000000000001E-5</v>
      </c>
      <c r="V178">
        <v>1</v>
      </c>
      <c r="W178" s="140">
        <f t="shared" si="15"/>
        <v>9.9999999999999969E-8</v>
      </c>
      <c r="X178" s="140">
        <f t="shared" si="16"/>
        <v>1.9999999999999999E-7</v>
      </c>
      <c r="Y178" s="140">
        <f t="shared" si="17"/>
        <v>3.0000000000000004E-7</v>
      </c>
      <c r="Z178" s="140">
        <f t="shared" si="18"/>
        <v>4.0000000000000003E-7</v>
      </c>
      <c r="AA178" s="140">
        <f t="shared" si="19"/>
        <v>5.0000000000000008E-7</v>
      </c>
      <c r="AB178" s="157">
        <f>IF(U178&lt;$B$41*DATA!$H$1037,DATA!$H$1037,IF(U178&gt;DATA!$H$1036*$B$41,DATA!$H$1036,1))</f>
        <v>0.8</v>
      </c>
      <c r="AC178" s="156">
        <f t="shared" si="20"/>
        <v>9.9999999999999995E-8</v>
      </c>
      <c r="AE178" s="140">
        <f t="shared" si="21"/>
        <v>1.0000000000000001E-5</v>
      </c>
      <c r="AF178">
        <v>1</v>
      </c>
      <c r="AG178" s="140">
        <f t="shared" si="22"/>
        <v>9.9999999999999969E-8</v>
      </c>
      <c r="AH178" s="140">
        <f t="shared" si="23"/>
        <v>1.9999999999999999E-7</v>
      </c>
      <c r="AI178" s="140">
        <f t="shared" si="24"/>
        <v>3.0000000000000004E-7</v>
      </c>
      <c r="AJ178" s="140">
        <f t="shared" si="25"/>
        <v>4.0000000000000003E-7</v>
      </c>
      <c r="AK178" s="140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27"/>
        <v>9.9999999999999995E-8</v>
      </c>
      <c r="AO178" s="140">
        <f t="shared" si="28"/>
        <v>1.0000000000000001E-5</v>
      </c>
      <c r="AP178">
        <v>1</v>
      </c>
      <c r="AQ178" s="140">
        <f t="shared" si="29"/>
        <v>9.9999999999999969E-8</v>
      </c>
      <c r="AR178" s="140">
        <f t="shared" si="30"/>
        <v>1.9999999999999999E-7</v>
      </c>
      <c r="AS178" s="140">
        <f t="shared" si="31"/>
        <v>3.0000000000000004E-7</v>
      </c>
      <c r="AT178" s="140">
        <f t="shared" si="32"/>
        <v>4.0000000000000003E-7</v>
      </c>
      <c r="AU178" s="140">
        <f t="shared" si="33"/>
        <v>5.0000000000000008E-7</v>
      </c>
      <c r="AV178" s="157">
        <f>IF(AO178&lt;$B$73*DATA!$H$1037,DATA!$H$1037,IF(AO178&gt;DATA!$H$1036*$B$73,DATA!$H$1036,1))</f>
        <v>1.2</v>
      </c>
      <c r="AW178" s="156">
        <f t="shared" si="34"/>
        <v>9.9999999999999995E-8</v>
      </c>
      <c r="AY178" s="140">
        <f t="shared" si="35"/>
        <v>1.0000000000000001E-5</v>
      </c>
      <c r="AZ178">
        <v>1</v>
      </c>
      <c r="BA178" s="140">
        <f t="shared" si="36"/>
        <v>9.9999999999999969E-8</v>
      </c>
      <c r="BB178" s="140">
        <f t="shared" si="37"/>
        <v>1.9999999999999999E-7</v>
      </c>
      <c r="BC178" s="140">
        <f t="shared" si="38"/>
        <v>3.0000000000000004E-7</v>
      </c>
      <c r="BD178" s="140">
        <f t="shared" si="39"/>
        <v>4.0000000000000003E-7</v>
      </c>
      <c r="BE178" s="140">
        <f t="shared" si="40"/>
        <v>5.0000000000000008E-7</v>
      </c>
      <c r="BF178" s="157">
        <f>IF(AY178&lt;$B$89*DATA!$H$1037,DATA!$H$1037,IF(AY178&gt;DATA!$H$1036*$B$89,DATA!$H$1036,1))</f>
        <v>1.2</v>
      </c>
      <c r="BG178" s="156">
        <f t="shared" si="41"/>
        <v>9.9999999999999995E-8</v>
      </c>
      <c r="BI178" s="140">
        <f t="shared" si="42"/>
        <v>1.0000000000000001E-5</v>
      </c>
      <c r="BJ178">
        <v>1</v>
      </c>
      <c r="BK178" s="140">
        <f t="shared" si="43"/>
        <v>9.9999999999999969E-8</v>
      </c>
      <c r="BL178" s="140">
        <f t="shared" si="44"/>
        <v>1.9999999999999999E-7</v>
      </c>
      <c r="BM178" s="140">
        <f t="shared" si="45"/>
        <v>3.0000000000000004E-7</v>
      </c>
      <c r="BN178" s="140">
        <f t="shared" si="46"/>
        <v>4.0000000000000003E-7</v>
      </c>
      <c r="BO178" s="140">
        <f t="shared" si="47"/>
        <v>5.0000000000000008E-7</v>
      </c>
      <c r="BP178" s="157">
        <f>IF(BI178&lt;$B$105*DATA!$H$1037,DATA!$H$1037,IF(BI178&gt;DATA!$H$1036*$B$105,DATA!$H$1036,1))</f>
        <v>1.2</v>
      </c>
      <c r="BQ178" s="156">
        <f t="shared" si="48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49"/>
        <v>1.0199999999999997E-7</v>
      </c>
      <c r="D179" s="140">
        <f t="shared" si="49"/>
        <v>2.0399999999999997E-7</v>
      </c>
      <c r="E179" s="140">
        <f t="shared" si="49"/>
        <v>3.0600000000000001E-7</v>
      </c>
      <c r="F179" s="140">
        <f t="shared" si="49"/>
        <v>4.0800000000000005E-7</v>
      </c>
      <c r="G179" s="140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6"/>
        <v>9.9999999999999995E-8</v>
      </c>
      <c r="K179" s="140">
        <f t="shared" si="7"/>
        <v>1.0200000000000001E-5</v>
      </c>
      <c r="L179">
        <v>1.02</v>
      </c>
      <c r="M179" s="140">
        <f t="shared" si="8"/>
        <v>1.0199999999999997E-7</v>
      </c>
      <c r="N179" s="140">
        <f t="shared" si="9"/>
        <v>2.0399999999999997E-7</v>
      </c>
      <c r="O179" s="140">
        <f t="shared" si="10"/>
        <v>3.0600000000000001E-7</v>
      </c>
      <c r="P179" s="140">
        <f t="shared" si="11"/>
        <v>4.0800000000000005E-7</v>
      </c>
      <c r="Q179" s="140">
        <f t="shared" si="12"/>
        <v>5.1000000000000009E-7</v>
      </c>
      <c r="R179" s="157">
        <f>IF(K179&lt;$B$25*DATA!$H$1037,DATA!$H$1037,IF(K179&gt;DATA!$H$1036*$B$25,DATA!$H$1036,1))</f>
        <v>0.8</v>
      </c>
      <c r="S179" s="156">
        <f t="shared" si="13"/>
        <v>9.9999999999999995E-8</v>
      </c>
      <c r="U179" s="140">
        <f t="shared" si="14"/>
        <v>1.0200000000000001E-5</v>
      </c>
      <c r="V179">
        <v>1.02</v>
      </c>
      <c r="W179" s="140">
        <f t="shared" si="15"/>
        <v>1.0199999999999997E-7</v>
      </c>
      <c r="X179" s="140">
        <f t="shared" si="16"/>
        <v>2.0399999999999997E-7</v>
      </c>
      <c r="Y179" s="140">
        <f t="shared" si="17"/>
        <v>3.0600000000000001E-7</v>
      </c>
      <c r="Z179" s="140">
        <f t="shared" si="18"/>
        <v>4.0800000000000005E-7</v>
      </c>
      <c r="AA179" s="140">
        <f t="shared" si="19"/>
        <v>5.1000000000000009E-7</v>
      </c>
      <c r="AB179" s="157">
        <f>IF(U179&lt;$B$41*DATA!$H$1037,DATA!$H$1037,IF(U179&gt;DATA!$H$1036*$B$41,DATA!$H$1036,1))</f>
        <v>0.8</v>
      </c>
      <c r="AC179" s="156">
        <f t="shared" si="20"/>
        <v>9.9999999999999995E-8</v>
      </c>
      <c r="AE179" s="140">
        <f t="shared" si="21"/>
        <v>1.0200000000000001E-5</v>
      </c>
      <c r="AF179">
        <v>1.02</v>
      </c>
      <c r="AG179" s="140">
        <f t="shared" si="22"/>
        <v>1.0199999999999997E-7</v>
      </c>
      <c r="AH179" s="140">
        <f t="shared" si="23"/>
        <v>2.0399999999999997E-7</v>
      </c>
      <c r="AI179" s="140">
        <f t="shared" si="24"/>
        <v>3.0600000000000001E-7</v>
      </c>
      <c r="AJ179" s="140">
        <f t="shared" si="25"/>
        <v>4.0800000000000005E-7</v>
      </c>
      <c r="AK179" s="140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27"/>
        <v>9.9999999999999995E-8</v>
      </c>
      <c r="AO179" s="140">
        <f t="shared" si="28"/>
        <v>1.0200000000000001E-5</v>
      </c>
      <c r="AP179">
        <v>1.02</v>
      </c>
      <c r="AQ179" s="140">
        <f t="shared" si="29"/>
        <v>1.0199999999999997E-7</v>
      </c>
      <c r="AR179" s="140">
        <f t="shared" si="30"/>
        <v>2.0399999999999997E-7</v>
      </c>
      <c r="AS179" s="140">
        <f t="shared" si="31"/>
        <v>3.0600000000000001E-7</v>
      </c>
      <c r="AT179" s="140">
        <f t="shared" si="32"/>
        <v>4.0800000000000005E-7</v>
      </c>
      <c r="AU179" s="140">
        <f t="shared" si="33"/>
        <v>5.1000000000000009E-7</v>
      </c>
      <c r="AV179" s="157">
        <f>IF(AO179&lt;$B$73*DATA!$H$1037,DATA!$H$1037,IF(AO179&gt;DATA!$H$1036*$B$73,DATA!$H$1036,1))</f>
        <v>1.2</v>
      </c>
      <c r="AW179" s="156">
        <f t="shared" si="34"/>
        <v>9.9999999999999995E-8</v>
      </c>
      <c r="AY179" s="140">
        <f t="shared" si="35"/>
        <v>1.0200000000000001E-5</v>
      </c>
      <c r="AZ179">
        <v>1.02</v>
      </c>
      <c r="BA179" s="140">
        <f t="shared" si="36"/>
        <v>1.0199999999999997E-7</v>
      </c>
      <c r="BB179" s="140">
        <f t="shared" si="37"/>
        <v>2.0399999999999997E-7</v>
      </c>
      <c r="BC179" s="140">
        <f t="shared" si="38"/>
        <v>3.0600000000000001E-7</v>
      </c>
      <c r="BD179" s="140">
        <f t="shared" si="39"/>
        <v>4.0800000000000005E-7</v>
      </c>
      <c r="BE179" s="140">
        <f t="shared" si="40"/>
        <v>5.1000000000000009E-7</v>
      </c>
      <c r="BF179" s="157">
        <f>IF(AY179&lt;$B$89*DATA!$H$1037,DATA!$H$1037,IF(AY179&gt;DATA!$H$1036*$B$89,DATA!$H$1036,1))</f>
        <v>1.2</v>
      </c>
      <c r="BG179" s="156">
        <f t="shared" si="41"/>
        <v>9.9999999999999995E-8</v>
      </c>
      <c r="BI179" s="140">
        <f t="shared" si="42"/>
        <v>1.0200000000000001E-5</v>
      </c>
      <c r="BJ179">
        <v>1.02</v>
      </c>
      <c r="BK179" s="140">
        <f t="shared" si="43"/>
        <v>1.0199999999999997E-7</v>
      </c>
      <c r="BL179" s="140">
        <f t="shared" si="44"/>
        <v>2.0399999999999997E-7</v>
      </c>
      <c r="BM179" s="140">
        <f t="shared" si="45"/>
        <v>3.0600000000000001E-7</v>
      </c>
      <c r="BN179" s="140">
        <f t="shared" si="46"/>
        <v>4.0800000000000005E-7</v>
      </c>
      <c r="BO179" s="140">
        <f t="shared" si="47"/>
        <v>5.1000000000000009E-7</v>
      </c>
      <c r="BP179" s="157">
        <f>IF(BI179&lt;$B$105*DATA!$H$1037,DATA!$H$1037,IF(BI179&gt;DATA!$H$1036*$B$105,DATA!$H$1036,1))</f>
        <v>1.2</v>
      </c>
      <c r="BQ179" s="156">
        <f t="shared" si="48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49"/>
        <v>1.0399999999999997E-7</v>
      </c>
      <c r="D180" s="140">
        <f t="shared" si="49"/>
        <v>2.0799999999999998E-7</v>
      </c>
      <c r="E180" s="140">
        <f t="shared" si="49"/>
        <v>3.1199999999999999E-7</v>
      </c>
      <c r="F180" s="140">
        <f t="shared" si="49"/>
        <v>4.1600000000000002E-7</v>
      </c>
      <c r="G180" s="140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6"/>
        <v>9.9999999999999995E-8</v>
      </c>
      <c r="K180" s="140">
        <f t="shared" si="7"/>
        <v>1.04E-5</v>
      </c>
      <c r="L180">
        <v>1.04</v>
      </c>
      <c r="M180" s="140">
        <f t="shared" si="8"/>
        <v>1.0399999999999997E-7</v>
      </c>
      <c r="N180" s="140">
        <f t="shared" si="9"/>
        <v>2.0799999999999998E-7</v>
      </c>
      <c r="O180" s="140">
        <f t="shared" si="10"/>
        <v>3.1199999999999999E-7</v>
      </c>
      <c r="P180" s="140">
        <f t="shared" si="11"/>
        <v>4.1600000000000002E-7</v>
      </c>
      <c r="Q180" s="140">
        <f t="shared" si="12"/>
        <v>5.2E-7</v>
      </c>
      <c r="R180" s="157">
        <f>IF(K180&lt;$B$25*DATA!$H$1037,DATA!$H$1037,IF(K180&gt;DATA!$H$1036*$B$25,DATA!$H$1036,1))</f>
        <v>0.8</v>
      </c>
      <c r="S180" s="156">
        <f t="shared" si="13"/>
        <v>9.9999999999999995E-8</v>
      </c>
      <c r="U180" s="140">
        <f t="shared" si="14"/>
        <v>1.04E-5</v>
      </c>
      <c r="V180">
        <v>1.04</v>
      </c>
      <c r="W180" s="140">
        <f t="shared" si="15"/>
        <v>1.0399999999999997E-7</v>
      </c>
      <c r="X180" s="140">
        <f t="shared" si="16"/>
        <v>2.0799999999999998E-7</v>
      </c>
      <c r="Y180" s="140">
        <f t="shared" si="17"/>
        <v>3.1199999999999999E-7</v>
      </c>
      <c r="Z180" s="140">
        <f t="shared" si="18"/>
        <v>4.1600000000000002E-7</v>
      </c>
      <c r="AA180" s="140">
        <f t="shared" si="19"/>
        <v>5.2E-7</v>
      </c>
      <c r="AB180" s="157">
        <f>IF(U180&lt;$B$41*DATA!$H$1037,DATA!$H$1037,IF(U180&gt;DATA!$H$1036*$B$41,DATA!$H$1036,1))</f>
        <v>0.8</v>
      </c>
      <c r="AC180" s="156">
        <f t="shared" si="20"/>
        <v>9.9999999999999995E-8</v>
      </c>
      <c r="AE180" s="140">
        <f t="shared" si="21"/>
        <v>1.04E-5</v>
      </c>
      <c r="AF180">
        <v>1.04</v>
      </c>
      <c r="AG180" s="140">
        <f t="shared" si="22"/>
        <v>1.0399999999999997E-7</v>
      </c>
      <c r="AH180" s="140">
        <f t="shared" si="23"/>
        <v>2.0799999999999998E-7</v>
      </c>
      <c r="AI180" s="140">
        <f t="shared" si="24"/>
        <v>3.1199999999999999E-7</v>
      </c>
      <c r="AJ180" s="140">
        <f t="shared" si="25"/>
        <v>4.1600000000000002E-7</v>
      </c>
      <c r="AK180" s="140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27"/>
        <v>9.9999999999999995E-8</v>
      </c>
      <c r="AO180" s="140">
        <f t="shared" si="28"/>
        <v>1.04E-5</v>
      </c>
      <c r="AP180">
        <v>1.04</v>
      </c>
      <c r="AQ180" s="140">
        <f t="shared" si="29"/>
        <v>1.0399999999999997E-7</v>
      </c>
      <c r="AR180" s="140">
        <f t="shared" si="30"/>
        <v>2.0799999999999998E-7</v>
      </c>
      <c r="AS180" s="140">
        <f t="shared" si="31"/>
        <v>3.1199999999999999E-7</v>
      </c>
      <c r="AT180" s="140">
        <f t="shared" si="32"/>
        <v>4.1600000000000002E-7</v>
      </c>
      <c r="AU180" s="140">
        <f t="shared" si="33"/>
        <v>5.2E-7</v>
      </c>
      <c r="AV180" s="157">
        <f>IF(AO180&lt;$B$73*DATA!$H$1037,DATA!$H$1037,IF(AO180&gt;DATA!$H$1036*$B$73,DATA!$H$1036,1))</f>
        <v>1.2</v>
      </c>
      <c r="AW180" s="156">
        <f t="shared" si="34"/>
        <v>9.9999999999999995E-8</v>
      </c>
      <c r="AY180" s="140">
        <f t="shared" si="35"/>
        <v>1.04E-5</v>
      </c>
      <c r="AZ180">
        <v>1.04</v>
      </c>
      <c r="BA180" s="140">
        <f t="shared" si="36"/>
        <v>1.0399999999999997E-7</v>
      </c>
      <c r="BB180" s="140">
        <f t="shared" si="37"/>
        <v>2.0799999999999998E-7</v>
      </c>
      <c r="BC180" s="140">
        <f t="shared" si="38"/>
        <v>3.1199999999999999E-7</v>
      </c>
      <c r="BD180" s="140">
        <f t="shared" si="39"/>
        <v>4.1600000000000002E-7</v>
      </c>
      <c r="BE180" s="140">
        <f t="shared" si="40"/>
        <v>5.2E-7</v>
      </c>
      <c r="BF180" s="157">
        <f>IF(AY180&lt;$B$89*DATA!$H$1037,DATA!$H$1037,IF(AY180&gt;DATA!$H$1036*$B$89,DATA!$H$1036,1))</f>
        <v>1.2</v>
      </c>
      <c r="BG180" s="156">
        <f t="shared" si="41"/>
        <v>9.9999999999999995E-8</v>
      </c>
      <c r="BI180" s="140">
        <f t="shared" si="42"/>
        <v>1.04E-5</v>
      </c>
      <c r="BJ180">
        <v>1.04</v>
      </c>
      <c r="BK180" s="140">
        <f t="shared" si="43"/>
        <v>1.0399999999999997E-7</v>
      </c>
      <c r="BL180" s="140">
        <f t="shared" si="44"/>
        <v>2.0799999999999998E-7</v>
      </c>
      <c r="BM180" s="140">
        <f t="shared" si="45"/>
        <v>3.1199999999999999E-7</v>
      </c>
      <c r="BN180" s="140">
        <f t="shared" si="46"/>
        <v>4.1600000000000002E-7</v>
      </c>
      <c r="BO180" s="140">
        <f t="shared" si="47"/>
        <v>5.2E-7</v>
      </c>
      <c r="BP180" s="157">
        <f>IF(BI180&lt;$B$105*DATA!$H$1037,DATA!$H$1037,IF(BI180&gt;DATA!$H$1036*$B$105,DATA!$H$1036,1))</f>
        <v>1.2</v>
      </c>
      <c r="BQ180" s="156">
        <f t="shared" si="48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49"/>
        <v>1.0599999999999998E-7</v>
      </c>
      <c r="D181" s="140">
        <f t="shared" si="49"/>
        <v>2.1199999999999999E-7</v>
      </c>
      <c r="E181" s="140">
        <f t="shared" si="49"/>
        <v>3.1800000000000007E-7</v>
      </c>
      <c r="F181" s="140">
        <f t="shared" si="49"/>
        <v>4.2400000000000009E-7</v>
      </c>
      <c r="G181" s="140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6"/>
        <v>9.9999999999999995E-8</v>
      </c>
      <c r="K181" s="140">
        <f t="shared" si="7"/>
        <v>1.0600000000000002E-5</v>
      </c>
      <c r="L181">
        <v>1.06</v>
      </c>
      <c r="M181" s="140">
        <f t="shared" si="8"/>
        <v>1.0599999999999998E-7</v>
      </c>
      <c r="N181" s="140">
        <f t="shared" si="9"/>
        <v>2.1199999999999999E-7</v>
      </c>
      <c r="O181" s="140">
        <f t="shared" si="10"/>
        <v>3.1800000000000007E-7</v>
      </c>
      <c r="P181" s="140">
        <f t="shared" si="11"/>
        <v>4.2400000000000009E-7</v>
      </c>
      <c r="Q181" s="140">
        <f t="shared" si="12"/>
        <v>5.3000000000000011E-7</v>
      </c>
      <c r="R181" s="157">
        <f>IF(K181&lt;$B$25*DATA!$H$1037,DATA!$H$1037,IF(K181&gt;DATA!$H$1036*$B$25,DATA!$H$1036,1))</f>
        <v>0.8</v>
      </c>
      <c r="S181" s="156">
        <f t="shared" si="13"/>
        <v>9.9999999999999995E-8</v>
      </c>
      <c r="U181" s="140">
        <f t="shared" si="14"/>
        <v>1.0600000000000002E-5</v>
      </c>
      <c r="V181">
        <v>1.06</v>
      </c>
      <c r="W181" s="140">
        <f t="shared" si="15"/>
        <v>1.0599999999999998E-7</v>
      </c>
      <c r="X181" s="140">
        <f t="shared" si="16"/>
        <v>2.1199999999999999E-7</v>
      </c>
      <c r="Y181" s="140">
        <f t="shared" si="17"/>
        <v>3.1800000000000007E-7</v>
      </c>
      <c r="Z181" s="140">
        <f t="shared" si="18"/>
        <v>4.2400000000000009E-7</v>
      </c>
      <c r="AA181" s="140">
        <f t="shared" si="19"/>
        <v>5.3000000000000011E-7</v>
      </c>
      <c r="AB181" s="157">
        <f>IF(U181&lt;$B$41*DATA!$H$1037,DATA!$H$1037,IF(U181&gt;DATA!$H$1036*$B$41,DATA!$H$1036,1))</f>
        <v>0.8</v>
      </c>
      <c r="AC181" s="156">
        <f t="shared" si="20"/>
        <v>9.9999999999999995E-8</v>
      </c>
      <c r="AE181" s="140">
        <f t="shared" si="21"/>
        <v>1.0600000000000002E-5</v>
      </c>
      <c r="AF181">
        <v>1.06</v>
      </c>
      <c r="AG181" s="140">
        <f t="shared" si="22"/>
        <v>1.0599999999999998E-7</v>
      </c>
      <c r="AH181" s="140">
        <f t="shared" si="23"/>
        <v>2.1199999999999999E-7</v>
      </c>
      <c r="AI181" s="140">
        <f t="shared" si="24"/>
        <v>3.1800000000000007E-7</v>
      </c>
      <c r="AJ181" s="140">
        <f t="shared" si="25"/>
        <v>4.2400000000000009E-7</v>
      </c>
      <c r="AK181" s="140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27"/>
        <v>9.9999999999999995E-8</v>
      </c>
      <c r="AO181" s="140">
        <f t="shared" si="28"/>
        <v>1.0600000000000002E-5</v>
      </c>
      <c r="AP181">
        <v>1.06</v>
      </c>
      <c r="AQ181" s="140">
        <f t="shared" si="29"/>
        <v>1.0599999999999998E-7</v>
      </c>
      <c r="AR181" s="140">
        <f t="shared" si="30"/>
        <v>2.1199999999999999E-7</v>
      </c>
      <c r="AS181" s="140">
        <f t="shared" si="31"/>
        <v>3.1800000000000007E-7</v>
      </c>
      <c r="AT181" s="140">
        <f t="shared" si="32"/>
        <v>4.2400000000000009E-7</v>
      </c>
      <c r="AU181" s="140">
        <f t="shared" si="33"/>
        <v>5.3000000000000011E-7</v>
      </c>
      <c r="AV181" s="157">
        <f>IF(AO181&lt;$B$73*DATA!$H$1037,DATA!$H$1037,IF(AO181&gt;DATA!$H$1036*$B$73,DATA!$H$1036,1))</f>
        <v>1.2</v>
      </c>
      <c r="AW181" s="156">
        <f t="shared" si="34"/>
        <v>9.9999999999999995E-8</v>
      </c>
      <c r="AY181" s="140">
        <f t="shared" si="35"/>
        <v>1.0600000000000002E-5</v>
      </c>
      <c r="AZ181">
        <v>1.06</v>
      </c>
      <c r="BA181" s="140">
        <f t="shared" si="36"/>
        <v>1.0599999999999998E-7</v>
      </c>
      <c r="BB181" s="140">
        <f t="shared" si="37"/>
        <v>2.1199999999999999E-7</v>
      </c>
      <c r="BC181" s="140">
        <f t="shared" si="38"/>
        <v>3.1800000000000007E-7</v>
      </c>
      <c r="BD181" s="140">
        <f t="shared" si="39"/>
        <v>4.2400000000000009E-7</v>
      </c>
      <c r="BE181" s="140">
        <f t="shared" si="40"/>
        <v>5.3000000000000011E-7</v>
      </c>
      <c r="BF181" s="157">
        <f>IF(AY181&lt;$B$89*DATA!$H$1037,DATA!$H$1037,IF(AY181&gt;DATA!$H$1036*$B$89,DATA!$H$1036,1))</f>
        <v>1.2</v>
      </c>
      <c r="BG181" s="156">
        <f t="shared" si="41"/>
        <v>9.9999999999999995E-8</v>
      </c>
      <c r="BI181" s="140">
        <f t="shared" si="42"/>
        <v>1.0600000000000002E-5</v>
      </c>
      <c r="BJ181">
        <v>1.06</v>
      </c>
      <c r="BK181" s="140">
        <f t="shared" si="43"/>
        <v>1.0599999999999998E-7</v>
      </c>
      <c r="BL181" s="140">
        <f t="shared" si="44"/>
        <v>2.1199999999999999E-7</v>
      </c>
      <c r="BM181" s="140">
        <f t="shared" si="45"/>
        <v>3.1800000000000007E-7</v>
      </c>
      <c r="BN181" s="140">
        <f t="shared" si="46"/>
        <v>4.2400000000000009E-7</v>
      </c>
      <c r="BO181" s="140">
        <f t="shared" si="47"/>
        <v>5.3000000000000011E-7</v>
      </c>
      <c r="BP181" s="157">
        <f>IF(BI181&lt;$B$105*DATA!$H$1037,DATA!$H$1037,IF(BI181&gt;DATA!$H$1036*$B$105,DATA!$H$1036,1))</f>
        <v>1.2</v>
      </c>
      <c r="BQ181" s="156">
        <f t="shared" si="48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49"/>
        <v>1.0799999999999997E-7</v>
      </c>
      <c r="D182" s="140">
        <f t="shared" si="49"/>
        <v>2.16E-7</v>
      </c>
      <c r="E182" s="140">
        <f t="shared" si="49"/>
        <v>3.2400000000000004E-7</v>
      </c>
      <c r="F182" s="140">
        <f t="shared" si="49"/>
        <v>4.3200000000000006E-7</v>
      </c>
      <c r="G182" s="140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6"/>
        <v>9.9999999999999995E-8</v>
      </c>
      <c r="K182" s="140">
        <f t="shared" si="7"/>
        <v>1.0800000000000002E-5</v>
      </c>
      <c r="L182">
        <v>1.08</v>
      </c>
      <c r="M182" s="140">
        <f t="shared" si="8"/>
        <v>1.0799999999999997E-7</v>
      </c>
      <c r="N182" s="140">
        <f t="shared" si="9"/>
        <v>2.16E-7</v>
      </c>
      <c r="O182" s="140">
        <f t="shared" si="10"/>
        <v>3.2400000000000004E-7</v>
      </c>
      <c r="P182" s="140">
        <f t="shared" si="11"/>
        <v>4.3200000000000006E-7</v>
      </c>
      <c r="Q182" s="140">
        <f t="shared" si="12"/>
        <v>5.4000000000000012E-7</v>
      </c>
      <c r="R182" s="157">
        <f>IF(K182&lt;$B$25*DATA!$H$1037,DATA!$H$1037,IF(K182&gt;DATA!$H$1036*$B$25,DATA!$H$1036,1))</f>
        <v>0.8</v>
      </c>
      <c r="S182" s="156">
        <f t="shared" si="13"/>
        <v>9.9999999999999995E-8</v>
      </c>
      <c r="U182" s="140">
        <f t="shared" si="14"/>
        <v>1.0800000000000002E-5</v>
      </c>
      <c r="V182">
        <v>1.08</v>
      </c>
      <c r="W182" s="140">
        <f t="shared" si="15"/>
        <v>1.0799999999999997E-7</v>
      </c>
      <c r="X182" s="140">
        <f t="shared" si="16"/>
        <v>2.16E-7</v>
      </c>
      <c r="Y182" s="140">
        <f t="shared" si="17"/>
        <v>3.2400000000000004E-7</v>
      </c>
      <c r="Z182" s="140">
        <f t="shared" si="18"/>
        <v>4.3200000000000006E-7</v>
      </c>
      <c r="AA182" s="140">
        <f t="shared" si="19"/>
        <v>5.4000000000000012E-7</v>
      </c>
      <c r="AB182" s="157">
        <f>IF(U182&lt;$B$41*DATA!$H$1037,DATA!$H$1037,IF(U182&gt;DATA!$H$1036*$B$41,DATA!$H$1036,1))</f>
        <v>0.8</v>
      </c>
      <c r="AC182" s="156">
        <f t="shared" si="20"/>
        <v>9.9999999999999995E-8</v>
      </c>
      <c r="AE182" s="140">
        <f t="shared" si="21"/>
        <v>1.0800000000000002E-5</v>
      </c>
      <c r="AF182">
        <v>1.08</v>
      </c>
      <c r="AG182" s="140">
        <f t="shared" si="22"/>
        <v>1.0799999999999997E-7</v>
      </c>
      <c r="AH182" s="140">
        <f t="shared" si="23"/>
        <v>2.16E-7</v>
      </c>
      <c r="AI182" s="140">
        <f t="shared" si="24"/>
        <v>3.2400000000000004E-7</v>
      </c>
      <c r="AJ182" s="140">
        <f t="shared" si="25"/>
        <v>4.3200000000000006E-7</v>
      </c>
      <c r="AK182" s="140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27"/>
        <v>9.9999999999999995E-8</v>
      </c>
      <c r="AO182" s="140">
        <f t="shared" si="28"/>
        <v>1.0800000000000002E-5</v>
      </c>
      <c r="AP182">
        <v>1.08</v>
      </c>
      <c r="AQ182" s="140">
        <f t="shared" si="29"/>
        <v>1.0799999999999997E-7</v>
      </c>
      <c r="AR182" s="140">
        <f t="shared" si="30"/>
        <v>2.16E-7</v>
      </c>
      <c r="AS182" s="140">
        <f t="shared" si="31"/>
        <v>3.2400000000000004E-7</v>
      </c>
      <c r="AT182" s="140">
        <f t="shared" si="32"/>
        <v>4.3200000000000006E-7</v>
      </c>
      <c r="AU182" s="140">
        <f t="shared" si="33"/>
        <v>5.4000000000000012E-7</v>
      </c>
      <c r="AV182" s="157">
        <f>IF(AO182&lt;$B$73*DATA!$H$1037,DATA!$H$1037,IF(AO182&gt;DATA!$H$1036*$B$73,DATA!$H$1036,1))</f>
        <v>1.2</v>
      </c>
      <c r="AW182" s="156">
        <f t="shared" si="34"/>
        <v>9.9999999999999995E-8</v>
      </c>
      <c r="AY182" s="140">
        <f t="shared" si="35"/>
        <v>1.0800000000000002E-5</v>
      </c>
      <c r="AZ182">
        <v>1.08</v>
      </c>
      <c r="BA182" s="140">
        <f t="shared" si="36"/>
        <v>1.0799999999999997E-7</v>
      </c>
      <c r="BB182" s="140">
        <f t="shared" si="37"/>
        <v>2.16E-7</v>
      </c>
      <c r="BC182" s="140">
        <f t="shared" si="38"/>
        <v>3.2400000000000004E-7</v>
      </c>
      <c r="BD182" s="140">
        <f t="shared" si="39"/>
        <v>4.3200000000000006E-7</v>
      </c>
      <c r="BE182" s="140">
        <f t="shared" si="40"/>
        <v>5.4000000000000012E-7</v>
      </c>
      <c r="BF182" s="157">
        <f>IF(AY182&lt;$B$89*DATA!$H$1037,DATA!$H$1037,IF(AY182&gt;DATA!$H$1036*$B$89,DATA!$H$1036,1))</f>
        <v>1.2</v>
      </c>
      <c r="BG182" s="156">
        <f t="shared" si="41"/>
        <v>9.9999999999999995E-8</v>
      </c>
      <c r="BI182" s="140">
        <f t="shared" si="42"/>
        <v>1.0800000000000002E-5</v>
      </c>
      <c r="BJ182">
        <v>1.08</v>
      </c>
      <c r="BK182" s="140">
        <f t="shared" si="43"/>
        <v>1.0799999999999997E-7</v>
      </c>
      <c r="BL182" s="140">
        <f t="shared" si="44"/>
        <v>2.16E-7</v>
      </c>
      <c r="BM182" s="140">
        <f t="shared" si="45"/>
        <v>3.2400000000000004E-7</v>
      </c>
      <c r="BN182" s="140">
        <f t="shared" si="46"/>
        <v>4.3200000000000006E-7</v>
      </c>
      <c r="BO182" s="140">
        <f t="shared" si="47"/>
        <v>5.4000000000000012E-7</v>
      </c>
      <c r="BP182" s="157">
        <f>IF(BI182&lt;$B$105*DATA!$H$1037,DATA!$H$1037,IF(BI182&gt;DATA!$H$1036*$B$105,DATA!$H$1036,1))</f>
        <v>1.2</v>
      </c>
      <c r="BQ182" s="156">
        <f t="shared" si="48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49"/>
        <v>1.0999999999999998E-7</v>
      </c>
      <c r="D183" s="140">
        <f t="shared" si="49"/>
        <v>2.1999999999999998E-7</v>
      </c>
      <c r="E183" s="140">
        <f t="shared" si="49"/>
        <v>3.3000000000000002E-7</v>
      </c>
      <c r="F183" s="140">
        <f t="shared" si="49"/>
        <v>4.4000000000000008E-7</v>
      </c>
      <c r="G183" s="140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6"/>
        <v>9.9999999999999995E-8</v>
      </c>
      <c r="K183" s="140">
        <f t="shared" si="7"/>
        <v>1.1000000000000001E-5</v>
      </c>
      <c r="L183">
        <v>1.1000000000000001</v>
      </c>
      <c r="M183" s="140">
        <f t="shared" si="8"/>
        <v>1.0999999999999998E-7</v>
      </c>
      <c r="N183" s="140">
        <f t="shared" si="9"/>
        <v>2.1999999999999998E-7</v>
      </c>
      <c r="O183" s="140">
        <f t="shared" si="10"/>
        <v>3.3000000000000002E-7</v>
      </c>
      <c r="P183" s="140">
        <f t="shared" si="11"/>
        <v>4.4000000000000008E-7</v>
      </c>
      <c r="Q183" s="140">
        <f t="shared" si="12"/>
        <v>5.5000000000000013E-7</v>
      </c>
      <c r="R183" s="157">
        <f>IF(K183&lt;$B$25*DATA!$H$1037,DATA!$H$1037,IF(K183&gt;DATA!$H$1036*$B$25,DATA!$H$1036,1))</f>
        <v>0.8</v>
      </c>
      <c r="S183" s="156">
        <f t="shared" si="13"/>
        <v>9.9999999999999995E-8</v>
      </c>
      <c r="U183" s="140">
        <f t="shared" si="14"/>
        <v>1.1000000000000001E-5</v>
      </c>
      <c r="V183">
        <v>1.1000000000000001</v>
      </c>
      <c r="W183" s="140">
        <f t="shared" si="15"/>
        <v>1.0999999999999998E-7</v>
      </c>
      <c r="X183" s="140">
        <f t="shared" si="16"/>
        <v>2.1999999999999998E-7</v>
      </c>
      <c r="Y183" s="140">
        <f t="shared" si="17"/>
        <v>3.3000000000000002E-7</v>
      </c>
      <c r="Z183" s="140">
        <f t="shared" si="18"/>
        <v>4.4000000000000008E-7</v>
      </c>
      <c r="AA183" s="140">
        <f t="shared" si="19"/>
        <v>5.5000000000000013E-7</v>
      </c>
      <c r="AB183" s="157">
        <f>IF(U183&lt;$B$41*DATA!$H$1037,DATA!$H$1037,IF(U183&gt;DATA!$H$1036*$B$41,DATA!$H$1036,1))</f>
        <v>0.8</v>
      </c>
      <c r="AC183" s="156">
        <f t="shared" si="20"/>
        <v>9.9999999999999995E-8</v>
      </c>
      <c r="AE183" s="140">
        <f t="shared" si="21"/>
        <v>1.1000000000000001E-5</v>
      </c>
      <c r="AF183">
        <v>1.1000000000000001</v>
      </c>
      <c r="AG183" s="140">
        <f t="shared" si="22"/>
        <v>1.0999999999999998E-7</v>
      </c>
      <c r="AH183" s="140">
        <f t="shared" si="23"/>
        <v>2.1999999999999998E-7</v>
      </c>
      <c r="AI183" s="140">
        <f t="shared" si="24"/>
        <v>3.3000000000000002E-7</v>
      </c>
      <c r="AJ183" s="140">
        <f t="shared" si="25"/>
        <v>4.4000000000000008E-7</v>
      </c>
      <c r="AK183" s="140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27"/>
        <v>9.9999999999999995E-8</v>
      </c>
      <c r="AO183" s="140">
        <f t="shared" si="28"/>
        <v>1.1000000000000001E-5</v>
      </c>
      <c r="AP183">
        <v>1.1000000000000001</v>
      </c>
      <c r="AQ183" s="140">
        <f t="shared" si="29"/>
        <v>1.0999999999999998E-7</v>
      </c>
      <c r="AR183" s="140">
        <f t="shared" si="30"/>
        <v>2.1999999999999998E-7</v>
      </c>
      <c r="AS183" s="140">
        <f t="shared" si="31"/>
        <v>3.3000000000000002E-7</v>
      </c>
      <c r="AT183" s="140">
        <f t="shared" si="32"/>
        <v>4.4000000000000008E-7</v>
      </c>
      <c r="AU183" s="140">
        <f t="shared" si="33"/>
        <v>5.5000000000000013E-7</v>
      </c>
      <c r="AV183" s="157">
        <f>IF(AO183&lt;$B$73*DATA!$H$1037,DATA!$H$1037,IF(AO183&gt;DATA!$H$1036*$B$73,DATA!$H$1036,1))</f>
        <v>1.2</v>
      </c>
      <c r="AW183" s="156">
        <f t="shared" si="34"/>
        <v>9.9999999999999995E-8</v>
      </c>
      <c r="AY183" s="140">
        <f t="shared" si="35"/>
        <v>1.1000000000000001E-5</v>
      </c>
      <c r="AZ183">
        <v>1.1000000000000001</v>
      </c>
      <c r="BA183" s="140">
        <f t="shared" si="36"/>
        <v>1.0999999999999998E-7</v>
      </c>
      <c r="BB183" s="140">
        <f t="shared" si="37"/>
        <v>2.1999999999999998E-7</v>
      </c>
      <c r="BC183" s="140">
        <f t="shared" si="38"/>
        <v>3.3000000000000002E-7</v>
      </c>
      <c r="BD183" s="140">
        <f t="shared" si="39"/>
        <v>4.4000000000000008E-7</v>
      </c>
      <c r="BE183" s="140">
        <f t="shared" si="40"/>
        <v>5.5000000000000013E-7</v>
      </c>
      <c r="BF183" s="157">
        <f>IF(AY183&lt;$B$89*DATA!$H$1037,DATA!$H$1037,IF(AY183&gt;DATA!$H$1036*$B$89,DATA!$H$1036,1))</f>
        <v>1.2</v>
      </c>
      <c r="BG183" s="156">
        <f t="shared" si="41"/>
        <v>9.9999999999999995E-8</v>
      </c>
      <c r="BI183" s="140">
        <f t="shared" si="42"/>
        <v>1.1000000000000001E-5</v>
      </c>
      <c r="BJ183">
        <v>1.1000000000000001</v>
      </c>
      <c r="BK183" s="140">
        <f t="shared" si="43"/>
        <v>1.0999999999999998E-7</v>
      </c>
      <c r="BL183" s="140">
        <f t="shared" si="44"/>
        <v>2.1999999999999998E-7</v>
      </c>
      <c r="BM183" s="140">
        <f t="shared" si="45"/>
        <v>3.3000000000000002E-7</v>
      </c>
      <c r="BN183" s="140">
        <f t="shared" si="46"/>
        <v>4.4000000000000008E-7</v>
      </c>
      <c r="BO183" s="140">
        <f t="shared" si="47"/>
        <v>5.5000000000000013E-7</v>
      </c>
      <c r="BP183" s="157">
        <f>IF(BI183&lt;$B$105*DATA!$H$1037,DATA!$H$1037,IF(BI183&gt;DATA!$H$1036*$B$105,DATA!$H$1036,1))</f>
        <v>1.2</v>
      </c>
      <c r="BQ183" s="156">
        <f t="shared" si="48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49"/>
        <v>1.1199999999999997E-7</v>
      </c>
      <c r="D184" s="140">
        <f t="shared" si="49"/>
        <v>2.2399999999999999E-7</v>
      </c>
      <c r="E184" s="140">
        <f t="shared" si="49"/>
        <v>3.3600000000000004E-7</v>
      </c>
      <c r="F184" s="140">
        <f t="shared" si="49"/>
        <v>4.4800000000000004E-7</v>
      </c>
      <c r="G184" s="140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6"/>
        <v>9.9999999999999995E-8</v>
      </c>
      <c r="K184" s="140">
        <f t="shared" si="7"/>
        <v>1.1200000000000001E-5</v>
      </c>
      <c r="L184">
        <v>1.1200000000000001</v>
      </c>
      <c r="M184" s="140">
        <f t="shared" si="8"/>
        <v>1.1199999999999997E-7</v>
      </c>
      <c r="N184" s="140">
        <f t="shared" si="9"/>
        <v>2.2399999999999999E-7</v>
      </c>
      <c r="O184" s="140">
        <f t="shared" si="10"/>
        <v>3.3600000000000004E-7</v>
      </c>
      <c r="P184" s="140">
        <f t="shared" si="11"/>
        <v>4.4800000000000004E-7</v>
      </c>
      <c r="Q184" s="140">
        <f t="shared" si="12"/>
        <v>5.6000000000000004E-7</v>
      </c>
      <c r="R184" s="157">
        <f>IF(K184&lt;$B$25*DATA!$H$1037,DATA!$H$1037,IF(K184&gt;DATA!$H$1036*$B$25,DATA!$H$1036,1))</f>
        <v>0.8</v>
      </c>
      <c r="S184" s="156">
        <f t="shared" si="13"/>
        <v>9.9999999999999995E-8</v>
      </c>
      <c r="U184" s="140">
        <f t="shared" si="14"/>
        <v>1.1200000000000001E-5</v>
      </c>
      <c r="V184">
        <v>1.1200000000000001</v>
      </c>
      <c r="W184" s="140">
        <f t="shared" si="15"/>
        <v>1.1199999999999997E-7</v>
      </c>
      <c r="X184" s="140">
        <f t="shared" si="16"/>
        <v>2.2399999999999999E-7</v>
      </c>
      <c r="Y184" s="140">
        <f t="shared" si="17"/>
        <v>3.3600000000000004E-7</v>
      </c>
      <c r="Z184" s="140">
        <f t="shared" si="18"/>
        <v>4.4800000000000004E-7</v>
      </c>
      <c r="AA184" s="140">
        <f t="shared" si="19"/>
        <v>5.6000000000000004E-7</v>
      </c>
      <c r="AB184" s="157">
        <f>IF(U184&lt;$B$41*DATA!$H$1037,DATA!$H$1037,IF(U184&gt;DATA!$H$1036*$B$41,DATA!$H$1036,1))</f>
        <v>0.8</v>
      </c>
      <c r="AC184" s="156">
        <f t="shared" si="20"/>
        <v>9.9999999999999995E-8</v>
      </c>
      <c r="AE184" s="140">
        <f t="shared" si="21"/>
        <v>1.1200000000000001E-5</v>
      </c>
      <c r="AF184">
        <v>1.1200000000000001</v>
      </c>
      <c r="AG184" s="140">
        <f t="shared" si="22"/>
        <v>1.1199999999999997E-7</v>
      </c>
      <c r="AH184" s="140">
        <f t="shared" si="23"/>
        <v>2.2399999999999999E-7</v>
      </c>
      <c r="AI184" s="140">
        <f t="shared" si="24"/>
        <v>3.3600000000000004E-7</v>
      </c>
      <c r="AJ184" s="140">
        <f t="shared" si="25"/>
        <v>4.4800000000000004E-7</v>
      </c>
      <c r="AK184" s="140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27"/>
        <v>9.9999999999999995E-8</v>
      </c>
      <c r="AO184" s="140">
        <f t="shared" si="28"/>
        <v>1.1200000000000001E-5</v>
      </c>
      <c r="AP184">
        <v>1.1200000000000001</v>
      </c>
      <c r="AQ184" s="140">
        <f t="shared" si="29"/>
        <v>1.1199999999999997E-7</v>
      </c>
      <c r="AR184" s="140">
        <f t="shared" si="30"/>
        <v>2.2399999999999999E-7</v>
      </c>
      <c r="AS184" s="140">
        <f t="shared" si="31"/>
        <v>3.3600000000000004E-7</v>
      </c>
      <c r="AT184" s="140">
        <f t="shared" si="32"/>
        <v>4.4800000000000004E-7</v>
      </c>
      <c r="AU184" s="140">
        <f t="shared" si="33"/>
        <v>5.6000000000000004E-7</v>
      </c>
      <c r="AV184" s="157">
        <f>IF(AO184&lt;$B$73*DATA!$H$1037,DATA!$H$1037,IF(AO184&gt;DATA!$H$1036*$B$73,DATA!$H$1036,1))</f>
        <v>1.2</v>
      </c>
      <c r="AW184" s="156">
        <f t="shared" si="34"/>
        <v>9.9999999999999995E-8</v>
      </c>
      <c r="AY184" s="140">
        <f t="shared" si="35"/>
        <v>1.1200000000000001E-5</v>
      </c>
      <c r="AZ184">
        <v>1.1200000000000001</v>
      </c>
      <c r="BA184" s="140">
        <f t="shared" si="36"/>
        <v>1.1199999999999997E-7</v>
      </c>
      <c r="BB184" s="140">
        <f t="shared" si="37"/>
        <v>2.2399999999999999E-7</v>
      </c>
      <c r="BC184" s="140">
        <f t="shared" si="38"/>
        <v>3.3600000000000004E-7</v>
      </c>
      <c r="BD184" s="140">
        <f t="shared" si="39"/>
        <v>4.4800000000000004E-7</v>
      </c>
      <c r="BE184" s="140">
        <f t="shared" si="40"/>
        <v>5.6000000000000004E-7</v>
      </c>
      <c r="BF184" s="157">
        <f>IF(AY184&lt;$B$89*DATA!$H$1037,DATA!$H$1037,IF(AY184&gt;DATA!$H$1036*$B$89,DATA!$H$1036,1))</f>
        <v>1.2</v>
      </c>
      <c r="BG184" s="156">
        <f t="shared" si="41"/>
        <v>9.9999999999999995E-8</v>
      </c>
      <c r="BI184" s="140">
        <f t="shared" si="42"/>
        <v>1.1200000000000001E-5</v>
      </c>
      <c r="BJ184">
        <v>1.1200000000000001</v>
      </c>
      <c r="BK184" s="140">
        <f t="shared" si="43"/>
        <v>1.1199999999999997E-7</v>
      </c>
      <c r="BL184" s="140">
        <f t="shared" si="44"/>
        <v>2.2399999999999999E-7</v>
      </c>
      <c r="BM184" s="140">
        <f t="shared" si="45"/>
        <v>3.3600000000000004E-7</v>
      </c>
      <c r="BN184" s="140">
        <f t="shared" si="46"/>
        <v>4.4800000000000004E-7</v>
      </c>
      <c r="BO184" s="140">
        <f t="shared" si="47"/>
        <v>5.6000000000000004E-7</v>
      </c>
      <c r="BP184" s="157">
        <f>IF(BI184&lt;$B$105*DATA!$H$1037,DATA!$H$1037,IF(BI184&gt;DATA!$H$1036*$B$105,DATA!$H$1036,1))</f>
        <v>1.2</v>
      </c>
      <c r="BQ184" s="156">
        <f t="shared" si="48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49"/>
        <v>1.1399999999999996E-7</v>
      </c>
      <c r="D185" s="140">
        <f t="shared" si="49"/>
        <v>2.2799999999999995E-7</v>
      </c>
      <c r="E185" s="140">
        <f t="shared" si="49"/>
        <v>3.4199999999999997E-7</v>
      </c>
      <c r="F185" s="140">
        <f t="shared" si="49"/>
        <v>4.5599999999999995E-7</v>
      </c>
      <c r="G185" s="140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6"/>
        <v>9.9999999999999995E-8</v>
      </c>
      <c r="K185" s="140">
        <f t="shared" si="7"/>
        <v>1.1399999999999999E-5</v>
      </c>
      <c r="L185">
        <v>1.1399999999999999</v>
      </c>
      <c r="M185" s="140">
        <f t="shared" si="8"/>
        <v>1.1399999999999996E-7</v>
      </c>
      <c r="N185" s="140">
        <f t="shared" si="9"/>
        <v>2.2799999999999995E-7</v>
      </c>
      <c r="O185" s="140">
        <f t="shared" si="10"/>
        <v>3.4199999999999997E-7</v>
      </c>
      <c r="P185" s="140">
        <f t="shared" si="11"/>
        <v>4.5599999999999995E-7</v>
      </c>
      <c r="Q185" s="140">
        <f t="shared" si="12"/>
        <v>5.6999999999999994E-7</v>
      </c>
      <c r="R185" s="157">
        <f>IF(K185&lt;$B$25*DATA!$H$1037,DATA!$H$1037,IF(K185&gt;DATA!$H$1036*$B$25,DATA!$H$1036,1))</f>
        <v>0.8</v>
      </c>
      <c r="S185" s="156">
        <f t="shared" si="13"/>
        <v>9.9999999999999995E-8</v>
      </c>
      <c r="U185" s="140">
        <f t="shared" si="14"/>
        <v>1.1399999999999999E-5</v>
      </c>
      <c r="V185">
        <v>1.1399999999999999</v>
      </c>
      <c r="W185" s="140">
        <f t="shared" si="15"/>
        <v>1.1399999999999996E-7</v>
      </c>
      <c r="X185" s="140">
        <f t="shared" si="16"/>
        <v>2.2799999999999995E-7</v>
      </c>
      <c r="Y185" s="140">
        <f t="shared" si="17"/>
        <v>3.4199999999999997E-7</v>
      </c>
      <c r="Z185" s="140">
        <f t="shared" si="18"/>
        <v>4.5599999999999995E-7</v>
      </c>
      <c r="AA185" s="140">
        <f t="shared" si="19"/>
        <v>5.6999999999999994E-7</v>
      </c>
      <c r="AB185" s="157">
        <f>IF(U185&lt;$B$41*DATA!$H$1037,DATA!$H$1037,IF(U185&gt;DATA!$H$1036*$B$41,DATA!$H$1036,1))</f>
        <v>0.8</v>
      </c>
      <c r="AC185" s="156">
        <f t="shared" si="20"/>
        <v>9.9999999999999995E-8</v>
      </c>
      <c r="AE185" s="140">
        <f t="shared" si="21"/>
        <v>1.1399999999999999E-5</v>
      </c>
      <c r="AF185">
        <v>1.1399999999999999</v>
      </c>
      <c r="AG185" s="140">
        <f t="shared" si="22"/>
        <v>1.1399999999999996E-7</v>
      </c>
      <c r="AH185" s="140">
        <f t="shared" si="23"/>
        <v>2.2799999999999995E-7</v>
      </c>
      <c r="AI185" s="140">
        <f t="shared" si="24"/>
        <v>3.4199999999999997E-7</v>
      </c>
      <c r="AJ185" s="140">
        <f t="shared" si="25"/>
        <v>4.5599999999999995E-7</v>
      </c>
      <c r="AK185" s="140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27"/>
        <v>9.9999999999999995E-8</v>
      </c>
      <c r="AO185" s="140">
        <f t="shared" si="28"/>
        <v>1.1399999999999999E-5</v>
      </c>
      <c r="AP185">
        <v>1.1399999999999999</v>
      </c>
      <c r="AQ185" s="140">
        <f t="shared" si="29"/>
        <v>1.1399999999999996E-7</v>
      </c>
      <c r="AR185" s="140">
        <f t="shared" si="30"/>
        <v>2.2799999999999995E-7</v>
      </c>
      <c r="AS185" s="140">
        <f t="shared" si="31"/>
        <v>3.4199999999999997E-7</v>
      </c>
      <c r="AT185" s="140">
        <f t="shared" si="32"/>
        <v>4.5599999999999995E-7</v>
      </c>
      <c r="AU185" s="140">
        <f t="shared" si="33"/>
        <v>5.6999999999999994E-7</v>
      </c>
      <c r="AV185" s="157">
        <f>IF(AO185&lt;$B$73*DATA!$H$1037,DATA!$H$1037,IF(AO185&gt;DATA!$H$1036*$B$73,DATA!$H$1036,1))</f>
        <v>1.2</v>
      </c>
      <c r="AW185" s="156">
        <f t="shared" si="34"/>
        <v>9.9999999999999995E-8</v>
      </c>
      <c r="AY185" s="140">
        <f t="shared" si="35"/>
        <v>1.1399999999999999E-5</v>
      </c>
      <c r="AZ185">
        <v>1.1399999999999999</v>
      </c>
      <c r="BA185" s="140">
        <f t="shared" si="36"/>
        <v>1.1399999999999996E-7</v>
      </c>
      <c r="BB185" s="140">
        <f t="shared" si="37"/>
        <v>2.2799999999999995E-7</v>
      </c>
      <c r="BC185" s="140">
        <f t="shared" si="38"/>
        <v>3.4199999999999997E-7</v>
      </c>
      <c r="BD185" s="140">
        <f t="shared" si="39"/>
        <v>4.5599999999999995E-7</v>
      </c>
      <c r="BE185" s="140">
        <f t="shared" si="40"/>
        <v>5.6999999999999994E-7</v>
      </c>
      <c r="BF185" s="157">
        <f>IF(AY185&lt;$B$89*DATA!$H$1037,DATA!$H$1037,IF(AY185&gt;DATA!$H$1036*$B$89,DATA!$H$1036,1))</f>
        <v>1.2</v>
      </c>
      <c r="BG185" s="156">
        <f t="shared" si="41"/>
        <v>9.9999999999999995E-8</v>
      </c>
      <c r="BI185" s="140">
        <f t="shared" si="42"/>
        <v>1.1399999999999999E-5</v>
      </c>
      <c r="BJ185">
        <v>1.1399999999999999</v>
      </c>
      <c r="BK185" s="140">
        <f t="shared" si="43"/>
        <v>1.1399999999999996E-7</v>
      </c>
      <c r="BL185" s="140">
        <f t="shared" si="44"/>
        <v>2.2799999999999995E-7</v>
      </c>
      <c r="BM185" s="140">
        <f t="shared" si="45"/>
        <v>3.4199999999999997E-7</v>
      </c>
      <c r="BN185" s="140">
        <f t="shared" si="46"/>
        <v>4.5599999999999995E-7</v>
      </c>
      <c r="BO185" s="140">
        <f t="shared" si="47"/>
        <v>5.6999999999999994E-7</v>
      </c>
      <c r="BP185" s="157">
        <f>IF(BI185&lt;$B$105*DATA!$H$1037,DATA!$H$1037,IF(BI185&gt;DATA!$H$1036*$B$105,DATA!$H$1036,1))</f>
        <v>1.2</v>
      </c>
      <c r="BQ185" s="156">
        <f t="shared" si="48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49"/>
        <v>1.1599999999999997E-7</v>
      </c>
      <c r="D186" s="140">
        <f t="shared" si="49"/>
        <v>2.3199999999999999E-7</v>
      </c>
      <c r="E186" s="140">
        <f t="shared" si="49"/>
        <v>3.4799999999999999E-7</v>
      </c>
      <c r="F186" s="140">
        <f t="shared" si="49"/>
        <v>4.6400000000000003E-7</v>
      </c>
      <c r="G186" s="140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6"/>
        <v>9.9999999999999995E-8</v>
      </c>
      <c r="K186" s="140">
        <f t="shared" si="7"/>
        <v>1.1600000000000001E-5</v>
      </c>
      <c r="L186">
        <v>1.1599999999999999</v>
      </c>
      <c r="M186" s="140">
        <f t="shared" si="8"/>
        <v>1.1599999999999997E-7</v>
      </c>
      <c r="N186" s="140">
        <f t="shared" si="9"/>
        <v>2.3199999999999999E-7</v>
      </c>
      <c r="O186" s="140">
        <f t="shared" si="10"/>
        <v>3.4799999999999999E-7</v>
      </c>
      <c r="P186" s="140">
        <f t="shared" si="11"/>
        <v>4.6400000000000003E-7</v>
      </c>
      <c r="Q186" s="140">
        <f t="shared" si="12"/>
        <v>5.8000000000000006E-7</v>
      </c>
      <c r="R186" s="157">
        <f>IF(K186&lt;$B$25*DATA!$H$1037,DATA!$H$1037,IF(K186&gt;DATA!$H$1036*$B$25,DATA!$H$1036,1))</f>
        <v>0.8</v>
      </c>
      <c r="S186" s="156">
        <f t="shared" si="13"/>
        <v>9.9999999999999995E-8</v>
      </c>
      <c r="U186" s="140">
        <f t="shared" si="14"/>
        <v>1.1600000000000001E-5</v>
      </c>
      <c r="V186">
        <v>1.1599999999999999</v>
      </c>
      <c r="W186" s="140">
        <f t="shared" si="15"/>
        <v>1.1599999999999997E-7</v>
      </c>
      <c r="X186" s="140">
        <f t="shared" si="16"/>
        <v>2.3199999999999999E-7</v>
      </c>
      <c r="Y186" s="140">
        <f t="shared" si="17"/>
        <v>3.4799999999999999E-7</v>
      </c>
      <c r="Z186" s="140">
        <f t="shared" si="18"/>
        <v>4.6400000000000003E-7</v>
      </c>
      <c r="AA186" s="140">
        <f t="shared" si="19"/>
        <v>5.8000000000000006E-7</v>
      </c>
      <c r="AB186" s="157">
        <f>IF(U186&lt;$B$41*DATA!$H$1037,DATA!$H$1037,IF(U186&gt;DATA!$H$1036*$B$41,DATA!$H$1036,1))</f>
        <v>0.8</v>
      </c>
      <c r="AC186" s="156">
        <f t="shared" si="20"/>
        <v>9.9999999999999995E-8</v>
      </c>
      <c r="AE186" s="140">
        <f t="shared" si="21"/>
        <v>1.1600000000000001E-5</v>
      </c>
      <c r="AF186">
        <v>1.1599999999999999</v>
      </c>
      <c r="AG186" s="140">
        <f t="shared" si="22"/>
        <v>1.1599999999999997E-7</v>
      </c>
      <c r="AH186" s="140">
        <f t="shared" si="23"/>
        <v>2.3199999999999999E-7</v>
      </c>
      <c r="AI186" s="140">
        <f t="shared" si="24"/>
        <v>3.4799999999999999E-7</v>
      </c>
      <c r="AJ186" s="140">
        <f t="shared" si="25"/>
        <v>4.6400000000000003E-7</v>
      </c>
      <c r="AK186" s="140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27"/>
        <v>9.9999999999999995E-8</v>
      </c>
      <c r="AO186" s="140">
        <f t="shared" si="28"/>
        <v>1.1600000000000001E-5</v>
      </c>
      <c r="AP186">
        <v>1.1599999999999999</v>
      </c>
      <c r="AQ186" s="140">
        <f t="shared" si="29"/>
        <v>1.1599999999999997E-7</v>
      </c>
      <c r="AR186" s="140">
        <f t="shared" si="30"/>
        <v>2.3199999999999999E-7</v>
      </c>
      <c r="AS186" s="140">
        <f t="shared" si="31"/>
        <v>3.4799999999999999E-7</v>
      </c>
      <c r="AT186" s="140">
        <f t="shared" si="32"/>
        <v>4.6400000000000003E-7</v>
      </c>
      <c r="AU186" s="140">
        <f t="shared" si="33"/>
        <v>5.8000000000000006E-7</v>
      </c>
      <c r="AV186" s="157">
        <f>IF(AO186&lt;$B$73*DATA!$H$1037,DATA!$H$1037,IF(AO186&gt;DATA!$H$1036*$B$73,DATA!$H$1036,1))</f>
        <v>1.2</v>
      </c>
      <c r="AW186" s="156">
        <f t="shared" si="34"/>
        <v>9.9999999999999995E-8</v>
      </c>
      <c r="AY186" s="140">
        <f t="shared" si="35"/>
        <v>1.1600000000000001E-5</v>
      </c>
      <c r="AZ186">
        <v>1.1599999999999999</v>
      </c>
      <c r="BA186" s="140">
        <f t="shared" si="36"/>
        <v>1.1599999999999997E-7</v>
      </c>
      <c r="BB186" s="140">
        <f t="shared" si="37"/>
        <v>2.3199999999999999E-7</v>
      </c>
      <c r="BC186" s="140">
        <f t="shared" si="38"/>
        <v>3.4799999999999999E-7</v>
      </c>
      <c r="BD186" s="140">
        <f t="shared" si="39"/>
        <v>4.6400000000000003E-7</v>
      </c>
      <c r="BE186" s="140">
        <f t="shared" si="40"/>
        <v>5.8000000000000006E-7</v>
      </c>
      <c r="BF186" s="157">
        <f>IF(AY186&lt;$B$89*DATA!$H$1037,DATA!$H$1037,IF(AY186&gt;DATA!$H$1036*$B$89,DATA!$H$1036,1))</f>
        <v>1.2</v>
      </c>
      <c r="BG186" s="156">
        <f t="shared" si="41"/>
        <v>9.9999999999999995E-8</v>
      </c>
      <c r="BI186" s="140">
        <f t="shared" si="42"/>
        <v>1.1600000000000001E-5</v>
      </c>
      <c r="BJ186">
        <v>1.1599999999999999</v>
      </c>
      <c r="BK186" s="140">
        <f t="shared" si="43"/>
        <v>1.1599999999999997E-7</v>
      </c>
      <c r="BL186" s="140">
        <f t="shared" si="44"/>
        <v>2.3199999999999999E-7</v>
      </c>
      <c r="BM186" s="140">
        <f t="shared" si="45"/>
        <v>3.4799999999999999E-7</v>
      </c>
      <c r="BN186" s="140">
        <f t="shared" si="46"/>
        <v>4.6400000000000003E-7</v>
      </c>
      <c r="BO186" s="140">
        <f t="shared" si="47"/>
        <v>5.8000000000000006E-7</v>
      </c>
      <c r="BP186" s="157">
        <f>IF(BI186&lt;$B$105*DATA!$H$1037,DATA!$H$1037,IF(BI186&gt;DATA!$H$1036*$B$105,DATA!$H$1036,1))</f>
        <v>1.2</v>
      </c>
      <c r="BQ186" s="156">
        <f t="shared" si="48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49"/>
        <v>1.1799999999999997E-7</v>
      </c>
      <c r="D187" s="140">
        <f t="shared" si="49"/>
        <v>2.3599999999999997E-7</v>
      </c>
      <c r="E187" s="140">
        <f t="shared" si="49"/>
        <v>3.5400000000000002E-7</v>
      </c>
      <c r="F187" s="140">
        <f t="shared" si="49"/>
        <v>4.7200000000000004E-7</v>
      </c>
      <c r="G187" s="140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6"/>
        <v>9.9999999999999995E-8</v>
      </c>
      <c r="K187" s="140">
        <f t="shared" si="7"/>
        <v>1.1800000000000001E-5</v>
      </c>
      <c r="L187">
        <v>1.18</v>
      </c>
      <c r="M187" s="140">
        <f t="shared" si="8"/>
        <v>1.1799999999999997E-7</v>
      </c>
      <c r="N187" s="140">
        <f t="shared" si="9"/>
        <v>2.3599999999999997E-7</v>
      </c>
      <c r="O187" s="140">
        <f t="shared" si="10"/>
        <v>3.5400000000000002E-7</v>
      </c>
      <c r="P187" s="140">
        <f t="shared" si="11"/>
        <v>4.7200000000000004E-7</v>
      </c>
      <c r="Q187" s="140">
        <f t="shared" si="12"/>
        <v>5.9000000000000007E-7</v>
      </c>
      <c r="R187" s="157">
        <f>IF(K187&lt;$B$25*DATA!$H$1037,DATA!$H$1037,IF(K187&gt;DATA!$H$1036*$B$25,DATA!$H$1036,1))</f>
        <v>0.8</v>
      </c>
      <c r="S187" s="156">
        <f t="shared" si="13"/>
        <v>9.9999999999999995E-8</v>
      </c>
      <c r="U187" s="140">
        <f t="shared" si="14"/>
        <v>1.1800000000000001E-5</v>
      </c>
      <c r="V187">
        <v>1.18</v>
      </c>
      <c r="W187" s="140">
        <f t="shared" si="15"/>
        <v>1.1799999999999997E-7</v>
      </c>
      <c r="X187" s="140">
        <f t="shared" si="16"/>
        <v>2.3599999999999997E-7</v>
      </c>
      <c r="Y187" s="140">
        <f t="shared" si="17"/>
        <v>3.5400000000000002E-7</v>
      </c>
      <c r="Z187" s="140">
        <f t="shared" si="18"/>
        <v>4.7200000000000004E-7</v>
      </c>
      <c r="AA187" s="140">
        <f t="shared" si="19"/>
        <v>5.9000000000000007E-7</v>
      </c>
      <c r="AB187" s="157">
        <f>IF(U187&lt;$B$41*DATA!$H$1037,DATA!$H$1037,IF(U187&gt;DATA!$H$1036*$B$41,DATA!$H$1036,1))</f>
        <v>0.8</v>
      </c>
      <c r="AC187" s="156">
        <f t="shared" si="20"/>
        <v>9.9999999999999995E-8</v>
      </c>
      <c r="AE187" s="140">
        <f t="shared" si="21"/>
        <v>1.1800000000000001E-5</v>
      </c>
      <c r="AF187">
        <v>1.18</v>
      </c>
      <c r="AG187" s="140">
        <f t="shared" si="22"/>
        <v>1.1799999999999997E-7</v>
      </c>
      <c r="AH187" s="140">
        <f t="shared" si="23"/>
        <v>2.3599999999999997E-7</v>
      </c>
      <c r="AI187" s="140">
        <f t="shared" si="24"/>
        <v>3.5400000000000002E-7</v>
      </c>
      <c r="AJ187" s="140">
        <f t="shared" si="25"/>
        <v>4.7200000000000004E-7</v>
      </c>
      <c r="AK187" s="140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27"/>
        <v>9.9999999999999995E-8</v>
      </c>
      <c r="AO187" s="140">
        <f t="shared" si="28"/>
        <v>1.1800000000000001E-5</v>
      </c>
      <c r="AP187">
        <v>1.18</v>
      </c>
      <c r="AQ187" s="140">
        <f t="shared" si="29"/>
        <v>1.1799999999999997E-7</v>
      </c>
      <c r="AR187" s="140">
        <f t="shared" si="30"/>
        <v>2.3599999999999997E-7</v>
      </c>
      <c r="AS187" s="140">
        <f t="shared" si="31"/>
        <v>3.5400000000000002E-7</v>
      </c>
      <c r="AT187" s="140">
        <f t="shared" si="32"/>
        <v>4.7200000000000004E-7</v>
      </c>
      <c r="AU187" s="140">
        <f t="shared" si="33"/>
        <v>5.9000000000000007E-7</v>
      </c>
      <c r="AV187" s="157">
        <f>IF(AO187&lt;$B$73*DATA!$H$1037,DATA!$H$1037,IF(AO187&gt;DATA!$H$1036*$B$73,DATA!$H$1036,1))</f>
        <v>1.2</v>
      </c>
      <c r="AW187" s="156">
        <f t="shared" si="34"/>
        <v>9.9999999999999995E-8</v>
      </c>
      <c r="AY187" s="140">
        <f t="shared" si="35"/>
        <v>1.1800000000000001E-5</v>
      </c>
      <c r="AZ187">
        <v>1.18</v>
      </c>
      <c r="BA187" s="140">
        <f t="shared" si="36"/>
        <v>1.1799999999999997E-7</v>
      </c>
      <c r="BB187" s="140">
        <f t="shared" si="37"/>
        <v>2.3599999999999997E-7</v>
      </c>
      <c r="BC187" s="140">
        <f t="shared" si="38"/>
        <v>3.5400000000000002E-7</v>
      </c>
      <c r="BD187" s="140">
        <f t="shared" si="39"/>
        <v>4.7200000000000004E-7</v>
      </c>
      <c r="BE187" s="140">
        <f t="shared" si="40"/>
        <v>5.9000000000000007E-7</v>
      </c>
      <c r="BF187" s="157">
        <f>IF(AY187&lt;$B$89*DATA!$H$1037,DATA!$H$1037,IF(AY187&gt;DATA!$H$1036*$B$89,DATA!$H$1036,1))</f>
        <v>1.2</v>
      </c>
      <c r="BG187" s="156">
        <f t="shared" si="41"/>
        <v>9.9999999999999995E-8</v>
      </c>
      <c r="BI187" s="140">
        <f t="shared" si="42"/>
        <v>1.1800000000000001E-5</v>
      </c>
      <c r="BJ187">
        <v>1.18</v>
      </c>
      <c r="BK187" s="140">
        <f t="shared" si="43"/>
        <v>1.1799999999999997E-7</v>
      </c>
      <c r="BL187" s="140">
        <f t="shared" si="44"/>
        <v>2.3599999999999997E-7</v>
      </c>
      <c r="BM187" s="140">
        <f t="shared" si="45"/>
        <v>3.5400000000000002E-7</v>
      </c>
      <c r="BN187" s="140">
        <f t="shared" si="46"/>
        <v>4.7200000000000004E-7</v>
      </c>
      <c r="BO187" s="140">
        <f t="shared" si="47"/>
        <v>5.9000000000000007E-7</v>
      </c>
      <c r="BP187" s="157">
        <f>IF(BI187&lt;$B$105*DATA!$H$1037,DATA!$H$1037,IF(BI187&gt;DATA!$H$1036*$B$105,DATA!$H$1036,1))</f>
        <v>1.2</v>
      </c>
      <c r="BQ187" s="156">
        <f t="shared" si="48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49"/>
        <v>1.1999999999999996E-7</v>
      </c>
      <c r="D188" s="140">
        <f t="shared" si="49"/>
        <v>2.3999999999999998E-7</v>
      </c>
      <c r="E188" s="140">
        <f t="shared" si="49"/>
        <v>3.5999999999999999E-7</v>
      </c>
      <c r="F188" s="140">
        <f t="shared" si="49"/>
        <v>4.8000000000000006E-7</v>
      </c>
      <c r="G188" s="140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6"/>
        <v>9.9999999999999995E-8</v>
      </c>
      <c r="K188" s="140">
        <f t="shared" si="7"/>
        <v>1.2E-5</v>
      </c>
      <c r="L188">
        <v>1.2</v>
      </c>
      <c r="M188" s="140">
        <f t="shared" si="8"/>
        <v>1.1999999999999996E-7</v>
      </c>
      <c r="N188" s="140">
        <f t="shared" si="9"/>
        <v>2.3999999999999998E-7</v>
      </c>
      <c r="O188" s="140">
        <f t="shared" si="10"/>
        <v>3.5999999999999999E-7</v>
      </c>
      <c r="P188" s="140">
        <f t="shared" si="11"/>
        <v>4.8000000000000006E-7</v>
      </c>
      <c r="Q188" s="140">
        <f t="shared" si="12"/>
        <v>6.0000000000000008E-7</v>
      </c>
      <c r="R188" s="157">
        <f>IF(K188&lt;$B$25*DATA!$H$1037,DATA!$H$1037,IF(K188&gt;DATA!$H$1036*$B$25,DATA!$H$1036,1))</f>
        <v>0.8</v>
      </c>
      <c r="S188" s="156">
        <f t="shared" si="13"/>
        <v>9.9999999999999995E-8</v>
      </c>
      <c r="U188" s="140">
        <f t="shared" si="14"/>
        <v>1.2E-5</v>
      </c>
      <c r="V188">
        <v>1.2</v>
      </c>
      <c r="W188" s="140">
        <f t="shared" si="15"/>
        <v>1.1999999999999996E-7</v>
      </c>
      <c r="X188" s="140">
        <f t="shared" si="16"/>
        <v>2.3999999999999998E-7</v>
      </c>
      <c r="Y188" s="140">
        <f t="shared" si="17"/>
        <v>3.5999999999999999E-7</v>
      </c>
      <c r="Z188" s="140">
        <f t="shared" si="18"/>
        <v>4.8000000000000006E-7</v>
      </c>
      <c r="AA188" s="140">
        <f t="shared" si="19"/>
        <v>6.0000000000000008E-7</v>
      </c>
      <c r="AB188" s="157">
        <f>IF(U188&lt;$B$41*DATA!$H$1037,DATA!$H$1037,IF(U188&gt;DATA!$H$1036*$B$41,DATA!$H$1036,1))</f>
        <v>0.8</v>
      </c>
      <c r="AC188" s="156">
        <f t="shared" si="20"/>
        <v>9.9999999999999995E-8</v>
      </c>
      <c r="AE188" s="140">
        <f t="shared" si="21"/>
        <v>1.2E-5</v>
      </c>
      <c r="AF188">
        <v>1.2</v>
      </c>
      <c r="AG188" s="140">
        <f t="shared" si="22"/>
        <v>1.1999999999999996E-7</v>
      </c>
      <c r="AH188" s="140">
        <f t="shared" si="23"/>
        <v>2.3999999999999998E-7</v>
      </c>
      <c r="AI188" s="140">
        <f t="shared" si="24"/>
        <v>3.5999999999999999E-7</v>
      </c>
      <c r="AJ188" s="140">
        <f t="shared" si="25"/>
        <v>4.8000000000000006E-7</v>
      </c>
      <c r="AK188" s="140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27"/>
        <v>9.9999999999999995E-8</v>
      </c>
      <c r="AO188" s="140">
        <f t="shared" si="28"/>
        <v>1.2E-5</v>
      </c>
      <c r="AP188">
        <v>1.2</v>
      </c>
      <c r="AQ188" s="140">
        <f t="shared" si="29"/>
        <v>1.1999999999999996E-7</v>
      </c>
      <c r="AR188" s="140">
        <f t="shared" si="30"/>
        <v>2.3999999999999998E-7</v>
      </c>
      <c r="AS188" s="140">
        <f t="shared" si="31"/>
        <v>3.5999999999999999E-7</v>
      </c>
      <c r="AT188" s="140">
        <f t="shared" si="32"/>
        <v>4.8000000000000006E-7</v>
      </c>
      <c r="AU188" s="140">
        <f t="shared" si="33"/>
        <v>6.0000000000000008E-7</v>
      </c>
      <c r="AV188" s="157">
        <f>IF(AO188&lt;$B$73*DATA!$H$1037,DATA!$H$1037,IF(AO188&gt;DATA!$H$1036*$B$73,DATA!$H$1036,1))</f>
        <v>1.2</v>
      </c>
      <c r="AW188" s="156">
        <f t="shared" si="34"/>
        <v>9.9999999999999995E-8</v>
      </c>
      <c r="AY188" s="140">
        <f t="shared" si="35"/>
        <v>1.2E-5</v>
      </c>
      <c r="AZ188">
        <v>1.2</v>
      </c>
      <c r="BA188" s="140">
        <f t="shared" si="36"/>
        <v>1.1999999999999996E-7</v>
      </c>
      <c r="BB188" s="140">
        <f t="shared" si="37"/>
        <v>2.3999999999999998E-7</v>
      </c>
      <c r="BC188" s="140">
        <f t="shared" si="38"/>
        <v>3.5999999999999999E-7</v>
      </c>
      <c r="BD188" s="140">
        <f t="shared" si="39"/>
        <v>4.8000000000000006E-7</v>
      </c>
      <c r="BE188" s="140">
        <f t="shared" si="40"/>
        <v>6.0000000000000008E-7</v>
      </c>
      <c r="BF188" s="157">
        <f>IF(AY188&lt;$B$89*DATA!$H$1037,DATA!$H$1037,IF(AY188&gt;DATA!$H$1036*$B$89,DATA!$H$1036,1))</f>
        <v>1.2</v>
      </c>
      <c r="BG188" s="156">
        <f t="shared" si="41"/>
        <v>9.9999999999999995E-8</v>
      </c>
      <c r="BI188" s="140">
        <f t="shared" si="42"/>
        <v>1.2E-5</v>
      </c>
      <c r="BJ188">
        <v>1.2</v>
      </c>
      <c r="BK188" s="140">
        <f t="shared" si="43"/>
        <v>1.1999999999999996E-7</v>
      </c>
      <c r="BL188" s="140">
        <f t="shared" si="44"/>
        <v>2.3999999999999998E-7</v>
      </c>
      <c r="BM188" s="140">
        <f t="shared" si="45"/>
        <v>3.5999999999999999E-7</v>
      </c>
      <c r="BN188" s="140">
        <f t="shared" si="46"/>
        <v>4.8000000000000006E-7</v>
      </c>
      <c r="BO188" s="140">
        <f t="shared" si="47"/>
        <v>6.0000000000000008E-7</v>
      </c>
      <c r="BP188" s="157">
        <f>IF(BI188&lt;$B$105*DATA!$H$1037,DATA!$H$1037,IF(BI188&gt;DATA!$H$1036*$B$105,DATA!$H$1036,1))</f>
        <v>1.2</v>
      </c>
      <c r="BQ188" s="156">
        <f t="shared" si="48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49"/>
        <v>1.2199999999999995E-7</v>
      </c>
      <c r="D189" s="140">
        <f t="shared" si="49"/>
        <v>2.4399999999999996E-7</v>
      </c>
      <c r="E189" s="140">
        <f t="shared" si="49"/>
        <v>3.6599999999999997E-7</v>
      </c>
      <c r="F189" s="140">
        <f t="shared" si="49"/>
        <v>4.8800000000000003E-7</v>
      </c>
      <c r="G189" s="140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6"/>
        <v>9.9999999999999995E-8</v>
      </c>
      <c r="K189" s="140">
        <f t="shared" si="7"/>
        <v>1.22E-5</v>
      </c>
      <c r="L189">
        <v>1.22</v>
      </c>
      <c r="M189" s="140">
        <f t="shared" si="8"/>
        <v>1.2199999999999995E-7</v>
      </c>
      <c r="N189" s="140">
        <f t="shared" si="9"/>
        <v>2.4399999999999996E-7</v>
      </c>
      <c r="O189" s="140">
        <f t="shared" si="10"/>
        <v>3.6599999999999997E-7</v>
      </c>
      <c r="P189" s="140">
        <f t="shared" si="11"/>
        <v>4.8800000000000003E-7</v>
      </c>
      <c r="Q189" s="140">
        <f t="shared" si="12"/>
        <v>6.1000000000000009E-7</v>
      </c>
      <c r="R189" s="157">
        <f>IF(K189&lt;$B$25*DATA!$H$1037,DATA!$H$1037,IF(K189&gt;DATA!$H$1036*$B$25,DATA!$H$1036,1))</f>
        <v>0.8</v>
      </c>
      <c r="S189" s="156">
        <f t="shared" si="13"/>
        <v>9.9999999999999995E-8</v>
      </c>
      <c r="U189" s="140">
        <f t="shared" si="14"/>
        <v>1.22E-5</v>
      </c>
      <c r="V189">
        <v>1.22</v>
      </c>
      <c r="W189" s="140">
        <f t="shared" si="15"/>
        <v>1.2199999999999995E-7</v>
      </c>
      <c r="X189" s="140">
        <f t="shared" si="16"/>
        <v>2.4399999999999996E-7</v>
      </c>
      <c r="Y189" s="140">
        <f t="shared" si="17"/>
        <v>3.6599999999999997E-7</v>
      </c>
      <c r="Z189" s="140">
        <f t="shared" si="18"/>
        <v>4.8800000000000003E-7</v>
      </c>
      <c r="AA189" s="140">
        <f t="shared" si="19"/>
        <v>6.1000000000000009E-7</v>
      </c>
      <c r="AB189" s="157">
        <f>IF(U189&lt;$B$41*DATA!$H$1037,DATA!$H$1037,IF(U189&gt;DATA!$H$1036*$B$41,DATA!$H$1036,1))</f>
        <v>0.8</v>
      </c>
      <c r="AC189" s="156">
        <f t="shared" si="20"/>
        <v>9.9999999999999995E-8</v>
      </c>
      <c r="AE189" s="140">
        <f t="shared" si="21"/>
        <v>1.22E-5</v>
      </c>
      <c r="AF189">
        <v>1.22</v>
      </c>
      <c r="AG189" s="140">
        <f t="shared" si="22"/>
        <v>1.2199999999999995E-7</v>
      </c>
      <c r="AH189" s="140">
        <f t="shared" si="23"/>
        <v>2.4399999999999996E-7</v>
      </c>
      <c r="AI189" s="140">
        <f t="shared" si="24"/>
        <v>3.6599999999999997E-7</v>
      </c>
      <c r="AJ189" s="140">
        <f t="shared" si="25"/>
        <v>4.8800000000000003E-7</v>
      </c>
      <c r="AK189" s="140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27"/>
        <v>9.9999999999999995E-8</v>
      </c>
      <c r="AO189" s="140">
        <f t="shared" si="28"/>
        <v>1.22E-5</v>
      </c>
      <c r="AP189">
        <v>1.22</v>
      </c>
      <c r="AQ189" s="140">
        <f t="shared" si="29"/>
        <v>1.2199999999999995E-7</v>
      </c>
      <c r="AR189" s="140">
        <f t="shared" si="30"/>
        <v>2.4399999999999996E-7</v>
      </c>
      <c r="AS189" s="140">
        <f t="shared" si="31"/>
        <v>3.6599999999999997E-7</v>
      </c>
      <c r="AT189" s="140">
        <f t="shared" si="32"/>
        <v>4.8800000000000003E-7</v>
      </c>
      <c r="AU189" s="140">
        <f t="shared" si="33"/>
        <v>6.1000000000000009E-7</v>
      </c>
      <c r="AV189" s="157">
        <f>IF(AO189&lt;$B$73*DATA!$H$1037,DATA!$H$1037,IF(AO189&gt;DATA!$H$1036*$B$73,DATA!$H$1036,1))</f>
        <v>1.2</v>
      </c>
      <c r="AW189" s="156">
        <f t="shared" si="34"/>
        <v>9.9999999999999995E-8</v>
      </c>
      <c r="AY189" s="140">
        <f t="shared" si="35"/>
        <v>1.22E-5</v>
      </c>
      <c r="AZ189">
        <v>1.22</v>
      </c>
      <c r="BA189" s="140">
        <f t="shared" si="36"/>
        <v>1.2199999999999995E-7</v>
      </c>
      <c r="BB189" s="140">
        <f t="shared" si="37"/>
        <v>2.4399999999999996E-7</v>
      </c>
      <c r="BC189" s="140">
        <f t="shared" si="38"/>
        <v>3.6599999999999997E-7</v>
      </c>
      <c r="BD189" s="140">
        <f t="shared" si="39"/>
        <v>4.8800000000000003E-7</v>
      </c>
      <c r="BE189" s="140">
        <f t="shared" si="40"/>
        <v>6.1000000000000009E-7</v>
      </c>
      <c r="BF189" s="157">
        <f>IF(AY189&lt;$B$89*DATA!$H$1037,DATA!$H$1037,IF(AY189&gt;DATA!$H$1036*$B$89,DATA!$H$1036,1))</f>
        <v>1.2</v>
      </c>
      <c r="BG189" s="156">
        <f t="shared" si="41"/>
        <v>9.9999999999999995E-8</v>
      </c>
      <c r="BI189" s="140">
        <f t="shared" si="42"/>
        <v>1.22E-5</v>
      </c>
      <c r="BJ189">
        <v>1.22</v>
      </c>
      <c r="BK189" s="140">
        <f t="shared" si="43"/>
        <v>1.2199999999999995E-7</v>
      </c>
      <c r="BL189" s="140">
        <f t="shared" si="44"/>
        <v>2.4399999999999996E-7</v>
      </c>
      <c r="BM189" s="140">
        <f t="shared" si="45"/>
        <v>3.6599999999999997E-7</v>
      </c>
      <c r="BN189" s="140">
        <f t="shared" si="46"/>
        <v>4.8800000000000003E-7</v>
      </c>
      <c r="BO189" s="140">
        <f t="shared" si="47"/>
        <v>6.1000000000000009E-7</v>
      </c>
      <c r="BP189" s="157">
        <f>IF(BI189&lt;$B$105*DATA!$H$1037,DATA!$H$1037,IF(BI189&gt;DATA!$H$1036*$B$105,DATA!$H$1036,1))</f>
        <v>1.2</v>
      </c>
      <c r="BQ189" s="156">
        <f t="shared" si="48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49"/>
        <v>1.2399999999999997E-7</v>
      </c>
      <c r="D190" s="140">
        <f t="shared" si="49"/>
        <v>2.48E-7</v>
      </c>
      <c r="E190" s="140">
        <f t="shared" si="49"/>
        <v>3.7200000000000005E-7</v>
      </c>
      <c r="F190" s="140">
        <f t="shared" si="49"/>
        <v>4.960000000000001E-7</v>
      </c>
      <c r="G190" s="140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6"/>
        <v>9.9999999999999995E-8</v>
      </c>
      <c r="K190" s="140">
        <f t="shared" si="7"/>
        <v>1.2400000000000002E-5</v>
      </c>
      <c r="L190">
        <v>1.24</v>
      </c>
      <c r="M190" s="140">
        <f t="shared" si="8"/>
        <v>1.2399999999999997E-7</v>
      </c>
      <c r="N190" s="140">
        <f t="shared" si="9"/>
        <v>2.48E-7</v>
      </c>
      <c r="O190" s="140">
        <f t="shared" si="10"/>
        <v>3.7200000000000005E-7</v>
      </c>
      <c r="P190" s="140">
        <f t="shared" si="11"/>
        <v>4.960000000000001E-7</v>
      </c>
      <c r="Q190" s="140">
        <f t="shared" si="12"/>
        <v>6.200000000000001E-7</v>
      </c>
      <c r="R190" s="157">
        <f>IF(K190&lt;$B$25*DATA!$H$1037,DATA!$H$1037,IF(K190&gt;DATA!$H$1036*$B$25,DATA!$H$1036,1))</f>
        <v>0.8</v>
      </c>
      <c r="S190" s="156">
        <f t="shared" si="13"/>
        <v>9.9999999999999995E-8</v>
      </c>
      <c r="U190" s="140">
        <f t="shared" si="14"/>
        <v>1.2400000000000002E-5</v>
      </c>
      <c r="V190">
        <v>1.24</v>
      </c>
      <c r="W190" s="140">
        <f t="shared" si="15"/>
        <v>1.2399999999999997E-7</v>
      </c>
      <c r="X190" s="140">
        <f t="shared" si="16"/>
        <v>2.48E-7</v>
      </c>
      <c r="Y190" s="140">
        <f t="shared" si="17"/>
        <v>3.7200000000000005E-7</v>
      </c>
      <c r="Z190" s="140">
        <f t="shared" si="18"/>
        <v>4.960000000000001E-7</v>
      </c>
      <c r="AA190" s="140">
        <f t="shared" si="19"/>
        <v>6.200000000000001E-7</v>
      </c>
      <c r="AB190" s="157">
        <f>IF(U190&lt;$B$41*DATA!$H$1037,DATA!$H$1037,IF(U190&gt;DATA!$H$1036*$B$41,DATA!$H$1036,1))</f>
        <v>0.8</v>
      </c>
      <c r="AC190" s="156">
        <f t="shared" si="20"/>
        <v>9.9999999999999995E-8</v>
      </c>
      <c r="AE190" s="140">
        <f t="shared" si="21"/>
        <v>1.2400000000000002E-5</v>
      </c>
      <c r="AF190">
        <v>1.24</v>
      </c>
      <c r="AG190" s="140">
        <f t="shared" si="22"/>
        <v>1.2399999999999997E-7</v>
      </c>
      <c r="AH190" s="140">
        <f t="shared" si="23"/>
        <v>2.48E-7</v>
      </c>
      <c r="AI190" s="140">
        <f t="shared" si="24"/>
        <v>3.7200000000000005E-7</v>
      </c>
      <c r="AJ190" s="140">
        <f t="shared" si="25"/>
        <v>4.960000000000001E-7</v>
      </c>
      <c r="AK190" s="140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27"/>
        <v>9.9999999999999995E-8</v>
      </c>
      <c r="AO190" s="140">
        <f t="shared" si="28"/>
        <v>1.2400000000000002E-5</v>
      </c>
      <c r="AP190">
        <v>1.24</v>
      </c>
      <c r="AQ190" s="140">
        <f t="shared" si="29"/>
        <v>1.2399999999999997E-7</v>
      </c>
      <c r="AR190" s="140">
        <f t="shared" si="30"/>
        <v>2.48E-7</v>
      </c>
      <c r="AS190" s="140">
        <f t="shared" si="31"/>
        <v>3.7200000000000005E-7</v>
      </c>
      <c r="AT190" s="140">
        <f t="shared" si="32"/>
        <v>4.960000000000001E-7</v>
      </c>
      <c r="AU190" s="140">
        <f t="shared" si="33"/>
        <v>6.200000000000001E-7</v>
      </c>
      <c r="AV190" s="157">
        <f>IF(AO190&lt;$B$73*DATA!$H$1037,DATA!$H$1037,IF(AO190&gt;DATA!$H$1036*$B$73,DATA!$H$1036,1))</f>
        <v>1.2</v>
      </c>
      <c r="AW190" s="156">
        <f t="shared" si="34"/>
        <v>9.9999999999999995E-8</v>
      </c>
      <c r="AY190" s="140">
        <f t="shared" si="35"/>
        <v>1.2400000000000002E-5</v>
      </c>
      <c r="AZ190">
        <v>1.24</v>
      </c>
      <c r="BA190" s="140">
        <f t="shared" si="36"/>
        <v>1.2399999999999997E-7</v>
      </c>
      <c r="BB190" s="140">
        <f t="shared" si="37"/>
        <v>2.48E-7</v>
      </c>
      <c r="BC190" s="140">
        <f t="shared" si="38"/>
        <v>3.7200000000000005E-7</v>
      </c>
      <c r="BD190" s="140">
        <f t="shared" si="39"/>
        <v>4.960000000000001E-7</v>
      </c>
      <c r="BE190" s="140">
        <f t="shared" si="40"/>
        <v>6.200000000000001E-7</v>
      </c>
      <c r="BF190" s="157">
        <f>IF(AY190&lt;$B$89*DATA!$H$1037,DATA!$H$1037,IF(AY190&gt;DATA!$H$1036*$B$89,DATA!$H$1036,1))</f>
        <v>1.2</v>
      </c>
      <c r="BG190" s="156">
        <f t="shared" si="41"/>
        <v>9.9999999999999995E-8</v>
      </c>
      <c r="BI190" s="140">
        <f t="shared" si="42"/>
        <v>1.2400000000000002E-5</v>
      </c>
      <c r="BJ190">
        <v>1.24</v>
      </c>
      <c r="BK190" s="140">
        <f t="shared" si="43"/>
        <v>1.2399999999999997E-7</v>
      </c>
      <c r="BL190" s="140">
        <f t="shared" si="44"/>
        <v>2.48E-7</v>
      </c>
      <c r="BM190" s="140">
        <f t="shared" si="45"/>
        <v>3.7200000000000005E-7</v>
      </c>
      <c r="BN190" s="140">
        <f t="shared" si="46"/>
        <v>4.960000000000001E-7</v>
      </c>
      <c r="BO190" s="140">
        <f t="shared" si="47"/>
        <v>6.200000000000001E-7</v>
      </c>
      <c r="BP190" s="157">
        <f>IF(BI190&lt;$B$105*DATA!$H$1037,DATA!$H$1037,IF(BI190&gt;DATA!$H$1036*$B$105,DATA!$H$1036,1))</f>
        <v>1.2</v>
      </c>
      <c r="BQ190" s="156">
        <f t="shared" si="48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si="49"/>
        <v>1.2599999999999996E-7</v>
      </c>
      <c r="D191" s="140">
        <f t="shared" si="49"/>
        <v>2.5199999999999998E-7</v>
      </c>
      <c r="E191" s="140">
        <f t="shared" si="49"/>
        <v>3.7800000000000002E-7</v>
      </c>
      <c r="F191" s="140">
        <f t="shared" si="49"/>
        <v>5.0400000000000007E-7</v>
      </c>
      <c r="G191" s="140">
        <f t="shared" si="49"/>
        <v>6.3000000000000011E-7</v>
      </c>
      <c r="H191" s="157">
        <f>IF(A191&lt;$B$9*DATA!$H$1037,DATA!$H$1037,IF(A191&gt;DATA!$H$1036*$B$9,DATA!$H$1036,1))</f>
        <v>0.8</v>
      </c>
      <c r="I191" s="156">
        <f t="shared" si="6"/>
        <v>9.9999999999999995E-8</v>
      </c>
      <c r="K191" s="140">
        <f t="shared" si="7"/>
        <v>1.2600000000000001E-5</v>
      </c>
      <c r="L191">
        <v>1.26</v>
      </c>
      <c r="M191" s="140">
        <f t="shared" si="8"/>
        <v>1.2599999999999996E-7</v>
      </c>
      <c r="N191" s="140">
        <f t="shared" si="9"/>
        <v>2.5199999999999998E-7</v>
      </c>
      <c r="O191" s="140">
        <f t="shared" si="10"/>
        <v>3.7800000000000002E-7</v>
      </c>
      <c r="P191" s="140">
        <f t="shared" si="11"/>
        <v>5.0400000000000007E-7</v>
      </c>
      <c r="Q191" s="140">
        <f t="shared" si="12"/>
        <v>6.3000000000000011E-7</v>
      </c>
      <c r="R191" s="157">
        <f>IF(K191&lt;$B$25*DATA!$H$1037,DATA!$H$1037,IF(K191&gt;DATA!$H$1036*$B$25,DATA!$H$1036,1))</f>
        <v>0.8</v>
      </c>
      <c r="S191" s="156">
        <f t="shared" si="13"/>
        <v>9.9999999999999995E-8</v>
      </c>
      <c r="U191" s="140">
        <f t="shared" si="14"/>
        <v>1.2600000000000001E-5</v>
      </c>
      <c r="V191">
        <v>1.26</v>
      </c>
      <c r="W191" s="140">
        <f t="shared" si="15"/>
        <v>1.2599999999999996E-7</v>
      </c>
      <c r="X191" s="140">
        <f t="shared" si="16"/>
        <v>2.5199999999999998E-7</v>
      </c>
      <c r="Y191" s="140">
        <f t="shared" si="17"/>
        <v>3.7800000000000002E-7</v>
      </c>
      <c r="Z191" s="140">
        <f t="shared" si="18"/>
        <v>5.0400000000000007E-7</v>
      </c>
      <c r="AA191" s="140">
        <f t="shared" si="19"/>
        <v>6.3000000000000011E-7</v>
      </c>
      <c r="AB191" s="157">
        <f>IF(U191&lt;$B$41*DATA!$H$1037,DATA!$H$1037,IF(U191&gt;DATA!$H$1036*$B$41,DATA!$H$1036,1))</f>
        <v>0.8</v>
      </c>
      <c r="AC191" s="156">
        <f t="shared" si="20"/>
        <v>9.9999999999999995E-8</v>
      </c>
      <c r="AE191" s="140">
        <f t="shared" si="21"/>
        <v>1.2600000000000001E-5</v>
      </c>
      <c r="AF191">
        <v>1.26</v>
      </c>
      <c r="AG191" s="140">
        <f t="shared" si="22"/>
        <v>1.2599999999999996E-7</v>
      </c>
      <c r="AH191" s="140">
        <f t="shared" si="23"/>
        <v>2.5199999999999998E-7</v>
      </c>
      <c r="AI191" s="140">
        <f t="shared" si="24"/>
        <v>3.7800000000000002E-7</v>
      </c>
      <c r="AJ191" s="140">
        <f t="shared" si="25"/>
        <v>5.0400000000000007E-7</v>
      </c>
      <c r="AK191" s="140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27"/>
        <v>9.9999999999999995E-8</v>
      </c>
      <c r="AO191" s="140">
        <f t="shared" si="28"/>
        <v>1.2600000000000001E-5</v>
      </c>
      <c r="AP191">
        <v>1.26</v>
      </c>
      <c r="AQ191" s="140">
        <f t="shared" si="29"/>
        <v>1.2599999999999996E-7</v>
      </c>
      <c r="AR191" s="140">
        <f t="shared" si="30"/>
        <v>2.5199999999999998E-7</v>
      </c>
      <c r="AS191" s="140">
        <f t="shared" si="31"/>
        <v>3.7800000000000002E-7</v>
      </c>
      <c r="AT191" s="140">
        <f t="shared" si="32"/>
        <v>5.0400000000000007E-7</v>
      </c>
      <c r="AU191" s="140">
        <f t="shared" si="33"/>
        <v>6.3000000000000011E-7</v>
      </c>
      <c r="AV191" s="157">
        <f>IF(AO191&lt;$B$73*DATA!$H$1037,DATA!$H$1037,IF(AO191&gt;DATA!$H$1036*$B$73,DATA!$H$1036,1))</f>
        <v>1.2</v>
      </c>
      <c r="AW191" s="156">
        <f t="shared" si="34"/>
        <v>9.9999999999999995E-8</v>
      </c>
      <c r="AY191" s="140">
        <f t="shared" si="35"/>
        <v>1.2600000000000001E-5</v>
      </c>
      <c r="AZ191">
        <v>1.26</v>
      </c>
      <c r="BA191" s="140">
        <f t="shared" si="36"/>
        <v>1.2599999999999996E-7</v>
      </c>
      <c r="BB191" s="140">
        <f t="shared" si="37"/>
        <v>2.5199999999999998E-7</v>
      </c>
      <c r="BC191" s="140">
        <f t="shared" si="38"/>
        <v>3.7800000000000002E-7</v>
      </c>
      <c r="BD191" s="140">
        <f t="shared" si="39"/>
        <v>5.0400000000000007E-7</v>
      </c>
      <c r="BE191" s="140">
        <f t="shared" si="40"/>
        <v>6.3000000000000011E-7</v>
      </c>
      <c r="BF191" s="157">
        <f>IF(AY191&lt;$B$89*DATA!$H$1037,DATA!$H$1037,IF(AY191&gt;DATA!$H$1036*$B$89,DATA!$H$1036,1))</f>
        <v>1.2</v>
      </c>
      <c r="BG191" s="156">
        <f t="shared" si="41"/>
        <v>9.9999999999999995E-8</v>
      </c>
      <c r="BI191" s="140">
        <f t="shared" si="42"/>
        <v>1.2600000000000001E-5</v>
      </c>
      <c r="BJ191">
        <v>1.26</v>
      </c>
      <c r="BK191" s="140">
        <f t="shared" si="43"/>
        <v>1.2599999999999996E-7</v>
      </c>
      <c r="BL191" s="140">
        <f t="shared" si="44"/>
        <v>2.5199999999999998E-7</v>
      </c>
      <c r="BM191" s="140">
        <f t="shared" si="45"/>
        <v>3.7800000000000002E-7</v>
      </c>
      <c r="BN191" s="140">
        <f t="shared" si="46"/>
        <v>5.0400000000000007E-7</v>
      </c>
      <c r="BO191" s="140">
        <f t="shared" si="47"/>
        <v>6.3000000000000011E-7</v>
      </c>
      <c r="BP191" s="157">
        <f>IF(BI191&lt;$B$105*DATA!$H$1037,DATA!$H$1037,IF(BI191&gt;DATA!$H$1036*$B$105,DATA!$H$1036,1))</f>
        <v>1.2</v>
      </c>
      <c r="BQ191" s="156">
        <f t="shared" si="48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49"/>
        <v>1.2799999999999998E-7</v>
      </c>
      <c r="D192" s="140">
        <f t="shared" si="49"/>
        <v>2.5599999999999996E-7</v>
      </c>
      <c r="E192" s="140">
        <f t="shared" si="49"/>
        <v>3.84E-7</v>
      </c>
      <c r="F192" s="140">
        <f t="shared" si="49"/>
        <v>5.1200000000000003E-7</v>
      </c>
      <c r="G192" s="140">
        <f t="shared" si="49"/>
        <v>6.4000000000000012E-7</v>
      </c>
      <c r="H192" s="157">
        <f>IF(A192&lt;$B$9*DATA!$H$1037,DATA!$H$1037,IF(A192&gt;DATA!$H$1036*$B$9,DATA!$H$1036,1))</f>
        <v>0.8</v>
      </c>
      <c r="I192" s="156">
        <f t="shared" si="6"/>
        <v>9.9999999999999995E-8</v>
      </c>
      <c r="K192" s="140">
        <f t="shared" si="7"/>
        <v>1.2800000000000001E-5</v>
      </c>
      <c r="L192">
        <v>1.28</v>
      </c>
      <c r="M192" s="140">
        <f t="shared" si="8"/>
        <v>1.2799999999999998E-7</v>
      </c>
      <c r="N192" s="140">
        <f t="shared" si="9"/>
        <v>2.5599999999999996E-7</v>
      </c>
      <c r="O192" s="140">
        <f t="shared" si="10"/>
        <v>3.84E-7</v>
      </c>
      <c r="P192" s="140">
        <f t="shared" si="11"/>
        <v>5.1200000000000003E-7</v>
      </c>
      <c r="Q192" s="140">
        <f t="shared" si="12"/>
        <v>6.4000000000000012E-7</v>
      </c>
      <c r="R192" s="157">
        <f>IF(K192&lt;$B$25*DATA!$H$1037,DATA!$H$1037,IF(K192&gt;DATA!$H$1036*$B$25,DATA!$H$1036,1))</f>
        <v>0.8</v>
      </c>
      <c r="S192" s="156">
        <f t="shared" si="13"/>
        <v>9.9999999999999995E-8</v>
      </c>
      <c r="U192" s="140">
        <f t="shared" si="14"/>
        <v>1.2800000000000001E-5</v>
      </c>
      <c r="V192">
        <v>1.28</v>
      </c>
      <c r="W192" s="140">
        <f t="shared" si="15"/>
        <v>1.2799999999999998E-7</v>
      </c>
      <c r="X192" s="140">
        <f t="shared" si="16"/>
        <v>2.5599999999999996E-7</v>
      </c>
      <c r="Y192" s="140">
        <f t="shared" si="17"/>
        <v>3.84E-7</v>
      </c>
      <c r="Z192" s="140">
        <f t="shared" si="18"/>
        <v>5.1200000000000003E-7</v>
      </c>
      <c r="AA192" s="140">
        <f t="shared" si="19"/>
        <v>6.4000000000000012E-7</v>
      </c>
      <c r="AB192" s="157">
        <f>IF(U192&lt;$B$41*DATA!$H$1037,DATA!$H$1037,IF(U192&gt;DATA!$H$1036*$B$41,DATA!$H$1036,1))</f>
        <v>0.8</v>
      </c>
      <c r="AC192" s="156">
        <f t="shared" si="20"/>
        <v>9.9999999999999995E-8</v>
      </c>
      <c r="AE192" s="140">
        <f t="shared" si="21"/>
        <v>1.2800000000000001E-5</v>
      </c>
      <c r="AF192">
        <v>1.28</v>
      </c>
      <c r="AG192" s="140">
        <f t="shared" si="22"/>
        <v>1.2799999999999998E-7</v>
      </c>
      <c r="AH192" s="140">
        <f t="shared" si="23"/>
        <v>2.5599999999999996E-7</v>
      </c>
      <c r="AI192" s="140">
        <f t="shared" si="24"/>
        <v>3.84E-7</v>
      </c>
      <c r="AJ192" s="140">
        <f t="shared" si="25"/>
        <v>5.1200000000000003E-7</v>
      </c>
      <c r="AK192" s="140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27"/>
        <v>9.9999999999999995E-8</v>
      </c>
      <c r="AO192" s="140">
        <f t="shared" si="28"/>
        <v>1.2800000000000001E-5</v>
      </c>
      <c r="AP192">
        <v>1.28</v>
      </c>
      <c r="AQ192" s="140">
        <f t="shared" si="29"/>
        <v>1.2799999999999998E-7</v>
      </c>
      <c r="AR192" s="140">
        <f t="shared" si="30"/>
        <v>2.5599999999999996E-7</v>
      </c>
      <c r="AS192" s="140">
        <f t="shared" si="31"/>
        <v>3.84E-7</v>
      </c>
      <c r="AT192" s="140">
        <f t="shared" si="32"/>
        <v>5.1200000000000003E-7</v>
      </c>
      <c r="AU192" s="140">
        <f t="shared" si="33"/>
        <v>6.4000000000000012E-7</v>
      </c>
      <c r="AV192" s="157">
        <f>IF(AO192&lt;$B$73*DATA!$H$1037,DATA!$H$1037,IF(AO192&gt;DATA!$H$1036*$B$73,DATA!$H$1036,1))</f>
        <v>1.2</v>
      </c>
      <c r="AW192" s="156">
        <f t="shared" si="34"/>
        <v>9.9999999999999995E-8</v>
      </c>
      <c r="AY192" s="140">
        <f t="shared" si="35"/>
        <v>1.2800000000000001E-5</v>
      </c>
      <c r="AZ192">
        <v>1.28</v>
      </c>
      <c r="BA192" s="140">
        <f t="shared" si="36"/>
        <v>1.2799999999999998E-7</v>
      </c>
      <c r="BB192" s="140">
        <f t="shared" si="37"/>
        <v>2.5599999999999996E-7</v>
      </c>
      <c r="BC192" s="140">
        <f t="shared" si="38"/>
        <v>3.84E-7</v>
      </c>
      <c r="BD192" s="140">
        <f t="shared" si="39"/>
        <v>5.1200000000000003E-7</v>
      </c>
      <c r="BE192" s="140">
        <f t="shared" si="40"/>
        <v>6.4000000000000012E-7</v>
      </c>
      <c r="BF192" s="157">
        <f>IF(AY192&lt;$B$89*DATA!$H$1037,DATA!$H$1037,IF(AY192&gt;DATA!$H$1036*$B$89,DATA!$H$1036,1))</f>
        <v>1.2</v>
      </c>
      <c r="BG192" s="156">
        <f t="shared" si="41"/>
        <v>9.9999999999999995E-8</v>
      </c>
      <c r="BI192" s="140">
        <f t="shared" si="42"/>
        <v>1.2800000000000001E-5</v>
      </c>
      <c r="BJ192">
        <v>1.28</v>
      </c>
      <c r="BK192" s="140">
        <f t="shared" si="43"/>
        <v>1.2799999999999998E-7</v>
      </c>
      <c r="BL192" s="140">
        <f t="shared" si="44"/>
        <v>2.5599999999999996E-7</v>
      </c>
      <c r="BM192" s="140">
        <f t="shared" si="45"/>
        <v>3.84E-7</v>
      </c>
      <c r="BN192" s="140">
        <f t="shared" si="46"/>
        <v>5.1200000000000003E-7</v>
      </c>
      <c r="BO192" s="140">
        <f t="shared" si="47"/>
        <v>6.4000000000000012E-7</v>
      </c>
      <c r="BP192" s="157">
        <f>IF(BI192&lt;$B$105*DATA!$H$1037,DATA!$H$1037,IF(BI192&gt;DATA!$H$1036*$B$105,DATA!$H$1036,1))</f>
        <v>1.2</v>
      </c>
      <c r="BQ192" s="156">
        <f t="shared" si="48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49"/>
        <v>1.2999999999999997E-7</v>
      </c>
      <c r="D193" s="140">
        <f t="shared" si="49"/>
        <v>2.6E-7</v>
      </c>
      <c r="E193" s="140">
        <f t="shared" si="49"/>
        <v>3.9000000000000002E-7</v>
      </c>
      <c r="F193" s="140">
        <f t="shared" si="49"/>
        <v>5.2E-7</v>
      </c>
      <c r="G193" s="140">
        <f t="shared" si="49"/>
        <v>6.5000000000000013E-7</v>
      </c>
      <c r="H193" s="157">
        <f>IF(A193&lt;$B$9*DATA!$H$1037,DATA!$H$1037,IF(A193&gt;DATA!$H$1036*$B$9,DATA!$H$1036,1))</f>
        <v>0.8</v>
      </c>
      <c r="I193" s="156">
        <f t="shared" si="6"/>
        <v>9.9999999999999995E-8</v>
      </c>
      <c r="K193" s="140">
        <f t="shared" si="7"/>
        <v>1.3000000000000001E-5</v>
      </c>
      <c r="L193">
        <v>1.3</v>
      </c>
      <c r="M193" s="140">
        <f t="shared" si="8"/>
        <v>1.2999999999999997E-7</v>
      </c>
      <c r="N193" s="140">
        <f t="shared" si="9"/>
        <v>2.6E-7</v>
      </c>
      <c r="O193" s="140">
        <f t="shared" si="10"/>
        <v>3.9000000000000002E-7</v>
      </c>
      <c r="P193" s="140">
        <f t="shared" si="11"/>
        <v>5.2E-7</v>
      </c>
      <c r="Q193" s="140">
        <f t="shared" si="12"/>
        <v>6.5000000000000013E-7</v>
      </c>
      <c r="R193" s="157">
        <f>IF(K193&lt;$B$25*DATA!$H$1037,DATA!$H$1037,IF(K193&gt;DATA!$H$1036*$B$25,DATA!$H$1036,1))</f>
        <v>0.8</v>
      </c>
      <c r="S193" s="156">
        <f t="shared" si="13"/>
        <v>9.9999999999999995E-8</v>
      </c>
      <c r="U193" s="140">
        <f t="shared" si="14"/>
        <v>1.3000000000000001E-5</v>
      </c>
      <c r="V193">
        <v>1.3</v>
      </c>
      <c r="W193" s="140">
        <f t="shared" si="15"/>
        <v>1.2999999999999997E-7</v>
      </c>
      <c r="X193" s="140">
        <f t="shared" si="16"/>
        <v>2.6E-7</v>
      </c>
      <c r="Y193" s="140">
        <f t="shared" si="17"/>
        <v>3.9000000000000002E-7</v>
      </c>
      <c r="Z193" s="140">
        <f t="shared" si="18"/>
        <v>5.2E-7</v>
      </c>
      <c r="AA193" s="140">
        <f t="shared" si="19"/>
        <v>6.5000000000000013E-7</v>
      </c>
      <c r="AB193" s="157">
        <f>IF(U193&lt;$B$41*DATA!$H$1037,DATA!$H$1037,IF(U193&gt;DATA!$H$1036*$B$41,DATA!$H$1036,1))</f>
        <v>0.8</v>
      </c>
      <c r="AC193" s="156">
        <f t="shared" si="20"/>
        <v>9.9999999999999995E-8</v>
      </c>
      <c r="AE193" s="140">
        <f t="shared" si="21"/>
        <v>1.3000000000000001E-5</v>
      </c>
      <c r="AF193">
        <v>1.3</v>
      </c>
      <c r="AG193" s="140">
        <f t="shared" si="22"/>
        <v>1.2999999999999997E-7</v>
      </c>
      <c r="AH193" s="140">
        <f t="shared" si="23"/>
        <v>2.6E-7</v>
      </c>
      <c r="AI193" s="140">
        <f t="shared" si="24"/>
        <v>3.9000000000000002E-7</v>
      </c>
      <c r="AJ193" s="140">
        <f t="shared" si="25"/>
        <v>5.2E-7</v>
      </c>
      <c r="AK193" s="140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27"/>
        <v>9.9999999999999995E-8</v>
      </c>
      <c r="AO193" s="140">
        <f t="shared" si="28"/>
        <v>1.3000000000000001E-5</v>
      </c>
      <c r="AP193">
        <v>1.3</v>
      </c>
      <c r="AQ193" s="140">
        <f t="shared" si="29"/>
        <v>1.2999999999999997E-7</v>
      </c>
      <c r="AR193" s="140">
        <f t="shared" si="30"/>
        <v>2.6E-7</v>
      </c>
      <c r="AS193" s="140">
        <f t="shared" si="31"/>
        <v>3.9000000000000002E-7</v>
      </c>
      <c r="AT193" s="140">
        <f t="shared" si="32"/>
        <v>5.2E-7</v>
      </c>
      <c r="AU193" s="140">
        <f t="shared" si="33"/>
        <v>6.5000000000000013E-7</v>
      </c>
      <c r="AV193" s="157">
        <f>IF(AO193&lt;$B$73*DATA!$H$1037,DATA!$H$1037,IF(AO193&gt;DATA!$H$1036*$B$73,DATA!$H$1036,1))</f>
        <v>1.2</v>
      </c>
      <c r="AW193" s="156">
        <f t="shared" si="34"/>
        <v>9.9999999999999995E-8</v>
      </c>
      <c r="AY193" s="140">
        <f t="shared" si="35"/>
        <v>1.3000000000000001E-5</v>
      </c>
      <c r="AZ193">
        <v>1.3</v>
      </c>
      <c r="BA193" s="140">
        <f t="shared" si="36"/>
        <v>1.2999999999999997E-7</v>
      </c>
      <c r="BB193" s="140">
        <f t="shared" si="37"/>
        <v>2.6E-7</v>
      </c>
      <c r="BC193" s="140">
        <f t="shared" si="38"/>
        <v>3.9000000000000002E-7</v>
      </c>
      <c r="BD193" s="140">
        <f t="shared" si="39"/>
        <v>5.2E-7</v>
      </c>
      <c r="BE193" s="140">
        <f t="shared" si="40"/>
        <v>6.5000000000000013E-7</v>
      </c>
      <c r="BF193" s="157">
        <f>IF(AY193&lt;$B$89*DATA!$H$1037,DATA!$H$1037,IF(AY193&gt;DATA!$H$1036*$B$89,DATA!$H$1036,1))</f>
        <v>1.2</v>
      </c>
      <c r="BG193" s="156">
        <f t="shared" si="41"/>
        <v>9.9999999999999995E-8</v>
      </c>
      <c r="BI193" s="140">
        <f t="shared" si="42"/>
        <v>1.3000000000000001E-5</v>
      </c>
      <c r="BJ193">
        <v>1.3</v>
      </c>
      <c r="BK193" s="140">
        <f t="shared" si="43"/>
        <v>1.2999999999999997E-7</v>
      </c>
      <c r="BL193" s="140">
        <f t="shared" si="44"/>
        <v>2.6E-7</v>
      </c>
      <c r="BM193" s="140">
        <f t="shared" si="45"/>
        <v>3.9000000000000002E-7</v>
      </c>
      <c r="BN193" s="140">
        <f t="shared" si="46"/>
        <v>5.2E-7</v>
      </c>
      <c r="BO193" s="140">
        <f t="shared" si="47"/>
        <v>6.5000000000000013E-7</v>
      </c>
      <c r="BP193" s="157">
        <f>IF(BI193&lt;$B$105*DATA!$H$1037,DATA!$H$1037,IF(BI193&gt;DATA!$H$1036*$B$105,DATA!$H$1036,1))</f>
        <v>1.2</v>
      </c>
      <c r="BQ193" s="156">
        <f t="shared" si="48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49"/>
        <v>1.3199999999999999E-7</v>
      </c>
      <c r="D194" s="140">
        <f t="shared" si="49"/>
        <v>2.6399999999999998E-7</v>
      </c>
      <c r="E194" s="140">
        <f t="shared" si="49"/>
        <v>3.9600000000000005E-7</v>
      </c>
      <c r="F194" s="140">
        <f t="shared" si="49"/>
        <v>5.2800000000000007E-7</v>
      </c>
      <c r="G194" s="140">
        <f t="shared" si="49"/>
        <v>6.6000000000000014E-7</v>
      </c>
      <c r="H194" s="157">
        <f>IF(A194&lt;$B$9*DATA!$H$1037,DATA!$H$1037,IF(A194&gt;DATA!$H$1036*$B$9,DATA!$H$1036,1))</f>
        <v>0.8</v>
      </c>
      <c r="I194" s="156">
        <f t="shared" si="6"/>
        <v>9.9999999999999995E-8</v>
      </c>
      <c r="K194" s="140">
        <f t="shared" si="7"/>
        <v>1.3200000000000002E-5</v>
      </c>
      <c r="L194">
        <v>1.32</v>
      </c>
      <c r="M194" s="140">
        <f t="shared" si="8"/>
        <v>1.3199999999999999E-7</v>
      </c>
      <c r="N194" s="140">
        <f t="shared" si="9"/>
        <v>2.6399999999999998E-7</v>
      </c>
      <c r="O194" s="140">
        <f t="shared" si="10"/>
        <v>3.9600000000000005E-7</v>
      </c>
      <c r="P194" s="140">
        <f t="shared" si="11"/>
        <v>5.2800000000000007E-7</v>
      </c>
      <c r="Q194" s="140">
        <f t="shared" si="12"/>
        <v>6.6000000000000014E-7</v>
      </c>
      <c r="R194" s="157">
        <f>IF(K194&lt;$B$25*DATA!$H$1037,DATA!$H$1037,IF(K194&gt;DATA!$H$1036*$B$25,DATA!$H$1036,1))</f>
        <v>0.8</v>
      </c>
      <c r="S194" s="156">
        <f t="shared" si="13"/>
        <v>9.9999999999999995E-8</v>
      </c>
      <c r="U194" s="140">
        <f t="shared" si="14"/>
        <v>1.3200000000000002E-5</v>
      </c>
      <c r="V194">
        <v>1.32</v>
      </c>
      <c r="W194" s="140">
        <f t="shared" si="15"/>
        <v>1.3199999999999999E-7</v>
      </c>
      <c r="X194" s="140">
        <f t="shared" si="16"/>
        <v>2.6399999999999998E-7</v>
      </c>
      <c r="Y194" s="140">
        <f t="shared" si="17"/>
        <v>3.9600000000000005E-7</v>
      </c>
      <c r="Z194" s="140">
        <f t="shared" si="18"/>
        <v>5.2800000000000007E-7</v>
      </c>
      <c r="AA194" s="140">
        <f t="shared" si="19"/>
        <v>6.6000000000000014E-7</v>
      </c>
      <c r="AB194" s="157">
        <f>IF(U194&lt;$B$41*DATA!$H$1037,DATA!$H$1037,IF(U194&gt;DATA!$H$1036*$B$41,DATA!$H$1036,1))</f>
        <v>0.8</v>
      </c>
      <c r="AC194" s="156">
        <f t="shared" si="20"/>
        <v>9.9999999999999995E-8</v>
      </c>
      <c r="AE194" s="140">
        <f t="shared" si="21"/>
        <v>1.3200000000000002E-5</v>
      </c>
      <c r="AF194">
        <v>1.32</v>
      </c>
      <c r="AG194" s="140">
        <f t="shared" si="22"/>
        <v>1.3199999999999999E-7</v>
      </c>
      <c r="AH194" s="140">
        <f t="shared" si="23"/>
        <v>2.6399999999999998E-7</v>
      </c>
      <c r="AI194" s="140">
        <f t="shared" si="24"/>
        <v>3.9600000000000005E-7</v>
      </c>
      <c r="AJ194" s="140">
        <f t="shared" si="25"/>
        <v>5.2800000000000007E-7</v>
      </c>
      <c r="AK194" s="140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27"/>
        <v>9.9999999999999995E-8</v>
      </c>
      <c r="AO194" s="140">
        <f t="shared" si="28"/>
        <v>1.3200000000000002E-5</v>
      </c>
      <c r="AP194">
        <v>1.32</v>
      </c>
      <c r="AQ194" s="140">
        <f t="shared" si="29"/>
        <v>1.3199999999999999E-7</v>
      </c>
      <c r="AR194" s="140">
        <f t="shared" si="30"/>
        <v>2.6399999999999998E-7</v>
      </c>
      <c r="AS194" s="140">
        <f t="shared" si="31"/>
        <v>3.9600000000000005E-7</v>
      </c>
      <c r="AT194" s="140">
        <f t="shared" si="32"/>
        <v>5.2800000000000007E-7</v>
      </c>
      <c r="AU194" s="140">
        <f t="shared" si="33"/>
        <v>6.6000000000000014E-7</v>
      </c>
      <c r="AV194" s="157">
        <f>IF(AO194&lt;$B$73*DATA!$H$1037,DATA!$H$1037,IF(AO194&gt;DATA!$H$1036*$B$73,DATA!$H$1036,1))</f>
        <v>1.2</v>
      </c>
      <c r="AW194" s="156">
        <f t="shared" si="34"/>
        <v>9.9999999999999995E-8</v>
      </c>
      <c r="AY194" s="140">
        <f t="shared" si="35"/>
        <v>1.3200000000000002E-5</v>
      </c>
      <c r="AZ194">
        <v>1.32</v>
      </c>
      <c r="BA194" s="140">
        <f t="shared" si="36"/>
        <v>1.3199999999999999E-7</v>
      </c>
      <c r="BB194" s="140">
        <f t="shared" si="37"/>
        <v>2.6399999999999998E-7</v>
      </c>
      <c r="BC194" s="140">
        <f t="shared" si="38"/>
        <v>3.9600000000000005E-7</v>
      </c>
      <c r="BD194" s="140">
        <f t="shared" si="39"/>
        <v>5.2800000000000007E-7</v>
      </c>
      <c r="BE194" s="140">
        <f t="shared" si="40"/>
        <v>6.6000000000000014E-7</v>
      </c>
      <c r="BF194" s="157">
        <f>IF(AY194&lt;$B$89*DATA!$H$1037,DATA!$H$1037,IF(AY194&gt;DATA!$H$1036*$B$89,DATA!$H$1036,1))</f>
        <v>1.2</v>
      </c>
      <c r="BG194" s="156">
        <f t="shared" si="41"/>
        <v>9.9999999999999995E-8</v>
      </c>
      <c r="BI194" s="140">
        <f t="shared" si="42"/>
        <v>1.3200000000000002E-5</v>
      </c>
      <c r="BJ194">
        <v>1.32</v>
      </c>
      <c r="BK194" s="140">
        <f t="shared" si="43"/>
        <v>1.3199999999999999E-7</v>
      </c>
      <c r="BL194" s="140">
        <f t="shared" si="44"/>
        <v>2.6399999999999998E-7</v>
      </c>
      <c r="BM194" s="140">
        <f t="shared" si="45"/>
        <v>3.9600000000000005E-7</v>
      </c>
      <c r="BN194" s="140">
        <f t="shared" si="46"/>
        <v>5.2800000000000007E-7</v>
      </c>
      <c r="BO194" s="140">
        <f t="shared" si="47"/>
        <v>6.6000000000000014E-7</v>
      </c>
      <c r="BP194" s="157">
        <f>IF(BI194&lt;$B$105*DATA!$H$1037,DATA!$H$1037,IF(BI194&gt;DATA!$H$1036*$B$105,DATA!$H$1036,1))</f>
        <v>1.2</v>
      </c>
      <c r="BQ194" s="156">
        <f t="shared" si="48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49"/>
        <v>1.3399999999999998E-7</v>
      </c>
      <c r="D195" s="140">
        <f t="shared" si="49"/>
        <v>2.6800000000000002E-7</v>
      </c>
      <c r="E195" s="140">
        <f t="shared" si="49"/>
        <v>4.0200000000000003E-7</v>
      </c>
      <c r="F195" s="140">
        <f t="shared" si="49"/>
        <v>5.3600000000000014E-7</v>
      </c>
      <c r="G195" s="140">
        <f t="shared" si="49"/>
        <v>6.7000000000000015E-7</v>
      </c>
      <c r="H195" s="157">
        <f>IF(A195&lt;$B$9*DATA!$H$1037,DATA!$H$1037,IF(A195&gt;DATA!$H$1036*$B$9,DATA!$H$1036,1))</f>
        <v>0.8</v>
      </c>
      <c r="I195" s="156">
        <f t="shared" si="6"/>
        <v>9.9999999999999995E-8</v>
      </c>
      <c r="K195" s="140">
        <f t="shared" si="7"/>
        <v>1.3400000000000002E-5</v>
      </c>
      <c r="L195">
        <v>1.34</v>
      </c>
      <c r="M195" s="140">
        <f t="shared" si="8"/>
        <v>1.3399999999999998E-7</v>
      </c>
      <c r="N195" s="140">
        <f t="shared" si="9"/>
        <v>2.6800000000000002E-7</v>
      </c>
      <c r="O195" s="140">
        <f t="shared" si="10"/>
        <v>4.0200000000000003E-7</v>
      </c>
      <c r="P195" s="140">
        <f t="shared" si="11"/>
        <v>5.3600000000000014E-7</v>
      </c>
      <c r="Q195" s="140">
        <f t="shared" si="12"/>
        <v>6.7000000000000015E-7</v>
      </c>
      <c r="R195" s="157">
        <f>IF(K195&lt;$B$25*DATA!$H$1037,DATA!$H$1037,IF(K195&gt;DATA!$H$1036*$B$25,DATA!$H$1036,1))</f>
        <v>0.8</v>
      </c>
      <c r="S195" s="156">
        <f t="shared" si="13"/>
        <v>9.9999999999999995E-8</v>
      </c>
      <c r="U195" s="140">
        <f t="shared" si="14"/>
        <v>1.3400000000000002E-5</v>
      </c>
      <c r="V195">
        <v>1.34</v>
      </c>
      <c r="W195" s="140">
        <f t="shared" si="15"/>
        <v>1.3399999999999998E-7</v>
      </c>
      <c r="X195" s="140">
        <f t="shared" si="16"/>
        <v>2.6800000000000002E-7</v>
      </c>
      <c r="Y195" s="140">
        <f t="shared" si="17"/>
        <v>4.0200000000000003E-7</v>
      </c>
      <c r="Z195" s="140">
        <f t="shared" si="18"/>
        <v>5.3600000000000014E-7</v>
      </c>
      <c r="AA195" s="140">
        <f t="shared" si="19"/>
        <v>6.7000000000000015E-7</v>
      </c>
      <c r="AB195" s="157">
        <f>IF(U195&lt;$B$41*DATA!$H$1037,DATA!$H$1037,IF(U195&gt;DATA!$H$1036*$B$41,DATA!$H$1036,1))</f>
        <v>0.8</v>
      </c>
      <c r="AC195" s="156">
        <f t="shared" si="20"/>
        <v>9.9999999999999995E-8</v>
      </c>
      <c r="AE195" s="140">
        <f t="shared" si="21"/>
        <v>1.3400000000000002E-5</v>
      </c>
      <c r="AF195">
        <v>1.34</v>
      </c>
      <c r="AG195" s="140">
        <f t="shared" si="22"/>
        <v>1.3399999999999998E-7</v>
      </c>
      <c r="AH195" s="140">
        <f t="shared" si="23"/>
        <v>2.6800000000000002E-7</v>
      </c>
      <c r="AI195" s="140">
        <f t="shared" si="24"/>
        <v>4.0200000000000003E-7</v>
      </c>
      <c r="AJ195" s="140">
        <f t="shared" si="25"/>
        <v>5.3600000000000014E-7</v>
      </c>
      <c r="AK195" s="140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27"/>
        <v>9.9999999999999995E-8</v>
      </c>
      <c r="AO195" s="140">
        <f t="shared" si="28"/>
        <v>1.3400000000000002E-5</v>
      </c>
      <c r="AP195">
        <v>1.34</v>
      </c>
      <c r="AQ195" s="140">
        <f t="shared" si="29"/>
        <v>1.3399999999999998E-7</v>
      </c>
      <c r="AR195" s="140">
        <f t="shared" si="30"/>
        <v>2.6800000000000002E-7</v>
      </c>
      <c r="AS195" s="140">
        <f t="shared" si="31"/>
        <v>4.0200000000000003E-7</v>
      </c>
      <c r="AT195" s="140">
        <f t="shared" si="32"/>
        <v>5.3600000000000014E-7</v>
      </c>
      <c r="AU195" s="140">
        <f t="shared" si="33"/>
        <v>6.7000000000000015E-7</v>
      </c>
      <c r="AV195" s="157">
        <f>IF(AO195&lt;$B$73*DATA!$H$1037,DATA!$H$1037,IF(AO195&gt;DATA!$H$1036*$B$73,DATA!$H$1036,1))</f>
        <v>1.2</v>
      </c>
      <c r="AW195" s="156">
        <f t="shared" si="34"/>
        <v>9.9999999999999995E-8</v>
      </c>
      <c r="AY195" s="140">
        <f t="shared" si="35"/>
        <v>1.3400000000000002E-5</v>
      </c>
      <c r="AZ195">
        <v>1.34</v>
      </c>
      <c r="BA195" s="140">
        <f t="shared" si="36"/>
        <v>1.3399999999999998E-7</v>
      </c>
      <c r="BB195" s="140">
        <f t="shared" si="37"/>
        <v>2.6800000000000002E-7</v>
      </c>
      <c r="BC195" s="140">
        <f t="shared" si="38"/>
        <v>4.0200000000000003E-7</v>
      </c>
      <c r="BD195" s="140">
        <f t="shared" si="39"/>
        <v>5.3600000000000014E-7</v>
      </c>
      <c r="BE195" s="140">
        <f t="shared" si="40"/>
        <v>6.7000000000000015E-7</v>
      </c>
      <c r="BF195" s="157">
        <f>IF(AY195&lt;$B$89*DATA!$H$1037,DATA!$H$1037,IF(AY195&gt;DATA!$H$1036*$B$89,DATA!$H$1036,1))</f>
        <v>1.2</v>
      </c>
      <c r="BG195" s="156">
        <f t="shared" si="41"/>
        <v>9.9999999999999995E-8</v>
      </c>
      <c r="BI195" s="140">
        <f t="shared" si="42"/>
        <v>1.3400000000000002E-5</v>
      </c>
      <c r="BJ195">
        <v>1.34</v>
      </c>
      <c r="BK195" s="140">
        <f t="shared" si="43"/>
        <v>1.3399999999999998E-7</v>
      </c>
      <c r="BL195" s="140">
        <f t="shared" si="44"/>
        <v>2.6800000000000002E-7</v>
      </c>
      <c r="BM195" s="140">
        <f t="shared" si="45"/>
        <v>4.0200000000000003E-7</v>
      </c>
      <c r="BN195" s="140">
        <f t="shared" si="46"/>
        <v>5.3600000000000014E-7</v>
      </c>
      <c r="BO195" s="140">
        <f t="shared" si="47"/>
        <v>6.7000000000000015E-7</v>
      </c>
      <c r="BP195" s="157">
        <f>IF(BI195&lt;$B$105*DATA!$H$1037,DATA!$H$1037,IF(BI195&gt;DATA!$H$1036*$B$105,DATA!$H$1036,1))</f>
        <v>1.2</v>
      </c>
      <c r="BQ195" s="156">
        <f t="shared" si="48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49"/>
        <v>1.3599999999999997E-7</v>
      </c>
      <c r="D196" s="140">
        <f t="shared" si="49"/>
        <v>2.72E-7</v>
      </c>
      <c r="E196" s="140">
        <f t="shared" si="49"/>
        <v>4.0800000000000005E-7</v>
      </c>
      <c r="F196" s="140">
        <f t="shared" si="49"/>
        <v>5.4400000000000011E-7</v>
      </c>
      <c r="G196" s="140">
        <f t="shared" si="49"/>
        <v>6.8000000000000016E-7</v>
      </c>
      <c r="H196" s="157">
        <f>IF(A196&lt;$B$9*DATA!$H$1037,DATA!$H$1037,IF(A196&gt;DATA!$H$1036*$B$9,DATA!$H$1036,1))</f>
        <v>0.8</v>
      </c>
      <c r="I196" s="156">
        <f t="shared" si="6"/>
        <v>9.9999999999999995E-8</v>
      </c>
      <c r="K196" s="140">
        <f t="shared" si="7"/>
        <v>1.3600000000000002E-5</v>
      </c>
      <c r="L196">
        <v>1.36</v>
      </c>
      <c r="M196" s="140">
        <f t="shared" si="8"/>
        <v>1.3599999999999997E-7</v>
      </c>
      <c r="N196" s="140">
        <f t="shared" si="9"/>
        <v>2.72E-7</v>
      </c>
      <c r="O196" s="140">
        <f t="shared" si="10"/>
        <v>4.0800000000000005E-7</v>
      </c>
      <c r="P196" s="140">
        <f t="shared" si="11"/>
        <v>5.4400000000000011E-7</v>
      </c>
      <c r="Q196" s="140">
        <f t="shared" si="12"/>
        <v>6.8000000000000016E-7</v>
      </c>
      <c r="R196" s="157">
        <f>IF(K196&lt;$B$25*DATA!$H$1037,DATA!$H$1037,IF(K196&gt;DATA!$H$1036*$B$25,DATA!$H$1036,1))</f>
        <v>0.8</v>
      </c>
      <c r="S196" s="156">
        <f t="shared" si="13"/>
        <v>9.9999999999999995E-8</v>
      </c>
      <c r="U196" s="140">
        <f t="shared" si="14"/>
        <v>1.3600000000000002E-5</v>
      </c>
      <c r="V196">
        <v>1.36</v>
      </c>
      <c r="W196" s="140">
        <f t="shared" si="15"/>
        <v>1.3599999999999997E-7</v>
      </c>
      <c r="X196" s="140">
        <f t="shared" si="16"/>
        <v>2.72E-7</v>
      </c>
      <c r="Y196" s="140">
        <f t="shared" si="17"/>
        <v>4.0800000000000005E-7</v>
      </c>
      <c r="Z196" s="140">
        <f t="shared" si="18"/>
        <v>5.4400000000000011E-7</v>
      </c>
      <c r="AA196" s="140">
        <f t="shared" si="19"/>
        <v>6.8000000000000016E-7</v>
      </c>
      <c r="AB196" s="157">
        <f>IF(U196&lt;$B$41*DATA!$H$1037,DATA!$H$1037,IF(U196&gt;DATA!$H$1036*$B$41,DATA!$H$1036,1))</f>
        <v>0.8</v>
      </c>
      <c r="AC196" s="156">
        <f t="shared" si="20"/>
        <v>9.9999999999999995E-8</v>
      </c>
      <c r="AE196" s="140">
        <f t="shared" si="21"/>
        <v>1.3600000000000002E-5</v>
      </c>
      <c r="AF196">
        <v>1.36</v>
      </c>
      <c r="AG196" s="140">
        <f t="shared" si="22"/>
        <v>1.3599999999999997E-7</v>
      </c>
      <c r="AH196" s="140">
        <f t="shared" si="23"/>
        <v>2.72E-7</v>
      </c>
      <c r="AI196" s="140">
        <f t="shared" si="24"/>
        <v>4.0800000000000005E-7</v>
      </c>
      <c r="AJ196" s="140">
        <f t="shared" si="25"/>
        <v>5.4400000000000011E-7</v>
      </c>
      <c r="AK196" s="140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27"/>
        <v>9.9999999999999995E-8</v>
      </c>
      <c r="AO196" s="140">
        <f t="shared" si="28"/>
        <v>1.3600000000000002E-5</v>
      </c>
      <c r="AP196">
        <v>1.36</v>
      </c>
      <c r="AQ196" s="140">
        <f t="shared" si="29"/>
        <v>1.3599999999999997E-7</v>
      </c>
      <c r="AR196" s="140">
        <f t="shared" si="30"/>
        <v>2.72E-7</v>
      </c>
      <c r="AS196" s="140">
        <f t="shared" si="31"/>
        <v>4.0800000000000005E-7</v>
      </c>
      <c r="AT196" s="140">
        <f t="shared" si="32"/>
        <v>5.4400000000000011E-7</v>
      </c>
      <c r="AU196" s="140">
        <f t="shared" si="33"/>
        <v>6.8000000000000016E-7</v>
      </c>
      <c r="AV196" s="157">
        <f>IF(AO196&lt;$B$73*DATA!$H$1037,DATA!$H$1037,IF(AO196&gt;DATA!$H$1036*$B$73,DATA!$H$1036,1))</f>
        <v>1.2</v>
      </c>
      <c r="AW196" s="156">
        <f t="shared" si="34"/>
        <v>9.9999999999999995E-8</v>
      </c>
      <c r="AY196" s="140">
        <f t="shared" si="35"/>
        <v>1.3600000000000002E-5</v>
      </c>
      <c r="AZ196">
        <v>1.36</v>
      </c>
      <c r="BA196" s="140">
        <f t="shared" si="36"/>
        <v>1.3599999999999997E-7</v>
      </c>
      <c r="BB196" s="140">
        <f t="shared" si="37"/>
        <v>2.72E-7</v>
      </c>
      <c r="BC196" s="140">
        <f t="shared" si="38"/>
        <v>4.0800000000000005E-7</v>
      </c>
      <c r="BD196" s="140">
        <f t="shared" si="39"/>
        <v>5.4400000000000011E-7</v>
      </c>
      <c r="BE196" s="140">
        <f t="shared" si="40"/>
        <v>6.8000000000000016E-7</v>
      </c>
      <c r="BF196" s="157">
        <f>IF(AY196&lt;$B$89*DATA!$H$1037,DATA!$H$1037,IF(AY196&gt;DATA!$H$1036*$B$89,DATA!$H$1036,1))</f>
        <v>1.2</v>
      </c>
      <c r="BG196" s="156">
        <f t="shared" si="41"/>
        <v>9.9999999999999995E-8</v>
      </c>
      <c r="BI196" s="140">
        <f t="shared" si="42"/>
        <v>1.3600000000000002E-5</v>
      </c>
      <c r="BJ196">
        <v>1.36</v>
      </c>
      <c r="BK196" s="140">
        <f t="shared" si="43"/>
        <v>1.3599999999999997E-7</v>
      </c>
      <c r="BL196" s="140">
        <f t="shared" si="44"/>
        <v>2.72E-7</v>
      </c>
      <c r="BM196" s="140">
        <f t="shared" si="45"/>
        <v>4.0800000000000005E-7</v>
      </c>
      <c r="BN196" s="140">
        <f t="shared" si="46"/>
        <v>5.4400000000000011E-7</v>
      </c>
      <c r="BO196" s="140">
        <f t="shared" si="47"/>
        <v>6.8000000000000016E-7</v>
      </c>
      <c r="BP196" s="157">
        <f>IF(BI196&lt;$B$105*DATA!$H$1037,DATA!$H$1037,IF(BI196&gt;DATA!$H$1036*$B$105,DATA!$H$1036,1))</f>
        <v>1.2</v>
      </c>
      <c r="BQ196" s="156">
        <f t="shared" si="48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49"/>
        <v>1.3799999999999997E-7</v>
      </c>
      <c r="D197" s="140">
        <f t="shared" si="49"/>
        <v>2.7599999999999998E-7</v>
      </c>
      <c r="E197" s="140">
        <f t="shared" si="49"/>
        <v>4.1399999999999997E-7</v>
      </c>
      <c r="F197" s="140">
        <f t="shared" si="49"/>
        <v>5.5199999999999997E-7</v>
      </c>
      <c r="G197" s="140">
        <f t="shared" si="49"/>
        <v>6.9000000000000006E-7</v>
      </c>
      <c r="H197" s="157">
        <f>IF(A197&lt;$B$9*DATA!$H$1037,DATA!$H$1037,IF(A197&gt;DATA!$H$1036*$B$9,DATA!$H$1036,1))</f>
        <v>0.8</v>
      </c>
      <c r="I197" s="156">
        <f t="shared" si="6"/>
        <v>9.9999999999999995E-8</v>
      </c>
      <c r="K197" s="140">
        <f t="shared" si="7"/>
        <v>1.38E-5</v>
      </c>
      <c r="L197">
        <v>1.38</v>
      </c>
      <c r="M197" s="140">
        <f t="shared" si="8"/>
        <v>1.3799999999999997E-7</v>
      </c>
      <c r="N197" s="140">
        <f t="shared" si="9"/>
        <v>2.7599999999999998E-7</v>
      </c>
      <c r="O197" s="140">
        <f t="shared" si="10"/>
        <v>4.1399999999999997E-7</v>
      </c>
      <c r="P197" s="140">
        <f t="shared" si="11"/>
        <v>5.5199999999999997E-7</v>
      </c>
      <c r="Q197" s="140">
        <f t="shared" si="12"/>
        <v>6.9000000000000006E-7</v>
      </c>
      <c r="R197" s="157">
        <f>IF(K197&lt;$B$25*DATA!$H$1037,DATA!$H$1037,IF(K197&gt;DATA!$H$1036*$B$25,DATA!$H$1036,1))</f>
        <v>0.8</v>
      </c>
      <c r="S197" s="156">
        <f t="shared" si="13"/>
        <v>9.9999999999999995E-8</v>
      </c>
      <c r="U197" s="140">
        <f t="shared" si="14"/>
        <v>1.38E-5</v>
      </c>
      <c r="V197">
        <v>1.38</v>
      </c>
      <c r="W197" s="140">
        <f t="shared" si="15"/>
        <v>1.3799999999999997E-7</v>
      </c>
      <c r="X197" s="140">
        <f t="shared" si="16"/>
        <v>2.7599999999999998E-7</v>
      </c>
      <c r="Y197" s="140">
        <f t="shared" si="17"/>
        <v>4.1399999999999997E-7</v>
      </c>
      <c r="Z197" s="140">
        <f t="shared" si="18"/>
        <v>5.5199999999999997E-7</v>
      </c>
      <c r="AA197" s="140">
        <f t="shared" si="19"/>
        <v>6.9000000000000006E-7</v>
      </c>
      <c r="AB197" s="157">
        <f>IF(U197&lt;$B$41*DATA!$H$1037,DATA!$H$1037,IF(U197&gt;DATA!$H$1036*$B$41,DATA!$H$1036,1))</f>
        <v>0.8</v>
      </c>
      <c r="AC197" s="156">
        <f t="shared" si="20"/>
        <v>9.9999999999999995E-8</v>
      </c>
      <c r="AE197" s="140">
        <f t="shared" si="21"/>
        <v>1.38E-5</v>
      </c>
      <c r="AF197">
        <v>1.38</v>
      </c>
      <c r="AG197" s="140">
        <f t="shared" si="22"/>
        <v>1.3799999999999997E-7</v>
      </c>
      <c r="AH197" s="140">
        <f t="shared" si="23"/>
        <v>2.7599999999999998E-7</v>
      </c>
      <c r="AI197" s="140">
        <f t="shared" si="24"/>
        <v>4.1399999999999997E-7</v>
      </c>
      <c r="AJ197" s="140">
        <f t="shared" si="25"/>
        <v>5.5199999999999997E-7</v>
      </c>
      <c r="AK197" s="140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27"/>
        <v>9.9999999999999995E-8</v>
      </c>
      <c r="AO197" s="140">
        <f t="shared" si="28"/>
        <v>1.38E-5</v>
      </c>
      <c r="AP197">
        <v>1.38</v>
      </c>
      <c r="AQ197" s="140">
        <f t="shared" si="29"/>
        <v>1.3799999999999997E-7</v>
      </c>
      <c r="AR197" s="140">
        <f t="shared" si="30"/>
        <v>2.7599999999999998E-7</v>
      </c>
      <c r="AS197" s="140">
        <f t="shared" si="31"/>
        <v>4.1399999999999997E-7</v>
      </c>
      <c r="AT197" s="140">
        <f t="shared" si="32"/>
        <v>5.5199999999999997E-7</v>
      </c>
      <c r="AU197" s="140">
        <f t="shared" si="33"/>
        <v>6.9000000000000006E-7</v>
      </c>
      <c r="AV197" s="157">
        <f>IF(AO197&lt;$B$73*DATA!$H$1037,DATA!$H$1037,IF(AO197&gt;DATA!$H$1036*$B$73,DATA!$H$1036,1))</f>
        <v>1.2</v>
      </c>
      <c r="AW197" s="156">
        <f t="shared" si="34"/>
        <v>9.9999999999999995E-8</v>
      </c>
      <c r="AY197" s="140">
        <f t="shared" si="35"/>
        <v>1.38E-5</v>
      </c>
      <c r="AZ197">
        <v>1.38</v>
      </c>
      <c r="BA197" s="140">
        <f t="shared" si="36"/>
        <v>1.3799999999999997E-7</v>
      </c>
      <c r="BB197" s="140">
        <f t="shared" si="37"/>
        <v>2.7599999999999998E-7</v>
      </c>
      <c r="BC197" s="140">
        <f t="shared" si="38"/>
        <v>4.1399999999999997E-7</v>
      </c>
      <c r="BD197" s="140">
        <f t="shared" si="39"/>
        <v>5.5199999999999997E-7</v>
      </c>
      <c r="BE197" s="140">
        <f t="shared" si="40"/>
        <v>6.9000000000000006E-7</v>
      </c>
      <c r="BF197" s="157">
        <f>IF(AY197&lt;$B$89*DATA!$H$1037,DATA!$H$1037,IF(AY197&gt;DATA!$H$1036*$B$89,DATA!$H$1036,1))</f>
        <v>1.2</v>
      </c>
      <c r="BG197" s="156">
        <f t="shared" si="41"/>
        <v>9.9999999999999995E-8</v>
      </c>
      <c r="BI197" s="140">
        <f t="shared" si="42"/>
        <v>1.38E-5</v>
      </c>
      <c r="BJ197">
        <v>1.38</v>
      </c>
      <c r="BK197" s="140">
        <f t="shared" si="43"/>
        <v>1.3799999999999997E-7</v>
      </c>
      <c r="BL197" s="140">
        <f t="shared" si="44"/>
        <v>2.7599999999999998E-7</v>
      </c>
      <c r="BM197" s="140">
        <f t="shared" si="45"/>
        <v>4.1399999999999997E-7</v>
      </c>
      <c r="BN197" s="140">
        <f t="shared" si="46"/>
        <v>5.5199999999999997E-7</v>
      </c>
      <c r="BO197" s="140">
        <f t="shared" si="47"/>
        <v>6.9000000000000006E-7</v>
      </c>
      <c r="BP197" s="157">
        <f>IF(BI197&lt;$B$105*DATA!$H$1037,DATA!$H$1037,IF(BI197&gt;DATA!$H$1036*$B$105,DATA!$H$1036,1))</f>
        <v>1.2</v>
      </c>
      <c r="BQ197" s="156">
        <f t="shared" si="48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49"/>
        <v>1.3999999999999996E-7</v>
      </c>
      <c r="D198" s="140">
        <f t="shared" si="49"/>
        <v>2.7999999999999997E-7</v>
      </c>
      <c r="E198" s="140">
        <f t="shared" si="49"/>
        <v>4.2E-7</v>
      </c>
      <c r="F198" s="140">
        <f t="shared" si="49"/>
        <v>5.6000000000000004E-7</v>
      </c>
      <c r="G198" s="140">
        <f t="shared" si="49"/>
        <v>7.0000000000000007E-7</v>
      </c>
      <c r="H198" s="157">
        <f>IF(A198&lt;$B$9*DATA!$H$1037,DATA!$H$1037,IF(A198&gt;DATA!$H$1036*$B$9,DATA!$H$1036,1))</f>
        <v>0.8</v>
      </c>
      <c r="I198" s="156">
        <f t="shared" si="6"/>
        <v>9.9999999999999995E-8</v>
      </c>
      <c r="K198" s="140">
        <f t="shared" si="7"/>
        <v>1.4E-5</v>
      </c>
      <c r="L198">
        <v>1.4</v>
      </c>
      <c r="M198" s="140">
        <f t="shared" si="8"/>
        <v>1.3999999999999996E-7</v>
      </c>
      <c r="N198" s="140">
        <f t="shared" si="9"/>
        <v>2.7999999999999997E-7</v>
      </c>
      <c r="O198" s="140">
        <f t="shared" si="10"/>
        <v>4.2E-7</v>
      </c>
      <c r="P198" s="140">
        <f t="shared" si="11"/>
        <v>5.6000000000000004E-7</v>
      </c>
      <c r="Q198" s="140">
        <f t="shared" si="12"/>
        <v>7.0000000000000007E-7</v>
      </c>
      <c r="R198" s="157">
        <f>IF(K198&lt;$B$25*DATA!$H$1037,DATA!$H$1037,IF(K198&gt;DATA!$H$1036*$B$25,DATA!$H$1036,1))</f>
        <v>0.8</v>
      </c>
      <c r="S198" s="156">
        <f t="shared" si="13"/>
        <v>9.9999999999999995E-8</v>
      </c>
      <c r="U198" s="140">
        <f t="shared" si="14"/>
        <v>1.4E-5</v>
      </c>
      <c r="V198">
        <v>1.4</v>
      </c>
      <c r="W198" s="140">
        <f t="shared" si="15"/>
        <v>1.3999999999999996E-7</v>
      </c>
      <c r="X198" s="140">
        <f t="shared" si="16"/>
        <v>2.7999999999999997E-7</v>
      </c>
      <c r="Y198" s="140">
        <f t="shared" si="17"/>
        <v>4.2E-7</v>
      </c>
      <c r="Z198" s="140">
        <f t="shared" si="18"/>
        <v>5.6000000000000004E-7</v>
      </c>
      <c r="AA198" s="140">
        <f t="shared" si="19"/>
        <v>7.0000000000000007E-7</v>
      </c>
      <c r="AB198" s="157">
        <f>IF(U198&lt;$B$41*DATA!$H$1037,DATA!$H$1037,IF(U198&gt;DATA!$H$1036*$B$41,DATA!$H$1036,1))</f>
        <v>0.8</v>
      </c>
      <c r="AC198" s="156">
        <f t="shared" si="20"/>
        <v>9.9999999999999995E-8</v>
      </c>
      <c r="AE198" s="140">
        <f t="shared" si="21"/>
        <v>1.4E-5</v>
      </c>
      <c r="AF198">
        <v>1.4</v>
      </c>
      <c r="AG198" s="140">
        <f t="shared" si="22"/>
        <v>1.3999999999999996E-7</v>
      </c>
      <c r="AH198" s="140">
        <f t="shared" si="23"/>
        <v>2.7999999999999997E-7</v>
      </c>
      <c r="AI198" s="140">
        <f t="shared" si="24"/>
        <v>4.2E-7</v>
      </c>
      <c r="AJ198" s="140">
        <f t="shared" si="25"/>
        <v>5.6000000000000004E-7</v>
      </c>
      <c r="AK198" s="140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27"/>
        <v>9.9999999999999995E-8</v>
      </c>
      <c r="AO198" s="140">
        <f t="shared" si="28"/>
        <v>1.4E-5</v>
      </c>
      <c r="AP198">
        <v>1.4</v>
      </c>
      <c r="AQ198" s="140">
        <f t="shared" si="29"/>
        <v>1.3999999999999996E-7</v>
      </c>
      <c r="AR198" s="140">
        <f t="shared" si="30"/>
        <v>2.7999999999999997E-7</v>
      </c>
      <c r="AS198" s="140">
        <f t="shared" si="31"/>
        <v>4.2E-7</v>
      </c>
      <c r="AT198" s="140">
        <f t="shared" si="32"/>
        <v>5.6000000000000004E-7</v>
      </c>
      <c r="AU198" s="140">
        <f t="shared" si="33"/>
        <v>7.0000000000000007E-7</v>
      </c>
      <c r="AV198" s="157">
        <f>IF(AO198&lt;$B$73*DATA!$H$1037,DATA!$H$1037,IF(AO198&gt;DATA!$H$1036*$B$73,DATA!$H$1036,1))</f>
        <v>1.2</v>
      </c>
      <c r="AW198" s="156">
        <f t="shared" si="34"/>
        <v>9.9999999999999995E-8</v>
      </c>
      <c r="AY198" s="140">
        <f t="shared" si="35"/>
        <v>1.4E-5</v>
      </c>
      <c r="AZ198">
        <v>1.4</v>
      </c>
      <c r="BA198" s="140">
        <f t="shared" si="36"/>
        <v>1.3999999999999996E-7</v>
      </c>
      <c r="BB198" s="140">
        <f t="shared" si="37"/>
        <v>2.7999999999999997E-7</v>
      </c>
      <c r="BC198" s="140">
        <f t="shared" si="38"/>
        <v>4.2E-7</v>
      </c>
      <c r="BD198" s="140">
        <f t="shared" si="39"/>
        <v>5.6000000000000004E-7</v>
      </c>
      <c r="BE198" s="140">
        <f t="shared" si="40"/>
        <v>7.0000000000000007E-7</v>
      </c>
      <c r="BF198" s="157">
        <f>IF(AY198&lt;$B$89*DATA!$H$1037,DATA!$H$1037,IF(AY198&gt;DATA!$H$1036*$B$89,DATA!$H$1036,1))</f>
        <v>1.2</v>
      </c>
      <c r="BG198" s="156">
        <f t="shared" si="41"/>
        <v>9.9999999999999995E-8</v>
      </c>
      <c r="BI198" s="140">
        <f t="shared" si="42"/>
        <v>1.4E-5</v>
      </c>
      <c r="BJ198">
        <v>1.4</v>
      </c>
      <c r="BK198" s="140">
        <f t="shared" si="43"/>
        <v>1.3999999999999996E-7</v>
      </c>
      <c r="BL198" s="140">
        <f t="shared" si="44"/>
        <v>2.7999999999999997E-7</v>
      </c>
      <c r="BM198" s="140">
        <f t="shared" si="45"/>
        <v>4.2E-7</v>
      </c>
      <c r="BN198" s="140">
        <f t="shared" si="46"/>
        <v>5.6000000000000004E-7</v>
      </c>
      <c r="BO198" s="140">
        <f t="shared" si="47"/>
        <v>7.0000000000000007E-7</v>
      </c>
      <c r="BP198" s="157">
        <f>IF(BI198&lt;$B$105*DATA!$H$1037,DATA!$H$1037,IF(BI198&gt;DATA!$H$1036*$B$105,DATA!$H$1036,1))</f>
        <v>1.2</v>
      </c>
      <c r="BQ198" s="156">
        <f t="shared" si="48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49"/>
        <v>1.4199999999999997E-7</v>
      </c>
      <c r="D199" s="140">
        <f t="shared" si="49"/>
        <v>2.84E-7</v>
      </c>
      <c r="E199" s="140">
        <f t="shared" si="49"/>
        <v>4.2600000000000003E-7</v>
      </c>
      <c r="F199" s="140">
        <f t="shared" si="49"/>
        <v>5.6800000000000011E-7</v>
      </c>
      <c r="G199" s="140">
        <f t="shared" si="49"/>
        <v>7.1000000000000008E-7</v>
      </c>
      <c r="H199" s="157">
        <f>IF(A199&lt;$B$9*DATA!$H$1037,DATA!$H$1037,IF(A199&gt;DATA!$H$1036*$B$9,DATA!$H$1036,1))</f>
        <v>0.8</v>
      </c>
      <c r="I199" s="156">
        <f t="shared" si="6"/>
        <v>9.9999999999999995E-8</v>
      </c>
      <c r="K199" s="140">
        <f t="shared" si="7"/>
        <v>1.4200000000000001E-5</v>
      </c>
      <c r="L199">
        <v>1.42</v>
      </c>
      <c r="M199" s="140">
        <f t="shared" si="8"/>
        <v>1.4199999999999997E-7</v>
      </c>
      <c r="N199" s="140">
        <f t="shared" si="9"/>
        <v>2.84E-7</v>
      </c>
      <c r="O199" s="140">
        <f t="shared" si="10"/>
        <v>4.2600000000000003E-7</v>
      </c>
      <c r="P199" s="140">
        <f t="shared" si="11"/>
        <v>5.6800000000000011E-7</v>
      </c>
      <c r="Q199" s="140">
        <f t="shared" si="12"/>
        <v>7.1000000000000008E-7</v>
      </c>
      <c r="R199" s="157">
        <f>IF(K199&lt;$B$25*DATA!$H$1037,DATA!$H$1037,IF(K199&gt;DATA!$H$1036*$B$25,DATA!$H$1036,1))</f>
        <v>0.8</v>
      </c>
      <c r="S199" s="156">
        <f t="shared" si="13"/>
        <v>9.9999999999999995E-8</v>
      </c>
      <c r="U199" s="140">
        <f t="shared" si="14"/>
        <v>1.4200000000000001E-5</v>
      </c>
      <c r="V199">
        <v>1.42</v>
      </c>
      <c r="W199" s="140">
        <f t="shared" si="15"/>
        <v>1.4199999999999997E-7</v>
      </c>
      <c r="X199" s="140">
        <f t="shared" si="16"/>
        <v>2.84E-7</v>
      </c>
      <c r="Y199" s="140">
        <f t="shared" si="17"/>
        <v>4.2600000000000003E-7</v>
      </c>
      <c r="Z199" s="140">
        <f t="shared" si="18"/>
        <v>5.6800000000000011E-7</v>
      </c>
      <c r="AA199" s="140">
        <f t="shared" si="19"/>
        <v>7.1000000000000008E-7</v>
      </c>
      <c r="AB199" s="157">
        <f>IF(U199&lt;$B$41*DATA!$H$1037,DATA!$H$1037,IF(U199&gt;DATA!$H$1036*$B$41,DATA!$H$1036,1))</f>
        <v>0.8</v>
      </c>
      <c r="AC199" s="156">
        <f t="shared" si="20"/>
        <v>9.9999999999999995E-8</v>
      </c>
      <c r="AE199" s="140">
        <f t="shared" si="21"/>
        <v>1.4200000000000001E-5</v>
      </c>
      <c r="AF199">
        <v>1.42</v>
      </c>
      <c r="AG199" s="140">
        <f t="shared" si="22"/>
        <v>1.4199999999999997E-7</v>
      </c>
      <c r="AH199" s="140">
        <f t="shared" si="23"/>
        <v>2.84E-7</v>
      </c>
      <c r="AI199" s="140">
        <f t="shared" si="24"/>
        <v>4.2600000000000003E-7</v>
      </c>
      <c r="AJ199" s="140">
        <f t="shared" si="25"/>
        <v>5.6800000000000011E-7</v>
      </c>
      <c r="AK199" s="140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27"/>
        <v>9.9999999999999995E-8</v>
      </c>
      <c r="AO199" s="140">
        <f t="shared" si="28"/>
        <v>1.4200000000000001E-5</v>
      </c>
      <c r="AP199">
        <v>1.42</v>
      </c>
      <c r="AQ199" s="140">
        <f t="shared" si="29"/>
        <v>1.4199999999999997E-7</v>
      </c>
      <c r="AR199" s="140">
        <f t="shared" si="30"/>
        <v>2.84E-7</v>
      </c>
      <c r="AS199" s="140">
        <f t="shared" si="31"/>
        <v>4.2600000000000003E-7</v>
      </c>
      <c r="AT199" s="140">
        <f t="shared" si="32"/>
        <v>5.6800000000000011E-7</v>
      </c>
      <c r="AU199" s="140">
        <f t="shared" si="33"/>
        <v>7.1000000000000008E-7</v>
      </c>
      <c r="AV199" s="157">
        <f>IF(AO199&lt;$B$73*DATA!$H$1037,DATA!$H$1037,IF(AO199&gt;DATA!$H$1036*$B$73,DATA!$H$1036,1))</f>
        <v>1.2</v>
      </c>
      <c r="AW199" s="156">
        <f t="shared" si="34"/>
        <v>9.9999999999999995E-8</v>
      </c>
      <c r="AY199" s="140">
        <f t="shared" si="35"/>
        <v>1.4200000000000001E-5</v>
      </c>
      <c r="AZ199">
        <v>1.42</v>
      </c>
      <c r="BA199" s="140">
        <f t="shared" si="36"/>
        <v>1.4199999999999997E-7</v>
      </c>
      <c r="BB199" s="140">
        <f t="shared" si="37"/>
        <v>2.84E-7</v>
      </c>
      <c r="BC199" s="140">
        <f t="shared" si="38"/>
        <v>4.2600000000000003E-7</v>
      </c>
      <c r="BD199" s="140">
        <f t="shared" si="39"/>
        <v>5.6800000000000011E-7</v>
      </c>
      <c r="BE199" s="140">
        <f t="shared" si="40"/>
        <v>7.1000000000000008E-7</v>
      </c>
      <c r="BF199" s="157">
        <f>IF(AY199&lt;$B$89*DATA!$H$1037,DATA!$H$1037,IF(AY199&gt;DATA!$H$1036*$B$89,DATA!$H$1036,1))</f>
        <v>1.2</v>
      </c>
      <c r="BG199" s="156">
        <f t="shared" si="41"/>
        <v>9.9999999999999995E-8</v>
      </c>
      <c r="BI199" s="140">
        <f t="shared" si="42"/>
        <v>1.4200000000000001E-5</v>
      </c>
      <c r="BJ199">
        <v>1.42</v>
      </c>
      <c r="BK199" s="140">
        <f t="shared" si="43"/>
        <v>1.4199999999999997E-7</v>
      </c>
      <c r="BL199" s="140">
        <f t="shared" si="44"/>
        <v>2.84E-7</v>
      </c>
      <c r="BM199" s="140">
        <f t="shared" si="45"/>
        <v>4.2600000000000003E-7</v>
      </c>
      <c r="BN199" s="140">
        <f t="shared" si="46"/>
        <v>5.6800000000000011E-7</v>
      </c>
      <c r="BO199" s="140">
        <f t="shared" si="47"/>
        <v>7.1000000000000008E-7</v>
      </c>
      <c r="BP199" s="157">
        <f>IF(BI199&lt;$B$105*DATA!$H$1037,DATA!$H$1037,IF(BI199&gt;DATA!$H$1036*$B$105,DATA!$H$1036,1))</f>
        <v>1.2</v>
      </c>
      <c r="BQ199" s="156">
        <f t="shared" si="48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49"/>
        <v>1.4399999999999997E-7</v>
      </c>
      <c r="D200" s="140">
        <f t="shared" si="49"/>
        <v>2.8799999999999998E-7</v>
      </c>
      <c r="E200" s="140">
        <f t="shared" si="49"/>
        <v>4.32E-7</v>
      </c>
      <c r="F200" s="140">
        <f t="shared" si="49"/>
        <v>5.7600000000000008E-7</v>
      </c>
      <c r="G200" s="140">
        <f t="shared" si="49"/>
        <v>7.2000000000000009E-7</v>
      </c>
      <c r="H200" s="157">
        <f>IF(A200&lt;$B$9*DATA!$H$1037,DATA!$H$1037,IF(A200&gt;DATA!$H$1036*$B$9,DATA!$H$1036,1))</f>
        <v>0.8</v>
      </c>
      <c r="I200" s="156">
        <f t="shared" si="6"/>
        <v>9.9999999999999995E-8</v>
      </c>
      <c r="K200" s="140">
        <f t="shared" si="7"/>
        <v>1.4400000000000001E-5</v>
      </c>
      <c r="L200">
        <v>1.44</v>
      </c>
      <c r="M200" s="140">
        <f t="shared" si="8"/>
        <v>1.4399999999999997E-7</v>
      </c>
      <c r="N200" s="140">
        <f t="shared" si="9"/>
        <v>2.8799999999999998E-7</v>
      </c>
      <c r="O200" s="140">
        <f t="shared" si="10"/>
        <v>4.32E-7</v>
      </c>
      <c r="P200" s="140">
        <f t="shared" si="11"/>
        <v>5.7600000000000008E-7</v>
      </c>
      <c r="Q200" s="140">
        <f t="shared" si="12"/>
        <v>7.2000000000000009E-7</v>
      </c>
      <c r="R200" s="157">
        <f>IF(K200&lt;$B$25*DATA!$H$1037,DATA!$H$1037,IF(K200&gt;DATA!$H$1036*$B$25,DATA!$H$1036,1))</f>
        <v>0.8</v>
      </c>
      <c r="S200" s="156">
        <f t="shared" si="13"/>
        <v>9.9999999999999995E-8</v>
      </c>
      <c r="U200" s="140">
        <f t="shared" si="14"/>
        <v>1.4400000000000001E-5</v>
      </c>
      <c r="V200">
        <v>1.44</v>
      </c>
      <c r="W200" s="140">
        <f t="shared" si="15"/>
        <v>1.4399999999999997E-7</v>
      </c>
      <c r="X200" s="140">
        <f t="shared" si="16"/>
        <v>2.8799999999999998E-7</v>
      </c>
      <c r="Y200" s="140">
        <f t="shared" si="17"/>
        <v>4.32E-7</v>
      </c>
      <c r="Z200" s="140">
        <f t="shared" si="18"/>
        <v>5.7600000000000008E-7</v>
      </c>
      <c r="AA200" s="140">
        <f t="shared" si="19"/>
        <v>7.2000000000000009E-7</v>
      </c>
      <c r="AB200" s="157">
        <f>IF(U200&lt;$B$41*DATA!$H$1037,DATA!$H$1037,IF(U200&gt;DATA!$H$1036*$B$41,DATA!$H$1036,1))</f>
        <v>0.8</v>
      </c>
      <c r="AC200" s="156">
        <f t="shared" si="20"/>
        <v>9.9999999999999995E-8</v>
      </c>
      <c r="AE200" s="140">
        <f t="shared" si="21"/>
        <v>1.4400000000000001E-5</v>
      </c>
      <c r="AF200">
        <v>1.44</v>
      </c>
      <c r="AG200" s="140">
        <f t="shared" si="22"/>
        <v>1.4399999999999997E-7</v>
      </c>
      <c r="AH200" s="140">
        <f t="shared" si="23"/>
        <v>2.8799999999999998E-7</v>
      </c>
      <c r="AI200" s="140">
        <f t="shared" si="24"/>
        <v>4.32E-7</v>
      </c>
      <c r="AJ200" s="140">
        <f t="shared" si="25"/>
        <v>5.7600000000000008E-7</v>
      </c>
      <c r="AK200" s="140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27"/>
        <v>9.9999999999999995E-8</v>
      </c>
      <c r="AO200" s="140">
        <f t="shared" si="28"/>
        <v>1.4400000000000001E-5</v>
      </c>
      <c r="AP200">
        <v>1.44</v>
      </c>
      <c r="AQ200" s="140">
        <f t="shared" si="29"/>
        <v>1.4399999999999997E-7</v>
      </c>
      <c r="AR200" s="140">
        <f t="shared" si="30"/>
        <v>2.8799999999999998E-7</v>
      </c>
      <c r="AS200" s="140">
        <f t="shared" si="31"/>
        <v>4.32E-7</v>
      </c>
      <c r="AT200" s="140">
        <f t="shared" si="32"/>
        <v>5.7600000000000008E-7</v>
      </c>
      <c r="AU200" s="140">
        <f t="shared" si="33"/>
        <v>7.2000000000000009E-7</v>
      </c>
      <c r="AV200" s="157">
        <f>IF(AO200&lt;$B$73*DATA!$H$1037,DATA!$H$1037,IF(AO200&gt;DATA!$H$1036*$B$73,DATA!$H$1036,1))</f>
        <v>1.2</v>
      </c>
      <c r="AW200" s="156">
        <f t="shared" si="34"/>
        <v>9.9999999999999995E-8</v>
      </c>
      <c r="AY200" s="140">
        <f t="shared" si="35"/>
        <v>1.4400000000000001E-5</v>
      </c>
      <c r="AZ200">
        <v>1.44</v>
      </c>
      <c r="BA200" s="140">
        <f t="shared" si="36"/>
        <v>1.4399999999999997E-7</v>
      </c>
      <c r="BB200" s="140">
        <f t="shared" si="37"/>
        <v>2.8799999999999998E-7</v>
      </c>
      <c r="BC200" s="140">
        <f t="shared" si="38"/>
        <v>4.32E-7</v>
      </c>
      <c r="BD200" s="140">
        <f t="shared" si="39"/>
        <v>5.7600000000000008E-7</v>
      </c>
      <c r="BE200" s="140">
        <f t="shared" si="40"/>
        <v>7.2000000000000009E-7</v>
      </c>
      <c r="BF200" s="157">
        <f>IF(AY200&lt;$B$89*DATA!$H$1037,DATA!$H$1037,IF(AY200&gt;DATA!$H$1036*$B$89,DATA!$H$1036,1))</f>
        <v>1.2</v>
      </c>
      <c r="BG200" s="156">
        <f t="shared" si="41"/>
        <v>9.9999999999999995E-8</v>
      </c>
      <c r="BI200" s="140">
        <f t="shared" si="42"/>
        <v>1.4400000000000001E-5</v>
      </c>
      <c r="BJ200">
        <v>1.44</v>
      </c>
      <c r="BK200" s="140">
        <f t="shared" si="43"/>
        <v>1.4399999999999997E-7</v>
      </c>
      <c r="BL200" s="140">
        <f t="shared" si="44"/>
        <v>2.8799999999999998E-7</v>
      </c>
      <c r="BM200" s="140">
        <f t="shared" si="45"/>
        <v>4.32E-7</v>
      </c>
      <c r="BN200" s="140">
        <f t="shared" si="46"/>
        <v>5.7600000000000008E-7</v>
      </c>
      <c r="BO200" s="140">
        <f t="shared" si="47"/>
        <v>7.2000000000000009E-7</v>
      </c>
      <c r="BP200" s="157">
        <f>IF(BI200&lt;$B$105*DATA!$H$1037,DATA!$H$1037,IF(BI200&gt;DATA!$H$1036*$B$105,DATA!$H$1036,1))</f>
        <v>1.2</v>
      </c>
      <c r="BQ200" s="156">
        <f t="shared" si="48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49"/>
        <v>1.4599999999999996E-7</v>
      </c>
      <c r="D201" s="140">
        <f t="shared" si="49"/>
        <v>2.9199999999999997E-7</v>
      </c>
      <c r="E201" s="140">
        <f t="shared" si="49"/>
        <v>4.3800000000000003E-7</v>
      </c>
      <c r="F201" s="140">
        <f t="shared" si="49"/>
        <v>5.8400000000000004E-7</v>
      </c>
      <c r="G201" s="140">
        <f t="shared" si="49"/>
        <v>7.300000000000001E-7</v>
      </c>
      <c r="H201" s="157">
        <f>IF(A201&lt;$B$9*DATA!$H$1037,DATA!$H$1037,IF(A201&gt;DATA!$H$1036*$B$9,DATA!$H$1036,1))</f>
        <v>0.8</v>
      </c>
      <c r="I201" s="156">
        <f t="shared" si="6"/>
        <v>9.9999999999999995E-8</v>
      </c>
      <c r="K201" s="140">
        <f t="shared" si="7"/>
        <v>1.4600000000000001E-5</v>
      </c>
      <c r="L201">
        <v>1.46</v>
      </c>
      <c r="M201" s="140">
        <f t="shared" si="8"/>
        <v>1.4599999999999996E-7</v>
      </c>
      <c r="N201" s="140">
        <f t="shared" si="9"/>
        <v>2.9199999999999997E-7</v>
      </c>
      <c r="O201" s="140">
        <f t="shared" si="10"/>
        <v>4.3800000000000003E-7</v>
      </c>
      <c r="P201" s="140">
        <f t="shared" si="11"/>
        <v>5.8400000000000004E-7</v>
      </c>
      <c r="Q201" s="140">
        <f t="shared" si="12"/>
        <v>7.300000000000001E-7</v>
      </c>
      <c r="R201" s="157">
        <f>IF(K201&lt;$B$25*DATA!$H$1037,DATA!$H$1037,IF(K201&gt;DATA!$H$1036*$B$25,DATA!$H$1036,1))</f>
        <v>0.8</v>
      </c>
      <c r="S201" s="156">
        <f t="shared" si="13"/>
        <v>9.9999999999999995E-8</v>
      </c>
      <c r="U201" s="140">
        <f t="shared" si="14"/>
        <v>1.4600000000000001E-5</v>
      </c>
      <c r="V201">
        <v>1.46</v>
      </c>
      <c r="W201" s="140">
        <f t="shared" si="15"/>
        <v>1.4599999999999996E-7</v>
      </c>
      <c r="X201" s="140">
        <f t="shared" si="16"/>
        <v>2.9199999999999997E-7</v>
      </c>
      <c r="Y201" s="140">
        <f t="shared" si="17"/>
        <v>4.3800000000000003E-7</v>
      </c>
      <c r="Z201" s="140">
        <f t="shared" si="18"/>
        <v>5.8400000000000004E-7</v>
      </c>
      <c r="AA201" s="140">
        <f t="shared" si="19"/>
        <v>7.300000000000001E-7</v>
      </c>
      <c r="AB201" s="157">
        <f>IF(U201&lt;$B$41*DATA!$H$1037,DATA!$H$1037,IF(U201&gt;DATA!$H$1036*$B$41,DATA!$H$1036,1))</f>
        <v>0.8</v>
      </c>
      <c r="AC201" s="156">
        <f t="shared" si="20"/>
        <v>9.9999999999999995E-8</v>
      </c>
      <c r="AE201" s="140">
        <f t="shared" si="21"/>
        <v>1.4600000000000001E-5</v>
      </c>
      <c r="AF201">
        <v>1.46</v>
      </c>
      <c r="AG201" s="140">
        <f t="shared" si="22"/>
        <v>1.4599999999999996E-7</v>
      </c>
      <c r="AH201" s="140">
        <f t="shared" si="23"/>
        <v>2.9199999999999997E-7</v>
      </c>
      <c r="AI201" s="140">
        <f t="shared" si="24"/>
        <v>4.3800000000000003E-7</v>
      </c>
      <c r="AJ201" s="140">
        <f t="shared" si="25"/>
        <v>5.8400000000000004E-7</v>
      </c>
      <c r="AK201" s="140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27"/>
        <v>9.9999999999999995E-8</v>
      </c>
      <c r="AO201" s="140">
        <f t="shared" si="28"/>
        <v>1.4600000000000001E-5</v>
      </c>
      <c r="AP201">
        <v>1.46</v>
      </c>
      <c r="AQ201" s="140">
        <f t="shared" si="29"/>
        <v>1.4599999999999996E-7</v>
      </c>
      <c r="AR201" s="140">
        <f t="shared" si="30"/>
        <v>2.9199999999999997E-7</v>
      </c>
      <c r="AS201" s="140">
        <f t="shared" si="31"/>
        <v>4.3800000000000003E-7</v>
      </c>
      <c r="AT201" s="140">
        <f t="shared" si="32"/>
        <v>5.8400000000000004E-7</v>
      </c>
      <c r="AU201" s="140">
        <f t="shared" si="33"/>
        <v>7.300000000000001E-7</v>
      </c>
      <c r="AV201" s="157">
        <f>IF(AO201&lt;$B$73*DATA!$H$1037,DATA!$H$1037,IF(AO201&gt;DATA!$H$1036*$B$73,DATA!$H$1036,1))</f>
        <v>1.2</v>
      </c>
      <c r="AW201" s="156">
        <f t="shared" si="34"/>
        <v>9.9999999999999995E-8</v>
      </c>
      <c r="AY201" s="140">
        <f t="shared" si="35"/>
        <v>1.4600000000000001E-5</v>
      </c>
      <c r="AZ201">
        <v>1.46</v>
      </c>
      <c r="BA201" s="140">
        <f t="shared" si="36"/>
        <v>1.4599999999999996E-7</v>
      </c>
      <c r="BB201" s="140">
        <f t="shared" si="37"/>
        <v>2.9199999999999997E-7</v>
      </c>
      <c r="BC201" s="140">
        <f t="shared" si="38"/>
        <v>4.3800000000000003E-7</v>
      </c>
      <c r="BD201" s="140">
        <f t="shared" si="39"/>
        <v>5.8400000000000004E-7</v>
      </c>
      <c r="BE201" s="140">
        <f t="shared" si="40"/>
        <v>7.300000000000001E-7</v>
      </c>
      <c r="BF201" s="157">
        <f>IF(AY201&lt;$B$89*DATA!$H$1037,DATA!$H$1037,IF(AY201&gt;DATA!$H$1036*$B$89,DATA!$H$1036,1))</f>
        <v>1.2</v>
      </c>
      <c r="BG201" s="156">
        <f t="shared" si="41"/>
        <v>9.9999999999999995E-8</v>
      </c>
      <c r="BI201" s="140">
        <f t="shared" si="42"/>
        <v>1.4600000000000001E-5</v>
      </c>
      <c r="BJ201">
        <v>1.46</v>
      </c>
      <c r="BK201" s="140">
        <f t="shared" si="43"/>
        <v>1.4599999999999996E-7</v>
      </c>
      <c r="BL201" s="140">
        <f t="shared" si="44"/>
        <v>2.9199999999999997E-7</v>
      </c>
      <c r="BM201" s="140">
        <f t="shared" si="45"/>
        <v>4.3800000000000003E-7</v>
      </c>
      <c r="BN201" s="140">
        <f t="shared" si="46"/>
        <v>5.8400000000000004E-7</v>
      </c>
      <c r="BO201" s="140">
        <f t="shared" si="47"/>
        <v>7.300000000000001E-7</v>
      </c>
      <c r="BP201" s="157">
        <f>IF(BI201&lt;$B$105*DATA!$H$1037,DATA!$H$1037,IF(BI201&gt;DATA!$H$1036*$B$105,DATA!$H$1036,1))</f>
        <v>1.2</v>
      </c>
      <c r="BQ201" s="156">
        <f t="shared" si="48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49"/>
        <v>1.4799999999999995E-7</v>
      </c>
      <c r="D202" s="140">
        <f t="shared" si="49"/>
        <v>2.9599999999999995E-7</v>
      </c>
      <c r="E202" s="140">
        <f t="shared" si="49"/>
        <v>4.4400000000000001E-7</v>
      </c>
      <c r="F202" s="140">
        <f t="shared" si="49"/>
        <v>5.9200000000000001E-7</v>
      </c>
      <c r="G202" s="140">
        <f t="shared" si="49"/>
        <v>7.4000000000000011E-7</v>
      </c>
      <c r="H202" s="157">
        <f>IF(A202&lt;$B$9*DATA!$H$1037,DATA!$H$1037,IF(A202&gt;DATA!$H$1036*$B$9,DATA!$H$1036,1))</f>
        <v>0.8</v>
      </c>
      <c r="I202" s="156">
        <f t="shared" si="6"/>
        <v>9.9999999999999995E-8</v>
      </c>
      <c r="K202" s="140">
        <f t="shared" si="7"/>
        <v>1.4800000000000001E-5</v>
      </c>
      <c r="L202">
        <v>1.48</v>
      </c>
      <c r="M202" s="140">
        <f t="shared" si="8"/>
        <v>1.4799999999999995E-7</v>
      </c>
      <c r="N202" s="140">
        <f t="shared" si="9"/>
        <v>2.9599999999999995E-7</v>
      </c>
      <c r="O202" s="140">
        <f t="shared" si="10"/>
        <v>4.4400000000000001E-7</v>
      </c>
      <c r="P202" s="140">
        <f t="shared" si="11"/>
        <v>5.9200000000000001E-7</v>
      </c>
      <c r="Q202" s="140">
        <f t="shared" si="12"/>
        <v>7.4000000000000011E-7</v>
      </c>
      <c r="R202" s="157">
        <f>IF(K202&lt;$B$25*DATA!$H$1037,DATA!$H$1037,IF(K202&gt;DATA!$H$1036*$B$25,DATA!$H$1036,1))</f>
        <v>0.8</v>
      </c>
      <c r="S202" s="156">
        <f t="shared" si="13"/>
        <v>9.9999999999999995E-8</v>
      </c>
      <c r="U202" s="140">
        <f t="shared" si="14"/>
        <v>1.4800000000000001E-5</v>
      </c>
      <c r="V202">
        <v>1.48</v>
      </c>
      <c r="W202" s="140">
        <f t="shared" si="15"/>
        <v>1.4799999999999995E-7</v>
      </c>
      <c r="X202" s="140">
        <f t="shared" si="16"/>
        <v>2.9599999999999995E-7</v>
      </c>
      <c r="Y202" s="140">
        <f t="shared" si="17"/>
        <v>4.4400000000000001E-7</v>
      </c>
      <c r="Z202" s="140">
        <f t="shared" si="18"/>
        <v>5.9200000000000001E-7</v>
      </c>
      <c r="AA202" s="140">
        <f t="shared" si="19"/>
        <v>7.4000000000000011E-7</v>
      </c>
      <c r="AB202" s="157">
        <f>IF(U202&lt;$B$41*DATA!$H$1037,DATA!$H$1037,IF(U202&gt;DATA!$H$1036*$B$41,DATA!$H$1036,1))</f>
        <v>0.8</v>
      </c>
      <c r="AC202" s="156">
        <f t="shared" si="20"/>
        <v>9.9999999999999995E-8</v>
      </c>
      <c r="AE202" s="140">
        <f t="shared" si="21"/>
        <v>1.4800000000000001E-5</v>
      </c>
      <c r="AF202">
        <v>1.48</v>
      </c>
      <c r="AG202" s="140">
        <f t="shared" si="22"/>
        <v>1.4799999999999995E-7</v>
      </c>
      <c r="AH202" s="140">
        <f t="shared" si="23"/>
        <v>2.9599999999999995E-7</v>
      </c>
      <c r="AI202" s="140">
        <f t="shared" si="24"/>
        <v>4.4400000000000001E-7</v>
      </c>
      <c r="AJ202" s="140">
        <f t="shared" si="25"/>
        <v>5.9200000000000001E-7</v>
      </c>
      <c r="AK202" s="140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27"/>
        <v>9.9999999999999995E-8</v>
      </c>
      <c r="AO202" s="140">
        <f t="shared" si="28"/>
        <v>1.4800000000000001E-5</v>
      </c>
      <c r="AP202">
        <v>1.48</v>
      </c>
      <c r="AQ202" s="140">
        <f t="shared" si="29"/>
        <v>1.4799999999999995E-7</v>
      </c>
      <c r="AR202" s="140">
        <f t="shared" si="30"/>
        <v>2.9599999999999995E-7</v>
      </c>
      <c r="AS202" s="140">
        <f t="shared" si="31"/>
        <v>4.4400000000000001E-7</v>
      </c>
      <c r="AT202" s="140">
        <f t="shared" si="32"/>
        <v>5.9200000000000001E-7</v>
      </c>
      <c r="AU202" s="140">
        <f t="shared" si="33"/>
        <v>7.4000000000000011E-7</v>
      </c>
      <c r="AV202" s="157">
        <f>IF(AO202&lt;$B$73*DATA!$H$1037,DATA!$H$1037,IF(AO202&gt;DATA!$H$1036*$B$73,DATA!$H$1036,1))</f>
        <v>1.2</v>
      </c>
      <c r="AW202" s="156">
        <f t="shared" si="34"/>
        <v>9.9999999999999995E-8</v>
      </c>
      <c r="AY202" s="140">
        <f t="shared" si="35"/>
        <v>1.4800000000000001E-5</v>
      </c>
      <c r="AZ202">
        <v>1.48</v>
      </c>
      <c r="BA202" s="140">
        <f t="shared" si="36"/>
        <v>1.4799999999999995E-7</v>
      </c>
      <c r="BB202" s="140">
        <f t="shared" si="37"/>
        <v>2.9599999999999995E-7</v>
      </c>
      <c r="BC202" s="140">
        <f t="shared" si="38"/>
        <v>4.4400000000000001E-7</v>
      </c>
      <c r="BD202" s="140">
        <f t="shared" si="39"/>
        <v>5.9200000000000001E-7</v>
      </c>
      <c r="BE202" s="140">
        <f t="shared" si="40"/>
        <v>7.4000000000000011E-7</v>
      </c>
      <c r="BF202" s="157">
        <f>IF(AY202&lt;$B$89*DATA!$H$1037,DATA!$H$1037,IF(AY202&gt;DATA!$H$1036*$B$89,DATA!$H$1036,1))</f>
        <v>1.2</v>
      </c>
      <c r="BG202" s="156">
        <f t="shared" si="41"/>
        <v>9.9999999999999995E-8</v>
      </c>
      <c r="BI202" s="140">
        <f t="shared" si="42"/>
        <v>1.4800000000000001E-5</v>
      </c>
      <c r="BJ202">
        <v>1.48</v>
      </c>
      <c r="BK202" s="140">
        <f t="shared" si="43"/>
        <v>1.4799999999999995E-7</v>
      </c>
      <c r="BL202" s="140">
        <f t="shared" si="44"/>
        <v>2.9599999999999995E-7</v>
      </c>
      <c r="BM202" s="140">
        <f t="shared" si="45"/>
        <v>4.4400000000000001E-7</v>
      </c>
      <c r="BN202" s="140">
        <f t="shared" si="46"/>
        <v>5.9200000000000001E-7</v>
      </c>
      <c r="BO202" s="140">
        <f t="shared" si="47"/>
        <v>7.4000000000000011E-7</v>
      </c>
      <c r="BP202" s="157">
        <f>IF(BI202&lt;$B$105*DATA!$H$1037,DATA!$H$1037,IF(BI202&gt;DATA!$H$1036*$B$105,DATA!$H$1036,1))</f>
        <v>1.2</v>
      </c>
      <c r="BQ202" s="156">
        <f t="shared" si="48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49"/>
        <v>1.4999999999999997E-7</v>
      </c>
      <c r="D203" s="140">
        <f t="shared" si="49"/>
        <v>2.9999999999999999E-7</v>
      </c>
      <c r="E203" s="140">
        <f t="shared" si="49"/>
        <v>4.5000000000000003E-7</v>
      </c>
      <c r="F203" s="140">
        <f t="shared" si="49"/>
        <v>6.0000000000000008E-7</v>
      </c>
      <c r="G203" s="140">
        <f t="shared" si="49"/>
        <v>7.5000000000000012E-7</v>
      </c>
      <c r="H203" s="157">
        <f>IF(A203&lt;$B$9*DATA!$H$1037,DATA!$H$1037,IF(A203&gt;DATA!$H$1036*$B$9,DATA!$H$1036,1))</f>
        <v>0.8</v>
      </c>
      <c r="I203" s="156">
        <f t="shared" si="6"/>
        <v>9.9999999999999995E-8</v>
      </c>
      <c r="K203" s="140">
        <f t="shared" si="7"/>
        <v>1.5000000000000002E-5</v>
      </c>
      <c r="L203">
        <v>1.5</v>
      </c>
      <c r="M203" s="140">
        <f t="shared" si="8"/>
        <v>1.4999999999999997E-7</v>
      </c>
      <c r="N203" s="140">
        <f t="shared" si="9"/>
        <v>2.9999999999999999E-7</v>
      </c>
      <c r="O203" s="140">
        <f t="shared" si="10"/>
        <v>4.5000000000000003E-7</v>
      </c>
      <c r="P203" s="140">
        <f t="shared" si="11"/>
        <v>6.0000000000000008E-7</v>
      </c>
      <c r="Q203" s="140">
        <f t="shared" si="12"/>
        <v>7.5000000000000012E-7</v>
      </c>
      <c r="R203" s="157">
        <f>IF(K203&lt;$B$25*DATA!$H$1037,DATA!$H$1037,IF(K203&gt;DATA!$H$1036*$B$25,DATA!$H$1036,1))</f>
        <v>0.8</v>
      </c>
      <c r="S203" s="156">
        <f t="shared" si="13"/>
        <v>9.9999999999999995E-8</v>
      </c>
      <c r="U203" s="140">
        <f t="shared" si="14"/>
        <v>1.5000000000000002E-5</v>
      </c>
      <c r="V203">
        <v>1.5</v>
      </c>
      <c r="W203" s="140">
        <f t="shared" si="15"/>
        <v>1.4999999999999997E-7</v>
      </c>
      <c r="X203" s="140">
        <f t="shared" si="16"/>
        <v>2.9999999999999999E-7</v>
      </c>
      <c r="Y203" s="140">
        <f t="shared" si="17"/>
        <v>4.5000000000000003E-7</v>
      </c>
      <c r="Z203" s="140">
        <f t="shared" si="18"/>
        <v>6.0000000000000008E-7</v>
      </c>
      <c r="AA203" s="140">
        <f t="shared" si="19"/>
        <v>7.5000000000000012E-7</v>
      </c>
      <c r="AB203" s="157">
        <f>IF(U203&lt;$B$41*DATA!$H$1037,DATA!$H$1037,IF(U203&gt;DATA!$H$1036*$B$41,DATA!$H$1036,1))</f>
        <v>0.8</v>
      </c>
      <c r="AC203" s="156">
        <f t="shared" si="20"/>
        <v>9.9999999999999995E-8</v>
      </c>
      <c r="AE203" s="140">
        <f t="shared" si="21"/>
        <v>1.5000000000000002E-5</v>
      </c>
      <c r="AF203">
        <v>1.5</v>
      </c>
      <c r="AG203" s="140">
        <f t="shared" si="22"/>
        <v>1.4999999999999997E-7</v>
      </c>
      <c r="AH203" s="140">
        <f t="shared" si="23"/>
        <v>2.9999999999999999E-7</v>
      </c>
      <c r="AI203" s="140">
        <f t="shared" si="24"/>
        <v>4.5000000000000003E-7</v>
      </c>
      <c r="AJ203" s="140">
        <f t="shared" si="25"/>
        <v>6.0000000000000008E-7</v>
      </c>
      <c r="AK203" s="140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27"/>
        <v>9.9999999999999995E-8</v>
      </c>
      <c r="AO203" s="140">
        <f t="shared" si="28"/>
        <v>1.5000000000000002E-5</v>
      </c>
      <c r="AP203">
        <v>1.5</v>
      </c>
      <c r="AQ203" s="140">
        <f t="shared" si="29"/>
        <v>1.4999999999999997E-7</v>
      </c>
      <c r="AR203" s="140">
        <f t="shared" si="30"/>
        <v>2.9999999999999999E-7</v>
      </c>
      <c r="AS203" s="140">
        <f t="shared" si="31"/>
        <v>4.5000000000000003E-7</v>
      </c>
      <c r="AT203" s="140">
        <f t="shared" si="32"/>
        <v>6.0000000000000008E-7</v>
      </c>
      <c r="AU203" s="140">
        <f t="shared" si="33"/>
        <v>7.5000000000000012E-7</v>
      </c>
      <c r="AV203" s="157">
        <f>IF(AO203&lt;$B$73*DATA!$H$1037,DATA!$H$1037,IF(AO203&gt;DATA!$H$1036*$B$73,DATA!$H$1036,1))</f>
        <v>1.2</v>
      </c>
      <c r="AW203" s="156">
        <f t="shared" si="34"/>
        <v>9.9999999999999995E-8</v>
      </c>
      <c r="AY203" s="140">
        <f t="shared" si="35"/>
        <v>1.5000000000000002E-5</v>
      </c>
      <c r="AZ203">
        <v>1.5</v>
      </c>
      <c r="BA203" s="140">
        <f t="shared" si="36"/>
        <v>1.4999999999999997E-7</v>
      </c>
      <c r="BB203" s="140">
        <f t="shared" si="37"/>
        <v>2.9999999999999999E-7</v>
      </c>
      <c r="BC203" s="140">
        <f t="shared" si="38"/>
        <v>4.5000000000000003E-7</v>
      </c>
      <c r="BD203" s="140">
        <f t="shared" si="39"/>
        <v>6.0000000000000008E-7</v>
      </c>
      <c r="BE203" s="140">
        <f t="shared" si="40"/>
        <v>7.5000000000000012E-7</v>
      </c>
      <c r="BF203" s="157">
        <f>IF(AY203&lt;$B$89*DATA!$H$1037,DATA!$H$1037,IF(AY203&gt;DATA!$H$1036*$B$89,DATA!$H$1036,1))</f>
        <v>1.2</v>
      </c>
      <c r="BG203" s="156">
        <f t="shared" si="41"/>
        <v>9.9999999999999995E-8</v>
      </c>
      <c r="BI203" s="140">
        <f t="shared" si="42"/>
        <v>1.5000000000000002E-5</v>
      </c>
      <c r="BJ203">
        <v>1.5</v>
      </c>
      <c r="BK203" s="140">
        <f t="shared" si="43"/>
        <v>1.4999999999999997E-7</v>
      </c>
      <c r="BL203" s="140">
        <f t="shared" si="44"/>
        <v>2.9999999999999999E-7</v>
      </c>
      <c r="BM203" s="140">
        <f t="shared" si="45"/>
        <v>4.5000000000000003E-7</v>
      </c>
      <c r="BN203" s="140">
        <f t="shared" si="46"/>
        <v>6.0000000000000008E-7</v>
      </c>
      <c r="BO203" s="140">
        <f t="shared" si="47"/>
        <v>7.5000000000000012E-7</v>
      </c>
      <c r="BP203" s="157">
        <f>IF(BI203&lt;$B$105*DATA!$H$1037,DATA!$H$1037,IF(BI203&gt;DATA!$H$1036*$B$105,DATA!$H$1036,1))</f>
        <v>1.2</v>
      </c>
      <c r="BQ203" s="156">
        <f t="shared" si="48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49"/>
        <v>1.5199999999999996E-7</v>
      </c>
      <c r="D204" s="140">
        <f t="shared" si="49"/>
        <v>3.0399999999999997E-7</v>
      </c>
      <c r="E204" s="140">
        <f t="shared" si="49"/>
        <v>4.5600000000000006E-7</v>
      </c>
      <c r="F204" s="140">
        <f t="shared" si="49"/>
        <v>6.0800000000000004E-7</v>
      </c>
      <c r="G204" s="140">
        <f t="shared" si="49"/>
        <v>7.6000000000000014E-7</v>
      </c>
      <c r="H204" s="157">
        <f>IF(A204&lt;$B$9*DATA!$H$1037,DATA!$H$1037,IF(A204&gt;DATA!$H$1036*$B$9,DATA!$H$1036,1))</f>
        <v>0.8</v>
      </c>
      <c r="I204" s="156">
        <f t="shared" si="6"/>
        <v>9.9999999999999995E-8</v>
      </c>
      <c r="K204" s="140">
        <f t="shared" si="7"/>
        <v>1.5200000000000002E-5</v>
      </c>
      <c r="L204">
        <v>1.52</v>
      </c>
      <c r="M204" s="140">
        <f t="shared" si="8"/>
        <v>1.5199999999999996E-7</v>
      </c>
      <c r="N204" s="140">
        <f t="shared" si="9"/>
        <v>3.0399999999999997E-7</v>
      </c>
      <c r="O204" s="140">
        <f t="shared" si="10"/>
        <v>4.5600000000000006E-7</v>
      </c>
      <c r="P204" s="140">
        <f t="shared" si="11"/>
        <v>6.0800000000000004E-7</v>
      </c>
      <c r="Q204" s="140">
        <f t="shared" si="12"/>
        <v>7.6000000000000014E-7</v>
      </c>
      <c r="R204" s="157">
        <f>IF(K204&lt;$B$25*DATA!$H$1037,DATA!$H$1037,IF(K204&gt;DATA!$H$1036*$B$25,DATA!$H$1036,1))</f>
        <v>0.8</v>
      </c>
      <c r="S204" s="156">
        <f t="shared" si="13"/>
        <v>9.9999999999999995E-8</v>
      </c>
      <c r="U204" s="140">
        <f t="shared" si="14"/>
        <v>1.5200000000000002E-5</v>
      </c>
      <c r="V204">
        <v>1.52</v>
      </c>
      <c r="W204" s="140">
        <f t="shared" si="15"/>
        <v>1.5199999999999996E-7</v>
      </c>
      <c r="X204" s="140">
        <f t="shared" si="16"/>
        <v>3.0399999999999997E-7</v>
      </c>
      <c r="Y204" s="140">
        <f t="shared" si="17"/>
        <v>4.5600000000000006E-7</v>
      </c>
      <c r="Z204" s="140">
        <f t="shared" si="18"/>
        <v>6.0800000000000004E-7</v>
      </c>
      <c r="AA204" s="140">
        <f t="shared" si="19"/>
        <v>7.6000000000000014E-7</v>
      </c>
      <c r="AB204" s="157">
        <f>IF(U204&lt;$B$41*DATA!$H$1037,DATA!$H$1037,IF(U204&gt;DATA!$H$1036*$B$41,DATA!$H$1036,1))</f>
        <v>0.8</v>
      </c>
      <c r="AC204" s="156">
        <f t="shared" si="20"/>
        <v>9.9999999999999995E-8</v>
      </c>
      <c r="AE204" s="140">
        <f t="shared" si="21"/>
        <v>1.5200000000000002E-5</v>
      </c>
      <c r="AF204">
        <v>1.52</v>
      </c>
      <c r="AG204" s="140">
        <f t="shared" si="22"/>
        <v>1.5199999999999996E-7</v>
      </c>
      <c r="AH204" s="140">
        <f t="shared" si="23"/>
        <v>3.0399999999999997E-7</v>
      </c>
      <c r="AI204" s="140">
        <f t="shared" si="24"/>
        <v>4.5600000000000006E-7</v>
      </c>
      <c r="AJ204" s="140">
        <f t="shared" si="25"/>
        <v>6.0800000000000004E-7</v>
      </c>
      <c r="AK204" s="140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27"/>
        <v>9.9999999999999995E-8</v>
      </c>
      <c r="AO204" s="140">
        <f t="shared" si="28"/>
        <v>1.5200000000000002E-5</v>
      </c>
      <c r="AP204">
        <v>1.52</v>
      </c>
      <c r="AQ204" s="140">
        <f t="shared" si="29"/>
        <v>1.5199999999999996E-7</v>
      </c>
      <c r="AR204" s="140">
        <f t="shared" si="30"/>
        <v>3.0399999999999997E-7</v>
      </c>
      <c r="AS204" s="140">
        <f t="shared" si="31"/>
        <v>4.5600000000000006E-7</v>
      </c>
      <c r="AT204" s="140">
        <f t="shared" si="32"/>
        <v>6.0800000000000004E-7</v>
      </c>
      <c r="AU204" s="140">
        <f t="shared" si="33"/>
        <v>7.6000000000000014E-7</v>
      </c>
      <c r="AV204" s="157">
        <f>IF(AO204&lt;$B$73*DATA!$H$1037,DATA!$H$1037,IF(AO204&gt;DATA!$H$1036*$B$73,DATA!$H$1036,1))</f>
        <v>1.2</v>
      </c>
      <c r="AW204" s="156">
        <f t="shared" si="34"/>
        <v>9.9999999999999995E-8</v>
      </c>
      <c r="AY204" s="140">
        <f t="shared" si="35"/>
        <v>1.5200000000000002E-5</v>
      </c>
      <c r="AZ204">
        <v>1.52</v>
      </c>
      <c r="BA204" s="140">
        <f t="shared" si="36"/>
        <v>1.5199999999999996E-7</v>
      </c>
      <c r="BB204" s="140">
        <f t="shared" si="37"/>
        <v>3.0399999999999997E-7</v>
      </c>
      <c r="BC204" s="140">
        <f t="shared" si="38"/>
        <v>4.5600000000000006E-7</v>
      </c>
      <c r="BD204" s="140">
        <f t="shared" si="39"/>
        <v>6.0800000000000004E-7</v>
      </c>
      <c r="BE204" s="140">
        <f t="shared" si="40"/>
        <v>7.6000000000000014E-7</v>
      </c>
      <c r="BF204" s="157">
        <f>IF(AY204&lt;$B$89*DATA!$H$1037,DATA!$H$1037,IF(AY204&gt;DATA!$H$1036*$B$89,DATA!$H$1036,1))</f>
        <v>1.2</v>
      </c>
      <c r="BG204" s="156">
        <f t="shared" si="41"/>
        <v>9.9999999999999995E-8</v>
      </c>
      <c r="BI204" s="140">
        <f t="shared" si="42"/>
        <v>1.5200000000000002E-5</v>
      </c>
      <c r="BJ204">
        <v>1.52</v>
      </c>
      <c r="BK204" s="140">
        <f t="shared" si="43"/>
        <v>1.5199999999999996E-7</v>
      </c>
      <c r="BL204" s="140">
        <f t="shared" si="44"/>
        <v>3.0399999999999997E-7</v>
      </c>
      <c r="BM204" s="140">
        <f t="shared" si="45"/>
        <v>4.5600000000000006E-7</v>
      </c>
      <c r="BN204" s="140">
        <f t="shared" si="46"/>
        <v>6.0800000000000004E-7</v>
      </c>
      <c r="BO204" s="140">
        <f t="shared" si="47"/>
        <v>7.6000000000000014E-7</v>
      </c>
      <c r="BP204" s="157">
        <f>IF(BI204&lt;$B$105*DATA!$H$1037,DATA!$H$1037,IF(BI204&gt;DATA!$H$1036*$B$105,DATA!$H$1036,1))</f>
        <v>1.2</v>
      </c>
      <c r="BQ204" s="156">
        <f t="shared" si="48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49"/>
        <v>1.5399999999999998E-7</v>
      </c>
      <c r="D205" s="140">
        <f t="shared" si="49"/>
        <v>3.0800000000000001E-7</v>
      </c>
      <c r="E205" s="140">
        <f t="shared" si="49"/>
        <v>4.6200000000000003E-7</v>
      </c>
      <c r="F205" s="140">
        <f t="shared" si="49"/>
        <v>6.1600000000000012E-7</v>
      </c>
      <c r="G205" s="140">
        <f t="shared" si="49"/>
        <v>7.7000000000000015E-7</v>
      </c>
      <c r="H205" s="157">
        <f>IF(A205&lt;$B$9*DATA!$H$1037,DATA!$H$1037,IF(A205&gt;DATA!$H$1036*$B$9,DATA!$H$1036,1))</f>
        <v>0.8</v>
      </c>
      <c r="I205" s="156">
        <f t="shared" si="6"/>
        <v>9.9999999999999995E-8</v>
      </c>
      <c r="K205" s="140">
        <f t="shared" si="7"/>
        <v>1.5400000000000002E-5</v>
      </c>
      <c r="L205">
        <v>1.54</v>
      </c>
      <c r="M205" s="140">
        <f t="shared" si="8"/>
        <v>1.5399999999999998E-7</v>
      </c>
      <c r="N205" s="140">
        <f t="shared" si="9"/>
        <v>3.0800000000000001E-7</v>
      </c>
      <c r="O205" s="140">
        <f t="shared" si="10"/>
        <v>4.6200000000000003E-7</v>
      </c>
      <c r="P205" s="140">
        <f t="shared" si="11"/>
        <v>6.1600000000000012E-7</v>
      </c>
      <c r="Q205" s="140">
        <f t="shared" si="12"/>
        <v>7.7000000000000015E-7</v>
      </c>
      <c r="R205" s="157">
        <f>IF(K205&lt;$B$25*DATA!$H$1037,DATA!$H$1037,IF(K205&gt;DATA!$H$1036*$B$25,DATA!$H$1036,1))</f>
        <v>0.8</v>
      </c>
      <c r="S205" s="156">
        <f t="shared" si="13"/>
        <v>9.9999999999999995E-8</v>
      </c>
      <c r="U205" s="140">
        <f t="shared" si="14"/>
        <v>1.5400000000000002E-5</v>
      </c>
      <c r="V205">
        <v>1.54</v>
      </c>
      <c r="W205" s="140">
        <f t="shared" si="15"/>
        <v>1.5399999999999998E-7</v>
      </c>
      <c r="X205" s="140">
        <f t="shared" si="16"/>
        <v>3.0800000000000001E-7</v>
      </c>
      <c r="Y205" s="140">
        <f t="shared" si="17"/>
        <v>4.6200000000000003E-7</v>
      </c>
      <c r="Z205" s="140">
        <f t="shared" si="18"/>
        <v>6.1600000000000012E-7</v>
      </c>
      <c r="AA205" s="140">
        <f t="shared" si="19"/>
        <v>7.7000000000000015E-7</v>
      </c>
      <c r="AB205" s="157">
        <f>IF(U205&lt;$B$41*DATA!$H$1037,DATA!$H$1037,IF(U205&gt;DATA!$H$1036*$B$41,DATA!$H$1036,1))</f>
        <v>0.8</v>
      </c>
      <c r="AC205" s="156">
        <f t="shared" si="20"/>
        <v>9.9999999999999995E-8</v>
      </c>
      <c r="AE205" s="140">
        <f t="shared" si="21"/>
        <v>1.5400000000000002E-5</v>
      </c>
      <c r="AF205">
        <v>1.54</v>
      </c>
      <c r="AG205" s="140">
        <f t="shared" si="22"/>
        <v>1.5399999999999998E-7</v>
      </c>
      <c r="AH205" s="140">
        <f t="shared" si="23"/>
        <v>3.0800000000000001E-7</v>
      </c>
      <c r="AI205" s="140">
        <f t="shared" si="24"/>
        <v>4.6200000000000003E-7</v>
      </c>
      <c r="AJ205" s="140">
        <f t="shared" si="25"/>
        <v>6.1600000000000012E-7</v>
      </c>
      <c r="AK205" s="140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27"/>
        <v>9.9999999999999995E-8</v>
      </c>
      <c r="AO205" s="140">
        <f t="shared" si="28"/>
        <v>1.5400000000000002E-5</v>
      </c>
      <c r="AP205">
        <v>1.54</v>
      </c>
      <c r="AQ205" s="140">
        <f t="shared" si="29"/>
        <v>1.5399999999999998E-7</v>
      </c>
      <c r="AR205" s="140">
        <f t="shared" si="30"/>
        <v>3.0800000000000001E-7</v>
      </c>
      <c r="AS205" s="140">
        <f t="shared" si="31"/>
        <v>4.6200000000000003E-7</v>
      </c>
      <c r="AT205" s="140">
        <f t="shared" si="32"/>
        <v>6.1600000000000012E-7</v>
      </c>
      <c r="AU205" s="140">
        <f t="shared" si="33"/>
        <v>7.7000000000000015E-7</v>
      </c>
      <c r="AV205" s="157">
        <f>IF(AO205&lt;$B$73*DATA!$H$1037,DATA!$H$1037,IF(AO205&gt;DATA!$H$1036*$B$73,DATA!$H$1036,1))</f>
        <v>1.2</v>
      </c>
      <c r="AW205" s="156">
        <f t="shared" si="34"/>
        <v>9.9999999999999995E-8</v>
      </c>
      <c r="AY205" s="140">
        <f t="shared" si="35"/>
        <v>1.5400000000000002E-5</v>
      </c>
      <c r="AZ205">
        <v>1.54</v>
      </c>
      <c r="BA205" s="140">
        <f t="shared" si="36"/>
        <v>1.5399999999999998E-7</v>
      </c>
      <c r="BB205" s="140">
        <f t="shared" si="37"/>
        <v>3.0800000000000001E-7</v>
      </c>
      <c r="BC205" s="140">
        <f t="shared" si="38"/>
        <v>4.6200000000000003E-7</v>
      </c>
      <c r="BD205" s="140">
        <f t="shared" si="39"/>
        <v>6.1600000000000012E-7</v>
      </c>
      <c r="BE205" s="140">
        <f t="shared" si="40"/>
        <v>7.7000000000000015E-7</v>
      </c>
      <c r="BF205" s="157">
        <f>IF(AY205&lt;$B$89*DATA!$H$1037,DATA!$H$1037,IF(AY205&gt;DATA!$H$1036*$B$89,DATA!$H$1036,1))</f>
        <v>1.2</v>
      </c>
      <c r="BG205" s="156">
        <f t="shared" si="41"/>
        <v>9.9999999999999995E-8</v>
      </c>
      <c r="BI205" s="140">
        <f t="shared" si="42"/>
        <v>1.5400000000000002E-5</v>
      </c>
      <c r="BJ205">
        <v>1.54</v>
      </c>
      <c r="BK205" s="140">
        <f t="shared" si="43"/>
        <v>1.5399999999999998E-7</v>
      </c>
      <c r="BL205" s="140">
        <f t="shared" si="44"/>
        <v>3.0800000000000001E-7</v>
      </c>
      <c r="BM205" s="140">
        <f t="shared" si="45"/>
        <v>4.6200000000000003E-7</v>
      </c>
      <c r="BN205" s="140">
        <f t="shared" si="46"/>
        <v>6.1600000000000012E-7</v>
      </c>
      <c r="BO205" s="140">
        <f t="shared" si="47"/>
        <v>7.7000000000000015E-7</v>
      </c>
      <c r="BP205" s="157">
        <f>IF(BI205&lt;$B$105*DATA!$H$1037,DATA!$H$1037,IF(BI205&gt;DATA!$H$1036*$B$105,DATA!$H$1036,1))</f>
        <v>1.2</v>
      </c>
      <c r="BQ205" s="156">
        <f t="shared" si="48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49"/>
        <v>1.5599999999999997E-7</v>
      </c>
      <c r="D206" s="140">
        <f t="shared" si="49"/>
        <v>3.1200000000000004E-7</v>
      </c>
      <c r="E206" s="140">
        <f t="shared" si="49"/>
        <v>4.6800000000000006E-7</v>
      </c>
      <c r="F206" s="140">
        <f t="shared" si="49"/>
        <v>6.2400000000000019E-7</v>
      </c>
      <c r="G206" s="140">
        <f t="shared" si="49"/>
        <v>7.8000000000000016E-7</v>
      </c>
      <c r="H206" s="157">
        <f>IF(A206&lt;$B$9*DATA!$H$1037,DATA!$H$1037,IF(A206&gt;DATA!$H$1036*$B$9,DATA!$H$1036,1))</f>
        <v>0.8</v>
      </c>
      <c r="I206" s="156">
        <f t="shared" si="6"/>
        <v>9.9999999999999995E-8</v>
      </c>
      <c r="K206" s="140">
        <f t="shared" si="7"/>
        <v>1.5600000000000003E-5</v>
      </c>
      <c r="L206">
        <v>1.56</v>
      </c>
      <c r="M206" s="140">
        <f t="shared" si="8"/>
        <v>1.5599999999999997E-7</v>
      </c>
      <c r="N206" s="140">
        <f t="shared" si="9"/>
        <v>3.1200000000000004E-7</v>
      </c>
      <c r="O206" s="140">
        <f t="shared" si="10"/>
        <v>4.6800000000000006E-7</v>
      </c>
      <c r="P206" s="140">
        <f t="shared" si="11"/>
        <v>6.2400000000000019E-7</v>
      </c>
      <c r="Q206" s="140">
        <f t="shared" si="12"/>
        <v>7.8000000000000016E-7</v>
      </c>
      <c r="R206" s="157">
        <f>IF(K206&lt;$B$25*DATA!$H$1037,DATA!$H$1037,IF(K206&gt;DATA!$H$1036*$B$25,DATA!$H$1036,1))</f>
        <v>0.8</v>
      </c>
      <c r="S206" s="156">
        <f t="shared" si="13"/>
        <v>9.9999999999999995E-8</v>
      </c>
      <c r="U206" s="140">
        <f t="shared" si="14"/>
        <v>1.5600000000000003E-5</v>
      </c>
      <c r="V206">
        <v>1.56</v>
      </c>
      <c r="W206" s="140">
        <f t="shared" si="15"/>
        <v>1.5599999999999997E-7</v>
      </c>
      <c r="X206" s="140">
        <f t="shared" si="16"/>
        <v>3.1200000000000004E-7</v>
      </c>
      <c r="Y206" s="140">
        <f t="shared" si="17"/>
        <v>4.6800000000000006E-7</v>
      </c>
      <c r="Z206" s="140">
        <f t="shared" si="18"/>
        <v>6.2400000000000019E-7</v>
      </c>
      <c r="AA206" s="140">
        <f t="shared" si="19"/>
        <v>7.8000000000000016E-7</v>
      </c>
      <c r="AB206" s="157">
        <f>IF(U206&lt;$B$41*DATA!$H$1037,DATA!$H$1037,IF(U206&gt;DATA!$H$1036*$B$41,DATA!$H$1036,1))</f>
        <v>0.8</v>
      </c>
      <c r="AC206" s="156">
        <f t="shared" si="20"/>
        <v>9.9999999999999995E-8</v>
      </c>
      <c r="AE206" s="140">
        <f t="shared" si="21"/>
        <v>1.5600000000000003E-5</v>
      </c>
      <c r="AF206">
        <v>1.56</v>
      </c>
      <c r="AG206" s="140">
        <f t="shared" si="22"/>
        <v>1.5599999999999997E-7</v>
      </c>
      <c r="AH206" s="140">
        <f t="shared" si="23"/>
        <v>3.1200000000000004E-7</v>
      </c>
      <c r="AI206" s="140">
        <f t="shared" si="24"/>
        <v>4.6800000000000006E-7</v>
      </c>
      <c r="AJ206" s="140">
        <f t="shared" si="25"/>
        <v>6.2400000000000019E-7</v>
      </c>
      <c r="AK206" s="140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27"/>
        <v>9.9999999999999995E-8</v>
      </c>
      <c r="AO206" s="140">
        <f t="shared" si="28"/>
        <v>1.5600000000000003E-5</v>
      </c>
      <c r="AP206">
        <v>1.56</v>
      </c>
      <c r="AQ206" s="140">
        <f t="shared" si="29"/>
        <v>1.5599999999999997E-7</v>
      </c>
      <c r="AR206" s="140">
        <f t="shared" si="30"/>
        <v>3.1200000000000004E-7</v>
      </c>
      <c r="AS206" s="140">
        <f t="shared" si="31"/>
        <v>4.6800000000000006E-7</v>
      </c>
      <c r="AT206" s="140">
        <f t="shared" si="32"/>
        <v>6.2400000000000019E-7</v>
      </c>
      <c r="AU206" s="140">
        <f t="shared" si="33"/>
        <v>7.8000000000000016E-7</v>
      </c>
      <c r="AV206" s="157">
        <f>IF(AO206&lt;$B$73*DATA!$H$1037,DATA!$H$1037,IF(AO206&gt;DATA!$H$1036*$B$73,DATA!$H$1036,1))</f>
        <v>1.2</v>
      </c>
      <c r="AW206" s="156">
        <f t="shared" si="34"/>
        <v>9.9999999999999995E-8</v>
      </c>
      <c r="AY206" s="140">
        <f t="shared" si="35"/>
        <v>1.5600000000000003E-5</v>
      </c>
      <c r="AZ206">
        <v>1.56</v>
      </c>
      <c r="BA206" s="140">
        <f t="shared" si="36"/>
        <v>1.5599999999999997E-7</v>
      </c>
      <c r="BB206" s="140">
        <f t="shared" si="37"/>
        <v>3.1200000000000004E-7</v>
      </c>
      <c r="BC206" s="140">
        <f t="shared" si="38"/>
        <v>4.6800000000000006E-7</v>
      </c>
      <c r="BD206" s="140">
        <f t="shared" si="39"/>
        <v>6.2400000000000019E-7</v>
      </c>
      <c r="BE206" s="140">
        <f t="shared" si="40"/>
        <v>7.8000000000000016E-7</v>
      </c>
      <c r="BF206" s="157">
        <f>IF(AY206&lt;$B$89*DATA!$H$1037,DATA!$H$1037,IF(AY206&gt;DATA!$H$1036*$B$89,DATA!$H$1036,1))</f>
        <v>1.2</v>
      </c>
      <c r="BG206" s="156">
        <f t="shared" si="41"/>
        <v>9.9999999999999995E-8</v>
      </c>
      <c r="BI206" s="140">
        <f t="shared" si="42"/>
        <v>1.5600000000000003E-5</v>
      </c>
      <c r="BJ206">
        <v>1.56</v>
      </c>
      <c r="BK206" s="140">
        <f t="shared" si="43"/>
        <v>1.5599999999999997E-7</v>
      </c>
      <c r="BL206" s="140">
        <f t="shared" si="44"/>
        <v>3.1200000000000004E-7</v>
      </c>
      <c r="BM206" s="140">
        <f t="shared" si="45"/>
        <v>4.6800000000000006E-7</v>
      </c>
      <c r="BN206" s="140">
        <f t="shared" si="46"/>
        <v>6.2400000000000019E-7</v>
      </c>
      <c r="BO206" s="140">
        <f t="shared" si="47"/>
        <v>7.8000000000000016E-7</v>
      </c>
      <c r="BP206" s="157">
        <f>IF(BI206&lt;$B$105*DATA!$H$1037,DATA!$H$1037,IF(BI206&gt;DATA!$H$1036*$B$105,DATA!$H$1036,1))</f>
        <v>1.2</v>
      </c>
      <c r="BQ206" s="156">
        <f t="shared" si="48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si="49"/>
        <v>1.5799999999999996E-7</v>
      </c>
      <c r="D207" s="140">
        <f t="shared" si="49"/>
        <v>3.1599999999999997E-7</v>
      </c>
      <c r="E207" s="140">
        <f t="shared" si="49"/>
        <v>4.7400000000000004E-7</v>
      </c>
      <c r="F207" s="140">
        <f t="shared" si="49"/>
        <v>6.3200000000000005E-7</v>
      </c>
      <c r="G207" s="140">
        <f t="shared" si="49"/>
        <v>7.9000000000000006E-7</v>
      </c>
      <c r="H207" s="157">
        <f>IF(A207&lt;$B$9*DATA!$H$1037,DATA!$H$1037,IF(A207&gt;DATA!$H$1036*$B$9,DATA!$H$1036,1))</f>
        <v>0.8</v>
      </c>
      <c r="I207" s="156">
        <f t="shared" si="6"/>
        <v>9.9999999999999995E-8</v>
      </c>
      <c r="K207" s="140">
        <f t="shared" si="7"/>
        <v>1.5800000000000001E-5</v>
      </c>
      <c r="L207">
        <v>1.58</v>
      </c>
      <c r="M207" s="140">
        <f t="shared" si="8"/>
        <v>1.5799999999999996E-7</v>
      </c>
      <c r="N207" s="140">
        <f t="shared" si="9"/>
        <v>3.1599999999999997E-7</v>
      </c>
      <c r="O207" s="140">
        <f t="shared" si="10"/>
        <v>4.7400000000000004E-7</v>
      </c>
      <c r="P207" s="140">
        <f t="shared" si="11"/>
        <v>6.3200000000000005E-7</v>
      </c>
      <c r="Q207" s="140">
        <f t="shared" si="12"/>
        <v>7.9000000000000006E-7</v>
      </c>
      <c r="R207" s="157">
        <f>IF(K207&lt;$B$25*DATA!$H$1037,DATA!$H$1037,IF(K207&gt;DATA!$H$1036*$B$25,DATA!$H$1036,1))</f>
        <v>0.8</v>
      </c>
      <c r="S207" s="156">
        <f t="shared" si="13"/>
        <v>9.9999999999999995E-8</v>
      </c>
      <c r="U207" s="140">
        <f t="shared" si="14"/>
        <v>1.5800000000000001E-5</v>
      </c>
      <c r="V207">
        <v>1.58</v>
      </c>
      <c r="W207" s="140">
        <f t="shared" si="15"/>
        <v>1.5799999999999996E-7</v>
      </c>
      <c r="X207" s="140">
        <f t="shared" si="16"/>
        <v>3.1599999999999997E-7</v>
      </c>
      <c r="Y207" s="140">
        <f t="shared" si="17"/>
        <v>4.7400000000000004E-7</v>
      </c>
      <c r="Z207" s="140">
        <f t="shared" si="18"/>
        <v>6.3200000000000005E-7</v>
      </c>
      <c r="AA207" s="140">
        <f t="shared" si="19"/>
        <v>7.9000000000000006E-7</v>
      </c>
      <c r="AB207" s="157">
        <f>IF(U207&lt;$B$41*DATA!$H$1037,DATA!$H$1037,IF(U207&gt;DATA!$H$1036*$B$41,DATA!$H$1036,1))</f>
        <v>0.8</v>
      </c>
      <c r="AC207" s="156">
        <f t="shared" si="20"/>
        <v>9.9999999999999995E-8</v>
      </c>
      <c r="AE207" s="140">
        <f t="shared" si="21"/>
        <v>1.5800000000000001E-5</v>
      </c>
      <c r="AF207">
        <v>1.58</v>
      </c>
      <c r="AG207" s="140">
        <f t="shared" si="22"/>
        <v>1.5799999999999996E-7</v>
      </c>
      <c r="AH207" s="140">
        <f t="shared" si="23"/>
        <v>3.1599999999999997E-7</v>
      </c>
      <c r="AI207" s="140">
        <f t="shared" si="24"/>
        <v>4.7400000000000004E-7</v>
      </c>
      <c r="AJ207" s="140">
        <f t="shared" si="25"/>
        <v>6.3200000000000005E-7</v>
      </c>
      <c r="AK207" s="140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si="27"/>
        <v>9.9999999999999995E-8</v>
      </c>
      <c r="AO207" s="140">
        <f t="shared" si="28"/>
        <v>1.5800000000000001E-5</v>
      </c>
      <c r="AP207">
        <v>1.58</v>
      </c>
      <c r="AQ207" s="140">
        <f t="shared" si="29"/>
        <v>1.5799999999999996E-7</v>
      </c>
      <c r="AR207" s="140">
        <f t="shared" si="30"/>
        <v>3.1599999999999997E-7</v>
      </c>
      <c r="AS207" s="140">
        <f t="shared" si="31"/>
        <v>4.7400000000000004E-7</v>
      </c>
      <c r="AT207" s="140">
        <f t="shared" si="32"/>
        <v>6.3200000000000005E-7</v>
      </c>
      <c r="AU207" s="140">
        <f t="shared" si="33"/>
        <v>7.9000000000000006E-7</v>
      </c>
      <c r="AV207" s="157">
        <f>IF(AO207&lt;$B$73*DATA!$H$1037,DATA!$H$1037,IF(AO207&gt;DATA!$H$1036*$B$73,DATA!$H$1036,1))</f>
        <v>1.2</v>
      </c>
      <c r="AW207" s="156">
        <f t="shared" si="34"/>
        <v>9.9999999999999995E-8</v>
      </c>
      <c r="AY207" s="140">
        <f t="shared" si="35"/>
        <v>1.5800000000000001E-5</v>
      </c>
      <c r="AZ207">
        <v>1.58</v>
      </c>
      <c r="BA207" s="140">
        <f t="shared" si="36"/>
        <v>1.5799999999999996E-7</v>
      </c>
      <c r="BB207" s="140">
        <f t="shared" si="37"/>
        <v>3.1599999999999997E-7</v>
      </c>
      <c r="BC207" s="140">
        <f t="shared" si="38"/>
        <v>4.7400000000000004E-7</v>
      </c>
      <c r="BD207" s="140">
        <f t="shared" si="39"/>
        <v>6.3200000000000005E-7</v>
      </c>
      <c r="BE207" s="140">
        <f t="shared" si="40"/>
        <v>7.9000000000000006E-7</v>
      </c>
      <c r="BF207" s="157">
        <f>IF(AY207&lt;$B$89*DATA!$H$1037,DATA!$H$1037,IF(AY207&gt;DATA!$H$1036*$B$89,DATA!$H$1036,1))</f>
        <v>1.2</v>
      </c>
      <c r="BG207" s="156">
        <f t="shared" si="41"/>
        <v>9.9999999999999995E-8</v>
      </c>
      <c r="BI207" s="140">
        <f t="shared" si="42"/>
        <v>1.5800000000000001E-5</v>
      </c>
      <c r="BJ207">
        <v>1.58</v>
      </c>
      <c r="BK207" s="140">
        <f t="shared" si="43"/>
        <v>1.5799999999999996E-7</v>
      </c>
      <c r="BL207" s="140">
        <f t="shared" si="44"/>
        <v>3.1599999999999997E-7</v>
      </c>
      <c r="BM207" s="140">
        <f t="shared" si="45"/>
        <v>4.7400000000000004E-7</v>
      </c>
      <c r="BN207" s="140">
        <f t="shared" si="46"/>
        <v>6.3200000000000005E-7</v>
      </c>
      <c r="BO207" s="140">
        <f t="shared" si="47"/>
        <v>7.9000000000000006E-7</v>
      </c>
      <c r="BP207" s="157">
        <f>IF(BI207&lt;$B$105*DATA!$H$1037,DATA!$H$1037,IF(BI207&gt;DATA!$H$1036*$B$105,DATA!$H$1036,1))</f>
        <v>1.2</v>
      </c>
      <c r="BQ207" s="156">
        <f t="shared" si="48"/>
        <v>9.9999999999999995E-8</v>
      </c>
    </row>
    <row r="208" spans="1:69">
      <c r="A208" s="140">
        <f t="shared" ref="A208:A271" si="50">B208*B$136</f>
        <v>1.6000000000000003E-5</v>
      </c>
      <c r="B208">
        <v>1.6</v>
      </c>
      <c r="C208" s="140">
        <f t="shared" ref="C208:G239" si="51">C$142*$A208</f>
        <v>1.5999999999999998E-7</v>
      </c>
      <c r="D208" s="140">
        <f t="shared" si="51"/>
        <v>3.2000000000000001E-7</v>
      </c>
      <c r="E208" s="140">
        <f t="shared" si="51"/>
        <v>4.8000000000000006E-7</v>
      </c>
      <c r="F208" s="140">
        <f t="shared" si="51"/>
        <v>6.4000000000000012E-7</v>
      </c>
      <c r="G208" s="140">
        <f t="shared" si="51"/>
        <v>8.0000000000000018E-7</v>
      </c>
      <c r="H208" s="157">
        <f>IF(A208&lt;$B$9*DATA!$H$1037,DATA!$H$1037,IF(A208&gt;DATA!$H$1036*$B$9,DATA!$H$1036,1))</f>
        <v>0.8</v>
      </c>
      <c r="I208" s="156">
        <f t="shared" ref="I208:I271" si="52">IF(OR(B$134=0,B$133=0),0.0000001,IF(H208=1,B$134,A208*((B$134*B$138)/(H208*B$133)+0.023*LOG10(H208*B$133/A208))/B$138))</f>
        <v>9.9999999999999995E-8</v>
      </c>
      <c r="K208" s="140">
        <f t="shared" ref="K208:K271" si="53">L208*L$136</f>
        <v>1.6000000000000003E-5</v>
      </c>
      <c r="L208">
        <v>1.6</v>
      </c>
      <c r="M208" s="140">
        <f t="shared" ref="M208:M271" si="54">M$142*K208</f>
        <v>1.5999999999999998E-7</v>
      </c>
      <c r="N208" s="140">
        <f t="shared" ref="N208:N271" si="55">N$142*K208</f>
        <v>3.2000000000000001E-7</v>
      </c>
      <c r="O208" s="140">
        <f t="shared" ref="O208:O271" si="56">O$142*K208</f>
        <v>4.8000000000000006E-7</v>
      </c>
      <c r="P208" s="140">
        <f t="shared" ref="P208:P271" si="57">P$142*$K208</f>
        <v>6.4000000000000012E-7</v>
      </c>
      <c r="Q208" s="140">
        <f t="shared" ref="Q208:Q271" si="58">Q$142*K208</f>
        <v>8.0000000000000018E-7</v>
      </c>
      <c r="R208" s="157">
        <f>IF(K208&lt;$B$25*DATA!$H$1037,DATA!$H$1037,IF(K208&gt;DATA!$H$1036*$B$25,DATA!$H$1036,1))</f>
        <v>0.8</v>
      </c>
      <c r="S208" s="156">
        <f t="shared" ref="S208:S271" si="59">IF(OR(L$134=0,L$133=0),0.0000001,IF(R208=1,L$134,K208*((L$134*L$138)/(R208*L$133)+0.023*LOG10(R208*L$133/K208))/L$138))</f>
        <v>9.9999999999999995E-8</v>
      </c>
      <c r="U208" s="140">
        <f t="shared" ref="U208:U271" si="60">V208*V$136</f>
        <v>1.6000000000000003E-5</v>
      </c>
      <c r="V208">
        <v>1.6</v>
      </c>
      <c r="W208" s="140">
        <f t="shared" ref="W208:W271" si="61">W$142*U208</f>
        <v>1.5999999999999998E-7</v>
      </c>
      <c r="X208" s="140">
        <f t="shared" ref="X208:X271" si="62">X$142*U208</f>
        <v>3.2000000000000001E-7</v>
      </c>
      <c r="Y208" s="140">
        <f t="shared" ref="Y208:Y271" si="63">Y$142*U208</f>
        <v>4.8000000000000006E-7</v>
      </c>
      <c r="Z208" s="140">
        <f t="shared" ref="Z208:Z271" si="64">Z$142*U208</f>
        <v>6.4000000000000012E-7</v>
      </c>
      <c r="AA208" s="140">
        <f t="shared" ref="AA208:AA271" si="65">AA$142*U208</f>
        <v>8.0000000000000018E-7</v>
      </c>
      <c r="AB208" s="157">
        <f>IF(U208&lt;$B$41*DATA!$H$1037,DATA!$H$1037,IF(U208&gt;DATA!$H$1036*$B$41,DATA!$H$1036,1))</f>
        <v>0.8</v>
      </c>
      <c r="AC208" s="156">
        <f t="shared" ref="AC208:AC271" si="66">IF(OR(V$134=0,V$133=0),0.0000001,IF(AB208=1,V$134,U208*((V$134*V$138)/(AB208*V$133)+0.023*LOG10(AB208*V$133/U208))/V$138))</f>
        <v>9.9999999999999995E-8</v>
      </c>
      <c r="AE208" s="140">
        <f t="shared" ref="AE208:AE271" si="67">AF208*AF$136</f>
        <v>1.6000000000000003E-5</v>
      </c>
      <c r="AF208">
        <v>1.6</v>
      </c>
      <c r="AG208" s="140">
        <f t="shared" ref="AG208:AG271" si="68">AG$142*AE208</f>
        <v>1.5999999999999998E-7</v>
      </c>
      <c r="AH208" s="140">
        <f t="shared" ref="AH208:AH271" si="69">AH$142*AE208</f>
        <v>3.2000000000000001E-7</v>
      </c>
      <c r="AI208" s="140">
        <f t="shared" ref="AI208:AI271" si="70">AI$142*AE208</f>
        <v>4.8000000000000006E-7</v>
      </c>
      <c r="AJ208" s="140">
        <f t="shared" ref="AJ208:AJ271" si="71">AJ$142*AE208</f>
        <v>6.4000000000000012E-7</v>
      </c>
      <c r="AK208" s="140">
        <f t="shared" ref="AK208:AK271" si="72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ref="AM208:AM271" si="73">IF(OR(AF$134=0,AF$133=0),0.0000001,IF(AL208=1,AF$134,AE208*((AF$134*AF$138)/(AL208*AF$133)+0.023*LOG10(AL208*AF$133/AE208))/AF$138))</f>
        <v>9.9999999999999995E-8</v>
      </c>
      <c r="AO208" s="140">
        <f t="shared" ref="AO208:AO271" si="74">AP208*AP$136</f>
        <v>1.6000000000000003E-5</v>
      </c>
      <c r="AP208">
        <v>1.6</v>
      </c>
      <c r="AQ208" s="140">
        <f t="shared" ref="AQ208:AQ271" si="75">AQ$142*AO208</f>
        <v>1.5999999999999998E-7</v>
      </c>
      <c r="AR208" s="140">
        <f t="shared" ref="AR208:AR271" si="76">AR$142*AO208</f>
        <v>3.2000000000000001E-7</v>
      </c>
      <c r="AS208" s="140">
        <f t="shared" ref="AS208:AS271" si="77">AS$142*AO208</f>
        <v>4.8000000000000006E-7</v>
      </c>
      <c r="AT208" s="140">
        <f t="shared" ref="AT208:AT271" si="78">AT$142*AO208</f>
        <v>6.4000000000000012E-7</v>
      </c>
      <c r="AU208" s="140">
        <f t="shared" ref="AU208:AU271" si="79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0">IF(OR(AP$134=0,AP$133=0),0.0000001,IF(AV208=1,AP$134,AO208*((AP$134*AP$138)/(AV208*AP$133)+0.023*LOG10(AV208*AP$133/AO208))/AP$138))</f>
        <v>9.9999999999999995E-8</v>
      </c>
      <c r="AY208" s="140">
        <f t="shared" ref="AY208:AY271" si="81">AZ208*AZ$136</f>
        <v>1.6000000000000003E-5</v>
      </c>
      <c r="AZ208">
        <v>1.6</v>
      </c>
      <c r="BA208" s="140">
        <f t="shared" ref="BA208:BA271" si="82">BA$142*AY208</f>
        <v>1.5999999999999998E-7</v>
      </c>
      <c r="BB208" s="140">
        <f t="shared" ref="BB208:BB271" si="83">BB$142*AY208</f>
        <v>3.2000000000000001E-7</v>
      </c>
      <c r="BC208" s="140">
        <f t="shared" ref="BC208:BC271" si="84">BC$142*AY208</f>
        <v>4.8000000000000006E-7</v>
      </c>
      <c r="BD208" s="140">
        <f t="shared" ref="BD208:BD271" si="85">BD$142*AY208</f>
        <v>6.4000000000000012E-7</v>
      </c>
      <c r="BE208" s="140">
        <f t="shared" ref="BE208:BE271" si="86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87">IF(OR(AZ$134=0,AZ$133=0),0.0000001,IF(BF208=1,AZ$134,AY208*((AZ$134*AZ$138)/(BF208*AZ$133)+0.023*LOG10(BF208*AZ$133/AY208))/AZ$138))</f>
        <v>9.9999999999999995E-8</v>
      </c>
      <c r="BI208" s="140">
        <f t="shared" ref="BI208:BI271" si="88">BJ208*BJ$136</f>
        <v>1.6000000000000003E-5</v>
      </c>
      <c r="BJ208">
        <v>1.6</v>
      </c>
      <c r="BK208" s="140">
        <f t="shared" ref="BK208:BK271" si="89">BK$142*BI208</f>
        <v>1.5999999999999998E-7</v>
      </c>
      <c r="BL208" s="140">
        <f t="shared" ref="BL208:BL271" si="90">BL$142*BI208</f>
        <v>3.2000000000000001E-7</v>
      </c>
      <c r="BM208" s="140">
        <f t="shared" ref="BM208:BM271" si="91">BM$142*BI208</f>
        <v>4.8000000000000006E-7</v>
      </c>
      <c r="BN208" s="140">
        <f t="shared" ref="BN208:BN271" si="92">BN$142*$BI208</f>
        <v>6.4000000000000012E-7</v>
      </c>
      <c r="BO208" s="140">
        <f t="shared" ref="BO208:BO271" si="93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4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0"/>
        <v>1.6200000000000001E-5</v>
      </c>
      <c r="B209">
        <v>1.62</v>
      </c>
      <c r="C209" s="140">
        <f t="shared" si="51"/>
        <v>1.6199999999999994E-7</v>
      </c>
      <c r="D209" s="140">
        <f t="shared" si="51"/>
        <v>3.2399999999999999E-7</v>
      </c>
      <c r="E209" s="140">
        <f t="shared" si="51"/>
        <v>4.8599999999999998E-7</v>
      </c>
      <c r="F209" s="140">
        <f t="shared" si="51"/>
        <v>6.4800000000000009E-7</v>
      </c>
      <c r="G209" s="140">
        <f t="shared" si="51"/>
        <v>8.1000000000000008E-7</v>
      </c>
      <c r="H209" s="157">
        <f>IF(A209&lt;$B$9*DATA!$H$1037,DATA!$H$1037,IF(A209&gt;DATA!$H$1036*$B$9,DATA!$H$1036,1))</f>
        <v>0.8</v>
      </c>
      <c r="I209" s="156">
        <f t="shared" si="52"/>
        <v>9.9999999999999995E-8</v>
      </c>
      <c r="K209" s="140">
        <f t="shared" si="53"/>
        <v>1.6200000000000001E-5</v>
      </c>
      <c r="L209">
        <v>1.62</v>
      </c>
      <c r="M209" s="140">
        <f t="shared" si="54"/>
        <v>1.6199999999999994E-7</v>
      </c>
      <c r="N209" s="140">
        <f t="shared" si="55"/>
        <v>3.2399999999999999E-7</v>
      </c>
      <c r="O209" s="140">
        <f t="shared" si="56"/>
        <v>4.8599999999999998E-7</v>
      </c>
      <c r="P209" s="140">
        <f t="shared" si="57"/>
        <v>6.4800000000000009E-7</v>
      </c>
      <c r="Q209" s="140">
        <f t="shared" si="58"/>
        <v>8.1000000000000008E-7</v>
      </c>
      <c r="R209" s="157">
        <f>IF(K209&lt;$B$25*DATA!$H$1037,DATA!$H$1037,IF(K209&gt;DATA!$H$1036*$B$25,DATA!$H$1036,1))</f>
        <v>0.8</v>
      </c>
      <c r="S209" s="156">
        <f t="shared" si="59"/>
        <v>9.9999999999999995E-8</v>
      </c>
      <c r="U209" s="140">
        <f t="shared" si="60"/>
        <v>1.6200000000000001E-5</v>
      </c>
      <c r="V209">
        <v>1.62</v>
      </c>
      <c r="W209" s="140">
        <f t="shared" si="61"/>
        <v>1.6199999999999994E-7</v>
      </c>
      <c r="X209" s="140">
        <f t="shared" si="62"/>
        <v>3.2399999999999999E-7</v>
      </c>
      <c r="Y209" s="140">
        <f t="shared" si="63"/>
        <v>4.8599999999999998E-7</v>
      </c>
      <c r="Z209" s="140">
        <f t="shared" si="64"/>
        <v>6.4800000000000009E-7</v>
      </c>
      <c r="AA209" s="140">
        <f t="shared" si="65"/>
        <v>8.1000000000000008E-7</v>
      </c>
      <c r="AB209" s="157">
        <f>IF(U209&lt;$B$41*DATA!$H$1037,DATA!$H$1037,IF(U209&gt;DATA!$H$1036*$B$41,DATA!$H$1036,1))</f>
        <v>0.8</v>
      </c>
      <c r="AC209" s="156">
        <f t="shared" si="66"/>
        <v>9.9999999999999995E-8</v>
      </c>
      <c r="AE209" s="140">
        <f t="shared" si="67"/>
        <v>1.6200000000000001E-5</v>
      </c>
      <c r="AF209">
        <v>1.62</v>
      </c>
      <c r="AG209" s="140">
        <f t="shared" si="68"/>
        <v>1.6199999999999994E-7</v>
      </c>
      <c r="AH209" s="140">
        <f t="shared" si="69"/>
        <v>3.2399999999999999E-7</v>
      </c>
      <c r="AI209" s="140">
        <f t="shared" si="70"/>
        <v>4.8599999999999998E-7</v>
      </c>
      <c r="AJ209" s="140">
        <f t="shared" si="71"/>
        <v>6.4800000000000009E-7</v>
      </c>
      <c r="AK209" s="140">
        <f t="shared" si="72"/>
        <v>8.1000000000000008E-7</v>
      </c>
      <c r="AL209" s="157">
        <f>IF(AE209&lt;$B$57*DATA!$H$1037,DATA!$H$1037,IF(AE209&gt;DATA!$H$1036*$B$57,DATA!$H$1036,1))</f>
        <v>1.2</v>
      </c>
      <c r="AM209" s="156">
        <f t="shared" si="73"/>
        <v>9.9999999999999995E-8</v>
      </c>
      <c r="AO209" s="140">
        <f t="shared" si="74"/>
        <v>1.6200000000000001E-5</v>
      </c>
      <c r="AP209">
        <v>1.62</v>
      </c>
      <c r="AQ209" s="140">
        <f t="shared" si="75"/>
        <v>1.6199999999999994E-7</v>
      </c>
      <c r="AR209" s="140">
        <f t="shared" si="76"/>
        <v>3.2399999999999999E-7</v>
      </c>
      <c r="AS209" s="140">
        <f t="shared" si="77"/>
        <v>4.8599999999999998E-7</v>
      </c>
      <c r="AT209" s="140">
        <f t="shared" si="78"/>
        <v>6.4800000000000009E-7</v>
      </c>
      <c r="AU209" s="140">
        <f t="shared" si="79"/>
        <v>8.1000000000000008E-7</v>
      </c>
      <c r="AV209" s="157">
        <f>IF(AO209&lt;$B$73*DATA!$H$1037,DATA!$H$1037,IF(AO209&gt;DATA!$H$1036*$B$73,DATA!$H$1036,1))</f>
        <v>1.2</v>
      </c>
      <c r="AW209" s="156">
        <f t="shared" si="80"/>
        <v>9.9999999999999995E-8</v>
      </c>
      <c r="AY209" s="140">
        <f t="shared" si="81"/>
        <v>1.6200000000000001E-5</v>
      </c>
      <c r="AZ209">
        <v>1.62</v>
      </c>
      <c r="BA209" s="140">
        <f t="shared" si="82"/>
        <v>1.6199999999999994E-7</v>
      </c>
      <c r="BB209" s="140">
        <f t="shared" si="83"/>
        <v>3.2399999999999999E-7</v>
      </c>
      <c r="BC209" s="140">
        <f t="shared" si="84"/>
        <v>4.8599999999999998E-7</v>
      </c>
      <c r="BD209" s="140">
        <f t="shared" si="85"/>
        <v>6.4800000000000009E-7</v>
      </c>
      <c r="BE209" s="140">
        <f t="shared" si="86"/>
        <v>8.1000000000000008E-7</v>
      </c>
      <c r="BF209" s="157">
        <f>IF(AY209&lt;$B$89*DATA!$H$1037,DATA!$H$1037,IF(AY209&gt;DATA!$H$1036*$B$89,DATA!$H$1036,1))</f>
        <v>1.2</v>
      </c>
      <c r="BG209" s="156">
        <f t="shared" si="87"/>
        <v>9.9999999999999995E-8</v>
      </c>
      <c r="BI209" s="140">
        <f t="shared" si="88"/>
        <v>1.6200000000000001E-5</v>
      </c>
      <c r="BJ209">
        <v>1.62</v>
      </c>
      <c r="BK209" s="140">
        <f t="shared" si="89"/>
        <v>1.6199999999999994E-7</v>
      </c>
      <c r="BL209" s="140">
        <f t="shared" si="90"/>
        <v>3.2399999999999999E-7</v>
      </c>
      <c r="BM209" s="140">
        <f t="shared" si="91"/>
        <v>4.8599999999999998E-7</v>
      </c>
      <c r="BN209" s="140">
        <f t="shared" si="92"/>
        <v>6.4800000000000009E-7</v>
      </c>
      <c r="BO209" s="140">
        <f t="shared" si="93"/>
        <v>8.1000000000000008E-7</v>
      </c>
      <c r="BP209" s="157">
        <f>IF(BI209&lt;$B$105*DATA!$H$1037,DATA!$H$1037,IF(BI209&gt;DATA!$H$1036*$B$105,DATA!$H$1036,1))</f>
        <v>1.2</v>
      </c>
      <c r="BQ209" s="156">
        <f t="shared" si="94"/>
        <v>9.9999999999999995E-8</v>
      </c>
    </row>
    <row r="210" spans="1:69">
      <c r="A210" s="140">
        <f t="shared" si="50"/>
        <v>1.6399999999999999E-5</v>
      </c>
      <c r="B210">
        <v>1.64</v>
      </c>
      <c r="C210" s="140">
        <f t="shared" si="51"/>
        <v>1.6399999999999993E-7</v>
      </c>
      <c r="D210" s="140">
        <f t="shared" si="51"/>
        <v>3.2799999999999992E-7</v>
      </c>
      <c r="E210" s="140">
        <f t="shared" si="51"/>
        <v>4.9199999999999991E-7</v>
      </c>
      <c r="F210" s="140">
        <f t="shared" si="51"/>
        <v>6.5599999999999994E-7</v>
      </c>
      <c r="G210" s="140">
        <f t="shared" si="51"/>
        <v>8.1999999999999998E-7</v>
      </c>
      <c r="H210" s="157">
        <f>IF(A210&lt;$B$9*DATA!$H$1037,DATA!$H$1037,IF(A210&gt;DATA!$H$1036*$B$9,DATA!$H$1036,1))</f>
        <v>0.8</v>
      </c>
      <c r="I210" s="156">
        <f t="shared" si="52"/>
        <v>9.9999999999999995E-8</v>
      </c>
      <c r="K210" s="140">
        <f t="shared" si="53"/>
        <v>1.6399999999999999E-5</v>
      </c>
      <c r="L210">
        <v>1.64</v>
      </c>
      <c r="M210" s="140">
        <f t="shared" si="54"/>
        <v>1.6399999999999993E-7</v>
      </c>
      <c r="N210" s="140">
        <f t="shared" si="55"/>
        <v>3.2799999999999992E-7</v>
      </c>
      <c r="O210" s="140">
        <f t="shared" si="56"/>
        <v>4.9199999999999991E-7</v>
      </c>
      <c r="P210" s="140">
        <f t="shared" si="57"/>
        <v>6.5599999999999994E-7</v>
      </c>
      <c r="Q210" s="140">
        <f t="shared" si="58"/>
        <v>8.1999999999999998E-7</v>
      </c>
      <c r="R210" s="157">
        <f>IF(K210&lt;$B$25*DATA!$H$1037,DATA!$H$1037,IF(K210&gt;DATA!$H$1036*$B$25,DATA!$H$1036,1))</f>
        <v>0.8</v>
      </c>
      <c r="S210" s="156">
        <f t="shared" si="59"/>
        <v>9.9999999999999995E-8</v>
      </c>
      <c r="U210" s="140">
        <f t="shared" si="60"/>
        <v>1.6399999999999999E-5</v>
      </c>
      <c r="V210">
        <v>1.64</v>
      </c>
      <c r="W210" s="140">
        <f t="shared" si="61"/>
        <v>1.6399999999999993E-7</v>
      </c>
      <c r="X210" s="140">
        <f t="shared" si="62"/>
        <v>3.2799999999999992E-7</v>
      </c>
      <c r="Y210" s="140">
        <f t="shared" si="63"/>
        <v>4.9199999999999991E-7</v>
      </c>
      <c r="Z210" s="140">
        <f t="shared" si="64"/>
        <v>6.5599999999999994E-7</v>
      </c>
      <c r="AA210" s="140">
        <f t="shared" si="65"/>
        <v>8.1999999999999998E-7</v>
      </c>
      <c r="AB210" s="157">
        <f>IF(U210&lt;$B$41*DATA!$H$1037,DATA!$H$1037,IF(U210&gt;DATA!$H$1036*$B$41,DATA!$H$1036,1))</f>
        <v>0.8</v>
      </c>
      <c r="AC210" s="156">
        <f t="shared" si="66"/>
        <v>9.9999999999999995E-8</v>
      </c>
      <c r="AE210" s="140">
        <f t="shared" si="67"/>
        <v>1.6399999999999999E-5</v>
      </c>
      <c r="AF210">
        <v>1.64</v>
      </c>
      <c r="AG210" s="140">
        <f t="shared" si="68"/>
        <v>1.6399999999999993E-7</v>
      </c>
      <c r="AH210" s="140">
        <f t="shared" si="69"/>
        <v>3.2799999999999992E-7</v>
      </c>
      <c r="AI210" s="140">
        <f t="shared" si="70"/>
        <v>4.9199999999999991E-7</v>
      </c>
      <c r="AJ210" s="140">
        <f t="shared" si="71"/>
        <v>6.5599999999999994E-7</v>
      </c>
      <c r="AK210" s="140">
        <f t="shared" si="72"/>
        <v>8.1999999999999998E-7</v>
      </c>
      <c r="AL210" s="157">
        <f>IF(AE210&lt;$B$57*DATA!$H$1037,DATA!$H$1037,IF(AE210&gt;DATA!$H$1036*$B$57,DATA!$H$1036,1))</f>
        <v>1.2</v>
      </c>
      <c r="AM210" s="156">
        <f t="shared" si="73"/>
        <v>9.9999999999999995E-8</v>
      </c>
      <c r="AO210" s="140">
        <f t="shared" si="74"/>
        <v>1.6399999999999999E-5</v>
      </c>
      <c r="AP210">
        <v>1.64</v>
      </c>
      <c r="AQ210" s="140">
        <f t="shared" si="75"/>
        <v>1.6399999999999993E-7</v>
      </c>
      <c r="AR210" s="140">
        <f t="shared" si="76"/>
        <v>3.2799999999999992E-7</v>
      </c>
      <c r="AS210" s="140">
        <f t="shared" si="77"/>
        <v>4.9199999999999991E-7</v>
      </c>
      <c r="AT210" s="140">
        <f t="shared" si="78"/>
        <v>6.5599999999999994E-7</v>
      </c>
      <c r="AU210" s="140">
        <f t="shared" si="79"/>
        <v>8.1999999999999998E-7</v>
      </c>
      <c r="AV210" s="157">
        <f>IF(AO210&lt;$B$73*DATA!$H$1037,DATA!$H$1037,IF(AO210&gt;DATA!$H$1036*$B$73,DATA!$H$1036,1))</f>
        <v>1.2</v>
      </c>
      <c r="AW210" s="156">
        <f t="shared" si="80"/>
        <v>9.9999999999999995E-8</v>
      </c>
      <c r="AY210" s="140">
        <f t="shared" si="81"/>
        <v>1.6399999999999999E-5</v>
      </c>
      <c r="AZ210">
        <v>1.64</v>
      </c>
      <c r="BA210" s="140">
        <f t="shared" si="82"/>
        <v>1.6399999999999993E-7</v>
      </c>
      <c r="BB210" s="140">
        <f t="shared" si="83"/>
        <v>3.2799999999999992E-7</v>
      </c>
      <c r="BC210" s="140">
        <f t="shared" si="84"/>
        <v>4.9199999999999991E-7</v>
      </c>
      <c r="BD210" s="140">
        <f t="shared" si="85"/>
        <v>6.5599999999999994E-7</v>
      </c>
      <c r="BE210" s="140">
        <f t="shared" si="86"/>
        <v>8.1999999999999998E-7</v>
      </c>
      <c r="BF210" s="157">
        <f>IF(AY210&lt;$B$89*DATA!$H$1037,DATA!$H$1037,IF(AY210&gt;DATA!$H$1036*$B$89,DATA!$H$1036,1))</f>
        <v>1.2</v>
      </c>
      <c r="BG210" s="156">
        <f t="shared" si="87"/>
        <v>9.9999999999999995E-8</v>
      </c>
      <c r="BI210" s="140">
        <f t="shared" si="88"/>
        <v>1.6399999999999999E-5</v>
      </c>
      <c r="BJ210">
        <v>1.64</v>
      </c>
      <c r="BK210" s="140">
        <f t="shared" si="89"/>
        <v>1.6399999999999993E-7</v>
      </c>
      <c r="BL210" s="140">
        <f t="shared" si="90"/>
        <v>3.2799999999999992E-7</v>
      </c>
      <c r="BM210" s="140">
        <f t="shared" si="91"/>
        <v>4.9199999999999991E-7</v>
      </c>
      <c r="BN210" s="140">
        <f t="shared" si="92"/>
        <v>6.5599999999999994E-7</v>
      </c>
      <c r="BO210" s="140">
        <f t="shared" si="93"/>
        <v>8.1999999999999998E-7</v>
      </c>
      <c r="BP210" s="157">
        <f>IF(BI210&lt;$B$105*DATA!$H$1037,DATA!$H$1037,IF(BI210&gt;DATA!$H$1036*$B$105,DATA!$H$1036,1))</f>
        <v>1.2</v>
      </c>
      <c r="BQ210" s="156">
        <f t="shared" si="94"/>
        <v>9.9999999999999995E-8</v>
      </c>
    </row>
    <row r="211" spans="1:69">
      <c r="A211" s="140">
        <f t="shared" si="50"/>
        <v>1.66E-5</v>
      </c>
      <c r="B211">
        <v>1.66</v>
      </c>
      <c r="C211" s="140">
        <f t="shared" si="51"/>
        <v>1.6599999999999995E-7</v>
      </c>
      <c r="D211" s="140">
        <f t="shared" si="51"/>
        <v>3.3199999999999996E-7</v>
      </c>
      <c r="E211" s="140">
        <f t="shared" si="51"/>
        <v>4.9800000000000004E-7</v>
      </c>
      <c r="F211" s="140">
        <f t="shared" si="51"/>
        <v>6.6400000000000002E-7</v>
      </c>
      <c r="G211" s="140">
        <f t="shared" si="51"/>
        <v>8.300000000000001E-7</v>
      </c>
      <c r="H211" s="157">
        <f>IF(A211&lt;$B$9*DATA!$H$1037,DATA!$H$1037,IF(A211&gt;DATA!$H$1036*$B$9,DATA!$H$1036,1))</f>
        <v>0.8</v>
      </c>
      <c r="I211" s="156">
        <f t="shared" si="52"/>
        <v>9.9999999999999995E-8</v>
      </c>
      <c r="K211" s="140">
        <f t="shared" si="53"/>
        <v>1.66E-5</v>
      </c>
      <c r="L211">
        <v>1.66</v>
      </c>
      <c r="M211" s="140">
        <f t="shared" si="54"/>
        <v>1.6599999999999995E-7</v>
      </c>
      <c r="N211" s="140">
        <f t="shared" si="55"/>
        <v>3.3199999999999996E-7</v>
      </c>
      <c r="O211" s="140">
        <f t="shared" si="56"/>
        <v>4.9800000000000004E-7</v>
      </c>
      <c r="P211" s="140">
        <f t="shared" si="57"/>
        <v>6.6400000000000002E-7</v>
      </c>
      <c r="Q211" s="140">
        <f t="shared" si="58"/>
        <v>8.300000000000001E-7</v>
      </c>
      <c r="R211" s="157">
        <f>IF(K211&lt;$B$25*DATA!$H$1037,DATA!$H$1037,IF(K211&gt;DATA!$H$1036*$B$25,DATA!$H$1036,1))</f>
        <v>0.8</v>
      </c>
      <c r="S211" s="156">
        <f t="shared" si="59"/>
        <v>9.9999999999999995E-8</v>
      </c>
      <c r="U211" s="140">
        <f t="shared" si="60"/>
        <v>1.66E-5</v>
      </c>
      <c r="V211">
        <v>1.66</v>
      </c>
      <c r="W211" s="140">
        <f t="shared" si="61"/>
        <v>1.6599999999999995E-7</v>
      </c>
      <c r="X211" s="140">
        <f t="shared" si="62"/>
        <v>3.3199999999999996E-7</v>
      </c>
      <c r="Y211" s="140">
        <f t="shared" si="63"/>
        <v>4.9800000000000004E-7</v>
      </c>
      <c r="Z211" s="140">
        <f t="shared" si="64"/>
        <v>6.6400000000000002E-7</v>
      </c>
      <c r="AA211" s="140">
        <f t="shared" si="65"/>
        <v>8.300000000000001E-7</v>
      </c>
      <c r="AB211" s="157">
        <f>IF(U211&lt;$B$41*DATA!$H$1037,DATA!$H$1037,IF(U211&gt;DATA!$H$1036*$B$41,DATA!$H$1036,1))</f>
        <v>0.8</v>
      </c>
      <c r="AC211" s="156">
        <f t="shared" si="66"/>
        <v>9.9999999999999995E-8</v>
      </c>
      <c r="AE211" s="140">
        <f t="shared" si="67"/>
        <v>1.66E-5</v>
      </c>
      <c r="AF211">
        <v>1.66</v>
      </c>
      <c r="AG211" s="140">
        <f t="shared" si="68"/>
        <v>1.6599999999999995E-7</v>
      </c>
      <c r="AH211" s="140">
        <f t="shared" si="69"/>
        <v>3.3199999999999996E-7</v>
      </c>
      <c r="AI211" s="140">
        <f t="shared" si="70"/>
        <v>4.9800000000000004E-7</v>
      </c>
      <c r="AJ211" s="140">
        <f t="shared" si="71"/>
        <v>6.6400000000000002E-7</v>
      </c>
      <c r="AK211" s="140">
        <f t="shared" si="72"/>
        <v>8.300000000000001E-7</v>
      </c>
      <c r="AL211" s="157">
        <f>IF(AE211&lt;$B$57*DATA!$H$1037,DATA!$H$1037,IF(AE211&gt;DATA!$H$1036*$B$57,DATA!$H$1036,1))</f>
        <v>1.2</v>
      </c>
      <c r="AM211" s="156">
        <f t="shared" si="73"/>
        <v>9.9999999999999995E-8</v>
      </c>
      <c r="AO211" s="140">
        <f t="shared" si="74"/>
        <v>1.66E-5</v>
      </c>
      <c r="AP211">
        <v>1.66</v>
      </c>
      <c r="AQ211" s="140">
        <f t="shared" si="75"/>
        <v>1.6599999999999995E-7</v>
      </c>
      <c r="AR211" s="140">
        <f t="shared" si="76"/>
        <v>3.3199999999999996E-7</v>
      </c>
      <c r="AS211" s="140">
        <f t="shared" si="77"/>
        <v>4.9800000000000004E-7</v>
      </c>
      <c r="AT211" s="140">
        <f t="shared" si="78"/>
        <v>6.6400000000000002E-7</v>
      </c>
      <c r="AU211" s="140">
        <f t="shared" si="79"/>
        <v>8.300000000000001E-7</v>
      </c>
      <c r="AV211" s="157">
        <f>IF(AO211&lt;$B$73*DATA!$H$1037,DATA!$H$1037,IF(AO211&gt;DATA!$H$1036*$B$73,DATA!$H$1036,1))</f>
        <v>1.2</v>
      </c>
      <c r="AW211" s="156">
        <f t="shared" si="80"/>
        <v>9.9999999999999995E-8</v>
      </c>
      <c r="AY211" s="140">
        <f t="shared" si="81"/>
        <v>1.66E-5</v>
      </c>
      <c r="AZ211">
        <v>1.66</v>
      </c>
      <c r="BA211" s="140">
        <f t="shared" si="82"/>
        <v>1.6599999999999995E-7</v>
      </c>
      <c r="BB211" s="140">
        <f t="shared" si="83"/>
        <v>3.3199999999999996E-7</v>
      </c>
      <c r="BC211" s="140">
        <f t="shared" si="84"/>
        <v>4.9800000000000004E-7</v>
      </c>
      <c r="BD211" s="140">
        <f t="shared" si="85"/>
        <v>6.6400000000000002E-7</v>
      </c>
      <c r="BE211" s="140">
        <f t="shared" si="86"/>
        <v>8.300000000000001E-7</v>
      </c>
      <c r="BF211" s="157">
        <f>IF(AY211&lt;$B$89*DATA!$H$1037,DATA!$H$1037,IF(AY211&gt;DATA!$H$1036*$B$89,DATA!$H$1036,1))</f>
        <v>1.2</v>
      </c>
      <c r="BG211" s="156">
        <f t="shared" si="87"/>
        <v>9.9999999999999995E-8</v>
      </c>
      <c r="BI211" s="140">
        <f t="shared" si="88"/>
        <v>1.66E-5</v>
      </c>
      <c r="BJ211">
        <v>1.66</v>
      </c>
      <c r="BK211" s="140">
        <f t="shared" si="89"/>
        <v>1.6599999999999995E-7</v>
      </c>
      <c r="BL211" s="140">
        <f t="shared" si="90"/>
        <v>3.3199999999999996E-7</v>
      </c>
      <c r="BM211" s="140">
        <f t="shared" si="91"/>
        <v>4.9800000000000004E-7</v>
      </c>
      <c r="BN211" s="140">
        <f t="shared" si="92"/>
        <v>6.6400000000000002E-7</v>
      </c>
      <c r="BO211" s="140">
        <f t="shared" si="93"/>
        <v>8.300000000000001E-7</v>
      </c>
      <c r="BP211" s="157">
        <f>IF(BI211&lt;$B$105*DATA!$H$1037,DATA!$H$1037,IF(BI211&gt;DATA!$H$1036*$B$105,DATA!$H$1036,1))</f>
        <v>1.2</v>
      </c>
      <c r="BQ211" s="156">
        <f t="shared" si="94"/>
        <v>9.9999999999999995E-8</v>
      </c>
    </row>
    <row r="212" spans="1:69">
      <c r="A212" s="140">
        <f t="shared" si="50"/>
        <v>1.6800000000000002E-5</v>
      </c>
      <c r="B212">
        <v>1.68</v>
      </c>
      <c r="C212" s="140">
        <f t="shared" si="51"/>
        <v>1.6799999999999997E-7</v>
      </c>
      <c r="D212" s="140">
        <f t="shared" si="51"/>
        <v>3.3599999999999999E-7</v>
      </c>
      <c r="E212" s="140">
        <f t="shared" si="51"/>
        <v>5.0400000000000007E-7</v>
      </c>
      <c r="F212" s="140">
        <f t="shared" si="51"/>
        <v>6.7200000000000009E-7</v>
      </c>
      <c r="G212" s="140">
        <f t="shared" si="51"/>
        <v>8.4000000000000011E-7</v>
      </c>
      <c r="H212" s="157">
        <f>IF(A212&lt;$B$9*DATA!$H$1037,DATA!$H$1037,IF(A212&gt;DATA!$H$1036*$B$9,DATA!$H$1036,1))</f>
        <v>0.8</v>
      </c>
      <c r="I212" s="156">
        <f t="shared" si="52"/>
        <v>9.9999999999999995E-8</v>
      </c>
      <c r="K212" s="140">
        <f t="shared" si="53"/>
        <v>1.6800000000000002E-5</v>
      </c>
      <c r="L212">
        <v>1.68</v>
      </c>
      <c r="M212" s="140">
        <f t="shared" si="54"/>
        <v>1.6799999999999997E-7</v>
      </c>
      <c r="N212" s="140">
        <f t="shared" si="55"/>
        <v>3.3599999999999999E-7</v>
      </c>
      <c r="O212" s="140">
        <f t="shared" si="56"/>
        <v>5.0400000000000007E-7</v>
      </c>
      <c r="P212" s="140">
        <f t="shared" si="57"/>
        <v>6.7200000000000009E-7</v>
      </c>
      <c r="Q212" s="140">
        <f t="shared" si="58"/>
        <v>8.4000000000000011E-7</v>
      </c>
      <c r="R212" s="157">
        <f>IF(K212&lt;$B$25*DATA!$H$1037,DATA!$H$1037,IF(K212&gt;DATA!$H$1036*$B$25,DATA!$H$1036,1))</f>
        <v>0.8</v>
      </c>
      <c r="S212" s="156">
        <f t="shared" si="59"/>
        <v>9.9999999999999995E-8</v>
      </c>
      <c r="U212" s="140">
        <f t="shared" si="60"/>
        <v>1.6800000000000002E-5</v>
      </c>
      <c r="V212">
        <v>1.68</v>
      </c>
      <c r="W212" s="140">
        <f t="shared" si="61"/>
        <v>1.6799999999999997E-7</v>
      </c>
      <c r="X212" s="140">
        <f t="shared" si="62"/>
        <v>3.3599999999999999E-7</v>
      </c>
      <c r="Y212" s="140">
        <f t="shared" si="63"/>
        <v>5.0400000000000007E-7</v>
      </c>
      <c r="Z212" s="140">
        <f t="shared" si="64"/>
        <v>6.7200000000000009E-7</v>
      </c>
      <c r="AA212" s="140">
        <f t="shared" si="65"/>
        <v>8.4000000000000011E-7</v>
      </c>
      <c r="AB212" s="157">
        <f>IF(U212&lt;$B$41*DATA!$H$1037,DATA!$H$1037,IF(U212&gt;DATA!$H$1036*$B$41,DATA!$H$1036,1))</f>
        <v>0.8</v>
      </c>
      <c r="AC212" s="156">
        <f t="shared" si="66"/>
        <v>9.9999999999999995E-8</v>
      </c>
      <c r="AE212" s="140">
        <f t="shared" si="67"/>
        <v>1.6800000000000002E-5</v>
      </c>
      <c r="AF212">
        <v>1.68</v>
      </c>
      <c r="AG212" s="140">
        <f t="shared" si="68"/>
        <v>1.6799999999999997E-7</v>
      </c>
      <c r="AH212" s="140">
        <f t="shared" si="69"/>
        <v>3.3599999999999999E-7</v>
      </c>
      <c r="AI212" s="140">
        <f t="shared" si="70"/>
        <v>5.0400000000000007E-7</v>
      </c>
      <c r="AJ212" s="140">
        <f t="shared" si="71"/>
        <v>6.7200000000000009E-7</v>
      </c>
      <c r="AK212" s="140">
        <f t="shared" si="72"/>
        <v>8.4000000000000011E-7</v>
      </c>
      <c r="AL212" s="157">
        <f>IF(AE212&lt;$B$57*DATA!$H$1037,DATA!$H$1037,IF(AE212&gt;DATA!$H$1036*$B$57,DATA!$H$1036,1))</f>
        <v>1.2</v>
      </c>
      <c r="AM212" s="156">
        <f t="shared" si="73"/>
        <v>9.9999999999999995E-8</v>
      </c>
      <c r="AO212" s="140">
        <f t="shared" si="74"/>
        <v>1.6800000000000002E-5</v>
      </c>
      <c r="AP212">
        <v>1.68</v>
      </c>
      <c r="AQ212" s="140">
        <f t="shared" si="75"/>
        <v>1.6799999999999997E-7</v>
      </c>
      <c r="AR212" s="140">
        <f t="shared" si="76"/>
        <v>3.3599999999999999E-7</v>
      </c>
      <c r="AS212" s="140">
        <f t="shared" si="77"/>
        <v>5.0400000000000007E-7</v>
      </c>
      <c r="AT212" s="140">
        <f t="shared" si="78"/>
        <v>6.7200000000000009E-7</v>
      </c>
      <c r="AU212" s="140">
        <f t="shared" si="79"/>
        <v>8.4000000000000011E-7</v>
      </c>
      <c r="AV212" s="157">
        <f>IF(AO212&lt;$B$73*DATA!$H$1037,DATA!$H$1037,IF(AO212&gt;DATA!$H$1036*$B$73,DATA!$H$1036,1))</f>
        <v>1.2</v>
      </c>
      <c r="AW212" s="156">
        <f t="shared" si="80"/>
        <v>9.9999999999999995E-8</v>
      </c>
      <c r="AY212" s="140">
        <f t="shared" si="81"/>
        <v>1.6800000000000002E-5</v>
      </c>
      <c r="AZ212">
        <v>1.68</v>
      </c>
      <c r="BA212" s="140">
        <f t="shared" si="82"/>
        <v>1.6799999999999997E-7</v>
      </c>
      <c r="BB212" s="140">
        <f t="shared" si="83"/>
        <v>3.3599999999999999E-7</v>
      </c>
      <c r="BC212" s="140">
        <f t="shared" si="84"/>
        <v>5.0400000000000007E-7</v>
      </c>
      <c r="BD212" s="140">
        <f t="shared" si="85"/>
        <v>6.7200000000000009E-7</v>
      </c>
      <c r="BE212" s="140">
        <f t="shared" si="86"/>
        <v>8.4000000000000011E-7</v>
      </c>
      <c r="BF212" s="157">
        <f>IF(AY212&lt;$B$89*DATA!$H$1037,DATA!$H$1037,IF(AY212&gt;DATA!$H$1036*$B$89,DATA!$H$1036,1))</f>
        <v>1.2</v>
      </c>
      <c r="BG212" s="156">
        <f t="shared" si="87"/>
        <v>9.9999999999999995E-8</v>
      </c>
      <c r="BI212" s="140">
        <f t="shared" si="88"/>
        <v>1.6800000000000002E-5</v>
      </c>
      <c r="BJ212">
        <v>1.68</v>
      </c>
      <c r="BK212" s="140">
        <f t="shared" si="89"/>
        <v>1.6799999999999997E-7</v>
      </c>
      <c r="BL212" s="140">
        <f t="shared" si="90"/>
        <v>3.3599999999999999E-7</v>
      </c>
      <c r="BM212" s="140">
        <f t="shared" si="91"/>
        <v>5.0400000000000007E-7</v>
      </c>
      <c r="BN212" s="140">
        <f t="shared" si="92"/>
        <v>6.7200000000000009E-7</v>
      </c>
      <c r="BO212" s="140">
        <f t="shared" si="93"/>
        <v>8.4000000000000011E-7</v>
      </c>
      <c r="BP212" s="157">
        <f>IF(BI212&lt;$B$105*DATA!$H$1037,DATA!$H$1037,IF(BI212&gt;DATA!$H$1036*$B$105,DATA!$H$1036,1))</f>
        <v>1.2</v>
      </c>
      <c r="BQ212" s="156">
        <f t="shared" si="94"/>
        <v>9.9999999999999995E-8</v>
      </c>
    </row>
    <row r="213" spans="1:69">
      <c r="A213" s="140">
        <f t="shared" si="50"/>
        <v>1.7E-5</v>
      </c>
      <c r="B213">
        <v>1.7</v>
      </c>
      <c r="C213" s="140">
        <f t="shared" si="51"/>
        <v>1.6999999999999993E-7</v>
      </c>
      <c r="D213" s="140">
        <f t="shared" si="51"/>
        <v>3.3999999999999992E-7</v>
      </c>
      <c r="E213" s="140">
        <f t="shared" si="51"/>
        <v>5.0999999999999999E-7</v>
      </c>
      <c r="F213" s="140">
        <f t="shared" si="51"/>
        <v>6.8000000000000005E-7</v>
      </c>
      <c r="G213" s="140">
        <f t="shared" si="51"/>
        <v>8.5000000000000001E-7</v>
      </c>
      <c r="H213" s="157">
        <f>IF(A213&lt;$B$9*DATA!$H$1037,DATA!$H$1037,IF(A213&gt;DATA!$H$1036*$B$9,DATA!$H$1036,1))</f>
        <v>0.8</v>
      </c>
      <c r="I213" s="156">
        <f t="shared" si="52"/>
        <v>9.9999999999999995E-8</v>
      </c>
      <c r="K213" s="140">
        <f t="shared" si="53"/>
        <v>1.7E-5</v>
      </c>
      <c r="L213">
        <v>1.7</v>
      </c>
      <c r="M213" s="140">
        <f t="shared" si="54"/>
        <v>1.6999999999999993E-7</v>
      </c>
      <c r="N213" s="140">
        <f t="shared" si="55"/>
        <v>3.3999999999999992E-7</v>
      </c>
      <c r="O213" s="140">
        <f t="shared" si="56"/>
        <v>5.0999999999999999E-7</v>
      </c>
      <c r="P213" s="140">
        <f t="shared" si="57"/>
        <v>6.8000000000000005E-7</v>
      </c>
      <c r="Q213" s="140">
        <f t="shared" si="58"/>
        <v>8.5000000000000001E-7</v>
      </c>
      <c r="R213" s="157">
        <f>IF(K213&lt;$B$25*DATA!$H$1037,DATA!$H$1037,IF(K213&gt;DATA!$H$1036*$B$25,DATA!$H$1036,1))</f>
        <v>0.8</v>
      </c>
      <c r="S213" s="156">
        <f t="shared" si="59"/>
        <v>9.9999999999999995E-8</v>
      </c>
      <c r="U213" s="140">
        <f t="shared" si="60"/>
        <v>1.7E-5</v>
      </c>
      <c r="V213">
        <v>1.7</v>
      </c>
      <c r="W213" s="140">
        <f t="shared" si="61"/>
        <v>1.6999999999999993E-7</v>
      </c>
      <c r="X213" s="140">
        <f t="shared" si="62"/>
        <v>3.3999999999999992E-7</v>
      </c>
      <c r="Y213" s="140">
        <f t="shared" si="63"/>
        <v>5.0999999999999999E-7</v>
      </c>
      <c r="Z213" s="140">
        <f t="shared" si="64"/>
        <v>6.8000000000000005E-7</v>
      </c>
      <c r="AA213" s="140">
        <f t="shared" si="65"/>
        <v>8.5000000000000001E-7</v>
      </c>
      <c r="AB213" s="157">
        <f>IF(U213&lt;$B$41*DATA!$H$1037,DATA!$H$1037,IF(U213&gt;DATA!$H$1036*$B$41,DATA!$H$1036,1))</f>
        <v>0.8</v>
      </c>
      <c r="AC213" s="156">
        <f t="shared" si="66"/>
        <v>9.9999999999999995E-8</v>
      </c>
      <c r="AE213" s="140">
        <f t="shared" si="67"/>
        <v>1.7E-5</v>
      </c>
      <c r="AF213">
        <v>1.7</v>
      </c>
      <c r="AG213" s="140">
        <f t="shared" si="68"/>
        <v>1.6999999999999993E-7</v>
      </c>
      <c r="AH213" s="140">
        <f t="shared" si="69"/>
        <v>3.3999999999999992E-7</v>
      </c>
      <c r="AI213" s="140">
        <f t="shared" si="70"/>
        <v>5.0999999999999999E-7</v>
      </c>
      <c r="AJ213" s="140">
        <f t="shared" si="71"/>
        <v>6.8000000000000005E-7</v>
      </c>
      <c r="AK213" s="140">
        <f t="shared" si="72"/>
        <v>8.5000000000000001E-7</v>
      </c>
      <c r="AL213" s="157">
        <f>IF(AE213&lt;$B$57*DATA!$H$1037,DATA!$H$1037,IF(AE213&gt;DATA!$H$1036*$B$57,DATA!$H$1036,1))</f>
        <v>1.2</v>
      </c>
      <c r="AM213" s="156">
        <f t="shared" si="73"/>
        <v>9.9999999999999995E-8</v>
      </c>
      <c r="AO213" s="140">
        <f t="shared" si="74"/>
        <v>1.7E-5</v>
      </c>
      <c r="AP213">
        <v>1.7</v>
      </c>
      <c r="AQ213" s="140">
        <f t="shared" si="75"/>
        <v>1.6999999999999993E-7</v>
      </c>
      <c r="AR213" s="140">
        <f t="shared" si="76"/>
        <v>3.3999999999999992E-7</v>
      </c>
      <c r="AS213" s="140">
        <f t="shared" si="77"/>
        <v>5.0999999999999999E-7</v>
      </c>
      <c r="AT213" s="140">
        <f t="shared" si="78"/>
        <v>6.8000000000000005E-7</v>
      </c>
      <c r="AU213" s="140">
        <f t="shared" si="79"/>
        <v>8.5000000000000001E-7</v>
      </c>
      <c r="AV213" s="157">
        <f>IF(AO213&lt;$B$73*DATA!$H$1037,DATA!$H$1037,IF(AO213&gt;DATA!$H$1036*$B$73,DATA!$H$1036,1))</f>
        <v>1.2</v>
      </c>
      <c r="AW213" s="156">
        <f t="shared" si="80"/>
        <v>9.9999999999999995E-8</v>
      </c>
      <c r="AY213" s="140">
        <f t="shared" si="81"/>
        <v>1.7E-5</v>
      </c>
      <c r="AZ213">
        <v>1.7</v>
      </c>
      <c r="BA213" s="140">
        <f t="shared" si="82"/>
        <v>1.6999999999999993E-7</v>
      </c>
      <c r="BB213" s="140">
        <f t="shared" si="83"/>
        <v>3.3999999999999992E-7</v>
      </c>
      <c r="BC213" s="140">
        <f t="shared" si="84"/>
        <v>5.0999999999999999E-7</v>
      </c>
      <c r="BD213" s="140">
        <f t="shared" si="85"/>
        <v>6.8000000000000005E-7</v>
      </c>
      <c r="BE213" s="140">
        <f t="shared" si="86"/>
        <v>8.5000000000000001E-7</v>
      </c>
      <c r="BF213" s="157">
        <f>IF(AY213&lt;$B$89*DATA!$H$1037,DATA!$H$1037,IF(AY213&gt;DATA!$H$1036*$B$89,DATA!$H$1036,1))</f>
        <v>1.2</v>
      </c>
      <c r="BG213" s="156">
        <f t="shared" si="87"/>
        <v>9.9999999999999995E-8</v>
      </c>
      <c r="BI213" s="140">
        <f t="shared" si="88"/>
        <v>1.7E-5</v>
      </c>
      <c r="BJ213">
        <v>1.7</v>
      </c>
      <c r="BK213" s="140">
        <f t="shared" si="89"/>
        <v>1.6999999999999993E-7</v>
      </c>
      <c r="BL213" s="140">
        <f t="shared" si="90"/>
        <v>3.3999999999999992E-7</v>
      </c>
      <c r="BM213" s="140">
        <f t="shared" si="91"/>
        <v>5.0999999999999999E-7</v>
      </c>
      <c r="BN213" s="140">
        <f t="shared" si="92"/>
        <v>6.8000000000000005E-7</v>
      </c>
      <c r="BO213" s="140">
        <f t="shared" si="93"/>
        <v>8.5000000000000001E-7</v>
      </c>
      <c r="BP213" s="157">
        <f>IF(BI213&lt;$B$105*DATA!$H$1037,DATA!$H$1037,IF(BI213&gt;DATA!$H$1036*$B$105,DATA!$H$1036,1))</f>
        <v>1.2</v>
      </c>
      <c r="BQ213" s="156">
        <f t="shared" si="94"/>
        <v>9.9999999999999995E-8</v>
      </c>
    </row>
    <row r="214" spans="1:69">
      <c r="A214" s="140">
        <f t="shared" si="50"/>
        <v>1.7200000000000001E-5</v>
      </c>
      <c r="B214">
        <v>1.72</v>
      </c>
      <c r="C214" s="140">
        <f t="shared" si="51"/>
        <v>1.7199999999999995E-7</v>
      </c>
      <c r="D214" s="140">
        <f t="shared" si="51"/>
        <v>3.4399999999999996E-7</v>
      </c>
      <c r="E214" s="140">
        <f t="shared" si="51"/>
        <v>5.1600000000000001E-7</v>
      </c>
      <c r="F214" s="140">
        <f t="shared" si="51"/>
        <v>6.8800000000000002E-7</v>
      </c>
      <c r="G214" s="140">
        <f t="shared" si="51"/>
        <v>8.6000000000000013E-7</v>
      </c>
      <c r="H214" s="157">
        <f>IF(A214&lt;$B$9*DATA!$H$1037,DATA!$H$1037,IF(A214&gt;DATA!$H$1036*$B$9,DATA!$H$1036,1))</f>
        <v>0.8</v>
      </c>
      <c r="I214" s="156">
        <f t="shared" si="52"/>
        <v>9.9999999999999995E-8</v>
      </c>
      <c r="K214" s="140">
        <f t="shared" si="53"/>
        <v>1.7200000000000001E-5</v>
      </c>
      <c r="L214">
        <v>1.72</v>
      </c>
      <c r="M214" s="140">
        <f t="shared" si="54"/>
        <v>1.7199999999999995E-7</v>
      </c>
      <c r="N214" s="140">
        <f t="shared" si="55"/>
        <v>3.4399999999999996E-7</v>
      </c>
      <c r="O214" s="140">
        <f t="shared" si="56"/>
        <v>5.1600000000000001E-7</v>
      </c>
      <c r="P214" s="140">
        <f t="shared" si="57"/>
        <v>6.8800000000000002E-7</v>
      </c>
      <c r="Q214" s="140">
        <f t="shared" si="58"/>
        <v>8.6000000000000013E-7</v>
      </c>
      <c r="R214" s="157">
        <f>IF(K214&lt;$B$25*DATA!$H$1037,DATA!$H$1037,IF(K214&gt;DATA!$H$1036*$B$25,DATA!$H$1036,1))</f>
        <v>0.8</v>
      </c>
      <c r="S214" s="156">
        <f t="shared" si="59"/>
        <v>9.9999999999999995E-8</v>
      </c>
      <c r="U214" s="140">
        <f t="shared" si="60"/>
        <v>1.7200000000000001E-5</v>
      </c>
      <c r="V214">
        <v>1.72</v>
      </c>
      <c r="W214" s="140">
        <f t="shared" si="61"/>
        <v>1.7199999999999995E-7</v>
      </c>
      <c r="X214" s="140">
        <f t="shared" si="62"/>
        <v>3.4399999999999996E-7</v>
      </c>
      <c r="Y214" s="140">
        <f t="shared" si="63"/>
        <v>5.1600000000000001E-7</v>
      </c>
      <c r="Z214" s="140">
        <f t="shared" si="64"/>
        <v>6.8800000000000002E-7</v>
      </c>
      <c r="AA214" s="140">
        <f t="shared" si="65"/>
        <v>8.6000000000000013E-7</v>
      </c>
      <c r="AB214" s="157">
        <f>IF(U214&lt;$B$41*DATA!$H$1037,DATA!$H$1037,IF(U214&gt;DATA!$H$1036*$B$41,DATA!$H$1036,1))</f>
        <v>0.8</v>
      </c>
      <c r="AC214" s="156">
        <f t="shared" si="66"/>
        <v>9.9999999999999995E-8</v>
      </c>
      <c r="AE214" s="140">
        <f t="shared" si="67"/>
        <v>1.7200000000000001E-5</v>
      </c>
      <c r="AF214">
        <v>1.72</v>
      </c>
      <c r="AG214" s="140">
        <f t="shared" si="68"/>
        <v>1.7199999999999995E-7</v>
      </c>
      <c r="AH214" s="140">
        <f t="shared" si="69"/>
        <v>3.4399999999999996E-7</v>
      </c>
      <c r="AI214" s="140">
        <f t="shared" si="70"/>
        <v>5.1600000000000001E-7</v>
      </c>
      <c r="AJ214" s="140">
        <f t="shared" si="71"/>
        <v>6.8800000000000002E-7</v>
      </c>
      <c r="AK214" s="140">
        <f t="shared" si="72"/>
        <v>8.6000000000000013E-7</v>
      </c>
      <c r="AL214" s="157">
        <f>IF(AE214&lt;$B$57*DATA!$H$1037,DATA!$H$1037,IF(AE214&gt;DATA!$H$1036*$B$57,DATA!$H$1036,1))</f>
        <v>1.2</v>
      </c>
      <c r="AM214" s="156">
        <f t="shared" si="73"/>
        <v>9.9999999999999995E-8</v>
      </c>
      <c r="AO214" s="140">
        <f t="shared" si="74"/>
        <v>1.7200000000000001E-5</v>
      </c>
      <c r="AP214">
        <v>1.72</v>
      </c>
      <c r="AQ214" s="140">
        <f t="shared" si="75"/>
        <v>1.7199999999999995E-7</v>
      </c>
      <c r="AR214" s="140">
        <f t="shared" si="76"/>
        <v>3.4399999999999996E-7</v>
      </c>
      <c r="AS214" s="140">
        <f t="shared" si="77"/>
        <v>5.1600000000000001E-7</v>
      </c>
      <c r="AT214" s="140">
        <f t="shared" si="78"/>
        <v>6.8800000000000002E-7</v>
      </c>
      <c r="AU214" s="140">
        <f t="shared" si="79"/>
        <v>8.6000000000000013E-7</v>
      </c>
      <c r="AV214" s="157">
        <f>IF(AO214&lt;$B$73*DATA!$H$1037,DATA!$H$1037,IF(AO214&gt;DATA!$H$1036*$B$73,DATA!$H$1036,1))</f>
        <v>1.2</v>
      </c>
      <c r="AW214" s="156">
        <f t="shared" si="80"/>
        <v>9.9999999999999995E-8</v>
      </c>
      <c r="AY214" s="140">
        <f t="shared" si="81"/>
        <v>1.7200000000000001E-5</v>
      </c>
      <c r="AZ214">
        <v>1.72</v>
      </c>
      <c r="BA214" s="140">
        <f t="shared" si="82"/>
        <v>1.7199999999999995E-7</v>
      </c>
      <c r="BB214" s="140">
        <f t="shared" si="83"/>
        <v>3.4399999999999996E-7</v>
      </c>
      <c r="BC214" s="140">
        <f t="shared" si="84"/>
        <v>5.1600000000000001E-7</v>
      </c>
      <c r="BD214" s="140">
        <f t="shared" si="85"/>
        <v>6.8800000000000002E-7</v>
      </c>
      <c r="BE214" s="140">
        <f t="shared" si="86"/>
        <v>8.6000000000000013E-7</v>
      </c>
      <c r="BF214" s="157">
        <f>IF(AY214&lt;$B$89*DATA!$H$1037,DATA!$H$1037,IF(AY214&gt;DATA!$H$1036*$B$89,DATA!$H$1036,1))</f>
        <v>1.2</v>
      </c>
      <c r="BG214" s="156">
        <f t="shared" si="87"/>
        <v>9.9999999999999995E-8</v>
      </c>
      <c r="BI214" s="140">
        <f t="shared" si="88"/>
        <v>1.7200000000000001E-5</v>
      </c>
      <c r="BJ214">
        <v>1.72</v>
      </c>
      <c r="BK214" s="140">
        <f t="shared" si="89"/>
        <v>1.7199999999999995E-7</v>
      </c>
      <c r="BL214" s="140">
        <f t="shared" si="90"/>
        <v>3.4399999999999996E-7</v>
      </c>
      <c r="BM214" s="140">
        <f t="shared" si="91"/>
        <v>5.1600000000000001E-7</v>
      </c>
      <c r="BN214" s="140">
        <f t="shared" si="92"/>
        <v>6.8800000000000002E-7</v>
      </c>
      <c r="BO214" s="140">
        <f t="shared" si="93"/>
        <v>8.6000000000000013E-7</v>
      </c>
      <c r="BP214" s="157">
        <f>IF(BI214&lt;$B$105*DATA!$H$1037,DATA!$H$1037,IF(BI214&gt;DATA!$H$1036*$B$105,DATA!$H$1036,1))</f>
        <v>1.2</v>
      </c>
      <c r="BQ214" s="156">
        <f t="shared" si="94"/>
        <v>9.9999999999999995E-8</v>
      </c>
    </row>
    <row r="215" spans="1:69">
      <c r="A215" s="140">
        <f t="shared" si="50"/>
        <v>1.7400000000000003E-5</v>
      </c>
      <c r="B215">
        <v>1.74</v>
      </c>
      <c r="C215" s="140">
        <f t="shared" si="51"/>
        <v>1.7399999999999997E-7</v>
      </c>
      <c r="D215" s="140">
        <f t="shared" si="51"/>
        <v>3.4799999999999999E-7</v>
      </c>
      <c r="E215" s="140">
        <f t="shared" si="51"/>
        <v>5.2200000000000004E-7</v>
      </c>
      <c r="F215" s="140">
        <f t="shared" si="51"/>
        <v>6.9600000000000009E-7</v>
      </c>
      <c r="G215" s="140">
        <f t="shared" si="51"/>
        <v>8.7000000000000014E-7</v>
      </c>
      <c r="H215" s="157">
        <f>IF(A215&lt;$B$9*DATA!$H$1037,DATA!$H$1037,IF(A215&gt;DATA!$H$1036*$B$9,DATA!$H$1036,1))</f>
        <v>0.8</v>
      </c>
      <c r="I215" s="156">
        <f t="shared" si="52"/>
        <v>9.9999999999999995E-8</v>
      </c>
      <c r="K215" s="140">
        <f t="shared" si="53"/>
        <v>1.7400000000000003E-5</v>
      </c>
      <c r="L215">
        <v>1.74</v>
      </c>
      <c r="M215" s="140">
        <f t="shared" si="54"/>
        <v>1.7399999999999997E-7</v>
      </c>
      <c r="N215" s="140">
        <f t="shared" si="55"/>
        <v>3.4799999999999999E-7</v>
      </c>
      <c r="O215" s="140">
        <f t="shared" si="56"/>
        <v>5.2200000000000004E-7</v>
      </c>
      <c r="P215" s="140">
        <f t="shared" si="57"/>
        <v>6.9600000000000009E-7</v>
      </c>
      <c r="Q215" s="140">
        <f t="shared" si="58"/>
        <v>8.7000000000000014E-7</v>
      </c>
      <c r="R215" s="157">
        <f>IF(K215&lt;$B$25*DATA!$H$1037,DATA!$H$1037,IF(K215&gt;DATA!$H$1036*$B$25,DATA!$H$1036,1))</f>
        <v>0.8</v>
      </c>
      <c r="S215" s="156">
        <f t="shared" si="59"/>
        <v>9.9999999999999995E-8</v>
      </c>
      <c r="U215" s="140">
        <f t="shared" si="60"/>
        <v>1.7400000000000003E-5</v>
      </c>
      <c r="V215">
        <v>1.74</v>
      </c>
      <c r="W215" s="140">
        <f t="shared" si="61"/>
        <v>1.7399999999999997E-7</v>
      </c>
      <c r="X215" s="140">
        <f t="shared" si="62"/>
        <v>3.4799999999999999E-7</v>
      </c>
      <c r="Y215" s="140">
        <f t="shared" si="63"/>
        <v>5.2200000000000004E-7</v>
      </c>
      <c r="Z215" s="140">
        <f t="shared" si="64"/>
        <v>6.9600000000000009E-7</v>
      </c>
      <c r="AA215" s="140">
        <f t="shared" si="65"/>
        <v>8.7000000000000014E-7</v>
      </c>
      <c r="AB215" s="157">
        <f>IF(U215&lt;$B$41*DATA!$H$1037,DATA!$H$1037,IF(U215&gt;DATA!$H$1036*$B$41,DATA!$H$1036,1))</f>
        <v>0.8</v>
      </c>
      <c r="AC215" s="156">
        <f t="shared" si="66"/>
        <v>9.9999999999999995E-8</v>
      </c>
      <c r="AE215" s="140">
        <f t="shared" si="67"/>
        <v>1.7400000000000003E-5</v>
      </c>
      <c r="AF215">
        <v>1.74</v>
      </c>
      <c r="AG215" s="140">
        <f t="shared" si="68"/>
        <v>1.7399999999999997E-7</v>
      </c>
      <c r="AH215" s="140">
        <f t="shared" si="69"/>
        <v>3.4799999999999999E-7</v>
      </c>
      <c r="AI215" s="140">
        <f t="shared" si="70"/>
        <v>5.2200000000000004E-7</v>
      </c>
      <c r="AJ215" s="140">
        <f t="shared" si="71"/>
        <v>6.9600000000000009E-7</v>
      </c>
      <c r="AK215" s="140">
        <f t="shared" si="72"/>
        <v>8.7000000000000014E-7</v>
      </c>
      <c r="AL215" s="157">
        <f>IF(AE215&lt;$B$57*DATA!$H$1037,DATA!$H$1037,IF(AE215&gt;DATA!$H$1036*$B$57,DATA!$H$1036,1))</f>
        <v>1.2</v>
      </c>
      <c r="AM215" s="156">
        <f t="shared" si="73"/>
        <v>9.9999999999999995E-8</v>
      </c>
      <c r="AO215" s="140">
        <f t="shared" si="74"/>
        <v>1.7400000000000003E-5</v>
      </c>
      <c r="AP215">
        <v>1.74</v>
      </c>
      <c r="AQ215" s="140">
        <f t="shared" si="75"/>
        <v>1.7399999999999997E-7</v>
      </c>
      <c r="AR215" s="140">
        <f t="shared" si="76"/>
        <v>3.4799999999999999E-7</v>
      </c>
      <c r="AS215" s="140">
        <f t="shared" si="77"/>
        <v>5.2200000000000004E-7</v>
      </c>
      <c r="AT215" s="140">
        <f t="shared" si="78"/>
        <v>6.9600000000000009E-7</v>
      </c>
      <c r="AU215" s="140">
        <f t="shared" si="79"/>
        <v>8.7000000000000014E-7</v>
      </c>
      <c r="AV215" s="157">
        <f>IF(AO215&lt;$B$73*DATA!$H$1037,DATA!$H$1037,IF(AO215&gt;DATA!$H$1036*$B$73,DATA!$H$1036,1))</f>
        <v>1.2</v>
      </c>
      <c r="AW215" s="156">
        <f t="shared" si="80"/>
        <v>9.9999999999999995E-8</v>
      </c>
      <c r="AY215" s="140">
        <f t="shared" si="81"/>
        <v>1.7400000000000003E-5</v>
      </c>
      <c r="AZ215">
        <v>1.74</v>
      </c>
      <c r="BA215" s="140">
        <f t="shared" si="82"/>
        <v>1.7399999999999997E-7</v>
      </c>
      <c r="BB215" s="140">
        <f t="shared" si="83"/>
        <v>3.4799999999999999E-7</v>
      </c>
      <c r="BC215" s="140">
        <f t="shared" si="84"/>
        <v>5.2200000000000004E-7</v>
      </c>
      <c r="BD215" s="140">
        <f t="shared" si="85"/>
        <v>6.9600000000000009E-7</v>
      </c>
      <c r="BE215" s="140">
        <f t="shared" si="86"/>
        <v>8.7000000000000014E-7</v>
      </c>
      <c r="BF215" s="157">
        <f>IF(AY215&lt;$B$89*DATA!$H$1037,DATA!$H$1037,IF(AY215&gt;DATA!$H$1036*$B$89,DATA!$H$1036,1))</f>
        <v>1.2</v>
      </c>
      <c r="BG215" s="156">
        <f t="shared" si="87"/>
        <v>9.9999999999999995E-8</v>
      </c>
      <c r="BI215" s="140">
        <f t="shared" si="88"/>
        <v>1.7400000000000003E-5</v>
      </c>
      <c r="BJ215">
        <v>1.74</v>
      </c>
      <c r="BK215" s="140">
        <f t="shared" si="89"/>
        <v>1.7399999999999997E-7</v>
      </c>
      <c r="BL215" s="140">
        <f t="shared" si="90"/>
        <v>3.4799999999999999E-7</v>
      </c>
      <c r="BM215" s="140">
        <f t="shared" si="91"/>
        <v>5.2200000000000004E-7</v>
      </c>
      <c r="BN215" s="140">
        <f t="shared" si="92"/>
        <v>6.9600000000000009E-7</v>
      </c>
      <c r="BO215" s="140">
        <f t="shared" si="93"/>
        <v>8.7000000000000014E-7</v>
      </c>
      <c r="BP215" s="157">
        <f>IF(BI215&lt;$B$105*DATA!$H$1037,DATA!$H$1037,IF(BI215&gt;DATA!$H$1036*$B$105,DATA!$H$1036,1))</f>
        <v>1.2</v>
      </c>
      <c r="BQ215" s="156">
        <f t="shared" si="94"/>
        <v>9.9999999999999995E-8</v>
      </c>
    </row>
    <row r="216" spans="1:69">
      <c r="A216" s="140">
        <f t="shared" si="50"/>
        <v>1.7600000000000001E-5</v>
      </c>
      <c r="B216">
        <v>1.76</v>
      </c>
      <c r="C216" s="140">
        <f t="shared" si="51"/>
        <v>1.7599999999999996E-7</v>
      </c>
      <c r="D216" s="140">
        <f t="shared" si="51"/>
        <v>3.5199999999999998E-7</v>
      </c>
      <c r="E216" s="140">
        <f t="shared" si="51"/>
        <v>5.2799999999999996E-7</v>
      </c>
      <c r="F216" s="140">
        <f t="shared" si="51"/>
        <v>7.0400000000000006E-7</v>
      </c>
      <c r="G216" s="140">
        <f t="shared" si="51"/>
        <v>8.8000000000000004E-7</v>
      </c>
      <c r="H216" s="157">
        <f>IF(A216&lt;$B$9*DATA!$H$1037,DATA!$H$1037,IF(A216&gt;DATA!$H$1036*$B$9,DATA!$H$1036,1))</f>
        <v>0.8</v>
      </c>
      <c r="I216" s="156">
        <f t="shared" si="52"/>
        <v>9.9999999999999995E-8</v>
      </c>
      <c r="K216" s="140">
        <f t="shared" si="53"/>
        <v>1.7600000000000001E-5</v>
      </c>
      <c r="L216">
        <v>1.76</v>
      </c>
      <c r="M216" s="140">
        <f t="shared" si="54"/>
        <v>1.7599999999999996E-7</v>
      </c>
      <c r="N216" s="140">
        <f t="shared" si="55"/>
        <v>3.5199999999999998E-7</v>
      </c>
      <c r="O216" s="140">
        <f t="shared" si="56"/>
        <v>5.2799999999999996E-7</v>
      </c>
      <c r="P216" s="140">
        <f t="shared" si="57"/>
        <v>7.0400000000000006E-7</v>
      </c>
      <c r="Q216" s="140">
        <f t="shared" si="58"/>
        <v>8.8000000000000004E-7</v>
      </c>
      <c r="R216" s="157">
        <f>IF(K216&lt;$B$25*DATA!$H$1037,DATA!$H$1037,IF(K216&gt;DATA!$H$1036*$B$25,DATA!$H$1036,1))</f>
        <v>0.8</v>
      </c>
      <c r="S216" s="156">
        <f t="shared" si="59"/>
        <v>9.9999999999999995E-8</v>
      </c>
      <c r="U216" s="140">
        <f t="shared" si="60"/>
        <v>1.7600000000000001E-5</v>
      </c>
      <c r="V216">
        <v>1.76</v>
      </c>
      <c r="W216" s="140">
        <f t="shared" si="61"/>
        <v>1.7599999999999996E-7</v>
      </c>
      <c r="X216" s="140">
        <f t="shared" si="62"/>
        <v>3.5199999999999998E-7</v>
      </c>
      <c r="Y216" s="140">
        <f t="shared" si="63"/>
        <v>5.2799999999999996E-7</v>
      </c>
      <c r="Z216" s="140">
        <f t="shared" si="64"/>
        <v>7.0400000000000006E-7</v>
      </c>
      <c r="AA216" s="140">
        <f t="shared" si="65"/>
        <v>8.8000000000000004E-7</v>
      </c>
      <c r="AB216" s="157">
        <f>IF(U216&lt;$B$41*DATA!$H$1037,DATA!$H$1037,IF(U216&gt;DATA!$H$1036*$B$41,DATA!$H$1036,1))</f>
        <v>0.8</v>
      </c>
      <c r="AC216" s="156">
        <f t="shared" si="66"/>
        <v>9.9999999999999995E-8</v>
      </c>
      <c r="AE216" s="140">
        <f t="shared" si="67"/>
        <v>1.7600000000000001E-5</v>
      </c>
      <c r="AF216">
        <v>1.76</v>
      </c>
      <c r="AG216" s="140">
        <f t="shared" si="68"/>
        <v>1.7599999999999996E-7</v>
      </c>
      <c r="AH216" s="140">
        <f t="shared" si="69"/>
        <v>3.5199999999999998E-7</v>
      </c>
      <c r="AI216" s="140">
        <f t="shared" si="70"/>
        <v>5.2799999999999996E-7</v>
      </c>
      <c r="AJ216" s="140">
        <f t="shared" si="71"/>
        <v>7.0400000000000006E-7</v>
      </c>
      <c r="AK216" s="140">
        <f t="shared" si="72"/>
        <v>8.8000000000000004E-7</v>
      </c>
      <c r="AL216" s="157">
        <f>IF(AE216&lt;$B$57*DATA!$H$1037,DATA!$H$1037,IF(AE216&gt;DATA!$H$1036*$B$57,DATA!$H$1036,1))</f>
        <v>1.2</v>
      </c>
      <c r="AM216" s="156">
        <f t="shared" si="73"/>
        <v>9.9999999999999995E-8</v>
      </c>
      <c r="AO216" s="140">
        <f t="shared" si="74"/>
        <v>1.7600000000000001E-5</v>
      </c>
      <c r="AP216">
        <v>1.76</v>
      </c>
      <c r="AQ216" s="140">
        <f t="shared" si="75"/>
        <v>1.7599999999999996E-7</v>
      </c>
      <c r="AR216" s="140">
        <f t="shared" si="76"/>
        <v>3.5199999999999998E-7</v>
      </c>
      <c r="AS216" s="140">
        <f t="shared" si="77"/>
        <v>5.2799999999999996E-7</v>
      </c>
      <c r="AT216" s="140">
        <f t="shared" si="78"/>
        <v>7.0400000000000006E-7</v>
      </c>
      <c r="AU216" s="140">
        <f t="shared" si="79"/>
        <v>8.8000000000000004E-7</v>
      </c>
      <c r="AV216" s="157">
        <f>IF(AO216&lt;$B$73*DATA!$H$1037,DATA!$H$1037,IF(AO216&gt;DATA!$H$1036*$B$73,DATA!$H$1036,1))</f>
        <v>1.2</v>
      </c>
      <c r="AW216" s="156">
        <f t="shared" si="80"/>
        <v>9.9999999999999995E-8</v>
      </c>
      <c r="AY216" s="140">
        <f t="shared" si="81"/>
        <v>1.7600000000000001E-5</v>
      </c>
      <c r="AZ216">
        <v>1.76</v>
      </c>
      <c r="BA216" s="140">
        <f t="shared" si="82"/>
        <v>1.7599999999999996E-7</v>
      </c>
      <c r="BB216" s="140">
        <f t="shared" si="83"/>
        <v>3.5199999999999998E-7</v>
      </c>
      <c r="BC216" s="140">
        <f t="shared" si="84"/>
        <v>5.2799999999999996E-7</v>
      </c>
      <c r="BD216" s="140">
        <f t="shared" si="85"/>
        <v>7.0400000000000006E-7</v>
      </c>
      <c r="BE216" s="140">
        <f t="shared" si="86"/>
        <v>8.8000000000000004E-7</v>
      </c>
      <c r="BF216" s="157">
        <f>IF(AY216&lt;$B$89*DATA!$H$1037,DATA!$H$1037,IF(AY216&gt;DATA!$H$1036*$B$89,DATA!$H$1036,1))</f>
        <v>1.2</v>
      </c>
      <c r="BG216" s="156">
        <f t="shared" si="87"/>
        <v>9.9999999999999995E-8</v>
      </c>
      <c r="BI216" s="140">
        <f t="shared" si="88"/>
        <v>1.7600000000000001E-5</v>
      </c>
      <c r="BJ216">
        <v>1.76</v>
      </c>
      <c r="BK216" s="140">
        <f t="shared" si="89"/>
        <v>1.7599999999999996E-7</v>
      </c>
      <c r="BL216" s="140">
        <f t="shared" si="90"/>
        <v>3.5199999999999998E-7</v>
      </c>
      <c r="BM216" s="140">
        <f t="shared" si="91"/>
        <v>5.2799999999999996E-7</v>
      </c>
      <c r="BN216" s="140">
        <f t="shared" si="92"/>
        <v>7.0400000000000006E-7</v>
      </c>
      <c r="BO216" s="140">
        <f t="shared" si="93"/>
        <v>8.8000000000000004E-7</v>
      </c>
      <c r="BP216" s="157">
        <f>IF(BI216&lt;$B$105*DATA!$H$1037,DATA!$H$1037,IF(BI216&gt;DATA!$H$1036*$B$105,DATA!$H$1036,1))</f>
        <v>1.2</v>
      </c>
      <c r="BQ216" s="156">
        <f t="shared" si="94"/>
        <v>9.9999999999999995E-8</v>
      </c>
    </row>
    <row r="217" spans="1:69">
      <c r="A217" s="140">
        <f t="shared" si="50"/>
        <v>1.7800000000000002E-5</v>
      </c>
      <c r="B217">
        <v>1.78</v>
      </c>
      <c r="C217" s="140">
        <f t="shared" si="51"/>
        <v>1.7799999999999995E-7</v>
      </c>
      <c r="D217" s="140">
        <f t="shared" si="51"/>
        <v>3.5600000000000001E-7</v>
      </c>
      <c r="E217" s="140">
        <f t="shared" si="51"/>
        <v>5.340000000000001E-7</v>
      </c>
      <c r="F217" s="140">
        <f t="shared" si="51"/>
        <v>7.1200000000000013E-7</v>
      </c>
      <c r="G217" s="140">
        <f t="shared" si="51"/>
        <v>8.9000000000000016E-7</v>
      </c>
      <c r="H217" s="157">
        <f>IF(A217&lt;$B$9*DATA!$H$1037,DATA!$H$1037,IF(A217&gt;DATA!$H$1036*$B$9,DATA!$H$1036,1))</f>
        <v>0.8</v>
      </c>
      <c r="I217" s="156">
        <f t="shared" si="52"/>
        <v>9.9999999999999995E-8</v>
      </c>
      <c r="K217" s="140">
        <f t="shared" si="53"/>
        <v>1.7800000000000002E-5</v>
      </c>
      <c r="L217">
        <v>1.78</v>
      </c>
      <c r="M217" s="140">
        <f t="shared" si="54"/>
        <v>1.7799999999999995E-7</v>
      </c>
      <c r="N217" s="140">
        <f t="shared" si="55"/>
        <v>3.5600000000000001E-7</v>
      </c>
      <c r="O217" s="140">
        <f t="shared" si="56"/>
        <v>5.340000000000001E-7</v>
      </c>
      <c r="P217" s="140">
        <f t="shared" si="57"/>
        <v>7.1200000000000013E-7</v>
      </c>
      <c r="Q217" s="140">
        <f t="shared" si="58"/>
        <v>8.9000000000000016E-7</v>
      </c>
      <c r="R217" s="157">
        <f>IF(K217&lt;$B$25*DATA!$H$1037,DATA!$H$1037,IF(K217&gt;DATA!$H$1036*$B$25,DATA!$H$1036,1))</f>
        <v>0.8</v>
      </c>
      <c r="S217" s="156">
        <f t="shared" si="59"/>
        <v>9.9999999999999995E-8</v>
      </c>
      <c r="U217" s="140">
        <f t="shared" si="60"/>
        <v>1.7800000000000002E-5</v>
      </c>
      <c r="V217">
        <v>1.78</v>
      </c>
      <c r="W217" s="140">
        <f t="shared" si="61"/>
        <v>1.7799999999999995E-7</v>
      </c>
      <c r="X217" s="140">
        <f t="shared" si="62"/>
        <v>3.5600000000000001E-7</v>
      </c>
      <c r="Y217" s="140">
        <f t="shared" si="63"/>
        <v>5.340000000000001E-7</v>
      </c>
      <c r="Z217" s="140">
        <f t="shared" si="64"/>
        <v>7.1200000000000013E-7</v>
      </c>
      <c r="AA217" s="140">
        <f t="shared" si="65"/>
        <v>8.9000000000000016E-7</v>
      </c>
      <c r="AB217" s="157">
        <f>IF(U217&lt;$B$41*DATA!$H$1037,DATA!$H$1037,IF(U217&gt;DATA!$H$1036*$B$41,DATA!$H$1036,1))</f>
        <v>0.8</v>
      </c>
      <c r="AC217" s="156">
        <f t="shared" si="66"/>
        <v>9.9999999999999995E-8</v>
      </c>
      <c r="AE217" s="140">
        <f t="shared" si="67"/>
        <v>1.7800000000000002E-5</v>
      </c>
      <c r="AF217">
        <v>1.78</v>
      </c>
      <c r="AG217" s="140">
        <f t="shared" si="68"/>
        <v>1.7799999999999995E-7</v>
      </c>
      <c r="AH217" s="140">
        <f t="shared" si="69"/>
        <v>3.5600000000000001E-7</v>
      </c>
      <c r="AI217" s="140">
        <f t="shared" si="70"/>
        <v>5.340000000000001E-7</v>
      </c>
      <c r="AJ217" s="140">
        <f t="shared" si="71"/>
        <v>7.1200000000000013E-7</v>
      </c>
      <c r="AK217" s="140">
        <f t="shared" si="72"/>
        <v>8.9000000000000016E-7</v>
      </c>
      <c r="AL217" s="157">
        <f>IF(AE217&lt;$B$57*DATA!$H$1037,DATA!$H$1037,IF(AE217&gt;DATA!$H$1036*$B$57,DATA!$H$1036,1))</f>
        <v>1.2</v>
      </c>
      <c r="AM217" s="156">
        <f t="shared" si="73"/>
        <v>9.9999999999999995E-8</v>
      </c>
      <c r="AO217" s="140">
        <f t="shared" si="74"/>
        <v>1.7800000000000002E-5</v>
      </c>
      <c r="AP217">
        <v>1.78</v>
      </c>
      <c r="AQ217" s="140">
        <f t="shared" si="75"/>
        <v>1.7799999999999995E-7</v>
      </c>
      <c r="AR217" s="140">
        <f t="shared" si="76"/>
        <v>3.5600000000000001E-7</v>
      </c>
      <c r="AS217" s="140">
        <f t="shared" si="77"/>
        <v>5.340000000000001E-7</v>
      </c>
      <c r="AT217" s="140">
        <f t="shared" si="78"/>
        <v>7.1200000000000013E-7</v>
      </c>
      <c r="AU217" s="140">
        <f t="shared" si="79"/>
        <v>8.9000000000000016E-7</v>
      </c>
      <c r="AV217" s="157">
        <f>IF(AO217&lt;$B$73*DATA!$H$1037,DATA!$H$1037,IF(AO217&gt;DATA!$H$1036*$B$73,DATA!$H$1036,1))</f>
        <v>1.2</v>
      </c>
      <c r="AW217" s="156">
        <f t="shared" si="80"/>
        <v>9.9999999999999995E-8</v>
      </c>
      <c r="AY217" s="140">
        <f t="shared" si="81"/>
        <v>1.7800000000000002E-5</v>
      </c>
      <c r="AZ217">
        <v>1.78</v>
      </c>
      <c r="BA217" s="140">
        <f t="shared" si="82"/>
        <v>1.7799999999999995E-7</v>
      </c>
      <c r="BB217" s="140">
        <f t="shared" si="83"/>
        <v>3.5600000000000001E-7</v>
      </c>
      <c r="BC217" s="140">
        <f t="shared" si="84"/>
        <v>5.340000000000001E-7</v>
      </c>
      <c r="BD217" s="140">
        <f t="shared" si="85"/>
        <v>7.1200000000000013E-7</v>
      </c>
      <c r="BE217" s="140">
        <f t="shared" si="86"/>
        <v>8.9000000000000016E-7</v>
      </c>
      <c r="BF217" s="157">
        <f>IF(AY217&lt;$B$89*DATA!$H$1037,DATA!$H$1037,IF(AY217&gt;DATA!$H$1036*$B$89,DATA!$H$1036,1))</f>
        <v>1.2</v>
      </c>
      <c r="BG217" s="156">
        <f t="shared" si="87"/>
        <v>9.9999999999999995E-8</v>
      </c>
      <c r="BI217" s="140">
        <f t="shared" si="88"/>
        <v>1.7800000000000002E-5</v>
      </c>
      <c r="BJ217">
        <v>1.78</v>
      </c>
      <c r="BK217" s="140">
        <f t="shared" si="89"/>
        <v>1.7799999999999995E-7</v>
      </c>
      <c r="BL217" s="140">
        <f t="shared" si="90"/>
        <v>3.5600000000000001E-7</v>
      </c>
      <c r="BM217" s="140">
        <f t="shared" si="91"/>
        <v>5.340000000000001E-7</v>
      </c>
      <c r="BN217" s="140">
        <f t="shared" si="92"/>
        <v>7.1200000000000013E-7</v>
      </c>
      <c r="BO217" s="140">
        <f t="shared" si="93"/>
        <v>8.9000000000000016E-7</v>
      </c>
      <c r="BP217" s="157">
        <f>IF(BI217&lt;$B$105*DATA!$H$1037,DATA!$H$1037,IF(BI217&gt;DATA!$H$1036*$B$105,DATA!$H$1036,1))</f>
        <v>1.2</v>
      </c>
      <c r="BQ217" s="156">
        <f t="shared" si="94"/>
        <v>9.9999999999999995E-8</v>
      </c>
    </row>
    <row r="218" spans="1:69">
      <c r="A218" s="140">
        <f t="shared" si="50"/>
        <v>1.8E-5</v>
      </c>
      <c r="B218">
        <v>1.8</v>
      </c>
      <c r="C218" s="140">
        <f t="shared" si="51"/>
        <v>1.7999999999999994E-7</v>
      </c>
      <c r="D218" s="140">
        <f t="shared" si="51"/>
        <v>3.5999999999999994E-7</v>
      </c>
      <c r="E218" s="140">
        <f t="shared" si="51"/>
        <v>5.4000000000000002E-7</v>
      </c>
      <c r="F218" s="140">
        <f t="shared" si="51"/>
        <v>7.1999999999999999E-7</v>
      </c>
      <c r="G218" s="140">
        <f t="shared" si="51"/>
        <v>9.0000000000000007E-7</v>
      </c>
      <c r="H218" s="157">
        <f>IF(A218&lt;$B$9*DATA!$H$1037,DATA!$H$1037,IF(A218&gt;DATA!$H$1036*$B$9,DATA!$H$1036,1))</f>
        <v>0.8</v>
      </c>
      <c r="I218" s="156">
        <f t="shared" si="52"/>
        <v>9.9999999999999995E-8</v>
      </c>
      <c r="K218" s="140">
        <f t="shared" si="53"/>
        <v>1.8E-5</v>
      </c>
      <c r="L218">
        <v>1.8</v>
      </c>
      <c r="M218" s="140">
        <f t="shared" si="54"/>
        <v>1.7999999999999994E-7</v>
      </c>
      <c r="N218" s="140">
        <f t="shared" si="55"/>
        <v>3.5999999999999994E-7</v>
      </c>
      <c r="O218" s="140">
        <f t="shared" si="56"/>
        <v>5.4000000000000002E-7</v>
      </c>
      <c r="P218" s="140">
        <f t="shared" si="57"/>
        <v>7.1999999999999999E-7</v>
      </c>
      <c r="Q218" s="140">
        <f t="shared" si="58"/>
        <v>9.0000000000000007E-7</v>
      </c>
      <c r="R218" s="157">
        <f>IF(K218&lt;$B$25*DATA!$H$1037,DATA!$H$1037,IF(K218&gt;DATA!$H$1036*$B$25,DATA!$H$1036,1))</f>
        <v>0.8</v>
      </c>
      <c r="S218" s="156">
        <f t="shared" si="59"/>
        <v>9.9999999999999995E-8</v>
      </c>
      <c r="U218" s="140">
        <f t="shared" si="60"/>
        <v>1.8E-5</v>
      </c>
      <c r="V218">
        <v>1.8</v>
      </c>
      <c r="W218" s="140">
        <f t="shared" si="61"/>
        <v>1.7999999999999994E-7</v>
      </c>
      <c r="X218" s="140">
        <f t="shared" si="62"/>
        <v>3.5999999999999994E-7</v>
      </c>
      <c r="Y218" s="140">
        <f t="shared" si="63"/>
        <v>5.4000000000000002E-7</v>
      </c>
      <c r="Z218" s="140">
        <f t="shared" si="64"/>
        <v>7.1999999999999999E-7</v>
      </c>
      <c r="AA218" s="140">
        <f t="shared" si="65"/>
        <v>9.0000000000000007E-7</v>
      </c>
      <c r="AB218" s="157">
        <f>IF(U218&lt;$B$41*DATA!$H$1037,DATA!$H$1037,IF(U218&gt;DATA!$H$1036*$B$41,DATA!$H$1036,1))</f>
        <v>0.8</v>
      </c>
      <c r="AC218" s="156">
        <f t="shared" si="66"/>
        <v>9.9999999999999995E-8</v>
      </c>
      <c r="AE218" s="140">
        <f t="shared" si="67"/>
        <v>1.8E-5</v>
      </c>
      <c r="AF218">
        <v>1.8</v>
      </c>
      <c r="AG218" s="140">
        <f t="shared" si="68"/>
        <v>1.7999999999999994E-7</v>
      </c>
      <c r="AH218" s="140">
        <f t="shared" si="69"/>
        <v>3.5999999999999994E-7</v>
      </c>
      <c r="AI218" s="140">
        <f t="shared" si="70"/>
        <v>5.4000000000000002E-7</v>
      </c>
      <c r="AJ218" s="140">
        <f t="shared" si="71"/>
        <v>7.1999999999999999E-7</v>
      </c>
      <c r="AK218" s="140">
        <f t="shared" si="72"/>
        <v>9.0000000000000007E-7</v>
      </c>
      <c r="AL218" s="157">
        <f>IF(AE218&lt;$B$57*DATA!$H$1037,DATA!$H$1037,IF(AE218&gt;DATA!$H$1036*$B$57,DATA!$H$1036,1))</f>
        <v>1.2</v>
      </c>
      <c r="AM218" s="156">
        <f t="shared" si="73"/>
        <v>9.9999999999999995E-8</v>
      </c>
      <c r="AO218" s="140">
        <f t="shared" si="74"/>
        <v>1.8E-5</v>
      </c>
      <c r="AP218">
        <v>1.8</v>
      </c>
      <c r="AQ218" s="140">
        <f t="shared" si="75"/>
        <v>1.7999999999999994E-7</v>
      </c>
      <c r="AR218" s="140">
        <f t="shared" si="76"/>
        <v>3.5999999999999994E-7</v>
      </c>
      <c r="AS218" s="140">
        <f t="shared" si="77"/>
        <v>5.4000000000000002E-7</v>
      </c>
      <c r="AT218" s="140">
        <f t="shared" si="78"/>
        <v>7.1999999999999999E-7</v>
      </c>
      <c r="AU218" s="140">
        <f t="shared" si="79"/>
        <v>9.0000000000000007E-7</v>
      </c>
      <c r="AV218" s="157">
        <f>IF(AO218&lt;$B$73*DATA!$H$1037,DATA!$H$1037,IF(AO218&gt;DATA!$H$1036*$B$73,DATA!$H$1036,1))</f>
        <v>1.2</v>
      </c>
      <c r="AW218" s="156">
        <f t="shared" si="80"/>
        <v>9.9999999999999995E-8</v>
      </c>
      <c r="AY218" s="140">
        <f t="shared" si="81"/>
        <v>1.8E-5</v>
      </c>
      <c r="AZ218">
        <v>1.8</v>
      </c>
      <c r="BA218" s="140">
        <f t="shared" si="82"/>
        <v>1.7999999999999994E-7</v>
      </c>
      <c r="BB218" s="140">
        <f t="shared" si="83"/>
        <v>3.5999999999999994E-7</v>
      </c>
      <c r="BC218" s="140">
        <f t="shared" si="84"/>
        <v>5.4000000000000002E-7</v>
      </c>
      <c r="BD218" s="140">
        <f t="shared" si="85"/>
        <v>7.1999999999999999E-7</v>
      </c>
      <c r="BE218" s="140">
        <f t="shared" si="86"/>
        <v>9.0000000000000007E-7</v>
      </c>
      <c r="BF218" s="157">
        <f>IF(AY218&lt;$B$89*DATA!$H$1037,DATA!$H$1037,IF(AY218&gt;DATA!$H$1036*$B$89,DATA!$H$1036,1))</f>
        <v>1.2</v>
      </c>
      <c r="BG218" s="156">
        <f t="shared" si="87"/>
        <v>9.9999999999999995E-8</v>
      </c>
      <c r="BI218" s="140">
        <f t="shared" si="88"/>
        <v>1.8E-5</v>
      </c>
      <c r="BJ218">
        <v>1.8</v>
      </c>
      <c r="BK218" s="140">
        <f t="shared" si="89"/>
        <v>1.7999999999999994E-7</v>
      </c>
      <c r="BL218" s="140">
        <f t="shared" si="90"/>
        <v>3.5999999999999994E-7</v>
      </c>
      <c r="BM218" s="140">
        <f t="shared" si="91"/>
        <v>5.4000000000000002E-7</v>
      </c>
      <c r="BN218" s="140">
        <f t="shared" si="92"/>
        <v>7.1999999999999999E-7</v>
      </c>
      <c r="BO218" s="140">
        <f t="shared" si="93"/>
        <v>9.0000000000000007E-7</v>
      </c>
      <c r="BP218" s="157">
        <f>IF(BI218&lt;$B$105*DATA!$H$1037,DATA!$H$1037,IF(BI218&gt;DATA!$H$1036*$B$105,DATA!$H$1036,1))</f>
        <v>1.2</v>
      </c>
      <c r="BQ218" s="156">
        <f t="shared" si="94"/>
        <v>9.9999999999999995E-8</v>
      </c>
    </row>
    <row r="219" spans="1:69">
      <c r="A219" s="140">
        <f t="shared" si="50"/>
        <v>1.8200000000000002E-5</v>
      </c>
      <c r="B219">
        <v>1.82</v>
      </c>
      <c r="C219" s="140">
        <f t="shared" si="51"/>
        <v>1.8199999999999996E-7</v>
      </c>
      <c r="D219" s="140">
        <f t="shared" si="51"/>
        <v>3.6399999999999998E-7</v>
      </c>
      <c r="E219" s="140">
        <f t="shared" si="51"/>
        <v>5.4600000000000005E-7</v>
      </c>
      <c r="F219" s="140">
        <f t="shared" si="51"/>
        <v>7.2800000000000006E-7</v>
      </c>
      <c r="G219" s="140">
        <f t="shared" si="51"/>
        <v>9.1000000000000018E-7</v>
      </c>
      <c r="H219" s="157">
        <f>IF(A219&lt;$B$9*DATA!$H$1037,DATA!$H$1037,IF(A219&gt;DATA!$H$1036*$B$9,DATA!$H$1036,1))</f>
        <v>0.8</v>
      </c>
      <c r="I219" s="156">
        <f t="shared" si="52"/>
        <v>9.9999999999999995E-8</v>
      </c>
      <c r="K219" s="140">
        <f t="shared" si="53"/>
        <v>1.8200000000000002E-5</v>
      </c>
      <c r="L219">
        <v>1.82</v>
      </c>
      <c r="M219" s="140">
        <f t="shared" si="54"/>
        <v>1.8199999999999996E-7</v>
      </c>
      <c r="N219" s="140">
        <f t="shared" si="55"/>
        <v>3.6399999999999998E-7</v>
      </c>
      <c r="O219" s="140">
        <f t="shared" si="56"/>
        <v>5.4600000000000005E-7</v>
      </c>
      <c r="P219" s="140">
        <f t="shared" si="57"/>
        <v>7.2800000000000006E-7</v>
      </c>
      <c r="Q219" s="140">
        <f t="shared" si="58"/>
        <v>9.1000000000000018E-7</v>
      </c>
      <c r="R219" s="157">
        <f>IF(K219&lt;$B$25*DATA!$H$1037,DATA!$H$1037,IF(K219&gt;DATA!$H$1036*$B$25,DATA!$H$1036,1))</f>
        <v>0.8</v>
      </c>
      <c r="S219" s="156">
        <f t="shared" si="59"/>
        <v>9.9999999999999995E-8</v>
      </c>
      <c r="U219" s="140">
        <f t="shared" si="60"/>
        <v>1.8200000000000002E-5</v>
      </c>
      <c r="V219">
        <v>1.82</v>
      </c>
      <c r="W219" s="140">
        <f t="shared" si="61"/>
        <v>1.8199999999999996E-7</v>
      </c>
      <c r="X219" s="140">
        <f t="shared" si="62"/>
        <v>3.6399999999999998E-7</v>
      </c>
      <c r="Y219" s="140">
        <f t="shared" si="63"/>
        <v>5.4600000000000005E-7</v>
      </c>
      <c r="Z219" s="140">
        <f t="shared" si="64"/>
        <v>7.2800000000000006E-7</v>
      </c>
      <c r="AA219" s="140">
        <f t="shared" si="65"/>
        <v>9.1000000000000018E-7</v>
      </c>
      <c r="AB219" s="157">
        <f>IF(U219&lt;$B$41*DATA!$H$1037,DATA!$H$1037,IF(U219&gt;DATA!$H$1036*$B$41,DATA!$H$1036,1))</f>
        <v>0.8</v>
      </c>
      <c r="AC219" s="156">
        <f t="shared" si="66"/>
        <v>9.9999999999999995E-8</v>
      </c>
      <c r="AE219" s="140">
        <f t="shared" si="67"/>
        <v>1.8200000000000002E-5</v>
      </c>
      <c r="AF219">
        <v>1.82</v>
      </c>
      <c r="AG219" s="140">
        <f t="shared" si="68"/>
        <v>1.8199999999999996E-7</v>
      </c>
      <c r="AH219" s="140">
        <f t="shared" si="69"/>
        <v>3.6399999999999998E-7</v>
      </c>
      <c r="AI219" s="140">
        <f t="shared" si="70"/>
        <v>5.4600000000000005E-7</v>
      </c>
      <c r="AJ219" s="140">
        <f t="shared" si="71"/>
        <v>7.2800000000000006E-7</v>
      </c>
      <c r="AK219" s="140">
        <f t="shared" si="72"/>
        <v>9.1000000000000018E-7</v>
      </c>
      <c r="AL219" s="157">
        <f>IF(AE219&lt;$B$57*DATA!$H$1037,DATA!$H$1037,IF(AE219&gt;DATA!$H$1036*$B$57,DATA!$H$1036,1))</f>
        <v>1.2</v>
      </c>
      <c r="AM219" s="156">
        <f t="shared" si="73"/>
        <v>9.9999999999999995E-8</v>
      </c>
      <c r="AO219" s="140">
        <f t="shared" si="74"/>
        <v>1.8200000000000002E-5</v>
      </c>
      <c r="AP219">
        <v>1.82</v>
      </c>
      <c r="AQ219" s="140">
        <f t="shared" si="75"/>
        <v>1.8199999999999996E-7</v>
      </c>
      <c r="AR219" s="140">
        <f t="shared" si="76"/>
        <v>3.6399999999999998E-7</v>
      </c>
      <c r="AS219" s="140">
        <f t="shared" si="77"/>
        <v>5.4600000000000005E-7</v>
      </c>
      <c r="AT219" s="140">
        <f t="shared" si="78"/>
        <v>7.2800000000000006E-7</v>
      </c>
      <c r="AU219" s="140">
        <f t="shared" si="79"/>
        <v>9.1000000000000018E-7</v>
      </c>
      <c r="AV219" s="157">
        <f>IF(AO219&lt;$B$73*DATA!$H$1037,DATA!$H$1037,IF(AO219&gt;DATA!$H$1036*$B$73,DATA!$H$1036,1))</f>
        <v>1.2</v>
      </c>
      <c r="AW219" s="156">
        <f t="shared" si="80"/>
        <v>9.9999999999999995E-8</v>
      </c>
      <c r="AY219" s="140">
        <f t="shared" si="81"/>
        <v>1.8200000000000002E-5</v>
      </c>
      <c r="AZ219">
        <v>1.82</v>
      </c>
      <c r="BA219" s="140">
        <f t="shared" si="82"/>
        <v>1.8199999999999996E-7</v>
      </c>
      <c r="BB219" s="140">
        <f t="shared" si="83"/>
        <v>3.6399999999999998E-7</v>
      </c>
      <c r="BC219" s="140">
        <f t="shared" si="84"/>
        <v>5.4600000000000005E-7</v>
      </c>
      <c r="BD219" s="140">
        <f t="shared" si="85"/>
        <v>7.2800000000000006E-7</v>
      </c>
      <c r="BE219" s="140">
        <f t="shared" si="86"/>
        <v>9.1000000000000018E-7</v>
      </c>
      <c r="BF219" s="157">
        <f>IF(AY219&lt;$B$89*DATA!$H$1037,DATA!$H$1037,IF(AY219&gt;DATA!$H$1036*$B$89,DATA!$H$1036,1))</f>
        <v>1.2</v>
      </c>
      <c r="BG219" s="156">
        <f t="shared" si="87"/>
        <v>9.9999999999999995E-8</v>
      </c>
      <c r="BI219" s="140">
        <f t="shared" si="88"/>
        <v>1.8200000000000002E-5</v>
      </c>
      <c r="BJ219">
        <v>1.82</v>
      </c>
      <c r="BK219" s="140">
        <f t="shared" si="89"/>
        <v>1.8199999999999996E-7</v>
      </c>
      <c r="BL219" s="140">
        <f t="shared" si="90"/>
        <v>3.6399999999999998E-7</v>
      </c>
      <c r="BM219" s="140">
        <f t="shared" si="91"/>
        <v>5.4600000000000005E-7</v>
      </c>
      <c r="BN219" s="140">
        <f t="shared" si="92"/>
        <v>7.2800000000000006E-7</v>
      </c>
      <c r="BO219" s="140">
        <f t="shared" si="93"/>
        <v>9.1000000000000018E-7</v>
      </c>
      <c r="BP219" s="157">
        <f>IF(BI219&lt;$B$105*DATA!$H$1037,DATA!$H$1037,IF(BI219&gt;DATA!$H$1036*$B$105,DATA!$H$1036,1))</f>
        <v>1.2</v>
      </c>
      <c r="BQ219" s="156">
        <f t="shared" si="94"/>
        <v>9.9999999999999995E-8</v>
      </c>
    </row>
    <row r="220" spans="1:69">
      <c r="A220" s="140">
        <f t="shared" si="50"/>
        <v>1.8400000000000003E-5</v>
      </c>
      <c r="B220">
        <v>1.84</v>
      </c>
      <c r="C220" s="140">
        <f t="shared" si="51"/>
        <v>1.8399999999999998E-7</v>
      </c>
      <c r="D220" s="140">
        <f t="shared" si="51"/>
        <v>3.6800000000000001E-7</v>
      </c>
      <c r="E220" s="140">
        <f t="shared" si="51"/>
        <v>5.5200000000000007E-7</v>
      </c>
      <c r="F220" s="140">
        <f t="shared" si="51"/>
        <v>7.3600000000000013E-7</v>
      </c>
      <c r="G220" s="140">
        <f t="shared" si="51"/>
        <v>9.2000000000000019E-7</v>
      </c>
      <c r="H220" s="157">
        <f>IF(A220&lt;$B$9*DATA!$H$1037,DATA!$H$1037,IF(A220&gt;DATA!$H$1036*$B$9,DATA!$H$1036,1))</f>
        <v>0.8</v>
      </c>
      <c r="I220" s="156">
        <f t="shared" si="52"/>
        <v>9.9999999999999995E-8</v>
      </c>
      <c r="K220" s="140">
        <f t="shared" si="53"/>
        <v>1.8400000000000003E-5</v>
      </c>
      <c r="L220">
        <v>1.84</v>
      </c>
      <c r="M220" s="140">
        <f t="shared" si="54"/>
        <v>1.8399999999999998E-7</v>
      </c>
      <c r="N220" s="140">
        <f t="shared" si="55"/>
        <v>3.6800000000000001E-7</v>
      </c>
      <c r="O220" s="140">
        <f t="shared" si="56"/>
        <v>5.5200000000000007E-7</v>
      </c>
      <c r="P220" s="140">
        <f t="shared" si="57"/>
        <v>7.3600000000000013E-7</v>
      </c>
      <c r="Q220" s="140">
        <f t="shared" si="58"/>
        <v>9.2000000000000019E-7</v>
      </c>
      <c r="R220" s="157">
        <f>IF(K220&lt;$B$25*DATA!$H$1037,DATA!$H$1037,IF(K220&gt;DATA!$H$1036*$B$25,DATA!$H$1036,1))</f>
        <v>0.8</v>
      </c>
      <c r="S220" s="156">
        <f t="shared" si="59"/>
        <v>9.9999999999999995E-8</v>
      </c>
      <c r="U220" s="140">
        <f t="shared" si="60"/>
        <v>1.8400000000000003E-5</v>
      </c>
      <c r="V220">
        <v>1.84</v>
      </c>
      <c r="W220" s="140">
        <f t="shared" si="61"/>
        <v>1.8399999999999998E-7</v>
      </c>
      <c r="X220" s="140">
        <f t="shared" si="62"/>
        <v>3.6800000000000001E-7</v>
      </c>
      <c r="Y220" s="140">
        <f t="shared" si="63"/>
        <v>5.5200000000000007E-7</v>
      </c>
      <c r="Z220" s="140">
        <f t="shared" si="64"/>
        <v>7.3600000000000013E-7</v>
      </c>
      <c r="AA220" s="140">
        <f t="shared" si="65"/>
        <v>9.2000000000000019E-7</v>
      </c>
      <c r="AB220" s="157">
        <f>IF(U220&lt;$B$41*DATA!$H$1037,DATA!$H$1037,IF(U220&gt;DATA!$H$1036*$B$41,DATA!$H$1036,1))</f>
        <v>0.8</v>
      </c>
      <c r="AC220" s="156">
        <f t="shared" si="66"/>
        <v>9.9999999999999995E-8</v>
      </c>
      <c r="AE220" s="140">
        <f t="shared" si="67"/>
        <v>1.8400000000000003E-5</v>
      </c>
      <c r="AF220">
        <v>1.84</v>
      </c>
      <c r="AG220" s="140">
        <f t="shared" si="68"/>
        <v>1.8399999999999998E-7</v>
      </c>
      <c r="AH220" s="140">
        <f t="shared" si="69"/>
        <v>3.6800000000000001E-7</v>
      </c>
      <c r="AI220" s="140">
        <f t="shared" si="70"/>
        <v>5.5200000000000007E-7</v>
      </c>
      <c r="AJ220" s="140">
        <f t="shared" si="71"/>
        <v>7.3600000000000013E-7</v>
      </c>
      <c r="AK220" s="140">
        <f t="shared" si="72"/>
        <v>9.2000000000000019E-7</v>
      </c>
      <c r="AL220" s="157">
        <f>IF(AE220&lt;$B$57*DATA!$H$1037,DATA!$H$1037,IF(AE220&gt;DATA!$H$1036*$B$57,DATA!$H$1036,1))</f>
        <v>1.2</v>
      </c>
      <c r="AM220" s="156">
        <f t="shared" si="73"/>
        <v>9.9999999999999995E-8</v>
      </c>
      <c r="AO220" s="140">
        <f t="shared" si="74"/>
        <v>1.8400000000000003E-5</v>
      </c>
      <c r="AP220">
        <v>1.84</v>
      </c>
      <c r="AQ220" s="140">
        <f t="shared" si="75"/>
        <v>1.8399999999999998E-7</v>
      </c>
      <c r="AR220" s="140">
        <f t="shared" si="76"/>
        <v>3.6800000000000001E-7</v>
      </c>
      <c r="AS220" s="140">
        <f t="shared" si="77"/>
        <v>5.5200000000000007E-7</v>
      </c>
      <c r="AT220" s="140">
        <f t="shared" si="78"/>
        <v>7.3600000000000013E-7</v>
      </c>
      <c r="AU220" s="140">
        <f t="shared" si="79"/>
        <v>9.2000000000000019E-7</v>
      </c>
      <c r="AV220" s="157">
        <f>IF(AO220&lt;$B$73*DATA!$H$1037,DATA!$H$1037,IF(AO220&gt;DATA!$H$1036*$B$73,DATA!$H$1036,1))</f>
        <v>1.2</v>
      </c>
      <c r="AW220" s="156">
        <f t="shared" si="80"/>
        <v>9.9999999999999995E-8</v>
      </c>
      <c r="AY220" s="140">
        <f t="shared" si="81"/>
        <v>1.8400000000000003E-5</v>
      </c>
      <c r="AZ220">
        <v>1.84</v>
      </c>
      <c r="BA220" s="140">
        <f t="shared" si="82"/>
        <v>1.8399999999999998E-7</v>
      </c>
      <c r="BB220" s="140">
        <f t="shared" si="83"/>
        <v>3.6800000000000001E-7</v>
      </c>
      <c r="BC220" s="140">
        <f t="shared" si="84"/>
        <v>5.5200000000000007E-7</v>
      </c>
      <c r="BD220" s="140">
        <f t="shared" si="85"/>
        <v>7.3600000000000013E-7</v>
      </c>
      <c r="BE220" s="140">
        <f t="shared" si="86"/>
        <v>9.2000000000000019E-7</v>
      </c>
      <c r="BF220" s="157">
        <f>IF(AY220&lt;$B$89*DATA!$H$1037,DATA!$H$1037,IF(AY220&gt;DATA!$H$1036*$B$89,DATA!$H$1036,1))</f>
        <v>1.2</v>
      </c>
      <c r="BG220" s="156">
        <f t="shared" si="87"/>
        <v>9.9999999999999995E-8</v>
      </c>
      <c r="BI220" s="140">
        <f t="shared" si="88"/>
        <v>1.8400000000000003E-5</v>
      </c>
      <c r="BJ220">
        <v>1.84</v>
      </c>
      <c r="BK220" s="140">
        <f t="shared" si="89"/>
        <v>1.8399999999999998E-7</v>
      </c>
      <c r="BL220" s="140">
        <f t="shared" si="90"/>
        <v>3.6800000000000001E-7</v>
      </c>
      <c r="BM220" s="140">
        <f t="shared" si="91"/>
        <v>5.5200000000000007E-7</v>
      </c>
      <c r="BN220" s="140">
        <f t="shared" si="92"/>
        <v>7.3600000000000013E-7</v>
      </c>
      <c r="BO220" s="140">
        <f t="shared" si="93"/>
        <v>9.2000000000000019E-7</v>
      </c>
      <c r="BP220" s="157">
        <f>IF(BI220&lt;$B$105*DATA!$H$1037,DATA!$H$1037,IF(BI220&gt;DATA!$H$1036*$B$105,DATA!$H$1036,1))</f>
        <v>1.2</v>
      </c>
      <c r="BQ220" s="156">
        <f t="shared" si="94"/>
        <v>9.9999999999999995E-8</v>
      </c>
    </row>
    <row r="221" spans="1:69">
      <c r="A221" s="140">
        <f t="shared" si="50"/>
        <v>1.8600000000000001E-5</v>
      </c>
      <c r="B221">
        <v>1.86</v>
      </c>
      <c r="C221" s="140">
        <f t="shared" si="51"/>
        <v>1.8599999999999994E-7</v>
      </c>
      <c r="D221" s="140">
        <f t="shared" si="51"/>
        <v>3.72E-7</v>
      </c>
      <c r="E221" s="140">
        <f t="shared" si="51"/>
        <v>5.5799999999999999E-7</v>
      </c>
      <c r="F221" s="140">
        <f t="shared" si="51"/>
        <v>7.440000000000001E-7</v>
      </c>
      <c r="G221" s="140">
        <f t="shared" si="51"/>
        <v>9.300000000000001E-7</v>
      </c>
      <c r="H221" s="157">
        <f>IF(A221&lt;$B$9*DATA!$H$1037,DATA!$H$1037,IF(A221&gt;DATA!$H$1036*$B$9,DATA!$H$1036,1))</f>
        <v>0.8</v>
      </c>
      <c r="I221" s="156">
        <f t="shared" si="52"/>
        <v>9.9999999999999995E-8</v>
      </c>
      <c r="K221" s="140">
        <f t="shared" si="53"/>
        <v>1.8600000000000001E-5</v>
      </c>
      <c r="L221">
        <v>1.86</v>
      </c>
      <c r="M221" s="140">
        <f t="shared" si="54"/>
        <v>1.8599999999999994E-7</v>
      </c>
      <c r="N221" s="140">
        <f t="shared" si="55"/>
        <v>3.72E-7</v>
      </c>
      <c r="O221" s="140">
        <f t="shared" si="56"/>
        <v>5.5799999999999999E-7</v>
      </c>
      <c r="P221" s="140">
        <f t="shared" si="57"/>
        <v>7.440000000000001E-7</v>
      </c>
      <c r="Q221" s="140">
        <f t="shared" si="58"/>
        <v>9.300000000000001E-7</v>
      </c>
      <c r="R221" s="157">
        <f>IF(K221&lt;$B$25*DATA!$H$1037,DATA!$H$1037,IF(K221&gt;DATA!$H$1036*$B$25,DATA!$H$1036,1))</f>
        <v>0.8</v>
      </c>
      <c r="S221" s="156">
        <f t="shared" si="59"/>
        <v>9.9999999999999995E-8</v>
      </c>
      <c r="U221" s="140">
        <f t="shared" si="60"/>
        <v>1.8600000000000001E-5</v>
      </c>
      <c r="V221">
        <v>1.86</v>
      </c>
      <c r="W221" s="140">
        <f t="shared" si="61"/>
        <v>1.8599999999999994E-7</v>
      </c>
      <c r="X221" s="140">
        <f t="shared" si="62"/>
        <v>3.72E-7</v>
      </c>
      <c r="Y221" s="140">
        <f t="shared" si="63"/>
        <v>5.5799999999999999E-7</v>
      </c>
      <c r="Z221" s="140">
        <f t="shared" si="64"/>
        <v>7.440000000000001E-7</v>
      </c>
      <c r="AA221" s="140">
        <f t="shared" si="65"/>
        <v>9.300000000000001E-7</v>
      </c>
      <c r="AB221" s="157">
        <f>IF(U221&lt;$B$41*DATA!$H$1037,DATA!$H$1037,IF(U221&gt;DATA!$H$1036*$B$41,DATA!$H$1036,1))</f>
        <v>0.8</v>
      </c>
      <c r="AC221" s="156">
        <f t="shared" si="66"/>
        <v>9.9999999999999995E-8</v>
      </c>
      <c r="AE221" s="140">
        <f t="shared" si="67"/>
        <v>1.8600000000000001E-5</v>
      </c>
      <c r="AF221">
        <v>1.86</v>
      </c>
      <c r="AG221" s="140">
        <f t="shared" si="68"/>
        <v>1.8599999999999994E-7</v>
      </c>
      <c r="AH221" s="140">
        <f t="shared" si="69"/>
        <v>3.72E-7</v>
      </c>
      <c r="AI221" s="140">
        <f t="shared" si="70"/>
        <v>5.5799999999999999E-7</v>
      </c>
      <c r="AJ221" s="140">
        <f t="shared" si="71"/>
        <v>7.440000000000001E-7</v>
      </c>
      <c r="AK221" s="140">
        <f t="shared" si="72"/>
        <v>9.300000000000001E-7</v>
      </c>
      <c r="AL221" s="157">
        <f>IF(AE221&lt;$B$57*DATA!$H$1037,DATA!$H$1037,IF(AE221&gt;DATA!$H$1036*$B$57,DATA!$H$1036,1))</f>
        <v>1.2</v>
      </c>
      <c r="AM221" s="156">
        <f t="shared" si="73"/>
        <v>9.9999999999999995E-8</v>
      </c>
      <c r="AO221" s="140">
        <f t="shared" si="74"/>
        <v>1.8600000000000001E-5</v>
      </c>
      <c r="AP221">
        <v>1.86</v>
      </c>
      <c r="AQ221" s="140">
        <f t="shared" si="75"/>
        <v>1.8599999999999994E-7</v>
      </c>
      <c r="AR221" s="140">
        <f t="shared" si="76"/>
        <v>3.72E-7</v>
      </c>
      <c r="AS221" s="140">
        <f t="shared" si="77"/>
        <v>5.5799999999999999E-7</v>
      </c>
      <c r="AT221" s="140">
        <f t="shared" si="78"/>
        <v>7.440000000000001E-7</v>
      </c>
      <c r="AU221" s="140">
        <f t="shared" si="79"/>
        <v>9.300000000000001E-7</v>
      </c>
      <c r="AV221" s="157">
        <f>IF(AO221&lt;$B$73*DATA!$H$1037,DATA!$H$1037,IF(AO221&gt;DATA!$H$1036*$B$73,DATA!$H$1036,1))</f>
        <v>1.2</v>
      </c>
      <c r="AW221" s="156">
        <f t="shared" si="80"/>
        <v>9.9999999999999995E-8</v>
      </c>
      <c r="AY221" s="140">
        <f t="shared" si="81"/>
        <v>1.8600000000000001E-5</v>
      </c>
      <c r="AZ221">
        <v>1.86</v>
      </c>
      <c r="BA221" s="140">
        <f t="shared" si="82"/>
        <v>1.8599999999999994E-7</v>
      </c>
      <c r="BB221" s="140">
        <f t="shared" si="83"/>
        <v>3.72E-7</v>
      </c>
      <c r="BC221" s="140">
        <f t="shared" si="84"/>
        <v>5.5799999999999999E-7</v>
      </c>
      <c r="BD221" s="140">
        <f t="shared" si="85"/>
        <v>7.440000000000001E-7</v>
      </c>
      <c r="BE221" s="140">
        <f t="shared" si="86"/>
        <v>9.300000000000001E-7</v>
      </c>
      <c r="BF221" s="157">
        <f>IF(AY221&lt;$B$89*DATA!$H$1037,DATA!$H$1037,IF(AY221&gt;DATA!$H$1036*$B$89,DATA!$H$1036,1))</f>
        <v>1.2</v>
      </c>
      <c r="BG221" s="156">
        <f t="shared" si="87"/>
        <v>9.9999999999999995E-8</v>
      </c>
      <c r="BI221" s="140">
        <f t="shared" si="88"/>
        <v>1.8600000000000001E-5</v>
      </c>
      <c r="BJ221">
        <v>1.86</v>
      </c>
      <c r="BK221" s="140">
        <f t="shared" si="89"/>
        <v>1.8599999999999994E-7</v>
      </c>
      <c r="BL221" s="140">
        <f t="shared" si="90"/>
        <v>3.72E-7</v>
      </c>
      <c r="BM221" s="140">
        <f t="shared" si="91"/>
        <v>5.5799999999999999E-7</v>
      </c>
      <c r="BN221" s="140">
        <f t="shared" si="92"/>
        <v>7.440000000000001E-7</v>
      </c>
      <c r="BO221" s="140">
        <f t="shared" si="93"/>
        <v>9.300000000000001E-7</v>
      </c>
      <c r="BP221" s="157">
        <f>IF(BI221&lt;$B$105*DATA!$H$1037,DATA!$H$1037,IF(BI221&gt;DATA!$H$1036*$B$105,DATA!$H$1036,1))</f>
        <v>1.2</v>
      </c>
      <c r="BQ221" s="156">
        <f t="shared" si="94"/>
        <v>9.9999999999999995E-8</v>
      </c>
    </row>
    <row r="222" spans="1:69">
      <c r="A222" s="140">
        <f t="shared" si="50"/>
        <v>1.88E-5</v>
      </c>
      <c r="B222">
        <v>1.88</v>
      </c>
      <c r="C222" s="140">
        <f t="shared" si="51"/>
        <v>1.8799999999999994E-7</v>
      </c>
      <c r="D222" s="140">
        <f t="shared" si="51"/>
        <v>3.7599999999999993E-7</v>
      </c>
      <c r="E222" s="140">
        <f t="shared" si="51"/>
        <v>5.6399999999999992E-7</v>
      </c>
      <c r="F222" s="140">
        <f t="shared" si="51"/>
        <v>7.5199999999999996E-7</v>
      </c>
      <c r="G222" s="140">
        <f t="shared" si="51"/>
        <v>9.4E-7</v>
      </c>
      <c r="H222" s="157">
        <f>IF(A222&lt;$B$9*DATA!$H$1037,DATA!$H$1037,IF(A222&gt;DATA!$H$1036*$B$9,DATA!$H$1036,1))</f>
        <v>0.8</v>
      </c>
      <c r="I222" s="156">
        <f t="shared" si="52"/>
        <v>9.9999999999999995E-8</v>
      </c>
      <c r="K222" s="140">
        <f t="shared" si="53"/>
        <v>1.88E-5</v>
      </c>
      <c r="L222">
        <v>1.88</v>
      </c>
      <c r="M222" s="140">
        <f t="shared" si="54"/>
        <v>1.8799999999999994E-7</v>
      </c>
      <c r="N222" s="140">
        <f t="shared" si="55"/>
        <v>3.7599999999999993E-7</v>
      </c>
      <c r="O222" s="140">
        <f t="shared" si="56"/>
        <v>5.6399999999999992E-7</v>
      </c>
      <c r="P222" s="140">
        <f t="shared" si="57"/>
        <v>7.5199999999999996E-7</v>
      </c>
      <c r="Q222" s="140">
        <f t="shared" si="58"/>
        <v>9.4E-7</v>
      </c>
      <c r="R222" s="157">
        <f>IF(K222&lt;$B$25*DATA!$H$1037,DATA!$H$1037,IF(K222&gt;DATA!$H$1036*$B$25,DATA!$H$1036,1))</f>
        <v>0.8</v>
      </c>
      <c r="S222" s="156">
        <f t="shared" si="59"/>
        <v>9.9999999999999995E-8</v>
      </c>
      <c r="U222" s="140">
        <f t="shared" si="60"/>
        <v>1.88E-5</v>
      </c>
      <c r="V222">
        <v>1.88</v>
      </c>
      <c r="W222" s="140">
        <f t="shared" si="61"/>
        <v>1.8799999999999994E-7</v>
      </c>
      <c r="X222" s="140">
        <f t="shared" si="62"/>
        <v>3.7599999999999993E-7</v>
      </c>
      <c r="Y222" s="140">
        <f t="shared" si="63"/>
        <v>5.6399999999999992E-7</v>
      </c>
      <c r="Z222" s="140">
        <f t="shared" si="64"/>
        <v>7.5199999999999996E-7</v>
      </c>
      <c r="AA222" s="140">
        <f t="shared" si="65"/>
        <v>9.4E-7</v>
      </c>
      <c r="AB222" s="157">
        <f>IF(U222&lt;$B$41*DATA!$H$1037,DATA!$H$1037,IF(U222&gt;DATA!$H$1036*$B$41,DATA!$H$1036,1))</f>
        <v>0.8</v>
      </c>
      <c r="AC222" s="156">
        <f t="shared" si="66"/>
        <v>9.9999999999999995E-8</v>
      </c>
      <c r="AE222" s="140">
        <f t="shared" si="67"/>
        <v>1.88E-5</v>
      </c>
      <c r="AF222">
        <v>1.88</v>
      </c>
      <c r="AG222" s="140">
        <f t="shared" si="68"/>
        <v>1.8799999999999994E-7</v>
      </c>
      <c r="AH222" s="140">
        <f t="shared" si="69"/>
        <v>3.7599999999999993E-7</v>
      </c>
      <c r="AI222" s="140">
        <f t="shared" si="70"/>
        <v>5.6399999999999992E-7</v>
      </c>
      <c r="AJ222" s="140">
        <f t="shared" si="71"/>
        <v>7.5199999999999996E-7</v>
      </c>
      <c r="AK222" s="140">
        <f t="shared" si="72"/>
        <v>9.4E-7</v>
      </c>
      <c r="AL222" s="157">
        <f>IF(AE222&lt;$B$57*DATA!$H$1037,DATA!$H$1037,IF(AE222&gt;DATA!$H$1036*$B$57,DATA!$H$1036,1))</f>
        <v>1.2</v>
      </c>
      <c r="AM222" s="156">
        <f t="shared" si="73"/>
        <v>9.9999999999999995E-8</v>
      </c>
      <c r="AO222" s="140">
        <f t="shared" si="74"/>
        <v>1.88E-5</v>
      </c>
      <c r="AP222">
        <v>1.88</v>
      </c>
      <c r="AQ222" s="140">
        <f t="shared" si="75"/>
        <v>1.8799999999999994E-7</v>
      </c>
      <c r="AR222" s="140">
        <f t="shared" si="76"/>
        <v>3.7599999999999993E-7</v>
      </c>
      <c r="AS222" s="140">
        <f t="shared" si="77"/>
        <v>5.6399999999999992E-7</v>
      </c>
      <c r="AT222" s="140">
        <f t="shared" si="78"/>
        <v>7.5199999999999996E-7</v>
      </c>
      <c r="AU222" s="140">
        <f t="shared" si="79"/>
        <v>9.4E-7</v>
      </c>
      <c r="AV222" s="157">
        <f>IF(AO222&lt;$B$73*DATA!$H$1037,DATA!$H$1037,IF(AO222&gt;DATA!$H$1036*$B$73,DATA!$H$1036,1))</f>
        <v>1.2</v>
      </c>
      <c r="AW222" s="156">
        <f t="shared" si="80"/>
        <v>9.9999999999999995E-8</v>
      </c>
      <c r="AY222" s="140">
        <f t="shared" si="81"/>
        <v>1.88E-5</v>
      </c>
      <c r="AZ222">
        <v>1.88</v>
      </c>
      <c r="BA222" s="140">
        <f t="shared" si="82"/>
        <v>1.8799999999999994E-7</v>
      </c>
      <c r="BB222" s="140">
        <f t="shared" si="83"/>
        <v>3.7599999999999993E-7</v>
      </c>
      <c r="BC222" s="140">
        <f t="shared" si="84"/>
        <v>5.6399999999999992E-7</v>
      </c>
      <c r="BD222" s="140">
        <f t="shared" si="85"/>
        <v>7.5199999999999996E-7</v>
      </c>
      <c r="BE222" s="140">
        <f t="shared" si="86"/>
        <v>9.4E-7</v>
      </c>
      <c r="BF222" s="157">
        <f>IF(AY222&lt;$B$89*DATA!$H$1037,DATA!$H$1037,IF(AY222&gt;DATA!$H$1036*$B$89,DATA!$H$1036,1))</f>
        <v>1.2</v>
      </c>
      <c r="BG222" s="156">
        <f t="shared" si="87"/>
        <v>9.9999999999999995E-8</v>
      </c>
      <c r="BI222" s="140">
        <f t="shared" si="88"/>
        <v>1.88E-5</v>
      </c>
      <c r="BJ222">
        <v>1.88</v>
      </c>
      <c r="BK222" s="140">
        <f t="shared" si="89"/>
        <v>1.8799999999999994E-7</v>
      </c>
      <c r="BL222" s="140">
        <f t="shared" si="90"/>
        <v>3.7599999999999993E-7</v>
      </c>
      <c r="BM222" s="140">
        <f t="shared" si="91"/>
        <v>5.6399999999999992E-7</v>
      </c>
      <c r="BN222" s="140">
        <f t="shared" si="92"/>
        <v>7.5199999999999996E-7</v>
      </c>
      <c r="BO222" s="140">
        <f t="shared" si="93"/>
        <v>9.4E-7</v>
      </c>
      <c r="BP222" s="157">
        <f>IF(BI222&lt;$B$105*DATA!$H$1037,DATA!$H$1037,IF(BI222&gt;DATA!$H$1036*$B$105,DATA!$H$1036,1))</f>
        <v>1.2</v>
      </c>
      <c r="BQ222" s="156">
        <f t="shared" si="94"/>
        <v>9.9999999999999995E-8</v>
      </c>
    </row>
    <row r="223" spans="1:69">
      <c r="A223" s="140">
        <f t="shared" si="50"/>
        <v>1.9000000000000001E-5</v>
      </c>
      <c r="B223">
        <v>1.9</v>
      </c>
      <c r="C223" s="140">
        <f t="shared" si="51"/>
        <v>1.8999999999999995E-7</v>
      </c>
      <c r="D223" s="140">
        <f t="shared" si="51"/>
        <v>3.7999999999999996E-7</v>
      </c>
      <c r="E223" s="140">
        <f t="shared" si="51"/>
        <v>5.7000000000000005E-7</v>
      </c>
      <c r="F223" s="140">
        <f t="shared" si="51"/>
        <v>7.6000000000000003E-7</v>
      </c>
      <c r="G223" s="140">
        <f t="shared" si="51"/>
        <v>9.5000000000000012E-7</v>
      </c>
      <c r="H223" s="157">
        <f>IF(A223&lt;$B$9*DATA!$H$1037,DATA!$H$1037,IF(A223&gt;DATA!$H$1036*$B$9,DATA!$H$1036,1))</f>
        <v>0.8</v>
      </c>
      <c r="I223" s="156">
        <f t="shared" si="52"/>
        <v>9.9999999999999995E-8</v>
      </c>
      <c r="K223" s="140">
        <f t="shared" si="53"/>
        <v>1.9000000000000001E-5</v>
      </c>
      <c r="L223">
        <v>1.9</v>
      </c>
      <c r="M223" s="140">
        <f t="shared" si="54"/>
        <v>1.8999999999999995E-7</v>
      </c>
      <c r="N223" s="140">
        <f t="shared" si="55"/>
        <v>3.7999999999999996E-7</v>
      </c>
      <c r="O223" s="140">
        <f t="shared" si="56"/>
        <v>5.7000000000000005E-7</v>
      </c>
      <c r="P223" s="140">
        <f t="shared" si="57"/>
        <v>7.6000000000000003E-7</v>
      </c>
      <c r="Q223" s="140">
        <f t="shared" si="58"/>
        <v>9.5000000000000012E-7</v>
      </c>
      <c r="R223" s="157">
        <f>IF(K223&lt;$B$25*DATA!$H$1037,DATA!$H$1037,IF(K223&gt;DATA!$H$1036*$B$25,DATA!$H$1036,1))</f>
        <v>0.8</v>
      </c>
      <c r="S223" s="156">
        <f t="shared" si="59"/>
        <v>9.9999999999999995E-8</v>
      </c>
      <c r="U223" s="140">
        <f t="shared" si="60"/>
        <v>1.9000000000000001E-5</v>
      </c>
      <c r="V223">
        <v>1.9</v>
      </c>
      <c r="W223" s="140">
        <f t="shared" si="61"/>
        <v>1.8999999999999995E-7</v>
      </c>
      <c r="X223" s="140">
        <f t="shared" si="62"/>
        <v>3.7999999999999996E-7</v>
      </c>
      <c r="Y223" s="140">
        <f t="shared" si="63"/>
        <v>5.7000000000000005E-7</v>
      </c>
      <c r="Z223" s="140">
        <f t="shared" si="64"/>
        <v>7.6000000000000003E-7</v>
      </c>
      <c r="AA223" s="140">
        <f t="shared" si="65"/>
        <v>9.5000000000000012E-7</v>
      </c>
      <c r="AB223" s="157">
        <f>IF(U223&lt;$B$41*DATA!$H$1037,DATA!$H$1037,IF(U223&gt;DATA!$H$1036*$B$41,DATA!$H$1036,1))</f>
        <v>0.8</v>
      </c>
      <c r="AC223" s="156">
        <f t="shared" si="66"/>
        <v>9.9999999999999995E-8</v>
      </c>
      <c r="AE223" s="140">
        <f t="shared" si="67"/>
        <v>1.9000000000000001E-5</v>
      </c>
      <c r="AF223">
        <v>1.9</v>
      </c>
      <c r="AG223" s="140">
        <f t="shared" si="68"/>
        <v>1.8999999999999995E-7</v>
      </c>
      <c r="AH223" s="140">
        <f t="shared" si="69"/>
        <v>3.7999999999999996E-7</v>
      </c>
      <c r="AI223" s="140">
        <f t="shared" si="70"/>
        <v>5.7000000000000005E-7</v>
      </c>
      <c r="AJ223" s="140">
        <f t="shared" si="71"/>
        <v>7.6000000000000003E-7</v>
      </c>
      <c r="AK223" s="140">
        <f t="shared" si="72"/>
        <v>9.5000000000000012E-7</v>
      </c>
      <c r="AL223" s="157">
        <f>IF(AE223&lt;$B$57*DATA!$H$1037,DATA!$H$1037,IF(AE223&gt;DATA!$H$1036*$B$57,DATA!$H$1036,1))</f>
        <v>1.2</v>
      </c>
      <c r="AM223" s="156">
        <f t="shared" si="73"/>
        <v>9.9999999999999995E-8</v>
      </c>
      <c r="AO223" s="140">
        <f t="shared" si="74"/>
        <v>1.9000000000000001E-5</v>
      </c>
      <c r="AP223">
        <v>1.9</v>
      </c>
      <c r="AQ223" s="140">
        <f t="shared" si="75"/>
        <v>1.8999999999999995E-7</v>
      </c>
      <c r="AR223" s="140">
        <f t="shared" si="76"/>
        <v>3.7999999999999996E-7</v>
      </c>
      <c r="AS223" s="140">
        <f t="shared" si="77"/>
        <v>5.7000000000000005E-7</v>
      </c>
      <c r="AT223" s="140">
        <f t="shared" si="78"/>
        <v>7.6000000000000003E-7</v>
      </c>
      <c r="AU223" s="140">
        <f t="shared" si="79"/>
        <v>9.5000000000000012E-7</v>
      </c>
      <c r="AV223" s="157">
        <f>IF(AO223&lt;$B$73*DATA!$H$1037,DATA!$H$1037,IF(AO223&gt;DATA!$H$1036*$B$73,DATA!$H$1036,1))</f>
        <v>1.2</v>
      </c>
      <c r="AW223" s="156">
        <f t="shared" si="80"/>
        <v>9.9999999999999995E-8</v>
      </c>
      <c r="AY223" s="140">
        <f t="shared" si="81"/>
        <v>1.9000000000000001E-5</v>
      </c>
      <c r="AZ223">
        <v>1.9</v>
      </c>
      <c r="BA223" s="140">
        <f t="shared" si="82"/>
        <v>1.8999999999999995E-7</v>
      </c>
      <c r="BB223" s="140">
        <f t="shared" si="83"/>
        <v>3.7999999999999996E-7</v>
      </c>
      <c r="BC223" s="140">
        <f t="shared" si="84"/>
        <v>5.7000000000000005E-7</v>
      </c>
      <c r="BD223" s="140">
        <f t="shared" si="85"/>
        <v>7.6000000000000003E-7</v>
      </c>
      <c r="BE223" s="140">
        <f t="shared" si="86"/>
        <v>9.5000000000000012E-7</v>
      </c>
      <c r="BF223" s="157">
        <f>IF(AY223&lt;$B$89*DATA!$H$1037,DATA!$H$1037,IF(AY223&gt;DATA!$H$1036*$B$89,DATA!$H$1036,1))</f>
        <v>1.2</v>
      </c>
      <c r="BG223" s="156">
        <f t="shared" si="87"/>
        <v>9.9999999999999995E-8</v>
      </c>
      <c r="BI223" s="140">
        <f t="shared" si="88"/>
        <v>1.9000000000000001E-5</v>
      </c>
      <c r="BJ223">
        <v>1.9</v>
      </c>
      <c r="BK223" s="140">
        <f t="shared" si="89"/>
        <v>1.8999999999999995E-7</v>
      </c>
      <c r="BL223" s="140">
        <f t="shared" si="90"/>
        <v>3.7999999999999996E-7</v>
      </c>
      <c r="BM223" s="140">
        <f t="shared" si="91"/>
        <v>5.7000000000000005E-7</v>
      </c>
      <c r="BN223" s="140">
        <f t="shared" si="92"/>
        <v>7.6000000000000003E-7</v>
      </c>
      <c r="BO223" s="140">
        <f t="shared" si="93"/>
        <v>9.5000000000000012E-7</v>
      </c>
      <c r="BP223" s="157">
        <f>IF(BI223&lt;$B$105*DATA!$H$1037,DATA!$H$1037,IF(BI223&gt;DATA!$H$1036*$B$105,DATA!$H$1036,1))</f>
        <v>1.2</v>
      </c>
      <c r="BQ223" s="156">
        <f t="shared" si="94"/>
        <v>9.9999999999999995E-8</v>
      </c>
    </row>
    <row r="224" spans="1:69">
      <c r="A224" s="140">
        <f t="shared" si="50"/>
        <v>1.9200000000000003E-5</v>
      </c>
      <c r="B224">
        <v>1.92</v>
      </c>
      <c r="C224" s="140">
        <f t="shared" si="51"/>
        <v>1.9199999999999997E-7</v>
      </c>
      <c r="D224" s="140">
        <f t="shared" si="51"/>
        <v>3.84E-7</v>
      </c>
      <c r="E224" s="140">
        <f t="shared" si="51"/>
        <v>5.7600000000000008E-7</v>
      </c>
      <c r="F224" s="140">
        <f t="shared" si="51"/>
        <v>7.680000000000001E-7</v>
      </c>
      <c r="G224" s="140">
        <f t="shared" si="51"/>
        <v>9.6000000000000013E-7</v>
      </c>
      <c r="H224" s="157">
        <f>IF(A224&lt;$B$9*DATA!$H$1037,DATA!$H$1037,IF(A224&gt;DATA!$H$1036*$B$9,DATA!$H$1036,1))</f>
        <v>0.8</v>
      </c>
      <c r="I224" s="156">
        <f t="shared" si="52"/>
        <v>9.9999999999999995E-8</v>
      </c>
      <c r="K224" s="140">
        <f t="shared" si="53"/>
        <v>1.9200000000000003E-5</v>
      </c>
      <c r="L224">
        <v>1.92</v>
      </c>
      <c r="M224" s="140">
        <f t="shared" si="54"/>
        <v>1.9199999999999997E-7</v>
      </c>
      <c r="N224" s="140">
        <f t="shared" si="55"/>
        <v>3.84E-7</v>
      </c>
      <c r="O224" s="140">
        <f t="shared" si="56"/>
        <v>5.7600000000000008E-7</v>
      </c>
      <c r="P224" s="140">
        <f t="shared" si="57"/>
        <v>7.680000000000001E-7</v>
      </c>
      <c r="Q224" s="140">
        <f t="shared" si="58"/>
        <v>9.6000000000000013E-7</v>
      </c>
      <c r="R224" s="157">
        <f>IF(K224&lt;$B$25*DATA!$H$1037,DATA!$H$1037,IF(K224&gt;DATA!$H$1036*$B$25,DATA!$H$1036,1))</f>
        <v>0.8</v>
      </c>
      <c r="S224" s="156">
        <f t="shared" si="59"/>
        <v>9.9999999999999995E-8</v>
      </c>
      <c r="U224" s="140">
        <f t="shared" si="60"/>
        <v>1.9200000000000003E-5</v>
      </c>
      <c r="V224">
        <v>1.92</v>
      </c>
      <c r="W224" s="140">
        <f t="shared" si="61"/>
        <v>1.9199999999999997E-7</v>
      </c>
      <c r="X224" s="140">
        <f t="shared" si="62"/>
        <v>3.84E-7</v>
      </c>
      <c r="Y224" s="140">
        <f t="shared" si="63"/>
        <v>5.7600000000000008E-7</v>
      </c>
      <c r="Z224" s="140">
        <f t="shared" si="64"/>
        <v>7.680000000000001E-7</v>
      </c>
      <c r="AA224" s="140">
        <f t="shared" si="65"/>
        <v>9.6000000000000013E-7</v>
      </c>
      <c r="AB224" s="157">
        <f>IF(U224&lt;$B$41*DATA!$H$1037,DATA!$H$1037,IF(U224&gt;DATA!$H$1036*$B$41,DATA!$H$1036,1))</f>
        <v>0.8</v>
      </c>
      <c r="AC224" s="156">
        <f t="shared" si="66"/>
        <v>9.9999999999999995E-8</v>
      </c>
      <c r="AE224" s="140">
        <f t="shared" si="67"/>
        <v>1.9200000000000003E-5</v>
      </c>
      <c r="AF224">
        <v>1.92</v>
      </c>
      <c r="AG224" s="140">
        <f t="shared" si="68"/>
        <v>1.9199999999999997E-7</v>
      </c>
      <c r="AH224" s="140">
        <f t="shared" si="69"/>
        <v>3.84E-7</v>
      </c>
      <c r="AI224" s="140">
        <f t="shared" si="70"/>
        <v>5.7600000000000008E-7</v>
      </c>
      <c r="AJ224" s="140">
        <f t="shared" si="71"/>
        <v>7.680000000000001E-7</v>
      </c>
      <c r="AK224" s="140">
        <f t="shared" si="72"/>
        <v>9.6000000000000013E-7</v>
      </c>
      <c r="AL224" s="157">
        <f>IF(AE224&lt;$B$57*DATA!$H$1037,DATA!$H$1037,IF(AE224&gt;DATA!$H$1036*$B$57,DATA!$H$1036,1))</f>
        <v>1.2</v>
      </c>
      <c r="AM224" s="156">
        <f t="shared" si="73"/>
        <v>9.9999999999999995E-8</v>
      </c>
      <c r="AO224" s="140">
        <f t="shared" si="74"/>
        <v>1.9200000000000003E-5</v>
      </c>
      <c r="AP224">
        <v>1.92</v>
      </c>
      <c r="AQ224" s="140">
        <f t="shared" si="75"/>
        <v>1.9199999999999997E-7</v>
      </c>
      <c r="AR224" s="140">
        <f t="shared" si="76"/>
        <v>3.84E-7</v>
      </c>
      <c r="AS224" s="140">
        <f t="shared" si="77"/>
        <v>5.7600000000000008E-7</v>
      </c>
      <c r="AT224" s="140">
        <f t="shared" si="78"/>
        <v>7.680000000000001E-7</v>
      </c>
      <c r="AU224" s="140">
        <f t="shared" si="79"/>
        <v>9.6000000000000013E-7</v>
      </c>
      <c r="AV224" s="157">
        <f>IF(AO224&lt;$B$73*DATA!$H$1037,DATA!$H$1037,IF(AO224&gt;DATA!$H$1036*$B$73,DATA!$H$1036,1))</f>
        <v>1.2</v>
      </c>
      <c r="AW224" s="156">
        <f t="shared" si="80"/>
        <v>9.9999999999999995E-8</v>
      </c>
      <c r="AY224" s="140">
        <f t="shared" si="81"/>
        <v>1.9200000000000003E-5</v>
      </c>
      <c r="AZ224">
        <v>1.92</v>
      </c>
      <c r="BA224" s="140">
        <f t="shared" si="82"/>
        <v>1.9199999999999997E-7</v>
      </c>
      <c r="BB224" s="140">
        <f t="shared" si="83"/>
        <v>3.84E-7</v>
      </c>
      <c r="BC224" s="140">
        <f t="shared" si="84"/>
        <v>5.7600000000000008E-7</v>
      </c>
      <c r="BD224" s="140">
        <f t="shared" si="85"/>
        <v>7.680000000000001E-7</v>
      </c>
      <c r="BE224" s="140">
        <f t="shared" si="86"/>
        <v>9.6000000000000013E-7</v>
      </c>
      <c r="BF224" s="157">
        <f>IF(AY224&lt;$B$89*DATA!$H$1037,DATA!$H$1037,IF(AY224&gt;DATA!$H$1036*$B$89,DATA!$H$1036,1))</f>
        <v>1.2</v>
      </c>
      <c r="BG224" s="156">
        <f t="shared" si="87"/>
        <v>9.9999999999999995E-8</v>
      </c>
      <c r="BI224" s="140">
        <f t="shared" si="88"/>
        <v>1.9200000000000003E-5</v>
      </c>
      <c r="BJ224">
        <v>1.92</v>
      </c>
      <c r="BK224" s="140">
        <f t="shared" si="89"/>
        <v>1.9199999999999997E-7</v>
      </c>
      <c r="BL224" s="140">
        <f t="shared" si="90"/>
        <v>3.84E-7</v>
      </c>
      <c r="BM224" s="140">
        <f t="shared" si="91"/>
        <v>5.7600000000000008E-7</v>
      </c>
      <c r="BN224" s="140">
        <f t="shared" si="92"/>
        <v>7.680000000000001E-7</v>
      </c>
      <c r="BO224" s="140">
        <f t="shared" si="93"/>
        <v>9.6000000000000013E-7</v>
      </c>
      <c r="BP224" s="157">
        <f>IF(BI224&lt;$B$105*DATA!$H$1037,DATA!$H$1037,IF(BI224&gt;DATA!$H$1036*$B$105,DATA!$H$1036,1))</f>
        <v>1.2</v>
      </c>
      <c r="BQ224" s="156">
        <f t="shared" si="94"/>
        <v>9.9999999999999995E-8</v>
      </c>
    </row>
    <row r="225" spans="1:69">
      <c r="A225" s="140">
        <f t="shared" si="50"/>
        <v>1.9400000000000001E-5</v>
      </c>
      <c r="B225">
        <v>1.94</v>
      </c>
      <c r="C225" s="140">
        <f t="shared" si="51"/>
        <v>1.9399999999999994E-7</v>
      </c>
      <c r="D225" s="140">
        <f t="shared" si="51"/>
        <v>3.8799999999999993E-7</v>
      </c>
      <c r="E225" s="140">
        <f t="shared" si="51"/>
        <v>5.82E-7</v>
      </c>
      <c r="F225" s="140">
        <f t="shared" si="51"/>
        <v>7.7600000000000007E-7</v>
      </c>
      <c r="G225" s="140">
        <f t="shared" si="51"/>
        <v>9.7000000000000003E-7</v>
      </c>
      <c r="H225" s="157">
        <f>IF(A225&lt;$B$9*DATA!$H$1037,DATA!$H$1037,IF(A225&gt;DATA!$H$1036*$B$9,DATA!$H$1036,1))</f>
        <v>0.8</v>
      </c>
      <c r="I225" s="156">
        <f t="shared" si="52"/>
        <v>9.9999999999999995E-8</v>
      </c>
      <c r="K225" s="140">
        <f t="shared" si="53"/>
        <v>1.9400000000000001E-5</v>
      </c>
      <c r="L225">
        <v>1.94</v>
      </c>
      <c r="M225" s="140">
        <f t="shared" si="54"/>
        <v>1.9399999999999994E-7</v>
      </c>
      <c r="N225" s="140">
        <f t="shared" si="55"/>
        <v>3.8799999999999993E-7</v>
      </c>
      <c r="O225" s="140">
        <f t="shared" si="56"/>
        <v>5.82E-7</v>
      </c>
      <c r="P225" s="140">
        <f t="shared" si="57"/>
        <v>7.7600000000000007E-7</v>
      </c>
      <c r="Q225" s="140">
        <f t="shared" si="58"/>
        <v>9.7000000000000003E-7</v>
      </c>
      <c r="R225" s="157">
        <f>IF(K225&lt;$B$25*DATA!$H$1037,DATA!$H$1037,IF(K225&gt;DATA!$H$1036*$B$25,DATA!$H$1036,1))</f>
        <v>0.8</v>
      </c>
      <c r="S225" s="156">
        <f t="shared" si="59"/>
        <v>9.9999999999999995E-8</v>
      </c>
      <c r="U225" s="140">
        <f t="shared" si="60"/>
        <v>1.9400000000000001E-5</v>
      </c>
      <c r="V225">
        <v>1.94</v>
      </c>
      <c r="W225" s="140">
        <f t="shared" si="61"/>
        <v>1.9399999999999994E-7</v>
      </c>
      <c r="X225" s="140">
        <f t="shared" si="62"/>
        <v>3.8799999999999993E-7</v>
      </c>
      <c r="Y225" s="140">
        <f t="shared" si="63"/>
        <v>5.82E-7</v>
      </c>
      <c r="Z225" s="140">
        <f t="shared" si="64"/>
        <v>7.7600000000000007E-7</v>
      </c>
      <c r="AA225" s="140">
        <f t="shared" si="65"/>
        <v>9.7000000000000003E-7</v>
      </c>
      <c r="AB225" s="157">
        <f>IF(U225&lt;$B$41*DATA!$H$1037,DATA!$H$1037,IF(U225&gt;DATA!$H$1036*$B$41,DATA!$H$1036,1))</f>
        <v>0.8</v>
      </c>
      <c r="AC225" s="156">
        <f t="shared" si="66"/>
        <v>9.9999999999999995E-8</v>
      </c>
      <c r="AE225" s="140">
        <f t="shared" si="67"/>
        <v>1.9400000000000001E-5</v>
      </c>
      <c r="AF225">
        <v>1.94</v>
      </c>
      <c r="AG225" s="140">
        <f t="shared" si="68"/>
        <v>1.9399999999999994E-7</v>
      </c>
      <c r="AH225" s="140">
        <f t="shared" si="69"/>
        <v>3.8799999999999993E-7</v>
      </c>
      <c r="AI225" s="140">
        <f t="shared" si="70"/>
        <v>5.82E-7</v>
      </c>
      <c r="AJ225" s="140">
        <f t="shared" si="71"/>
        <v>7.7600000000000007E-7</v>
      </c>
      <c r="AK225" s="140">
        <f t="shared" si="72"/>
        <v>9.7000000000000003E-7</v>
      </c>
      <c r="AL225" s="157">
        <f>IF(AE225&lt;$B$57*DATA!$H$1037,DATA!$H$1037,IF(AE225&gt;DATA!$H$1036*$B$57,DATA!$H$1036,1))</f>
        <v>1.2</v>
      </c>
      <c r="AM225" s="156">
        <f t="shared" si="73"/>
        <v>9.9999999999999995E-8</v>
      </c>
      <c r="AO225" s="140">
        <f t="shared" si="74"/>
        <v>1.9400000000000001E-5</v>
      </c>
      <c r="AP225">
        <v>1.94</v>
      </c>
      <c r="AQ225" s="140">
        <f t="shared" si="75"/>
        <v>1.9399999999999994E-7</v>
      </c>
      <c r="AR225" s="140">
        <f t="shared" si="76"/>
        <v>3.8799999999999993E-7</v>
      </c>
      <c r="AS225" s="140">
        <f t="shared" si="77"/>
        <v>5.82E-7</v>
      </c>
      <c r="AT225" s="140">
        <f t="shared" si="78"/>
        <v>7.7600000000000007E-7</v>
      </c>
      <c r="AU225" s="140">
        <f t="shared" si="79"/>
        <v>9.7000000000000003E-7</v>
      </c>
      <c r="AV225" s="157">
        <f>IF(AO225&lt;$B$73*DATA!$H$1037,DATA!$H$1037,IF(AO225&gt;DATA!$H$1036*$B$73,DATA!$H$1036,1))</f>
        <v>1.2</v>
      </c>
      <c r="AW225" s="156">
        <f t="shared" si="80"/>
        <v>9.9999999999999995E-8</v>
      </c>
      <c r="AY225" s="140">
        <f t="shared" si="81"/>
        <v>1.9400000000000001E-5</v>
      </c>
      <c r="AZ225">
        <v>1.94</v>
      </c>
      <c r="BA225" s="140">
        <f t="shared" si="82"/>
        <v>1.9399999999999994E-7</v>
      </c>
      <c r="BB225" s="140">
        <f t="shared" si="83"/>
        <v>3.8799999999999993E-7</v>
      </c>
      <c r="BC225" s="140">
        <f t="shared" si="84"/>
        <v>5.82E-7</v>
      </c>
      <c r="BD225" s="140">
        <f t="shared" si="85"/>
        <v>7.7600000000000007E-7</v>
      </c>
      <c r="BE225" s="140">
        <f t="shared" si="86"/>
        <v>9.7000000000000003E-7</v>
      </c>
      <c r="BF225" s="157">
        <f>IF(AY225&lt;$B$89*DATA!$H$1037,DATA!$H$1037,IF(AY225&gt;DATA!$H$1036*$B$89,DATA!$H$1036,1))</f>
        <v>1.2</v>
      </c>
      <c r="BG225" s="156">
        <f t="shared" si="87"/>
        <v>9.9999999999999995E-8</v>
      </c>
      <c r="BI225" s="140">
        <f t="shared" si="88"/>
        <v>1.9400000000000001E-5</v>
      </c>
      <c r="BJ225">
        <v>1.94</v>
      </c>
      <c r="BK225" s="140">
        <f t="shared" si="89"/>
        <v>1.9399999999999994E-7</v>
      </c>
      <c r="BL225" s="140">
        <f t="shared" si="90"/>
        <v>3.8799999999999993E-7</v>
      </c>
      <c r="BM225" s="140">
        <f t="shared" si="91"/>
        <v>5.82E-7</v>
      </c>
      <c r="BN225" s="140">
        <f t="shared" si="92"/>
        <v>7.7600000000000007E-7</v>
      </c>
      <c r="BO225" s="140">
        <f t="shared" si="93"/>
        <v>9.7000000000000003E-7</v>
      </c>
      <c r="BP225" s="157">
        <f>IF(BI225&lt;$B$105*DATA!$H$1037,DATA!$H$1037,IF(BI225&gt;DATA!$H$1036*$B$105,DATA!$H$1036,1))</f>
        <v>1.2</v>
      </c>
      <c r="BQ225" s="156">
        <f t="shared" si="94"/>
        <v>9.9999999999999995E-8</v>
      </c>
    </row>
    <row r="226" spans="1:69">
      <c r="A226" s="140">
        <f t="shared" si="50"/>
        <v>1.9600000000000002E-5</v>
      </c>
      <c r="B226">
        <v>1.96</v>
      </c>
      <c r="C226" s="140">
        <f t="shared" si="51"/>
        <v>1.9599999999999996E-7</v>
      </c>
      <c r="D226" s="140">
        <f t="shared" si="51"/>
        <v>3.9199999999999996E-7</v>
      </c>
      <c r="E226" s="140">
        <f t="shared" si="51"/>
        <v>5.8800000000000002E-7</v>
      </c>
      <c r="F226" s="140">
        <f t="shared" si="51"/>
        <v>7.8400000000000014E-7</v>
      </c>
      <c r="G226" s="140">
        <f t="shared" si="51"/>
        <v>9.8000000000000015E-7</v>
      </c>
      <c r="H226" s="157">
        <f>IF(A226&lt;$B$9*DATA!$H$1037,DATA!$H$1037,IF(A226&gt;DATA!$H$1036*$B$9,DATA!$H$1036,1))</f>
        <v>0.8</v>
      </c>
      <c r="I226" s="156">
        <f t="shared" si="52"/>
        <v>9.9999999999999995E-8</v>
      </c>
      <c r="K226" s="140">
        <f t="shared" si="53"/>
        <v>1.9600000000000002E-5</v>
      </c>
      <c r="L226">
        <v>1.96</v>
      </c>
      <c r="M226" s="140">
        <f t="shared" si="54"/>
        <v>1.9599999999999996E-7</v>
      </c>
      <c r="N226" s="140">
        <f t="shared" si="55"/>
        <v>3.9199999999999996E-7</v>
      </c>
      <c r="O226" s="140">
        <f t="shared" si="56"/>
        <v>5.8800000000000002E-7</v>
      </c>
      <c r="P226" s="140">
        <f t="shared" si="57"/>
        <v>7.8400000000000014E-7</v>
      </c>
      <c r="Q226" s="140">
        <f t="shared" si="58"/>
        <v>9.8000000000000015E-7</v>
      </c>
      <c r="R226" s="157">
        <f>IF(K226&lt;$B$25*DATA!$H$1037,DATA!$H$1037,IF(K226&gt;DATA!$H$1036*$B$25,DATA!$H$1036,1))</f>
        <v>0.8</v>
      </c>
      <c r="S226" s="156">
        <f t="shared" si="59"/>
        <v>9.9999999999999995E-8</v>
      </c>
      <c r="U226" s="140">
        <f t="shared" si="60"/>
        <v>1.9600000000000002E-5</v>
      </c>
      <c r="V226">
        <v>1.96</v>
      </c>
      <c r="W226" s="140">
        <f t="shared" si="61"/>
        <v>1.9599999999999996E-7</v>
      </c>
      <c r="X226" s="140">
        <f t="shared" si="62"/>
        <v>3.9199999999999996E-7</v>
      </c>
      <c r="Y226" s="140">
        <f t="shared" si="63"/>
        <v>5.8800000000000002E-7</v>
      </c>
      <c r="Z226" s="140">
        <f t="shared" si="64"/>
        <v>7.8400000000000014E-7</v>
      </c>
      <c r="AA226" s="140">
        <f t="shared" si="65"/>
        <v>9.8000000000000015E-7</v>
      </c>
      <c r="AB226" s="157">
        <f>IF(U226&lt;$B$41*DATA!$H$1037,DATA!$H$1037,IF(U226&gt;DATA!$H$1036*$B$41,DATA!$H$1036,1))</f>
        <v>0.8</v>
      </c>
      <c r="AC226" s="156">
        <f t="shared" si="66"/>
        <v>9.9999999999999995E-8</v>
      </c>
      <c r="AE226" s="140">
        <f t="shared" si="67"/>
        <v>1.9600000000000002E-5</v>
      </c>
      <c r="AF226">
        <v>1.96</v>
      </c>
      <c r="AG226" s="140">
        <f t="shared" si="68"/>
        <v>1.9599999999999996E-7</v>
      </c>
      <c r="AH226" s="140">
        <f t="shared" si="69"/>
        <v>3.9199999999999996E-7</v>
      </c>
      <c r="AI226" s="140">
        <f t="shared" si="70"/>
        <v>5.8800000000000002E-7</v>
      </c>
      <c r="AJ226" s="140">
        <f t="shared" si="71"/>
        <v>7.8400000000000014E-7</v>
      </c>
      <c r="AK226" s="140">
        <f t="shared" si="72"/>
        <v>9.8000000000000015E-7</v>
      </c>
      <c r="AL226" s="157">
        <f>IF(AE226&lt;$B$57*DATA!$H$1037,DATA!$H$1037,IF(AE226&gt;DATA!$H$1036*$B$57,DATA!$H$1036,1))</f>
        <v>1.2</v>
      </c>
      <c r="AM226" s="156">
        <f t="shared" si="73"/>
        <v>9.9999999999999995E-8</v>
      </c>
      <c r="AO226" s="140">
        <f t="shared" si="74"/>
        <v>1.9600000000000002E-5</v>
      </c>
      <c r="AP226">
        <v>1.96</v>
      </c>
      <c r="AQ226" s="140">
        <f t="shared" si="75"/>
        <v>1.9599999999999996E-7</v>
      </c>
      <c r="AR226" s="140">
        <f t="shared" si="76"/>
        <v>3.9199999999999996E-7</v>
      </c>
      <c r="AS226" s="140">
        <f t="shared" si="77"/>
        <v>5.8800000000000002E-7</v>
      </c>
      <c r="AT226" s="140">
        <f t="shared" si="78"/>
        <v>7.8400000000000014E-7</v>
      </c>
      <c r="AU226" s="140">
        <f t="shared" si="79"/>
        <v>9.8000000000000015E-7</v>
      </c>
      <c r="AV226" s="157">
        <f>IF(AO226&lt;$B$73*DATA!$H$1037,DATA!$H$1037,IF(AO226&gt;DATA!$H$1036*$B$73,DATA!$H$1036,1))</f>
        <v>1.2</v>
      </c>
      <c r="AW226" s="156">
        <f t="shared" si="80"/>
        <v>9.9999999999999995E-8</v>
      </c>
      <c r="AY226" s="140">
        <f t="shared" si="81"/>
        <v>1.9600000000000002E-5</v>
      </c>
      <c r="AZ226">
        <v>1.96</v>
      </c>
      <c r="BA226" s="140">
        <f t="shared" si="82"/>
        <v>1.9599999999999996E-7</v>
      </c>
      <c r="BB226" s="140">
        <f t="shared" si="83"/>
        <v>3.9199999999999996E-7</v>
      </c>
      <c r="BC226" s="140">
        <f t="shared" si="84"/>
        <v>5.8800000000000002E-7</v>
      </c>
      <c r="BD226" s="140">
        <f t="shared" si="85"/>
        <v>7.8400000000000014E-7</v>
      </c>
      <c r="BE226" s="140">
        <f t="shared" si="86"/>
        <v>9.8000000000000015E-7</v>
      </c>
      <c r="BF226" s="157">
        <f>IF(AY226&lt;$B$89*DATA!$H$1037,DATA!$H$1037,IF(AY226&gt;DATA!$H$1036*$B$89,DATA!$H$1036,1))</f>
        <v>1.2</v>
      </c>
      <c r="BG226" s="156">
        <f t="shared" si="87"/>
        <v>9.9999999999999995E-8</v>
      </c>
      <c r="BI226" s="140">
        <f t="shared" si="88"/>
        <v>1.9600000000000002E-5</v>
      </c>
      <c r="BJ226">
        <v>1.96</v>
      </c>
      <c r="BK226" s="140">
        <f t="shared" si="89"/>
        <v>1.9599999999999996E-7</v>
      </c>
      <c r="BL226" s="140">
        <f t="shared" si="90"/>
        <v>3.9199999999999996E-7</v>
      </c>
      <c r="BM226" s="140">
        <f t="shared" si="91"/>
        <v>5.8800000000000002E-7</v>
      </c>
      <c r="BN226" s="140">
        <f t="shared" si="92"/>
        <v>7.8400000000000014E-7</v>
      </c>
      <c r="BO226" s="140">
        <f t="shared" si="93"/>
        <v>9.8000000000000015E-7</v>
      </c>
      <c r="BP226" s="157">
        <f>IF(BI226&lt;$B$105*DATA!$H$1037,DATA!$H$1037,IF(BI226&gt;DATA!$H$1036*$B$105,DATA!$H$1036,1))</f>
        <v>1.2</v>
      </c>
      <c r="BQ226" s="156">
        <f t="shared" si="94"/>
        <v>9.9999999999999995E-8</v>
      </c>
    </row>
    <row r="227" spans="1:69">
      <c r="A227" s="140">
        <f t="shared" si="50"/>
        <v>1.98E-5</v>
      </c>
      <c r="B227">
        <v>1.98</v>
      </c>
      <c r="C227" s="140">
        <f t="shared" si="51"/>
        <v>1.9799999999999995E-7</v>
      </c>
      <c r="D227" s="140">
        <f t="shared" si="51"/>
        <v>3.9599999999999995E-7</v>
      </c>
      <c r="E227" s="140">
        <f t="shared" si="51"/>
        <v>5.9399999999999995E-7</v>
      </c>
      <c r="F227" s="140">
        <f t="shared" si="51"/>
        <v>7.92E-7</v>
      </c>
      <c r="G227" s="140">
        <f t="shared" si="51"/>
        <v>9.9000000000000005E-7</v>
      </c>
      <c r="H227" s="157">
        <f>IF(A227&lt;$B$9*DATA!$H$1037,DATA!$H$1037,IF(A227&gt;DATA!$H$1036*$B$9,DATA!$H$1036,1))</f>
        <v>0.8</v>
      </c>
      <c r="I227" s="156">
        <f t="shared" si="52"/>
        <v>9.9999999999999995E-8</v>
      </c>
      <c r="K227" s="140">
        <f t="shared" si="53"/>
        <v>1.98E-5</v>
      </c>
      <c r="L227">
        <v>1.98</v>
      </c>
      <c r="M227" s="140">
        <f t="shared" si="54"/>
        <v>1.9799999999999995E-7</v>
      </c>
      <c r="N227" s="140">
        <f t="shared" si="55"/>
        <v>3.9599999999999995E-7</v>
      </c>
      <c r="O227" s="140">
        <f t="shared" si="56"/>
        <v>5.9399999999999995E-7</v>
      </c>
      <c r="P227" s="140">
        <f t="shared" si="57"/>
        <v>7.92E-7</v>
      </c>
      <c r="Q227" s="140">
        <f t="shared" si="58"/>
        <v>9.9000000000000005E-7</v>
      </c>
      <c r="R227" s="157">
        <f>IF(K227&lt;$B$25*DATA!$H$1037,DATA!$H$1037,IF(K227&gt;DATA!$H$1036*$B$25,DATA!$H$1036,1))</f>
        <v>0.8</v>
      </c>
      <c r="S227" s="156">
        <f t="shared" si="59"/>
        <v>9.9999999999999995E-8</v>
      </c>
      <c r="U227" s="140">
        <f t="shared" si="60"/>
        <v>1.98E-5</v>
      </c>
      <c r="V227">
        <v>1.98</v>
      </c>
      <c r="W227" s="140">
        <f t="shared" si="61"/>
        <v>1.9799999999999995E-7</v>
      </c>
      <c r="X227" s="140">
        <f t="shared" si="62"/>
        <v>3.9599999999999995E-7</v>
      </c>
      <c r="Y227" s="140">
        <f t="shared" si="63"/>
        <v>5.9399999999999995E-7</v>
      </c>
      <c r="Z227" s="140">
        <f t="shared" si="64"/>
        <v>7.92E-7</v>
      </c>
      <c r="AA227" s="140">
        <f t="shared" si="65"/>
        <v>9.9000000000000005E-7</v>
      </c>
      <c r="AB227" s="157">
        <f>IF(U227&lt;$B$41*DATA!$H$1037,DATA!$H$1037,IF(U227&gt;DATA!$H$1036*$B$41,DATA!$H$1036,1))</f>
        <v>0.8</v>
      </c>
      <c r="AC227" s="156">
        <f t="shared" si="66"/>
        <v>9.9999999999999995E-8</v>
      </c>
      <c r="AE227" s="140">
        <f t="shared" si="67"/>
        <v>1.98E-5</v>
      </c>
      <c r="AF227">
        <v>1.98</v>
      </c>
      <c r="AG227" s="140">
        <f t="shared" si="68"/>
        <v>1.9799999999999995E-7</v>
      </c>
      <c r="AH227" s="140">
        <f t="shared" si="69"/>
        <v>3.9599999999999995E-7</v>
      </c>
      <c r="AI227" s="140">
        <f t="shared" si="70"/>
        <v>5.9399999999999995E-7</v>
      </c>
      <c r="AJ227" s="140">
        <f t="shared" si="71"/>
        <v>7.92E-7</v>
      </c>
      <c r="AK227" s="140">
        <f t="shared" si="72"/>
        <v>9.9000000000000005E-7</v>
      </c>
      <c r="AL227" s="157">
        <f>IF(AE227&lt;$B$57*DATA!$H$1037,DATA!$H$1037,IF(AE227&gt;DATA!$H$1036*$B$57,DATA!$H$1036,1))</f>
        <v>1.2</v>
      </c>
      <c r="AM227" s="156">
        <f t="shared" si="73"/>
        <v>9.9999999999999995E-8</v>
      </c>
      <c r="AO227" s="140">
        <f t="shared" si="74"/>
        <v>1.98E-5</v>
      </c>
      <c r="AP227">
        <v>1.98</v>
      </c>
      <c r="AQ227" s="140">
        <f t="shared" si="75"/>
        <v>1.9799999999999995E-7</v>
      </c>
      <c r="AR227" s="140">
        <f t="shared" si="76"/>
        <v>3.9599999999999995E-7</v>
      </c>
      <c r="AS227" s="140">
        <f t="shared" si="77"/>
        <v>5.9399999999999995E-7</v>
      </c>
      <c r="AT227" s="140">
        <f t="shared" si="78"/>
        <v>7.92E-7</v>
      </c>
      <c r="AU227" s="140">
        <f t="shared" si="79"/>
        <v>9.9000000000000005E-7</v>
      </c>
      <c r="AV227" s="157">
        <f>IF(AO227&lt;$B$73*DATA!$H$1037,DATA!$H$1037,IF(AO227&gt;DATA!$H$1036*$B$73,DATA!$H$1036,1))</f>
        <v>1.2</v>
      </c>
      <c r="AW227" s="156">
        <f t="shared" si="80"/>
        <v>9.9999999999999995E-8</v>
      </c>
      <c r="AY227" s="140">
        <f t="shared" si="81"/>
        <v>1.98E-5</v>
      </c>
      <c r="AZ227">
        <v>1.98</v>
      </c>
      <c r="BA227" s="140">
        <f t="shared" si="82"/>
        <v>1.9799999999999995E-7</v>
      </c>
      <c r="BB227" s="140">
        <f t="shared" si="83"/>
        <v>3.9599999999999995E-7</v>
      </c>
      <c r="BC227" s="140">
        <f t="shared" si="84"/>
        <v>5.9399999999999995E-7</v>
      </c>
      <c r="BD227" s="140">
        <f t="shared" si="85"/>
        <v>7.92E-7</v>
      </c>
      <c r="BE227" s="140">
        <f t="shared" si="86"/>
        <v>9.9000000000000005E-7</v>
      </c>
      <c r="BF227" s="157">
        <f>IF(AY227&lt;$B$89*DATA!$H$1037,DATA!$H$1037,IF(AY227&gt;DATA!$H$1036*$B$89,DATA!$H$1036,1))</f>
        <v>1.2</v>
      </c>
      <c r="BG227" s="156">
        <f t="shared" si="87"/>
        <v>9.9999999999999995E-8</v>
      </c>
      <c r="BI227" s="140">
        <f t="shared" si="88"/>
        <v>1.98E-5</v>
      </c>
      <c r="BJ227">
        <v>1.98</v>
      </c>
      <c r="BK227" s="140">
        <f t="shared" si="89"/>
        <v>1.9799999999999995E-7</v>
      </c>
      <c r="BL227" s="140">
        <f t="shared" si="90"/>
        <v>3.9599999999999995E-7</v>
      </c>
      <c r="BM227" s="140">
        <f t="shared" si="91"/>
        <v>5.9399999999999995E-7</v>
      </c>
      <c r="BN227" s="140">
        <f t="shared" si="92"/>
        <v>7.92E-7</v>
      </c>
      <c r="BO227" s="140">
        <f t="shared" si="93"/>
        <v>9.9000000000000005E-7</v>
      </c>
      <c r="BP227" s="157">
        <f>IF(BI227&lt;$B$105*DATA!$H$1037,DATA!$H$1037,IF(BI227&gt;DATA!$H$1036*$B$105,DATA!$H$1036,1))</f>
        <v>1.2</v>
      </c>
      <c r="BQ227" s="156">
        <f t="shared" si="94"/>
        <v>9.9999999999999995E-8</v>
      </c>
    </row>
    <row r="228" spans="1:69">
      <c r="A228" s="140">
        <f t="shared" si="50"/>
        <v>2.0000000000000002E-5</v>
      </c>
      <c r="B228">
        <v>2</v>
      </c>
      <c r="C228" s="140">
        <f t="shared" si="51"/>
        <v>1.9999999999999994E-7</v>
      </c>
      <c r="D228" s="140">
        <f t="shared" si="51"/>
        <v>3.9999999999999998E-7</v>
      </c>
      <c r="E228" s="140">
        <f t="shared" si="51"/>
        <v>6.0000000000000008E-7</v>
      </c>
      <c r="F228" s="140">
        <f t="shared" si="51"/>
        <v>8.0000000000000007E-7</v>
      </c>
      <c r="G228" s="140">
        <f t="shared" si="51"/>
        <v>1.0000000000000002E-6</v>
      </c>
      <c r="H228" s="157">
        <f>IF(A228&lt;$B$9*DATA!$H$1037,DATA!$H$1037,IF(A228&gt;DATA!$H$1036*$B$9,DATA!$H$1036,1))</f>
        <v>0.8</v>
      </c>
      <c r="I228" s="156">
        <f t="shared" si="52"/>
        <v>9.9999999999999995E-8</v>
      </c>
      <c r="K228" s="140">
        <f t="shared" si="53"/>
        <v>2.0000000000000002E-5</v>
      </c>
      <c r="L228">
        <v>2</v>
      </c>
      <c r="M228" s="140">
        <f t="shared" si="54"/>
        <v>1.9999999999999994E-7</v>
      </c>
      <c r="N228" s="140">
        <f t="shared" si="55"/>
        <v>3.9999999999999998E-7</v>
      </c>
      <c r="O228" s="140">
        <f t="shared" si="56"/>
        <v>6.0000000000000008E-7</v>
      </c>
      <c r="P228" s="140">
        <f t="shared" si="57"/>
        <v>8.0000000000000007E-7</v>
      </c>
      <c r="Q228" s="140">
        <f t="shared" si="58"/>
        <v>1.0000000000000002E-6</v>
      </c>
      <c r="R228" s="157">
        <f>IF(K228&lt;$B$25*DATA!$H$1037,DATA!$H$1037,IF(K228&gt;DATA!$H$1036*$B$25,DATA!$H$1036,1))</f>
        <v>0.8</v>
      </c>
      <c r="S228" s="156">
        <f t="shared" si="59"/>
        <v>9.9999999999999995E-8</v>
      </c>
      <c r="U228" s="140">
        <f t="shared" si="60"/>
        <v>2.0000000000000002E-5</v>
      </c>
      <c r="V228">
        <v>2</v>
      </c>
      <c r="W228" s="140">
        <f t="shared" si="61"/>
        <v>1.9999999999999994E-7</v>
      </c>
      <c r="X228" s="140">
        <f t="shared" si="62"/>
        <v>3.9999999999999998E-7</v>
      </c>
      <c r="Y228" s="140">
        <f t="shared" si="63"/>
        <v>6.0000000000000008E-7</v>
      </c>
      <c r="Z228" s="140">
        <f t="shared" si="64"/>
        <v>8.0000000000000007E-7</v>
      </c>
      <c r="AA228" s="140">
        <f t="shared" si="65"/>
        <v>1.0000000000000002E-6</v>
      </c>
      <c r="AB228" s="157">
        <f>IF(U228&lt;$B$41*DATA!$H$1037,DATA!$H$1037,IF(U228&gt;DATA!$H$1036*$B$41,DATA!$H$1036,1))</f>
        <v>0.8</v>
      </c>
      <c r="AC228" s="156">
        <f t="shared" si="66"/>
        <v>9.9999999999999995E-8</v>
      </c>
      <c r="AE228" s="140">
        <f t="shared" si="67"/>
        <v>2.0000000000000002E-5</v>
      </c>
      <c r="AF228">
        <v>2</v>
      </c>
      <c r="AG228" s="140">
        <f t="shared" si="68"/>
        <v>1.9999999999999994E-7</v>
      </c>
      <c r="AH228" s="140">
        <f t="shared" si="69"/>
        <v>3.9999999999999998E-7</v>
      </c>
      <c r="AI228" s="140">
        <f t="shared" si="70"/>
        <v>6.0000000000000008E-7</v>
      </c>
      <c r="AJ228" s="140">
        <f t="shared" si="71"/>
        <v>8.0000000000000007E-7</v>
      </c>
      <c r="AK228" s="140">
        <f t="shared" si="72"/>
        <v>1.0000000000000002E-6</v>
      </c>
      <c r="AL228" s="157">
        <f>IF(AE228&lt;$B$57*DATA!$H$1037,DATA!$H$1037,IF(AE228&gt;DATA!$H$1036*$B$57,DATA!$H$1036,1))</f>
        <v>1.2</v>
      </c>
      <c r="AM228" s="156">
        <f t="shared" si="73"/>
        <v>9.9999999999999995E-8</v>
      </c>
      <c r="AO228" s="140">
        <f t="shared" si="74"/>
        <v>2.0000000000000002E-5</v>
      </c>
      <c r="AP228">
        <v>2</v>
      </c>
      <c r="AQ228" s="140">
        <f t="shared" si="75"/>
        <v>1.9999999999999994E-7</v>
      </c>
      <c r="AR228" s="140">
        <f t="shared" si="76"/>
        <v>3.9999999999999998E-7</v>
      </c>
      <c r="AS228" s="140">
        <f t="shared" si="77"/>
        <v>6.0000000000000008E-7</v>
      </c>
      <c r="AT228" s="140">
        <f t="shared" si="78"/>
        <v>8.0000000000000007E-7</v>
      </c>
      <c r="AU228" s="140">
        <f t="shared" si="79"/>
        <v>1.0000000000000002E-6</v>
      </c>
      <c r="AV228" s="157">
        <f>IF(AO228&lt;$B$73*DATA!$H$1037,DATA!$H$1037,IF(AO228&gt;DATA!$H$1036*$B$73,DATA!$H$1036,1))</f>
        <v>1.2</v>
      </c>
      <c r="AW228" s="156">
        <f t="shared" si="80"/>
        <v>9.9999999999999995E-8</v>
      </c>
      <c r="AY228" s="140">
        <f t="shared" si="81"/>
        <v>2.0000000000000002E-5</v>
      </c>
      <c r="AZ228">
        <v>2</v>
      </c>
      <c r="BA228" s="140">
        <f t="shared" si="82"/>
        <v>1.9999999999999994E-7</v>
      </c>
      <c r="BB228" s="140">
        <f t="shared" si="83"/>
        <v>3.9999999999999998E-7</v>
      </c>
      <c r="BC228" s="140">
        <f t="shared" si="84"/>
        <v>6.0000000000000008E-7</v>
      </c>
      <c r="BD228" s="140">
        <f t="shared" si="85"/>
        <v>8.0000000000000007E-7</v>
      </c>
      <c r="BE228" s="140">
        <f t="shared" si="86"/>
        <v>1.0000000000000002E-6</v>
      </c>
      <c r="BF228" s="157">
        <f>IF(AY228&lt;$B$89*DATA!$H$1037,DATA!$H$1037,IF(AY228&gt;DATA!$H$1036*$B$89,DATA!$H$1036,1))</f>
        <v>1.2</v>
      </c>
      <c r="BG228" s="156">
        <f t="shared" si="87"/>
        <v>9.9999999999999995E-8</v>
      </c>
      <c r="BI228" s="140">
        <f t="shared" si="88"/>
        <v>2.0000000000000002E-5</v>
      </c>
      <c r="BJ228">
        <v>2</v>
      </c>
      <c r="BK228" s="140">
        <f t="shared" si="89"/>
        <v>1.9999999999999994E-7</v>
      </c>
      <c r="BL228" s="140">
        <f t="shared" si="90"/>
        <v>3.9999999999999998E-7</v>
      </c>
      <c r="BM228" s="140">
        <f t="shared" si="91"/>
        <v>6.0000000000000008E-7</v>
      </c>
      <c r="BN228" s="140">
        <f t="shared" si="92"/>
        <v>8.0000000000000007E-7</v>
      </c>
      <c r="BO228" s="140">
        <f t="shared" si="93"/>
        <v>1.0000000000000002E-6</v>
      </c>
      <c r="BP228" s="157">
        <f>IF(BI228&lt;$B$105*DATA!$H$1037,DATA!$H$1037,IF(BI228&gt;DATA!$H$1036*$B$105,DATA!$H$1036,1))</f>
        <v>1.2</v>
      </c>
      <c r="BQ228" s="156">
        <f t="shared" si="94"/>
        <v>9.9999999999999995E-8</v>
      </c>
    </row>
    <row r="229" spans="1:69">
      <c r="A229" s="140">
        <f t="shared" si="50"/>
        <v>2.0200000000000003E-5</v>
      </c>
      <c r="B229">
        <v>2.02</v>
      </c>
      <c r="C229" s="140">
        <f t="shared" si="51"/>
        <v>2.0199999999999996E-7</v>
      </c>
      <c r="D229" s="140">
        <f t="shared" si="51"/>
        <v>4.0400000000000002E-7</v>
      </c>
      <c r="E229" s="140">
        <f t="shared" si="51"/>
        <v>6.0600000000000011E-7</v>
      </c>
      <c r="F229" s="140">
        <f t="shared" si="51"/>
        <v>8.0800000000000014E-7</v>
      </c>
      <c r="G229" s="140">
        <f t="shared" si="51"/>
        <v>1.0100000000000003E-6</v>
      </c>
      <c r="H229" s="157">
        <f>IF(A229&lt;$B$9*DATA!$H$1037,DATA!$H$1037,IF(A229&gt;DATA!$H$1036*$B$9,DATA!$H$1036,1))</f>
        <v>0.8</v>
      </c>
      <c r="I229" s="156">
        <f t="shared" si="52"/>
        <v>9.9999999999999995E-8</v>
      </c>
      <c r="K229" s="140">
        <f t="shared" si="53"/>
        <v>2.0200000000000003E-5</v>
      </c>
      <c r="L229">
        <v>2.02</v>
      </c>
      <c r="M229" s="140">
        <f t="shared" si="54"/>
        <v>2.0199999999999996E-7</v>
      </c>
      <c r="N229" s="140">
        <f t="shared" si="55"/>
        <v>4.0400000000000002E-7</v>
      </c>
      <c r="O229" s="140">
        <f t="shared" si="56"/>
        <v>6.0600000000000011E-7</v>
      </c>
      <c r="P229" s="140">
        <f t="shared" si="57"/>
        <v>8.0800000000000014E-7</v>
      </c>
      <c r="Q229" s="140">
        <f t="shared" si="58"/>
        <v>1.0100000000000003E-6</v>
      </c>
      <c r="R229" s="157">
        <f>IF(K229&lt;$B$25*DATA!$H$1037,DATA!$H$1037,IF(K229&gt;DATA!$H$1036*$B$25,DATA!$H$1036,1))</f>
        <v>0.8</v>
      </c>
      <c r="S229" s="156">
        <f t="shared" si="59"/>
        <v>9.9999999999999995E-8</v>
      </c>
      <c r="U229" s="140">
        <f t="shared" si="60"/>
        <v>2.0200000000000003E-5</v>
      </c>
      <c r="V229">
        <v>2.02</v>
      </c>
      <c r="W229" s="140">
        <f t="shared" si="61"/>
        <v>2.0199999999999996E-7</v>
      </c>
      <c r="X229" s="140">
        <f t="shared" si="62"/>
        <v>4.0400000000000002E-7</v>
      </c>
      <c r="Y229" s="140">
        <f t="shared" si="63"/>
        <v>6.0600000000000011E-7</v>
      </c>
      <c r="Z229" s="140">
        <f t="shared" si="64"/>
        <v>8.0800000000000014E-7</v>
      </c>
      <c r="AA229" s="140">
        <f t="shared" si="65"/>
        <v>1.0100000000000003E-6</v>
      </c>
      <c r="AB229" s="157">
        <f>IF(U229&lt;$B$41*DATA!$H$1037,DATA!$H$1037,IF(U229&gt;DATA!$H$1036*$B$41,DATA!$H$1036,1))</f>
        <v>0.8</v>
      </c>
      <c r="AC229" s="156">
        <f t="shared" si="66"/>
        <v>9.9999999999999995E-8</v>
      </c>
      <c r="AE229" s="140">
        <f t="shared" si="67"/>
        <v>2.0200000000000003E-5</v>
      </c>
      <c r="AF229">
        <v>2.02</v>
      </c>
      <c r="AG229" s="140">
        <f t="shared" si="68"/>
        <v>2.0199999999999996E-7</v>
      </c>
      <c r="AH229" s="140">
        <f t="shared" si="69"/>
        <v>4.0400000000000002E-7</v>
      </c>
      <c r="AI229" s="140">
        <f t="shared" si="70"/>
        <v>6.0600000000000011E-7</v>
      </c>
      <c r="AJ229" s="140">
        <f t="shared" si="71"/>
        <v>8.0800000000000014E-7</v>
      </c>
      <c r="AK229" s="140">
        <f t="shared" si="72"/>
        <v>1.0100000000000003E-6</v>
      </c>
      <c r="AL229" s="157">
        <f>IF(AE229&lt;$B$57*DATA!$H$1037,DATA!$H$1037,IF(AE229&gt;DATA!$H$1036*$B$57,DATA!$H$1036,1))</f>
        <v>1.2</v>
      </c>
      <c r="AM229" s="156">
        <f t="shared" si="73"/>
        <v>9.9999999999999995E-8</v>
      </c>
      <c r="AO229" s="140">
        <f t="shared" si="74"/>
        <v>2.0200000000000003E-5</v>
      </c>
      <c r="AP229">
        <v>2.02</v>
      </c>
      <c r="AQ229" s="140">
        <f t="shared" si="75"/>
        <v>2.0199999999999996E-7</v>
      </c>
      <c r="AR229" s="140">
        <f t="shared" si="76"/>
        <v>4.0400000000000002E-7</v>
      </c>
      <c r="AS229" s="140">
        <f t="shared" si="77"/>
        <v>6.0600000000000011E-7</v>
      </c>
      <c r="AT229" s="140">
        <f t="shared" si="78"/>
        <v>8.0800000000000014E-7</v>
      </c>
      <c r="AU229" s="140">
        <f t="shared" si="79"/>
        <v>1.0100000000000003E-6</v>
      </c>
      <c r="AV229" s="157">
        <f>IF(AO229&lt;$B$73*DATA!$H$1037,DATA!$H$1037,IF(AO229&gt;DATA!$H$1036*$B$73,DATA!$H$1036,1))</f>
        <v>1.2</v>
      </c>
      <c r="AW229" s="156">
        <f t="shared" si="80"/>
        <v>9.9999999999999995E-8</v>
      </c>
      <c r="AY229" s="140">
        <f t="shared" si="81"/>
        <v>2.0200000000000003E-5</v>
      </c>
      <c r="AZ229">
        <v>2.02</v>
      </c>
      <c r="BA229" s="140">
        <f t="shared" si="82"/>
        <v>2.0199999999999996E-7</v>
      </c>
      <c r="BB229" s="140">
        <f t="shared" si="83"/>
        <v>4.0400000000000002E-7</v>
      </c>
      <c r="BC229" s="140">
        <f t="shared" si="84"/>
        <v>6.0600000000000011E-7</v>
      </c>
      <c r="BD229" s="140">
        <f t="shared" si="85"/>
        <v>8.0800000000000014E-7</v>
      </c>
      <c r="BE229" s="140">
        <f t="shared" si="86"/>
        <v>1.0100000000000003E-6</v>
      </c>
      <c r="BF229" s="157">
        <f>IF(AY229&lt;$B$89*DATA!$H$1037,DATA!$H$1037,IF(AY229&gt;DATA!$H$1036*$B$89,DATA!$H$1036,1))</f>
        <v>1.2</v>
      </c>
      <c r="BG229" s="156">
        <f t="shared" si="87"/>
        <v>9.9999999999999995E-8</v>
      </c>
      <c r="BI229" s="140">
        <f t="shared" si="88"/>
        <v>2.0200000000000003E-5</v>
      </c>
      <c r="BJ229">
        <v>2.02</v>
      </c>
      <c r="BK229" s="140">
        <f t="shared" si="89"/>
        <v>2.0199999999999996E-7</v>
      </c>
      <c r="BL229" s="140">
        <f t="shared" si="90"/>
        <v>4.0400000000000002E-7</v>
      </c>
      <c r="BM229" s="140">
        <f t="shared" si="91"/>
        <v>6.0600000000000011E-7</v>
      </c>
      <c r="BN229" s="140">
        <f t="shared" si="92"/>
        <v>8.0800000000000014E-7</v>
      </c>
      <c r="BO229" s="140">
        <f t="shared" si="93"/>
        <v>1.0100000000000003E-6</v>
      </c>
      <c r="BP229" s="157">
        <f>IF(BI229&lt;$B$105*DATA!$H$1037,DATA!$H$1037,IF(BI229&gt;DATA!$H$1036*$B$105,DATA!$H$1036,1))</f>
        <v>1.2</v>
      </c>
      <c r="BQ229" s="156">
        <f t="shared" si="94"/>
        <v>9.9999999999999995E-8</v>
      </c>
    </row>
    <row r="230" spans="1:69">
      <c r="A230" s="140">
        <f t="shared" si="50"/>
        <v>2.0400000000000001E-5</v>
      </c>
      <c r="B230">
        <v>2.04</v>
      </c>
      <c r="C230" s="140">
        <f t="shared" si="51"/>
        <v>2.0399999999999995E-7</v>
      </c>
      <c r="D230" s="140">
        <f t="shared" si="51"/>
        <v>4.0799999999999995E-7</v>
      </c>
      <c r="E230" s="140">
        <f t="shared" si="51"/>
        <v>6.1200000000000003E-7</v>
      </c>
      <c r="F230" s="140">
        <f t="shared" si="51"/>
        <v>8.1600000000000011E-7</v>
      </c>
      <c r="G230" s="140">
        <f t="shared" si="51"/>
        <v>1.0200000000000002E-6</v>
      </c>
      <c r="H230" s="157">
        <f>IF(A230&lt;$B$9*DATA!$H$1037,DATA!$H$1037,IF(A230&gt;DATA!$H$1036*$B$9,DATA!$H$1036,1))</f>
        <v>0.8</v>
      </c>
      <c r="I230" s="156">
        <f t="shared" si="52"/>
        <v>9.9999999999999995E-8</v>
      </c>
      <c r="K230" s="140">
        <f t="shared" si="53"/>
        <v>2.0400000000000001E-5</v>
      </c>
      <c r="L230">
        <v>2.04</v>
      </c>
      <c r="M230" s="140">
        <f t="shared" si="54"/>
        <v>2.0399999999999995E-7</v>
      </c>
      <c r="N230" s="140">
        <f t="shared" si="55"/>
        <v>4.0799999999999995E-7</v>
      </c>
      <c r="O230" s="140">
        <f t="shared" si="56"/>
        <v>6.1200000000000003E-7</v>
      </c>
      <c r="P230" s="140">
        <f t="shared" si="57"/>
        <v>8.1600000000000011E-7</v>
      </c>
      <c r="Q230" s="140">
        <f t="shared" si="58"/>
        <v>1.0200000000000002E-6</v>
      </c>
      <c r="R230" s="157">
        <f>IF(K230&lt;$B$25*DATA!$H$1037,DATA!$H$1037,IF(K230&gt;DATA!$H$1036*$B$25,DATA!$H$1036,1))</f>
        <v>0.8</v>
      </c>
      <c r="S230" s="156">
        <f t="shared" si="59"/>
        <v>9.9999999999999995E-8</v>
      </c>
      <c r="U230" s="140">
        <f t="shared" si="60"/>
        <v>2.0400000000000001E-5</v>
      </c>
      <c r="V230">
        <v>2.04</v>
      </c>
      <c r="W230" s="140">
        <f t="shared" si="61"/>
        <v>2.0399999999999995E-7</v>
      </c>
      <c r="X230" s="140">
        <f t="shared" si="62"/>
        <v>4.0799999999999995E-7</v>
      </c>
      <c r="Y230" s="140">
        <f t="shared" si="63"/>
        <v>6.1200000000000003E-7</v>
      </c>
      <c r="Z230" s="140">
        <f t="shared" si="64"/>
        <v>8.1600000000000011E-7</v>
      </c>
      <c r="AA230" s="140">
        <f t="shared" si="65"/>
        <v>1.0200000000000002E-6</v>
      </c>
      <c r="AB230" s="157">
        <f>IF(U230&lt;$B$41*DATA!$H$1037,DATA!$H$1037,IF(U230&gt;DATA!$H$1036*$B$41,DATA!$H$1036,1))</f>
        <v>0.8</v>
      </c>
      <c r="AC230" s="156">
        <f t="shared" si="66"/>
        <v>9.9999999999999995E-8</v>
      </c>
      <c r="AE230" s="140">
        <f t="shared" si="67"/>
        <v>2.0400000000000001E-5</v>
      </c>
      <c r="AF230">
        <v>2.04</v>
      </c>
      <c r="AG230" s="140">
        <f t="shared" si="68"/>
        <v>2.0399999999999995E-7</v>
      </c>
      <c r="AH230" s="140">
        <f t="shared" si="69"/>
        <v>4.0799999999999995E-7</v>
      </c>
      <c r="AI230" s="140">
        <f t="shared" si="70"/>
        <v>6.1200000000000003E-7</v>
      </c>
      <c r="AJ230" s="140">
        <f t="shared" si="71"/>
        <v>8.1600000000000011E-7</v>
      </c>
      <c r="AK230" s="140">
        <f t="shared" si="72"/>
        <v>1.0200000000000002E-6</v>
      </c>
      <c r="AL230" s="157">
        <f>IF(AE230&lt;$B$57*DATA!$H$1037,DATA!$H$1037,IF(AE230&gt;DATA!$H$1036*$B$57,DATA!$H$1036,1))</f>
        <v>1.2</v>
      </c>
      <c r="AM230" s="156">
        <f t="shared" si="73"/>
        <v>9.9999999999999995E-8</v>
      </c>
      <c r="AO230" s="140">
        <f t="shared" si="74"/>
        <v>2.0400000000000001E-5</v>
      </c>
      <c r="AP230">
        <v>2.04</v>
      </c>
      <c r="AQ230" s="140">
        <f t="shared" si="75"/>
        <v>2.0399999999999995E-7</v>
      </c>
      <c r="AR230" s="140">
        <f t="shared" si="76"/>
        <v>4.0799999999999995E-7</v>
      </c>
      <c r="AS230" s="140">
        <f t="shared" si="77"/>
        <v>6.1200000000000003E-7</v>
      </c>
      <c r="AT230" s="140">
        <f t="shared" si="78"/>
        <v>8.1600000000000011E-7</v>
      </c>
      <c r="AU230" s="140">
        <f t="shared" si="79"/>
        <v>1.0200000000000002E-6</v>
      </c>
      <c r="AV230" s="157">
        <f>IF(AO230&lt;$B$73*DATA!$H$1037,DATA!$H$1037,IF(AO230&gt;DATA!$H$1036*$B$73,DATA!$H$1036,1))</f>
        <v>1.2</v>
      </c>
      <c r="AW230" s="156">
        <f t="shared" si="80"/>
        <v>9.9999999999999995E-8</v>
      </c>
      <c r="AY230" s="140">
        <f t="shared" si="81"/>
        <v>2.0400000000000001E-5</v>
      </c>
      <c r="AZ230">
        <v>2.04</v>
      </c>
      <c r="BA230" s="140">
        <f t="shared" si="82"/>
        <v>2.0399999999999995E-7</v>
      </c>
      <c r="BB230" s="140">
        <f t="shared" si="83"/>
        <v>4.0799999999999995E-7</v>
      </c>
      <c r="BC230" s="140">
        <f t="shared" si="84"/>
        <v>6.1200000000000003E-7</v>
      </c>
      <c r="BD230" s="140">
        <f t="shared" si="85"/>
        <v>8.1600000000000011E-7</v>
      </c>
      <c r="BE230" s="140">
        <f t="shared" si="86"/>
        <v>1.0200000000000002E-6</v>
      </c>
      <c r="BF230" s="157">
        <f>IF(AY230&lt;$B$89*DATA!$H$1037,DATA!$H$1037,IF(AY230&gt;DATA!$H$1036*$B$89,DATA!$H$1036,1))</f>
        <v>1.2</v>
      </c>
      <c r="BG230" s="156">
        <f t="shared" si="87"/>
        <v>9.9999999999999995E-8</v>
      </c>
      <c r="BI230" s="140">
        <f t="shared" si="88"/>
        <v>2.0400000000000001E-5</v>
      </c>
      <c r="BJ230">
        <v>2.04</v>
      </c>
      <c r="BK230" s="140">
        <f t="shared" si="89"/>
        <v>2.0399999999999995E-7</v>
      </c>
      <c r="BL230" s="140">
        <f t="shared" si="90"/>
        <v>4.0799999999999995E-7</v>
      </c>
      <c r="BM230" s="140">
        <f t="shared" si="91"/>
        <v>6.1200000000000003E-7</v>
      </c>
      <c r="BN230" s="140">
        <f t="shared" si="92"/>
        <v>8.1600000000000011E-7</v>
      </c>
      <c r="BO230" s="140">
        <f t="shared" si="93"/>
        <v>1.0200000000000002E-6</v>
      </c>
      <c r="BP230" s="157">
        <f>IF(BI230&lt;$B$105*DATA!$H$1037,DATA!$H$1037,IF(BI230&gt;DATA!$H$1036*$B$105,DATA!$H$1036,1))</f>
        <v>1.2</v>
      </c>
      <c r="BQ230" s="156">
        <f t="shared" si="94"/>
        <v>9.9999999999999995E-8</v>
      </c>
    </row>
    <row r="231" spans="1:69">
      <c r="A231" s="140">
        <f t="shared" si="50"/>
        <v>2.0600000000000003E-5</v>
      </c>
      <c r="B231">
        <v>2.06</v>
      </c>
      <c r="C231" s="140">
        <f t="shared" si="51"/>
        <v>2.0599999999999997E-7</v>
      </c>
      <c r="D231" s="140">
        <f t="shared" si="51"/>
        <v>4.1199999999999998E-7</v>
      </c>
      <c r="E231" s="140">
        <f t="shared" si="51"/>
        <v>6.1800000000000005E-7</v>
      </c>
      <c r="F231" s="140">
        <f t="shared" si="51"/>
        <v>8.2400000000000007E-7</v>
      </c>
      <c r="G231" s="140">
        <f t="shared" si="51"/>
        <v>1.0300000000000001E-6</v>
      </c>
      <c r="H231" s="157">
        <f>IF(A231&lt;$B$9*DATA!$H$1037,DATA!$H$1037,IF(A231&gt;DATA!$H$1036*$B$9,DATA!$H$1036,1))</f>
        <v>0.8</v>
      </c>
      <c r="I231" s="156">
        <f t="shared" si="52"/>
        <v>9.9999999999999995E-8</v>
      </c>
      <c r="K231" s="140">
        <f t="shared" si="53"/>
        <v>2.0600000000000003E-5</v>
      </c>
      <c r="L231">
        <v>2.06</v>
      </c>
      <c r="M231" s="140">
        <f t="shared" si="54"/>
        <v>2.0599999999999997E-7</v>
      </c>
      <c r="N231" s="140">
        <f t="shared" si="55"/>
        <v>4.1199999999999998E-7</v>
      </c>
      <c r="O231" s="140">
        <f t="shared" si="56"/>
        <v>6.1800000000000005E-7</v>
      </c>
      <c r="P231" s="140">
        <f t="shared" si="57"/>
        <v>8.2400000000000007E-7</v>
      </c>
      <c r="Q231" s="140">
        <f t="shared" si="58"/>
        <v>1.0300000000000001E-6</v>
      </c>
      <c r="R231" s="157">
        <f>IF(K231&lt;$B$25*DATA!$H$1037,DATA!$H$1037,IF(K231&gt;DATA!$H$1036*$B$25,DATA!$H$1036,1))</f>
        <v>0.8</v>
      </c>
      <c r="S231" s="156">
        <f t="shared" si="59"/>
        <v>9.9999999999999995E-8</v>
      </c>
      <c r="U231" s="140">
        <f t="shared" si="60"/>
        <v>2.0600000000000003E-5</v>
      </c>
      <c r="V231">
        <v>2.06</v>
      </c>
      <c r="W231" s="140">
        <f t="shared" si="61"/>
        <v>2.0599999999999997E-7</v>
      </c>
      <c r="X231" s="140">
        <f t="shared" si="62"/>
        <v>4.1199999999999998E-7</v>
      </c>
      <c r="Y231" s="140">
        <f t="shared" si="63"/>
        <v>6.1800000000000005E-7</v>
      </c>
      <c r="Z231" s="140">
        <f t="shared" si="64"/>
        <v>8.2400000000000007E-7</v>
      </c>
      <c r="AA231" s="140">
        <f t="shared" si="65"/>
        <v>1.0300000000000001E-6</v>
      </c>
      <c r="AB231" s="157">
        <f>IF(U231&lt;$B$41*DATA!$H$1037,DATA!$H$1037,IF(U231&gt;DATA!$H$1036*$B$41,DATA!$H$1036,1))</f>
        <v>0.8</v>
      </c>
      <c r="AC231" s="156">
        <f t="shared" si="66"/>
        <v>9.9999999999999995E-8</v>
      </c>
      <c r="AE231" s="140">
        <f t="shared" si="67"/>
        <v>2.0600000000000003E-5</v>
      </c>
      <c r="AF231">
        <v>2.06</v>
      </c>
      <c r="AG231" s="140">
        <f t="shared" si="68"/>
        <v>2.0599999999999997E-7</v>
      </c>
      <c r="AH231" s="140">
        <f t="shared" si="69"/>
        <v>4.1199999999999998E-7</v>
      </c>
      <c r="AI231" s="140">
        <f t="shared" si="70"/>
        <v>6.1800000000000005E-7</v>
      </c>
      <c r="AJ231" s="140">
        <f t="shared" si="71"/>
        <v>8.2400000000000007E-7</v>
      </c>
      <c r="AK231" s="140">
        <f t="shared" si="72"/>
        <v>1.0300000000000001E-6</v>
      </c>
      <c r="AL231" s="157">
        <f>IF(AE231&lt;$B$57*DATA!$H$1037,DATA!$H$1037,IF(AE231&gt;DATA!$H$1036*$B$57,DATA!$H$1036,1))</f>
        <v>1.2</v>
      </c>
      <c r="AM231" s="156">
        <f t="shared" si="73"/>
        <v>9.9999999999999995E-8</v>
      </c>
      <c r="AO231" s="140">
        <f t="shared" si="74"/>
        <v>2.0600000000000003E-5</v>
      </c>
      <c r="AP231">
        <v>2.06</v>
      </c>
      <c r="AQ231" s="140">
        <f t="shared" si="75"/>
        <v>2.0599999999999997E-7</v>
      </c>
      <c r="AR231" s="140">
        <f t="shared" si="76"/>
        <v>4.1199999999999998E-7</v>
      </c>
      <c r="AS231" s="140">
        <f t="shared" si="77"/>
        <v>6.1800000000000005E-7</v>
      </c>
      <c r="AT231" s="140">
        <f t="shared" si="78"/>
        <v>8.2400000000000007E-7</v>
      </c>
      <c r="AU231" s="140">
        <f t="shared" si="79"/>
        <v>1.0300000000000001E-6</v>
      </c>
      <c r="AV231" s="157">
        <f>IF(AO231&lt;$B$73*DATA!$H$1037,DATA!$H$1037,IF(AO231&gt;DATA!$H$1036*$B$73,DATA!$H$1036,1))</f>
        <v>1.2</v>
      </c>
      <c r="AW231" s="156">
        <f t="shared" si="80"/>
        <v>9.9999999999999995E-8</v>
      </c>
      <c r="AY231" s="140">
        <f t="shared" si="81"/>
        <v>2.0600000000000003E-5</v>
      </c>
      <c r="AZ231">
        <v>2.06</v>
      </c>
      <c r="BA231" s="140">
        <f t="shared" si="82"/>
        <v>2.0599999999999997E-7</v>
      </c>
      <c r="BB231" s="140">
        <f t="shared" si="83"/>
        <v>4.1199999999999998E-7</v>
      </c>
      <c r="BC231" s="140">
        <f t="shared" si="84"/>
        <v>6.1800000000000005E-7</v>
      </c>
      <c r="BD231" s="140">
        <f t="shared" si="85"/>
        <v>8.2400000000000007E-7</v>
      </c>
      <c r="BE231" s="140">
        <f t="shared" si="86"/>
        <v>1.0300000000000001E-6</v>
      </c>
      <c r="BF231" s="157">
        <f>IF(AY231&lt;$B$89*DATA!$H$1037,DATA!$H$1037,IF(AY231&gt;DATA!$H$1036*$B$89,DATA!$H$1036,1))</f>
        <v>1.2</v>
      </c>
      <c r="BG231" s="156">
        <f t="shared" si="87"/>
        <v>9.9999999999999995E-8</v>
      </c>
      <c r="BI231" s="140">
        <f t="shared" si="88"/>
        <v>2.0600000000000003E-5</v>
      </c>
      <c r="BJ231">
        <v>2.06</v>
      </c>
      <c r="BK231" s="140">
        <f t="shared" si="89"/>
        <v>2.0599999999999997E-7</v>
      </c>
      <c r="BL231" s="140">
        <f t="shared" si="90"/>
        <v>4.1199999999999998E-7</v>
      </c>
      <c r="BM231" s="140">
        <f t="shared" si="91"/>
        <v>6.1800000000000005E-7</v>
      </c>
      <c r="BN231" s="140">
        <f t="shared" si="92"/>
        <v>8.2400000000000007E-7</v>
      </c>
      <c r="BO231" s="140">
        <f t="shared" si="93"/>
        <v>1.0300000000000001E-6</v>
      </c>
      <c r="BP231" s="157">
        <f>IF(BI231&lt;$B$105*DATA!$H$1037,DATA!$H$1037,IF(BI231&gt;DATA!$H$1036*$B$105,DATA!$H$1036,1))</f>
        <v>1.2</v>
      </c>
      <c r="BQ231" s="156">
        <f t="shared" si="94"/>
        <v>9.9999999999999995E-8</v>
      </c>
    </row>
    <row r="232" spans="1:69">
      <c r="A232" s="140">
        <f t="shared" si="50"/>
        <v>2.0800000000000001E-5</v>
      </c>
      <c r="B232">
        <v>2.08</v>
      </c>
      <c r="C232" s="140">
        <f t="shared" si="51"/>
        <v>2.0799999999999993E-7</v>
      </c>
      <c r="D232" s="140">
        <f t="shared" si="51"/>
        <v>4.1599999999999997E-7</v>
      </c>
      <c r="E232" s="140">
        <f t="shared" si="51"/>
        <v>6.2399999999999998E-7</v>
      </c>
      <c r="F232" s="140">
        <f t="shared" si="51"/>
        <v>8.3200000000000004E-7</v>
      </c>
      <c r="G232" s="140">
        <f t="shared" si="51"/>
        <v>1.04E-6</v>
      </c>
      <c r="H232" s="157">
        <f>IF(A232&lt;$B$9*DATA!$H$1037,DATA!$H$1037,IF(A232&gt;DATA!$H$1036*$B$9,DATA!$H$1036,1))</f>
        <v>0.8</v>
      </c>
      <c r="I232" s="156">
        <f t="shared" si="52"/>
        <v>9.9999999999999995E-8</v>
      </c>
      <c r="K232" s="140">
        <f t="shared" si="53"/>
        <v>2.0800000000000001E-5</v>
      </c>
      <c r="L232">
        <v>2.08</v>
      </c>
      <c r="M232" s="140">
        <f t="shared" si="54"/>
        <v>2.0799999999999993E-7</v>
      </c>
      <c r="N232" s="140">
        <f t="shared" si="55"/>
        <v>4.1599999999999997E-7</v>
      </c>
      <c r="O232" s="140">
        <f t="shared" si="56"/>
        <v>6.2399999999999998E-7</v>
      </c>
      <c r="P232" s="140">
        <f t="shared" si="57"/>
        <v>8.3200000000000004E-7</v>
      </c>
      <c r="Q232" s="140">
        <f t="shared" si="58"/>
        <v>1.04E-6</v>
      </c>
      <c r="R232" s="157">
        <f>IF(K232&lt;$B$25*DATA!$H$1037,DATA!$H$1037,IF(K232&gt;DATA!$H$1036*$B$25,DATA!$H$1036,1))</f>
        <v>0.8</v>
      </c>
      <c r="S232" s="156">
        <f t="shared" si="59"/>
        <v>9.9999999999999995E-8</v>
      </c>
      <c r="U232" s="140">
        <f t="shared" si="60"/>
        <v>2.0800000000000001E-5</v>
      </c>
      <c r="V232">
        <v>2.08</v>
      </c>
      <c r="W232" s="140">
        <f t="shared" si="61"/>
        <v>2.0799999999999993E-7</v>
      </c>
      <c r="X232" s="140">
        <f t="shared" si="62"/>
        <v>4.1599999999999997E-7</v>
      </c>
      <c r="Y232" s="140">
        <f t="shared" si="63"/>
        <v>6.2399999999999998E-7</v>
      </c>
      <c r="Z232" s="140">
        <f t="shared" si="64"/>
        <v>8.3200000000000004E-7</v>
      </c>
      <c r="AA232" s="140">
        <f t="shared" si="65"/>
        <v>1.04E-6</v>
      </c>
      <c r="AB232" s="157">
        <f>IF(U232&lt;$B$41*DATA!$H$1037,DATA!$H$1037,IF(U232&gt;DATA!$H$1036*$B$41,DATA!$H$1036,1))</f>
        <v>0.8</v>
      </c>
      <c r="AC232" s="156">
        <f t="shared" si="66"/>
        <v>9.9999999999999995E-8</v>
      </c>
      <c r="AE232" s="140">
        <f t="shared" si="67"/>
        <v>2.0800000000000001E-5</v>
      </c>
      <c r="AF232">
        <v>2.08</v>
      </c>
      <c r="AG232" s="140">
        <f t="shared" si="68"/>
        <v>2.0799999999999993E-7</v>
      </c>
      <c r="AH232" s="140">
        <f t="shared" si="69"/>
        <v>4.1599999999999997E-7</v>
      </c>
      <c r="AI232" s="140">
        <f t="shared" si="70"/>
        <v>6.2399999999999998E-7</v>
      </c>
      <c r="AJ232" s="140">
        <f t="shared" si="71"/>
        <v>8.3200000000000004E-7</v>
      </c>
      <c r="AK232" s="140">
        <f t="shared" si="72"/>
        <v>1.04E-6</v>
      </c>
      <c r="AL232" s="157">
        <f>IF(AE232&lt;$B$57*DATA!$H$1037,DATA!$H$1037,IF(AE232&gt;DATA!$H$1036*$B$57,DATA!$H$1036,1))</f>
        <v>1.2</v>
      </c>
      <c r="AM232" s="156">
        <f t="shared" si="73"/>
        <v>9.9999999999999995E-8</v>
      </c>
      <c r="AO232" s="140">
        <f t="shared" si="74"/>
        <v>2.0800000000000001E-5</v>
      </c>
      <c r="AP232">
        <v>2.08</v>
      </c>
      <c r="AQ232" s="140">
        <f t="shared" si="75"/>
        <v>2.0799999999999993E-7</v>
      </c>
      <c r="AR232" s="140">
        <f t="shared" si="76"/>
        <v>4.1599999999999997E-7</v>
      </c>
      <c r="AS232" s="140">
        <f t="shared" si="77"/>
        <v>6.2399999999999998E-7</v>
      </c>
      <c r="AT232" s="140">
        <f t="shared" si="78"/>
        <v>8.3200000000000004E-7</v>
      </c>
      <c r="AU232" s="140">
        <f t="shared" si="79"/>
        <v>1.04E-6</v>
      </c>
      <c r="AV232" s="157">
        <f>IF(AO232&lt;$B$73*DATA!$H$1037,DATA!$H$1037,IF(AO232&gt;DATA!$H$1036*$B$73,DATA!$H$1036,1))</f>
        <v>1.2</v>
      </c>
      <c r="AW232" s="156">
        <f t="shared" si="80"/>
        <v>9.9999999999999995E-8</v>
      </c>
      <c r="AY232" s="140">
        <f t="shared" si="81"/>
        <v>2.0800000000000001E-5</v>
      </c>
      <c r="AZ232">
        <v>2.08</v>
      </c>
      <c r="BA232" s="140">
        <f t="shared" si="82"/>
        <v>2.0799999999999993E-7</v>
      </c>
      <c r="BB232" s="140">
        <f t="shared" si="83"/>
        <v>4.1599999999999997E-7</v>
      </c>
      <c r="BC232" s="140">
        <f t="shared" si="84"/>
        <v>6.2399999999999998E-7</v>
      </c>
      <c r="BD232" s="140">
        <f t="shared" si="85"/>
        <v>8.3200000000000004E-7</v>
      </c>
      <c r="BE232" s="140">
        <f t="shared" si="86"/>
        <v>1.04E-6</v>
      </c>
      <c r="BF232" s="157">
        <f>IF(AY232&lt;$B$89*DATA!$H$1037,DATA!$H$1037,IF(AY232&gt;DATA!$H$1036*$B$89,DATA!$H$1036,1))</f>
        <v>1.2</v>
      </c>
      <c r="BG232" s="156">
        <f t="shared" si="87"/>
        <v>9.9999999999999995E-8</v>
      </c>
      <c r="BI232" s="140">
        <f t="shared" si="88"/>
        <v>2.0800000000000001E-5</v>
      </c>
      <c r="BJ232">
        <v>2.08</v>
      </c>
      <c r="BK232" s="140">
        <f t="shared" si="89"/>
        <v>2.0799999999999993E-7</v>
      </c>
      <c r="BL232" s="140">
        <f t="shared" si="90"/>
        <v>4.1599999999999997E-7</v>
      </c>
      <c r="BM232" s="140">
        <f t="shared" si="91"/>
        <v>6.2399999999999998E-7</v>
      </c>
      <c r="BN232" s="140">
        <f t="shared" si="92"/>
        <v>8.3200000000000004E-7</v>
      </c>
      <c r="BO232" s="140">
        <f t="shared" si="93"/>
        <v>1.04E-6</v>
      </c>
      <c r="BP232" s="157">
        <f>IF(BI232&lt;$B$105*DATA!$H$1037,DATA!$H$1037,IF(BI232&gt;DATA!$H$1036*$B$105,DATA!$H$1036,1))</f>
        <v>1.2</v>
      </c>
      <c r="BQ232" s="156">
        <f t="shared" si="94"/>
        <v>9.9999999999999995E-8</v>
      </c>
    </row>
    <row r="233" spans="1:69">
      <c r="A233" s="140">
        <f t="shared" si="50"/>
        <v>2.1000000000000002E-5</v>
      </c>
      <c r="B233">
        <v>2.1</v>
      </c>
      <c r="C233" s="140">
        <f t="shared" si="51"/>
        <v>2.0999999999999995E-7</v>
      </c>
      <c r="D233" s="140">
        <f t="shared" si="51"/>
        <v>4.2E-7</v>
      </c>
      <c r="E233" s="140">
        <f t="shared" si="51"/>
        <v>6.3E-7</v>
      </c>
      <c r="F233" s="140">
        <f t="shared" si="51"/>
        <v>8.4000000000000011E-7</v>
      </c>
      <c r="G233" s="140">
        <f t="shared" si="51"/>
        <v>1.0500000000000001E-6</v>
      </c>
      <c r="H233" s="157">
        <f>IF(A233&lt;$B$9*DATA!$H$1037,DATA!$H$1037,IF(A233&gt;DATA!$H$1036*$B$9,DATA!$H$1036,1))</f>
        <v>0.8</v>
      </c>
      <c r="I233" s="156">
        <f t="shared" si="52"/>
        <v>9.9999999999999995E-8</v>
      </c>
      <c r="K233" s="140">
        <f t="shared" si="53"/>
        <v>2.1000000000000002E-5</v>
      </c>
      <c r="L233">
        <v>2.1</v>
      </c>
      <c r="M233" s="140">
        <f t="shared" si="54"/>
        <v>2.0999999999999995E-7</v>
      </c>
      <c r="N233" s="140">
        <f t="shared" si="55"/>
        <v>4.2E-7</v>
      </c>
      <c r="O233" s="140">
        <f t="shared" si="56"/>
        <v>6.3E-7</v>
      </c>
      <c r="P233" s="140">
        <f t="shared" si="57"/>
        <v>8.4000000000000011E-7</v>
      </c>
      <c r="Q233" s="140">
        <f t="shared" si="58"/>
        <v>1.0500000000000001E-6</v>
      </c>
      <c r="R233" s="157">
        <f>IF(K233&lt;$B$25*DATA!$H$1037,DATA!$H$1037,IF(K233&gt;DATA!$H$1036*$B$25,DATA!$H$1036,1))</f>
        <v>0.8</v>
      </c>
      <c r="S233" s="156">
        <f t="shared" si="59"/>
        <v>9.9999999999999995E-8</v>
      </c>
      <c r="U233" s="140">
        <f t="shared" si="60"/>
        <v>2.1000000000000002E-5</v>
      </c>
      <c r="V233">
        <v>2.1</v>
      </c>
      <c r="W233" s="140">
        <f t="shared" si="61"/>
        <v>2.0999999999999995E-7</v>
      </c>
      <c r="X233" s="140">
        <f t="shared" si="62"/>
        <v>4.2E-7</v>
      </c>
      <c r="Y233" s="140">
        <f t="shared" si="63"/>
        <v>6.3E-7</v>
      </c>
      <c r="Z233" s="140">
        <f t="shared" si="64"/>
        <v>8.4000000000000011E-7</v>
      </c>
      <c r="AA233" s="140">
        <f t="shared" si="65"/>
        <v>1.0500000000000001E-6</v>
      </c>
      <c r="AB233" s="157">
        <f>IF(U233&lt;$B$41*DATA!$H$1037,DATA!$H$1037,IF(U233&gt;DATA!$H$1036*$B$41,DATA!$H$1036,1))</f>
        <v>0.8</v>
      </c>
      <c r="AC233" s="156">
        <f t="shared" si="66"/>
        <v>9.9999999999999995E-8</v>
      </c>
      <c r="AE233" s="140">
        <f t="shared" si="67"/>
        <v>2.1000000000000002E-5</v>
      </c>
      <c r="AF233">
        <v>2.1</v>
      </c>
      <c r="AG233" s="140">
        <f t="shared" si="68"/>
        <v>2.0999999999999995E-7</v>
      </c>
      <c r="AH233" s="140">
        <f t="shared" si="69"/>
        <v>4.2E-7</v>
      </c>
      <c r="AI233" s="140">
        <f t="shared" si="70"/>
        <v>6.3E-7</v>
      </c>
      <c r="AJ233" s="140">
        <f t="shared" si="71"/>
        <v>8.4000000000000011E-7</v>
      </c>
      <c r="AK233" s="140">
        <f t="shared" si="72"/>
        <v>1.0500000000000001E-6</v>
      </c>
      <c r="AL233" s="157">
        <f>IF(AE233&lt;$B$57*DATA!$H$1037,DATA!$H$1037,IF(AE233&gt;DATA!$H$1036*$B$57,DATA!$H$1036,1))</f>
        <v>1.2</v>
      </c>
      <c r="AM233" s="156">
        <f t="shared" si="73"/>
        <v>9.9999999999999995E-8</v>
      </c>
      <c r="AO233" s="140">
        <f t="shared" si="74"/>
        <v>2.1000000000000002E-5</v>
      </c>
      <c r="AP233">
        <v>2.1</v>
      </c>
      <c r="AQ233" s="140">
        <f t="shared" si="75"/>
        <v>2.0999999999999995E-7</v>
      </c>
      <c r="AR233" s="140">
        <f t="shared" si="76"/>
        <v>4.2E-7</v>
      </c>
      <c r="AS233" s="140">
        <f t="shared" si="77"/>
        <v>6.3E-7</v>
      </c>
      <c r="AT233" s="140">
        <f t="shared" si="78"/>
        <v>8.4000000000000011E-7</v>
      </c>
      <c r="AU233" s="140">
        <f t="shared" si="79"/>
        <v>1.0500000000000001E-6</v>
      </c>
      <c r="AV233" s="157">
        <f>IF(AO233&lt;$B$73*DATA!$H$1037,DATA!$H$1037,IF(AO233&gt;DATA!$H$1036*$B$73,DATA!$H$1036,1))</f>
        <v>1.2</v>
      </c>
      <c r="AW233" s="156">
        <f t="shared" si="80"/>
        <v>9.9999999999999995E-8</v>
      </c>
      <c r="AY233" s="140">
        <f t="shared" si="81"/>
        <v>2.1000000000000002E-5</v>
      </c>
      <c r="AZ233">
        <v>2.1</v>
      </c>
      <c r="BA233" s="140">
        <f t="shared" si="82"/>
        <v>2.0999999999999995E-7</v>
      </c>
      <c r="BB233" s="140">
        <f t="shared" si="83"/>
        <v>4.2E-7</v>
      </c>
      <c r="BC233" s="140">
        <f t="shared" si="84"/>
        <v>6.3E-7</v>
      </c>
      <c r="BD233" s="140">
        <f t="shared" si="85"/>
        <v>8.4000000000000011E-7</v>
      </c>
      <c r="BE233" s="140">
        <f t="shared" si="86"/>
        <v>1.0500000000000001E-6</v>
      </c>
      <c r="BF233" s="157">
        <f>IF(AY233&lt;$B$89*DATA!$H$1037,DATA!$H$1037,IF(AY233&gt;DATA!$H$1036*$B$89,DATA!$H$1036,1))</f>
        <v>1.2</v>
      </c>
      <c r="BG233" s="156">
        <f t="shared" si="87"/>
        <v>9.9999999999999995E-8</v>
      </c>
      <c r="BI233" s="140">
        <f t="shared" si="88"/>
        <v>2.1000000000000002E-5</v>
      </c>
      <c r="BJ233">
        <v>2.1</v>
      </c>
      <c r="BK233" s="140">
        <f t="shared" si="89"/>
        <v>2.0999999999999995E-7</v>
      </c>
      <c r="BL233" s="140">
        <f t="shared" si="90"/>
        <v>4.2E-7</v>
      </c>
      <c r="BM233" s="140">
        <f t="shared" si="91"/>
        <v>6.3E-7</v>
      </c>
      <c r="BN233" s="140">
        <f t="shared" si="92"/>
        <v>8.4000000000000011E-7</v>
      </c>
      <c r="BO233" s="140">
        <f t="shared" si="93"/>
        <v>1.0500000000000001E-6</v>
      </c>
      <c r="BP233" s="157">
        <f>IF(BI233&lt;$B$105*DATA!$H$1037,DATA!$H$1037,IF(BI233&gt;DATA!$H$1036*$B$105,DATA!$H$1036,1))</f>
        <v>1.2</v>
      </c>
      <c r="BQ233" s="156">
        <f t="shared" si="94"/>
        <v>9.9999999999999995E-8</v>
      </c>
    </row>
    <row r="234" spans="1:69">
      <c r="A234" s="140">
        <f t="shared" si="50"/>
        <v>2.1200000000000004E-5</v>
      </c>
      <c r="B234">
        <v>2.12</v>
      </c>
      <c r="C234" s="140">
        <f t="shared" si="51"/>
        <v>2.1199999999999997E-7</v>
      </c>
      <c r="D234" s="140">
        <f t="shared" si="51"/>
        <v>4.2399999999999999E-7</v>
      </c>
      <c r="E234" s="140">
        <f t="shared" si="51"/>
        <v>6.3600000000000014E-7</v>
      </c>
      <c r="F234" s="140">
        <f t="shared" si="51"/>
        <v>8.4800000000000018E-7</v>
      </c>
      <c r="G234" s="140">
        <f t="shared" si="51"/>
        <v>1.0600000000000002E-6</v>
      </c>
      <c r="H234" s="157">
        <f>IF(A234&lt;$B$9*DATA!$H$1037,DATA!$H$1037,IF(A234&gt;DATA!$H$1036*$B$9,DATA!$H$1036,1))</f>
        <v>0.8</v>
      </c>
      <c r="I234" s="156">
        <f t="shared" si="52"/>
        <v>9.9999999999999995E-8</v>
      </c>
      <c r="K234" s="140">
        <f t="shared" si="53"/>
        <v>2.1200000000000004E-5</v>
      </c>
      <c r="L234">
        <v>2.12</v>
      </c>
      <c r="M234" s="140">
        <f t="shared" si="54"/>
        <v>2.1199999999999997E-7</v>
      </c>
      <c r="N234" s="140">
        <f t="shared" si="55"/>
        <v>4.2399999999999999E-7</v>
      </c>
      <c r="O234" s="140">
        <f t="shared" si="56"/>
        <v>6.3600000000000014E-7</v>
      </c>
      <c r="P234" s="140">
        <f t="shared" si="57"/>
        <v>8.4800000000000018E-7</v>
      </c>
      <c r="Q234" s="140">
        <f t="shared" si="58"/>
        <v>1.0600000000000002E-6</v>
      </c>
      <c r="R234" s="157">
        <f>IF(K234&lt;$B$25*DATA!$H$1037,DATA!$H$1037,IF(K234&gt;DATA!$H$1036*$B$25,DATA!$H$1036,1))</f>
        <v>0.8</v>
      </c>
      <c r="S234" s="156">
        <f t="shared" si="59"/>
        <v>9.9999999999999995E-8</v>
      </c>
      <c r="U234" s="140">
        <f t="shared" si="60"/>
        <v>2.1200000000000004E-5</v>
      </c>
      <c r="V234">
        <v>2.12</v>
      </c>
      <c r="W234" s="140">
        <f t="shared" si="61"/>
        <v>2.1199999999999997E-7</v>
      </c>
      <c r="X234" s="140">
        <f t="shared" si="62"/>
        <v>4.2399999999999999E-7</v>
      </c>
      <c r="Y234" s="140">
        <f t="shared" si="63"/>
        <v>6.3600000000000014E-7</v>
      </c>
      <c r="Z234" s="140">
        <f t="shared" si="64"/>
        <v>8.4800000000000018E-7</v>
      </c>
      <c r="AA234" s="140">
        <f t="shared" si="65"/>
        <v>1.0600000000000002E-6</v>
      </c>
      <c r="AB234" s="157">
        <f>IF(U234&lt;$B$41*DATA!$H$1037,DATA!$H$1037,IF(U234&gt;DATA!$H$1036*$B$41,DATA!$H$1036,1))</f>
        <v>0.8</v>
      </c>
      <c r="AC234" s="156">
        <f t="shared" si="66"/>
        <v>9.9999999999999995E-8</v>
      </c>
      <c r="AE234" s="140">
        <f t="shared" si="67"/>
        <v>2.1200000000000004E-5</v>
      </c>
      <c r="AF234">
        <v>2.12</v>
      </c>
      <c r="AG234" s="140">
        <f t="shared" si="68"/>
        <v>2.1199999999999997E-7</v>
      </c>
      <c r="AH234" s="140">
        <f t="shared" si="69"/>
        <v>4.2399999999999999E-7</v>
      </c>
      <c r="AI234" s="140">
        <f t="shared" si="70"/>
        <v>6.3600000000000014E-7</v>
      </c>
      <c r="AJ234" s="140">
        <f t="shared" si="71"/>
        <v>8.4800000000000018E-7</v>
      </c>
      <c r="AK234" s="140">
        <f t="shared" si="72"/>
        <v>1.0600000000000002E-6</v>
      </c>
      <c r="AL234" s="157">
        <f>IF(AE234&lt;$B$57*DATA!$H$1037,DATA!$H$1037,IF(AE234&gt;DATA!$H$1036*$B$57,DATA!$H$1036,1))</f>
        <v>1.2</v>
      </c>
      <c r="AM234" s="156">
        <f t="shared" si="73"/>
        <v>9.9999999999999995E-8</v>
      </c>
      <c r="AO234" s="140">
        <f t="shared" si="74"/>
        <v>2.1200000000000004E-5</v>
      </c>
      <c r="AP234">
        <v>2.12</v>
      </c>
      <c r="AQ234" s="140">
        <f t="shared" si="75"/>
        <v>2.1199999999999997E-7</v>
      </c>
      <c r="AR234" s="140">
        <f t="shared" si="76"/>
        <v>4.2399999999999999E-7</v>
      </c>
      <c r="AS234" s="140">
        <f t="shared" si="77"/>
        <v>6.3600000000000014E-7</v>
      </c>
      <c r="AT234" s="140">
        <f t="shared" si="78"/>
        <v>8.4800000000000018E-7</v>
      </c>
      <c r="AU234" s="140">
        <f t="shared" si="79"/>
        <v>1.0600000000000002E-6</v>
      </c>
      <c r="AV234" s="157">
        <f>IF(AO234&lt;$B$73*DATA!$H$1037,DATA!$H$1037,IF(AO234&gt;DATA!$H$1036*$B$73,DATA!$H$1036,1))</f>
        <v>1.2</v>
      </c>
      <c r="AW234" s="156">
        <f t="shared" si="80"/>
        <v>9.9999999999999995E-8</v>
      </c>
      <c r="AY234" s="140">
        <f t="shared" si="81"/>
        <v>2.1200000000000004E-5</v>
      </c>
      <c r="AZ234">
        <v>2.12</v>
      </c>
      <c r="BA234" s="140">
        <f t="shared" si="82"/>
        <v>2.1199999999999997E-7</v>
      </c>
      <c r="BB234" s="140">
        <f t="shared" si="83"/>
        <v>4.2399999999999999E-7</v>
      </c>
      <c r="BC234" s="140">
        <f t="shared" si="84"/>
        <v>6.3600000000000014E-7</v>
      </c>
      <c r="BD234" s="140">
        <f t="shared" si="85"/>
        <v>8.4800000000000018E-7</v>
      </c>
      <c r="BE234" s="140">
        <f t="shared" si="86"/>
        <v>1.0600000000000002E-6</v>
      </c>
      <c r="BF234" s="157">
        <f>IF(AY234&lt;$B$89*DATA!$H$1037,DATA!$H$1037,IF(AY234&gt;DATA!$H$1036*$B$89,DATA!$H$1036,1))</f>
        <v>1.2</v>
      </c>
      <c r="BG234" s="156">
        <f t="shared" si="87"/>
        <v>9.9999999999999995E-8</v>
      </c>
      <c r="BI234" s="140">
        <f t="shared" si="88"/>
        <v>2.1200000000000004E-5</v>
      </c>
      <c r="BJ234">
        <v>2.12</v>
      </c>
      <c r="BK234" s="140">
        <f t="shared" si="89"/>
        <v>2.1199999999999997E-7</v>
      </c>
      <c r="BL234" s="140">
        <f t="shared" si="90"/>
        <v>4.2399999999999999E-7</v>
      </c>
      <c r="BM234" s="140">
        <f t="shared" si="91"/>
        <v>6.3600000000000014E-7</v>
      </c>
      <c r="BN234" s="140">
        <f t="shared" si="92"/>
        <v>8.4800000000000018E-7</v>
      </c>
      <c r="BO234" s="140">
        <f t="shared" si="93"/>
        <v>1.0600000000000002E-6</v>
      </c>
      <c r="BP234" s="157">
        <f>IF(BI234&lt;$B$105*DATA!$H$1037,DATA!$H$1037,IF(BI234&gt;DATA!$H$1036*$B$105,DATA!$H$1036,1))</f>
        <v>1.2</v>
      </c>
      <c r="BQ234" s="156">
        <f t="shared" si="94"/>
        <v>9.9999999999999995E-8</v>
      </c>
    </row>
    <row r="235" spans="1:69">
      <c r="A235" s="140">
        <f t="shared" si="50"/>
        <v>2.1400000000000002E-5</v>
      </c>
      <c r="B235">
        <v>2.14</v>
      </c>
      <c r="C235" s="140">
        <f t="shared" si="51"/>
        <v>2.1399999999999996E-7</v>
      </c>
      <c r="D235" s="140">
        <f t="shared" si="51"/>
        <v>4.2799999999999997E-7</v>
      </c>
      <c r="E235" s="140">
        <f t="shared" si="51"/>
        <v>6.4200000000000006E-7</v>
      </c>
      <c r="F235" s="140">
        <f t="shared" si="51"/>
        <v>8.5600000000000004E-7</v>
      </c>
      <c r="G235" s="140">
        <f t="shared" si="51"/>
        <v>1.0700000000000001E-6</v>
      </c>
      <c r="H235" s="157">
        <f>IF(A235&lt;$B$9*DATA!$H$1037,DATA!$H$1037,IF(A235&gt;DATA!$H$1036*$B$9,DATA!$H$1036,1))</f>
        <v>0.8</v>
      </c>
      <c r="I235" s="156">
        <f t="shared" si="52"/>
        <v>9.9999999999999995E-8</v>
      </c>
      <c r="K235" s="140">
        <f t="shared" si="53"/>
        <v>2.1400000000000002E-5</v>
      </c>
      <c r="L235">
        <v>2.14</v>
      </c>
      <c r="M235" s="140">
        <f t="shared" si="54"/>
        <v>2.1399999999999996E-7</v>
      </c>
      <c r="N235" s="140">
        <f t="shared" si="55"/>
        <v>4.2799999999999997E-7</v>
      </c>
      <c r="O235" s="140">
        <f t="shared" si="56"/>
        <v>6.4200000000000006E-7</v>
      </c>
      <c r="P235" s="140">
        <f t="shared" si="57"/>
        <v>8.5600000000000004E-7</v>
      </c>
      <c r="Q235" s="140">
        <f t="shared" si="58"/>
        <v>1.0700000000000001E-6</v>
      </c>
      <c r="R235" s="157">
        <f>IF(K235&lt;$B$25*DATA!$H$1037,DATA!$H$1037,IF(K235&gt;DATA!$H$1036*$B$25,DATA!$H$1036,1))</f>
        <v>0.8</v>
      </c>
      <c r="S235" s="156">
        <f t="shared" si="59"/>
        <v>9.9999999999999995E-8</v>
      </c>
      <c r="U235" s="140">
        <f t="shared" si="60"/>
        <v>2.1400000000000002E-5</v>
      </c>
      <c r="V235">
        <v>2.14</v>
      </c>
      <c r="W235" s="140">
        <f t="shared" si="61"/>
        <v>2.1399999999999996E-7</v>
      </c>
      <c r="X235" s="140">
        <f t="shared" si="62"/>
        <v>4.2799999999999997E-7</v>
      </c>
      <c r="Y235" s="140">
        <f t="shared" si="63"/>
        <v>6.4200000000000006E-7</v>
      </c>
      <c r="Z235" s="140">
        <f t="shared" si="64"/>
        <v>8.5600000000000004E-7</v>
      </c>
      <c r="AA235" s="140">
        <f t="shared" si="65"/>
        <v>1.0700000000000001E-6</v>
      </c>
      <c r="AB235" s="157">
        <f>IF(U235&lt;$B$41*DATA!$H$1037,DATA!$H$1037,IF(U235&gt;DATA!$H$1036*$B$41,DATA!$H$1036,1))</f>
        <v>0.8</v>
      </c>
      <c r="AC235" s="156">
        <f t="shared" si="66"/>
        <v>9.9999999999999995E-8</v>
      </c>
      <c r="AE235" s="140">
        <f t="shared" si="67"/>
        <v>2.1400000000000002E-5</v>
      </c>
      <c r="AF235">
        <v>2.14</v>
      </c>
      <c r="AG235" s="140">
        <f t="shared" si="68"/>
        <v>2.1399999999999996E-7</v>
      </c>
      <c r="AH235" s="140">
        <f t="shared" si="69"/>
        <v>4.2799999999999997E-7</v>
      </c>
      <c r="AI235" s="140">
        <f t="shared" si="70"/>
        <v>6.4200000000000006E-7</v>
      </c>
      <c r="AJ235" s="140">
        <f t="shared" si="71"/>
        <v>8.5600000000000004E-7</v>
      </c>
      <c r="AK235" s="140">
        <f t="shared" si="72"/>
        <v>1.0700000000000001E-6</v>
      </c>
      <c r="AL235" s="157">
        <f>IF(AE235&lt;$B$57*DATA!$H$1037,DATA!$H$1037,IF(AE235&gt;DATA!$H$1036*$B$57,DATA!$H$1036,1))</f>
        <v>1.2</v>
      </c>
      <c r="AM235" s="156">
        <f t="shared" si="73"/>
        <v>9.9999999999999995E-8</v>
      </c>
      <c r="AO235" s="140">
        <f t="shared" si="74"/>
        <v>2.1400000000000002E-5</v>
      </c>
      <c r="AP235">
        <v>2.14</v>
      </c>
      <c r="AQ235" s="140">
        <f t="shared" si="75"/>
        <v>2.1399999999999996E-7</v>
      </c>
      <c r="AR235" s="140">
        <f t="shared" si="76"/>
        <v>4.2799999999999997E-7</v>
      </c>
      <c r="AS235" s="140">
        <f t="shared" si="77"/>
        <v>6.4200000000000006E-7</v>
      </c>
      <c r="AT235" s="140">
        <f t="shared" si="78"/>
        <v>8.5600000000000004E-7</v>
      </c>
      <c r="AU235" s="140">
        <f t="shared" si="79"/>
        <v>1.0700000000000001E-6</v>
      </c>
      <c r="AV235" s="157">
        <f>IF(AO235&lt;$B$73*DATA!$H$1037,DATA!$H$1037,IF(AO235&gt;DATA!$H$1036*$B$73,DATA!$H$1036,1))</f>
        <v>1.2</v>
      </c>
      <c r="AW235" s="156">
        <f t="shared" si="80"/>
        <v>9.9999999999999995E-8</v>
      </c>
      <c r="AY235" s="140">
        <f t="shared" si="81"/>
        <v>2.1400000000000002E-5</v>
      </c>
      <c r="AZ235">
        <v>2.14</v>
      </c>
      <c r="BA235" s="140">
        <f t="shared" si="82"/>
        <v>2.1399999999999996E-7</v>
      </c>
      <c r="BB235" s="140">
        <f t="shared" si="83"/>
        <v>4.2799999999999997E-7</v>
      </c>
      <c r="BC235" s="140">
        <f t="shared" si="84"/>
        <v>6.4200000000000006E-7</v>
      </c>
      <c r="BD235" s="140">
        <f t="shared" si="85"/>
        <v>8.5600000000000004E-7</v>
      </c>
      <c r="BE235" s="140">
        <f t="shared" si="86"/>
        <v>1.0700000000000001E-6</v>
      </c>
      <c r="BF235" s="157">
        <f>IF(AY235&lt;$B$89*DATA!$H$1037,DATA!$H$1037,IF(AY235&gt;DATA!$H$1036*$B$89,DATA!$H$1036,1))</f>
        <v>1.2</v>
      </c>
      <c r="BG235" s="156">
        <f t="shared" si="87"/>
        <v>9.9999999999999995E-8</v>
      </c>
      <c r="BI235" s="140">
        <f t="shared" si="88"/>
        <v>2.1400000000000002E-5</v>
      </c>
      <c r="BJ235">
        <v>2.14</v>
      </c>
      <c r="BK235" s="140">
        <f t="shared" si="89"/>
        <v>2.1399999999999996E-7</v>
      </c>
      <c r="BL235" s="140">
        <f t="shared" si="90"/>
        <v>4.2799999999999997E-7</v>
      </c>
      <c r="BM235" s="140">
        <f t="shared" si="91"/>
        <v>6.4200000000000006E-7</v>
      </c>
      <c r="BN235" s="140">
        <f t="shared" si="92"/>
        <v>8.5600000000000004E-7</v>
      </c>
      <c r="BO235" s="140">
        <f t="shared" si="93"/>
        <v>1.0700000000000001E-6</v>
      </c>
      <c r="BP235" s="157">
        <f>IF(BI235&lt;$B$105*DATA!$H$1037,DATA!$H$1037,IF(BI235&gt;DATA!$H$1036*$B$105,DATA!$H$1036,1))</f>
        <v>1.2</v>
      </c>
      <c r="BQ235" s="156">
        <f t="shared" si="94"/>
        <v>9.9999999999999995E-8</v>
      </c>
    </row>
    <row r="236" spans="1:69">
      <c r="A236" s="140">
        <f t="shared" si="50"/>
        <v>2.1600000000000003E-5</v>
      </c>
      <c r="B236">
        <v>2.16</v>
      </c>
      <c r="C236" s="140">
        <f t="shared" si="51"/>
        <v>2.1599999999999995E-7</v>
      </c>
      <c r="D236" s="140">
        <f t="shared" si="51"/>
        <v>4.32E-7</v>
      </c>
      <c r="E236" s="140">
        <f t="shared" si="51"/>
        <v>6.4800000000000009E-7</v>
      </c>
      <c r="F236" s="140">
        <f t="shared" si="51"/>
        <v>8.6400000000000011E-7</v>
      </c>
      <c r="G236" s="140">
        <f t="shared" si="51"/>
        <v>1.0800000000000002E-6</v>
      </c>
      <c r="H236" s="157">
        <f>IF(A236&lt;$B$9*DATA!$H$1037,DATA!$H$1037,IF(A236&gt;DATA!$H$1036*$B$9,DATA!$H$1036,1))</f>
        <v>0.8</v>
      </c>
      <c r="I236" s="156">
        <f t="shared" si="52"/>
        <v>9.9999999999999995E-8</v>
      </c>
      <c r="K236" s="140">
        <f t="shared" si="53"/>
        <v>2.1600000000000003E-5</v>
      </c>
      <c r="L236">
        <v>2.16</v>
      </c>
      <c r="M236" s="140">
        <f t="shared" si="54"/>
        <v>2.1599999999999995E-7</v>
      </c>
      <c r="N236" s="140">
        <f t="shared" si="55"/>
        <v>4.32E-7</v>
      </c>
      <c r="O236" s="140">
        <f t="shared" si="56"/>
        <v>6.4800000000000009E-7</v>
      </c>
      <c r="P236" s="140">
        <f t="shared" si="57"/>
        <v>8.6400000000000011E-7</v>
      </c>
      <c r="Q236" s="140">
        <f t="shared" si="58"/>
        <v>1.0800000000000002E-6</v>
      </c>
      <c r="R236" s="157">
        <f>IF(K236&lt;$B$25*DATA!$H$1037,DATA!$H$1037,IF(K236&gt;DATA!$H$1036*$B$25,DATA!$H$1036,1))</f>
        <v>0.8</v>
      </c>
      <c r="S236" s="156">
        <f t="shared" si="59"/>
        <v>9.9999999999999995E-8</v>
      </c>
      <c r="U236" s="140">
        <f t="shared" si="60"/>
        <v>2.1600000000000003E-5</v>
      </c>
      <c r="V236">
        <v>2.16</v>
      </c>
      <c r="W236" s="140">
        <f t="shared" si="61"/>
        <v>2.1599999999999995E-7</v>
      </c>
      <c r="X236" s="140">
        <f t="shared" si="62"/>
        <v>4.32E-7</v>
      </c>
      <c r="Y236" s="140">
        <f t="shared" si="63"/>
        <v>6.4800000000000009E-7</v>
      </c>
      <c r="Z236" s="140">
        <f t="shared" si="64"/>
        <v>8.6400000000000011E-7</v>
      </c>
      <c r="AA236" s="140">
        <f t="shared" si="65"/>
        <v>1.0800000000000002E-6</v>
      </c>
      <c r="AB236" s="157">
        <f>IF(U236&lt;$B$41*DATA!$H$1037,DATA!$H$1037,IF(U236&gt;DATA!$H$1036*$B$41,DATA!$H$1036,1))</f>
        <v>0.8</v>
      </c>
      <c r="AC236" s="156">
        <f t="shared" si="66"/>
        <v>9.9999999999999995E-8</v>
      </c>
      <c r="AE236" s="140">
        <f t="shared" si="67"/>
        <v>2.1600000000000003E-5</v>
      </c>
      <c r="AF236">
        <v>2.16</v>
      </c>
      <c r="AG236" s="140">
        <f t="shared" si="68"/>
        <v>2.1599999999999995E-7</v>
      </c>
      <c r="AH236" s="140">
        <f t="shared" si="69"/>
        <v>4.32E-7</v>
      </c>
      <c r="AI236" s="140">
        <f t="shared" si="70"/>
        <v>6.4800000000000009E-7</v>
      </c>
      <c r="AJ236" s="140">
        <f t="shared" si="71"/>
        <v>8.6400000000000011E-7</v>
      </c>
      <c r="AK236" s="140">
        <f t="shared" si="72"/>
        <v>1.0800000000000002E-6</v>
      </c>
      <c r="AL236" s="157">
        <f>IF(AE236&lt;$B$57*DATA!$H$1037,DATA!$H$1037,IF(AE236&gt;DATA!$H$1036*$B$57,DATA!$H$1036,1))</f>
        <v>1.2</v>
      </c>
      <c r="AM236" s="156">
        <f t="shared" si="73"/>
        <v>9.9999999999999995E-8</v>
      </c>
      <c r="AO236" s="140">
        <f t="shared" si="74"/>
        <v>2.1600000000000003E-5</v>
      </c>
      <c r="AP236">
        <v>2.16</v>
      </c>
      <c r="AQ236" s="140">
        <f t="shared" si="75"/>
        <v>2.1599999999999995E-7</v>
      </c>
      <c r="AR236" s="140">
        <f t="shared" si="76"/>
        <v>4.32E-7</v>
      </c>
      <c r="AS236" s="140">
        <f t="shared" si="77"/>
        <v>6.4800000000000009E-7</v>
      </c>
      <c r="AT236" s="140">
        <f t="shared" si="78"/>
        <v>8.6400000000000011E-7</v>
      </c>
      <c r="AU236" s="140">
        <f t="shared" si="79"/>
        <v>1.0800000000000002E-6</v>
      </c>
      <c r="AV236" s="157">
        <f>IF(AO236&lt;$B$73*DATA!$H$1037,DATA!$H$1037,IF(AO236&gt;DATA!$H$1036*$B$73,DATA!$H$1036,1))</f>
        <v>1.2</v>
      </c>
      <c r="AW236" s="156">
        <f t="shared" si="80"/>
        <v>9.9999999999999995E-8</v>
      </c>
      <c r="AY236" s="140">
        <f t="shared" si="81"/>
        <v>2.1600000000000003E-5</v>
      </c>
      <c r="AZ236">
        <v>2.16</v>
      </c>
      <c r="BA236" s="140">
        <f t="shared" si="82"/>
        <v>2.1599999999999995E-7</v>
      </c>
      <c r="BB236" s="140">
        <f t="shared" si="83"/>
        <v>4.32E-7</v>
      </c>
      <c r="BC236" s="140">
        <f t="shared" si="84"/>
        <v>6.4800000000000009E-7</v>
      </c>
      <c r="BD236" s="140">
        <f t="shared" si="85"/>
        <v>8.6400000000000011E-7</v>
      </c>
      <c r="BE236" s="140">
        <f t="shared" si="86"/>
        <v>1.0800000000000002E-6</v>
      </c>
      <c r="BF236" s="157">
        <f>IF(AY236&lt;$B$89*DATA!$H$1037,DATA!$H$1037,IF(AY236&gt;DATA!$H$1036*$B$89,DATA!$H$1036,1))</f>
        <v>1.2</v>
      </c>
      <c r="BG236" s="156">
        <f t="shared" si="87"/>
        <v>9.9999999999999995E-8</v>
      </c>
      <c r="BI236" s="140">
        <f t="shared" si="88"/>
        <v>2.1600000000000003E-5</v>
      </c>
      <c r="BJ236">
        <v>2.16</v>
      </c>
      <c r="BK236" s="140">
        <f t="shared" si="89"/>
        <v>2.1599999999999995E-7</v>
      </c>
      <c r="BL236" s="140">
        <f t="shared" si="90"/>
        <v>4.32E-7</v>
      </c>
      <c r="BM236" s="140">
        <f t="shared" si="91"/>
        <v>6.4800000000000009E-7</v>
      </c>
      <c r="BN236" s="140">
        <f t="shared" si="92"/>
        <v>8.6400000000000011E-7</v>
      </c>
      <c r="BO236" s="140">
        <f t="shared" si="93"/>
        <v>1.0800000000000002E-6</v>
      </c>
      <c r="BP236" s="157">
        <f>IF(BI236&lt;$B$105*DATA!$H$1037,DATA!$H$1037,IF(BI236&gt;DATA!$H$1036*$B$105,DATA!$H$1036,1))</f>
        <v>1.2</v>
      </c>
      <c r="BQ236" s="156">
        <f t="shared" si="94"/>
        <v>9.9999999999999995E-8</v>
      </c>
    </row>
    <row r="237" spans="1:69">
      <c r="A237" s="140">
        <f t="shared" si="50"/>
        <v>2.1800000000000005E-5</v>
      </c>
      <c r="B237">
        <v>2.1800000000000002</v>
      </c>
      <c r="C237" s="140">
        <f t="shared" si="51"/>
        <v>2.1799999999999997E-7</v>
      </c>
      <c r="D237" s="140">
        <f t="shared" si="51"/>
        <v>4.3600000000000004E-7</v>
      </c>
      <c r="E237" s="140">
        <f t="shared" si="51"/>
        <v>6.5400000000000011E-7</v>
      </c>
      <c r="F237" s="140">
        <f t="shared" si="51"/>
        <v>8.7200000000000019E-7</v>
      </c>
      <c r="G237" s="140">
        <f t="shared" si="51"/>
        <v>1.0900000000000004E-6</v>
      </c>
      <c r="H237" s="157">
        <f>IF(A237&lt;$B$9*DATA!$H$1037,DATA!$H$1037,IF(A237&gt;DATA!$H$1036*$B$9,DATA!$H$1036,1))</f>
        <v>0.8</v>
      </c>
      <c r="I237" s="156">
        <f t="shared" si="52"/>
        <v>9.9999999999999995E-8</v>
      </c>
      <c r="K237" s="140">
        <f t="shared" si="53"/>
        <v>2.1800000000000005E-5</v>
      </c>
      <c r="L237">
        <v>2.1800000000000002</v>
      </c>
      <c r="M237" s="140">
        <f t="shared" si="54"/>
        <v>2.1799999999999997E-7</v>
      </c>
      <c r="N237" s="140">
        <f t="shared" si="55"/>
        <v>4.3600000000000004E-7</v>
      </c>
      <c r="O237" s="140">
        <f t="shared" si="56"/>
        <v>6.5400000000000011E-7</v>
      </c>
      <c r="P237" s="140">
        <f t="shared" si="57"/>
        <v>8.7200000000000019E-7</v>
      </c>
      <c r="Q237" s="140">
        <f t="shared" si="58"/>
        <v>1.0900000000000004E-6</v>
      </c>
      <c r="R237" s="157">
        <f>IF(K237&lt;$B$25*DATA!$H$1037,DATA!$H$1037,IF(K237&gt;DATA!$H$1036*$B$25,DATA!$H$1036,1))</f>
        <v>0.8</v>
      </c>
      <c r="S237" s="156">
        <f t="shared" si="59"/>
        <v>9.9999999999999995E-8</v>
      </c>
      <c r="U237" s="140">
        <f t="shared" si="60"/>
        <v>2.1800000000000005E-5</v>
      </c>
      <c r="V237">
        <v>2.1800000000000002</v>
      </c>
      <c r="W237" s="140">
        <f t="shared" si="61"/>
        <v>2.1799999999999997E-7</v>
      </c>
      <c r="X237" s="140">
        <f t="shared" si="62"/>
        <v>4.3600000000000004E-7</v>
      </c>
      <c r="Y237" s="140">
        <f t="shared" si="63"/>
        <v>6.5400000000000011E-7</v>
      </c>
      <c r="Z237" s="140">
        <f t="shared" si="64"/>
        <v>8.7200000000000019E-7</v>
      </c>
      <c r="AA237" s="140">
        <f t="shared" si="65"/>
        <v>1.0900000000000004E-6</v>
      </c>
      <c r="AB237" s="157">
        <f>IF(U237&lt;$B$41*DATA!$H$1037,DATA!$H$1037,IF(U237&gt;DATA!$H$1036*$B$41,DATA!$H$1036,1))</f>
        <v>0.8</v>
      </c>
      <c r="AC237" s="156">
        <f t="shared" si="66"/>
        <v>9.9999999999999995E-8</v>
      </c>
      <c r="AE237" s="140">
        <f t="shared" si="67"/>
        <v>2.1800000000000005E-5</v>
      </c>
      <c r="AF237">
        <v>2.1800000000000002</v>
      </c>
      <c r="AG237" s="140">
        <f t="shared" si="68"/>
        <v>2.1799999999999997E-7</v>
      </c>
      <c r="AH237" s="140">
        <f t="shared" si="69"/>
        <v>4.3600000000000004E-7</v>
      </c>
      <c r="AI237" s="140">
        <f t="shared" si="70"/>
        <v>6.5400000000000011E-7</v>
      </c>
      <c r="AJ237" s="140">
        <f t="shared" si="71"/>
        <v>8.7200000000000019E-7</v>
      </c>
      <c r="AK237" s="140">
        <f t="shared" si="72"/>
        <v>1.0900000000000004E-6</v>
      </c>
      <c r="AL237" s="157">
        <f>IF(AE237&lt;$B$57*DATA!$H$1037,DATA!$H$1037,IF(AE237&gt;DATA!$H$1036*$B$57,DATA!$H$1036,1))</f>
        <v>1.2</v>
      </c>
      <c r="AM237" s="156">
        <f t="shared" si="73"/>
        <v>9.9999999999999995E-8</v>
      </c>
      <c r="AO237" s="140">
        <f t="shared" si="74"/>
        <v>2.1800000000000005E-5</v>
      </c>
      <c r="AP237">
        <v>2.1800000000000002</v>
      </c>
      <c r="AQ237" s="140">
        <f t="shared" si="75"/>
        <v>2.1799999999999997E-7</v>
      </c>
      <c r="AR237" s="140">
        <f t="shared" si="76"/>
        <v>4.3600000000000004E-7</v>
      </c>
      <c r="AS237" s="140">
        <f t="shared" si="77"/>
        <v>6.5400000000000011E-7</v>
      </c>
      <c r="AT237" s="140">
        <f t="shared" si="78"/>
        <v>8.7200000000000019E-7</v>
      </c>
      <c r="AU237" s="140">
        <f t="shared" si="79"/>
        <v>1.0900000000000004E-6</v>
      </c>
      <c r="AV237" s="157">
        <f>IF(AO237&lt;$B$73*DATA!$H$1037,DATA!$H$1037,IF(AO237&gt;DATA!$H$1036*$B$73,DATA!$H$1036,1))</f>
        <v>1.2</v>
      </c>
      <c r="AW237" s="156">
        <f t="shared" si="80"/>
        <v>9.9999999999999995E-8</v>
      </c>
      <c r="AY237" s="140">
        <f t="shared" si="81"/>
        <v>2.1800000000000005E-5</v>
      </c>
      <c r="AZ237">
        <v>2.1800000000000002</v>
      </c>
      <c r="BA237" s="140">
        <f t="shared" si="82"/>
        <v>2.1799999999999997E-7</v>
      </c>
      <c r="BB237" s="140">
        <f t="shared" si="83"/>
        <v>4.3600000000000004E-7</v>
      </c>
      <c r="BC237" s="140">
        <f t="shared" si="84"/>
        <v>6.5400000000000011E-7</v>
      </c>
      <c r="BD237" s="140">
        <f t="shared" si="85"/>
        <v>8.7200000000000019E-7</v>
      </c>
      <c r="BE237" s="140">
        <f t="shared" si="86"/>
        <v>1.0900000000000004E-6</v>
      </c>
      <c r="BF237" s="157">
        <f>IF(AY237&lt;$B$89*DATA!$H$1037,DATA!$H$1037,IF(AY237&gt;DATA!$H$1036*$B$89,DATA!$H$1036,1))</f>
        <v>1.2</v>
      </c>
      <c r="BG237" s="156">
        <f t="shared" si="87"/>
        <v>9.9999999999999995E-8</v>
      </c>
      <c r="BI237" s="140">
        <f t="shared" si="88"/>
        <v>2.1800000000000005E-5</v>
      </c>
      <c r="BJ237">
        <v>2.1800000000000002</v>
      </c>
      <c r="BK237" s="140">
        <f t="shared" si="89"/>
        <v>2.1799999999999997E-7</v>
      </c>
      <c r="BL237" s="140">
        <f t="shared" si="90"/>
        <v>4.3600000000000004E-7</v>
      </c>
      <c r="BM237" s="140">
        <f t="shared" si="91"/>
        <v>6.5400000000000011E-7</v>
      </c>
      <c r="BN237" s="140">
        <f t="shared" si="92"/>
        <v>8.7200000000000019E-7</v>
      </c>
      <c r="BO237" s="140">
        <f t="shared" si="93"/>
        <v>1.0900000000000004E-6</v>
      </c>
      <c r="BP237" s="157">
        <f>IF(BI237&lt;$B$105*DATA!$H$1037,DATA!$H$1037,IF(BI237&gt;DATA!$H$1036*$B$105,DATA!$H$1036,1))</f>
        <v>1.2</v>
      </c>
      <c r="BQ237" s="156">
        <f t="shared" si="94"/>
        <v>9.9999999999999995E-8</v>
      </c>
    </row>
    <row r="238" spans="1:69">
      <c r="A238" s="140">
        <f t="shared" si="50"/>
        <v>2.2000000000000003E-5</v>
      </c>
      <c r="B238">
        <v>2.2000000000000002</v>
      </c>
      <c r="C238" s="140">
        <f t="shared" si="51"/>
        <v>2.1999999999999996E-7</v>
      </c>
      <c r="D238" s="140">
        <f t="shared" si="51"/>
        <v>4.3999999999999997E-7</v>
      </c>
      <c r="E238" s="140">
        <f t="shared" si="51"/>
        <v>6.6000000000000003E-7</v>
      </c>
      <c r="F238" s="140">
        <f t="shared" si="51"/>
        <v>8.8000000000000015E-7</v>
      </c>
      <c r="G238" s="140">
        <f t="shared" si="51"/>
        <v>1.1000000000000003E-6</v>
      </c>
      <c r="H238" s="157">
        <f>IF(A238&lt;$B$9*DATA!$H$1037,DATA!$H$1037,IF(A238&gt;DATA!$H$1036*$B$9,DATA!$H$1036,1))</f>
        <v>0.8</v>
      </c>
      <c r="I238" s="156">
        <f t="shared" si="52"/>
        <v>9.9999999999999995E-8</v>
      </c>
      <c r="K238" s="140">
        <f t="shared" si="53"/>
        <v>2.2000000000000003E-5</v>
      </c>
      <c r="L238">
        <v>2.2000000000000002</v>
      </c>
      <c r="M238" s="140">
        <f t="shared" si="54"/>
        <v>2.1999999999999996E-7</v>
      </c>
      <c r="N238" s="140">
        <f t="shared" si="55"/>
        <v>4.3999999999999997E-7</v>
      </c>
      <c r="O238" s="140">
        <f t="shared" si="56"/>
        <v>6.6000000000000003E-7</v>
      </c>
      <c r="P238" s="140">
        <f t="shared" si="57"/>
        <v>8.8000000000000015E-7</v>
      </c>
      <c r="Q238" s="140">
        <f t="shared" si="58"/>
        <v>1.1000000000000003E-6</v>
      </c>
      <c r="R238" s="157">
        <f>IF(K238&lt;$B$25*DATA!$H$1037,DATA!$H$1037,IF(K238&gt;DATA!$H$1036*$B$25,DATA!$H$1036,1))</f>
        <v>0.8</v>
      </c>
      <c r="S238" s="156">
        <f t="shared" si="59"/>
        <v>9.9999999999999995E-8</v>
      </c>
      <c r="U238" s="140">
        <f t="shared" si="60"/>
        <v>2.2000000000000003E-5</v>
      </c>
      <c r="V238">
        <v>2.2000000000000002</v>
      </c>
      <c r="W238" s="140">
        <f t="shared" si="61"/>
        <v>2.1999999999999996E-7</v>
      </c>
      <c r="X238" s="140">
        <f t="shared" si="62"/>
        <v>4.3999999999999997E-7</v>
      </c>
      <c r="Y238" s="140">
        <f t="shared" si="63"/>
        <v>6.6000000000000003E-7</v>
      </c>
      <c r="Z238" s="140">
        <f t="shared" si="64"/>
        <v>8.8000000000000015E-7</v>
      </c>
      <c r="AA238" s="140">
        <f t="shared" si="65"/>
        <v>1.1000000000000003E-6</v>
      </c>
      <c r="AB238" s="157">
        <f>IF(U238&lt;$B$41*DATA!$H$1037,DATA!$H$1037,IF(U238&gt;DATA!$H$1036*$B$41,DATA!$H$1036,1))</f>
        <v>0.8</v>
      </c>
      <c r="AC238" s="156">
        <f t="shared" si="66"/>
        <v>9.9999999999999995E-8</v>
      </c>
      <c r="AE238" s="140">
        <f t="shared" si="67"/>
        <v>2.2000000000000003E-5</v>
      </c>
      <c r="AF238">
        <v>2.2000000000000002</v>
      </c>
      <c r="AG238" s="140">
        <f t="shared" si="68"/>
        <v>2.1999999999999996E-7</v>
      </c>
      <c r="AH238" s="140">
        <f t="shared" si="69"/>
        <v>4.3999999999999997E-7</v>
      </c>
      <c r="AI238" s="140">
        <f t="shared" si="70"/>
        <v>6.6000000000000003E-7</v>
      </c>
      <c r="AJ238" s="140">
        <f t="shared" si="71"/>
        <v>8.8000000000000015E-7</v>
      </c>
      <c r="AK238" s="140">
        <f t="shared" si="72"/>
        <v>1.1000000000000003E-6</v>
      </c>
      <c r="AL238" s="157">
        <f>IF(AE238&lt;$B$57*DATA!$H$1037,DATA!$H$1037,IF(AE238&gt;DATA!$H$1036*$B$57,DATA!$H$1036,1))</f>
        <v>1.2</v>
      </c>
      <c r="AM238" s="156">
        <f t="shared" si="73"/>
        <v>9.9999999999999995E-8</v>
      </c>
      <c r="AO238" s="140">
        <f t="shared" si="74"/>
        <v>2.2000000000000003E-5</v>
      </c>
      <c r="AP238">
        <v>2.2000000000000002</v>
      </c>
      <c r="AQ238" s="140">
        <f t="shared" si="75"/>
        <v>2.1999999999999996E-7</v>
      </c>
      <c r="AR238" s="140">
        <f t="shared" si="76"/>
        <v>4.3999999999999997E-7</v>
      </c>
      <c r="AS238" s="140">
        <f t="shared" si="77"/>
        <v>6.6000000000000003E-7</v>
      </c>
      <c r="AT238" s="140">
        <f t="shared" si="78"/>
        <v>8.8000000000000015E-7</v>
      </c>
      <c r="AU238" s="140">
        <f t="shared" si="79"/>
        <v>1.1000000000000003E-6</v>
      </c>
      <c r="AV238" s="157">
        <f>IF(AO238&lt;$B$73*DATA!$H$1037,DATA!$H$1037,IF(AO238&gt;DATA!$H$1036*$B$73,DATA!$H$1036,1))</f>
        <v>1.2</v>
      </c>
      <c r="AW238" s="156">
        <f t="shared" si="80"/>
        <v>9.9999999999999995E-8</v>
      </c>
      <c r="AY238" s="140">
        <f t="shared" si="81"/>
        <v>2.2000000000000003E-5</v>
      </c>
      <c r="AZ238">
        <v>2.2000000000000002</v>
      </c>
      <c r="BA238" s="140">
        <f t="shared" si="82"/>
        <v>2.1999999999999996E-7</v>
      </c>
      <c r="BB238" s="140">
        <f t="shared" si="83"/>
        <v>4.3999999999999997E-7</v>
      </c>
      <c r="BC238" s="140">
        <f t="shared" si="84"/>
        <v>6.6000000000000003E-7</v>
      </c>
      <c r="BD238" s="140">
        <f t="shared" si="85"/>
        <v>8.8000000000000015E-7</v>
      </c>
      <c r="BE238" s="140">
        <f t="shared" si="86"/>
        <v>1.1000000000000003E-6</v>
      </c>
      <c r="BF238" s="157">
        <f>IF(AY238&lt;$B$89*DATA!$H$1037,DATA!$H$1037,IF(AY238&gt;DATA!$H$1036*$B$89,DATA!$H$1036,1))</f>
        <v>1.2</v>
      </c>
      <c r="BG238" s="156">
        <f t="shared" si="87"/>
        <v>9.9999999999999995E-8</v>
      </c>
      <c r="BI238" s="140">
        <f t="shared" si="88"/>
        <v>2.2000000000000003E-5</v>
      </c>
      <c r="BJ238">
        <v>2.2000000000000002</v>
      </c>
      <c r="BK238" s="140">
        <f t="shared" si="89"/>
        <v>2.1999999999999996E-7</v>
      </c>
      <c r="BL238" s="140">
        <f t="shared" si="90"/>
        <v>4.3999999999999997E-7</v>
      </c>
      <c r="BM238" s="140">
        <f t="shared" si="91"/>
        <v>6.6000000000000003E-7</v>
      </c>
      <c r="BN238" s="140">
        <f t="shared" si="92"/>
        <v>8.8000000000000015E-7</v>
      </c>
      <c r="BO238" s="140">
        <f t="shared" si="93"/>
        <v>1.1000000000000003E-6</v>
      </c>
      <c r="BP238" s="157">
        <f>IF(BI238&lt;$B$105*DATA!$H$1037,DATA!$H$1037,IF(BI238&gt;DATA!$H$1036*$B$105,DATA!$H$1036,1))</f>
        <v>1.2</v>
      </c>
      <c r="BQ238" s="156">
        <f t="shared" si="94"/>
        <v>9.9999999999999995E-8</v>
      </c>
    </row>
    <row r="239" spans="1:69">
      <c r="A239" s="140">
        <f t="shared" si="50"/>
        <v>2.2200000000000004E-5</v>
      </c>
      <c r="B239">
        <v>2.2200000000000002</v>
      </c>
      <c r="C239" s="140">
        <f t="shared" si="51"/>
        <v>2.2199999999999998E-7</v>
      </c>
      <c r="D239" s="140">
        <f t="shared" si="51"/>
        <v>4.4400000000000001E-7</v>
      </c>
      <c r="E239" s="140">
        <f t="shared" si="51"/>
        <v>6.6600000000000006E-7</v>
      </c>
      <c r="F239" s="140">
        <f t="shared" si="51"/>
        <v>8.8800000000000022E-7</v>
      </c>
      <c r="G239" s="140">
        <f t="shared" si="51"/>
        <v>1.1100000000000002E-6</v>
      </c>
      <c r="H239" s="157">
        <f>IF(A239&lt;$B$9*DATA!$H$1037,DATA!$H$1037,IF(A239&gt;DATA!$H$1036*$B$9,DATA!$H$1036,1))</f>
        <v>0.8</v>
      </c>
      <c r="I239" s="156">
        <f t="shared" si="52"/>
        <v>9.9999999999999995E-8</v>
      </c>
      <c r="K239" s="140">
        <f t="shared" si="53"/>
        <v>2.2200000000000004E-5</v>
      </c>
      <c r="L239">
        <v>2.2200000000000002</v>
      </c>
      <c r="M239" s="140">
        <f t="shared" si="54"/>
        <v>2.2199999999999998E-7</v>
      </c>
      <c r="N239" s="140">
        <f t="shared" si="55"/>
        <v>4.4400000000000001E-7</v>
      </c>
      <c r="O239" s="140">
        <f t="shared" si="56"/>
        <v>6.6600000000000006E-7</v>
      </c>
      <c r="P239" s="140">
        <f t="shared" si="57"/>
        <v>8.8800000000000022E-7</v>
      </c>
      <c r="Q239" s="140">
        <f t="shared" si="58"/>
        <v>1.1100000000000002E-6</v>
      </c>
      <c r="R239" s="157">
        <f>IF(K239&lt;$B$25*DATA!$H$1037,DATA!$H$1037,IF(K239&gt;DATA!$H$1036*$B$25,DATA!$H$1036,1))</f>
        <v>0.8</v>
      </c>
      <c r="S239" s="156">
        <f t="shared" si="59"/>
        <v>9.9999999999999995E-8</v>
      </c>
      <c r="U239" s="140">
        <f t="shared" si="60"/>
        <v>2.2200000000000004E-5</v>
      </c>
      <c r="V239">
        <v>2.2200000000000002</v>
      </c>
      <c r="W239" s="140">
        <f t="shared" si="61"/>
        <v>2.2199999999999998E-7</v>
      </c>
      <c r="X239" s="140">
        <f t="shared" si="62"/>
        <v>4.4400000000000001E-7</v>
      </c>
      <c r="Y239" s="140">
        <f t="shared" si="63"/>
        <v>6.6600000000000006E-7</v>
      </c>
      <c r="Z239" s="140">
        <f t="shared" si="64"/>
        <v>8.8800000000000022E-7</v>
      </c>
      <c r="AA239" s="140">
        <f t="shared" si="65"/>
        <v>1.1100000000000002E-6</v>
      </c>
      <c r="AB239" s="157">
        <f>IF(U239&lt;$B$41*DATA!$H$1037,DATA!$H$1037,IF(U239&gt;DATA!$H$1036*$B$41,DATA!$H$1036,1))</f>
        <v>0.8</v>
      </c>
      <c r="AC239" s="156">
        <f t="shared" si="66"/>
        <v>9.9999999999999995E-8</v>
      </c>
      <c r="AE239" s="140">
        <f t="shared" si="67"/>
        <v>2.2200000000000004E-5</v>
      </c>
      <c r="AF239">
        <v>2.2200000000000002</v>
      </c>
      <c r="AG239" s="140">
        <f t="shared" si="68"/>
        <v>2.2199999999999998E-7</v>
      </c>
      <c r="AH239" s="140">
        <f t="shared" si="69"/>
        <v>4.4400000000000001E-7</v>
      </c>
      <c r="AI239" s="140">
        <f t="shared" si="70"/>
        <v>6.6600000000000006E-7</v>
      </c>
      <c r="AJ239" s="140">
        <f t="shared" si="71"/>
        <v>8.8800000000000022E-7</v>
      </c>
      <c r="AK239" s="140">
        <f t="shared" si="72"/>
        <v>1.1100000000000002E-6</v>
      </c>
      <c r="AL239" s="157">
        <f>IF(AE239&lt;$B$57*DATA!$H$1037,DATA!$H$1037,IF(AE239&gt;DATA!$H$1036*$B$57,DATA!$H$1036,1))</f>
        <v>1.2</v>
      </c>
      <c r="AM239" s="156">
        <f t="shared" si="73"/>
        <v>9.9999999999999995E-8</v>
      </c>
      <c r="AO239" s="140">
        <f t="shared" si="74"/>
        <v>2.2200000000000004E-5</v>
      </c>
      <c r="AP239">
        <v>2.2200000000000002</v>
      </c>
      <c r="AQ239" s="140">
        <f t="shared" si="75"/>
        <v>2.2199999999999998E-7</v>
      </c>
      <c r="AR239" s="140">
        <f t="shared" si="76"/>
        <v>4.4400000000000001E-7</v>
      </c>
      <c r="AS239" s="140">
        <f t="shared" si="77"/>
        <v>6.6600000000000006E-7</v>
      </c>
      <c r="AT239" s="140">
        <f t="shared" si="78"/>
        <v>8.8800000000000022E-7</v>
      </c>
      <c r="AU239" s="140">
        <f t="shared" si="79"/>
        <v>1.1100000000000002E-6</v>
      </c>
      <c r="AV239" s="157">
        <f>IF(AO239&lt;$B$73*DATA!$H$1037,DATA!$H$1037,IF(AO239&gt;DATA!$H$1036*$B$73,DATA!$H$1036,1))</f>
        <v>1.2</v>
      </c>
      <c r="AW239" s="156">
        <f t="shared" si="80"/>
        <v>9.9999999999999995E-8</v>
      </c>
      <c r="AY239" s="140">
        <f t="shared" si="81"/>
        <v>2.2200000000000004E-5</v>
      </c>
      <c r="AZ239">
        <v>2.2200000000000002</v>
      </c>
      <c r="BA239" s="140">
        <f t="shared" si="82"/>
        <v>2.2199999999999998E-7</v>
      </c>
      <c r="BB239" s="140">
        <f t="shared" si="83"/>
        <v>4.4400000000000001E-7</v>
      </c>
      <c r="BC239" s="140">
        <f t="shared" si="84"/>
        <v>6.6600000000000006E-7</v>
      </c>
      <c r="BD239" s="140">
        <f t="shared" si="85"/>
        <v>8.8800000000000022E-7</v>
      </c>
      <c r="BE239" s="140">
        <f t="shared" si="86"/>
        <v>1.1100000000000002E-6</v>
      </c>
      <c r="BF239" s="157">
        <f>IF(AY239&lt;$B$89*DATA!$H$1037,DATA!$H$1037,IF(AY239&gt;DATA!$H$1036*$B$89,DATA!$H$1036,1))</f>
        <v>1.2</v>
      </c>
      <c r="BG239" s="156">
        <f t="shared" si="87"/>
        <v>9.9999999999999995E-8</v>
      </c>
      <c r="BI239" s="140">
        <f t="shared" si="88"/>
        <v>2.2200000000000004E-5</v>
      </c>
      <c r="BJ239">
        <v>2.2200000000000002</v>
      </c>
      <c r="BK239" s="140">
        <f t="shared" si="89"/>
        <v>2.2199999999999998E-7</v>
      </c>
      <c r="BL239" s="140">
        <f t="shared" si="90"/>
        <v>4.4400000000000001E-7</v>
      </c>
      <c r="BM239" s="140">
        <f t="shared" si="91"/>
        <v>6.6600000000000006E-7</v>
      </c>
      <c r="BN239" s="140">
        <f t="shared" si="92"/>
        <v>8.8800000000000022E-7</v>
      </c>
      <c r="BO239" s="140">
        <f t="shared" si="93"/>
        <v>1.1100000000000002E-6</v>
      </c>
      <c r="BP239" s="157">
        <f>IF(BI239&lt;$B$105*DATA!$H$1037,DATA!$H$1037,IF(BI239&gt;DATA!$H$1036*$B$105,DATA!$H$1036,1))</f>
        <v>1.2</v>
      </c>
      <c r="BQ239" s="156">
        <f t="shared" si="94"/>
        <v>9.9999999999999995E-8</v>
      </c>
    </row>
    <row r="240" spans="1:69">
      <c r="A240" s="140">
        <f t="shared" si="50"/>
        <v>2.2400000000000002E-5</v>
      </c>
      <c r="B240">
        <v>2.2400000000000002</v>
      </c>
      <c r="C240" s="140">
        <f t="shared" ref="C240:G271" si="95">C$142*$A240</f>
        <v>2.2399999999999994E-7</v>
      </c>
      <c r="D240" s="140">
        <f t="shared" si="95"/>
        <v>4.4799999999999999E-7</v>
      </c>
      <c r="E240" s="140">
        <f t="shared" si="95"/>
        <v>6.7200000000000009E-7</v>
      </c>
      <c r="F240" s="140">
        <f t="shared" si="95"/>
        <v>8.9600000000000008E-7</v>
      </c>
      <c r="G240" s="140">
        <f t="shared" si="95"/>
        <v>1.1200000000000001E-6</v>
      </c>
      <c r="H240" s="157">
        <f>IF(A240&lt;$B$9*DATA!$H$1037,DATA!$H$1037,IF(A240&gt;DATA!$H$1036*$B$9,DATA!$H$1036,1))</f>
        <v>0.8</v>
      </c>
      <c r="I240" s="156">
        <f t="shared" si="52"/>
        <v>9.9999999999999995E-8</v>
      </c>
      <c r="K240" s="140">
        <f t="shared" si="53"/>
        <v>2.2400000000000002E-5</v>
      </c>
      <c r="L240">
        <v>2.2400000000000002</v>
      </c>
      <c r="M240" s="140">
        <f t="shared" si="54"/>
        <v>2.2399999999999994E-7</v>
      </c>
      <c r="N240" s="140">
        <f t="shared" si="55"/>
        <v>4.4799999999999999E-7</v>
      </c>
      <c r="O240" s="140">
        <f t="shared" si="56"/>
        <v>6.7200000000000009E-7</v>
      </c>
      <c r="P240" s="140">
        <f t="shared" si="57"/>
        <v>8.9600000000000008E-7</v>
      </c>
      <c r="Q240" s="140">
        <f t="shared" si="58"/>
        <v>1.1200000000000001E-6</v>
      </c>
      <c r="R240" s="157">
        <f>IF(K240&lt;$B$25*DATA!$H$1037,DATA!$H$1037,IF(K240&gt;DATA!$H$1036*$B$25,DATA!$H$1036,1))</f>
        <v>0.8</v>
      </c>
      <c r="S240" s="156">
        <f t="shared" si="59"/>
        <v>9.9999999999999995E-8</v>
      </c>
      <c r="U240" s="140">
        <f t="shared" si="60"/>
        <v>2.2400000000000002E-5</v>
      </c>
      <c r="V240">
        <v>2.2400000000000002</v>
      </c>
      <c r="W240" s="140">
        <f t="shared" si="61"/>
        <v>2.2399999999999994E-7</v>
      </c>
      <c r="X240" s="140">
        <f t="shared" si="62"/>
        <v>4.4799999999999999E-7</v>
      </c>
      <c r="Y240" s="140">
        <f t="shared" si="63"/>
        <v>6.7200000000000009E-7</v>
      </c>
      <c r="Z240" s="140">
        <f t="shared" si="64"/>
        <v>8.9600000000000008E-7</v>
      </c>
      <c r="AA240" s="140">
        <f t="shared" si="65"/>
        <v>1.1200000000000001E-6</v>
      </c>
      <c r="AB240" s="157">
        <f>IF(U240&lt;$B$41*DATA!$H$1037,DATA!$H$1037,IF(U240&gt;DATA!$H$1036*$B$41,DATA!$H$1036,1))</f>
        <v>0.8</v>
      </c>
      <c r="AC240" s="156">
        <f t="shared" si="66"/>
        <v>9.9999999999999995E-8</v>
      </c>
      <c r="AE240" s="140">
        <f t="shared" si="67"/>
        <v>2.2400000000000002E-5</v>
      </c>
      <c r="AF240">
        <v>2.2400000000000002</v>
      </c>
      <c r="AG240" s="140">
        <f t="shared" si="68"/>
        <v>2.2399999999999994E-7</v>
      </c>
      <c r="AH240" s="140">
        <f t="shared" si="69"/>
        <v>4.4799999999999999E-7</v>
      </c>
      <c r="AI240" s="140">
        <f t="shared" si="70"/>
        <v>6.7200000000000009E-7</v>
      </c>
      <c r="AJ240" s="140">
        <f t="shared" si="71"/>
        <v>8.9600000000000008E-7</v>
      </c>
      <c r="AK240" s="140">
        <f t="shared" si="72"/>
        <v>1.1200000000000001E-6</v>
      </c>
      <c r="AL240" s="157">
        <f>IF(AE240&lt;$B$57*DATA!$H$1037,DATA!$H$1037,IF(AE240&gt;DATA!$H$1036*$B$57,DATA!$H$1036,1))</f>
        <v>1.2</v>
      </c>
      <c r="AM240" s="156">
        <f t="shared" si="73"/>
        <v>9.9999999999999995E-8</v>
      </c>
      <c r="AO240" s="140">
        <f t="shared" si="74"/>
        <v>2.2400000000000002E-5</v>
      </c>
      <c r="AP240">
        <v>2.2400000000000002</v>
      </c>
      <c r="AQ240" s="140">
        <f t="shared" si="75"/>
        <v>2.2399999999999994E-7</v>
      </c>
      <c r="AR240" s="140">
        <f t="shared" si="76"/>
        <v>4.4799999999999999E-7</v>
      </c>
      <c r="AS240" s="140">
        <f t="shared" si="77"/>
        <v>6.7200000000000009E-7</v>
      </c>
      <c r="AT240" s="140">
        <f t="shared" si="78"/>
        <v>8.9600000000000008E-7</v>
      </c>
      <c r="AU240" s="140">
        <f t="shared" si="79"/>
        <v>1.1200000000000001E-6</v>
      </c>
      <c r="AV240" s="157">
        <f>IF(AO240&lt;$B$73*DATA!$H$1037,DATA!$H$1037,IF(AO240&gt;DATA!$H$1036*$B$73,DATA!$H$1036,1))</f>
        <v>1.2</v>
      </c>
      <c r="AW240" s="156">
        <f t="shared" si="80"/>
        <v>9.9999999999999995E-8</v>
      </c>
      <c r="AY240" s="140">
        <f t="shared" si="81"/>
        <v>2.2400000000000002E-5</v>
      </c>
      <c r="AZ240">
        <v>2.2400000000000002</v>
      </c>
      <c r="BA240" s="140">
        <f t="shared" si="82"/>
        <v>2.2399999999999994E-7</v>
      </c>
      <c r="BB240" s="140">
        <f t="shared" si="83"/>
        <v>4.4799999999999999E-7</v>
      </c>
      <c r="BC240" s="140">
        <f t="shared" si="84"/>
        <v>6.7200000000000009E-7</v>
      </c>
      <c r="BD240" s="140">
        <f t="shared" si="85"/>
        <v>8.9600000000000008E-7</v>
      </c>
      <c r="BE240" s="140">
        <f t="shared" si="86"/>
        <v>1.1200000000000001E-6</v>
      </c>
      <c r="BF240" s="157">
        <f>IF(AY240&lt;$B$89*DATA!$H$1037,DATA!$H$1037,IF(AY240&gt;DATA!$H$1036*$B$89,DATA!$H$1036,1))</f>
        <v>1.2</v>
      </c>
      <c r="BG240" s="156">
        <f t="shared" si="87"/>
        <v>9.9999999999999995E-8</v>
      </c>
      <c r="BI240" s="140">
        <f t="shared" si="88"/>
        <v>2.2400000000000002E-5</v>
      </c>
      <c r="BJ240">
        <v>2.2400000000000002</v>
      </c>
      <c r="BK240" s="140">
        <f t="shared" si="89"/>
        <v>2.2399999999999994E-7</v>
      </c>
      <c r="BL240" s="140">
        <f t="shared" si="90"/>
        <v>4.4799999999999999E-7</v>
      </c>
      <c r="BM240" s="140">
        <f t="shared" si="91"/>
        <v>6.7200000000000009E-7</v>
      </c>
      <c r="BN240" s="140">
        <f t="shared" si="92"/>
        <v>8.9600000000000008E-7</v>
      </c>
      <c r="BO240" s="140">
        <f t="shared" si="93"/>
        <v>1.1200000000000001E-6</v>
      </c>
      <c r="BP240" s="157">
        <f>IF(BI240&lt;$B$105*DATA!$H$1037,DATA!$H$1037,IF(BI240&gt;DATA!$H$1036*$B$105,DATA!$H$1036,1))</f>
        <v>1.2</v>
      </c>
      <c r="BQ240" s="156">
        <f t="shared" si="94"/>
        <v>9.9999999999999995E-8</v>
      </c>
    </row>
    <row r="241" spans="1:69">
      <c r="A241" s="140">
        <f t="shared" si="50"/>
        <v>2.26E-5</v>
      </c>
      <c r="B241">
        <v>2.2599999999999998</v>
      </c>
      <c r="C241" s="140">
        <f t="shared" si="95"/>
        <v>2.2599999999999993E-7</v>
      </c>
      <c r="D241" s="140">
        <f t="shared" si="95"/>
        <v>4.5199999999999992E-7</v>
      </c>
      <c r="E241" s="140">
        <f t="shared" si="95"/>
        <v>6.7800000000000001E-7</v>
      </c>
      <c r="F241" s="140">
        <f t="shared" si="95"/>
        <v>9.0400000000000005E-7</v>
      </c>
      <c r="G241" s="140">
        <f t="shared" si="95"/>
        <v>1.13E-6</v>
      </c>
      <c r="H241" s="157">
        <f>IF(A241&lt;$B$9*DATA!$H$1037,DATA!$H$1037,IF(A241&gt;DATA!$H$1036*$B$9,DATA!$H$1036,1))</f>
        <v>0.8</v>
      </c>
      <c r="I241" s="156">
        <f t="shared" si="52"/>
        <v>9.9999999999999995E-8</v>
      </c>
      <c r="K241" s="140">
        <f t="shared" si="53"/>
        <v>2.26E-5</v>
      </c>
      <c r="L241">
        <v>2.2599999999999998</v>
      </c>
      <c r="M241" s="140">
        <f t="shared" si="54"/>
        <v>2.2599999999999993E-7</v>
      </c>
      <c r="N241" s="140">
        <f t="shared" si="55"/>
        <v>4.5199999999999992E-7</v>
      </c>
      <c r="O241" s="140">
        <f t="shared" si="56"/>
        <v>6.7800000000000001E-7</v>
      </c>
      <c r="P241" s="140">
        <f t="shared" si="57"/>
        <v>9.0400000000000005E-7</v>
      </c>
      <c r="Q241" s="140">
        <f t="shared" si="58"/>
        <v>1.13E-6</v>
      </c>
      <c r="R241" s="157">
        <f>IF(K241&lt;$B$25*DATA!$H$1037,DATA!$H$1037,IF(K241&gt;DATA!$H$1036*$B$25,DATA!$H$1036,1))</f>
        <v>0.8</v>
      </c>
      <c r="S241" s="156">
        <f t="shared" si="59"/>
        <v>9.9999999999999995E-8</v>
      </c>
      <c r="U241" s="140">
        <f t="shared" si="60"/>
        <v>2.26E-5</v>
      </c>
      <c r="V241">
        <v>2.2599999999999998</v>
      </c>
      <c r="W241" s="140">
        <f t="shared" si="61"/>
        <v>2.2599999999999993E-7</v>
      </c>
      <c r="X241" s="140">
        <f t="shared" si="62"/>
        <v>4.5199999999999992E-7</v>
      </c>
      <c r="Y241" s="140">
        <f t="shared" si="63"/>
        <v>6.7800000000000001E-7</v>
      </c>
      <c r="Z241" s="140">
        <f t="shared" si="64"/>
        <v>9.0400000000000005E-7</v>
      </c>
      <c r="AA241" s="140">
        <f t="shared" si="65"/>
        <v>1.13E-6</v>
      </c>
      <c r="AB241" s="157">
        <f>IF(U241&lt;$B$41*DATA!$H$1037,DATA!$H$1037,IF(U241&gt;DATA!$H$1036*$B$41,DATA!$H$1036,1))</f>
        <v>0.8</v>
      </c>
      <c r="AC241" s="156">
        <f t="shared" si="66"/>
        <v>9.9999999999999995E-8</v>
      </c>
      <c r="AE241" s="140">
        <f t="shared" si="67"/>
        <v>2.26E-5</v>
      </c>
      <c r="AF241">
        <v>2.2599999999999998</v>
      </c>
      <c r="AG241" s="140">
        <f t="shared" si="68"/>
        <v>2.2599999999999993E-7</v>
      </c>
      <c r="AH241" s="140">
        <f t="shared" si="69"/>
        <v>4.5199999999999992E-7</v>
      </c>
      <c r="AI241" s="140">
        <f t="shared" si="70"/>
        <v>6.7800000000000001E-7</v>
      </c>
      <c r="AJ241" s="140">
        <f t="shared" si="71"/>
        <v>9.0400000000000005E-7</v>
      </c>
      <c r="AK241" s="140">
        <f t="shared" si="72"/>
        <v>1.13E-6</v>
      </c>
      <c r="AL241" s="157">
        <f>IF(AE241&lt;$B$57*DATA!$H$1037,DATA!$H$1037,IF(AE241&gt;DATA!$H$1036*$B$57,DATA!$H$1036,1))</f>
        <v>1.2</v>
      </c>
      <c r="AM241" s="156">
        <f t="shared" si="73"/>
        <v>9.9999999999999995E-8</v>
      </c>
      <c r="AO241" s="140">
        <f t="shared" si="74"/>
        <v>2.26E-5</v>
      </c>
      <c r="AP241">
        <v>2.2599999999999998</v>
      </c>
      <c r="AQ241" s="140">
        <f t="shared" si="75"/>
        <v>2.2599999999999993E-7</v>
      </c>
      <c r="AR241" s="140">
        <f t="shared" si="76"/>
        <v>4.5199999999999992E-7</v>
      </c>
      <c r="AS241" s="140">
        <f t="shared" si="77"/>
        <v>6.7800000000000001E-7</v>
      </c>
      <c r="AT241" s="140">
        <f t="shared" si="78"/>
        <v>9.0400000000000005E-7</v>
      </c>
      <c r="AU241" s="140">
        <f t="shared" si="79"/>
        <v>1.13E-6</v>
      </c>
      <c r="AV241" s="157">
        <f>IF(AO241&lt;$B$73*DATA!$H$1037,DATA!$H$1037,IF(AO241&gt;DATA!$H$1036*$B$73,DATA!$H$1036,1))</f>
        <v>1.2</v>
      </c>
      <c r="AW241" s="156">
        <f t="shared" si="80"/>
        <v>9.9999999999999995E-8</v>
      </c>
      <c r="AY241" s="140">
        <f t="shared" si="81"/>
        <v>2.26E-5</v>
      </c>
      <c r="AZ241">
        <v>2.2599999999999998</v>
      </c>
      <c r="BA241" s="140">
        <f t="shared" si="82"/>
        <v>2.2599999999999993E-7</v>
      </c>
      <c r="BB241" s="140">
        <f t="shared" si="83"/>
        <v>4.5199999999999992E-7</v>
      </c>
      <c r="BC241" s="140">
        <f t="shared" si="84"/>
        <v>6.7800000000000001E-7</v>
      </c>
      <c r="BD241" s="140">
        <f t="shared" si="85"/>
        <v>9.0400000000000005E-7</v>
      </c>
      <c r="BE241" s="140">
        <f t="shared" si="86"/>
        <v>1.13E-6</v>
      </c>
      <c r="BF241" s="157">
        <f>IF(AY241&lt;$B$89*DATA!$H$1037,DATA!$H$1037,IF(AY241&gt;DATA!$H$1036*$B$89,DATA!$H$1036,1))</f>
        <v>1.2</v>
      </c>
      <c r="BG241" s="156">
        <f t="shared" si="87"/>
        <v>9.9999999999999995E-8</v>
      </c>
      <c r="BI241" s="140">
        <f t="shared" si="88"/>
        <v>2.26E-5</v>
      </c>
      <c r="BJ241">
        <v>2.2599999999999998</v>
      </c>
      <c r="BK241" s="140">
        <f t="shared" si="89"/>
        <v>2.2599999999999993E-7</v>
      </c>
      <c r="BL241" s="140">
        <f t="shared" si="90"/>
        <v>4.5199999999999992E-7</v>
      </c>
      <c r="BM241" s="140">
        <f t="shared" si="91"/>
        <v>6.7800000000000001E-7</v>
      </c>
      <c r="BN241" s="140">
        <f t="shared" si="92"/>
        <v>9.0400000000000005E-7</v>
      </c>
      <c r="BO241" s="140">
        <f t="shared" si="93"/>
        <v>1.13E-6</v>
      </c>
      <c r="BP241" s="157">
        <f>IF(BI241&lt;$B$105*DATA!$H$1037,DATA!$H$1037,IF(BI241&gt;DATA!$H$1036*$B$105,DATA!$H$1036,1))</f>
        <v>1.2</v>
      </c>
      <c r="BQ241" s="156">
        <f t="shared" si="94"/>
        <v>9.9999999999999995E-8</v>
      </c>
    </row>
    <row r="242" spans="1:69">
      <c r="A242" s="140">
        <f t="shared" si="50"/>
        <v>2.2799999999999999E-5</v>
      </c>
      <c r="B242">
        <v>2.2799999999999998</v>
      </c>
      <c r="C242" s="140">
        <f t="shared" si="95"/>
        <v>2.2799999999999992E-7</v>
      </c>
      <c r="D242" s="140">
        <f t="shared" si="95"/>
        <v>4.559999999999999E-7</v>
      </c>
      <c r="E242" s="140">
        <f t="shared" si="95"/>
        <v>6.8399999999999993E-7</v>
      </c>
      <c r="F242" s="140">
        <f t="shared" si="95"/>
        <v>9.1199999999999991E-7</v>
      </c>
      <c r="G242" s="140">
        <f t="shared" si="95"/>
        <v>1.1399999999999999E-6</v>
      </c>
      <c r="H242" s="157">
        <f>IF(A242&lt;$B$9*DATA!$H$1037,DATA!$H$1037,IF(A242&gt;DATA!$H$1036*$B$9,DATA!$H$1036,1))</f>
        <v>0.8</v>
      </c>
      <c r="I242" s="156">
        <f t="shared" si="52"/>
        <v>9.9999999999999995E-8</v>
      </c>
      <c r="K242" s="140">
        <f t="shared" si="53"/>
        <v>2.2799999999999999E-5</v>
      </c>
      <c r="L242">
        <v>2.2799999999999998</v>
      </c>
      <c r="M242" s="140">
        <f t="shared" si="54"/>
        <v>2.2799999999999992E-7</v>
      </c>
      <c r="N242" s="140">
        <f t="shared" si="55"/>
        <v>4.559999999999999E-7</v>
      </c>
      <c r="O242" s="140">
        <f t="shared" si="56"/>
        <v>6.8399999999999993E-7</v>
      </c>
      <c r="P242" s="140">
        <f t="shared" si="57"/>
        <v>9.1199999999999991E-7</v>
      </c>
      <c r="Q242" s="140">
        <f t="shared" si="58"/>
        <v>1.1399999999999999E-6</v>
      </c>
      <c r="R242" s="157">
        <f>IF(K242&lt;$B$25*DATA!$H$1037,DATA!$H$1037,IF(K242&gt;DATA!$H$1036*$B$25,DATA!$H$1036,1))</f>
        <v>0.8</v>
      </c>
      <c r="S242" s="156">
        <f t="shared" si="59"/>
        <v>9.9999999999999995E-8</v>
      </c>
      <c r="U242" s="140">
        <f t="shared" si="60"/>
        <v>2.2799999999999999E-5</v>
      </c>
      <c r="V242">
        <v>2.2799999999999998</v>
      </c>
      <c r="W242" s="140">
        <f t="shared" si="61"/>
        <v>2.2799999999999992E-7</v>
      </c>
      <c r="X242" s="140">
        <f t="shared" si="62"/>
        <v>4.559999999999999E-7</v>
      </c>
      <c r="Y242" s="140">
        <f t="shared" si="63"/>
        <v>6.8399999999999993E-7</v>
      </c>
      <c r="Z242" s="140">
        <f t="shared" si="64"/>
        <v>9.1199999999999991E-7</v>
      </c>
      <c r="AA242" s="140">
        <f t="shared" si="65"/>
        <v>1.1399999999999999E-6</v>
      </c>
      <c r="AB242" s="157">
        <f>IF(U242&lt;$B$41*DATA!$H$1037,DATA!$H$1037,IF(U242&gt;DATA!$H$1036*$B$41,DATA!$H$1036,1))</f>
        <v>0.8</v>
      </c>
      <c r="AC242" s="156">
        <f t="shared" si="66"/>
        <v>9.9999999999999995E-8</v>
      </c>
      <c r="AE242" s="140">
        <f t="shared" si="67"/>
        <v>2.2799999999999999E-5</v>
      </c>
      <c r="AF242">
        <v>2.2799999999999998</v>
      </c>
      <c r="AG242" s="140">
        <f t="shared" si="68"/>
        <v>2.2799999999999992E-7</v>
      </c>
      <c r="AH242" s="140">
        <f t="shared" si="69"/>
        <v>4.559999999999999E-7</v>
      </c>
      <c r="AI242" s="140">
        <f t="shared" si="70"/>
        <v>6.8399999999999993E-7</v>
      </c>
      <c r="AJ242" s="140">
        <f t="shared" si="71"/>
        <v>9.1199999999999991E-7</v>
      </c>
      <c r="AK242" s="140">
        <f t="shared" si="72"/>
        <v>1.1399999999999999E-6</v>
      </c>
      <c r="AL242" s="157">
        <f>IF(AE242&lt;$B$57*DATA!$H$1037,DATA!$H$1037,IF(AE242&gt;DATA!$H$1036*$B$57,DATA!$H$1036,1))</f>
        <v>1.2</v>
      </c>
      <c r="AM242" s="156">
        <f t="shared" si="73"/>
        <v>9.9999999999999995E-8</v>
      </c>
      <c r="AO242" s="140">
        <f t="shared" si="74"/>
        <v>2.2799999999999999E-5</v>
      </c>
      <c r="AP242">
        <v>2.2799999999999998</v>
      </c>
      <c r="AQ242" s="140">
        <f t="shared" si="75"/>
        <v>2.2799999999999992E-7</v>
      </c>
      <c r="AR242" s="140">
        <f t="shared" si="76"/>
        <v>4.559999999999999E-7</v>
      </c>
      <c r="AS242" s="140">
        <f t="shared" si="77"/>
        <v>6.8399999999999993E-7</v>
      </c>
      <c r="AT242" s="140">
        <f t="shared" si="78"/>
        <v>9.1199999999999991E-7</v>
      </c>
      <c r="AU242" s="140">
        <f t="shared" si="79"/>
        <v>1.1399999999999999E-6</v>
      </c>
      <c r="AV242" s="157">
        <f>IF(AO242&lt;$B$73*DATA!$H$1037,DATA!$H$1037,IF(AO242&gt;DATA!$H$1036*$B$73,DATA!$H$1036,1))</f>
        <v>1.2</v>
      </c>
      <c r="AW242" s="156">
        <f t="shared" si="80"/>
        <v>9.9999999999999995E-8</v>
      </c>
      <c r="AY242" s="140">
        <f t="shared" si="81"/>
        <v>2.2799999999999999E-5</v>
      </c>
      <c r="AZ242">
        <v>2.2799999999999998</v>
      </c>
      <c r="BA242" s="140">
        <f t="shared" si="82"/>
        <v>2.2799999999999992E-7</v>
      </c>
      <c r="BB242" s="140">
        <f t="shared" si="83"/>
        <v>4.559999999999999E-7</v>
      </c>
      <c r="BC242" s="140">
        <f t="shared" si="84"/>
        <v>6.8399999999999993E-7</v>
      </c>
      <c r="BD242" s="140">
        <f t="shared" si="85"/>
        <v>9.1199999999999991E-7</v>
      </c>
      <c r="BE242" s="140">
        <f t="shared" si="86"/>
        <v>1.1399999999999999E-6</v>
      </c>
      <c r="BF242" s="157">
        <f>IF(AY242&lt;$B$89*DATA!$H$1037,DATA!$H$1037,IF(AY242&gt;DATA!$H$1036*$B$89,DATA!$H$1036,1))</f>
        <v>1.2</v>
      </c>
      <c r="BG242" s="156">
        <f t="shared" si="87"/>
        <v>9.9999999999999995E-8</v>
      </c>
      <c r="BI242" s="140">
        <f t="shared" si="88"/>
        <v>2.2799999999999999E-5</v>
      </c>
      <c r="BJ242">
        <v>2.2799999999999998</v>
      </c>
      <c r="BK242" s="140">
        <f t="shared" si="89"/>
        <v>2.2799999999999992E-7</v>
      </c>
      <c r="BL242" s="140">
        <f t="shared" si="90"/>
        <v>4.559999999999999E-7</v>
      </c>
      <c r="BM242" s="140">
        <f t="shared" si="91"/>
        <v>6.8399999999999993E-7</v>
      </c>
      <c r="BN242" s="140">
        <f t="shared" si="92"/>
        <v>9.1199999999999991E-7</v>
      </c>
      <c r="BO242" s="140">
        <f t="shared" si="93"/>
        <v>1.1399999999999999E-6</v>
      </c>
      <c r="BP242" s="157">
        <f>IF(BI242&lt;$B$105*DATA!$H$1037,DATA!$H$1037,IF(BI242&gt;DATA!$H$1036*$B$105,DATA!$H$1036,1))</f>
        <v>1.2</v>
      </c>
      <c r="BQ242" s="156">
        <f t="shared" si="94"/>
        <v>9.9999999999999995E-8</v>
      </c>
    </row>
    <row r="243" spans="1:69">
      <c r="A243" s="140">
        <f t="shared" si="50"/>
        <v>2.3E-5</v>
      </c>
      <c r="B243">
        <v>2.2999999999999998</v>
      </c>
      <c r="C243" s="140">
        <f t="shared" si="95"/>
        <v>2.2999999999999992E-7</v>
      </c>
      <c r="D243" s="140">
        <f t="shared" si="95"/>
        <v>4.5999999999999994E-7</v>
      </c>
      <c r="E243" s="140">
        <f t="shared" si="95"/>
        <v>6.8999999999999996E-7</v>
      </c>
      <c r="F243" s="140">
        <f t="shared" si="95"/>
        <v>9.1999999999999998E-7</v>
      </c>
      <c r="G243" s="140">
        <f t="shared" si="95"/>
        <v>1.15E-6</v>
      </c>
      <c r="H243" s="157">
        <f>IF(A243&lt;$B$9*DATA!$H$1037,DATA!$H$1037,IF(A243&gt;DATA!$H$1036*$B$9,DATA!$H$1036,1))</f>
        <v>0.8</v>
      </c>
      <c r="I243" s="156">
        <f t="shared" si="52"/>
        <v>9.9999999999999995E-8</v>
      </c>
      <c r="K243" s="140">
        <f t="shared" si="53"/>
        <v>2.3E-5</v>
      </c>
      <c r="L243">
        <v>2.2999999999999998</v>
      </c>
      <c r="M243" s="140">
        <f t="shared" si="54"/>
        <v>2.2999999999999992E-7</v>
      </c>
      <c r="N243" s="140">
        <f t="shared" si="55"/>
        <v>4.5999999999999994E-7</v>
      </c>
      <c r="O243" s="140">
        <f t="shared" si="56"/>
        <v>6.8999999999999996E-7</v>
      </c>
      <c r="P243" s="140">
        <f t="shared" si="57"/>
        <v>9.1999999999999998E-7</v>
      </c>
      <c r="Q243" s="140">
        <f t="shared" si="58"/>
        <v>1.15E-6</v>
      </c>
      <c r="R243" s="157">
        <f>IF(K243&lt;$B$25*DATA!$H$1037,DATA!$H$1037,IF(K243&gt;DATA!$H$1036*$B$25,DATA!$H$1036,1))</f>
        <v>0.8</v>
      </c>
      <c r="S243" s="156">
        <f t="shared" si="59"/>
        <v>9.9999999999999995E-8</v>
      </c>
      <c r="U243" s="140">
        <f t="shared" si="60"/>
        <v>2.3E-5</v>
      </c>
      <c r="V243">
        <v>2.2999999999999998</v>
      </c>
      <c r="W243" s="140">
        <f t="shared" si="61"/>
        <v>2.2999999999999992E-7</v>
      </c>
      <c r="X243" s="140">
        <f t="shared" si="62"/>
        <v>4.5999999999999994E-7</v>
      </c>
      <c r="Y243" s="140">
        <f t="shared" si="63"/>
        <v>6.8999999999999996E-7</v>
      </c>
      <c r="Z243" s="140">
        <f t="shared" si="64"/>
        <v>9.1999999999999998E-7</v>
      </c>
      <c r="AA243" s="140">
        <f t="shared" si="65"/>
        <v>1.15E-6</v>
      </c>
      <c r="AB243" s="157">
        <f>IF(U243&lt;$B$41*DATA!$H$1037,DATA!$H$1037,IF(U243&gt;DATA!$H$1036*$B$41,DATA!$H$1036,1))</f>
        <v>0.8</v>
      </c>
      <c r="AC243" s="156">
        <f t="shared" si="66"/>
        <v>9.9999999999999995E-8</v>
      </c>
      <c r="AE243" s="140">
        <f t="shared" si="67"/>
        <v>2.3E-5</v>
      </c>
      <c r="AF243">
        <v>2.2999999999999998</v>
      </c>
      <c r="AG243" s="140">
        <f t="shared" si="68"/>
        <v>2.2999999999999992E-7</v>
      </c>
      <c r="AH243" s="140">
        <f t="shared" si="69"/>
        <v>4.5999999999999994E-7</v>
      </c>
      <c r="AI243" s="140">
        <f t="shared" si="70"/>
        <v>6.8999999999999996E-7</v>
      </c>
      <c r="AJ243" s="140">
        <f t="shared" si="71"/>
        <v>9.1999999999999998E-7</v>
      </c>
      <c r="AK243" s="140">
        <f t="shared" si="72"/>
        <v>1.15E-6</v>
      </c>
      <c r="AL243" s="157">
        <f>IF(AE243&lt;$B$57*DATA!$H$1037,DATA!$H$1037,IF(AE243&gt;DATA!$H$1036*$B$57,DATA!$H$1036,1))</f>
        <v>1.2</v>
      </c>
      <c r="AM243" s="156">
        <f t="shared" si="73"/>
        <v>9.9999999999999995E-8</v>
      </c>
      <c r="AO243" s="140">
        <f t="shared" si="74"/>
        <v>2.3E-5</v>
      </c>
      <c r="AP243">
        <v>2.2999999999999998</v>
      </c>
      <c r="AQ243" s="140">
        <f t="shared" si="75"/>
        <v>2.2999999999999992E-7</v>
      </c>
      <c r="AR243" s="140">
        <f t="shared" si="76"/>
        <v>4.5999999999999994E-7</v>
      </c>
      <c r="AS243" s="140">
        <f t="shared" si="77"/>
        <v>6.8999999999999996E-7</v>
      </c>
      <c r="AT243" s="140">
        <f t="shared" si="78"/>
        <v>9.1999999999999998E-7</v>
      </c>
      <c r="AU243" s="140">
        <f t="shared" si="79"/>
        <v>1.15E-6</v>
      </c>
      <c r="AV243" s="157">
        <f>IF(AO243&lt;$B$73*DATA!$H$1037,DATA!$H$1037,IF(AO243&gt;DATA!$H$1036*$B$73,DATA!$H$1036,1))</f>
        <v>1.2</v>
      </c>
      <c r="AW243" s="156">
        <f t="shared" si="80"/>
        <v>9.9999999999999995E-8</v>
      </c>
      <c r="AY243" s="140">
        <f t="shared" si="81"/>
        <v>2.3E-5</v>
      </c>
      <c r="AZ243">
        <v>2.2999999999999998</v>
      </c>
      <c r="BA243" s="140">
        <f t="shared" si="82"/>
        <v>2.2999999999999992E-7</v>
      </c>
      <c r="BB243" s="140">
        <f t="shared" si="83"/>
        <v>4.5999999999999994E-7</v>
      </c>
      <c r="BC243" s="140">
        <f t="shared" si="84"/>
        <v>6.8999999999999996E-7</v>
      </c>
      <c r="BD243" s="140">
        <f t="shared" si="85"/>
        <v>9.1999999999999998E-7</v>
      </c>
      <c r="BE243" s="140">
        <f t="shared" si="86"/>
        <v>1.15E-6</v>
      </c>
      <c r="BF243" s="157">
        <f>IF(AY243&lt;$B$89*DATA!$H$1037,DATA!$H$1037,IF(AY243&gt;DATA!$H$1036*$B$89,DATA!$H$1036,1))</f>
        <v>1.2</v>
      </c>
      <c r="BG243" s="156">
        <f t="shared" si="87"/>
        <v>9.9999999999999995E-8</v>
      </c>
      <c r="BI243" s="140">
        <f t="shared" si="88"/>
        <v>2.3E-5</v>
      </c>
      <c r="BJ243">
        <v>2.2999999999999998</v>
      </c>
      <c r="BK243" s="140">
        <f t="shared" si="89"/>
        <v>2.2999999999999992E-7</v>
      </c>
      <c r="BL243" s="140">
        <f t="shared" si="90"/>
        <v>4.5999999999999994E-7</v>
      </c>
      <c r="BM243" s="140">
        <f t="shared" si="91"/>
        <v>6.8999999999999996E-7</v>
      </c>
      <c r="BN243" s="140">
        <f t="shared" si="92"/>
        <v>9.1999999999999998E-7</v>
      </c>
      <c r="BO243" s="140">
        <f t="shared" si="93"/>
        <v>1.15E-6</v>
      </c>
      <c r="BP243" s="157">
        <f>IF(BI243&lt;$B$105*DATA!$H$1037,DATA!$H$1037,IF(BI243&gt;DATA!$H$1036*$B$105,DATA!$H$1036,1))</f>
        <v>1.2</v>
      </c>
      <c r="BQ243" s="156">
        <f t="shared" si="94"/>
        <v>9.9999999999999995E-8</v>
      </c>
    </row>
    <row r="244" spans="1:69">
      <c r="A244" s="140">
        <f t="shared" si="50"/>
        <v>2.3200000000000001E-5</v>
      </c>
      <c r="B244">
        <v>2.3199999999999998</v>
      </c>
      <c r="C244" s="140">
        <f t="shared" si="95"/>
        <v>2.3199999999999993E-7</v>
      </c>
      <c r="D244" s="140">
        <f t="shared" si="95"/>
        <v>4.6399999999999997E-7</v>
      </c>
      <c r="E244" s="140">
        <f t="shared" si="95"/>
        <v>6.9599999999999999E-7</v>
      </c>
      <c r="F244" s="140">
        <f t="shared" si="95"/>
        <v>9.2800000000000005E-7</v>
      </c>
      <c r="G244" s="140">
        <f t="shared" si="95"/>
        <v>1.1600000000000001E-6</v>
      </c>
      <c r="H244" s="157">
        <f>IF(A244&lt;$B$9*DATA!$H$1037,DATA!$H$1037,IF(A244&gt;DATA!$H$1036*$B$9,DATA!$H$1036,1))</f>
        <v>0.8</v>
      </c>
      <c r="I244" s="156">
        <f t="shared" si="52"/>
        <v>9.9999999999999995E-8</v>
      </c>
      <c r="K244" s="140">
        <f t="shared" si="53"/>
        <v>2.3200000000000001E-5</v>
      </c>
      <c r="L244">
        <v>2.3199999999999998</v>
      </c>
      <c r="M244" s="140">
        <f t="shared" si="54"/>
        <v>2.3199999999999993E-7</v>
      </c>
      <c r="N244" s="140">
        <f t="shared" si="55"/>
        <v>4.6399999999999997E-7</v>
      </c>
      <c r="O244" s="140">
        <f t="shared" si="56"/>
        <v>6.9599999999999999E-7</v>
      </c>
      <c r="P244" s="140">
        <f t="shared" si="57"/>
        <v>9.2800000000000005E-7</v>
      </c>
      <c r="Q244" s="140">
        <f t="shared" si="58"/>
        <v>1.1600000000000001E-6</v>
      </c>
      <c r="R244" s="157">
        <f>IF(K244&lt;$B$25*DATA!$H$1037,DATA!$H$1037,IF(K244&gt;DATA!$H$1036*$B$25,DATA!$H$1036,1))</f>
        <v>0.8</v>
      </c>
      <c r="S244" s="156">
        <f t="shared" si="59"/>
        <v>9.9999999999999995E-8</v>
      </c>
      <c r="U244" s="140">
        <f t="shared" si="60"/>
        <v>2.3200000000000001E-5</v>
      </c>
      <c r="V244">
        <v>2.3199999999999998</v>
      </c>
      <c r="W244" s="140">
        <f t="shared" si="61"/>
        <v>2.3199999999999993E-7</v>
      </c>
      <c r="X244" s="140">
        <f t="shared" si="62"/>
        <v>4.6399999999999997E-7</v>
      </c>
      <c r="Y244" s="140">
        <f t="shared" si="63"/>
        <v>6.9599999999999999E-7</v>
      </c>
      <c r="Z244" s="140">
        <f t="shared" si="64"/>
        <v>9.2800000000000005E-7</v>
      </c>
      <c r="AA244" s="140">
        <f t="shared" si="65"/>
        <v>1.1600000000000001E-6</v>
      </c>
      <c r="AB244" s="157">
        <f>IF(U244&lt;$B$41*DATA!$H$1037,DATA!$H$1037,IF(U244&gt;DATA!$H$1036*$B$41,DATA!$H$1036,1))</f>
        <v>0.8</v>
      </c>
      <c r="AC244" s="156">
        <f t="shared" si="66"/>
        <v>9.9999999999999995E-8</v>
      </c>
      <c r="AE244" s="140">
        <f t="shared" si="67"/>
        <v>2.3200000000000001E-5</v>
      </c>
      <c r="AF244">
        <v>2.3199999999999998</v>
      </c>
      <c r="AG244" s="140">
        <f t="shared" si="68"/>
        <v>2.3199999999999993E-7</v>
      </c>
      <c r="AH244" s="140">
        <f t="shared" si="69"/>
        <v>4.6399999999999997E-7</v>
      </c>
      <c r="AI244" s="140">
        <f t="shared" si="70"/>
        <v>6.9599999999999999E-7</v>
      </c>
      <c r="AJ244" s="140">
        <f t="shared" si="71"/>
        <v>9.2800000000000005E-7</v>
      </c>
      <c r="AK244" s="140">
        <f t="shared" si="72"/>
        <v>1.1600000000000001E-6</v>
      </c>
      <c r="AL244" s="157">
        <f>IF(AE244&lt;$B$57*DATA!$H$1037,DATA!$H$1037,IF(AE244&gt;DATA!$H$1036*$B$57,DATA!$H$1036,1))</f>
        <v>1.2</v>
      </c>
      <c r="AM244" s="156">
        <f t="shared" si="73"/>
        <v>9.9999999999999995E-8</v>
      </c>
      <c r="AO244" s="140">
        <f t="shared" si="74"/>
        <v>2.3200000000000001E-5</v>
      </c>
      <c r="AP244">
        <v>2.3199999999999998</v>
      </c>
      <c r="AQ244" s="140">
        <f t="shared" si="75"/>
        <v>2.3199999999999993E-7</v>
      </c>
      <c r="AR244" s="140">
        <f t="shared" si="76"/>
        <v>4.6399999999999997E-7</v>
      </c>
      <c r="AS244" s="140">
        <f t="shared" si="77"/>
        <v>6.9599999999999999E-7</v>
      </c>
      <c r="AT244" s="140">
        <f t="shared" si="78"/>
        <v>9.2800000000000005E-7</v>
      </c>
      <c r="AU244" s="140">
        <f t="shared" si="79"/>
        <v>1.1600000000000001E-6</v>
      </c>
      <c r="AV244" s="157">
        <f>IF(AO244&lt;$B$73*DATA!$H$1037,DATA!$H$1037,IF(AO244&gt;DATA!$H$1036*$B$73,DATA!$H$1036,1))</f>
        <v>1.2</v>
      </c>
      <c r="AW244" s="156">
        <f t="shared" si="80"/>
        <v>9.9999999999999995E-8</v>
      </c>
      <c r="AY244" s="140">
        <f t="shared" si="81"/>
        <v>2.3200000000000001E-5</v>
      </c>
      <c r="AZ244">
        <v>2.3199999999999998</v>
      </c>
      <c r="BA244" s="140">
        <f t="shared" si="82"/>
        <v>2.3199999999999993E-7</v>
      </c>
      <c r="BB244" s="140">
        <f t="shared" si="83"/>
        <v>4.6399999999999997E-7</v>
      </c>
      <c r="BC244" s="140">
        <f t="shared" si="84"/>
        <v>6.9599999999999999E-7</v>
      </c>
      <c r="BD244" s="140">
        <f t="shared" si="85"/>
        <v>9.2800000000000005E-7</v>
      </c>
      <c r="BE244" s="140">
        <f t="shared" si="86"/>
        <v>1.1600000000000001E-6</v>
      </c>
      <c r="BF244" s="157">
        <f>IF(AY244&lt;$B$89*DATA!$H$1037,DATA!$H$1037,IF(AY244&gt;DATA!$H$1036*$B$89,DATA!$H$1036,1))</f>
        <v>1.2</v>
      </c>
      <c r="BG244" s="156">
        <f t="shared" si="87"/>
        <v>9.9999999999999995E-8</v>
      </c>
      <c r="BI244" s="140">
        <f t="shared" si="88"/>
        <v>2.3200000000000001E-5</v>
      </c>
      <c r="BJ244">
        <v>2.3199999999999998</v>
      </c>
      <c r="BK244" s="140">
        <f t="shared" si="89"/>
        <v>2.3199999999999993E-7</v>
      </c>
      <c r="BL244" s="140">
        <f t="shared" si="90"/>
        <v>4.6399999999999997E-7</v>
      </c>
      <c r="BM244" s="140">
        <f t="shared" si="91"/>
        <v>6.9599999999999999E-7</v>
      </c>
      <c r="BN244" s="140">
        <f t="shared" si="92"/>
        <v>9.2800000000000005E-7</v>
      </c>
      <c r="BO244" s="140">
        <f t="shared" si="93"/>
        <v>1.1600000000000001E-6</v>
      </c>
      <c r="BP244" s="157">
        <f>IF(BI244&lt;$B$105*DATA!$H$1037,DATA!$H$1037,IF(BI244&gt;DATA!$H$1036*$B$105,DATA!$H$1036,1))</f>
        <v>1.2</v>
      </c>
      <c r="BQ244" s="156">
        <f t="shared" si="94"/>
        <v>9.9999999999999995E-8</v>
      </c>
    </row>
    <row r="245" spans="1:69">
      <c r="A245" s="140">
        <f t="shared" si="50"/>
        <v>2.34E-5</v>
      </c>
      <c r="B245">
        <v>2.34</v>
      </c>
      <c r="C245" s="140">
        <f t="shared" si="95"/>
        <v>2.3399999999999992E-7</v>
      </c>
      <c r="D245" s="140">
        <f t="shared" si="95"/>
        <v>4.679999999999999E-7</v>
      </c>
      <c r="E245" s="140">
        <f t="shared" si="95"/>
        <v>7.0200000000000001E-7</v>
      </c>
      <c r="F245" s="140">
        <f t="shared" si="95"/>
        <v>9.3600000000000002E-7</v>
      </c>
      <c r="G245" s="140">
        <f t="shared" si="95"/>
        <v>1.17E-6</v>
      </c>
      <c r="H245" s="157">
        <f>IF(A245&lt;$B$9*DATA!$H$1037,DATA!$H$1037,IF(A245&gt;DATA!$H$1036*$B$9,DATA!$H$1036,1))</f>
        <v>0.8</v>
      </c>
      <c r="I245" s="156">
        <f t="shared" si="52"/>
        <v>9.9999999999999995E-8</v>
      </c>
      <c r="K245" s="140">
        <f t="shared" si="53"/>
        <v>2.34E-5</v>
      </c>
      <c r="L245">
        <v>2.34</v>
      </c>
      <c r="M245" s="140">
        <f t="shared" si="54"/>
        <v>2.3399999999999992E-7</v>
      </c>
      <c r="N245" s="140">
        <f t="shared" si="55"/>
        <v>4.679999999999999E-7</v>
      </c>
      <c r="O245" s="140">
        <f t="shared" si="56"/>
        <v>7.0200000000000001E-7</v>
      </c>
      <c r="P245" s="140">
        <f t="shared" si="57"/>
        <v>9.3600000000000002E-7</v>
      </c>
      <c r="Q245" s="140">
        <f t="shared" si="58"/>
        <v>1.17E-6</v>
      </c>
      <c r="R245" s="157">
        <f>IF(K245&lt;$B$25*DATA!$H$1037,DATA!$H$1037,IF(K245&gt;DATA!$H$1036*$B$25,DATA!$H$1036,1))</f>
        <v>0.8</v>
      </c>
      <c r="S245" s="156">
        <f t="shared" si="59"/>
        <v>9.9999999999999995E-8</v>
      </c>
      <c r="U245" s="140">
        <f t="shared" si="60"/>
        <v>2.34E-5</v>
      </c>
      <c r="V245">
        <v>2.34</v>
      </c>
      <c r="W245" s="140">
        <f t="shared" si="61"/>
        <v>2.3399999999999992E-7</v>
      </c>
      <c r="X245" s="140">
        <f t="shared" si="62"/>
        <v>4.679999999999999E-7</v>
      </c>
      <c r="Y245" s="140">
        <f t="shared" si="63"/>
        <v>7.0200000000000001E-7</v>
      </c>
      <c r="Z245" s="140">
        <f t="shared" si="64"/>
        <v>9.3600000000000002E-7</v>
      </c>
      <c r="AA245" s="140">
        <f t="shared" si="65"/>
        <v>1.17E-6</v>
      </c>
      <c r="AB245" s="157">
        <f>IF(U245&lt;$B$41*DATA!$H$1037,DATA!$H$1037,IF(U245&gt;DATA!$H$1036*$B$41,DATA!$H$1036,1))</f>
        <v>0.8</v>
      </c>
      <c r="AC245" s="156">
        <f t="shared" si="66"/>
        <v>9.9999999999999995E-8</v>
      </c>
      <c r="AE245" s="140">
        <f t="shared" si="67"/>
        <v>2.34E-5</v>
      </c>
      <c r="AF245">
        <v>2.34</v>
      </c>
      <c r="AG245" s="140">
        <f t="shared" si="68"/>
        <v>2.3399999999999992E-7</v>
      </c>
      <c r="AH245" s="140">
        <f t="shared" si="69"/>
        <v>4.679999999999999E-7</v>
      </c>
      <c r="AI245" s="140">
        <f t="shared" si="70"/>
        <v>7.0200000000000001E-7</v>
      </c>
      <c r="AJ245" s="140">
        <f t="shared" si="71"/>
        <v>9.3600000000000002E-7</v>
      </c>
      <c r="AK245" s="140">
        <f t="shared" si="72"/>
        <v>1.17E-6</v>
      </c>
      <c r="AL245" s="157">
        <f>IF(AE245&lt;$B$57*DATA!$H$1037,DATA!$H$1037,IF(AE245&gt;DATA!$H$1036*$B$57,DATA!$H$1036,1))</f>
        <v>1.2</v>
      </c>
      <c r="AM245" s="156">
        <f t="shared" si="73"/>
        <v>9.9999999999999995E-8</v>
      </c>
      <c r="AO245" s="140">
        <f t="shared" si="74"/>
        <v>2.34E-5</v>
      </c>
      <c r="AP245">
        <v>2.34</v>
      </c>
      <c r="AQ245" s="140">
        <f t="shared" si="75"/>
        <v>2.3399999999999992E-7</v>
      </c>
      <c r="AR245" s="140">
        <f t="shared" si="76"/>
        <v>4.679999999999999E-7</v>
      </c>
      <c r="AS245" s="140">
        <f t="shared" si="77"/>
        <v>7.0200000000000001E-7</v>
      </c>
      <c r="AT245" s="140">
        <f t="shared" si="78"/>
        <v>9.3600000000000002E-7</v>
      </c>
      <c r="AU245" s="140">
        <f t="shared" si="79"/>
        <v>1.17E-6</v>
      </c>
      <c r="AV245" s="157">
        <f>IF(AO245&lt;$B$73*DATA!$H$1037,DATA!$H$1037,IF(AO245&gt;DATA!$H$1036*$B$73,DATA!$H$1036,1))</f>
        <v>1.2</v>
      </c>
      <c r="AW245" s="156">
        <f t="shared" si="80"/>
        <v>9.9999999999999995E-8</v>
      </c>
      <c r="AY245" s="140">
        <f t="shared" si="81"/>
        <v>2.34E-5</v>
      </c>
      <c r="AZ245">
        <v>2.34</v>
      </c>
      <c r="BA245" s="140">
        <f t="shared" si="82"/>
        <v>2.3399999999999992E-7</v>
      </c>
      <c r="BB245" s="140">
        <f t="shared" si="83"/>
        <v>4.679999999999999E-7</v>
      </c>
      <c r="BC245" s="140">
        <f t="shared" si="84"/>
        <v>7.0200000000000001E-7</v>
      </c>
      <c r="BD245" s="140">
        <f t="shared" si="85"/>
        <v>9.3600000000000002E-7</v>
      </c>
      <c r="BE245" s="140">
        <f t="shared" si="86"/>
        <v>1.17E-6</v>
      </c>
      <c r="BF245" s="157">
        <f>IF(AY245&lt;$B$89*DATA!$H$1037,DATA!$H$1037,IF(AY245&gt;DATA!$H$1036*$B$89,DATA!$H$1036,1))</f>
        <v>1.2</v>
      </c>
      <c r="BG245" s="156">
        <f t="shared" si="87"/>
        <v>9.9999999999999995E-8</v>
      </c>
      <c r="BI245" s="140">
        <f t="shared" si="88"/>
        <v>2.34E-5</v>
      </c>
      <c r="BJ245">
        <v>2.34</v>
      </c>
      <c r="BK245" s="140">
        <f t="shared" si="89"/>
        <v>2.3399999999999992E-7</v>
      </c>
      <c r="BL245" s="140">
        <f t="shared" si="90"/>
        <v>4.679999999999999E-7</v>
      </c>
      <c r="BM245" s="140">
        <f t="shared" si="91"/>
        <v>7.0200000000000001E-7</v>
      </c>
      <c r="BN245" s="140">
        <f t="shared" si="92"/>
        <v>9.3600000000000002E-7</v>
      </c>
      <c r="BO245" s="140">
        <f t="shared" si="93"/>
        <v>1.17E-6</v>
      </c>
      <c r="BP245" s="157">
        <f>IF(BI245&lt;$B$105*DATA!$H$1037,DATA!$H$1037,IF(BI245&gt;DATA!$H$1036*$B$105,DATA!$H$1036,1))</f>
        <v>1.2</v>
      </c>
      <c r="BQ245" s="156">
        <f t="shared" si="94"/>
        <v>9.9999999999999995E-8</v>
      </c>
    </row>
    <row r="246" spans="1:69">
      <c r="A246" s="140">
        <f t="shared" si="50"/>
        <v>2.3600000000000001E-5</v>
      </c>
      <c r="B246">
        <v>2.36</v>
      </c>
      <c r="C246" s="140">
        <f t="shared" si="95"/>
        <v>2.3599999999999994E-7</v>
      </c>
      <c r="D246" s="140">
        <f t="shared" si="95"/>
        <v>4.7199999999999994E-7</v>
      </c>
      <c r="E246" s="140">
        <f t="shared" si="95"/>
        <v>7.0800000000000004E-7</v>
      </c>
      <c r="F246" s="140">
        <f t="shared" si="95"/>
        <v>9.4400000000000009E-7</v>
      </c>
      <c r="G246" s="140">
        <f t="shared" si="95"/>
        <v>1.1800000000000001E-6</v>
      </c>
      <c r="H246" s="157">
        <f>IF(A246&lt;$B$9*DATA!$H$1037,DATA!$H$1037,IF(A246&gt;DATA!$H$1036*$B$9,DATA!$H$1036,1))</f>
        <v>0.8</v>
      </c>
      <c r="I246" s="156">
        <f t="shared" si="52"/>
        <v>9.9999999999999995E-8</v>
      </c>
      <c r="K246" s="140">
        <f t="shared" si="53"/>
        <v>2.3600000000000001E-5</v>
      </c>
      <c r="L246">
        <v>2.36</v>
      </c>
      <c r="M246" s="140">
        <f t="shared" si="54"/>
        <v>2.3599999999999994E-7</v>
      </c>
      <c r="N246" s="140">
        <f t="shared" si="55"/>
        <v>4.7199999999999994E-7</v>
      </c>
      <c r="O246" s="140">
        <f t="shared" si="56"/>
        <v>7.0800000000000004E-7</v>
      </c>
      <c r="P246" s="140">
        <f t="shared" si="57"/>
        <v>9.4400000000000009E-7</v>
      </c>
      <c r="Q246" s="140">
        <f t="shared" si="58"/>
        <v>1.1800000000000001E-6</v>
      </c>
      <c r="R246" s="157">
        <f>IF(K246&lt;$B$25*DATA!$H$1037,DATA!$H$1037,IF(K246&gt;DATA!$H$1036*$B$25,DATA!$H$1036,1))</f>
        <v>0.8</v>
      </c>
      <c r="S246" s="156">
        <f t="shared" si="59"/>
        <v>9.9999999999999995E-8</v>
      </c>
      <c r="U246" s="140">
        <f t="shared" si="60"/>
        <v>2.3600000000000001E-5</v>
      </c>
      <c r="V246">
        <v>2.36</v>
      </c>
      <c r="W246" s="140">
        <f t="shared" si="61"/>
        <v>2.3599999999999994E-7</v>
      </c>
      <c r="X246" s="140">
        <f t="shared" si="62"/>
        <v>4.7199999999999994E-7</v>
      </c>
      <c r="Y246" s="140">
        <f t="shared" si="63"/>
        <v>7.0800000000000004E-7</v>
      </c>
      <c r="Z246" s="140">
        <f t="shared" si="64"/>
        <v>9.4400000000000009E-7</v>
      </c>
      <c r="AA246" s="140">
        <f t="shared" si="65"/>
        <v>1.1800000000000001E-6</v>
      </c>
      <c r="AB246" s="157">
        <f>IF(U246&lt;$B$41*DATA!$H$1037,DATA!$H$1037,IF(U246&gt;DATA!$H$1036*$B$41,DATA!$H$1036,1))</f>
        <v>0.8</v>
      </c>
      <c r="AC246" s="156">
        <f t="shared" si="66"/>
        <v>9.9999999999999995E-8</v>
      </c>
      <c r="AE246" s="140">
        <f t="shared" si="67"/>
        <v>2.3600000000000001E-5</v>
      </c>
      <c r="AF246">
        <v>2.36</v>
      </c>
      <c r="AG246" s="140">
        <f t="shared" si="68"/>
        <v>2.3599999999999994E-7</v>
      </c>
      <c r="AH246" s="140">
        <f t="shared" si="69"/>
        <v>4.7199999999999994E-7</v>
      </c>
      <c r="AI246" s="140">
        <f t="shared" si="70"/>
        <v>7.0800000000000004E-7</v>
      </c>
      <c r="AJ246" s="140">
        <f t="shared" si="71"/>
        <v>9.4400000000000009E-7</v>
      </c>
      <c r="AK246" s="140">
        <f t="shared" si="72"/>
        <v>1.1800000000000001E-6</v>
      </c>
      <c r="AL246" s="157">
        <f>IF(AE246&lt;$B$57*DATA!$H$1037,DATA!$H$1037,IF(AE246&gt;DATA!$H$1036*$B$57,DATA!$H$1036,1))</f>
        <v>1.2</v>
      </c>
      <c r="AM246" s="156">
        <f t="shared" si="73"/>
        <v>9.9999999999999995E-8</v>
      </c>
      <c r="AO246" s="140">
        <f t="shared" si="74"/>
        <v>2.3600000000000001E-5</v>
      </c>
      <c r="AP246">
        <v>2.36</v>
      </c>
      <c r="AQ246" s="140">
        <f t="shared" si="75"/>
        <v>2.3599999999999994E-7</v>
      </c>
      <c r="AR246" s="140">
        <f t="shared" si="76"/>
        <v>4.7199999999999994E-7</v>
      </c>
      <c r="AS246" s="140">
        <f t="shared" si="77"/>
        <v>7.0800000000000004E-7</v>
      </c>
      <c r="AT246" s="140">
        <f t="shared" si="78"/>
        <v>9.4400000000000009E-7</v>
      </c>
      <c r="AU246" s="140">
        <f t="shared" si="79"/>
        <v>1.1800000000000001E-6</v>
      </c>
      <c r="AV246" s="157">
        <f>IF(AO246&lt;$B$73*DATA!$H$1037,DATA!$H$1037,IF(AO246&gt;DATA!$H$1036*$B$73,DATA!$H$1036,1))</f>
        <v>1.2</v>
      </c>
      <c r="AW246" s="156">
        <f t="shared" si="80"/>
        <v>9.9999999999999995E-8</v>
      </c>
      <c r="AY246" s="140">
        <f t="shared" si="81"/>
        <v>2.3600000000000001E-5</v>
      </c>
      <c r="AZ246">
        <v>2.36</v>
      </c>
      <c r="BA246" s="140">
        <f t="shared" si="82"/>
        <v>2.3599999999999994E-7</v>
      </c>
      <c r="BB246" s="140">
        <f t="shared" si="83"/>
        <v>4.7199999999999994E-7</v>
      </c>
      <c r="BC246" s="140">
        <f t="shared" si="84"/>
        <v>7.0800000000000004E-7</v>
      </c>
      <c r="BD246" s="140">
        <f t="shared" si="85"/>
        <v>9.4400000000000009E-7</v>
      </c>
      <c r="BE246" s="140">
        <f t="shared" si="86"/>
        <v>1.1800000000000001E-6</v>
      </c>
      <c r="BF246" s="157">
        <f>IF(AY246&lt;$B$89*DATA!$H$1037,DATA!$H$1037,IF(AY246&gt;DATA!$H$1036*$B$89,DATA!$H$1036,1))</f>
        <v>1.2</v>
      </c>
      <c r="BG246" s="156">
        <f t="shared" si="87"/>
        <v>9.9999999999999995E-8</v>
      </c>
      <c r="BI246" s="140">
        <f t="shared" si="88"/>
        <v>2.3600000000000001E-5</v>
      </c>
      <c r="BJ246">
        <v>2.36</v>
      </c>
      <c r="BK246" s="140">
        <f t="shared" si="89"/>
        <v>2.3599999999999994E-7</v>
      </c>
      <c r="BL246" s="140">
        <f t="shared" si="90"/>
        <v>4.7199999999999994E-7</v>
      </c>
      <c r="BM246" s="140">
        <f t="shared" si="91"/>
        <v>7.0800000000000004E-7</v>
      </c>
      <c r="BN246" s="140">
        <f t="shared" si="92"/>
        <v>9.4400000000000009E-7</v>
      </c>
      <c r="BO246" s="140">
        <f t="shared" si="93"/>
        <v>1.1800000000000001E-6</v>
      </c>
      <c r="BP246" s="157">
        <f>IF(BI246&lt;$B$105*DATA!$H$1037,DATA!$H$1037,IF(BI246&gt;DATA!$H$1036*$B$105,DATA!$H$1036,1))</f>
        <v>1.2</v>
      </c>
      <c r="BQ246" s="156">
        <f t="shared" si="94"/>
        <v>9.9999999999999995E-8</v>
      </c>
    </row>
    <row r="247" spans="1:69">
      <c r="A247" s="140">
        <f t="shared" si="50"/>
        <v>2.3800000000000003E-5</v>
      </c>
      <c r="B247">
        <v>2.38</v>
      </c>
      <c r="C247" s="140">
        <f t="shared" si="95"/>
        <v>2.3799999999999996E-7</v>
      </c>
      <c r="D247" s="140">
        <f t="shared" si="95"/>
        <v>4.7599999999999997E-7</v>
      </c>
      <c r="E247" s="140">
        <f t="shared" si="95"/>
        <v>7.1400000000000007E-7</v>
      </c>
      <c r="F247" s="140">
        <f t="shared" si="95"/>
        <v>9.5200000000000016E-7</v>
      </c>
      <c r="G247" s="140">
        <f t="shared" si="95"/>
        <v>1.1900000000000003E-6</v>
      </c>
      <c r="H247" s="157">
        <f>IF(A247&lt;$B$9*DATA!$H$1037,DATA!$H$1037,IF(A247&gt;DATA!$H$1036*$B$9,DATA!$H$1036,1))</f>
        <v>0.8</v>
      </c>
      <c r="I247" s="156">
        <f t="shared" si="52"/>
        <v>9.9999999999999995E-8</v>
      </c>
      <c r="K247" s="140">
        <f t="shared" si="53"/>
        <v>2.3800000000000003E-5</v>
      </c>
      <c r="L247">
        <v>2.38</v>
      </c>
      <c r="M247" s="140">
        <f t="shared" si="54"/>
        <v>2.3799999999999996E-7</v>
      </c>
      <c r="N247" s="140">
        <f t="shared" si="55"/>
        <v>4.7599999999999997E-7</v>
      </c>
      <c r="O247" s="140">
        <f t="shared" si="56"/>
        <v>7.1400000000000007E-7</v>
      </c>
      <c r="P247" s="140">
        <f t="shared" si="57"/>
        <v>9.5200000000000016E-7</v>
      </c>
      <c r="Q247" s="140">
        <f t="shared" si="58"/>
        <v>1.1900000000000003E-6</v>
      </c>
      <c r="R247" s="157">
        <f>IF(K247&lt;$B$25*DATA!$H$1037,DATA!$H$1037,IF(K247&gt;DATA!$H$1036*$B$25,DATA!$H$1036,1))</f>
        <v>0.8</v>
      </c>
      <c r="S247" s="156">
        <f t="shared" si="59"/>
        <v>9.9999999999999995E-8</v>
      </c>
      <c r="U247" s="140">
        <f t="shared" si="60"/>
        <v>2.3800000000000003E-5</v>
      </c>
      <c r="V247">
        <v>2.38</v>
      </c>
      <c r="W247" s="140">
        <f t="shared" si="61"/>
        <v>2.3799999999999996E-7</v>
      </c>
      <c r="X247" s="140">
        <f t="shared" si="62"/>
        <v>4.7599999999999997E-7</v>
      </c>
      <c r="Y247" s="140">
        <f t="shared" si="63"/>
        <v>7.1400000000000007E-7</v>
      </c>
      <c r="Z247" s="140">
        <f t="shared" si="64"/>
        <v>9.5200000000000016E-7</v>
      </c>
      <c r="AA247" s="140">
        <f t="shared" si="65"/>
        <v>1.1900000000000003E-6</v>
      </c>
      <c r="AB247" s="157">
        <f>IF(U247&lt;$B$41*DATA!$H$1037,DATA!$H$1037,IF(U247&gt;DATA!$H$1036*$B$41,DATA!$H$1036,1))</f>
        <v>0.8</v>
      </c>
      <c r="AC247" s="156">
        <f t="shared" si="66"/>
        <v>9.9999999999999995E-8</v>
      </c>
      <c r="AE247" s="140">
        <f t="shared" si="67"/>
        <v>2.3800000000000003E-5</v>
      </c>
      <c r="AF247">
        <v>2.38</v>
      </c>
      <c r="AG247" s="140">
        <f t="shared" si="68"/>
        <v>2.3799999999999996E-7</v>
      </c>
      <c r="AH247" s="140">
        <f t="shared" si="69"/>
        <v>4.7599999999999997E-7</v>
      </c>
      <c r="AI247" s="140">
        <f t="shared" si="70"/>
        <v>7.1400000000000007E-7</v>
      </c>
      <c r="AJ247" s="140">
        <f t="shared" si="71"/>
        <v>9.5200000000000016E-7</v>
      </c>
      <c r="AK247" s="140">
        <f t="shared" si="72"/>
        <v>1.1900000000000003E-6</v>
      </c>
      <c r="AL247" s="157">
        <f>IF(AE247&lt;$B$57*DATA!$H$1037,DATA!$H$1037,IF(AE247&gt;DATA!$H$1036*$B$57,DATA!$H$1036,1))</f>
        <v>1.2</v>
      </c>
      <c r="AM247" s="156">
        <f t="shared" si="73"/>
        <v>9.9999999999999995E-8</v>
      </c>
      <c r="AO247" s="140">
        <f t="shared" si="74"/>
        <v>2.3800000000000003E-5</v>
      </c>
      <c r="AP247">
        <v>2.38</v>
      </c>
      <c r="AQ247" s="140">
        <f t="shared" si="75"/>
        <v>2.3799999999999996E-7</v>
      </c>
      <c r="AR247" s="140">
        <f t="shared" si="76"/>
        <v>4.7599999999999997E-7</v>
      </c>
      <c r="AS247" s="140">
        <f t="shared" si="77"/>
        <v>7.1400000000000007E-7</v>
      </c>
      <c r="AT247" s="140">
        <f t="shared" si="78"/>
        <v>9.5200000000000016E-7</v>
      </c>
      <c r="AU247" s="140">
        <f t="shared" si="79"/>
        <v>1.1900000000000003E-6</v>
      </c>
      <c r="AV247" s="157">
        <f>IF(AO247&lt;$B$73*DATA!$H$1037,DATA!$H$1037,IF(AO247&gt;DATA!$H$1036*$B$73,DATA!$H$1036,1))</f>
        <v>1.2</v>
      </c>
      <c r="AW247" s="156">
        <f t="shared" si="80"/>
        <v>9.9999999999999995E-8</v>
      </c>
      <c r="AY247" s="140">
        <f t="shared" si="81"/>
        <v>2.3800000000000003E-5</v>
      </c>
      <c r="AZ247">
        <v>2.38</v>
      </c>
      <c r="BA247" s="140">
        <f t="shared" si="82"/>
        <v>2.3799999999999996E-7</v>
      </c>
      <c r="BB247" s="140">
        <f t="shared" si="83"/>
        <v>4.7599999999999997E-7</v>
      </c>
      <c r="BC247" s="140">
        <f t="shared" si="84"/>
        <v>7.1400000000000007E-7</v>
      </c>
      <c r="BD247" s="140">
        <f t="shared" si="85"/>
        <v>9.5200000000000016E-7</v>
      </c>
      <c r="BE247" s="140">
        <f t="shared" si="86"/>
        <v>1.1900000000000003E-6</v>
      </c>
      <c r="BF247" s="157">
        <f>IF(AY247&lt;$B$89*DATA!$H$1037,DATA!$H$1037,IF(AY247&gt;DATA!$H$1036*$B$89,DATA!$H$1036,1))</f>
        <v>1.2</v>
      </c>
      <c r="BG247" s="156">
        <f t="shared" si="87"/>
        <v>9.9999999999999995E-8</v>
      </c>
      <c r="BI247" s="140">
        <f t="shared" si="88"/>
        <v>2.3800000000000003E-5</v>
      </c>
      <c r="BJ247">
        <v>2.38</v>
      </c>
      <c r="BK247" s="140">
        <f t="shared" si="89"/>
        <v>2.3799999999999996E-7</v>
      </c>
      <c r="BL247" s="140">
        <f t="shared" si="90"/>
        <v>4.7599999999999997E-7</v>
      </c>
      <c r="BM247" s="140">
        <f t="shared" si="91"/>
        <v>7.1400000000000007E-7</v>
      </c>
      <c r="BN247" s="140">
        <f t="shared" si="92"/>
        <v>9.5200000000000016E-7</v>
      </c>
      <c r="BO247" s="140">
        <f t="shared" si="93"/>
        <v>1.1900000000000003E-6</v>
      </c>
      <c r="BP247" s="157">
        <f>IF(BI247&lt;$B$105*DATA!$H$1037,DATA!$H$1037,IF(BI247&gt;DATA!$H$1036*$B$105,DATA!$H$1036,1))</f>
        <v>1.2</v>
      </c>
      <c r="BQ247" s="156">
        <f t="shared" si="94"/>
        <v>9.9999999999999995E-8</v>
      </c>
    </row>
    <row r="248" spans="1:69">
      <c r="A248" s="140">
        <f t="shared" si="50"/>
        <v>2.4000000000000001E-5</v>
      </c>
      <c r="B248">
        <v>2.4</v>
      </c>
      <c r="C248" s="140">
        <f t="shared" si="95"/>
        <v>2.3999999999999993E-7</v>
      </c>
      <c r="D248" s="140">
        <f t="shared" si="95"/>
        <v>4.7999999999999996E-7</v>
      </c>
      <c r="E248" s="140">
        <f t="shared" si="95"/>
        <v>7.1999999999999999E-7</v>
      </c>
      <c r="F248" s="140">
        <f t="shared" si="95"/>
        <v>9.6000000000000013E-7</v>
      </c>
      <c r="G248" s="140">
        <f t="shared" si="95"/>
        <v>1.2000000000000002E-6</v>
      </c>
      <c r="H248" s="157">
        <f>IF(A248&lt;$B$9*DATA!$H$1037,DATA!$H$1037,IF(A248&gt;DATA!$H$1036*$B$9,DATA!$H$1036,1))</f>
        <v>0.8</v>
      </c>
      <c r="I248" s="156">
        <f t="shared" si="52"/>
        <v>9.9999999999999995E-8</v>
      </c>
      <c r="K248" s="140">
        <f t="shared" si="53"/>
        <v>2.4000000000000001E-5</v>
      </c>
      <c r="L248">
        <v>2.4</v>
      </c>
      <c r="M248" s="140">
        <f t="shared" si="54"/>
        <v>2.3999999999999993E-7</v>
      </c>
      <c r="N248" s="140">
        <f t="shared" si="55"/>
        <v>4.7999999999999996E-7</v>
      </c>
      <c r="O248" s="140">
        <f t="shared" si="56"/>
        <v>7.1999999999999999E-7</v>
      </c>
      <c r="P248" s="140">
        <f t="shared" si="57"/>
        <v>9.6000000000000013E-7</v>
      </c>
      <c r="Q248" s="140">
        <f t="shared" si="58"/>
        <v>1.2000000000000002E-6</v>
      </c>
      <c r="R248" s="157">
        <f>IF(K248&lt;$B$25*DATA!$H$1037,DATA!$H$1037,IF(K248&gt;DATA!$H$1036*$B$25,DATA!$H$1036,1))</f>
        <v>0.8</v>
      </c>
      <c r="S248" s="156">
        <f t="shared" si="59"/>
        <v>9.9999999999999995E-8</v>
      </c>
      <c r="U248" s="140">
        <f t="shared" si="60"/>
        <v>2.4000000000000001E-5</v>
      </c>
      <c r="V248">
        <v>2.4</v>
      </c>
      <c r="W248" s="140">
        <f t="shared" si="61"/>
        <v>2.3999999999999993E-7</v>
      </c>
      <c r="X248" s="140">
        <f t="shared" si="62"/>
        <v>4.7999999999999996E-7</v>
      </c>
      <c r="Y248" s="140">
        <f t="shared" si="63"/>
        <v>7.1999999999999999E-7</v>
      </c>
      <c r="Z248" s="140">
        <f t="shared" si="64"/>
        <v>9.6000000000000013E-7</v>
      </c>
      <c r="AA248" s="140">
        <f t="shared" si="65"/>
        <v>1.2000000000000002E-6</v>
      </c>
      <c r="AB248" s="157">
        <f>IF(U248&lt;$B$41*DATA!$H$1037,DATA!$H$1037,IF(U248&gt;DATA!$H$1036*$B$41,DATA!$H$1036,1))</f>
        <v>0.8</v>
      </c>
      <c r="AC248" s="156">
        <f t="shared" si="66"/>
        <v>9.9999999999999995E-8</v>
      </c>
      <c r="AE248" s="140">
        <f t="shared" si="67"/>
        <v>2.4000000000000001E-5</v>
      </c>
      <c r="AF248">
        <v>2.4</v>
      </c>
      <c r="AG248" s="140">
        <f t="shared" si="68"/>
        <v>2.3999999999999993E-7</v>
      </c>
      <c r="AH248" s="140">
        <f t="shared" si="69"/>
        <v>4.7999999999999996E-7</v>
      </c>
      <c r="AI248" s="140">
        <f t="shared" si="70"/>
        <v>7.1999999999999999E-7</v>
      </c>
      <c r="AJ248" s="140">
        <f t="shared" si="71"/>
        <v>9.6000000000000013E-7</v>
      </c>
      <c r="AK248" s="140">
        <f t="shared" si="72"/>
        <v>1.2000000000000002E-6</v>
      </c>
      <c r="AL248" s="157">
        <f>IF(AE248&lt;$B$57*DATA!$H$1037,DATA!$H$1037,IF(AE248&gt;DATA!$H$1036*$B$57,DATA!$H$1036,1))</f>
        <v>1.2</v>
      </c>
      <c r="AM248" s="156">
        <f t="shared" si="73"/>
        <v>9.9999999999999995E-8</v>
      </c>
      <c r="AO248" s="140">
        <f t="shared" si="74"/>
        <v>2.4000000000000001E-5</v>
      </c>
      <c r="AP248">
        <v>2.4</v>
      </c>
      <c r="AQ248" s="140">
        <f t="shared" si="75"/>
        <v>2.3999999999999993E-7</v>
      </c>
      <c r="AR248" s="140">
        <f t="shared" si="76"/>
        <v>4.7999999999999996E-7</v>
      </c>
      <c r="AS248" s="140">
        <f t="shared" si="77"/>
        <v>7.1999999999999999E-7</v>
      </c>
      <c r="AT248" s="140">
        <f t="shared" si="78"/>
        <v>9.6000000000000013E-7</v>
      </c>
      <c r="AU248" s="140">
        <f t="shared" si="79"/>
        <v>1.2000000000000002E-6</v>
      </c>
      <c r="AV248" s="157">
        <f>IF(AO248&lt;$B$73*DATA!$H$1037,DATA!$H$1037,IF(AO248&gt;DATA!$H$1036*$B$73,DATA!$H$1036,1))</f>
        <v>1.2</v>
      </c>
      <c r="AW248" s="156">
        <f t="shared" si="80"/>
        <v>9.9999999999999995E-8</v>
      </c>
      <c r="AY248" s="140">
        <f t="shared" si="81"/>
        <v>2.4000000000000001E-5</v>
      </c>
      <c r="AZ248">
        <v>2.4</v>
      </c>
      <c r="BA248" s="140">
        <f t="shared" si="82"/>
        <v>2.3999999999999993E-7</v>
      </c>
      <c r="BB248" s="140">
        <f t="shared" si="83"/>
        <v>4.7999999999999996E-7</v>
      </c>
      <c r="BC248" s="140">
        <f t="shared" si="84"/>
        <v>7.1999999999999999E-7</v>
      </c>
      <c r="BD248" s="140">
        <f t="shared" si="85"/>
        <v>9.6000000000000013E-7</v>
      </c>
      <c r="BE248" s="140">
        <f t="shared" si="86"/>
        <v>1.2000000000000002E-6</v>
      </c>
      <c r="BF248" s="157">
        <f>IF(AY248&lt;$B$89*DATA!$H$1037,DATA!$H$1037,IF(AY248&gt;DATA!$H$1036*$B$89,DATA!$H$1036,1))</f>
        <v>1.2</v>
      </c>
      <c r="BG248" s="156">
        <f t="shared" si="87"/>
        <v>9.9999999999999995E-8</v>
      </c>
      <c r="BI248" s="140">
        <f t="shared" si="88"/>
        <v>2.4000000000000001E-5</v>
      </c>
      <c r="BJ248">
        <v>2.4</v>
      </c>
      <c r="BK248" s="140">
        <f t="shared" si="89"/>
        <v>2.3999999999999993E-7</v>
      </c>
      <c r="BL248" s="140">
        <f t="shared" si="90"/>
        <v>4.7999999999999996E-7</v>
      </c>
      <c r="BM248" s="140">
        <f t="shared" si="91"/>
        <v>7.1999999999999999E-7</v>
      </c>
      <c r="BN248" s="140">
        <f t="shared" si="92"/>
        <v>9.6000000000000013E-7</v>
      </c>
      <c r="BO248" s="140">
        <f t="shared" si="93"/>
        <v>1.2000000000000002E-6</v>
      </c>
      <c r="BP248" s="157">
        <f>IF(BI248&lt;$B$105*DATA!$H$1037,DATA!$H$1037,IF(BI248&gt;DATA!$H$1036*$B$105,DATA!$H$1036,1))</f>
        <v>1.2</v>
      </c>
      <c r="BQ248" s="156">
        <f t="shared" si="94"/>
        <v>9.9999999999999995E-8</v>
      </c>
    </row>
    <row r="249" spans="1:69">
      <c r="A249" s="140">
        <f t="shared" si="50"/>
        <v>2.4200000000000002E-5</v>
      </c>
      <c r="B249">
        <v>2.42</v>
      </c>
      <c r="C249" s="140">
        <f t="shared" si="95"/>
        <v>2.4199999999999992E-7</v>
      </c>
      <c r="D249" s="140">
        <f t="shared" si="95"/>
        <v>4.8399999999999994E-7</v>
      </c>
      <c r="E249" s="140">
        <f t="shared" si="95"/>
        <v>7.2600000000000002E-7</v>
      </c>
      <c r="F249" s="140">
        <f t="shared" si="95"/>
        <v>9.6800000000000009E-7</v>
      </c>
      <c r="G249" s="140">
        <f t="shared" si="95"/>
        <v>1.2100000000000003E-6</v>
      </c>
      <c r="H249" s="157">
        <f>IF(A249&lt;$B$9*DATA!$H$1037,DATA!$H$1037,IF(A249&gt;DATA!$H$1036*$B$9,DATA!$H$1036,1))</f>
        <v>0.8</v>
      </c>
      <c r="I249" s="156">
        <f t="shared" si="52"/>
        <v>9.9999999999999995E-8</v>
      </c>
      <c r="K249" s="140">
        <f t="shared" si="53"/>
        <v>2.4200000000000002E-5</v>
      </c>
      <c r="L249">
        <v>2.42</v>
      </c>
      <c r="M249" s="140">
        <f t="shared" si="54"/>
        <v>2.4199999999999992E-7</v>
      </c>
      <c r="N249" s="140">
        <f t="shared" si="55"/>
        <v>4.8399999999999994E-7</v>
      </c>
      <c r="O249" s="140">
        <f t="shared" si="56"/>
        <v>7.2600000000000002E-7</v>
      </c>
      <c r="P249" s="140">
        <f t="shared" si="57"/>
        <v>9.6800000000000009E-7</v>
      </c>
      <c r="Q249" s="140">
        <f t="shared" si="58"/>
        <v>1.2100000000000003E-6</v>
      </c>
      <c r="R249" s="157">
        <f>IF(K249&lt;$B$25*DATA!$H$1037,DATA!$H$1037,IF(K249&gt;DATA!$H$1036*$B$25,DATA!$H$1036,1))</f>
        <v>0.8</v>
      </c>
      <c r="S249" s="156">
        <f t="shared" si="59"/>
        <v>9.9999999999999995E-8</v>
      </c>
      <c r="U249" s="140">
        <f t="shared" si="60"/>
        <v>2.4200000000000002E-5</v>
      </c>
      <c r="V249">
        <v>2.42</v>
      </c>
      <c r="W249" s="140">
        <f t="shared" si="61"/>
        <v>2.4199999999999992E-7</v>
      </c>
      <c r="X249" s="140">
        <f t="shared" si="62"/>
        <v>4.8399999999999994E-7</v>
      </c>
      <c r="Y249" s="140">
        <f t="shared" si="63"/>
        <v>7.2600000000000002E-7</v>
      </c>
      <c r="Z249" s="140">
        <f t="shared" si="64"/>
        <v>9.6800000000000009E-7</v>
      </c>
      <c r="AA249" s="140">
        <f t="shared" si="65"/>
        <v>1.2100000000000003E-6</v>
      </c>
      <c r="AB249" s="157">
        <f>IF(U249&lt;$B$41*DATA!$H$1037,DATA!$H$1037,IF(U249&gt;DATA!$H$1036*$B$41,DATA!$H$1036,1))</f>
        <v>0.8</v>
      </c>
      <c r="AC249" s="156">
        <f t="shared" si="66"/>
        <v>9.9999999999999995E-8</v>
      </c>
      <c r="AE249" s="140">
        <f t="shared" si="67"/>
        <v>2.4200000000000002E-5</v>
      </c>
      <c r="AF249">
        <v>2.42</v>
      </c>
      <c r="AG249" s="140">
        <f t="shared" si="68"/>
        <v>2.4199999999999992E-7</v>
      </c>
      <c r="AH249" s="140">
        <f t="shared" si="69"/>
        <v>4.8399999999999994E-7</v>
      </c>
      <c r="AI249" s="140">
        <f t="shared" si="70"/>
        <v>7.2600000000000002E-7</v>
      </c>
      <c r="AJ249" s="140">
        <f t="shared" si="71"/>
        <v>9.6800000000000009E-7</v>
      </c>
      <c r="AK249" s="140">
        <f t="shared" si="72"/>
        <v>1.2100000000000003E-6</v>
      </c>
      <c r="AL249" s="157">
        <f>IF(AE249&lt;$B$57*DATA!$H$1037,DATA!$H$1037,IF(AE249&gt;DATA!$H$1036*$B$57,DATA!$H$1036,1))</f>
        <v>1.2</v>
      </c>
      <c r="AM249" s="156">
        <f t="shared" si="73"/>
        <v>9.9999999999999995E-8</v>
      </c>
      <c r="AO249" s="140">
        <f t="shared" si="74"/>
        <v>2.4200000000000002E-5</v>
      </c>
      <c r="AP249">
        <v>2.42</v>
      </c>
      <c r="AQ249" s="140">
        <f t="shared" si="75"/>
        <v>2.4199999999999992E-7</v>
      </c>
      <c r="AR249" s="140">
        <f t="shared" si="76"/>
        <v>4.8399999999999994E-7</v>
      </c>
      <c r="AS249" s="140">
        <f t="shared" si="77"/>
        <v>7.2600000000000002E-7</v>
      </c>
      <c r="AT249" s="140">
        <f t="shared" si="78"/>
        <v>9.6800000000000009E-7</v>
      </c>
      <c r="AU249" s="140">
        <f t="shared" si="79"/>
        <v>1.2100000000000003E-6</v>
      </c>
      <c r="AV249" s="157">
        <f>IF(AO249&lt;$B$73*DATA!$H$1037,DATA!$H$1037,IF(AO249&gt;DATA!$H$1036*$B$73,DATA!$H$1036,1))</f>
        <v>1.2</v>
      </c>
      <c r="AW249" s="156">
        <f t="shared" si="80"/>
        <v>9.9999999999999995E-8</v>
      </c>
      <c r="AY249" s="140">
        <f t="shared" si="81"/>
        <v>2.4200000000000002E-5</v>
      </c>
      <c r="AZ249">
        <v>2.42</v>
      </c>
      <c r="BA249" s="140">
        <f t="shared" si="82"/>
        <v>2.4199999999999992E-7</v>
      </c>
      <c r="BB249" s="140">
        <f t="shared" si="83"/>
        <v>4.8399999999999994E-7</v>
      </c>
      <c r="BC249" s="140">
        <f t="shared" si="84"/>
        <v>7.2600000000000002E-7</v>
      </c>
      <c r="BD249" s="140">
        <f t="shared" si="85"/>
        <v>9.6800000000000009E-7</v>
      </c>
      <c r="BE249" s="140">
        <f t="shared" si="86"/>
        <v>1.2100000000000003E-6</v>
      </c>
      <c r="BF249" s="157">
        <f>IF(AY249&lt;$B$89*DATA!$H$1037,DATA!$H$1037,IF(AY249&gt;DATA!$H$1036*$B$89,DATA!$H$1036,1))</f>
        <v>1.2</v>
      </c>
      <c r="BG249" s="156">
        <f t="shared" si="87"/>
        <v>9.9999999999999995E-8</v>
      </c>
      <c r="BI249" s="140">
        <f t="shared" si="88"/>
        <v>2.4200000000000002E-5</v>
      </c>
      <c r="BJ249">
        <v>2.42</v>
      </c>
      <c r="BK249" s="140">
        <f t="shared" si="89"/>
        <v>2.4199999999999992E-7</v>
      </c>
      <c r="BL249" s="140">
        <f t="shared" si="90"/>
        <v>4.8399999999999994E-7</v>
      </c>
      <c r="BM249" s="140">
        <f t="shared" si="91"/>
        <v>7.2600000000000002E-7</v>
      </c>
      <c r="BN249" s="140">
        <f t="shared" si="92"/>
        <v>9.6800000000000009E-7</v>
      </c>
      <c r="BO249" s="140">
        <f t="shared" si="93"/>
        <v>1.2100000000000003E-6</v>
      </c>
      <c r="BP249" s="157">
        <f>IF(BI249&lt;$B$105*DATA!$H$1037,DATA!$H$1037,IF(BI249&gt;DATA!$H$1036*$B$105,DATA!$H$1036,1))</f>
        <v>1.2</v>
      </c>
      <c r="BQ249" s="156">
        <f t="shared" si="94"/>
        <v>9.9999999999999995E-8</v>
      </c>
    </row>
    <row r="250" spans="1:69">
      <c r="A250" s="140">
        <f t="shared" si="50"/>
        <v>2.44E-5</v>
      </c>
      <c r="B250">
        <v>2.44</v>
      </c>
      <c r="C250" s="140">
        <f t="shared" si="95"/>
        <v>2.4399999999999991E-7</v>
      </c>
      <c r="D250" s="140">
        <f t="shared" si="95"/>
        <v>4.8799999999999992E-7</v>
      </c>
      <c r="E250" s="140">
        <f t="shared" si="95"/>
        <v>7.3199999999999994E-7</v>
      </c>
      <c r="F250" s="140">
        <f t="shared" si="95"/>
        <v>9.7600000000000006E-7</v>
      </c>
      <c r="G250" s="140">
        <f t="shared" si="95"/>
        <v>1.2200000000000002E-6</v>
      </c>
      <c r="H250" s="157">
        <f>IF(A250&lt;$B$9*DATA!$H$1037,DATA!$H$1037,IF(A250&gt;DATA!$H$1036*$B$9,DATA!$H$1036,1))</f>
        <v>0.8</v>
      </c>
      <c r="I250" s="156">
        <f t="shared" si="52"/>
        <v>9.9999999999999995E-8</v>
      </c>
      <c r="K250" s="140">
        <f t="shared" si="53"/>
        <v>2.44E-5</v>
      </c>
      <c r="L250">
        <v>2.44</v>
      </c>
      <c r="M250" s="140">
        <f t="shared" si="54"/>
        <v>2.4399999999999991E-7</v>
      </c>
      <c r="N250" s="140">
        <f t="shared" si="55"/>
        <v>4.8799999999999992E-7</v>
      </c>
      <c r="O250" s="140">
        <f t="shared" si="56"/>
        <v>7.3199999999999994E-7</v>
      </c>
      <c r="P250" s="140">
        <f t="shared" si="57"/>
        <v>9.7600000000000006E-7</v>
      </c>
      <c r="Q250" s="140">
        <f t="shared" si="58"/>
        <v>1.2200000000000002E-6</v>
      </c>
      <c r="R250" s="157">
        <f>IF(K250&lt;$B$25*DATA!$H$1037,DATA!$H$1037,IF(K250&gt;DATA!$H$1036*$B$25,DATA!$H$1036,1))</f>
        <v>0.8</v>
      </c>
      <c r="S250" s="156">
        <f t="shared" si="59"/>
        <v>9.9999999999999995E-8</v>
      </c>
      <c r="U250" s="140">
        <f t="shared" si="60"/>
        <v>2.44E-5</v>
      </c>
      <c r="V250">
        <v>2.44</v>
      </c>
      <c r="W250" s="140">
        <f t="shared" si="61"/>
        <v>2.4399999999999991E-7</v>
      </c>
      <c r="X250" s="140">
        <f t="shared" si="62"/>
        <v>4.8799999999999992E-7</v>
      </c>
      <c r="Y250" s="140">
        <f t="shared" si="63"/>
        <v>7.3199999999999994E-7</v>
      </c>
      <c r="Z250" s="140">
        <f t="shared" si="64"/>
        <v>9.7600000000000006E-7</v>
      </c>
      <c r="AA250" s="140">
        <f t="shared" si="65"/>
        <v>1.2200000000000002E-6</v>
      </c>
      <c r="AB250" s="157">
        <f>IF(U250&lt;$B$41*DATA!$H$1037,DATA!$H$1037,IF(U250&gt;DATA!$H$1036*$B$41,DATA!$H$1036,1))</f>
        <v>0.8</v>
      </c>
      <c r="AC250" s="156">
        <f t="shared" si="66"/>
        <v>9.9999999999999995E-8</v>
      </c>
      <c r="AE250" s="140">
        <f t="shared" si="67"/>
        <v>2.44E-5</v>
      </c>
      <c r="AF250">
        <v>2.44</v>
      </c>
      <c r="AG250" s="140">
        <f t="shared" si="68"/>
        <v>2.4399999999999991E-7</v>
      </c>
      <c r="AH250" s="140">
        <f t="shared" si="69"/>
        <v>4.8799999999999992E-7</v>
      </c>
      <c r="AI250" s="140">
        <f t="shared" si="70"/>
        <v>7.3199999999999994E-7</v>
      </c>
      <c r="AJ250" s="140">
        <f t="shared" si="71"/>
        <v>9.7600000000000006E-7</v>
      </c>
      <c r="AK250" s="140">
        <f t="shared" si="72"/>
        <v>1.2200000000000002E-6</v>
      </c>
      <c r="AL250" s="157">
        <f>IF(AE250&lt;$B$57*DATA!$H$1037,DATA!$H$1037,IF(AE250&gt;DATA!$H$1036*$B$57,DATA!$H$1036,1))</f>
        <v>1.2</v>
      </c>
      <c r="AM250" s="156">
        <f t="shared" si="73"/>
        <v>9.9999999999999995E-8</v>
      </c>
      <c r="AO250" s="140">
        <f t="shared" si="74"/>
        <v>2.44E-5</v>
      </c>
      <c r="AP250">
        <v>2.44</v>
      </c>
      <c r="AQ250" s="140">
        <f t="shared" si="75"/>
        <v>2.4399999999999991E-7</v>
      </c>
      <c r="AR250" s="140">
        <f t="shared" si="76"/>
        <v>4.8799999999999992E-7</v>
      </c>
      <c r="AS250" s="140">
        <f t="shared" si="77"/>
        <v>7.3199999999999994E-7</v>
      </c>
      <c r="AT250" s="140">
        <f t="shared" si="78"/>
        <v>9.7600000000000006E-7</v>
      </c>
      <c r="AU250" s="140">
        <f t="shared" si="79"/>
        <v>1.2200000000000002E-6</v>
      </c>
      <c r="AV250" s="157">
        <f>IF(AO250&lt;$B$73*DATA!$H$1037,DATA!$H$1037,IF(AO250&gt;DATA!$H$1036*$B$73,DATA!$H$1036,1))</f>
        <v>1.2</v>
      </c>
      <c r="AW250" s="156">
        <f t="shared" si="80"/>
        <v>9.9999999999999995E-8</v>
      </c>
      <c r="AY250" s="140">
        <f t="shared" si="81"/>
        <v>2.44E-5</v>
      </c>
      <c r="AZ250">
        <v>2.44</v>
      </c>
      <c r="BA250" s="140">
        <f t="shared" si="82"/>
        <v>2.4399999999999991E-7</v>
      </c>
      <c r="BB250" s="140">
        <f t="shared" si="83"/>
        <v>4.8799999999999992E-7</v>
      </c>
      <c r="BC250" s="140">
        <f t="shared" si="84"/>
        <v>7.3199999999999994E-7</v>
      </c>
      <c r="BD250" s="140">
        <f t="shared" si="85"/>
        <v>9.7600000000000006E-7</v>
      </c>
      <c r="BE250" s="140">
        <f t="shared" si="86"/>
        <v>1.2200000000000002E-6</v>
      </c>
      <c r="BF250" s="157">
        <f>IF(AY250&lt;$B$89*DATA!$H$1037,DATA!$H$1037,IF(AY250&gt;DATA!$H$1036*$B$89,DATA!$H$1036,1))</f>
        <v>1.2</v>
      </c>
      <c r="BG250" s="156">
        <f t="shared" si="87"/>
        <v>9.9999999999999995E-8</v>
      </c>
      <c r="BI250" s="140">
        <f t="shared" si="88"/>
        <v>2.44E-5</v>
      </c>
      <c r="BJ250">
        <v>2.44</v>
      </c>
      <c r="BK250" s="140">
        <f t="shared" si="89"/>
        <v>2.4399999999999991E-7</v>
      </c>
      <c r="BL250" s="140">
        <f t="shared" si="90"/>
        <v>4.8799999999999992E-7</v>
      </c>
      <c r="BM250" s="140">
        <f t="shared" si="91"/>
        <v>7.3199999999999994E-7</v>
      </c>
      <c r="BN250" s="140">
        <f t="shared" si="92"/>
        <v>9.7600000000000006E-7</v>
      </c>
      <c r="BO250" s="140">
        <f t="shared" si="93"/>
        <v>1.2200000000000002E-6</v>
      </c>
      <c r="BP250" s="157">
        <f>IF(BI250&lt;$B$105*DATA!$H$1037,DATA!$H$1037,IF(BI250&gt;DATA!$H$1036*$B$105,DATA!$H$1036,1))</f>
        <v>1.2</v>
      </c>
      <c r="BQ250" s="156">
        <f t="shared" si="94"/>
        <v>9.9999999999999995E-8</v>
      </c>
    </row>
    <row r="251" spans="1:69">
      <c r="A251" s="140">
        <f t="shared" si="50"/>
        <v>2.4600000000000002E-5</v>
      </c>
      <c r="B251">
        <v>2.46</v>
      </c>
      <c r="C251" s="140">
        <f t="shared" si="95"/>
        <v>2.4599999999999995E-7</v>
      </c>
      <c r="D251" s="140">
        <f t="shared" si="95"/>
        <v>4.9199999999999991E-7</v>
      </c>
      <c r="E251" s="140">
        <f t="shared" si="95"/>
        <v>7.3800000000000007E-7</v>
      </c>
      <c r="F251" s="140">
        <f t="shared" si="95"/>
        <v>9.8400000000000002E-7</v>
      </c>
      <c r="G251" s="140">
        <f t="shared" si="95"/>
        <v>1.2300000000000001E-6</v>
      </c>
      <c r="H251" s="157">
        <f>IF(A251&lt;$B$9*DATA!$H$1037,DATA!$H$1037,IF(A251&gt;DATA!$H$1036*$B$9,DATA!$H$1036,1))</f>
        <v>0.8</v>
      </c>
      <c r="I251" s="156">
        <f t="shared" si="52"/>
        <v>9.9999999999999995E-8</v>
      </c>
      <c r="K251" s="140">
        <f t="shared" si="53"/>
        <v>2.4600000000000002E-5</v>
      </c>
      <c r="L251">
        <v>2.46</v>
      </c>
      <c r="M251" s="140">
        <f t="shared" si="54"/>
        <v>2.4599999999999995E-7</v>
      </c>
      <c r="N251" s="140">
        <f t="shared" si="55"/>
        <v>4.9199999999999991E-7</v>
      </c>
      <c r="O251" s="140">
        <f t="shared" si="56"/>
        <v>7.3800000000000007E-7</v>
      </c>
      <c r="P251" s="140">
        <f t="shared" si="57"/>
        <v>9.8400000000000002E-7</v>
      </c>
      <c r="Q251" s="140">
        <f t="shared" si="58"/>
        <v>1.2300000000000001E-6</v>
      </c>
      <c r="R251" s="157">
        <f>IF(K251&lt;$B$25*DATA!$H$1037,DATA!$H$1037,IF(K251&gt;DATA!$H$1036*$B$25,DATA!$H$1036,1))</f>
        <v>0.8</v>
      </c>
      <c r="S251" s="156">
        <f t="shared" si="59"/>
        <v>9.9999999999999995E-8</v>
      </c>
      <c r="U251" s="140">
        <f t="shared" si="60"/>
        <v>2.4600000000000002E-5</v>
      </c>
      <c r="V251">
        <v>2.46</v>
      </c>
      <c r="W251" s="140">
        <f t="shared" si="61"/>
        <v>2.4599999999999995E-7</v>
      </c>
      <c r="X251" s="140">
        <f t="shared" si="62"/>
        <v>4.9199999999999991E-7</v>
      </c>
      <c r="Y251" s="140">
        <f t="shared" si="63"/>
        <v>7.3800000000000007E-7</v>
      </c>
      <c r="Z251" s="140">
        <f t="shared" si="64"/>
        <v>9.8400000000000002E-7</v>
      </c>
      <c r="AA251" s="140">
        <f t="shared" si="65"/>
        <v>1.2300000000000001E-6</v>
      </c>
      <c r="AB251" s="157">
        <f>IF(U251&lt;$B$41*DATA!$H$1037,DATA!$H$1037,IF(U251&gt;DATA!$H$1036*$B$41,DATA!$H$1036,1))</f>
        <v>0.8</v>
      </c>
      <c r="AC251" s="156">
        <f t="shared" si="66"/>
        <v>9.9999999999999995E-8</v>
      </c>
      <c r="AE251" s="140">
        <f t="shared" si="67"/>
        <v>2.4600000000000002E-5</v>
      </c>
      <c r="AF251">
        <v>2.46</v>
      </c>
      <c r="AG251" s="140">
        <f t="shared" si="68"/>
        <v>2.4599999999999995E-7</v>
      </c>
      <c r="AH251" s="140">
        <f t="shared" si="69"/>
        <v>4.9199999999999991E-7</v>
      </c>
      <c r="AI251" s="140">
        <f t="shared" si="70"/>
        <v>7.3800000000000007E-7</v>
      </c>
      <c r="AJ251" s="140">
        <f t="shared" si="71"/>
        <v>9.8400000000000002E-7</v>
      </c>
      <c r="AK251" s="140">
        <f t="shared" si="72"/>
        <v>1.2300000000000001E-6</v>
      </c>
      <c r="AL251" s="157">
        <f>IF(AE251&lt;$B$57*DATA!$H$1037,DATA!$H$1037,IF(AE251&gt;DATA!$H$1036*$B$57,DATA!$H$1036,1))</f>
        <v>1.2</v>
      </c>
      <c r="AM251" s="156">
        <f t="shared" si="73"/>
        <v>9.9999999999999995E-8</v>
      </c>
      <c r="AO251" s="140">
        <f t="shared" si="74"/>
        <v>2.4600000000000002E-5</v>
      </c>
      <c r="AP251">
        <v>2.46</v>
      </c>
      <c r="AQ251" s="140">
        <f t="shared" si="75"/>
        <v>2.4599999999999995E-7</v>
      </c>
      <c r="AR251" s="140">
        <f t="shared" si="76"/>
        <v>4.9199999999999991E-7</v>
      </c>
      <c r="AS251" s="140">
        <f t="shared" si="77"/>
        <v>7.3800000000000007E-7</v>
      </c>
      <c r="AT251" s="140">
        <f t="shared" si="78"/>
        <v>9.8400000000000002E-7</v>
      </c>
      <c r="AU251" s="140">
        <f t="shared" si="79"/>
        <v>1.2300000000000001E-6</v>
      </c>
      <c r="AV251" s="157">
        <f>IF(AO251&lt;$B$73*DATA!$H$1037,DATA!$H$1037,IF(AO251&gt;DATA!$H$1036*$B$73,DATA!$H$1036,1))</f>
        <v>1.2</v>
      </c>
      <c r="AW251" s="156">
        <f t="shared" si="80"/>
        <v>9.9999999999999995E-8</v>
      </c>
      <c r="AY251" s="140">
        <f t="shared" si="81"/>
        <v>2.4600000000000002E-5</v>
      </c>
      <c r="AZ251">
        <v>2.46</v>
      </c>
      <c r="BA251" s="140">
        <f t="shared" si="82"/>
        <v>2.4599999999999995E-7</v>
      </c>
      <c r="BB251" s="140">
        <f t="shared" si="83"/>
        <v>4.9199999999999991E-7</v>
      </c>
      <c r="BC251" s="140">
        <f t="shared" si="84"/>
        <v>7.3800000000000007E-7</v>
      </c>
      <c r="BD251" s="140">
        <f t="shared" si="85"/>
        <v>9.8400000000000002E-7</v>
      </c>
      <c r="BE251" s="140">
        <f t="shared" si="86"/>
        <v>1.2300000000000001E-6</v>
      </c>
      <c r="BF251" s="157">
        <f>IF(AY251&lt;$B$89*DATA!$H$1037,DATA!$H$1037,IF(AY251&gt;DATA!$H$1036*$B$89,DATA!$H$1036,1))</f>
        <v>1.2</v>
      </c>
      <c r="BG251" s="156">
        <f t="shared" si="87"/>
        <v>9.9999999999999995E-8</v>
      </c>
      <c r="BI251" s="140">
        <f t="shared" si="88"/>
        <v>2.4600000000000002E-5</v>
      </c>
      <c r="BJ251">
        <v>2.46</v>
      </c>
      <c r="BK251" s="140">
        <f t="shared" si="89"/>
        <v>2.4599999999999995E-7</v>
      </c>
      <c r="BL251" s="140">
        <f t="shared" si="90"/>
        <v>4.9199999999999991E-7</v>
      </c>
      <c r="BM251" s="140">
        <f t="shared" si="91"/>
        <v>7.3800000000000007E-7</v>
      </c>
      <c r="BN251" s="140">
        <f t="shared" si="92"/>
        <v>9.8400000000000002E-7</v>
      </c>
      <c r="BO251" s="140">
        <f t="shared" si="93"/>
        <v>1.2300000000000001E-6</v>
      </c>
      <c r="BP251" s="157">
        <f>IF(BI251&lt;$B$105*DATA!$H$1037,DATA!$H$1037,IF(BI251&gt;DATA!$H$1036*$B$105,DATA!$H$1036,1))</f>
        <v>1.2</v>
      </c>
      <c r="BQ251" s="156">
        <f t="shared" si="94"/>
        <v>9.9999999999999995E-8</v>
      </c>
    </row>
    <row r="252" spans="1:69">
      <c r="A252" s="140">
        <f t="shared" si="50"/>
        <v>2.4800000000000003E-5</v>
      </c>
      <c r="B252">
        <v>2.48</v>
      </c>
      <c r="C252" s="140">
        <f t="shared" si="95"/>
        <v>2.4799999999999994E-7</v>
      </c>
      <c r="D252" s="140">
        <f t="shared" si="95"/>
        <v>4.9599999999999999E-7</v>
      </c>
      <c r="E252" s="140">
        <f t="shared" si="95"/>
        <v>7.440000000000001E-7</v>
      </c>
      <c r="F252" s="140">
        <f t="shared" si="95"/>
        <v>9.920000000000002E-7</v>
      </c>
      <c r="G252" s="140">
        <f t="shared" si="95"/>
        <v>1.2400000000000002E-6</v>
      </c>
      <c r="H252" s="157">
        <f>IF(A252&lt;$B$9*DATA!$H$1037,DATA!$H$1037,IF(A252&gt;DATA!$H$1036*$B$9,DATA!$H$1036,1))</f>
        <v>0.8</v>
      </c>
      <c r="I252" s="156">
        <f t="shared" si="52"/>
        <v>9.9999999999999995E-8</v>
      </c>
      <c r="K252" s="140">
        <f t="shared" si="53"/>
        <v>2.4800000000000003E-5</v>
      </c>
      <c r="L252">
        <v>2.48</v>
      </c>
      <c r="M252" s="140">
        <f t="shared" si="54"/>
        <v>2.4799999999999994E-7</v>
      </c>
      <c r="N252" s="140">
        <f t="shared" si="55"/>
        <v>4.9599999999999999E-7</v>
      </c>
      <c r="O252" s="140">
        <f t="shared" si="56"/>
        <v>7.440000000000001E-7</v>
      </c>
      <c r="P252" s="140">
        <f t="shared" si="57"/>
        <v>9.920000000000002E-7</v>
      </c>
      <c r="Q252" s="140">
        <f t="shared" si="58"/>
        <v>1.2400000000000002E-6</v>
      </c>
      <c r="R252" s="157">
        <f>IF(K252&lt;$B$25*DATA!$H$1037,DATA!$H$1037,IF(K252&gt;DATA!$H$1036*$B$25,DATA!$H$1036,1))</f>
        <v>0.8</v>
      </c>
      <c r="S252" s="156">
        <f t="shared" si="59"/>
        <v>9.9999999999999995E-8</v>
      </c>
      <c r="U252" s="140">
        <f t="shared" si="60"/>
        <v>2.4800000000000003E-5</v>
      </c>
      <c r="V252">
        <v>2.48</v>
      </c>
      <c r="W252" s="140">
        <f t="shared" si="61"/>
        <v>2.4799999999999994E-7</v>
      </c>
      <c r="X252" s="140">
        <f t="shared" si="62"/>
        <v>4.9599999999999999E-7</v>
      </c>
      <c r="Y252" s="140">
        <f t="shared" si="63"/>
        <v>7.440000000000001E-7</v>
      </c>
      <c r="Z252" s="140">
        <f t="shared" si="64"/>
        <v>9.920000000000002E-7</v>
      </c>
      <c r="AA252" s="140">
        <f t="shared" si="65"/>
        <v>1.2400000000000002E-6</v>
      </c>
      <c r="AB252" s="157">
        <f>IF(U252&lt;$B$41*DATA!$H$1037,DATA!$H$1037,IF(U252&gt;DATA!$H$1036*$B$41,DATA!$H$1036,1))</f>
        <v>0.8</v>
      </c>
      <c r="AC252" s="156">
        <f t="shared" si="66"/>
        <v>9.9999999999999995E-8</v>
      </c>
      <c r="AE252" s="140">
        <f t="shared" si="67"/>
        <v>2.4800000000000003E-5</v>
      </c>
      <c r="AF252">
        <v>2.48</v>
      </c>
      <c r="AG252" s="140">
        <f t="shared" si="68"/>
        <v>2.4799999999999994E-7</v>
      </c>
      <c r="AH252" s="140">
        <f t="shared" si="69"/>
        <v>4.9599999999999999E-7</v>
      </c>
      <c r="AI252" s="140">
        <f t="shared" si="70"/>
        <v>7.440000000000001E-7</v>
      </c>
      <c r="AJ252" s="140">
        <f t="shared" si="71"/>
        <v>9.920000000000002E-7</v>
      </c>
      <c r="AK252" s="140">
        <f t="shared" si="72"/>
        <v>1.2400000000000002E-6</v>
      </c>
      <c r="AL252" s="157">
        <f>IF(AE252&lt;$B$57*DATA!$H$1037,DATA!$H$1037,IF(AE252&gt;DATA!$H$1036*$B$57,DATA!$H$1036,1))</f>
        <v>1.2</v>
      </c>
      <c r="AM252" s="156">
        <f t="shared" si="73"/>
        <v>9.9999999999999995E-8</v>
      </c>
      <c r="AO252" s="140">
        <f t="shared" si="74"/>
        <v>2.4800000000000003E-5</v>
      </c>
      <c r="AP252">
        <v>2.48</v>
      </c>
      <c r="AQ252" s="140">
        <f t="shared" si="75"/>
        <v>2.4799999999999994E-7</v>
      </c>
      <c r="AR252" s="140">
        <f t="shared" si="76"/>
        <v>4.9599999999999999E-7</v>
      </c>
      <c r="AS252" s="140">
        <f t="shared" si="77"/>
        <v>7.440000000000001E-7</v>
      </c>
      <c r="AT252" s="140">
        <f t="shared" si="78"/>
        <v>9.920000000000002E-7</v>
      </c>
      <c r="AU252" s="140">
        <f t="shared" si="79"/>
        <v>1.2400000000000002E-6</v>
      </c>
      <c r="AV252" s="157">
        <f>IF(AO252&lt;$B$73*DATA!$H$1037,DATA!$H$1037,IF(AO252&gt;DATA!$H$1036*$B$73,DATA!$H$1036,1))</f>
        <v>1.2</v>
      </c>
      <c r="AW252" s="156">
        <f t="shared" si="80"/>
        <v>9.9999999999999995E-8</v>
      </c>
      <c r="AY252" s="140">
        <f t="shared" si="81"/>
        <v>2.4800000000000003E-5</v>
      </c>
      <c r="AZ252">
        <v>2.48</v>
      </c>
      <c r="BA252" s="140">
        <f t="shared" si="82"/>
        <v>2.4799999999999994E-7</v>
      </c>
      <c r="BB252" s="140">
        <f t="shared" si="83"/>
        <v>4.9599999999999999E-7</v>
      </c>
      <c r="BC252" s="140">
        <f t="shared" si="84"/>
        <v>7.440000000000001E-7</v>
      </c>
      <c r="BD252" s="140">
        <f t="shared" si="85"/>
        <v>9.920000000000002E-7</v>
      </c>
      <c r="BE252" s="140">
        <f t="shared" si="86"/>
        <v>1.2400000000000002E-6</v>
      </c>
      <c r="BF252" s="157">
        <f>IF(AY252&lt;$B$89*DATA!$H$1037,DATA!$H$1037,IF(AY252&gt;DATA!$H$1036*$B$89,DATA!$H$1036,1))</f>
        <v>1.2</v>
      </c>
      <c r="BG252" s="156">
        <f t="shared" si="87"/>
        <v>9.9999999999999995E-8</v>
      </c>
      <c r="BI252" s="140">
        <f t="shared" si="88"/>
        <v>2.4800000000000003E-5</v>
      </c>
      <c r="BJ252">
        <v>2.48</v>
      </c>
      <c r="BK252" s="140">
        <f t="shared" si="89"/>
        <v>2.4799999999999994E-7</v>
      </c>
      <c r="BL252" s="140">
        <f t="shared" si="90"/>
        <v>4.9599999999999999E-7</v>
      </c>
      <c r="BM252" s="140">
        <f t="shared" si="91"/>
        <v>7.440000000000001E-7</v>
      </c>
      <c r="BN252" s="140">
        <f t="shared" si="92"/>
        <v>9.920000000000002E-7</v>
      </c>
      <c r="BO252" s="140">
        <f t="shared" si="93"/>
        <v>1.2400000000000002E-6</v>
      </c>
      <c r="BP252" s="157">
        <f>IF(BI252&lt;$B$105*DATA!$H$1037,DATA!$H$1037,IF(BI252&gt;DATA!$H$1036*$B$105,DATA!$H$1036,1))</f>
        <v>1.2</v>
      </c>
      <c r="BQ252" s="156">
        <f t="shared" si="94"/>
        <v>9.9999999999999995E-8</v>
      </c>
    </row>
    <row r="253" spans="1:69">
      <c r="A253" s="140">
        <f t="shared" si="50"/>
        <v>2.5000000000000001E-5</v>
      </c>
      <c r="B253">
        <v>2.5</v>
      </c>
      <c r="C253" s="140">
        <f t="shared" si="95"/>
        <v>2.4999999999999994E-7</v>
      </c>
      <c r="D253" s="140">
        <f t="shared" si="95"/>
        <v>4.9999999999999998E-7</v>
      </c>
      <c r="E253" s="140">
        <f t="shared" si="95"/>
        <v>7.5000000000000002E-7</v>
      </c>
      <c r="F253" s="140">
        <f t="shared" si="95"/>
        <v>1.0000000000000002E-6</v>
      </c>
      <c r="G253" s="140">
        <f t="shared" si="95"/>
        <v>1.2500000000000001E-6</v>
      </c>
      <c r="H253" s="157">
        <f>IF(A253&lt;$B$9*DATA!$H$1037,DATA!$H$1037,IF(A253&gt;DATA!$H$1036*$B$9,DATA!$H$1036,1))</f>
        <v>0.8</v>
      </c>
      <c r="I253" s="156">
        <f t="shared" si="52"/>
        <v>9.9999999999999995E-8</v>
      </c>
      <c r="K253" s="140">
        <f t="shared" si="53"/>
        <v>2.5000000000000001E-5</v>
      </c>
      <c r="L253">
        <v>2.5</v>
      </c>
      <c r="M253" s="140">
        <f t="shared" si="54"/>
        <v>2.4999999999999994E-7</v>
      </c>
      <c r="N253" s="140">
        <f t="shared" si="55"/>
        <v>4.9999999999999998E-7</v>
      </c>
      <c r="O253" s="140">
        <f t="shared" si="56"/>
        <v>7.5000000000000002E-7</v>
      </c>
      <c r="P253" s="140">
        <f t="shared" si="57"/>
        <v>1.0000000000000002E-6</v>
      </c>
      <c r="Q253" s="140">
        <f t="shared" si="58"/>
        <v>1.2500000000000001E-6</v>
      </c>
      <c r="R253" s="157">
        <f>IF(K253&lt;$B$25*DATA!$H$1037,DATA!$H$1037,IF(K253&gt;DATA!$H$1036*$B$25,DATA!$H$1036,1))</f>
        <v>0.8</v>
      </c>
      <c r="S253" s="156">
        <f t="shared" si="59"/>
        <v>9.9999999999999995E-8</v>
      </c>
      <c r="U253" s="140">
        <f t="shared" si="60"/>
        <v>2.5000000000000001E-5</v>
      </c>
      <c r="V253">
        <v>2.5</v>
      </c>
      <c r="W253" s="140">
        <f t="shared" si="61"/>
        <v>2.4999999999999994E-7</v>
      </c>
      <c r="X253" s="140">
        <f t="shared" si="62"/>
        <v>4.9999999999999998E-7</v>
      </c>
      <c r="Y253" s="140">
        <f t="shared" si="63"/>
        <v>7.5000000000000002E-7</v>
      </c>
      <c r="Z253" s="140">
        <f t="shared" si="64"/>
        <v>1.0000000000000002E-6</v>
      </c>
      <c r="AA253" s="140">
        <f t="shared" si="65"/>
        <v>1.2500000000000001E-6</v>
      </c>
      <c r="AB253" s="157">
        <f>IF(U253&lt;$B$41*DATA!$H$1037,DATA!$H$1037,IF(U253&gt;DATA!$H$1036*$B$41,DATA!$H$1036,1))</f>
        <v>0.8</v>
      </c>
      <c r="AC253" s="156">
        <f t="shared" si="66"/>
        <v>9.9999999999999995E-8</v>
      </c>
      <c r="AE253" s="140">
        <f t="shared" si="67"/>
        <v>2.5000000000000001E-5</v>
      </c>
      <c r="AF253">
        <v>2.5</v>
      </c>
      <c r="AG253" s="140">
        <f t="shared" si="68"/>
        <v>2.4999999999999994E-7</v>
      </c>
      <c r="AH253" s="140">
        <f t="shared" si="69"/>
        <v>4.9999999999999998E-7</v>
      </c>
      <c r="AI253" s="140">
        <f t="shared" si="70"/>
        <v>7.5000000000000002E-7</v>
      </c>
      <c r="AJ253" s="140">
        <f t="shared" si="71"/>
        <v>1.0000000000000002E-6</v>
      </c>
      <c r="AK253" s="140">
        <f t="shared" si="72"/>
        <v>1.2500000000000001E-6</v>
      </c>
      <c r="AL253" s="157">
        <f>IF(AE253&lt;$B$57*DATA!$H$1037,DATA!$H$1037,IF(AE253&gt;DATA!$H$1036*$B$57,DATA!$H$1036,1))</f>
        <v>1.2</v>
      </c>
      <c r="AM253" s="156">
        <f t="shared" si="73"/>
        <v>9.9999999999999995E-8</v>
      </c>
      <c r="AO253" s="140">
        <f t="shared" si="74"/>
        <v>2.5000000000000001E-5</v>
      </c>
      <c r="AP253">
        <v>2.5</v>
      </c>
      <c r="AQ253" s="140">
        <f t="shared" si="75"/>
        <v>2.4999999999999994E-7</v>
      </c>
      <c r="AR253" s="140">
        <f t="shared" si="76"/>
        <v>4.9999999999999998E-7</v>
      </c>
      <c r="AS253" s="140">
        <f t="shared" si="77"/>
        <v>7.5000000000000002E-7</v>
      </c>
      <c r="AT253" s="140">
        <f t="shared" si="78"/>
        <v>1.0000000000000002E-6</v>
      </c>
      <c r="AU253" s="140">
        <f t="shared" si="79"/>
        <v>1.2500000000000001E-6</v>
      </c>
      <c r="AV253" s="157">
        <f>IF(AO253&lt;$B$73*DATA!$H$1037,DATA!$H$1037,IF(AO253&gt;DATA!$H$1036*$B$73,DATA!$H$1036,1))</f>
        <v>1.2</v>
      </c>
      <c r="AW253" s="156">
        <f t="shared" si="80"/>
        <v>9.9999999999999995E-8</v>
      </c>
      <c r="AY253" s="140">
        <f t="shared" si="81"/>
        <v>2.5000000000000001E-5</v>
      </c>
      <c r="AZ253">
        <v>2.5</v>
      </c>
      <c r="BA253" s="140">
        <f t="shared" si="82"/>
        <v>2.4999999999999994E-7</v>
      </c>
      <c r="BB253" s="140">
        <f t="shared" si="83"/>
        <v>4.9999999999999998E-7</v>
      </c>
      <c r="BC253" s="140">
        <f t="shared" si="84"/>
        <v>7.5000000000000002E-7</v>
      </c>
      <c r="BD253" s="140">
        <f t="shared" si="85"/>
        <v>1.0000000000000002E-6</v>
      </c>
      <c r="BE253" s="140">
        <f t="shared" si="86"/>
        <v>1.2500000000000001E-6</v>
      </c>
      <c r="BF253" s="157">
        <f>IF(AY253&lt;$B$89*DATA!$H$1037,DATA!$H$1037,IF(AY253&gt;DATA!$H$1036*$B$89,DATA!$H$1036,1))</f>
        <v>1.2</v>
      </c>
      <c r="BG253" s="156">
        <f t="shared" si="87"/>
        <v>9.9999999999999995E-8</v>
      </c>
      <c r="BI253" s="140">
        <f t="shared" si="88"/>
        <v>2.5000000000000001E-5</v>
      </c>
      <c r="BJ253">
        <v>2.5</v>
      </c>
      <c r="BK253" s="140">
        <f t="shared" si="89"/>
        <v>2.4999999999999994E-7</v>
      </c>
      <c r="BL253" s="140">
        <f t="shared" si="90"/>
        <v>4.9999999999999998E-7</v>
      </c>
      <c r="BM253" s="140">
        <f t="shared" si="91"/>
        <v>7.5000000000000002E-7</v>
      </c>
      <c r="BN253" s="140">
        <f t="shared" si="92"/>
        <v>1.0000000000000002E-6</v>
      </c>
      <c r="BO253" s="140">
        <f t="shared" si="93"/>
        <v>1.2500000000000001E-6</v>
      </c>
      <c r="BP253" s="157">
        <f>IF(BI253&lt;$B$105*DATA!$H$1037,DATA!$H$1037,IF(BI253&gt;DATA!$H$1036*$B$105,DATA!$H$1036,1))</f>
        <v>1.2</v>
      </c>
      <c r="BQ253" s="156">
        <f t="shared" si="94"/>
        <v>9.9999999999999995E-8</v>
      </c>
    </row>
    <row r="254" spans="1:69">
      <c r="A254" s="140">
        <f t="shared" si="50"/>
        <v>2.5200000000000003E-5</v>
      </c>
      <c r="B254">
        <v>2.52</v>
      </c>
      <c r="C254" s="140">
        <f t="shared" si="95"/>
        <v>2.5199999999999993E-7</v>
      </c>
      <c r="D254" s="140">
        <f t="shared" si="95"/>
        <v>5.0399999999999996E-7</v>
      </c>
      <c r="E254" s="140">
        <f t="shared" si="95"/>
        <v>7.5600000000000005E-7</v>
      </c>
      <c r="F254" s="140">
        <f t="shared" si="95"/>
        <v>1.0080000000000001E-6</v>
      </c>
      <c r="G254" s="140">
        <f t="shared" si="95"/>
        <v>1.2600000000000002E-6</v>
      </c>
      <c r="H254" s="157">
        <f>IF(A254&lt;$B$9*DATA!$H$1037,DATA!$H$1037,IF(A254&gt;DATA!$H$1036*$B$9,DATA!$H$1036,1))</f>
        <v>0.8</v>
      </c>
      <c r="I254" s="156">
        <f t="shared" si="52"/>
        <v>9.9999999999999995E-8</v>
      </c>
      <c r="K254" s="140">
        <f t="shared" si="53"/>
        <v>2.5200000000000003E-5</v>
      </c>
      <c r="L254">
        <v>2.52</v>
      </c>
      <c r="M254" s="140">
        <f t="shared" si="54"/>
        <v>2.5199999999999993E-7</v>
      </c>
      <c r="N254" s="140">
        <f t="shared" si="55"/>
        <v>5.0399999999999996E-7</v>
      </c>
      <c r="O254" s="140">
        <f t="shared" si="56"/>
        <v>7.5600000000000005E-7</v>
      </c>
      <c r="P254" s="140">
        <f t="shared" si="57"/>
        <v>1.0080000000000001E-6</v>
      </c>
      <c r="Q254" s="140">
        <f t="shared" si="58"/>
        <v>1.2600000000000002E-6</v>
      </c>
      <c r="R254" s="157">
        <f>IF(K254&lt;$B$25*DATA!$H$1037,DATA!$H$1037,IF(K254&gt;DATA!$H$1036*$B$25,DATA!$H$1036,1))</f>
        <v>0.8</v>
      </c>
      <c r="S254" s="156">
        <f t="shared" si="59"/>
        <v>9.9999999999999995E-8</v>
      </c>
      <c r="U254" s="140">
        <f t="shared" si="60"/>
        <v>2.5200000000000003E-5</v>
      </c>
      <c r="V254">
        <v>2.52</v>
      </c>
      <c r="W254" s="140">
        <f t="shared" si="61"/>
        <v>2.5199999999999993E-7</v>
      </c>
      <c r="X254" s="140">
        <f t="shared" si="62"/>
        <v>5.0399999999999996E-7</v>
      </c>
      <c r="Y254" s="140">
        <f t="shared" si="63"/>
        <v>7.5600000000000005E-7</v>
      </c>
      <c r="Z254" s="140">
        <f t="shared" si="64"/>
        <v>1.0080000000000001E-6</v>
      </c>
      <c r="AA254" s="140">
        <f t="shared" si="65"/>
        <v>1.2600000000000002E-6</v>
      </c>
      <c r="AB254" s="157">
        <f>IF(U254&lt;$B$41*DATA!$H$1037,DATA!$H$1037,IF(U254&gt;DATA!$H$1036*$B$41,DATA!$H$1036,1))</f>
        <v>0.8</v>
      </c>
      <c r="AC254" s="156">
        <f t="shared" si="66"/>
        <v>9.9999999999999995E-8</v>
      </c>
      <c r="AE254" s="140">
        <f t="shared" si="67"/>
        <v>2.5200000000000003E-5</v>
      </c>
      <c r="AF254">
        <v>2.52</v>
      </c>
      <c r="AG254" s="140">
        <f t="shared" si="68"/>
        <v>2.5199999999999993E-7</v>
      </c>
      <c r="AH254" s="140">
        <f t="shared" si="69"/>
        <v>5.0399999999999996E-7</v>
      </c>
      <c r="AI254" s="140">
        <f t="shared" si="70"/>
        <v>7.5600000000000005E-7</v>
      </c>
      <c r="AJ254" s="140">
        <f t="shared" si="71"/>
        <v>1.0080000000000001E-6</v>
      </c>
      <c r="AK254" s="140">
        <f t="shared" si="72"/>
        <v>1.2600000000000002E-6</v>
      </c>
      <c r="AL254" s="157">
        <f>IF(AE254&lt;$B$57*DATA!$H$1037,DATA!$H$1037,IF(AE254&gt;DATA!$H$1036*$B$57,DATA!$H$1036,1))</f>
        <v>1.2</v>
      </c>
      <c r="AM254" s="156">
        <f t="shared" si="73"/>
        <v>9.9999999999999995E-8</v>
      </c>
      <c r="AO254" s="140">
        <f t="shared" si="74"/>
        <v>2.5200000000000003E-5</v>
      </c>
      <c r="AP254">
        <v>2.52</v>
      </c>
      <c r="AQ254" s="140">
        <f t="shared" si="75"/>
        <v>2.5199999999999993E-7</v>
      </c>
      <c r="AR254" s="140">
        <f t="shared" si="76"/>
        <v>5.0399999999999996E-7</v>
      </c>
      <c r="AS254" s="140">
        <f t="shared" si="77"/>
        <v>7.5600000000000005E-7</v>
      </c>
      <c r="AT254" s="140">
        <f t="shared" si="78"/>
        <v>1.0080000000000001E-6</v>
      </c>
      <c r="AU254" s="140">
        <f t="shared" si="79"/>
        <v>1.2600000000000002E-6</v>
      </c>
      <c r="AV254" s="157">
        <f>IF(AO254&lt;$B$73*DATA!$H$1037,DATA!$H$1037,IF(AO254&gt;DATA!$H$1036*$B$73,DATA!$H$1036,1))</f>
        <v>1.2</v>
      </c>
      <c r="AW254" s="156">
        <f t="shared" si="80"/>
        <v>9.9999999999999995E-8</v>
      </c>
      <c r="AY254" s="140">
        <f t="shared" si="81"/>
        <v>2.5200000000000003E-5</v>
      </c>
      <c r="AZ254">
        <v>2.52</v>
      </c>
      <c r="BA254" s="140">
        <f t="shared" si="82"/>
        <v>2.5199999999999993E-7</v>
      </c>
      <c r="BB254" s="140">
        <f t="shared" si="83"/>
        <v>5.0399999999999996E-7</v>
      </c>
      <c r="BC254" s="140">
        <f t="shared" si="84"/>
        <v>7.5600000000000005E-7</v>
      </c>
      <c r="BD254" s="140">
        <f t="shared" si="85"/>
        <v>1.0080000000000001E-6</v>
      </c>
      <c r="BE254" s="140">
        <f t="shared" si="86"/>
        <v>1.2600000000000002E-6</v>
      </c>
      <c r="BF254" s="157">
        <f>IF(AY254&lt;$B$89*DATA!$H$1037,DATA!$H$1037,IF(AY254&gt;DATA!$H$1036*$B$89,DATA!$H$1036,1))</f>
        <v>1.2</v>
      </c>
      <c r="BG254" s="156">
        <f t="shared" si="87"/>
        <v>9.9999999999999995E-8</v>
      </c>
      <c r="BI254" s="140">
        <f t="shared" si="88"/>
        <v>2.5200000000000003E-5</v>
      </c>
      <c r="BJ254">
        <v>2.52</v>
      </c>
      <c r="BK254" s="140">
        <f t="shared" si="89"/>
        <v>2.5199999999999993E-7</v>
      </c>
      <c r="BL254" s="140">
        <f t="shared" si="90"/>
        <v>5.0399999999999996E-7</v>
      </c>
      <c r="BM254" s="140">
        <f t="shared" si="91"/>
        <v>7.5600000000000005E-7</v>
      </c>
      <c r="BN254" s="140">
        <f t="shared" si="92"/>
        <v>1.0080000000000001E-6</v>
      </c>
      <c r="BO254" s="140">
        <f t="shared" si="93"/>
        <v>1.2600000000000002E-6</v>
      </c>
      <c r="BP254" s="157">
        <f>IF(BI254&lt;$B$105*DATA!$H$1037,DATA!$H$1037,IF(BI254&gt;DATA!$H$1036*$B$105,DATA!$H$1036,1))</f>
        <v>1.2</v>
      </c>
      <c r="BQ254" s="156">
        <f t="shared" si="94"/>
        <v>9.9999999999999995E-8</v>
      </c>
    </row>
    <row r="255" spans="1:69">
      <c r="A255" s="140">
        <f t="shared" si="50"/>
        <v>2.5400000000000001E-5</v>
      </c>
      <c r="B255">
        <v>2.54</v>
      </c>
      <c r="C255" s="140">
        <f t="shared" si="95"/>
        <v>2.5399999999999992E-7</v>
      </c>
      <c r="D255" s="140">
        <f t="shared" si="95"/>
        <v>5.0799999999999994E-7</v>
      </c>
      <c r="E255" s="140">
        <f t="shared" si="95"/>
        <v>7.6199999999999997E-7</v>
      </c>
      <c r="F255" s="140">
        <f t="shared" si="95"/>
        <v>1.0160000000000001E-6</v>
      </c>
      <c r="G255" s="140">
        <f t="shared" si="95"/>
        <v>1.2700000000000001E-6</v>
      </c>
      <c r="H255" s="157">
        <f>IF(A255&lt;$B$9*DATA!$H$1037,DATA!$H$1037,IF(A255&gt;DATA!$H$1036*$B$9,DATA!$H$1036,1))</f>
        <v>0.8</v>
      </c>
      <c r="I255" s="156">
        <f t="shared" si="52"/>
        <v>9.9999999999999995E-8</v>
      </c>
      <c r="K255" s="140">
        <f t="shared" si="53"/>
        <v>2.5400000000000001E-5</v>
      </c>
      <c r="L255">
        <v>2.54</v>
      </c>
      <c r="M255" s="140">
        <f t="shared" si="54"/>
        <v>2.5399999999999992E-7</v>
      </c>
      <c r="N255" s="140">
        <f t="shared" si="55"/>
        <v>5.0799999999999994E-7</v>
      </c>
      <c r="O255" s="140">
        <f t="shared" si="56"/>
        <v>7.6199999999999997E-7</v>
      </c>
      <c r="P255" s="140">
        <f t="shared" si="57"/>
        <v>1.0160000000000001E-6</v>
      </c>
      <c r="Q255" s="140">
        <f t="shared" si="58"/>
        <v>1.2700000000000001E-6</v>
      </c>
      <c r="R255" s="157">
        <f>IF(K255&lt;$B$25*DATA!$H$1037,DATA!$H$1037,IF(K255&gt;DATA!$H$1036*$B$25,DATA!$H$1036,1))</f>
        <v>0.8</v>
      </c>
      <c r="S255" s="156">
        <f t="shared" si="59"/>
        <v>9.9999999999999995E-8</v>
      </c>
      <c r="U255" s="140">
        <f t="shared" si="60"/>
        <v>2.5400000000000001E-5</v>
      </c>
      <c r="V255">
        <v>2.54</v>
      </c>
      <c r="W255" s="140">
        <f t="shared" si="61"/>
        <v>2.5399999999999992E-7</v>
      </c>
      <c r="X255" s="140">
        <f t="shared" si="62"/>
        <v>5.0799999999999994E-7</v>
      </c>
      <c r="Y255" s="140">
        <f t="shared" si="63"/>
        <v>7.6199999999999997E-7</v>
      </c>
      <c r="Z255" s="140">
        <f t="shared" si="64"/>
        <v>1.0160000000000001E-6</v>
      </c>
      <c r="AA255" s="140">
        <f t="shared" si="65"/>
        <v>1.2700000000000001E-6</v>
      </c>
      <c r="AB255" s="157">
        <f>IF(U255&lt;$B$41*DATA!$H$1037,DATA!$H$1037,IF(U255&gt;DATA!$H$1036*$B$41,DATA!$H$1036,1))</f>
        <v>0.8</v>
      </c>
      <c r="AC255" s="156">
        <f t="shared" si="66"/>
        <v>9.9999999999999995E-8</v>
      </c>
      <c r="AE255" s="140">
        <f t="shared" si="67"/>
        <v>2.5400000000000001E-5</v>
      </c>
      <c r="AF255">
        <v>2.54</v>
      </c>
      <c r="AG255" s="140">
        <f t="shared" si="68"/>
        <v>2.5399999999999992E-7</v>
      </c>
      <c r="AH255" s="140">
        <f t="shared" si="69"/>
        <v>5.0799999999999994E-7</v>
      </c>
      <c r="AI255" s="140">
        <f t="shared" si="70"/>
        <v>7.6199999999999997E-7</v>
      </c>
      <c r="AJ255" s="140">
        <f t="shared" si="71"/>
        <v>1.0160000000000001E-6</v>
      </c>
      <c r="AK255" s="140">
        <f t="shared" si="72"/>
        <v>1.2700000000000001E-6</v>
      </c>
      <c r="AL255" s="157">
        <f>IF(AE255&lt;$B$57*DATA!$H$1037,DATA!$H$1037,IF(AE255&gt;DATA!$H$1036*$B$57,DATA!$H$1036,1))</f>
        <v>1.2</v>
      </c>
      <c r="AM255" s="156">
        <f t="shared" si="73"/>
        <v>9.9999999999999995E-8</v>
      </c>
      <c r="AO255" s="140">
        <f t="shared" si="74"/>
        <v>2.5400000000000001E-5</v>
      </c>
      <c r="AP255">
        <v>2.54</v>
      </c>
      <c r="AQ255" s="140">
        <f t="shared" si="75"/>
        <v>2.5399999999999992E-7</v>
      </c>
      <c r="AR255" s="140">
        <f t="shared" si="76"/>
        <v>5.0799999999999994E-7</v>
      </c>
      <c r="AS255" s="140">
        <f t="shared" si="77"/>
        <v>7.6199999999999997E-7</v>
      </c>
      <c r="AT255" s="140">
        <f t="shared" si="78"/>
        <v>1.0160000000000001E-6</v>
      </c>
      <c r="AU255" s="140">
        <f t="shared" si="79"/>
        <v>1.2700000000000001E-6</v>
      </c>
      <c r="AV255" s="157">
        <f>IF(AO255&lt;$B$73*DATA!$H$1037,DATA!$H$1037,IF(AO255&gt;DATA!$H$1036*$B$73,DATA!$H$1036,1))</f>
        <v>1.2</v>
      </c>
      <c r="AW255" s="156">
        <f t="shared" si="80"/>
        <v>9.9999999999999995E-8</v>
      </c>
      <c r="AY255" s="140">
        <f t="shared" si="81"/>
        <v>2.5400000000000001E-5</v>
      </c>
      <c r="AZ255">
        <v>2.54</v>
      </c>
      <c r="BA255" s="140">
        <f t="shared" si="82"/>
        <v>2.5399999999999992E-7</v>
      </c>
      <c r="BB255" s="140">
        <f t="shared" si="83"/>
        <v>5.0799999999999994E-7</v>
      </c>
      <c r="BC255" s="140">
        <f t="shared" si="84"/>
        <v>7.6199999999999997E-7</v>
      </c>
      <c r="BD255" s="140">
        <f t="shared" si="85"/>
        <v>1.0160000000000001E-6</v>
      </c>
      <c r="BE255" s="140">
        <f t="shared" si="86"/>
        <v>1.2700000000000001E-6</v>
      </c>
      <c r="BF255" s="157">
        <f>IF(AY255&lt;$B$89*DATA!$H$1037,DATA!$H$1037,IF(AY255&gt;DATA!$H$1036*$B$89,DATA!$H$1036,1))</f>
        <v>1.2</v>
      </c>
      <c r="BG255" s="156">
        <f t="shared" si="87"/>
        <v>9.9999999999999995E-8</v>
      </c>
      <c r="BI255" s="140">
        <f t="shared" si="88"/>
        <v>2.5400000000000001E-5</v>
      </c>
      <c r="BJ255">
        <v>2.54</v>
      </c>
      <c r="BK255" s="140">
        <f t="shared" si="89"/>
        <v>2.5399999999999992E-7</v>
      </c>
      <c r="BL255" s="140">
        <f t="shared" si="90"/>
        <v>5.0799999999999994E-7</v>
      </c>
      <c r="BM255" s="140">
        <f t="shared" si="91"/>
        <v>7.6199999999999997E-7</v>
      </c>
      <c r="BN255" s="140">
        <f t="shared" si="92"/>
        <v>1.0160000000000001E-6</v>
      </c>
      <c r="BO255" s="140">
        <f t="shared" si="93"/>
        <v>1.2700000000000001E-6</v>
      </c>
      <c r="BP255" s="157">
        <f>IF(BI255&lt;$B$105*DATA!$H$1037,DATA!$H$1037,IF(BI255&gt;DATA!$H$1036*$B$105,DATA!$H$1036,1))</f>
        <v>1.2</v>
      </c>
      <c r="BQ255" s="156">
        <f t="shared" si="94"/>
        <v>9.9999999999999995E-8</v>
      </c>
    </row>
    <row r="256" spans="1:69">
      <c r="A256" s="140">
        <f t="shared" si="50"/>
        <v>2.5600000000000002E-5</v>
      </c>
      <c r="B256">
        <v>2.56</v>
      </c>
      <c r="C256" s="140">
        <f t="shared" si="95"/>
        <v>2.5599999999999996E-7</v>
      </c>
      <c r="D256" s="140">
        <f t="shared" si="95"/>
        <v>5.1199999999999993E-7</v>
      </c>
      <c r="E256" s="140">
        <f t="shared" si="95"/>
        <v>7.6799999999999999E-7</v>
      </c>
      <c r="F256" s="140">
        <f t="shared" si="95"/>
        <v>1.0240000000000001E-6</v>
      </c>
      <c r="G256" s="140">
        <f t="shared" si="95"/>
        <v>1.2800000000000002E-6</v>
      </c>
      <c r="H256" s="157">
        <f>IF(A256&lt;$B$9*DATA!$H$1037,DATA!$H$1037,IF(A256&gt;DATA!$H$1036*$B$9,DATA!$H$1036,1))</f>
        <v>0.8</v>
      </c>
      <c r="I256" s="156">
        <f t="shared" si="52"/>
        <v>9.9999999999999995E-8</v>
      </c>
      <c r="K256" s="140">
        <f t="shared" si="53"/>
        <v>2.5600000000000002E-5</v>
      </c>
      <c r="L256">
        <v>2.56</v>
      </c>
      <c r="M256" s="140">
        <f t="shared" si="54"/>
        <v>2.5599999999999996E-7</v>
      </c>
      <c r="N256" s="140">
        <f t="shared" si="55"/>
        <v>5.1199999999999993E-7</v>
      </c>
      <c r="O256" s="140">
        <f t="shared" si="56"/>
        <v>7.6799999999999999E-7</v>
      </c>
      <c r="P256" s="140">
        <f t="shared" si="57"/>
        <v>1.0240000000000001E-6</v>
      </c>
      <c r="Q256" s="140">
        <f t="shared" si="58"/>
        <v>1.2800000000000002E-6</v>
      </c>
      <c r="R256" s="157">
        <f>IF(K256&lt;$B$25*DATA!$H$1037,DATA!$H$1037,IF(K256&gt;DATA!$H$1036*$B$25,DATA!$H$1036,1))</f>
        <v>0.8</v>
      </c>
      <c r="S256" s="156">
        <f t="shared" si="59"/>
        <v>9.9999999999999995E-8</v>
      </c>
      <c r="U256" s="140">
        <f t="shared" si="60"/>
        <v>2.5600000000000002E-5</v>
      </c>
      <c r="V256">
        <v>2.56</v>
      </c>
      <c r="W256" s="140">
        <f t="shared" si="61"/>
        <v>2.5599999999999996E-7</v>
      </c>
      <c r="X256" s="140">
        <f t="shared" si="62"/>
        <v>5.1199999999999993E-7</v>
      </c>
      <c r="Y256" s="140">
        <f t="shared" si="63"/>
        <v>7.6799999999999999E-7</v>
      </c>
      <c r="Z256" s="140">
        <f t="shared" si="64"/>
        <v>1.0240000000000001E-6</v>
      </c>
      <c r="AA256" s="140">
        <f t="shared" si="65"/>
        <v>1.2800000000000002E-6</v>
      </c>
      <c r="AB256" s="157">
        <f>IF(U256&lt;$B$41*DATA!$H$1037,DATA!$H$1037,IF(U256&gt;DATA!$H$1036*$B$41,DATA!$H$1036,1))</f>
        <v>0.8</v>
      </c>
      <c r="AC256" s="156">
        <f t="shared" si="66"/>
        <v>9.9999999999999995E-8</v>
      </c>
      <c r="AE256" s="140">
        <f t="shared" si="67"/>
        <v>2.5600000000000002E-5</v>
      </c>
      <c r="AF256">
        <v>2.56</v>
      </c>
      <c r="AG256" s="140">
        <f t="shared" si="68"/>
        <v>2.5599999999999996E-7</v>
      </c>
      <c r="AH256" s="140">
        <f t="shared" si="69"/>
        <v>5.1199999999999993E-7</v>
      </c>
      <c r="AI256" s="140">
        <f t="shared" si="70"/>
        <v>7.6799999999999999E-7</v>
      </c>
      <c r="AJ256" s="140">
        <f t="shared" si="71"/>
        <v>1.0240000000000001E-6</v>
      </c>
      <c r="AK256" s="140">
        <f t="shared" si="72"/>
        <v>1.2800000000000002E-6</v>
      </c>
      <c r="AL256" s="157">
        <f>IF(AE256&lt;$B$57*DATA!$H$1037,DATA!$H$1037,IF(AE256&gt;DATA!$H$1036*$B$57,DATA!$H$1036,1))</f>
        <v>1.2</v>
      </c>
      <c r="AM256" s="156">
        <f t="shared" si="73"/>
        <v>9.9999999999999995E-8</v>
      </c>
      <c r="AO256" s="140">
        <f t="shared" si="74"/>
        <v>2.5600000000000002E-5</v>
      </c>
      <c r="AP256">
        <v>2.56</v>
      </c>
      <c r="AQ256" s="140">
        <f t="shared" si="75"/>
        <v>2.5599999999999996E-7</v>
      </c>
      <c r="AR256" s="140">
        <f t="shared" si="76"/>
        <v>5.1199999999999993E-7</v>
      </c>
      <c r="AS256" s="140">
        <f t="shared" si="77"/>
        <v>7.6799999999999999E-7</v>
      </c>
      <c r="AT256" s="140">
        <f t="shared" si="78"/>
        <v>1.0240000000000001E-6</v>
      </c>
      <c r="AU256" s="140">
        <f t="shared" si="79"/>
        <v>1.2800000000000002E-6</v>
      </c>
      <c r="AV256" s="157">
        <f>IF(AO256&lt;$B$73*DATA!$H$1037,DATA!$H$1037,IF(AO256&gt;DATA!$H$1036*$B$73,DATA!$H$1036,1))</f>
        <v>1.2</v>
      </c>
      <c r="AW256" s="156">
        <f t="shared" si="80"/>
        <v>9.9999999999999995E-8</v>
      </c>
      <c r="AY256" s="140">
        <f t="shared" si="81"/>
        <v>2.5600000000000002E-5</v>
      </c>
      <c r="AZ256">
        <v>2.56</v>
      </c>
      <c r="BA256" s="140">
        <f t="shared" si="82"/>
        <v>2.5599999999999996E-7</v>
      </c>
      <c r="BB256" s="140">
        <f t="shared" si="83"/>
        <v>5.1199999999999993E-7</v>
      </c>
      <c r="BC256" s="140">
        <f t="shared" si="84"/>
        <v>7.6799999999999999E-7</v>
      </c>
      <c r="BD256" s="140">
        <f t="shared" si="85"/>
        <v>1.0240000000000001E-6</v>
      </c>
      <c r="BE256" s="140">
        <f t="shared" si="86"/>
        <v>1.2800000000000002E-6</v>
      </c>
      <c r="BF256" s="157">
        <f>IF(AY256&lt;$B$89*DATA!$H$1037,DATA!$H$1037,IF(AY256&gt;DATA!$H$1036*$B$89,DATA!$H$1036,1))</f>
        <v>1.2</v>
      </c>
      <c r="BG256" s="156">
        <f t="shared" si="87"/>
        <v>9.9999999999999995E-8</v>
      </c>
      <c r="BI256" s="140">
        <f t="shared" si="88"/>
        <v>2.5600000000000002E-5</v>
      </c>
      <c r="BJ256">
        <v>2.56</v>
      </c>
      <c r="BK256" s="140">
        <f t="shared" si="89"/>
        <v>2.5599999999999996E-7</v>
      </c>
      <c r="BL256" s="140">
        <f t="shared" si="90"/>
        <v>5.1199999999999993E-7</v>
      </c>
      <c r="BM256" s="140">
        <f t="shared" si="91"/>
        <v>7.6799999999999999E-7</v>
      </c>
      <c r="BN256" s="140">
        <f t="shared" si="92"/>
        <v>1.0240000000000001E-6</v>
      </c>
      <c r="BO256" s="140">
        <f t="shared" si="93"/>
        <v>1.2800000000000002E-6</v>
      </c>
      <c r="BP256" s="157">
        <f>IF(BI256&lt;$B$105*DATA!$H$1037,DATA!$H$1037,IF(BI256&gt;DATA!$H$1036*$B$105,DATA!$H$1036,1))</f>
        <v>1.2</v>
      </c>
      <c r="BQ256" s="156">
        <f t="shared" si="94"/>
        <v>9.9999999999999995E-8</v>
      </c>
    </row>
    <row r="257" spans="1:69">
      <c r="A257" s="140">
        <f t="shared" si="50"/>
        <v>2.5800000000000004E-5</v>
      </c>
      <c r="B257">
        <v>2.58</v>
      </c>
      <c r="C257" s="140">
        <f t="shared" si="95"/>
        <v>2.5799999999999995E-7</v>
      </c>
      <c r="D257" s="140">
        <f t="shared" si="95"/>
        <v>5.1600000000000001E-7</v>
      </c>
      <c r="E257" s="140">
        <f t="shared" si="95"/>
        <v>7.7400000000000013E-7</v>
      </c>
      <c r="F257" s="140">
        <f t="shared" si="95"/>
        <v>1.0320000000000002E-6</v>
      </c>
      <c r="G257" s="140">
        <f t="shared" si="95"/>
        <v>1.2900000000000004E-6</v>
      </c>
      <c r="H257" s="157">
        <f>IF(A257&lt;$B$9*DATA!$H$1037,DATA!$H$1037,IF(A257&gt;DATA!$H$1036*$B$9,DATA!$H$1036,1))</f>
        <v>0.8</v>
      </c>
      <c r="I257" s="156">
        <f t="shared" si="52"/>
        <v>9.9999999999999995E-8</v>
      </c>
      <c r="K257" s="140">
        <f t="shared" si="53"/>
        <v>2.5800000000000004E-5</v>
      </c>
      <c r="L257">
        <v>2.58</v>
      </c>
      <c r="M257" s="140">
        <f t="shared" si="54"/>
        <v>2.5799999999999995E-7</v>
      </c>
      <c r="N257" s="140">
        <f t="shared" si="55"/>
        <v>5.1600000000000001E-7</v>
      </c>
      <c r="O257" s="140">
        <f t="shared" si="56"/>
        <v>7.7400000000000013E-7</v>
      </c>
      <c r="P257" s="140">
        <f t="shared" si="57"/>
        <v>1.0320000000000002E-6</v>
      </c>
      <c r="Q257" s="140">
        <f t="shared" si="58"/>
        <v>1.2900000000000004E-6</v>
      </c>
      <c r="R257" s="157">
        <f>IF(K257&lt;$B$25*DATA!$H$1037,DATA!$H$1037,IF(K257&gt;DATA!$H$1036*$B$25,DATA!$H$1036,1))</f>
        <v>0.8</v>
      </c>
      <c r="S257" s="156">
        <f t="shared" si="59"/>
        <v>9.9999999999999995E-8</v>
      </c>
      <c r="U257" s="140">
        <f t="shared" si="60"/>
        <v>2.5800000000000004E-5</v>
      </c>
      <c r="V257">
        <v>2.58</v>
      </c>
      <c r="W257" s="140">
        <f t="shared" si="61"/>
        <v>2.5799999999999995E-7</v>
      </c>
      <c r="X257" s="140">
        <f t="shared" si="62"/>
        <v>5.1600000000000001E-7</v>
      </c>
      <c r="Y257" s="140">
        <f t="shared" si="63"/>
        <v>7.7400000000000013E-7</v>
      </c>
      <c r="Z257" s="140">
        <f t="shared" si="64"/>
        <v>1.0320000000000002E-6</v>
      </c>
      <c r="AA257" s="140">
        <f t="shared" si="65"/>
        <v>1.2900000000000004E-6</v>
      </c>
      <c r="AB257" s="157">
        <f>IF(U257&lt;$B$41*DATA!$H$1037,DATA!$H$1037,IF(U257&gt;DATA!$H$1036*$B$41,DATA!$H$1036,1))</f>
        <v>0.8</v>
      </c>
      <c r="AC257" s="156">
        <f t="shared" si="66"/>
        <v>9.9999999999999995E-8</v>
      </c>
      <c r="AE257" s="140">
        <f t="shared" si="67"/>
        <v>2.5800000000000004E-5</v>
      </c>
      <c r="AF257">
        <v>2.58</v>
      </c>
      <c r="AG257" s="140">
        <f t="shared" si="68"/>
        <v>2.5799999999999995E-7</v>
      </c>
      <c r="AH257" s="140">
        <f t="shared" si="69"/>
        <v>5.1600000000000001E-7</v>
      </c>
      <c r="AI257" s="140">
        <f t="shared" si="70"/>
        <v>7.7400000000000013E-7</v>
      </c>
      <c r="AJ257" s="140">
        <f t="shared" si="71"/>
        <v>1.0320000000000002E-6</v>
      </c>
      <c r="AK257" s="140">
        <f t="shared" si="72"/>
        <v>1.2900000000000004E-6</v>
      </c>
      <c r="AL257" s="157">
        <f>IF(AE257&lt;$B$57*DATA!$H$1037,DATA!$H$1037,IF(AE257&gt;DATA!$H$1036*$B$57,DATA!$H$1036,1))</f>
        <v>1.2</v>
      </c>
      <c r="AM257" s="156">
        <f t="shared" si="73"/>
        <v>9.9999999999999995E-8</v>
      </c>
      <c r="AO257" s="140">
        <f t="shared" si="74"/>
        <v>2.5800000000000004E-5</v>
      </c>
      <c r="AP257">
        <v>2.58</v>
      </c>
      <c r="AQ257" s="140">
        <f t="shared" si="75"/>
        <v>2.5799999999999995E-7</v>
      </c>
      <c r="AR257" s="140">
        <f t="shared" si="76"/>
        <v>5.1600000000000001E-7</v>
      </c>
      <c r="AS257" s="140">
        <f t="shared" si="77"/>
        <v>7.7400000000000013E-7</v>
      </c>
      <c r="AT257" s="140">
        <f t="shared" si="78"/>
        <v>1.0320000000000002E-6</v>
      </c>
      <c r="AU257" s="140">
        <f t="shared" si="79"/>
        <v>1.2900000000000004E-6</v>
      </c>
      <c r="AV257" s="157">
        <f>IF(AO257&lt;$B$73*DATA!$H$1037,DATA!$H$1037,IF(AO257&gt;DATA!$H$1036*$B$73,DATA!$H$1036,1))</f>
        <v>1.2</v>
      </c>
      <c r="AW257" s="156">
        <f t="shared" si="80"/>
        <v>9.9999999999999995E-8</v>
      </c>
      <c r="AY257" s="140">
        <f t="shared" si="81"/>
        <v>2.5800000000000004E-5</v>
      </c>
      <c r="AZ257">
        <v>2.58</v>
      </c>
      <c r="BA257" s="140">
        <f t="shared" si="82"/>
        <v>2.5799999999999995E-7</v>
      </c>
      <c r="BB257" s="140">
        <f t="shared" si="83"/>
        <v>5.1600000000000001E-7</v>
      </c>
      <c r="BC257" s="140">
        <f t="shared" si="84"/>
        <v>7.7400000000000013E-7</v>
      </c>
      <c r="BD257" s="140">
        <f t="shared" si="85"/>
        <v>1.0320000000000002E-6</v>
      </c>
      <c r="BE257" s="140">
        <f t="shared" si="86"/>
        <v>1.2900000000000004E-6</v>
      </c>
      <c r="BF257" s="157">
        <f>IF(AY257&lt;$B$89*DATA!$H$1037,DATA!$H$1037,IF(AY257&gt;DATA!$H$1036*$B$89,DATA!$H$1036,1))</f>
        <v>1.2</v>
      </c>
      <c r="BG257" s="156">
        <f t="shared" si="87"/>
        <v>9.9999999999999995E-8</v>
      </c>
      <c r="BI257" s="140">
        <f t="shared" si="88"/>
        <v>2.5800000000000004E-5</v>
      </c>
      <c r="BJ257">
        <v>2.58</v>
      </c>
      <c r="BK257" s="140">
        <f t="shared" si="89"/>
        <v>2.5799999999999995E-7</v>
      </c>
      <c r="BL257" s="140">
        <f t="shared" si="90"/>
        <v>5.1600000000000001E-7</v>
      </c>
      <c r="BM257" s="140">
        <f t="shared" si="91"/>
        <v>7.7400000000000013E-7</v>
      </c>
      <c r="BN257" s="140">
        <f t="shared" si="92"/>
        <v>1.0320000000000002E-6</v>
      </c>
      <c r="BO257" s="140">
        <f t="shared" si="93"/>
        <v>1.2900000000000004E-6</v>
      </c>
      <c r="BP257" s="157">
        <f>IF(BI257&lt;$B$105*DATA!$H$1037,DATA!$H$1037,IF(BI257&gt;DATA!$H$1036*$B$105,DATA!$H$1036,1))</f>
        <v>1.2</v>
      </c>
      <c r="BQ257" s="156">
        <f t="shared" si="94"/>
        <v>9.9999999999999995E-8</v>
      </c>
    </row>
    <row r="258" spans="1:69">
      <c r="A258" s="140">
        <f t="shared" si="50"/>
        <v>2.6000000000000002E-5</v>
      </c>
      <c r="B258">
        <v>2.6</v>
      </c>
      <c r="C258" s="140">
        <f t="shared" si="95"/>
        <v>2.5999999999999995E-7</v>
      </c>
      <c r="D258" s="140">
        <f t="shared" si="95"/>
        <v>5.2E-7</v>
      </c>
      <c r="E258" s="140">
        <f t="shared" si="95"/>
        <v>7.8000000000000005E-7</v>
      </c>
      <c r="F258" s="140">
        <f t="shared" si="95"/>
        <v>1.04E-6</v>
      </c>
      <c r="G258" s="140">
        <f t="shared" si="95"/>
        <v>1.3000000000000003E-6</v>
      </c>
      <c r="H258" s="157">
        <f>IF(A258&lt;$B$9*DATA!$H$1037,DATA!$H$1037,IF(A258&gt;DATA!$H$1036*$B$9,DATA!$H$1036,1))</f>
        <v>0.8</v>
      </c>
      <c r="I258" s="156">
        <f t="shared" si="52"/>
        <v>9.9999999999999995E-8</v>
      </c>
      <c r="K258" s="140">
        <f t="shared" si="53"/>
        <v>2.6000000000000002E-5</v>
      </c>
      <c r="L258">
        <v>2.6</v>
      </c>
      <c r="M258" s="140">
        <f t="shared" si="54"/>
        <v>2.5999999999999995E-7</v>
      </c>
      <c r="N258" s="140">
        <f t="shared" si="55"/>
        <v>5.2E-7</v>
      </c>
      <c r="O258" s="140">
        <f t="shared" si="56"/>
        <v>7.8000000000000005E-7</v>
      </c>
      <c r="P258" s="140">
        <f t="shared" si="57"/>
        <v>1.04E-6</v>
      </c>
      <c r="Q258" s="140">
        <f t="shared" si="58"/>
        <v>1.3000000000000003E-6</v>
      </c>
      <c r="R258" s="157">
        <f>IF(K258&lt;$B$25*DATA!$H$1037,DATA!$H$1037,IF(K258&gt;DATA!$H$1036*$B$25,DATA!$H$1036,1))</f>
        <v>0.8</v>
      </c>
      <c r="S258" s="156">
        <f t="shared" si="59"/>
        <v>9.9999999999999995E-8</v>
      </c>
      <c r="U258" s="140">
        <f t="shared" si="60"/>
        <v>2.6000000000000002E-5</v>
      </c>
      <c r="V258">
        <v>2.6</v>
      </c>
      <c r="W258" s="140">
        <f t="shared" si="61"/>
        <v>2.5999999999999995E-7</v>
      </c>
      <c r="X258" s="140">
        <f t="shared" si="62"/>
        <v>5.2E-7</v>
      </c>
      <c r="Y258" s="140">
        <f t="shared" si="63"/>
        <v>7.8000000000000005E-7</v>
      </c>
      <c r="Z258" s="140">
        <f t="shared" si="64"/>
        <v>1.04E-6</v>
      </c>
      <c r="AA258" s="140">
        <f t="shared" si="65"/>
        <v>1.3000000000000003E-6</v>
      </c>
      <c r="AB258" s="157">
        <f>IF(U258&lt;$B$41*DATA!$H$1037,DATA!$H$1037,IF(U258&gt;DATA!$H$1036*$B$41,DATA!$H$1036,1))</f>
        <v>0.8</v>
      </c>
      <c r="AC258" s="156">
        <f t="shared" si="66"/>
        <v>9.9999999999999995E-8</v>
      </c>
      <c r="AE258" s="140">
        <f t="shared" si="67"/>
        <v>2.6000000000000002E-5</v>
      </c>
      <c r="AF258">
        <v>2.6</v>
      </c>
      <c r="AG258" s="140">
        <f t="shared" si="68"/>
        <v>2.5999999999999995E-7</v>
      </c>
      <c r="AH258" s="140">
        <f t="shared" si="69"/>
        <v>5.2E-7</v>
      </c>
      <c r="AI258" s="140">
        <f t="shared" si="70"/>
        <v>7.8000000000000005E-7</v>
      </c>
      <c r="AJ258" s="140">
        <f t="shared" si="71"/>
        <v>1.04E-6</v>
      </c>
      <c r="AK258" s="140">
        <f t="shared" si="72"/>
        <v>1.3000000000000003E-6</v>
      </c>
      <c r="AL258" s="157">
        <f>IF(AE258&lt;$B$57*DATA!$H$1037,DATA!$H$1037,IF(AE258&gt;DATA!$H$1036*$B$57,DATA!$H$1036,1))</f>
        <v>1.2</v>
      </c>
      <c r="AM258" s="156">
        <f t="shared" si="73"/>
        <v>9.9999999999999995E-8</v>
      </c>
      <c r="AO258" s="140">
        <f t="shared" si="74"/>
        <v>2.6000000000000002E-5</v>
      </c>
      <c r="AP258">
        <v>2.6</v>
      </c>
      <c r="AQ258" s="140">
        <f t="shared" si="75"/>
        <v>2.5999999999999995E-7</v>
      </c>
      <c r="AR258" s="140">
        <f t="shared" si="76"/>
        <v>5.2E-7</v>
      </c>
      <c r="AS258" s="140">
        <f t="shared" si="77"/>
        <v>7.8000000000000005E-7</v>
      </c>
      <c r="AT258" s="140">
        <f t="shared" si="78"/>
        <v>1.04E-6</v>
      </c>
      <c r="AU258" s="140">
        <f t="shared" si="79"/>
        <v>1.3000000000000003E-6</v>
      </c>
      <c r="AV258" s="157">
        <f>IF(AO258&lt;$B$73*DATA!$H$1037,DATA!$H$1037,IF(AO258&gt;DATA!$H$1036*$B$73,DATA!$H$1036,1))</f>
        <v>1.2</v>
      </c>
      <c r="AW258" s="156">
        <f t="shared" si="80"/>
        <v>9.9999999999999995E-8</v>
      </c>
      <c r="AY258" s="140">
        <f t="shared" si="81"/>
        <v>2.6000000000000002E-5</v>
      </c>
      <c r="AZ258">
        <v>2.6</v>
      </c>
      <c r="BA258" s="140">
        <f t="shared" si="82"/>
        <v>2.5999999999999995E-7</v>
      </c>
      <c r="BB258" s="140">
        <f t="shared" si="83"/>
        <v>5.2E-7</v>
      </c>
      <c r="BC258" s="140">
        <f t="shared" si="84"/>
        <v>7.8000000000000005E-7</v>
      </c>
      <c r="BD258" s="140">
        <f t="shared" si="85"/>
        <v>1.04E-6</v>
      </c>
      <c r="BE258" s="140">
        <f t="shared" si="86"/>
        <v>1.3000000000000003E-6</v>
      </c>
      <c r="BF258" s="157">
        <f>IF(AY258&lt;$B$89*DATA!$H$1037,DATA!$H$1037,IF(AY258&gt;DATA!$H$1036*$B$89,DATA!$H$1036,1))</f>
        <v>1.2</v>
      </c>
      <c r="BG258" s="156">
        <f t="shared" si="87"/>
        <v>9.9999999999999995E-8</v>
      </c>
      <c r="BI258" s="140">
        <f t="shared" si="88"/>
        <v>2.6000000000000002E-5</v>
      </c>
      <c r="BJ258">
        <v>2.6</v>
      </c>
      <c r="BK258" s="140">
        <f t="shared" si="89"/>
        <v>2.5999999999999995E-7</v>
      </c>
      <c r="BL258" s="140">
        <f t="shared" si="90"/>
        <v>5.2E-7</v>
      </c>
      <c r="BM258" s="140">
        <f t="shared" si="91"/>
        <v>7.8000000000000005E-7</v>
      </c>
      <c r="BN258" s="140">
        <f t="shared" si="92"/>
        <v>1.04E-6</v>
      </c>
      <c r="BO258" s="140">
        <f t="shared" si="93"/>
        <v>1.3000000000000003E-6</v>
      </c>
      <c r="BP258" s="157">
        <f>IF(BI258&lt;$B$105*DATA!$H$1037,DATA!$H$1037,IF(BI258&gt;DATA!$H$1036*$B$105,DATA!$H$1036,1))</f>
        <v>1.2</v>
      </c>
      <c r="BQ258" s="156">
        <f t="shared" si="94"/>
        <v>9.9999999999999995E-8</v>
      </c>
    </row>
    <row r="259" spans="1:69">
      <c r="A259" s="140">
        <f t="shared" si="50"/>
        <v>2.6200000000000003E-5</v>
      </c>
      <c r="B259">
        <v>2.62</v>
      </c>
      <c r="C259" s="140">
        <f t="shared" si="95"/>
        <v>2.6199999999999994E-7</v>
      </c>
      <c r="D259" s="140">
        <f t="shared" si="95"/>
        <v>5.2399999999999998E-7</v>
      </c>
      <c r="E259" s="140">
        <f t="shared" si="95"/>
        <v>7.8600000000000008E-7</v>
      </c>
      <c r="F259" s="140">
        <f t="shared" si="95"/>
        <v>1.0480000000000002E-6</v>
      </c>
      <c r="G259" s="140">
        <f t="shared" si="95"/>
        <v>1.3100000000000002E-6</v>
      </c>
      <c r="H259" s="157">
        <f>IF(A259&lt;$B$9*DATA!$H$1037,DATA!$H$1037,IF(A259&gt;DATA!$H$1036*$B$9,DATA!$H$1036,1))</f>
        <v>0.8</v>
      </c>
      <c r="I259" s="156">
        <f t="shared" si="52"/>
        <v>9.9999999999999995E-8</v>
      </c>
      <c r="K259" s="140">
        <f t="shared" si="53"/>
        <v>2.6200000000000003E-5</v>
      </c>
      <c r="L259">
        <v>2.62</v>
      </c>
      <c r="M259" s="140">
        <f t="shared" si="54"/>
        <v>2.6199999999999994E-7</v>
      </c>
      <c r="N259" s="140">
        <f t="shared" si="55"/>
        <v>5.2399999999999998E-7</v>
      </c>
      <c r="O259" s="140">
        <f t="shared" si="56"/>
        <v>7.8600000000000008E-7</v>
      </c>
      <c r="P259" s="140">
        <f t="shared" si="57"/>
        <v>1.0480000000000002E-6</v>
      </c>
      <c r="Q259" s="140">
        <f t="shared" si="58"/>
        <v>1.3100000000000002E-6</v>
      </c>
      <c r="R259" s="157">
        <f>IF(K259&lt;$B$25*DATA!$H$1037,DATA!$H$1037,IF(K259&gt;DATA!$H$1036*$B$25,DATA!$H$1036,1))</f>
        <v>0.8</v>
      </c>
      <c r="S259" s="156">
        <f t="shared" si="59"/>
        <v>9.9999999999999995E-8</v>
      </c>
      <c r="U259" s="140">
        <f t="shared" si="60"/>
        <v>2.6200000000000003E-5</v>
      </c>
      <c r="V259">
        <v>2.62</v>
      </c>
      <c r="W259" s="140">
        <f t="shared" si="61"/>
        <v>2.6199999999999994E-7</v>
      </c>
      <c r="X259" s="140">
        <f t="shared" si="62"/>
        <v>5.2399999999999998E-7</v>
      </c>
      <c r="Y259" s="140">
        <f t="shared" si="63"/>
        <v>7.8600000000000008E-7</v>
      </c>
      <c r="Z259" s="140">
        <f t="shared" si="64"/>
        <v>1.0480000000000002E-6</v>
      </c>
      <c r="AA259" s="140">
        <f t="shared" si="65"/>
        <v>1.3100000000000002E-6</v>
      </c>
      <c r="AB259" s="157">
        <f>IF(U259&lt;$B$41*DATA!$H$1037,DATA!$H$1037,IF(U259&gt;DATA!$H$1036*$B$41,DATA!$H$1036,1))</f>
        <v>0.8</v>
      </c>
      <c r="AC259" s="156">
        <f t="shared" si="66"/>
        <v>9.9999999999999995E-8</v>
      </c>
      <c r="AE259" s="140">
        <f t="shared" si="67"/>
        <v>2.6200000000000003E-5</v>
      </c>
      <c r="AF259">
        <v>2.62</v>
      </c>
      <c r="AG259" s="140">
        <f t="shared" si="68"/>
        <v>2.6199999999999994E-7</v>
      </c>
      <c r="AH259" s="140">
        <f t="shared" si="69"/>
        <v>5.2399999999999998E-7</v>
      </c>
      <c r="AI259" s="140">
        <f t="shared" si="70"/>
        <v>7.8600000000000008E-7</v>
      </c>
      <c r="AJ259" s="140">
        <f t="shared" si="71"/>
        <v>1.0480000000000002E-6</v>
      </c>
      <c r="AK259" s="140">
        <f t="shared" si="72"/>
        <v>1.3100000000000002E-6</v>
      </c>
      <c r="AL259" s="157">
        <f>IF(AE259&lt;$B$57*DATA!$H$1037,DATA!$H$1037,IF(AE259&gt;DATA!$H$1036*$B$57,DATA!$H$1036,1))</f>
        <v>1.2</v>
      </c>
      <c r="AM259" s="156">
        <f t="shared" si="73"/>
        <v>9.9999999999999995E-8</v>
      </c>
      <c r="AO259" s="140">
        <f t="shared" si="74"/>
        <v>2.6200000000000003E-5</v>
      </c>
      <c r="AP259">
        <v>2.62</v>
      </c>
      <c r="AQ259" s="140">
        <f t="shared" si="75"/>
        <v>2.6199999999999994E-7</v>
      </c>
      <c r="AR259" s="140">
        <f t="shared" si="76"/>
        <v>5.2399999999999998E-7</v>
      </c>
      <c r="AS259" s="140">
        <f t="shared" si="77"/>
        <v>7.8600000000000008E-7</v>
      </c>
      <c r="AT259" s="140">
        <f t="shared" si="78"/>
        <v>1.0480000000000002E-6</v>
      </c>
      <c r="AU259" s="140">
        <f t="shared" si="79"/>
        <v>1.3100000000000002E-6</v>
      </c>
      <c r="AV259" s="157">
        <f>IF(AO259&lt;$B$73*DATA!$H$1037,DATA!$H$1037,IF(AO259&gt;DATA!$H$1036*$B$73,DATA!$H$1036,1))</f>
        <v>1.2</v>
      </c>
      <c r="AW259" s="156">
        <f t="shared" si="80"/>
        <v>9.9999999999999995E-8</v>
      </c>
      <c r="AY259" s="140">
        <f t="shared" si="81"/>
        <v>2.6200000000000003E-5</v>
      </c>
      <c r="AZ259">
        <v>2.62</v>
      </c>
      <c r="BA259" s="140">
        <f t="shared" si="82"/>
        <v>2.6199999999999994E-7</v>
      </c>
      <c r="BB259" s="140">
        <f t="shared" si="83"/>
        <v>5.2399999999999998E-7</v>
      </c>
      <c r="BC259" s="140">
        <f t="shared" si="84"/>
        <v>7.8600000000000008E-7</v>
      </c>
      <c r="BD259" s="140">
        <f t="shared" si="85"/>
        <v>1.0480000000000002E-6</v>
      </c>
      <c r="BE259" s="140">
        <f t="shared" si="86"/>
        <v>1.3100000000000002E-6</v>
      </c>
      <c r="BF259" s="157">
        <f>IF(AY259&lt;$B$89*DATA!$H$1037,DATA!$H$1037,IF(AY259&gt;DATA!$H$1036*$B$89,DATA!$H$1036,1))</f>
        <v>1.2</v>
      </c>
      <c r="BG259" s="156">
        <f t="shared" si="87"/>
        <v>9.9999999999999995E-8</v>
      </c>
      <c r="BI259" s="140">
        <f t="shared" si="88"/>
        <v>2.6200000000000003E-5</v>
      </c>
      <c r="BJ259">
        <v>2.62</v>
      </c>
      <c r="BK259" s="140">
        <f t="shared" si="89"/>
        <v>2.6199999999999994E-7</v>
      </c>
      <c r="BL259" s="140">
        <f t="shared" si="90"/>
        <v>5.2399999999999998E-7</v>
      </c>
      <c r="BM259" s="140">
        <f t="shared" si="91"/>
        <v>7.8600000000000008E-7</v>
      </c>
      <c r="BN259" s="140">
        <f t="shared" si="92"/>
        <v>1.0480000000000002E-6</v>
      </c>
      <c r="BO259" s="140">
        <f t="shared" si="93"/>
        <v>1.3100000000000002E-6</v>
      </c>
      <c r="BP259" s="157">
        <f>IF(BI259&lt;$B$105*DATA!$H$1037,DATA!$H$1037,IF(BI259&gt;DATA!$H$1036*$B$105,DATA!$H$1036,1))</f>
        <v>1.2</v>
      </c>
      <c r="BQ259" s="156">
        <f t="shared" si="94"/>
        <v>9.9999999999999995E-8</v>
      </c>
    </row>
    <row r="260" spans="1:69">
      <c r="A260" s="140">
        <f t="shared" si="50"/>
        <v>2.6400000000000005E-5</v>
      </c>
      <c r="B260">
        <v>2.64</v>
      </c>
      <c r="C260" s="140">
        <f t="shared" si="95"/>
        <v>2.6399999999999998E-7</v>
      </c>
      <c r="D260" s="140">
        <f t="shared" si="95"/>
        <v>5.2799999999999996E-7</v>
      </c>
      <c r="E260" s="140">
        <f t="shared" si="95"/>
        <v>7.920000000000001E-7</v>
      </c>
      <c r="F260" s="140">
        <f t="shared" si="95"/>
        <v>1.0560000000000001E-6</v>
      </c>
      <c r="G260" s="140">
        <f t="shared" si="95"/>
        <v>1.3200000000000003E-6</v>
      </c>
      <c r="H260" s="157">
        <f>IF(A260&lt;$B$9*DATA!$H$1037,DATA!$H$1037,IF(A260&gt;DATA!$H$1036*$B$9,DATA!$H$1036,1))</f>
        <v>0.8</v>
      </c>
      <c r="I260" s="156">
        <f t="shared" si="52"/>
        <v>9.9999999999999995E-8</v>
      </c>
      <c r="K260" s="140">
        <f t="shared" si="53"/>
        <v>2.6400000000000005E-5</v>
      </c>
      <c r="L260">
        <v>2.64</v>
      </c>
      <c r="M260" s="140">
        <f t="shared" si="54"/>
        <v>2.6399999999999998E-7</v>
      </c>
      <c r="N260" s="140">
        <f t="shared" si="55"/>
        <v>5.2799999999999996E-7</v>
      </c>
      <c r="O260" s="140">
        <f t="shared" si="56"/>
        <v>7.920000000000001E-7</v>
      </c>
      <c r="P260" s="140">
        <f t="shared" si="57"/>
        <v>1.0560000000000001E-6</v>
      </c>
      <c r="Q260" s="140">
        <f t="shared" si="58"/>
        <v>1.3200000000000003E-6</v>
      </c>
      <c r="R260" s="157">
        <f>IF(K260&lt;$B$25*DATA!$H$1037,DATA!$H$1037,IF(K260&gt;DATA!$H$1036*$B$25,DATA!$H$1036,1))</f>
        <v>0.8</v>
      </c>
      <c r="S260" s="156">
        <f t="shared" si="59"/>
        <v>9.9999999999999995E-8</v>
      </c>
      <c r="U260" s="140">
        <f t="shared" si="60"/>
        <v>2.6400000000000005E-5</v>
      </c>
      <c r="V260">
        <v>2.64</v>
      </c>
      <c r="W260" s="140">
        <f t="shared" si="61"/>
        <v>2.6399999999999998E-7</v>
      </c>
      <c r="X260" s="140">
        <f t="shared" si="62"/>
        <v>5.2799999999999996E-7</v>
      </c>
      <c r="Y260" s="140">
        <f t="shared" si="63"/>
        <v>7.920000000000001E-7</v>
      </c>
      <c r="Z260" s="140">
        <f t="shared" si="64"/>
        <v>1.0560000000000001E-6</v>
      </c>
      <c r="AA260" s="140">
        <f t="shared" si="65"/>
        <v>1.3200000000000003E-6</v>
      </c>
      <c r="AB260" s="157">
        <f>IF(U260&lt;$B$41*DATA!$H$1037,DATA!$H$1037,IF(U260&gt;DATA!$H$1036*$B$41,DATA!$H$1036,1))</f>
        <v>0.8</v>
      </c>
      <c r="AC260" s="156">
        <f t="shared" si="66"/>
        <v>9.9999999999999995E-8</v>
      </c>
      <c r="AE260" s="140">
        <f t="shared" si="67"/>
        <v>2.6400000000000005E-5</v>
      </c>
      <c r="AF260">
        <v>2.64</v>
      </c>
      <c r="AG260" s="140">
        <f t="shared" si="68"/>
        <v>2.6399999999999998E-7</v>
      </c>
      <c r="AH260" s="140">
        <f t="shared" si="69"/>
        <v>5.2799999999999996E-7</v>
      </c>
      <c r="AI260" s="140">
        <f t="shared" si="70"/>
        <v>7.920000000000001E-7</v>
      </c>
      <c r="AJ260" s="140">
        <f t="shared" si="71"/>
        <v>1.0560000000000001E-6</v>
      </c>
      <c r="AK260" s="140">
        <f t="shared" si="72"/>
        <v>1.3200000000000003E-6</v>
      </c>
      <c r="AL260" s="157">
        <f>IF(AE260&lt;$B$57*DATA!$H$1037,DATA!$H$1037,IF(AE260&gt;DATA!$H$1036*$B$57,DATA!$H$1036,1))</f>
        <v>1.2</v>
      </c>
      <c r="AM260" s="156">
        <f t="shared" si="73"/>
        <v>9.9999999999999995E-8</v>
      </c>
      <c r="AO260" s="140">
        <f t="shared" si="74"/>
        <v>2.6400000000000005E-5</v>
      </c>
      <c r="AP260">
        <v>2.64</v>
      </c>
      <c r="AQ260" s="140">
        <f t="shared" si="75"/>
        <v>2.6399999999999998E-7</v>
      </c>
      <c r="AR260" s="140">
        <f t="shared" si="76"/>
        <v>5.2799999999999996E-7</v>
      </c>
      <c r="AS260" s="140">
        <f t="shared" si="77"/>
        <v>7.920000000000001E-7</v>
      </c>
      <c r="AT260" s="140">
        <f t="shared" si="78"/>
        <v>1.0560000000000001E-6</v>
      </c>
      <c r="AU260" s="140">
        <f t="shared" si="79"/>
        <v>1.3200000000000003E-6</v>
      </c>
      <c r="AV260" s="157">
        <f>IF(AO260&lt;$B$73*DATA!$H$1037,DATA!$H$1037,IF(AO260&gt;DATA!$H$1036*$B$73,DATA!$H$1036,1))</f>
        <v>1.2</v>
      </c>
      <c r="AW260" s="156">
        <f t="shared" si="80"/>
        <v>9.9999999999999995E-8</v>
      </c>
      <c r="AY260" s="140">
        <f t="shared" si="81"/>
        <v>2.6400000000000005E-5</v>
      </c>
      <c r="AZ260">
        <v>2.64</v>
      </c>
      <c r="BA260" s="140">
        <f t="shared" si="82"/>
        <v>2.6399999999999998E-7</v>
      </c>
      <c r="BB260" s="140">
        <f t="shared" si="83"/>
        <v>5.2799999999999996E-7</v>
      </c>
      <c r="BC260" s="140">
        <f t="shared" si="84"/>
        <v>7.920000000000001E-7</v>
      </c>
      <c r="BD260" s="140">
        <f t="shared" si="85"/>
        <v>1.0560000000000001E-6</v>
      </c>
      <c r="BE260" s="140">
        <f t="shared" si="86"/>
        <v>1.3200000000000003E-6</v>
      </c>
      <c r="BF260" s="157">
        <f>IF(AY260&lt;$B$89*DATA!$H$1037,DATA!$H$1037,IF(AY260&gt;DATA!$H$1036*$B$89,DATA!$H$1036,1))</f>
        <v>1.2</v>
      </c>
      <c r="BG260" s="156">
        <f t="shared" si="87"/>
        <v>9.9999999999999995E-8</v>
      </c>
      <c r="BI260" s="140">
        <f t="shared" si="88"/>
        <v>2.6400000000000005E-5</v>
      </c>
      <c r="BJ260">
        <v>2.64</v>
      </c>
      <c r="BK260" s="140">
        <f t="shared" si="89"/>
        <v>2.6399999999999998E-7</v>
      </c>
      <c r="BL260" s="140">
        <f t="shared" si="90"/>
        <v>5.2799999999999996E-7</v>
      </c>
      <c r="BM260" s="140">
        <f t="shared" si="91"/>
        <v>7.920000000000001E-7</v>
      </c>
      <c r="BN260" s="140">
        <f t="shared" si="92"/>
        <v>1.0560000000000001E-6</v>
      </c>
      <c r="BO260" s="140">
        <f t="shared" si="93"/>
        <v>1.3200000000000003E-6</v>
      </c>
      <c r="BP260" s="157">
        <f>IF(BI260&lt;$B$105*DATA!$H$1037,DATA!$H$1037,IF(BI260&gt;DATA!$H$1036*$B$105,DATA!$H$1036,1))</f>
        <v>1.2</v>
      </c>
      <c r="BQ260" s="156">
        <f t="shared" si="94"/>
        <v>9.9999999999999995E-8</v>
      </c>
    </row>
    <row r="261" spans="1:69">
      <c r="A261" s="140">
        <f t="shared" si="50"/>
        <v>2.6600000000000003E-5</v>
      </c>
      <c r="B261">
        <v>2.66</v>
      </c>
      <c r="C261" s="140">
        <f t="shared" si="95"/>
        <v>2.6599999999999992E-7</v>
      </c>
      <c r="D261" s="140">
        <f t="shared" si="95"/>
        <v>5.3199999999999995E-7</v>
      </c>
      <c r="E261" s="140">
        <f t="shared" si="95"/>
        <v>7.9800000000000003E-7</v>
      </c>
      <c r="F261" s="140">
        <f t="shared" si="95"/>
        <v>1.0640000000000001E-6</v>
      </c>
      <c r="G261" s="140">
        <f t="shared" si="95"/>
        <v>1.3300000000000002E-6</v>
      </c>
      <c r="H261" s="157">
        <f>IF(A261&lt;$B$9*DATA!$H$1037,DATA!$H$1037,IF(A261&gt;DATA!$H$1036*$B$9,DATA!$H$1036,1))</f>
        <v>0.8</v>
      </c>
      <c r="I261" s="156">
        <f t="shared" si="52"/>
        <v>9.9999999999999995E-8</v>
      </c>
      <c r="K261" s="140">
        <f t="shared" si="53"/>
        <v>2.6600000000000003E-5</v>
      </c>
      <c r="L261">
        <v>2.66</v>
      </c>
      <c r="M261" s="140">
        <f t="shared" si="54"/>
        <v>2.6599999999999992E-7</v>
      </c>
      <c r="N261" s="140">
        <f t="shared" si="55"/>
        <v>5.3199999999999995E-7</v>
      </c>
      <c r="O261" s="140">
        <f t="shared" si="56"/>
        <v>7.9800000000000003E-7</v>
      </c>
      <c r="P261" s="140">
        <f t="shared" si="57"/>
        <v>1.0640000000000001E-6</v>
      </c>
      <c r="Q261" s="140">
        <f t="shared" si="58"/>
        <v>1.3300000000000002E-6</v>
      </c>
      <c r="R261" s="157">
        <f>IF(K261&lt;$B$25*DATA!$H$1037,DATA!$H$1037,IF(K261&gt;DATA!$H$1036*$B$25,DATA!$H$1036,1))</f>
        <v>0.8</v>
      </c>
      <c r="S261" s="156">
        <f t="shared" si="59"/>
        <v>9.9999999999999995E-8</v>
      </c>
      <c r="U261" s="140">
        <f t="shared" si="60"/>
        <v>2.6600000000000003E-5</v>
      </c>
      <c r="V261">
        <v>2.66</v>
      </c>
      <c r="W261" s="140">
        <f t="shared" si="61"/>
        <v>2.6599999999999992E-7</v>
      </c>
      <c r="X261" s="140">
        <f t="shared" si="62"/>
        <v>5.3199999999999995E-7</v>
      </c>
      <c r="Y261" s="140">
        <f t="shared" si="63"/>
        <v>7.9800000000000003E-7</v>
      </c>
      <c r="Z261" s="140">
        <f t="shared" si="64"/>
        <v>1.0640000000000001E-6</v>
      </c>
      <c r="AA261" s="140">
        <f t="shared" si="65"/>
        <v>1.3300000000000002E-6</v>
      </c>
      <c r="AB261" s="157">
        <f>IF(U261&lt;$B$41*DATA!$H$1037,DATA!$H$1037,IF(U261&gt;DATA!$H$1036*$B$41,DATA!$H$1036,1))</f>
        <v>0.8</v>
      </c>
      <c r="AC261" s="156">
        <f t="shared" si="66"/>
        <v>9.9999999999999995E-8</v>
      </c>
      <c r="AE261" s="140">
        <f t="shared" si="67"/>
        <v>2.6600000000000003E-5</v>
      </c>
      <c r="AF261">
        <v>2.66</v>
      </c>
      <c r="AG261" s="140">
        <f t="shared" si="68"/>
        <v>2.6599999999999992E-7</v>
      </c>
      <c r="AH261" s="140">
        <f t="shared" si="69"/>
        <v>5.3199999999999995E-7</v>
      </c>
      <c r="AI261" s="140">
        <f t="shared" si="70"/>
        <v>7.9800000000000003E-7</v>
      </c>
      <c r="AJ261" s="140">
        <f t="shared" si="71"/>
        <v>1.0640000000000001E-6</v>
      </c>
      <c r="AK261" s="140">
        <f t="shared" si="72"/>
        <v>1.3300000000000002E-6</v>
      </c>
      <c r="AL261" s="157">
        <f>IF(AE261&lt;$B$57*DATA!$H$1037,DATA!$H$1037,IF(AE261&gt;DATA!$H$1036*$B$57,DATA!$H$1036,1))</f>
        <v>1.2</v>
      </c>
      <c r="AM261" s="156">
        <f t="shared" si="73"/>
        <v>9.9999999999999995E-8</v>
      </c>
      <c r="AO261" s="140">
        <f t="shared" si="74"/>
        <v>2.6600000000000003E-5</v>
      </c>
      <c r="AP261">
        <v>2.66</v>
      </c>
      <c r="AQ261" s="140">
        <f t="shared" si="75"/>
        <v>2.6599999999999992E-7</v>
      </c>
      <c r="AR261" s="140">
        <f t="shared" si="76"/>
        <v>5.3199999999999995E-7</v>
      </c>
      <c r="AS261" s="140">
        <f t="shared" si="77"/>
        <v>7.9800000000000003E-7</v>
      </c>
      <c r="AT261" s="140">
        <f t="shared" si="78"/>
        <v>1.0640000000000001E-6</v>
      </c>
      <c r="AU261" s="140">
        <f t="shared" si="79"/>
        <v>1.3300000000000002E-6</v>
      </c>
      <c r="AV261" s="157">
        <f>IF(AO261&lt;$B$73*DATA!$H$1037,DATA!$H$1037,IF(AO261&gt;DATA!$H$1036*$B$73,DATA!$H$1036,1))</f>
        <v>1.2</v>
      </c>
      <c r="AW261" s="156">
        <f t="shared" si="80"/>
        <v>9.9999999999999995E-8</v>
      </c>
      <c r="AY261" s="140">
        <f t="shared" si="81"/>
        <v>2.6600000000000003E-5</v>
      </c>
      <c r="AZ261">
        <v>2.66</v>
      </c>
      <c r="BA261" s="140">
        <f t="shared" si="82"/>
        <v>2.6599999999999992E-7</v>
      </c>
      <c r="BB261" s="140">
        <f t="shared" si="83"/>
        <v>5.3199999999999995E-7</v>
      </c>
      <c r="BC261" s="140">
        <f t="shared" si="84"/>
        <v>7.9800000000000003E-7</v>
      </c>
      <c r="BD261" s="140">
        <f t="shared" si="85"/>
        <v>1.0640000000000001E-6</v>
      </c>
      <c r="BE261" s="140">
        <f t="shared" si="86"/>
        <v>1.3300000000000002E-6</v>
      </c>
      <c r="BF261" s="157">
        <f>IF(AY261&lt;$B$89*DATA!$H$1037,DATA!$H$1037,IF(AY261&gt;DATA!$H$1036*$B$89,DATA!$H$1036,1))</f>
        <v>1.2</v>
      </c>
      <c r="BG261" s="156">
        <f t="shared" si="87"/>
        <v>9.9999999999999995E-8</v>
      </c>
      <c r="BI261" s="140">
        <f t="shared" si="88"/>
        <v>2.6600000000000003E-5</v>
      </c>
      <c r="BJ261">
        <v>2.66</v>
      </c>
      <c r="BK261" s="140">
        <f t="shared" si="89"/>
        <v>2.6599999999999992E-7</v>
      </c>
      <c r="BL261" s="140">
        <f t="shared" si="90"/>
        <v>5.3199999999999995E-7</v>
      </c>
      <c r="BM261" s="140">
        <f t="shared" si="91"/>
        <v>7.9800000000000003E-7</v>
      </c>
      <c r="BN261" s="140">
        <f t="shared" si="92"/>
        <v>1.0640000000000001E-6</v>
      </c>
      <c r="BO261" s="140">
        <f t="shared" si="93"/>
        <v>1.3300000000000002E-6</v>
      </c>
      <c r="BP261" s="157">
        <f>IF(BI261&lt;$B$105*DATA!$H$1037,DATA!$H$1037,IF(BI261&gt;DATA!$H$1036*$B$105,DATA!$H$1036,1))</f>
        <v>1.2</v>
      </c>
      <c r="BQ261" s="156">
        <f t="shared" si="94"/>
        <v>9.9999999999999995E-8</v>
      </c>
    </row>
    <row r="262" spans="1:69">
      <c r="A262" s="140">
        <f t="shared" si="50"/>
        <v>2.6800000000000004E-5</v>
      </c>
      <c r="B262">
        <v>2.68</v>
      </c>
      <c r="C262" s="140">
        <f t="shared" si="95"/>
        <v>2.6799999999999996E-7</v>
      </c>
      <c r="D262" s="140">
        <f t="shared" si="95"/>
        <v>5.3600000000000004E-7</v>
      </c>
      <c r="E262" s="140">
        <f t="shared" si="95"/>
        <v>8.0400000000000005E-7</v>
      </c>
      <c r="F262" s="140">
        <f t="shared" si="95"/>
        <v>1.0720000000000003E-6</v>
      </c>
      <c r="G262" s="140">
        <f t="shared" si="95"/>
        <v>1.3400000000000003E-6</v>
      </c>
      <c r="H262" s="157">
        <f>IF(A262&lt;$B$9*DATA!$H$1037,DATA!$H$1037,IF(A262&gt;DATA!$H$1036*$B$9,DATA!$H$1036,1))</f>
        <v>0.8</v>
      </c>
      <c r="I262" s="156">
        <f t="shared" si="52"/>
        <v>9.9999999999999995E-8</v>
      </c>
      <c r="K262" s="140">
        <f t="shared" si="53"/>
        <v>2.6800000000000004E-5</v>
      </c>
      <c r="L262">
        <v>2.68</v>
      </c>
      <c r="M262" s="140">
        <f t="shared" si="54"/>
        <v>2.6799999999999996E-7</v>
      </c>
      <c r="N262" s="140">
        <f t="shared" si="55"/>
        <v>5.3600000000000004E-7</v>
      </c>
      <c r="O262" s="140">
        <f t="shared" si="56"/>
        <v>8.0400000000000005E-7</v>
      </c>
      <c r="P262" s="140">
        <f t="shared" si="57"/>
        <v>1.0720000000000003E-6</v>
      </c>
      <c r="Q262" s="140">
        <f t="shared" si="58"/>
        <v>1.3400000000000003E-6</v>
      </c>
      <c r="R262" s="157">
        <f>IF(K262&lt;$B$25*DATA!$H$1037,DATA!$H$1037,IF(K262&gt;DATA!$H$1036*$B$25,DATA!$H$1036,1))</f>
        <v>0.8</v>
      </c>
      <c r="S262" s="156">
        <f t="shared" si="59"/>
        <v>9.9999999999999995E-8</v>
      </c>
      <c r="U262" s="140">
        <f t="shared" si="60"/>
        <v>2.6800000000000004E-5</v>
      </c>
      <c r="V262">
        <v>2.68</v>
      </c>
      <c r="W262" s="140">
        <f t="shared" si="61"/>
        <v>2.6799999999999996E-7</v>
      </c>
      <c r="X262" s="140">
        <f t="shared" si="62"/>
        <v>5.3600000000000004E-7</v>
      </c>
      <c r="Y262" s="140">
        <f t="shared" si="63"/>
        <v>8.0400000000000005E-7</v>
      </c>
      <c r="Z262" s="140">
        <f t="shared" si="64"/>
        <v>1.0720000000000003E-6</v>
      </c>
      <c r="AA262" s="140">
        <f t="shared" si="65"/>
        <v>1.3400000000000003E-6</v>
      </c>
      <c r="AB262" s="157">
        <f>IF(U262&lt;$B$41*DATA!$H$1037,DATA!$H$1037,IF(U262&gt;DATA!$H$1036*$B$41,DATA!$H$1036,1))</f>
        <v>0.8</v>
      </c>
      <c r="AC262" s="156">
        <f t="shared" si="66"/>
        <v>9.9999999999999995E-8</v>
      </c>
      <c r="AE262" s="140">
        <f t="shared" si="67"/>
        <v>2.6800000000000004E-5</v>
      </c>
      <c r="AF262">
        <v>2.68</v>
      </c>
      <c r="AG262" s="140">
        <f t="shared" si="68"/>
        <v>2.6799999999999996E-7</v>
      </c>
      <c r="AH262" s="140">
        <f t="shared" si="69"/>
        <v>5.3600000000000004E-7</v>
      </c>
      <c r="AI262" s="140">
        <f t="shared" si="70"/>
        <v>8.0400000000000005E-7</v>
      </c>
      <c r="AJ262" s="140">
        <f t="shared" si="71"/>
        <v>1.0720000000000003E-6</v>
      </c>
      <c r="AK262" s="140">
        <f t="shared" si="72"/>
        <v>1.3400000000000003E-6</v>
      </c>
      <c r="AL262" s="157">
        <f>IF(AE262&lt;$B$57*DATA!$H$1037,DATA!$H$1037,IF(AE262&gt;DATA!$H$1036*$B$57,DATA!$H$1036,1))</f>
        <v>1.2</v>
      </c>
      <c r="AM262" s="156">
        <f t="shared" si="73"/>
        <v>9.9999999999999995E-8</v>
      </c>
      <c r="AO262" s="140">
        <f t="shared" si="74"/>
        <v>2.6800000000000004E-5</v>
      </c>
      <c r="AP262">
        <v>2.68</v>
      </c>
      <c r="AQ262" s="140">
        <f t="shared" si="75"/>
        <v>2.6799999999999996E-7</v>
      </c>
      <c r="AR262" s="140">
        <f t="shared" si="76"/>
        <v>5.3600000000000004E-7</v>
      </c>
      <c r="AS262" s="140">
        <f t="shared" si="77"/>
        <v>8.0400000000000005E-7</v>
      </c>
      <c r="AT262" s="140">
        <f t="shared" si="78"/>
        <v>1.0720000000000003E-6</v>
      </c>
      <c r="AU262" s="140">
        <f t="shared" si="79"/>
        <v>1.3400000000000003E-6</v>
      </c>
      <c r="AV262" s="157">
        <f>IF(AO262&lt;$B$73*DATA!$H$1037,DATA!$H$1037,IF(AO262&gt;DATA!$H$1036*$B$73,DATA!$H$1036,1))</f>
        <v>1.2</v>
      </c>
      <c r="AW262" s="156">
        <f t="shared" si="80"/>
        <v>9.9999999999999995E-8</v>
      </c>
      <c r="AY262" s="140">
        <f t="shared" si="81"/>
        <v>2.6800000000000004E-5</v>
      </c>
      <c r="AZ262">
        <v>2.68</v>
      </c>
      <c r="BA262" s="140">
        <f t="shared" si="82"/>
        <v>2.6799999999999996E-7</v>
      </c>
      <c r="BB262" s="140">
        <f t="shared" si="83"/>
        <v>5.3600000000000004E-7</v>
      </c>
      <c r="BC262" s="140">
        <f t="shared" si="84"/>
        <v>8.0400000000000005E-7</v>
      </c>
      <c r="BD262" s="140">
        <f t="shared" si="85"/>
        <v>1.0720000000000003E-6</v>
      </c>
      <c r="BE262" s="140">
        <f t="shared" si="86"/>
        <v>1.3400000000000003E-6</v>
      </c>
      <c r="BF262" s="157">
        <f>IF(AY262&lt;$B$89*DATA!$H$1037,DATA!$H$1037,IF(AY262&gt;DATA!$H$1036*$B$89,DATA!$H$1036,1))</f>
        <v>1.2</v>
      </c>
      <c r="BG262" s="156">
        <f t="shared" si="87"/>
        <v>9.9999999999999995E-8</v>
      </c>
      <c r="BI262" s="140">
        <f t="shared" si="88"/>
        <v>2.6800000000000004E-5</v>
      </c>
      <c r="BJ262">
        <v>2.68</v>
      </c>
      <c r="BK262" s="140">
        <f t="shared" si="89"/>
        <v>2.6799999999999996E-7</v>
      </c>
      <c r="BL262" s="140">
        <f t="shared" si="90"/>
        <v>5.3600000000000004E-7</v>
      </c>
      <c r="BM262" s="140">
        <f t="shared" si="91"/>
        <v>8.0400000000000005E-7</v>
      </c>
      <c r="BN262" s="140">
        <f t="shared" si="92"/>
        <v>1.0720000000000003E-6</v>
      </c>
      <c r="BO262" s="140">
        <f t="shared" si="93"/>
        <v>1.3400000000000003E-6</v>
      </c>
      <c r="BP262" s="157">
        <f>IF(BI262&lt;$B$105*DATA!$H$1037,DATA!$H$1037,IF(BI262&gt;DATA!$H$1036*$B$105,DATA!$H$1036,1))</f>
        <v>1.2</v>
      </c>
      <c r="BQ262" s="156">
        <f t="shared" si="94"/>
        <v>9.9999999999999995E-8</v>
      </c>
    </row>
    <row r="263" spans="1:69">
      <c r="A263" s="140">
        <f t="shared" si="50"/>
        <v>2.7000000000000002E-5</v>
      </c>
      <c r="B263">
        <v>2.7</v>
      </c>
      <c r="C263" s="140">
        <f t="shared" si="95"/>
        <v>2.6999999999999996E-7</v>
      </c>
      <c r="D263" s="140">
        <f t="shared" si="95"/>
        <v>5.4000000000000002E-7</v>
      </c>
      <c r="E263" s="140">
        <f t="shared" si="95"/>
        <v>8.1000000000000008E-7</v>
      </c>
      <c r="F263" s="140">
        <f t="shared" si="95"/>
        <v>1.08E-6</v>
      </c>
      <c r="G263" s="140">
        <f t="shared" si="95"/>
        <v>1.3500000000000002E-6</v>
      </c>
      <c r="H263" s="157">
        <f>IF(A263&lt;$B$9*DATA!$H$1037,DATA!$H$1037,IF(A263&gt;DATA!$H$1036*$B$9,DATA!$H$1036,1))</f>
        <v>0.8</v>
      </c>
      <c r="I263" s="156">
        <f t="shared" si="52"/>
        <v>9.9999999999999995E-8</v>
      </c>
      <c r="K263" s="140">
        <f t="shared" si="53"/>
        <v>2.7000000000000002E-5</v>
      </c>
      <c r="L263">
        <v>2.7</v>
      </c>
      <c r="M263" s="140">
        <f t="shared" si="54"/>
        <v>2.6999999999999996E-7</v>
      </c>
      <c r="N263" s="140">
        <f t="shared" si="55"/>
        <v>5.4000000000000002E-7</v>
      </c>
      <c r="O263" s="140">
        <f t="shared" si="56"/>
        <v>8.1000000000000008E-7</v>
      </c>
      <c r="P263" s="140">
        <f t="shared" si="57"/>
        <v>1.08E-6</v>
      </c>
      <c r="Q263" s="140">
        <f t="shared" si="58"/>
        <v>1.3500000000000002E-6</v>
      </c>
      <c r="R263" s="157">
        <f>IF(K263&lt;$B$25*DATA!$H$1037,DATA!$H$1037,IF(K263&gt;DATA!$H$1036*$B$25,DATA!$H$1036,1))</f>
        <v>0.8</v>
      </c>
      <c r="S263" s="156">
        <f t="shared" si="59"/>
        <v>9.9999999999999995E-8</v>
      </c>
      <c r="U263" s="140">
        <f t="shared" si="60"/>
        <v>2.7000000000000002E-5</v>
      </c>
      <c r="V263">
        <v>2.7</v>
      </c>
      <c r="W263" s="140">
        <f t="shared" si="61"/>
        <v>2.6999999999999996E-7</v>
      </c>
      <c r="X263" s="140">
        <f t="shared" si="62"/>
        <v>5.4000000000000002E-7</v>
      </c>
      <c r="Y263" s="140">
        <f t="shared" si="63"/>
        <v>8.1000000000000008E-7</v>
      </c>
      <c r="Z263" s="140">
        <f t="shared" si="64"/>
        <v>1.08E-6</v>
      </c>
      <c r="AA263" s="140">
        <f t="shared" si="65"/>
        <v>1.3500000000000002E-6</v>
      </c>
      <c r="AB263" s="157">
        <f>IF(U263&lt;$B$41*DATA!$H$1037,DATA!$H$1037,IF(U263&gt;DATA!$H$1036*$B$41,DATA!$H$1036,1))</f>
        <v>0.8</v>
      </c>
      <c r="AC263" s="156">
        <f t="shared" si="66"/>
        <v>9.9999999999999995E-8</v>
      </c>
      <c r="AE263" s="140">
        <f t="shared" si="67"/>
        <v>2.7000000000000002E-5</v>
      </c>
      <c r="AF263">
        <v>2.7</v>
      </c>
      <c r="AG263" s="140">
        <f t="shared" si="68"/>
        <v>2.6999999999999996E-7</v>
      </c>
      <c r="AH263" s="140">
        <f t="shared" si="69"/>
        <v>5.4000000000000002E-7</v>
      </c>
      <c r="AI263" s="140">
        <f t="shared" si="70"/>
        <v>8.1000000000000008E-7</v>
      </c>
      <c r="AJ263" s="140">
        <f t="shared" si="71"/>
        <v>1.08E-6</v>
      </c>
      <c r="AK263" s="140">
        <f t="shared" si="72"/>
        <v>1.3500000000000002E-6</v>
      </c>
      <c r="AL263" s="157">
        <f>IF(AE263&lt;$B$57*DATA!$H$1037,DATA!$H$1037,IF(AE263&gt;DATA!$H$1036*$B$57,DATA!$H$1036,1))</f>
        <v>1.2</v>
      </c>
      <c r="AM263" s="156">
        <f t="shared" si="73"/>
        <v>9.9999999999999995E-8</v>
      </c>
      <c r="AO263" s="140">
        <f t="shared" si="74"/>
        <v>2.7000000000000002E-5</v>
      </c>
      <c r="AP263">
        <v>2.7</v>
      </c>
      <c r="AQ263" s="140">
        <f t="shared" si="75"/>
        <v>2.6999999999999996E-7</v>
      </c>
      <c r="AR263" s="140">
        <f t="shared" si="76"/>
        <v>5.4000000000000002E-7</v>
      </c>
      <c r="AS263" s="140">
        <f t="shared" si="77"/>
        <v>8.1000000000000008E-7</v>
      </c>
      <c r="AT263" s="140">
        <f t="shared" si="78"/>
        <v>1.08E-6</v>
      </c>
      <c r="AU263" s="140">
        <f t="shared" si="79"/>
        <v>1.3500000000000002E-6</v>
      </c>
      <c r="AV263" s="157">
        <f>IF(AO263&lt;$B$73*DATA!$H$1037,DATA!$H$1037,IF(AO263&gt;DATA!$H$1036*$B$73,DATA!$H$1036,1))</f>
        <v>1.2</v>
      </c>
      <c r="AW263" s="156">
        <f t="shared" si="80"/>
        <v>9.9999999999999995E-8</v>
      </c>
      <c r="AY263" s="140">
        <f t="shared" si="81"/>
        <v>2.7000000000000002E-5</v>
      </c>
      <c r="AZ263">
        <v>2.7</v>
      </c>
      <c r="BA263" s="140">
        <f t="shared" si="82"/>
        <v>2.6999999999999996E-7</v>
      </c>
      <c r="BB263" s="140">
        <f t="shared" si="83"/>
        <v>5.4000000000000002E-7</v>
      </c>
      <c r="BC263" s="140">
        <f t="shared" si="84"/>
        <v>8.1000000000000008E-7</v>
      </c>
      <c r="BD263" s="140">
        <f t="shared" si="85"/>
        <v>1.08E-6</v>
      </c>
      <c r="BE263" s="140">
        <f t="shared" si="86"/>
        <v>1.3500000000000002E-6</v>
      </c>
      <c r="BF263" s="157">
        <f>IF(AY263&lt;$B$89*DATA!$H$1037,DATA!$H$1037,IF(AY263&gt;DATA!$H$1036*$B$89,DATA!$H$1036,1))</f>
        <v>1.2</v>
      </c>
      <c r="BG263" s="156">
        <f t="shared" si="87"/>
        <v>9.9999999999999995E-8</v>
      </c>
      <c r="BI263" s="140">
        <f t="shared" si="88"/>
        <v>2.7000000000000002E-5</v>
      </c>
      <c r="BJ263">
        <v>2.7</v>
      </c>
      <c r="BK263" s="140">
        <f t="shared" si="89"/>
        <v>2.6999999999999996E-7</v>
      </c>
      <c r="BL263" s="140">
        <f t="shared" si="90"/>
        <v>5.4000000000000002E-7</v>
      </c>
      <c r="BM263" s="140">
        <f t="shared" si="91"/>
        <v>8.1000000000000008E-7</v>
      </c>
      <c r="BN263" s="140">
        <f t="shared" si="92"/>
        <v>1.08E-6</v>
      </c>
      <c r="BO263" s="140">
        <f t="shared" si="93"/>
        <v>1.3500000000000002E-6</v>
      </c>
      <c r="BP263" s="157">
        <f>IF(BI263&lt;$B$105*DATA!$H$1037,DATA!$H$1037,IF(BI263&gt;DATA!$H$1036*$B$105,DATA!$H$1036,1))</f>
        <v>1.2</v>
      </c>
      <c r="BQ263" s="156">
        <f t="shared" si="94"/>
        <v>9.9999999999999995E-8</v>
      </c>
    </row>
    <row r="264" spans="1:69">
      <c r="A264" s="140">
        <f t="shared" si="50"/>
        <v>2.7200000000000004E-5</v>
      </c>
      <c r="B264">
        <v>2.72</v>
      </c>
      <c r="C264" s="140">
        <f t="shared" si="95"/>
        <v>2.7199999999999995E-7</v>
      </c>
      <c r="D264" s="140">
        <f t="shared" si="95"/>
        <v>5.44E-7</v>
      </c>
      <c r="E264" s="140">
        <f t="shared" si="95"/>
        <v>8.1600000000000011E-7</v>
      </c>
      <c r="F264" s="140">
        <f t="shared" si="95"/>
        <v>1.0880000000000002E-6</v>
      </c>
      <c r="G264" s="140">
        <f t="shared" si="95"/>
        <v>1.3600000000000003E-6</v>
      </c>
      <c r="H264" s="157">
        <f>IF(A264&lt;$B$9*DATA!$H$1037,DATA!$H$1037,IF(A264&gt;DATA!$H$1036*$B$9,DATA!$H$1036,1))</f>
        <v>0.8</v>
      </c>
      <c r="I264" s="156">
        <f t="shared" si="52"/>
        <v>9.9999999999999995E-8</v>
      </c>
      <c r="K264" s="140">
        <f t="shared" si="53"/>
        <v>2.7200000000000004E-5</v>
      </c>
      <c r="L264">
        <v>2.72</v>
      </c>
      <c r="M264" s="140">
        <f t="shared" si="54"/>
        <v>2.7199999999999995E-7</v>
      </c>
      <c r="N264" s="140">
        <f t="shared" si="55"/>
        <v>5.44E-7</v>
      </c>
      <c r="O264" s="140">
        <f t="shared" si="56"/>
        <v>8.1600000000000011E-7</v>
      </c>
      <c r="P264" s="140">
        <f t="shared" si="57"/>
        <v>1.0880000000000002E-6</v>
      </c>
      <c r="Q264" s="140">
        <f t="shared" si="58"/>
        <v>1.3600000000000003E-6</v>
      </c>
      <c r="R264" s="157">
        <f>IF(K264&lt;$B$25*DATA!$H$1037,DATA!$H$1037,IF(K264&gt;DATA!$H$1036*$B$25,DATA!$H$1036,1))</f>
        <v>0.8</v>
      </c>
      <c r="S264" s="156">
        <f t="shared" si="59"/>
        <v>9.9999999999999995E-8</v>
      </c>
      <c r="U264" s="140">
        <f t="shared" si="60"/>
        <v>2.7200000000000004E-5</v>
      </c>
      <c r="V264">
        <v>2.72</v>
      </c>
      <c r="W264" s="140">
        <f t="shared" si="61"/>
        <v>2.7199999999999995E-7</v>
      </c>
      <c r="X264" s="140">
        <f t="shared" si="62"/>
        <v>5.44E-7</v>
      </c>
      <c r="Y264" s="140">
        <f t="shared" si="63"/>
        <v>8.1600000000000011E-7</v>
      </c>
      <c r="Z264" s="140">
        <f t="shared" si="64"/>
        <v>1.0880000000000002E-6</v>
      </c>
      <c r="AA264" s="140">
        <f t="shared" si="65"/>
        <v>1.3600000000000003E-6</v>
      </c>
      <c r="AB264" s="157">
        <f>IF(U264&lt;$B$41*DATA!$H$1037,DATA!$H$1037,IF(U264&gt;DATA!$H$1036*$B$41,DATA!$H$1036,1))</f>
        <v>0.8</v>
      </c>
      <c r="AC264" s="156">
        <f t="shared" si="66"/>
        <v>9.9999999999999995E-8</v>
      </c>
      <c r="AE264" s="140">
        <f t="shared" si="67"/>
        <v>2.7200000000000004E-5</v>
      </c>
      <c r="AF264">
        <v>2.72</v>
      </c>
      <c r="AG264" s="140">
        <f t="shared" si="68"/>
        <v>2.7199999999999995E-7</v>
      </c>
      <c r="AH264" s="140">
        <f t="shared" si="69"/>
        <v>5.44E-7</v>
      </c>
      <c r="AI264" s="140">
        <f t="shared" si="70"/>
        <v>8.1600000000000011E-7</v>
      </c>
      <c r="AJ264" s="140">
        <f t="shared" si="71"/>
        <v>1.0880000000000002E-6</v>
      </c>
      <c r="AK264" s="140">
        <f t="shared" si="72"/>
        <v>1.3600000000000003E-6</v>
      </c>
      <c r="AL264" s="157">
        <f>IF(AE264&lt;$B$57*DATA!$H$1037,DATA!$H$1037,IF(AE264&gt;DATA!$H$1036*$B$57,DATA!$H$1036,1))</f>
        <v>1.2</v>
      </c>
      <c r="AM264" s="156">
        <f t="shared" si="73"/>
        <v>9.9999999999999995E-8</v>
      </c>
      <c r="AO264" s="140">
        <f t="shared" si="74"/>
        <v>2.7200000000000004E-5</v>
      </c>
      <c r="AP264">
        <v>2.72</v>
      </c>
      <c r="AQ264" s="140">
        <f t="shared" si="75"/>
        <v>2.7199999999999995E-7</v>
      </c>
      <c r="AR264" s="140">
        <f t="shared" si="76"/>
        <v>5.44E-7</v>
      </c>
      <c r="AS264" s="140">
        <f t="shared" si="77"/>
        <v>8.1600000000000011E-7</v>
      </c>
      <c r="AT264" s="140">
        <f t="shared" si="78"/>
        <v>1.0880000000000002E-6</v>
      </c>
      <c r="AU264" s="140">
        <f t="shared" si="79"/>
        <v>1.3600000000000003E-6</v>
      </c>
      <c r="AV264" s="157">
        <f>IF(AO264&lt;$B$73*DATA!$H$1037,DATA!$H$1037,IF(AO264&gt;DATA!$H$1036*$B$73,DATA!$H$1036,1))</f>
        <v>1.2</v>
      </c>
      <c r="AW264" s="156">
        <f t="shared" si="80"/>
        <v>9.9999999999999995E-8</v>
      </c>
      <c r="AY264" s="140">
        <f t="shared" si="81"/>
        <v>2.7200000000000004E-5</v>
      </c>
      <c r="AZ264">
        <v>2.72</v>
      </c>
      <c r="BA264" s="140">
        <f t="shared" si="82"/>
        <v>2.7199999999999995E-7</v>
      </c>
      <c r="BB264" s="140">
        <f t="shared" si="83"/>
        <v>5.44E-7</v>
      </c>
      <c r="BC264" s="140">
        <f t="shared" si="84"/>
        <v>8.1600000000000011E-7</v>
      </c>
      <c r="BD264" s="140">
        <f t="shared" si="85"/>
        <v>1.0880000000000002E-6</v>
      </c>
      <c r="BE264" s="140">
        <f t="shared" si="86"/>
        <v>1.3600000000000003E-6</v>
      </c>
      <c r="BF264" s="157">
        <f>IF(AY264&lt;$B$89*DATA!$H$1037,DATA!$H$1037,IF(AY264&gt;DATA!$H$1036*$B$89,DATA!$H$1036,1))</f>
        <v>1.2</v>
      </c>
      <c r="BG264" s="156">
        <f t="shared" si="87"/>
        <v>9.9999999999999995E-8</v>
      </c>
      <c r="BI264" s="140">
        <f t="shared" si="88"/>
        <v>2.7200000000000004E-5</v>
      </c>
      <c r="BJ264">
        <v>2.72</v>
      </c>
      <c r="BK264" s="140">
        <f t="shared" si="89"/>
        <v>2.7199999999999995E-7</v>
      </c>
      <c r="BL264" s="140">
        <f t="shared" si="90"/>
        <v>5.44E-7</v>
      </c>
      <c r="BM264" s="140">
        <f t="shared" si="91"/>
        <v>8.1600000000000011E-7</v>
      </c>
      <c r="BN264" s="140">
        <f t="shared" si="92"/>
        <v>1.0880000000000002E-6</v>
      </c>
      <c r="BO264" s="140">
        <f t="shared" si="93"/>
        <v>1.3600000000000003E-6</v>
      </c>
      <c r="BP264" s="157">
        <f>IF(BI264&lt;$B$105*DATA!$H$1037,DATA!$H$1037,IF(BI264&gt;DATA!$H$1036*$B$105,DATA!$H$1036,1))</f>
        <v>1.2</v>
      </c>
      <c r="BQ264" s="156">
        <f t="shared" si="94"/>
        <v>9.9999999999999995E-8</v>
      </c>
    </row>
    <row r="265" spans="1:69">
      <c r="A265" s="140">
        <f t="shared" si="50"/>
        <v>2.7400000000000005E-5</v>
      </c>
      <c r="B265">
        <v>2.74</v>
      </c>
      <c r="C265" s="140">
        <f t="shared" si="95"/>
        <v>2.7399999999999994E-7</v>
      </c>
      <c r="D265" s="140">
        <f t="shared" si="95"/>
        <v>5.4799999999999998E-7</v>
      </c>
      <c r="E265" s="140">
        <f t="shared" si="95"/>
        <v>8.2200000000000013E-7</v>
      </c>
      <c r="F265" s="140">
        <f t="shared" si="95"/>
        <v>1.0960000000000002E-6</v>
      </c>
      <c r="G265" s="140">
        <f t="shared" si="95"/>
        <v>1.3700000000000004E-6</v>
      </c>
      <c r="H265" s="157">
        <f>IF(A265&lt;$B$9*DATA!$H$1037,DATA!$H$1037,IF(A265&gt;DATA!$H$1036*$B$9,DATA!$H$1036,1))</f>
        <v>0.8</v>
      </c>
      <c r="I265" s="156">
        <f t="shared" si="52"/>
        <v>9.9999999999999995E-8</v>
      </c>
      <c r="K265" s="140">
        <f t="shared" si="53"/>
        <v>2.7400000000000005E-5</v>
      </c>
      <c r="L265">
        <v>2.74</v>
      </c>
      <c r="M265" s="140">
        <f t="shared" si="54"/>
        <v>2.7399999999999994E-7</v>
      </c>
      <c r="N265" s="140">
        <f t="shared" si="55"/>
        <v>5.4799999999999998E-7</v>
      </c>
      <c r="O265" s="140">
        <f t="shared" si="56"/>
        <v>8.2200000000000013E-7</v>
      </c>
      <c r="P265" s="140">
        <f t="shared" si="57"/>
        <v>1.0960000000000002E-6</v>
      </c>
      <c r="Q265" s="140">
        <f t="shared" si="58"/>
        <v>1.3700000000000004E-6</v>
      </c>
      <c r="R265" s="157">
        <f>IF(K265&lt;$B$25*DATA!$H$1037,DATA!$H$1037,IF(K265&gt;DATA!$H$1036*$B$25,DATA!$H$1036,1))</f>
        <v>0.8</v>
      </c>
      <c r="S265" s="156">
        <f t="shared" si="59"/>
        <v>9.9999999999999995E-8</v>
      </c>
      <c r="U265" s="140">
        <f t="shared" si="60"/>
        <v>2.7400000000000005E-5</v>
      </c>
      <c r="V265">
        <v>2.74</v>
      </c>
      <c r="W265" s="140">
        <f t="shared" si="61"/>
        <v>2.7399999999999994E-7</v>
      </c>
      <c r="X265" s="140">
        <f t="shared" si="62"/>
        <v>5.4799999999999998E-7</v>
      </c>
      <c r="Y265" s="140">
        <f t="shared" si="63"/>
        <v>8.2200000000000013E-7</v>
      </c>
      <c r="Z265" s="140">
        <f t="shared" si="64"/>
        <v>1.0960000000000002E-6</v>
      </c>
      <c r="AA265" s="140">
        <f t="shared" si="65"/>
        <v>1.3700000000000004E-6</v>
      </c>
      <c r="AB265" s="157">
        <f>IF(U265&lt;$B$41*DATA!$H$1037,DATA!$H$1037,IF(U265&gt;DATA!$H$1036*$B$41,DATA!$H$1036,1))</f>
        <v>0.8</v>
      </c>
      <c r="AC265" s="156">
        <f t="shared" si="66"/>
        <v>9.9999999999999995E-8</v>
      </c>
      <c r="AE265" s="140">
        <f t="shared" si="67"/>
        <v>2.7400000000000005E-5</v>
      </c>
      <c r="AF265">
        <v>2.74</v>
      </c>
      <c r="AG265" s="140">
        <f t="shared" si="68"/>
        <v>2.7399999999999994E-7</v>
      </c>
      <c r="AH265" s="140">
        <f t="shared" si="69"/>
        <v>5.4799999999999998E-7</v>
      </c>
      <c r="AI265" s="140">
        <f t="shared" si="70"/>
        <v>8.2200000000000013E-7</v>
      </c>
      <c r="AJ265" s="140">
        <f t="shared" si="71"/>
        <v>1.0960000000000002E-6</v>
      </c>
      <c r="AK265" s="140">
        <f t="shared" si="72"/>
        <v>1.3700000000000004E-6</v>
      </c>
      <c r="AL265" s="157">
        <f>IF(AE265&lt;$B$57*DATA!$H$1037,DATA!$H$1037,IF(AE265&gt;DATA!$H$1036*$B$57,DATA!$H$1036,1))</f>
        <v>1.2</v>
      </c>
      <c r="AM265" s="156">
        <f t="shared" si="73"/>
        <v>9.9999999999999995E-8</v>
      </c>
      <c r="AO265" s="140">
        <f t="shared" si="74"/>
        <v>2.7400000000000005E-5</v>
      </c>
      <c r="AP265">
        <v>2.74</v>
      </c>
      <c r="AQ265" s="140">
        <f t="shared" si="75"/>
        <v>2.7399999999999994E-7</v>
      </c>
      <c r="AR265" s="140">
        <f t="shared" si="76"/>
        <v>5.4799999999999998E-7</v>
      </c>
      <c r="AS265" s="140">
        <f t="shared" si="77"/>
        <v>8.2200000000000013E-7</v>
      </c>
      <c r="AT265" s="140">
        <f t="shared" si="78"/>
        <v>1.0960000000000002E-6</v>
      </c>
      <c r="AU265" s="140">
        <f t="shared" si="79"/>
        <v>1.3700000000000004E-6</v>
      </c>
      <c r="AV265" s="157">
        <f>IF(AO265&lt;$B$73*DATA!$H$1037,DATA!$H$1037,IF(AO265&gt;DATA!$H$1036*$B$73,DATA!$H$1036,1))</f>
        <v>1.2</v>
      </c>
      <c r="AW265" s="156">
        <f t="shared" si="80"/>
        <v>9.9999999999999995E-8</v>
      </c>
      <c r="AY265" s="140">
        <f t="shared" si="81"/>
        <v>2.7400000000000005E-5</v>
      </c>
      <c r="AZ265">
        <v>2.74</v>
      </c>
      <c r="BA265" s="140">
        <f t="shared" si="82"/>
        <v>2.7399999999999994E-7</v>
      </c>
      <c r="BB265" s="140">
        <f t="shared" si="83"/>
        <v>5.4799999999999998E-7</v>
      </c>
      <c r="BC265" s="140">
        <f t="shared" si="84"/>
        <v>8.2200000000000013E-7</v>
      </c>
      <c r="BD265" s="140">
        <f t="shared" si="85"/>
        <v>1.0960000000000002E-6</v>
      </c>
      <c r="BE265" s="140">
        <f t="shared" si="86"/>
        <v>1.3700000000000004E-6</v>
      </c>
      <c r="BF265" s="157">
        <f>IF(AY265&lt;$B$89*DATA!$H$1037,DATA!$H$1037,IF(AY265&gt;DATA!$H$1036*$B$89,DATA!$H$1036,1))</f>
        <v>1.2</v>
      </c>
      <c r="BG265" s="156">
        <f t="shared" si="87"/>
        <v>9.9999999999999995E-8</v>
      </c>
      <c r="BI265" s="140">
        <f t="shared" si="88"/>
        <v>2.7400000000000005E-5</v>
      </c>
      <c r="BJ265">
        <v>2.74</v>
      </c>
      <c r="BK265" s="140">
        <f t="shared" si="89"/>
        <v>2.7399999999999994E-7</v>
      </c>
      <c r="BL265" s="140">
        <f t="shared" si="90"/>
        <v>5.4799999999999998E-7</v>
      </c>
      <c r="BM265" s="140">
        <f t="shared" si="91"/>
        <v>8.2200000000000013E-7</v>
      </c>
      <c r="BN265" s="140">
        <f t="shared" si="92"/>
        <v>1.0960000000000002E-6</v>
      </c>
      <c r="BO265" s="140">
        <f t="shared" si="93"/>
        <v>1.3700000000000004E-6</v>
      </c>
      <c r="BP265" s="157">
        <f>IF(BI265&lt;$B$105*DATA!$H$1037,DATA!$H$1037,IF(BI265&gt;DATA!$H$1036*$B$105,DATA!$H$1036,1))</f>
        <v>1.2</v>
      </c>
      <c r="BQ265" s="156">
        <f t="shared" si="94"/>
        <v>9.9999999999999995E-8</v>
      </c>
    </row>
    <row r="266" spans="1:69">
      <c r="A266" s="140">
        <f t="shared" si="50"/>
        <v>2.76E-5</v>
      </c>
      <c r="B266">
        <v>2.76</v>
      </c>
      <c r="C266" s="140">
        <f t="shared" si="95"/>
        <v>2.7599999999999993E-7</v>
      </c>
      <c r="D266" s="140">
        <f t="shared" si="95"/>
        <v>5.5199999999999997E-7</v>
      </c>
      <c r="E266" s="140">
        <f t="shared" si="95"/>
        <v>8.2799999999999995E-7</v>
      </c>
      <c r="F266" s="140">
        <f t="shared" si="95"/>
        <v>1.1039999999999999E-6</v>
      </c>
      <c r="G266" s="140">
        <f t="shared" si="95"/>
        <v>1.3800000000000001E-6</v>
      </c>
      <c r="H266" s="157">
        <f>IF(A266&lt;$B$9*DATA!$H$1037,DATA!$H$1037,IF(A266&gt;DATA!$H$1036*$B$9,DATA!$H$1036,1))</f>
        <v>0.8</v>
      </c>
      <c r="I266" s="156">
        <f t="shared" si="52"/>
        <v>9.9999999999999995E-8</v>
      </c>
      <c r="K266" s="140">
        <f t="shared" si="53"/>
        <v>2.76E-5</v>
      </c>
      <c r="L266">
        <v>2.76</v>
      </c>
      <c r="M266" s="140">
        <f t="shared" si="54"/>
        <v>2.7599999999999993E-7</v>
      </c>
      <c r="N266" s="140">
        <f t="shared" si="55"/>
        <v>5.5199999999999997E-7</v>
      </c>
      <c r="O266" s="140">
        <f t="shared" si="56"/>
        <v>8.2799999999999995E-7</v>
      </c>
      <c r="P266" s="140">
        <f t="shared" si="57"/>
        <v>1.1039999999999999E-6</v>
      </c>
      <c r="Q266" s="140">
        <f t="shared" si="58"/>
        <v>1.3800000000000001E-6</v>
      </c>
      <c r="R266" s="157">
        <f>IF(K266&lt;$B$25*DATA!$H$1037,DATA!$H$1037,IF(K266&gt;DATA!$H$1036*$B$25,DATA!$H$1036,1))</f>
        <v>0.8</v>
      </c>
      <c r="S266" s="156">
        <f t="shared" si="59"/>
        <v>9.9999999999999995E-8</v>
      </c>
      <c r="U266" s="140">
        <f t="shared" si="60"/>
        <v>2.76E-5</v>
      </c>
      <c r="V266">
        <v>2.76</v>
      </c>
      <c r="W266" s="140">
        <f t="shared" si="61"/>
        <v>2.7599999999999993E-7</v>
      </c>
      <c r="X266" s="140">
        <f t="shared" si="62"/>
        <v>5.5199999999999997E-7</v>
      </c>
      <c r="Y266" s="140">
        <f t="shared" si="63"/>
        <v>8.2799999999999995E-7</v>
      </c>
      <c r="Z266" s="140">
        <f t="shared" si="64"/>
        <v>1.1039999999999999E-6</v>
      </c>
      <c r="AA266" s="140">
        <f t="shared" si="65"/>
        <v>1.3800000000000001E-6</v>
      </c>
      <c r="AB266" s="157">
        <f>IF(U266&lt;$B$41*DATA!$H$1037,DATA!$H$1037,IF(U266&gt;DATA!$H$1036*$B$41,DATA!$H$1036,1))</f>
        <v>0.8</v>
      </c>
      <c r="AC266" s="156">
        <f t="shared" si="66"/>
        <v>9.9999999999999995E-8</v>
      </c>
      <c r="AE266" s="140">
        <f t="shared" si="67"/>
        <v>2.76E-5</v>
      </c>
      <c r="AF266">
        <v>2.76</v>
      </c>
      <c r="AG266" s="140">
        <f t="shared" si="68"/>
        <v>2.7599999999999993E-7</v>
      </c>
      <c r="AH266" s="140">
        <f t="shared" si="69"/>
        <v>5.5199999999999997E-7</v>
      </c>
      <c r="AI266" s="140">
        <f t="shared" si="70"/>
        <v>8.2799999999999995E-7</v>
      </c>
      <c r="AJ266" s="140">
        <f t="shared" si="71"/>
        <v>1.1039999999999999E-6</v>
      </c>
      <c r="AK266" s="140">
        <f t="shared" si="72"/>
        <v>1.3800000000000001E-6</v>
      </c>
      <c r="AL266" s="157">
        <f>IF(AE266&lt;$B$57*DATA!$H$1037,DATA!$H$1037,IF(AE266&gt;DATA!$H$1036*$B$57,DATA!$H$1036,1))</f>
        <v>1.2</v>
      </c>
      <c r="AM266" s="156">
        <f t="shared" si="73"/>
        <v>9.9999999999999995E-8</v>
      </c>
      <c r="AO266" s="140">
        <f t="shared" si="74"/>
        <v>2.76E-5</v>
      </c>
      <c r="AP266">
        <v>2.76</v>
      </c>
      <c r="AQ266" s="140">
        <f t="shared" si="75"/>
        <v>2.7599999999999993E-7</v>
      </c>
      <c r="AR266" s="140">
        <f t="shared" si="76"/>
        <v>5.5199999999999997E-7</v>
      </c>
      <c r="AS266" s="140">
        <f t="shared" si="77"/>
        <v>8.2799999999999995E-7</v>
      </c>
      <c r="AT266" s="140">
        <f t="shared" si="78"/>
        <v>1.1039999999999999E-6</v>
      </c>
      <c r="AU266" s="140">
        <f t="shared" si="79"/>
        <v>1.3800000000000001E-6</v>
      </c>
      <c r="AV266" s="157">
        <f>IF(AO266&lt;$B$73*DATA!$H$1037,DATA!$H$1037,IF(AO266&gt;DATA!$H$1036*$B$73,DATA!$H$1036,1))</f>
        <v>1.2</v>
      </c>
      <c r="AW266" s="156">
        <f t="shared" si="80"/>
        <v>9.9999999999999995E-8</v>
      </c>
      <c r="AY266" s="140">
        <f t="shared" si="81"/>
        <v>2.76E-5</v>
      </c>
      <c r="AZ266">
        <v>2.76</v>
      </c>
      <c r="BA266" s="140">
        <f t="shared" si="82"/>
        <v>2.7599999999999993E-7</v>
      </c>
      <c r="BB266" s="140">
        <f t="shared" si="83"/>
        <v>5.5199999999999997E-7</v>
      </c>
      <c r="BC266" s="140">
        <f t="shared" si="84"/>
        <v>8.2799999999999995E-7</v>
      </c>
      <c r="BD266" s="140">
        <f t="shared" si="85"/>
        <v>1.1039999999999999E-6</v>
      </c>
      <c r="BE266" s="140">
        <f t="shared" si="86"/>
        <v>1.3800000000000001E-6</v>
      </c>
      <c r="BF266" s="157">
        <f>IF(AY266&lt;$B$89*DATA!$H$1037,DATA!$H$1037,IF(AY266&gt;DATA!$H$1036*$B$89,DATA!$H$1036,1))</f>
        <v>1.2</v>
      </c>
      <c r="BG266" s="156">
        <f t="shared" si="87"/>
        <v>9.9999999999999995E-8</v>
      </c>
      <c r="BI266" s="140">
        <f t="shared" si="88"/>
        <v>2.76E-5</v>
      </c>
      <c r="BJ266">
        <v>2.76</v>
      </c>
      <c r="BK266" s="140">
        <f t="shared" si="89"/>
        <v>2.7599999999999993E-7</v>
      </c>
      <c r="BL266" s="140">
        <f t="shared" si="90"/>
        <v>5.5199999999999997E-7</v>
      </c>
      <c r="BM266" s="140">
        <f t="shared" si="91"/>
        <v>8.2799999999999995E-7</v>
      </c>
      <c r="BN266" s="140">
        <f t="shared" si="92"/>
        <v>1.1039999999999999E-6</v>
      </c>
      <c r="BO266" s="140">
        <f t="shared" si="93"/>
        <v>1.3800000000000001E-6</v>
      </c>
      <c r="BP266" s="157">
        <f>IF(BI266&lt;$B$105*DATA!$H$1037,DATA!$H$1037,IF(BI266&gt;DATA!$H$1036*$B$105,DATA!$H$1036,1))</f>
        <v>1.2</v>
      </c>
      <c r="BQ266" s="156">
        <f t="shared" si="94"/>
        <v>9.9999999999999995E-8</v>
      </c>
    </row>
    <row r="267" spans="1:69">
      <c r="A267" s="140">
        <f t="shared" si="50"/>
        <v>2.7800000000000001E-5</v>
      </c>
      <c r="B267">
        <v>2.78</v>
      </c>
      <c r="C267" s="140">
        <f t="shared" si="95"/>
        <v>2.7799999999999992E-7</v>
      </c>
      <c r="D267" s="140">
        <f t="shared" si="95"/>
        <v>5.5599999999999995E-7</v>
      </c>
      <c r="E267" s="140">
        <f t="shared" si="95"/>
        <v>8.3399999999999998E-7</v>
      </c>
      <c r="F267" s="140">
        <f t="shared" si="95"/>
        <v>1.1120000000000001E-6</v>
      </c>
      <c r="G267" s="140">
        <f t="shared" si="95"/>
        <v>1.3900000000000002E-6</v>
      </c>
      <c r="H267" s="157">
        <f>IF(A267&lt;$B$9*DATA!$H$1037,DATA!$H$1037,IF(A267&gt;DATA!$H$1036*$B$9,DATA!$H$1036,1))</f>
        <v>0.8</v>
      </c>
      <c r="I267" s="156">
        <f t="shared" si="52"/>
        <v>9.9999999999999995E-8</v>
      </c>
      <c r="K267" s="140">
        <f t="shared" si="53"/>
        <v>2.7800000000000001E-5</v>
      </c>
      <c r="L267">
        <v>2.78</v>
      </c>
      <c r="M267" s="140">
        <f t="shared" si="54"/>
        <v>2.7799999999999992E-7</v>
      </c>
      <c r="N267" s="140">
        <f t="shared" si="55"/>
        <v>5.5599999999999995E-7</v>
      </c>
      <c r="O267" s="140">
        <f t="shared" si="56"/>
        <v>8.3399999999999998E-7</v>
      </c>
      <c r="P267" s="140">
        <f t="shared" si="57"/>
        <v>1.1120000000000001E-6</v>
      </c>
      <c r="Q267" s="140">
        <f t="shared" si="58"/>
        <v>1.3900000000000002E-6</v>
      </c>
      <c r="R267" s="157">
        <f>IF(K267&lt;$B$25*DATA!$H$1037,DATA!$H$1037,IF(K267&gt;DATA!$H$1036*$B$25,DATA!$H$1036,1))</f>
        <v>0.8</v>
      </c>
      <c r="S267" s="156">
        <f t="shared" si="59"/>
        <v>9.9999999999999995E-8</v>
      </c>
      <c r="U267" s="140">
        <f t="shared" si="60"/>
        <v>2.7800000000000001E-5</v>
      </c>
      <c r="V267">
        <v>2.78</v>
      </c>
      <c r="W267" s="140">
        <f t="shared" si="61"/>
        <v>2.7799999999999992E-7</v>
      </c>
      <c r="X267" s="140">
        <f t="shared" si="62"/>
        <v>5.5599999999999995E-7</v>
      </c>
      <c r="Y267" s="140">
        <f t="shared" si="63"/>
        <v>8.3399999999999998E-7</v>
      </c>
      <c r="Z267" s="140">
        <f t="shared" si="64"/>
        <v>1.1120000000000001E-6</v>
      </c>
      <c r="AA267" s="140">
        <f t="shared" si="65"/>
        <v>1.3900000000000002E-6</v>
      </c>
      <c r="AB267" s="157">
        <f>IF(U267&lt;$B$41*DATA!$H$1037,DATA!$H$1037,IF(U267&gt;DATA!$H$1036*$B$41,DATA!$H$1036,1))</f>
        <v>0.8</v>
      </c>
      <c r="AC267" s="156">
        <f t="shared" si="66"/>
        <v>9.9999999999999995E-8</v>
      </c>
      <c r="AE267" s="140">
        <f t="shared" si="67"/>
        <v>2.7800000000000001E-5</v>
      </c>
      <c r="AF267">
        <v>2.78</v>
      </c>
      <c r="AG267" s="140">
        <f t="shared" si="68"/>
        <v>2.7799999999999992E-7</v>
      </c>
      <c r="AH267" s="140">
        <f t="shared" si="69"/>
        <v>5.5599999999999995E-7</v>
      </c>
      <c r="AI267" s="140">
        <f t="shared" si="70"/>
        <v>8.3399999999999998E-7</v>
      </c>
      <c r="AJ267" s="140">
        <f t="shared" si="71"/>
        <v>1.1120000000000001E-6</v>
      </c>
      <c r="AK267" s="140">
        <f t="shared" si="72"/>
        <v>1.3900000000000002E-6</v>
      </c>
      <c r="AL267" s="157">
        <f>IF(AE267&lt;$B$57*DATA!$H$1037,DATA!$H$1037,IF(AE267&gt;DATA!$H$1036*$B$57,DATA!$H$1036,1))</f>
        <v>1.2</v>
      </c>
      <c r="AM267" s="156">
        <f t="shared" si="73"/>
        <v>9.9999999999999995E-8</v>
      </c>
      <c r="AO267" s="140">
        <f t="shared" si="74"/>
        <v>2.7800000000000001E-5</v>
      </c>
      <c r="AP267">
        <v>2.78</v>
      </c>
      <c r="AQ267" s="140">
        <f t="shared" si="75"/>
        <v>2.7799999999999992E-7</v>
      </c>
      <c r="AR267" s="140">
        <f t="shared" si="76"/>
        <v>5.5599999999999995E-7</v>
      </c>
      <c r="AS267" s="140">
        <f t="shared" si="77"/>
        <v>8.3399999999999998E-7</v>
      </c>
      <c r="AT267" s="140">
        <f t="shared" si="78"/>
        <v>1.1120000000000001E-6</v>
      </c>
      <c r="AU267" s="140">
        <f t="shared" si="79"/>
        <v>1.3900000000000002E-6</v>
      </c>
      <c r="AV267" s="157">
        <f>IF(AO267&lt;$B$73*DATA!$H$1037,DATA!$H$1037,IF(AO267&gt;DATA!$H$1036*$B$73,DATA!$H$1036,1))</f>
        <v>1.2</v>
      </c>
      <c r="AW267" s="156">
        <f t="shared" si="80"/>
        <v>9.9999999999999995E-8</v>
      </c>
      <c r="AY267" s="140">
        <f t="shared" si="81"/>
        <v>2.7800000000000001E-5</v>
      </c>
      <c r="AZ267">
        <v>2.78</v>
      </c>
      <c r="BA267" s="140">
        <f t="shared" si="82"/>
        <v>2.7799999999999992E-7</v>
      </c>
      <c r="BB267" s="140">
        <f t="shared" si="83"/>
        <v>5.5599999999999995E-7</v>
      </c>
      <c r="BC267" s="140">
        <f t="shared" si="84"/>
        <v>8.3399999999999998E-7</v>
      </c>
      <c r="BD267" s="140">
        <f t="shared" si="85"/>
        <v>1.1120000000000001E-6</v>
      </c>
      <c r="BE267" s="140">
        <f t="shared" si="86"/>
        <v>1.3900000000000002E-6</v>
      </c>
      <c r="BF267" s="157">
        <f>IF(AY267&lt;$B$89*DATA!$H$1037,DATA!$H$1037,IF(AY267&gt;DATA!$H$1036*$B$89,DATA!$H$1036,1))</f>
        <v>1.2</v>
      </c>
      <c r="BG267" s="156">
        <f t="shared" si="87"/>
        <v>9.9999999999999995E-8</v>
      </c>
      <c r="BI267" s="140">
        <f t="shared" si="88"/>
        <v>2.7800000000000001E-5</v>
      </c>
      <c r="BJ267">
        <v>2.78</v>
      </c>
      <c r="BK267" s="140">
        <f t="shared" si="89"/>
        <v>2.7799999999999992E-7</v>
      </c>
      <c r="BL267" s="140">
        <f t="shared" si="90"/>
        <v>5.5599999999999995E-7</v>
      </c>
      <c r="BM267" s="140">
        <f t="shared" si="91"/>
        <v>8.3399999999999998E-7</v>
      </c>
      <c r="BN267" s="140">
        <f t="shared" si="92"/>
        <v>1.1120000000000001E-6</v>
      </c>
      <c r="BO267" s="140">
        <f t="shared" si="93"/>
        <v>1.3900000000000002E-6</v>
      </c>
      <c r="BP267" s="157">
        <f>IF(BI267&lt;$B$105*DATA!$H$1037,DATA!$H$1037,IF(BI267&gt;DATA!$H$1036*$B$105,DATA!$H$1036,1))</f>
        <v>1.2</v>
      </c>
      <c r="BQ267" s="156">
        <f t="shared" si="94"/>
        <v>9.9999999999999995E-8</v>
      </c>
    </row>
    <row r="268" spans="1:69">
      <c r="A268" s="140">
        <f t="shared" si="50"/>
        <v>2.8E-5</v>
      </c>
      <c r="B268">
        <v>2.8</v>
      </c>
      <c r="C268" s="140">
        <f t="shared" si="95"/>
        <v>2.7999999999999991E-7</v>
      </c>
      <c r="D268" s="140">
        <f t="shared" si="95"/>
        <v>5.5999999999999993E-7</v>
      </c>
      <c r="E268" s="140">
        <f t="shared" si="95"/>
        <v>8.4E-7</v>
      </c>
      <c r="F268" s="140">
        <f t="shared" si="95"/>
        <v>1.1200000000000001E-6</v>
      </c>
      <c r="G268" s="140">
        <f t="shared" si="95"/>
        <v>1.4000000000000001E-6</v>
      </c>
      <c r="H268" s="157">
        <f>IF(A268&lt;$B$9*DATA!$H$1037,DATA!$H$1037,IF(A268&gt;DATA!$H$1036*$B$9,DATA!$H$1036,1))</f>
        <v>0.8</v>
      </c>
      <c r="I268" s="156">
        <f t="shared" si="52"/>
        <v>9.9999999999999995E-8</v>
      </c>
      <c r="K268" s="140">
        <f t="shared" si="53"/>
        <v>2.8E-5</v>
      </c>
      <c r="L268">
        <v>2.8</v>
      </c>
      <c r="M268" s="140">
        <f t="shared" si="54"/>
        <v>2.7999999999999991E-7</v>
      </c>
      <c r="N268" s="140">
        <f t="shared" si="55"/>
        <v>5.5999999999999993E-7</v>
      </c>
      <c r="O268" s="140">
        <f t="shared" si="56"/>
        <v>8.4E-7</v>
      </c>
      <c r="P268" s="140">
        <f t="shared" si="57"/>
        <v>1.1200000000000001E-6</v>
      </c>
      <c r="Q268" s="140">
        <f t="shared" si="58"/>
        <v>1.4000000000000001E-6</v>
      </c>
      <c r="R268" s="157">
        <f>IF(K268&lt;$B$25*DATA!$H$1037,DATA!$H$1037,IF(K268&gt;DATA!$H$1036*$B$25,DATA!$H$1036,1))</f>
        <v>0.8</v>
      </c>
      <c r="S268" s="156">
        <f t="shared" si="59"/>
        <v>9.9999999999999995E-8</v>
      </c>
      <c r="U268" s="140">
        <f t="shared" si="60"/>
        <v>2.8E-5</v>
      </c>
      <c r="V268">
        <v>2.8</v>
      </c>
      <c r="W268" s="140">
        <f t="shared" si="61"/>
        <v>2.7999999999999991E-7</v>
      </c>
      <c r="X268" s="140">
        <f t="shared" si="62"/>
        <v>5.5999999999999993E-7</v>
      </c>
      <c r="Y268" s="140">
        <f t="shared" si="63"/>
        <v>8.4E-7</v>
      </c>
      <c r="Z268" s="140">
        <f t="shared" si="64"/>
        <v>1.1200000000000001E-6</v>
      </c>
      <c r="AA268" s="140">
        <f t="shared" si="65"/>
        <v>1.4000000000000001E-6</v>
      </c>
      <c r="AB268" s="157">
        <f>IF(U268&lt;$B$41*DATA!$H$1037,DATA!$H$1037,IF(U268&gt;DATA!$H$1036*$B$41,DATA!$H$1036,1))</f>
        <v>0.8</v>
      </c>
      <c r="AC268" s="156">
        <f t="shared" si="66"/>
        <v>9.9999999999999995E-8</v>
      </c>
      <c r="AE268" s="140">
        <f t="shared" si="67"/>
        <v>2.8E-5</v>
      </c>
      <c r="AF268">
        <v>2.8</v>
      </c>
      <c r="AG268" s="140">
        <f t="shared" si="68"/>
        <v>2.7999999999999991E-7</v>
      </c>
      <c r="AH268" s="140">
        <f t="shared" si="69"/>
        <v>5.5999999999999993E-7</v>
      </c>
      <c r="AI268" s="140">
        <f t="shared" si="70"/>
        <v>8.4E-7</v>
      </c>
      <c r="AJ268" s="140">
        <f t="shared" si="71"/>
        <v>1.1200000000000001E-6</v>
      </c>
      <c r="AK268" s="140">
        <f t="shared" si="72"/>
        <v>1.4000000000000001E-6</v>
      </c>
      <c r="AL268" s="157">
        <f>IF(AE268&lt;$B$57*DATA!$H$1037,DATA!$H$1037,IF(AE268&gt;DATA!$H$1036*$B$57,DATA!$H$1036,1))</f>
        <v>1.2</v>
      </c>
      <c r="AM268" s="156">
        <f t="shared" si="73"/>
        <v>9.9999999999999995E-8</v>
      </c>
      <c r="AO268" s="140">
        <f t="shared" si="74"/>
        <v>2.8E-5</v>
      </c>
      <c r="AP268">
        <v>2.8</v>
      </c>
      <c r="AQ268" s="140">
        <f t="shared" si="75"/>
        <v>2.7999999999999991E-7</v>
      </c>
      <c r="AR268" s="140">
        <f t="shared" si="76"/>
        <v>5.5999999999999993E-7</v>
      </c>
      <c r="AS268" s="140">
        <f t="shared" si="77"/>
        <v>8.4E-7</v>
      </c>
      <c r="AT268" s="140">
        <f t="shared" si="78"/>
        <v>1.1200000000000001E-6</v>
      </c>
      <c r="AU268" s="140">
        <f t="shared" si="79"/>
        <v>1.4000000000000001E-6</v>
      </c>
      <c r="AV268" s="157">
        <f>IF(AO268&lt;$B$73*DATA!$H$1037,DATA!$H$1037,IF(AO268&gt;DATA!$H$1036*$B$73,DATA!$H$1036,1))</f>
        <v>1.2</v>
      </c>
      <c r="AW268" s="156">
        <f t="shared" si="80"/>
        <v>9.9999999999999995E-8</v>
      </c>
      <c r="AY268" s="140">
        <f t="shared" si="81"/>
        <v>2.8E-5</v>
      </c>
      <c r="AZ268">
        <v>2.8</v>
      </c>
      <c r="BA268" s="140">
        <f t="shared" si="82"/>
        <v>2.7999999999999991E-7</v>
      </c>
      <c r="BB268" s="140">
        <f t="shared" si="83"/>
        <v>5.5999999999999993E-7</v>
      </c>
      <c r="BC268" s="140">
        <f t="shared" si="84"/>
        <v>8.4E-7</v>
      </c>
      <c r="BD268" s="140">
        <f t="shared" si="85"/>
        <v>1.1200000000000001E-6</v>
      </c>
      <c r="BE268" s="140">
        <f t="shared" si="86"/>
        <v>1.4000000000000001E-6</v>
      </c>
      <c r="BF268" s="157">
        <f>IF(AY268&lt;$B$89*DATA!$H$1037,DATA!$H$1037,IF(AY268&gt;DATA!$H$1036*$B$89,DATA!$H$1036,1))</f>
        <v>1.2</v>
      </c>
      <c r="BG268" s="156">
        <f t="shared" si="87"/>
        <v>9.9999999999999995E-8</v>
      </c>
      <c r="BI268" s="140">
        <f t="shared" si="88"/>
        <v>2.8E-5</v>
      </c>
      <c r="BJ268">
        <v>2.8</v>
      </c>
      <c r="BK268" s="140">
        <f t="shared" si="89"/>
        <v>2.7999999999999991E-7</v>
      </c>
      <c r="BL268" s="140">
        <f t="shared" si="90"/>
        <v>5.5999999999999993E-7</v>
      </c>
      <c r="BM268" s="140">
        <f t="shared" si="91"/>
        <v>8.4E-7</v>
      </c>
      <c r="BN268" s="140">
        <f t="shared" si="92"/>
        <v>1.1200000000000001E-6</v>
      </c>
      <c r="BO268" s="140">
        <f t="shared" si="93"/>
        <v>1.4000000000000001E-6</v>
      </c>
      <c r="BP268" s="157">
        <f>IF(BI268&lt;$B$105*DATA!$H$1037,DATA!$H$1037,IF(BI268&gt;DATA!$H$1036*$B$105,DATA!$H$1036,1))</f>
        <v>1.2</v>
      </c>
      <c r="BQ268" s="156">
        <f t="shared" si="94"/>
        <v>9.9999999999999995E-8</v>
      </c>
    </row>
    <row r="269" spans="1:69">
      <c r="A269" s="140">
        <f t="shared" si="50"/>
        <v>2.8200000000000001E-5</v>
      </c>
      <c r="B269">
        <v>2.82</v>
      </c>
      <c r="C269" s="140">
        <f t="shared" si="95"/>
        <v>2.819999999999999E-7</v>
      </c>
      <c r="D269" s="140">
        <f t="shared" si="95"/>
        <v>5.6399999999999992E-7</v>
      </c>
      <c r="E269" s="140">
        <f t="shared" si="95"/>
        <v>8.4600000000000003E-7</v>
      </c>
      <c r="F269" s="140">
        <f t="shared" si="95"/>
        <v>1.128E-6</v>
      </c>
      <c r="G269" s="140">
        <f t="shared" si="95"/>
        <v>1.4100000000000001E-6</v>
      </c>
      <c r="H269" s="157">
        <f>IF(A269&lt;$B$9*DATA!$H$1037,DATA!$H$1037,IF(A269&gt;DATA!$H$1036*$B$9,DATA!$H$1036,1))</f>
        <v>0.8</v>
      </c>
      <c r="I269" s="156">
        <f t="shared" si="52"/>
        <v>9.9999999999999995E-8</v>
      </c>
      <c r="K269" s="140">
        <f t="shared" si="53"/>
        <v>2.8200000000000001E-5</v>
      </c>
      <c r="L269">
        <v>2.82</v>
      </c>
      <c r="M269" s="140">
        <f t="shared" si="54"/>
        <v>2.819999999999999E-7</v>
      </c>
      <c r="N269" s="140">
        <f t="shared" si="55"/>
        <v>5.6399999999999992E-7</v>
      </c>
      <c r="O269" s="140">
        <f t="shared" si="56"/>
        <v>8.4600000000000003E-7</v>
      </c>
      <c r="P269" s="140">
        <f t="shared" si="57"/>
        <v>1.128E-6</v>
      </c>
      <c r="Q269" s="140">
        <f t="shared" si="58"/>
        <v>1.4100000000000001E-6</v>
      </c>
      <c r="R269" s="157">
        <f>IF(K269&lt;$B$25*DATA!$H$1037,DATA!$H$1037,IF(K269&gt;DATA!$H$1036*$B$25,DATA!$H$1036,1))</f>
        <v>0.8</v>
      </c>
      <c r="S269" s="156">
        <f t="shared" si="59"/>
        <v>9.9999999999999995E-8</v>
      </c>
      <c r="U269" s="140">
        <f t="shared" si="60"/>
        <v>2.8200000000000001E-5</v>
      </c>
      <c r="V269">
        <v>2.82</v>
      </c>
      <c r="W269" s="140">
        <f t="shared" si="61"/>
        <v>2.819999999999999E-7</v>
      </c>
      <c r="X269" s="140">
        <f t="shared" si="62"/>
        <v>5.6399999999999992E-7</v>
      </c>
      <c r="Y269" s="140">
        <f t="shared" si="63"/>
        <v>8.4600000000000003E-7</v>
      </c>
      <c r="Z269" s="140">
        <f t="shared" si="64"/>
        <v>1.128E-6</v>
      </c>
      <c r="AA269" s="140">
        <f t="shared" si="65"/>
        <v>1.4100000000000001E-6</v>
      </c>
      <c r="AB269" s="157">
        <f>IF(U269&lt;$B$41*DATA!$H$1037,DATA!$H$1037,IF(U269&gt;DATA!$H$1036*$B$41,DATA!$H$1036,1))</f>
        <v>0.8</v>
      </c>
      <c r="AC269" s="156">
        <f t="shared" si="66"/>
        <v>9.9999999999999995E-8</v>
      </c>
      <c r="AE269" s="140">
        <f t="shared" si="67"/>
        <v>2.8200000000000001E-5</v>
      </c>
      <c r="AF269">
        <v>2.82</v>
      </c>
      <c r="AG269" s="140">
        <f t="shared" si="68"/>
        <v>2.819999999999999E-7</v>
      </c>
      <c r="AH269" s="140">
        <f t="shared" si="69"/>
        <v>5.6399999999999992E-7</v>
      </c>
      <c r="AI269" s="140">
        <f t="shared" si="70"/>
        <v>8.4600000000000003E-7</v>
      </c>
      <c r="AJ269" s="140">
        <f t="shared" si="71"/>
        <v>1.128E-6</v>
      </c>
      <c r="AK269" s="140">
        <f t="shared" si="72"/>
        <v>1.4100000000000001E-6</v>
      </c>
      <c r="AL269" s="157">
        <f>IF(AE269&lt;$B$57*DATA!$H$1037,DATA!$H$1037,IF(AE269&gt;DATA!$H$1036*$B$57,DATA!$H$1036,1))</f>
        <v>1.2</v>
      </c>
      <c r="AM269" s="156">
        <f t="shared" si="73"/>
        <v>9.9999999999999995E-8</v>
      </c>
      <c r="AO269" s="140">
        <f t="shared" si="74"/>
        <v>2.8200000000000001E-5</v>
      </c>
      <c r="AP269">
        <v>2.82</v>
      </c>
      <c r="AQ269" s="140">
        <f t="shared" si="75"/>
        <v>2.819999999999999E-7</v>
      </c>
      <c r="AR269" s="140">
        <f t="shared" si="76"/>
        <v>5.6399999999999992E-7</v>
      </c>
      <c r="AS269" s="140">
        <f t="shared" si="77"/>
        <v>8.4600000000000003E-7</v>
      </c>
      <c r="AT269" s="140">
        <f t="shared" si="78"/>
        <v>1.128E-6</v>
      </c>
      <c r="AU269" s="140">
        <f t="shared" si="79"/>
        <v>1.4100000000000001E-6</v>
      </c>
      <c r="AV269" s="157">
        <f>IF(AO269&lt;$B$73*DATA!$H$1037,DATA!$H$1037,IF(AO269&gt;DATA!$H$1036*$B$73,DATA!$H$1036,1))</f>
        <v>1.2</v>
      </c>
      <c r="AW269" s="156">
        <f t="shared" si="80"/>
        <v>9.9999999999999995E-8</v>
      </c>
      <c r="AY269" s="140">
        <f t="shared" si="81"/>
        <v>2.8200000000000001E-5</v>
      </c>
      <c r="AZ269">
        <v>2.82</v>
      </c>
      <c r="BA269" s="140">
        <f t="shared" si="82"/>
        <v>2.819999999999999E-7</v>
      </c>
      <c r="BB269" s="140">
        <f t="shared" si="83"/>
        <v>5.6399999999999992E-7</v>
      </c>
      <c r="BC269" s="140">
        <f t="shared" si="84"/>
        <v>8.4600000000000003E-7</v>
      </c>
      <c r="BD269" s="140">
        <f t="shared" si="85"/>
        <v>1.128E-6</v>
      </c>
      <c r="BE269" s="140">
        <f t="shared" si="86"/>
        <v>1.4100000000000001E-6</v>
      </c>
      <c r="BF269" s="157">
        <f>IF(AY269&lt;$B$89*DATA!$H$1037,DATA!$H$1037,IF(AY269&gt;DATA!$H$1036*$B$89,DATA!$H$1036,1))</f>
        <v>1.2</v>
      </c>
      <c r="BG269" s="156">
        <f t="shared" si="87"/>
        <v>9.9999999999999995E-8</v>
      </c>
      <c r="BI269" s="140">
        <f t="shared" si="88"/>
        <v>2.8200000000000001E-5</v>
      </c>
      <c r="BJ269">
        <v>2.82</v>
      </c>
      <c r="BK269" s="140">
        <f t="shared" si="89"/>
        <v>2.819999999999999E-7</v>
      </c>
      <c r="BL269" s="140">
        <f t="shared" si="90"/>
        <v>5.6399999999999992E-7</v>
      </c>
      <c r="BM269" s="140">
        <f t="shared" si="91"/>
        <v>8.4600000000000003E-7</v>
      </c>
      <c r="BN269" s="140">
        <f t="shared" si="92"/>
        <v>1.128E-6</v>
      </c>
      <c r="BO269" s="140">
        <f t="shared" si="93"/>
        <v>1.4100000000000001E-6</v>
      </c>
      <c r="BP269" s="157">
        <f>IF(BI269&lt;$B$105*DATA!$H$1037,DATA!$H$1037,IF(BI269&gt;DATA!$H$1036*$B$105,DATA!$H$1036,1))</f>
        <v>1.2</v>
      </c>
      <c r="BQ269" s="156">
        <f t="shared" si="94"/>
        <v>9.9999999999999995E-8</v>
      </c>
    </row>
    <row r="270" spans="1:69">
      <c r="A270" s="140">
        <f t="shared" si="50"/>
        <v>2.8400000000000003E-5</v>
      </c>
      <c r="B270">
        <v>2.84</v>
      </c>
      <c r="C270" s="140">
        <f t="shared" si="95"/>
        <v>2.8399999999999995E-7</v>
      </c>
      <c r="D270" s="140">
        <f t="shared" si="95"/>
        <v>5.68E-7</v>
      </c>
      <c r="E270" s="140">
        <f t="shared" si="95"/>
        <v>8.5200000000000006E-7</v>
      </c>
      <c r="F270" s="140">
        <f t="shared" si="95"/>
        <v>1.1360000000000002E-6</v>
      </c>
      <c r="G270" s="140">
        <f t="shared" si="95"/>
        <v>1.4200000000000002E-6</v>
      </c>
      <c r="H270" s="157">
        <f>IF(A270&lt;$B$9*DATA!$H$1037,DATA!$H$1037,IF(A270&gt;DATA!$H$1036*$B$9,DATA!$H$1036,1))</f>
        <v>0.8</v>
      </c>
      <c r="I270" s="156">
        <f t="shared" si="52"/>
        <v>9.9999999999999995E-8</v>
      </c>
      <c r="K270" s="140">
        <f t="shared" si="53"/>
        <v>2.8400000000000003E-5</v>
      </c>
      <c r="L270">
        <v>2.84</v>
      </c>
      <c r="M270" s="140">
        <f t="shared" si="54"/>
        <v>2.8399999999999995E-7</v>
      </c>
      <c r="N270" s="140">
        <f t="shared" si="55"/>
        <v>5.68E-7</v>
      </c>
      <c r="O270" s="140">
        <f t="shared" si="56"/>
        <v>8.5200000000000006E-7</v>
      </c>
      <c r="P270" s="140">
        <f t="shared" si="57"/>
        <v>1.1360000000000002E-6</v>
      </c>
      <c r="Q270" s="140">
        <f t="shared" si="58"/>
        <v>1.4200000000000002E-6</v>
      </c>
      <c r="R270" s="157">
        <f>IF(K270&lt;$B$25*DATA!$H$1037,DATA!$H$1037,IF(K270&gt;DATA!$H$1036*$B$25,DATA!$H$1036,1))</f>
        <v>0.8</v>
      </c>
      <c r="S270" s="156">
        <f t="shared" si="59"/>
        <v>9.9999999999999995E-8</v>
      </c>
      <c r="U270" s="140">
        <f t="shared" si="60"/>
        <v>2.8400000000000003E-5</v>
      </c>
      <c r="V270">
        <v>2.84</v>
      </c>
      <c r="W270" s="140">
        <f t="shared" si="61"/>
        <v>2.8399999999999995E-7</v>
      </c>
      <c r="X270" s="140">
        <f t="shared" si="62"/>
        <v>5.68E-7</v>
      </c>
      <c r="Y270" s="140">
        <f t="shared" si="63"/>
        <v>8.5200000000000006E-7</v>
      </c>
      <c r="Z270" s="140">
        <f t="shared" si="64"/>
        <v>1.1360000000000002E-6</v>
      </c>
      <c r="AA270" s="140">
        <f t="shared" si="65"/>
        <v>1.4200000000000002E-6</v>
      </c>
      <c r="AB270" s="157">
        <f>IF(U270&lt;$B$41*DATA!$H$1037,DATA!$H$1037,IF(U270&gt;DATA!$H$1036*$B$41,DATA!$H$1036,1))</f>
        <v>0.8</v>
      </c>
      <c r="AC270" s="156">
        <f t="shared" si="66"/>
        <v>9.9999999999999995E-8</v>
      </c>
      <c r="AE270" s="140">
        <f t="shared" si="67"/>
        <v>2.8400000000000003E-5</v>
      </c>
      <c r="AF270">
        <v>2.84</v>
      </c>
      <c r="AG270" s="140">
        <f t="shared" si="68"/>
        <v>2.8399999999999995E-7</v>
      </c>
      <c r="AH270" s="140">
        <f t="shared" si="69"/>
        <v>5.68E-7</v>
      </c>
      <c r="AI270" s="140">
        <f t="shared" si="70"/>
        <v>8.5200000000000006E-7</v>
      </c>
      <c r="AJ270" s="140">
        <f t="shared" si="71"/>
        <v>1.1360000000000002E-6</v>
      </c>
      <c r="AK270" s="140">
        <f t="shared" si="72"/>
        <v>1.4200000000000002E-6</v>
      </c>
      <c r="AL270" s="157">
        <f>IF(AE270&lt;$B$57*DATA!$H$1037,DATA!$H$1037,IF(AE270&gt;DATA!$H$1036*$B$57,DATA!$H$1036,1))</f>
        <v>1.2</v>
      </c>
      <c r="AM270" s="156">
        <f t="shared" si="73"/>
        <v>9.9999999999999995E-8</v>
      </c>
      <c r="AO270" s="140">
        <f t="shared" si="74"/>
        <v>2.8400000000000003E-5</v>
      </c>
      <c r="AP270">
        <v>2.84</v>
      </c>
      <c r="AQ270" s="140">
        <f t="shared" si="75"/>
        <v>2.8399999999999995E-7</v>
      </c>
      <c r="AR270" s="140">
        <f t="shared" si="76"/>
        <v>5.68E-7</v>
      </c>
      <c r="AS270" s="140">
        <f t="shared" si="77"/>
        <v>8.5200000000000006E-7</v>
      </c>
      <c r="AT270" s="140">
        <f t="shared" si="78"/>
        <v>1.1360000000000002E-6</v>
      </c>
      <c r="AU270" s="140">
        <f t="shared" si="79"/>
        <v>1.4200000000000002E-6</v>
      </c>
      <c r="AV270" s="157">
        <f>IF(AO270&lt;$B$73*DATA!$H$1037,DATA!$H$1037,IF(AO270&gt;DATA!$H$1036*$B$73,DATA!$H$1036,1))</f>
        <v>1.2</v>
      </c>
      <c r="AW270" s="156">
        <f t="shared" si="80"/>
        <v>9.9999999999999995E-8</v>
      </c>
      <c r="AY270" s="140">
        <f t="shared" si="81"/>
        <v>2.8400000000000003E-5</v>
      </c>
      <c r="AZ270">
        <v>2.84</v>
      </c>
      <c r="BA270" s="140">
        <f t="shared" si="82"/>
        <v>2.8399999999999995E-7</v>
      </c>
      <c r="BB270" s="140">
        <f t="shared" si="83"/>
        <v>5.68E-7</v>
      </c>
      <c r="BC270" s="140">
        <f t="shared" si="84"/>
        <v>8.5200000000000006E-7</v>
      </c>
      <c r="BD270" s="140">
        <f t="shared" si="85"/>
        <v>1.1360000000000002E-6</v>
      </c>
      <c r="BE270" s="140">
        <f t="shared" si="86"/>
        <v>1.4200000000000002E-6</v>
      </c>
      <c r="BF270" s="157">
        <f>IF(AY270&lt;$B$89*DATA!$H$1037,DATA!$H$1037,IF(AY270&gt;DATA!$H$1036*$B$89,DATA!$H$1036,1))</f>
        <v>1.2</v>
      </c>
      <c r="BG270" s="156">
        <f t="shared" si="87"/>
        <v>9.9999999999999995E-8</v>
      </c>
      <c r="BI270" s="140">
        <f t="shared" si="88"/>
        <v>2.8400000000000003E-5</v>
      </c>
      <c r="BJ270">
        <v>2.84</v>
      </c>
      <c r="BK270" s="140">
        <f t="shared" si="89"/>
        <v>2.8399999999999995E-7</v>
      </c>
      <c r="BL270" s="140">
        <f t="shared" si="90"/>
        <v>5.68E-7</v>
      </c>
      <c r="BM270" s="140">
        <f t="shared" si="91"/>
        <v>8.5200000000000006E-7</v>
      </c>
      <c r="BN270" s="140">
        <f t="shared" si="92"/>
        <v>1.1360000000000002E-6</v>
      </c>
      <c r="BO270" s="140">
        <f t="shared" si="93"/>
        <v>1.4200000000000002E-6</v>
      </c>
      <c r="BP270" s="157">
        <f>IF(BI270&lt;$B$105*DATA!$H$1037,DATA!$H$1037,IF(BI270&gt;DATA!$H$1036*$B$105,DATA!$H$1036,1))</f>
        <v>1.2</v>
      </c>
      <c r="BQ270" s="156">
        <f t="shared" si="94"/>
        <v>9.9999999999999995E-8</v>
      </c>
    </row>
    <row r="271" spans="1:69">
      <c r="A271" s="140">
        <f t="shared" si="50"/>
        <v>2.8600000000000001E-5</v>
      </c>
      <c r="B271">
        <v>2.86</v>
      </c>
      <c r="C271" s="140">
        <f t="shared" si="95"/>
        <v>2.8599999999999989E-7</v>
      </c>
      <c r="D271" s="140">
        <f t="shared" si="95"/>
        <v>5.7199999999999988E-7</v>
      </c>
      <c r="E271" s="140">
        <f t="shared" si="95"/>
        <v>8.5799999999999998E-7</v>
      </c>
      <c r="F271" s="140">
        <f t="shared" si="95"/>
        <v>1.144E-6</v>
      </c>
      <c r="G271" s="140">
        <f t="shared" si="95"/>
        <v>1.4300000000000001E-6</v>
      </c>
      <c r="H271" s="157">
        <f>IF(A271&lt;$B$9*DATA!$H$1037,DATA!$H$1037,IF(A271&gt;DATA!$H$1036*$B$9,DATA!$H$1036,1))</f>
        <v>0.8</v>
      </c>
      <c r="I271" s="156">
        <f t="shared" si="52"/>
        <v>9.9999999999999995E-8</v>
      </c>
      <c r="K271" s="140">
        <f t="shared" si="53"/>
        <v>2.8600000000000001E-5</v>
      </c>
      <c r="L271">
        <v>2.86</v>
      </c>
      <c r="M271" s="140">
        <f t="shared" si="54"/>
        <v>2.8599999999999989E-7</v>
      </c>
      <c r="N271" s="140">
        <f t="shared" si="55"/>
        <v>5.7199999999999988E-7</v>
      </c>
      <c r="O271" s="140">
        <f t="shared" si="56"/>
        <v>8.5799999999999998E-7</v>
      </c>
      <c r="P271" s="140">
        <f t="shared" si="57"/>
        <v>1.144E-6</v>
      </c>
      <c r="Q271" s="140">
        <f t="shared" si="58"/>
        <v>1.4300000000000001E-6</v>
      </c>
      <c r="R271" s="157">
        <f>IF(K271&lt;$B$25*DATA!$H$1037,DATA!$H$1037,IF(K271&gt;DATA!$H$1036*$B$25,DATA!$H$1036,1))</f>
        <v>0.8</v>
      </c>
      <c r="S271" s="156">
        <f t="shared" si="59"/>
        <v>9.9999999999999995E-8</v>
      </c>
      <c r="U271" s="140">
        <f t="shared" si="60"/>
        <v>2.8600000000000001E-5</v>
      </c>
      <c r="V271">
        <v>2.86</v>
      </c>
      <c r="W271" s="140">
        <f t="shared" si="61"/>
        <v>2.8599999999999989E-7</v>
      </c>
      <c r="X271" s="140">
        <f t="shared" si="62"/>
        <v>5.7199999999999988E-7</v>
      </c>
      <c r="Y271" s="140">
        <f t="shared" si="63"/>
        <v>8.5799999999999998E-7</v>
      </c>
      <c r="Z271" s="140">
        <f t="shared" si="64"/>
        <v>1.144E-6</v>
      </c>
      <c r="AA271" s="140">
        <f t="shared" si="65"/>
        <v>1.4300000000000001E-6</v>
      </c>
      <c r="AB271" s="157">
        <f>IF(U271&lt;$B$41*DATA!$H$1037,DATA!$H$1037,IF(U271&gt;DATA!$H$1036*$B$41,DATA!$H$1036,1))</f>
        <v>0.8</v>
      </c>
      <c r="AC271" s="156">
        <f t="shared" si="66"/>
        <v>9.9999999999999995E-8</v>
      </c>
      <c r="AE271" s="140">
        <f t="shared" si="67"/>
        <v>2.8600000000000001E-5</v>
      </c>
      <c r="AF271">
        <v>2.86</v>
      </c>
      <c r="AG271" s="140">
        <f t="shared" si="68"/>
        <v>2.8599999999999989E-7</v>
      </c>
      <c r="AH271" s="140">
        <f t="shared" si="69"/>
        <v>5.7199999999999988E-7</v>
      </c>
      <c r="AI271" s="140">
        <f t="shared" si="70"/>
        <v>8.5799999999999998E-7</v>
      </c>
      <c r="AJ271" s="140">
        <f t="shared" si="71"/>
        <v>1.144E-6</v>
      </c>
      <c r="AK271" s="140">
        <f t="shared" si="72"/>
        <v>1.4300000000000001E-6</v>
      </c>
      <c r="AL271" s="157">
        <f>IF(AE271&lt;$B$57*DATA!$H$1037,DATA!$H$1037,IF(AE271&gt;DATA!$H$1036*$B$57,DATA!$H$1036,1))</f>
        <v>1.2</v>
      </c>
      <c r="AM271" s="156">
        <f t="shared" si="73"/>
        <v>9.9999999999999995E-8</v>
      </c>
      <c r="AO271" s="140">
        <f t="shared" si="74"/>
        <v>2.8600000000000001E-5</v>
      </c>
      <c r="AP271">
        <v>2.86</v>
      </c>
      <c r="AQ271" s="140">
        <f t="shared" si="75"/>
        <v>2.8599999999999989E-7</v>
      </c>
      <c r="AR271" s="140">
        <f t="shared" si="76"/>
        <v>5.7199999999999988E-7</v>
      </c>
      <c r="AS271" s="140">
        <f t="shared" si="77"/>
        <v>8.5799999999999998E-7</v>
      </c>
      <c r="AT271" s="140">
        <f t="shared" si="78"/>
        <v>1.144E-6</v>
      </c>
      <c r="AU271" s="140">
        <f t="shared" si="79"/>
        <v>1.4300000000000001E-6</v>
      </c>
      <c r="AV271" s="157">
        <f>IF(AO271&lt;$B$73*DATA!$H$1037,DATA!$H$1037,IF(AO271&gt;DATA!$H$1036*$B$73,DATA!$H$1036,1))</f>
        <v>1.2</v>
      </c>
      <c r="AW271" s="156">
        <f t="shared" si="80"/>
        <v>9.9999999999999995E-8</v>
      </c>
      <c r="AY271" s="140">
        <f t="shared" si="81"/>
        <v>2.8600000000000001E-5</v>
      </c>
      <c r="AZ271">
        <v>2.86</v>
      </c>
      <c r="BA271" s="140">
        <f t="shared" si="82"/>
        <v>2.8599999999999989E-7</v>
      </c>
      <c r="BB271" s="140">
        <f t="shared" si="83"/>
        <v>5.7199999999999988E-7</v>
      </c>
      <c r="BC271" s="140">
        <f t="shared" si="84"/>
        <v>8.5799999999999998E-7</v>
      </c>
      <c r="BD271" s="140">
        <f t="shared" si="85"/>
        <v>1.144E-6</v>
      </c>
      <c r="BE271" s="140">
        <f t="shared" si="86"/>
        <v>1.4300000000000001E-6</v>
      </c>
      <c r="BF271" s="157">
        <f>IF(AY271&lt;$B$89*DATA!$H$1037,DATA!$H$1037,IF(AY271&gt;DATA!$H$1036*$B$89,DATA!$H$1036,1))</f>
        <v>1.2</v>
      </c>
      <c r="BG271" s="156">
        <f t="shared" si="87"/>
        <v>9.9999999999999995E-8</v>
      </c>
      <c r="BI271" s="140">
        <f t="shared" si="88"/>
        <v>2.8600000000000001E-5</v>
      </c>
      <c r="BJ271">
        <v>2.86</v>
      </c>
      <c r="BK271" s="140">
        <f t="shared" si="89"/>
        <v>2.8599999999999989E-7</v>
      </c>
      <c r="BL271" s="140">
        <f t="shared" si="90"/>
        <v>5.7199999999999988E-7</v>
      </c>
      <c r="BM271" s="140">
        <f t="shared" si="91"/>
        <v>8.5799999999999998E-7</v>
      </c>
      <c r="BN271" s="140">
        <f t="shared" si="92"/>
        <v>1.144E-6</v>
      </c>
      <c r="BO271" s="140">
        <f t="shared" si="93"/>
        <v>1.4300000000000001E-6</v>
      </c>
      <c r="BP271" s="157">
        <f>IF(BI271&lt;$B$105*DATA!$H$1037,DATA!$H$1037,IF(BI271&gt;DATA!$H$1036*$B$105,DATA!$H$1036,1))</f>
        <v>1.2</v>
      </c>
      <c r="BQ271" s="156">
        <f t="shared" si="94"/>
        <v>9.9999999999999995E-8</v>
      </c>
    </row>
    <row r="272" spans="1:69">
      <c r="A272" s="140">
        <f t="shared" ref="A272:A318" si="96">B272*B$136</f>
        <v>2.8800000000000002E-5</v>
      </c>
      <c r="B272">
        <v>2.88</v>
      </c>
      <c r="C272" s="140">
        <f t="shared" ref="C272:G318" si="97">C$142*$A272</f>
        <v>2.8799999999999993E-7</v>
      </c>
      <c r="D272" s="140">
        <f t="shared" si="97"/>
        <v>5.7599999999999997E-7</v>
      </c>
      <c r="E272" s="140">
        <f t="shared" si="97"/>
        <v>8.6400000000000001E-7</v>
      </c>
      <c r="F272" s="140">
        <f t="shared" si="97"/>
        <v>1.1520000000000002E-6</v>
      </c>
      <c r="G272" s="140">
        <f t="shared" si="97"/>
        <v>1.4400000000000002E-6</v>
      </c>
      <c r="H272" s="157">
        <f>IF(A272&lt;$B$9*DATA!$H$1037,DATA!$H$1037,IF(A272&gt;DATA!$H$1036*$B$9,DATA!$H$1036,1))</f>
        <v>0.8</v>
      </c>
      <c r="I272" s="156">
        <f t="shared" ref="I272:I318" si="98">IF(OR(B$134=0,B$133=0),0.0000001,IF(H272=1,B$134,A272*((B$134*B$138)/(H272*B$133)+0.023*LOG10(H272*B$133/A272))/B$138))</f>
        <v>9.9999999999999995E-8</v>
      </c>
      <c r="K272" s="140">
        <f t="shared" ref="K272:K318" si="99">L272*L$136</f>
        <v>2.8800000000000002E-5</v>
      </c>
      <c r="L272">
        <v>2.88</v>
      </c>
      <c r="M272" s="140">
        <f t="shared" ref="M272:M318" si="100">M$142*K272</f>
        <v>2.8799999999999993E-7</v>
      </c>
      <c r="N272" s="140">
        <f t="shared" ref="N272:N318" si="101">N$142*K272</f>
        <v>5.7599999999999997E-7</v>
      </c>
      <c r="O272" s="140">
        <f t="shared" ref="O272:O318" si="102">O$142*K272</f>
        <v>8.6400000000000001E-7</v>
      </c>
      <c r="P272" s="140">
        <f t="shared" ref="P272:P318" si="103">P$142*$K272</f>
        <v>1.1520000000000002E-6</v>
      </c>
      <c r="Q272" s="140">
        <f t="shared" ref="Q272:Q318" si="104">Q$142*K272</f>
        <v>1.4400000000000002E-6</v>
      </c>
      <c r="R272" s="157">
        <f>IF(K272&lt;$B$25*DATA!$H$1037,DATA!$H$1037,IF(K272&gt;DATA!$H$1036*$B$25,DATA!$H$1036,1))</f>
        <v>0.8</v>
      </c>
      <c r="S272" s="156">
        <f t="shared" ref="S272:S318" si="105">IF(OR(L$134=0,L$133=0),0.0000001,IF(R272=1,L$134,K272*((L$134*L$138)/(R272*L$133)+0.023*LOG10(R272*L$133/K272))/L$138))</f>
        <v>9.9999999999999995E-8</v>
      </c>
      <c r="U272" s="140">
        <f t="shared" ref="U272:U318" si="106">V272*V$136</f>
        <v>2.8800000000000002E-5</v>
      </c>
      <c r="V272">
        <v>2.88</v>
      </c>
      <c r="W272" s="140">
        <f t="shared" ref="W272:W318" si="107">W$142*U272</f>
        <v>2.8799999999999993E-7</v>
      </c>
      <c r="X272" s="140">
        <f t="shared" ref="X272:X318" si="108">X$142*U272</f>
        <v>5.7599999999999997E-7</v>
      </c>
      <c r="Y272" s="140">
        <f t="shared" ref="Y272:Y318" si="109">Y$142*U272</f>
        <v>8.6400000000000001E-7</v>
      </c>
      <c r="Z272" s="140">
        <f t="shared" ref="Z272:Z318" si="110">Z$142*U272</f>
        <v>1.1520000000000002E-6</v>
      </c>
      <c r="AA272" s="140">
        <f t="shared" ref="AA272:AA318" si="111">AA$142*U272</f>
        <v>1.4400000000000002E-6</v>
      </c>
      <c r="AB272" s="157">
        <f>IF(U272&lt;$B$41*DATA!$H$1037,DATA!$H$1037,IF(U272&gt;DATA!$H$1036*$B$41,DATA!$H$1036,1))</f>
        <v>0.8</v>
      </c>
      <c r="AC272" s="156">
        <f t="shared" ref="AC272:AC318" si="112">IF(OR(V$134=0,V$133=0),0.0000001,IF(AB272=1,V$134,U272*((V$134*V$138)/(AB272*V$133)+0.023*LOG10(AB272*V$133/U272))/V$138))</f>
        <v>9.9999999999999995E-8</v>
      </c>
      <c r="AE272" s="140">
        <f t="shared" ref="AE272:AE318" si="113">AF272*AF$136</f>
        <v>2.8800000000000002E-5</v>
      </c>
      <c r="AF272">
        <v>2.88</v>
      </c>
      <c r="AG272" s="140">
        <f t="shared" ref="AG272:AG318" si="114">AG$142*AE272</f>
        <v>2.8799999999999993E-7</v>
      </c>
      <c r="AH272" s="140">
        <f t="shared" ref="AH272:AH318" si="115">AH$142*AE272</f>
        <v>5.7599999999999997E-7</v>
      </c>
      <c r="AI272" s="140">
        <f t="shared" ref="AI272:AI318" si="116">AI$142*AE272</f>
        <v>8.6400000000000001E-7</v>
      </c>
      <c r="AJ272" s="140">
        <f t="shared" ref="AJ272:AJ318" si="117">AJ$142*AE272</f>
        <v>1.1520000000000002E-6</v>
      </c>
      <c r="AK272" s="140">
        <f t="shared" ref="AK272:AK318" si="118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ref="AM272:AM318" si="119">IF(OR(AF$134=0,AF$133=0),0.0000001,IF(AL272=1,AF$134,AE272*((AF$134*AF$138)/(AL272*AF$133)+0.023*LOG10(AL272*AF$133/AE272))/AF$138))</f>
        <v>9.9999999999999995E-8</v>
      </c>
      <c r="AO272" s="140">
        <f t="shared" ref="AO272:AO318" si="120">AP272*AP$136</f>
        <v>2.8800000000000002E-5</v>
      </c>
      <c r="AP272">
        <v>2.88</v>
      </c>
      <c r="AQ272" s="140">
        <f t="shared" ref="AQ272:AQ318" si="121">AQ$142*AO272</f>
        <v>2.8799999999999993E-7</v>
      </c>
      <c r="AR272" s="140">
        <f t="shared" ref="AR272:AR318" si="122">AR$142*AO272</f>
        <v>5.7599999999999997E-7</v>
      </c>
      <c r="AS272" s="140">
        <f t="shared" ref="AS272:AS318" si="123">AS$142*AO272</f>
        <v>8.6400000000000001E-7</v>
      </c>
      <c r="AT272" s="140">
        <f t="shared" ref="AT272:AT318" si="124">AT$142*AO272</f>
        <v>1.1520000000000002E-6</v>
      </c>
      <c r="AU272" s="140">
        <f t="shared" ref="AU272:AU318" si="125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26">IF(OR(AP$134=0,AP$133=0),0.0000001,IF(AV272=1,AP$134,AO272*((AP$134*AP$138)/(AV272*AP$133)+0.023*LOG10(AV272*AP$133/AO272))/AP$138))</f>
        <v>9.9999999999999995E-8</v>
      </c>
      <c r="AY272" s="140">
        <f t="shared" ref="AY272:AY318" si="127">AZ272*AZ$136</f>
        <v>2.8800000000000002E-5</v>
      </c>
      <c r="AZ272">
        <v>2.88</v>
      </c>
      <c r="BA272" s="140">
        <f t="shared" ref="BA272:BA318" si="128">BA$142*AY272</f>
        <v>2.8799999999999993E-7</v>
      </c>
      <c r="BB272" s="140">
        <f t="shared" ref="BB272:BB318" si="129">BB$142*AY272</f>
        <v>5.7599999999999997E-7</v>
      </c>
      <c r="BC272" s="140">
        <f t="shared" ref="BC272:BC318" si="130">BC$142*AY272</f>
        <v>8.6400000000000001E-7</v>
      </c>
      <c r="BD272" s="140">
        <f t="shared" ref="BD272:BD318" si="131">BD$142*AY272</f>
        <v>1.1520000000000002E-6</v>
      </c>
      <c r="BE272" s="140">
        <f t="shared" ref="BE272:BE318" si="132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33">IF(OR(AZ$134=0,AZ$133=0),0.0000001,IF(BF272=1,AZ$134,AY272*((AZ$134*AZ$138)/(BF272*AZ$133)+0.023*LOG10(BF272*AZ$133/AY272))/AZ$138))</f>
        <v>9.9999999999999995E-8</v>
      </c>
      <c r="BI272" s="140">
        <f t="shared" ref="BI272:BI318" si="134">BJ272*BJ$136</f>
        <v>2.8800000000000002E-5</v>
      </c>
      <c r="BJ272">
        <v>2.88</v>
      </c>
      <c r="BK272" s="140">
        <f t="shared" ref="BK272:BK318" si="135">BK$142*BI272</f>
        <v>2.8799999999999993E-7</v>
      </c>
      <c r="BL272" s="140">
        <f t="shared" ref="BL272:BL318" si="136">BL$142*BI272</f>
        <v>5.7599999999999997E-7</v>
      </c>
      <c r="BM272" s="140">
        <f t="shared" ref="BM272:BM318" si="137">BM$142*BI272</f>
        <v>8.6400000000000001E-7</v>
      </c>
      <c r="BN272" s="140">
        <f t="shared" ref="BN272:BN318" si="138">BN$142*$BI272</f>
        <v>1.1520000000000002E-6</v>
      </c>
      <c r="BO272" s="140">
        <f t="shared" ref="BO272:BO318" si="139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40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96"/>
        <v>2.9E-5</v>
      </c>
      <c r="B273">
        <v>2.9</v>
      </c>
      <c r="C273" s="140">
        <f t="shared" si="97"/>
        <v>2.8999999999999992E-7</v>
      </c>
      <c r="D273" s="140">
        <f t="shared" si="97"/>
        <v>5.7999999999999995E-7</v>
      </c>
      <c r="E273" s="140">
        <f t="shared" si="97"/>
        <v>8.6999999999999993E-7</v>
      </c>
      <c r="F273" s="140">
        <f t="shared" si="97"/>
        <v>1.1600000000000001E-6</v>
      </c>
      <c r="G273" s="140">
        <f t="shared" si="97"/>
        <v>1.4500000000000001E-6</v>
      </c>
      <c r="H273" s="157">
        <f>IF(A273&lt;$B$9*DATA!$H$1037,DATA!$H$1037,IF(A273&gt;DATA!$H$1036*$B$9,DATA!$H$1036,1))</f>
        <v>0.8</v>
      </c>
      <c r="I273" s="156">
        <f t="shared" si="98"/>
        <v>9.9999999999999995E-8</v>
      </c>
      <c r="K273" s="140">
        <f t="shared" si="99"/>
        <v>2.9E-5</v>
      </c>
      <c r="L273">
        <v>2.9</v>
      </c>
      <c r="M273" s="140">
        <f t="shared" si="100"/>
        <v>2.8999999999999992E-7</v>
      </c>
      <c r="N273" s="140">
        <f t="shared" si="101"/>
        <v>5.7999999999999995E-7</v>
      </c>
      <c r="O273" s="140">
        <f t="shared" si="102"/>
        <v>8.6999999999999993E-7</v>
      </c>
      <c r="P273" s="140">
        <f t="shared" si="103"/>
        <v>1.1600000000000001E-6</v>
      </c>
      <c r="Q273" s="140">
        <f t="shared" si="104"/>
        <v>1.4500000000000001E-6</v>
      </c>
      <c r="R273" s="157">
        <f>IF(K273&lt;$B$25*DATA!$H$1037,DATA!$H$1037,IF(K273&gt;DATA!$H$1036*$B$25,DATA!$H$1036,1))</f>
        <v>0.8</v>
      </c>
      <c r="S273" s="156">
        <f t="shared" si="105"/>
        <v>9.9999999999999995E-8</v>
      </c>
      <c r="U273" s="140">
        <f t="shared" si="106"/>
        <v>2.9E-5</v>
      </c>
      <c r="V273">
        <v>2.9</v>
      </c>
      <c r="W273" s="140">
        <f t="shared" si="107"/>
        <v>2.8999999999999992E-7</v>
      </c>
      <c r="X273" s="140">
        <f t="shared" si="108"/>
        <v>5.7999999999999995E-7</v>
      </c>
      <c r="Y273" s="140">
        <f t="shared" si="109"/>
        <v>8.6999999999999993E-7</v>
      </c>
      <c r="Z273" s="140">
        <f t="shared" si="110"/>
        <v>1.1600000000000001E-6</v>
      </c>
      <c r="AA273" s="140">
        <f t="shared" si="111"/>
        <v>1.4500000000000001E-6</v>
      </c>
      <c r="AB273" s="157">
        <f>IF(U273&lt;$B$41*DATA!$H$1037,DATA!$H$1037,IF(U273&gt;DATA!$H$1036*$B$41,DATA!$H$1036,1))</f>
        <v>0.8</v>
      </c>
      <c r="AC273" s="156">
        <f t="shared" si="112"/>
        <v>9.9999999999999995E-8</v>
      </c>
      <c r="AE273" s="140">
        <f t="shared" si="113"/>
        <v>2.9E-5</v>
      </c>
      <c r="AF273">
        <v>2.9</v>
      </c>
      <c r="AG273" s="140">
        <f t="shared" si="114"/>
        <v>2.8999999999999992E-7</v>
      </c>
      <c r="AH273" s="140">
        <f t="shared" si="115"/>
        <v>5.7999999999999995E-7</v>
      </c>
      <c r="AI273" s="140">
        <f t="shared" si="116"/>
        <v>8.6999999999999993E-7</v>
      </c>
      <c r="AJ273" s="140">
        <f t="shared" si="117"/>
        <v>1.1600000000000001E-6</v>
      </c>
      <c r="AK273" s="140">
        <f t="shared" si="118"/>
        <v>1.4500000000000001E-6</v>
      </c>
      <c r="AL273" s="157">
        <f>IF(AE273&lt;$B$57*DATA!$H$1037,DATA!$H$1037,IF(AE273&gt;DATA!$H$1036*$B$57,DATA!$H$1036,1))</f>
        <v>1.2</v>
      </c>
      <c r="AM273" s="156">
        <f t="shared" si="119"/>
        <v>9.9999999999999995E-8</v>
      </c>
      <c r="AO273" s="140">
        <f t="shared" si="120"/>
        <v>2.9E-5</v>
      </c>
      <c r="AP273">
        <v>2.9</v>
      </c>
      <c r="AQ273" s="140">
        <f t="shared" si="121"/>
        <v>2.8999999999999992E-7</v>
      </c>
      <c r="AR273" s="140">
        <f t="shared" si="122"/>
        <v>5.7999999999999995E-7</v>
      </c>
      <c r="AS273" s="140">
        <f t="shared" si="123"/>
        <v>8.6999999999999993E-7</v>
      </c>
      <c r="AT273" s="140">
        <f t="shared" si="124"/>
        <v>1.1600000000000001E-6</v>
      </c>
      <c r="AU273" s="140">
        <f t="shared" si="125"/>
        <v>1.4500000000000001E-6</v>
      </c>
      <c r="AV273" s="157">
        <f>IF(AO273&lt;$B$73*DATA!$H$1037,DATA!$H$1037,IF(AO273&gt;DATA!$H$1036*$B$73,DATA!$H$1036,1))</f>
        <v>1.2</v>
      </c>
      <c r="AW273" s="156">
        <f t="shared" si="126"/>
        <v>9.9999999999999995E-8</v>
      </c>
      <c r="AY273" s="140">
        <f t="shared" si="127"/>
        <v>2.9E-5</v>
      </c>
      <c r="AZ273">
        <v>2.9</v>
      </c>
      <c r="BA273" s="140">
        <f t="shared" si="128"/>
        <v>2.8999999999999992E-7</v>
      </c>
      <c r="BB273" s="140">
        <f t="shared" si="129"/>
        <v>5.7999999999999995E-7</v>
      </c>
      <c r="BC273" s="140">
        <f t="shared" si="130"/>
        <v>8.6999999999999993E-7</v>
      </c>
      <c r="BD273" s="140">
        <f t="shared" si="131"/>
        <v>1.1600000000000001E-6</v>
      </c>
      <c r="BE273" s="140">
        <f t="shared" si="132"/>
        <v>1.4500000000000001E-6</v>
      </c>
      <c r="BF273" s="157">
        <f>IF(AY273&lt;$B$89*DATA!$H$1037,DATA!$H$1037,IF(AY273&gt;DATA!$H$1036*$B$89,DATA!$H$1036,1))</f>
        <v>1.2</v>
      </c>
      <c r="BG273" s="156">
        <f t="shared" si="133"/>
        <v>9.9999999999999995E-8</v>
      </c>
      <c r="BI273" s="140">
        <f t="shared" si="134"/>
        <v>2.9E-5</v>
      </c>
      <c r="BJ273">
        <v>2.9</v>
      </c>
      <c r="BK273" s="140">
        <f t="shared" si="135"/>
        <v>2.8999999999999992E-7</v>
      </c>
      <c r="BL273" s="140">
        <f t="shared" si="136"/>
        <v>5.7999999999999995E-7</v>
      </c>
      <c r="BM273" s="140">
        <f t="shared" si="137"/>
        <v>8.6999999999999993E-7</v>
      </c>
      <c r="BN273" s="140">
        <f t="shared" si="138"/>
        <v>1.1600000000000001E-6</v>
      </c>
      <c r="BO273" s="140">
        <f t="shared" si="139"/>
        <v>1.4500000000000001E-6</v>
      </c>
      <c r="BP273" s="157">
        <f>IF(BI273&lt;$B$105*DATA!$H$1037,DATA!$H$1037,IF(BI273&gt;DATA!$H$1036*$B$105,DATA!$H$1036,1))</f>
        <v>1.2</v>
      </c>
      <c r="BQ273" s="156">
        <f t="shared" si="140"/>
        <v>9.9999999999999995E-8</v>
      </c>
    </row>
    <row r="274" spans="1:69">
      <c r="A274" s="140">
        <f t="shared" si="96"/>
        <v>2.9200000000000002E-5</v>
      </c>
      <c r="B274">
        <v>2.92</v>
      </c>
      <c r="C274" s="140">
        <f t="shared" si="97"/>
        <v>2.9199999999999991E-7</v>
      </c>
      <c r="D274" s="140">
        <f t="shared" si="97"/>
        <v>5.8399999999999994E-7</v>
      </c>
      <c r="E274" s="140">
        <f t="shared" si="97"/>
        <v>8.7600000000000006E-7</v>
      </c>
      <c r="F274" s="140">
        <f t="shared" si="97"/>
        <v>1.1680000000000001E-6</v>
      </c>
      <c r="G274" s="140">
        <f t="shared" si="97"/>
        <v>1.4600000000000002E-6</v>
      </c>
      <c r="H274" s="157">
        <f>IF(A274&lt;$B$9*DATA!$H$1037,DATA!$H$1037,IF(A274&gt;DATA!$H$1036*$B$9,DATA!$H$1036,1))</f>
        <v>0.8</v>
      </c>
      <c r="I274" s="156">
        <f t="shared" si="98"/>
        <v>9.9999999999999995E-8</v>
      </c>
      <c r="K274" s="140">
        <f t="shared" si="99"/>
        <v>2.9200000000000002E-5</v>
      </c>
      <c r="L274">
        <v>2.92</v>
      </c>
      <c r="M274" s="140">
        <f t="shared" si="100"/>
        <v>2.9199999999999991E-7</v>
      </c>
      <c r="N274" s="140">
        <f t="shared" si="101"/>
        <v>5.8399999999999994E-7</v>
      </c>
      <c r="O274" s="140">
        <f t="shared" si="102"/>
        <v>8.7600000000000006E-7</v>
      </c>
      <c r="P274" s="140">
        <f t="shared" si="103"/>
        <v>1.1680000000000001E-6</v>
      </c>
      <c r="Q274" s="140">
        <f t="shared" si="104"/>
        <v>1.4600000000000002E-6</v>
      </c>
      <c r="R274" s="157">
        <f>IF(K274&lt;$B$25*DATA!$H$1037,DATA!$H$1037,IF(K274&gt;DATA!$H$1036*$B$25,DATA!$H$1036,1))</f>
        <v>0.8</v>
      </c>
      <c r="S274" s="156">
        <f t="shared" si="105"/>
        <v>9.9999999999999995E-8</v>
      </c>
      <c r="U274" s="140">
        <f t="shared" si="106"/>
        <v>2.9200000000000002E-5</v>
      </c>
      <c r="V274">
        <v>2.92</v>
      </c>
      <c r="W274" s="140">
        <f t="shared" si="107"/>
        <v>2.9199999999999991E-7</v>
      </c>
      <c r="X274" s="140">
        <f t="shared" si="108"/>
        <v>5.8399999999999994E-7</v>
      </c>
      <c r="Y274" s="140">
        <f t="shared" si="109"/>
        <v>8.7600000000000006E-7</v>
      </c>
      <c r="Z274" s="140">
        <f t="shared" si="110"/>
        <v>1.1680000000000001E-6</v>
      </c>
      <c r="AA274" s="140">
        <f t="shared" si="111"/>
        <v>1.4600000000000002E-6</v>
      </c>
      <c r="AB274" s="157">
        <f>IF(U274&lt;$B$41*DATA!$H$1037,DATA!$H$1037,IF(U274&gt;DATA!$H$1036*$B$41,DATA!$H$1036,1))</f>
        <v>0.8</v>
      </c>
      <c r="AC274" s="156">
        <f t="shared" si="112"/>
        <v>9.9999999999999995E-8</v>
      </c>
      <c r="AE274" s="140">
        <f t="shared" si="113"/>
        <v>2.9200000000000002E-5</v>
      </c>
      <c r="AF274">
        <v>2.92</v>
      </c>
      <c r="AG274" s="140">
        <f t="shared" si="114"/>
        <v>2.9199999999999991E-7</v>
      </c>
      <c r="AH274" s="140">
        <f t="shared" si="115"/>
        <v>5.8399999999999994E-7</v>
      </c>
      <c r="AI274" s="140">
        <f t="shared" si="116"/>
        <v>8.7600000000000006E-7</v>
      </c>
      <c r="AJ274" s="140">
        <f t="shared" si="117"/>
        <v>1.1680000000000001E-6</v>
      </c>
      <c r="AK274" s="140">
        <f t="shared" si="118"/>
        <v>1.4600000000000002E-6</v>
      </c>
      <c r="AL274" s="157">
        <f>IF(AE274&lt;$B$57*DATA!$H$1037,DATA!$H$1037,IF(AE274&gt;DATA!$H$1036*$B$57,DATA!$H$1036,1))</f>
        <v>1.2</v>
      </c>
      <c r="AM274" s="156">
        <f t="shared" si="119"/>
        <v>9.9999999999999995E-8</v>
      </c>
      <c r="AO274" s="140">
        <f t="shared" si="120"/>
        <v>2.9200000000000002E-5</v>
      </c>
      <c r="AP274">
        <v>2.92</v>
      </c>
      <c r="AQ274" s="140">
        <f t="shared" si="121"/>
        <v>2.9199999999999991E-7</v>
      </c>
      <c r="AR274" s="140">
        <f t="shared" si="122"/>
        <v>5.8399999999999994E-7</v>
      </c>
      <c r="AS274" s="140">
        <f t="shared" si="123"/>
        <v>8.7600000000000006E-7</v>
      </c>
      <c r="AT274" s="140">
        <f t="shared" si="124"/>
        <v>1.1680000000000001E-6</v>
      </c>
      <c r="AU274" s="140">
        <f t="shared" si="125"/>
        <v>1.4600000000000002E-6</v>
      </c>
      <c r="AV274" s="157">
        <f>IF(AO274&lt;$B$73*DATA!$H$1037,DATA!$H$1037,IF(AO274&gt;DATA!$H$1036*$B$73,DATA!$H$1036,1))</f>
        <v>1.2</v>
      </c>
      <c r="AW274" s="156">
        <f t="shared" si="126"/>
        <v>9.9999999999999995E-8</v>
      </c>
      <c r="AY274" s="140">
        <f t="shared" si="127"/>
        <v>2.9200000000000002E-5</v>
      </c>
      <c r="AZ274">
        <v>2.92</v>
      </c>
      <c r="BA274" s="140">
        <f t="shared" si="128"/>
        <v>2.9199999999999991E-7</v>
      </c>
      <c r="BB274" s="140">
        <f t="shared" si="129"/>
        <v>5.8399999999999994E-7</v>
      </c>
      <c r="BC274" s="140">
        <f t="shared" si="130"/>
        <v>8.7600000000000006E-7</v>
      </c>
      <c r="BD274" s="140">
        <f t="shared" si="131"/>
        <v>1.1680000000000001E-6</v>
      </c>
      <c r="BE274" s="140">
        <f t="shared" si="132"/>
        <v>1.4600000000000002E-6</v>
      </c>
      <c r="BF274" s="157">
        <f>IF(AY274&lt;$B$89*DATA!$H$1037,DATA!$H$1037,IF(AY274&gt;DATA!$H$1036*$B$89,DATA!$H$1036,1))</f>
        <v>1.2</v>
      </c>
      <c r="BG274" s="156">
        <f t="shared" si="133"/>
        <v>9.9999999999999995E-8</v>
      </c>
      <c r="BI274" s="140">
        <f t="shared" si="134"/>
        <v>2.9200000000000002E-5</v>
      </c>
      <c r="BJ274">
        <v>2.92</v>
      </c>
      <c r="BK274" s="140">
        <f t="shared" si="135"/>
        <v>2.9199999999999991E-7</v>
      </c>
      <c r="BL274" s="140">
        <f t="shared" si="136"/>
        <v>5.8399999999999994E-7</v>
      </c>
      <c r="BM274" s="140">
        <f t="shared" si="137"/>
        <v>8.7600000000000006E-7</v>
      </c>
      <c r="BN274" s="140">
        <f t="shared" si="138"/>
        <v>1.1680000000000001E-6</v>
      </c>
      <c r="BO274" s="140">
        <f t="shared" si="139"/>
        <v>1.4600000000000002E-6</v>
      </c>
      <c r="BP274" s="157">
        <f>IF(BI274&lt;$B$105*DATA!$H$1037,DATA!$H$1037,IF(BI274&gt;DATA!$H$1036*$B$105,DATA!$H$1036,1))</f>
        <v>1.2</v>
      </c>
      <c r="BQ274" s="156">
        <f t="shared" si="140"/>
        <v>9.9999999999999995E-8</v>
      </c>
    </row>
    <row r="275" spans="1:69">
      <c r="A275" s="140">
        <f t="shared" si="96"/>
        <v>2.9400000000000003E-5</v>
      </c>
      <c r="B275">
        <v>2.94</v>
      </c>
      <c r="C275" s="140">
        <f t="shared" si="97"/>
        <v>2.9399999999999996E-7</v>
      </c>
      <c r="D275" s="140">
        <f t="shared" si="97"/>
        <v>5.8800000000000002E-7</v>
      </c>
      <c r="E275" s="140">
        <f t="shared" si="97"/>
        <v>8.8200000000000009E-7</v>
      </c>
      <c r="F275" s="140">
        <f t="shared" si="97"/>
        <v>1.176E-6</v>
      </c>
      <c r="G275" s="140">
        <f t="shared" si="97"/>
        <v>1.4700000000000003E-6</v>
      </c>
      <c r="H275" s="157">
        <f>IF(A275&lt;$B$9*DATA!$H$1037,DATA!$H$1037,IF(A275&gt;DATA!$H$1036*$B$9,DATA!$H$1036,1))</f>
        <v>0.8</v>
      </c>
      <c r="I275" s="156">
        <f t="shared" si="98"/>
        <v>9.9999999999999995E-8</v>
      </c>
      <c r="K275" s="140">
        <f t="shared" si="99"/>
        <v>2.9400000000000003E-5</v>
      </c>
      <c r="L275">
        <v>2.94</v>
      </c>
      <c r="M275" s="140">
        <f t="shared" si="100"/>
        <v>2.9399999999999996E-7</v>
      </c>
      <c r="N275" s="140">
        <f t="shared" si="101"/>
        <v>5.8800000000000002E-7</v>
      </c>
      <c r="O275" s="140">
        <f t="shared" si="102"/>
        <v>8.8200000000000009E-7</v>
      </c>
      <c r="P275" s="140">
        <f t="shared" si="103"/>
        <v>1.176E-6</v>
      </c>
      <c r="Q275" s="140">
        <f t="shared" si="104"/>
        <v>1.4700000000000003E-6</v>
      </c>
      <c r="R275" s="157">
        <f>IF(K275&lt;$B$25*DATA!$H$1037,DATA!$H$1037,IF(K275&gt;DATA!$H$1036*$B$25,DATA!$H$1036,1))</f>
        <v>0.8</v>
      </c>
      <c r="S275" s="156">
        <f t="shared" si="105"/>
        <v>9.9999999999999995E-8</v>
      </c>
      <c r="U275" s="140">
        <f t="shared" si="106"/>
        <v>2.9400000000000003E-5</v>
      </c>
      <c r="V275">
        <v>2.94</v>
      </c>
      <c r="W275" s="140">
        <f t="shared" si="107"/>
        <v>2.9399999999999996E-7</v>
      </c>
      <c r="X275" s="140">
        <f t="shared" si="108"/>
        <v>5.8800000000000002E-7</v>
      </c>
      <c r="Y275" s="140">
        <f t="shared" si="109"/>
        <v>8.8200000000000009E-7</v>
      </c>
      <c r="Z275" s="140">
        <f t="shared" si="110"/>
        <v>1.176E-6</v>
      </c>
      <c r="AA275" s="140">
        <f t="shared" si="111"/>
        <v>1.4700000000000003E-6</v>
      </c>
      <c r="AB275" s="157">
        <f>IF(U275&lt;$B$41*DATA!$H$1037,DATA!$H$1037,IF(U275&gt;DATA!$H$1036*$B$41,DATA!$H$1036,1))</f>
        <v>0.8</v>
      </c>
      <c r="AC275" s="156">
        <f t="shared" si="112"/>
        <v>9.9999999999999995E-8</v>
      </c>
      <c r="AE275" s="140">
        <f t="shared" si="113"/>
        <v>2.9400000000000003E-5</v>
      </c>
      <c r="AF275">
        <v>2.94</v>
      </c>
      <c r="AG275" s="140">
        <f t="shared" si="114"/>
        <v>2.9399999999999996E-7</v>
      </c>
      <c r="AH275" s="140">
        <f t="shared" si="115"/>
        <v>5.8800000000000002E-7</v>
      </c>
      <c r="AI275" s="140">
        <f t="shared" si="116"/>
        <v>8.8200000000000009E-7</v>
      </c>
      <c r="AJ275" s="140">
        <f t="shared" si="117"/>
        <v>1.176E-6</v>
      </c>
      <c r="AK275" s="140">
        <f t="shared" si="118"/>
        <v>1.4700000000000003E-6</v>
      </c>
      <c r="AL275" s="157">
        <f>IF(AE275&lt;$B$57*DATA!$H$1037,DATA!$H$1037,IF(AE275&gt;DATA!$H$1036*$B$57,DATA!$H$1036,1))</f>
        <v>1.2</v>
      </c>
      <c r="AM275" s="156">
        <f t="shared" si="119"/>
        <v>9.9999999999999995E-8</v>
      </c>
      <c r="AO275" s="140">
        <f t="shared" si="120"/>
        <v>2.9400000000000003E-5</v>
      </c>
      <c r="AP275">
        <v>2.94</v>
      </c>
      <c r="AQ275" s="140">
        <f t="shared" si="121"/>
        <v>2.9399999999999996E-7</v>
      </c>
      <c r="AR275" s="140">
        <f t="shared" si="122"/>
        <v>5.8800000000000002E-7</v>
      </c>
      <c r="AS275" s="140">
        <f t="shared" si="123"/>
        <v>8.8200000000000009E-7</v>
      </c>
      <c r="AT275" s="140">
        <f t="shared" si="124"/>
        <v>1.176E-6</v>
      </c>
      <c r="AU275" s="140">
        <f t="shared" si="125"/>
        <v>1.4700000000000003E-6</v>
      </c>
      <c r="AV275" s="157">
        <f>IF(AO275&lt;$B$73*DATA!$H$1037,DATA!$H$1037,IF(AO275&gt;DATA!$H$1036*$B$73,DATA!$H$1036,1))</f>
        <v>1.2</v>
      </c>
      <c r="AW275" s="156">
        <f t="shared" si="126"/>
        <v>9.9999999999999995E-8</v>
      </c>
      <c r="AY275" s="140">
        <f t="shared" si="127"/>
        <v>2.9400000000000003E-5</v>
      </c>
      <c r="AZ275">
        <v>2.94</v>
      </c>
      <c r="BA275" s="140">
        <f t="shared" si="128"/>
        <v>2.9399999999999996E-7</v>
      </c>
      <c r="BB275" s="140">
        <f t="shared" si="129"/>
        <v>5.8800000000000002E-7</v>
      </c>
      <c r="BC275" s="140">
        <f t="shared" si="130"/>
        <v>8.8200000000000009E-7</v>
      </c>
      <c r="BD275" s="140">
        <f t="shared" si="131"/>
        <v>1.176E-6</v>
      </c>
      <c r="BE275" s="140">
        <f t="shared" si="132"/>
        <v>1.4700000000000003E-6</v>
      </c>
      <c r="BF275" s="157">
        <f>IF(AY275&lt;$B$89*DATA!$H$1037,DATA!$H$1037,IF(AY275&gt;DATA!$H$1036*$B$89,DATA!$H$1036,1))</f>
        <v>1.2</v>
      </c>
      <c r="BG275" s="156">
        <f t="shared" si="133"/>
        <v>9.9999999999999995E-8</v>
      </c>
      <c r="BI275" s="140">
        <f t="shared" si="134"/>
        <v>2.9400000000000003E-5</v>
      </c>
      <c r="BJ275">
        <v>2.94</v>
      </c>
      <c r="BK275" s="140">
        <f t="shared" si="135"/>
        <v>2.9399999999999996E-7</v>
      </c>
      <c r="BL275" s="140">
        <f t="shared" si="136"/>
        <v>5.8800000000000002E-7</v>
      </c>
      <c r="BM275" s="140">
        <f t="shared" si="137"/>
        <v>8.8200000000000009E-7</v>
      </c>
      <c r="BN275" s="140">
        <f t="shared" si="138"/>
        <v>1.176E-6</v>
      </c>
      <c r="BO275" s="140">
        <f t="shared" si="139"/>
        <v>1.4700000000000003E-6</v>
      </c>
      <c r="BP275" s="157">
        <f>IF(BI275&lt;$B$105*DATA!$H$1037,DATA!$H$1037,IF(BI275&gt;DATA!$H$1036*$B$105,DATA!$H$1036,1))</f>
        <v>1.2</v>
      </c>
      <c r="BQ275" s="156">
        <f t="shared" si="140"/>
        <v>9.9999999999999995E-8</v>
      </c>
    </row>
    <row r="276" spans="1:69">
      <c r="A276" s="140">
        <f t="shared" si="96"/>
        <v>2.9600000000000001E-5</v>
      </c>
      <c r="B276">
        <v>2.96</v>
      </c>
      <c r="C276" s="140">
        <f t="shared" si="97"/>
        <v>2.959999999999999E-7</v>
      </c>
      <c r="D276" s="140">
        <f t="shared" si="97"/>
        <v>5.919999999999999E-7</v>
      </c>
      <c r="E276" s="140">
        <f t="shared" si="97"/>
        <v>8.8800000000000001E-7</v>
      </c>
      <c r="F276" s="140">
        <f t="shared" si="97"/>
        <v>1.184E-6</v>
      </c>
      <c r="G276" s="140">
        <f t="shared" si="97"/>
        <v>1.4800000000000002E-6</v>
      </c>
      <c r="H276" s="157">
        <f>IF(A276&lt;$B$9*DATA!$H$1037,DATA!$H$1037,IF(A276&gt;DATA!$H$1036*$B$9,DATA!$H$1036,1))</f>
        <v>0.8</v>
      </c>
      <c r="I276" s="156">
        <f t="shared" si="98"/>
        <v>9.9999999999999995E-8</v>
      </c>
      <c r="K276" s="140">
        <f t="shared" si="99"/>
        <v>2.9600000000000001E-5</v>
      </c>
      <c r="L276">
        <v>2.96</v>
      </c>
      <c r="M276" s="140">
        <f t="shared" si="100"/>
        <v>2.959999999999999E-7</v>
      </c>
      <c r="N276" s="140">
        <f t="shared" si="101"/>
        <v>5.919999999999999E-7</v>
      </c>
      <c r="O276" s="140">
        <f t="shared" si="102"/>
        <v>8.8800000000000001E-7</v>
      </c>
      <c r="P276" s="140">
        <f t="shared" si="103"/>
        <v>1.184E-6</v>
      </c>
      <c r="Q276" s="140">
        <f t="shared" si="104"/>
        <v>1.4800000000000002E-6</v>
      </c>
      <c r="R276" s="157">
        <f>IF(K276&lt;$B$25*DATA!$H$1037,DATA!$H$1037,IF(K276&gt;DATA!$H$1036*$B$25,DATA!$H$1036,1))</f>
        <v>0.8</v>
      </c>
      <c r="S276" s="156">
        <f t="shared" si="105"/>
        <v>9.9999999999999995E-8</v>
      </c>
      <c r="U276" s="140">
        <f t="shared" si="106"/>
        <v>2.9600000000000001E-5</v>
      </c>
      <c r="V276">
        <v>2.96</v>
      </c>
      <c r="W276" s="140">
        <f t="shared" si="107"/>
        <v>2.959999999999999E-7</v>
      </c>
      <c r="X276" s="140">
        <f t="shared" si="108"/>
        <v>5.919999999999999E-7</v>
      </c>
      <c r="Y276" s="140">
        <f t="shared" si="109"/>
        <v>8.8800000000000001E-7</v>
      </c>
      <c r="Z276" s="140">
        <f t="shared" si="110"/>
        <v>1.184E-6</v>
      </c>
      <c r="AA276" s="140">
        <f t="shared" si="111"/>
        <v>1.4800000000000002E-6</v>
      </c>
      <c r="AB276" s="157">
        <f>IF(U276&lt;$B$41*DATA!$H$1037,DATA!$H$1037,IF(U276&gt;DATA!$H$1036*$B$41,DATA!$H$1036,1))</f>
        <v>0.8</v>
      </c>
      <c r="AC276" s="156">
        <f t="shared" si="112"/>
        <v>9.9999999999999995E-8</v>
      </c>
      <c r="AE276" s="140">
        <f t="shared" si="113"/>
        <v>2.9600000000000001E-5</v>
      </c>
      <c r="AF276">
        <v>2.96</v>
      </c>
      <c r="AG276" s="140">
        <f t="shared" si="114"/>
        <v>2.959999999999999E-7</v>
      </c>
      <c r="AH276" s="140">
        <f t="shared" si="115"/>
        <v>5.919999999999999E-7</v>
      </c>
      <c r="AI276" s="140">
        <f t="shared" si="116"/>
        <v>8.8800000000000001E-7</v>
      </c>
      <c r="AJ276" s="140">
        <f t="shared" si="117"/>
        <v>1.184E-6</v>
      </c>
      <c r="AK276" s="140">
        <f t="shared" si="118"/>
        <v>1.4800000000000002E-6</v>
      </c>
      <c r="AL276" s="157">
        <f>IF(AE276&lt;$B$57*DATA!$H$1037,DATA!$H$1037,IF(AE276&gt;DATA!$H$1036*$B$57,DATA!$H$1036,1))</f>
        <v>1.2</v>
      </c>
      <c r="AM276" s="156">
        <f t="shared" si="119"/>
        <v>9.9999999999999995E-8</v>
      </c>
      <c r="AO276" s="140">
        <f t="shared" si="120"/>
        <v>2.9600000000000001E-5</v>
      </c>
      <c r="AP276">
        <v>2.96</v>
      </c>
      <c r="AQ276" s="140">
        <f t="shared" si="121"/>
        <v>2.959999999999999E-7</v>
      </c>
      <c r="AR276" s="140">
        <f t="shared" si="122"/>
        <v>5.919999999999999E-7</v>
      </c>
      <c r="AS276" s="140">
        <f t="shared" si="123"/>
        <v>8.8800000000000001E-7</v>
      </c>
      <c r="AT276" s="140">
        <f t="shared" si="124"/>
        <v>1.184E-6</v>
      </c>
      <c r="AU276" s="140">
        <f t="shared" si="125"/>
        <v>1.4800000000000002E-6</v>
      </c>
      <c r="AV276" s="157">
        <f>IF(AO276&lt;$B$73*DATA!$H$1037,DATA!$H$1037,IF(AO276&gt;DATA!$H$1036*$B$73,DATA!$H$1036,1))</f>
        <v>1.2</v>
      </c>
      <c r="AW276" s="156">
        <f t="shared" si="126"/>
        <v>9.9999999999999995E-8</v>
      </c>
      <c r="AY276" s="140">
        <f t="shared" si="127"/>
        <v>2.9600000000000001E-5</v>
      </c>
      <c r="AZ276">
        <v>2.96</v>
      </c>
      <c r="BA276" s="140">
        <f t="shared" si="128"/>
        <v>2.959999999999999E-7</v>
      </c>
      <c r="BB276" s="140">
        <f t="shared" si="129"/>
        <v>5.919999999999999E-7</v>
      </c>
      <c r="BC276" s="140">
        <f t="shared" si="130"/>
        <v>8.8800000000000001E-7</v>
      </c>
      <c r="BD276" s="140">
        <f t="shared" si="131"/>
        <v>1.184E-6</v>
      </c>
      <c r="BE276" s="140">
        <f t="shared" si="132"/>
        <v>1.4800000000000002E-6</v>
      </c>
      <c r="BF276" s="157">
        <f>IF(AY276&lt;$B$89*DATA!$H$1037,DATA!$H$1037,IF(AY276&gt;DATA!$H$1036*$B$89,DATA!$H$1036,1))</f>
        <v>1.2</v>
      </c>
      <c r="BG276" s="156">
        <f t="shared" si="133"/>
        <v>9.9999999999999995E-8</v>
      </c>
      <c r="BI276" s="140">
        <f t="shared" si="134"/>
        <v>2.9600000000000001E-5</v>
      </c>
      <c r="BJ276">
        <v>2.96</v>
      </c>
      <c r="BK276" s="140">
        <f t="shared" si="135"/>
        <v>2.959999999999999E-7</v>
      </c>
      <c r="BL276" s="140">
        <f t="shared" si="136"/>
        <v>5.919999999999999E-7</v>
      </c>
      <c r="BM276" s="140">
        <f t="shared" si="137"/>
        <v>8.8800000000000001E-7</v>
      </c>
      <c r="BN276" s="140">
        <f t="shared" si="138"/>
        <v>1.184E-6</v>
      </c>
      <c r="BO276" s="140">
        <f t="shared" si="139"/>
        <v>1.4800000000000002E-6</v>
      </c>
      <c r="BP276" s="157">
        <f>IF(BI276&lt;$B$105*DATA!$H$1037,DATA!$H$1037,IF(BI276&gt;DATA!$H$1036*$B$105,DATA!$H$1036,1))</f>
        <v>1.2</v>
      </c>
      <c r="BQ276" s="156">
        <f t="shared" si="140"/>
        <v>9.9999999999999995E-8</v>
      </c>
    </row>
    <row r="277" spans="1:69">
      <c r="A277" s="140">
        <f t="shared" si="96"/>
        <v>2.9800000000000003E-5</v>
      </c>
      <c r="B277">
        <v>2.98</v>
      </c>
      <c r="C277" s="140">
        <f t="shared" si="97"/>
        <v>2.9799999999999994E-7</v>
      </c>
      <c r="D277" s="140">
        <f t="shared" si="97"/>
        <v>5.9599999999999999E-7</v>
      </c>
      <c r="E277" s="140">
        <f t="shared" si="97"/>
        <v>8.9400000000000004E-7</v>
      </c>
      <c r="F277" s="140">
        <f t="shared" si="97"/>
        <v>1.1920000000000002E-6</v>
      </c>
      <c r="G277" s="140">
        <f t="shared" si="97"/>
        <v>1.4900000000000001E-6</v>
      </c>
      <c r="H277" s="157">
        <f>IF(A277&lt;$B$9*DATA!$H$1037,DATA!$H$1037,IF(A277&gt;DATA!$H$1036*$B$9,DATA!$H$1036,1))</f>
        <v>0.8</v>
      </c>
      <c r="I277" s="156">
        <f t="shared" si="98"/>
        <v>9.9999999999999995E-8</v>
      </c>
      <c r="K277" s="140">
        <f t="shared" si="99"/>
        <v>2.9800000000000003E-5</v>
      </c>
      <c r="L277">
        <v>2.98</v>
      </c>
      <c r="M277" s="140">
        <f t="shared" si="100"/>
        <v>2.9799999999999994E-7</v>
      </c>
      <c r="N277" s="140">
        <f t="shared" si="101"/>
        <v>5.9599999999999999E-7</v>
      </c>
      <c r="O277" s="140">
        <f t="shared" si="102"/>
        <v>8.9400000000000004E-7</v>
      </c>
      <c r="P277" s="140">
        <f t="shared" si="103"/>
        <v>1.1920000000000002E-6</v>
      </c>
      <c r="Q277" s="140">
        <f t="shared" si="104"/>
        <v>1.4900000000000001E-6</v>
      </c>
      <c r="R277" s="157">
        <f>IF(K277&lt;$B$25*DATA!$H$1037,DATA!$H$1037,IF(K277&gt;DATA!$H$1036*$B$25,DATA!$H$1036,1))</f>
        <v>0.8</v>
      </c>
      <c r="S277" s="156">
        <f t="shared" si="105"/>
        <v>9.9999999999999995E-8</v>
      </c>
      <c r="U277" s="140">
        <f t="shared" si="106"/>
        <v>2.9800000000000003E-5</v>
      </c>
      <c r="V277">
        <v>2.98</v>
      </c>
      <c r="W277" s="140">
        <f t="shared" si="107"/>
        <v>2.9799999999999994E-7</v>
      </c>
      <c r="X277" s="140">
        <f t="shared" si="108"/>
        <v>5.9599999999999999E-7</v>
      </c>
      <c r="Y277" s="140">
        <f t="shared" si="109"/>
        <v>8.9400000000000004E-7</v>
      </c>
      <c r="Z277" s="140">
        <f t="shared" si="110"/>
        <v>1.1920000000000002E-6</v>
      </c>
      <c r="AA277" s="140">
        <f t="shared" si="111"/>
        <v>1.4900000000000001E-6</v>
      </c>
      <c r="AB277" s="157">
        <f>IF(U277&lt;$B$41*DATA!$H$1037,DATA!$H$1037,IF(U277&gt;DATA!$H$1036*$B$41,DATA!$H$1036,1))</f>
        <v>0.8</v>
      </c>
      <c r="AC277" s="156">
        <f t="shared" si="112"/>
        <v>9.9999999999999995E-8</v>
      </c>
      <c r="AE277" s="140">
        <f t="shared" si="113"/>
        <v>2.9800000000000003E-5</v>
      </c>
      <c r="AF277">
        <v>2.98</v>
      </c>
      <c r="AG277" s="140">
        <f t="shared" si="114"/>
        <v>2.9799999999999994E-7</v>
      </c>
      <c r="AH277" s="140">
        <f t="shared" si="115"/>
        <v>5.9599999999999999E-7</v>
      </c>
      <c r="AI277" s="140">
        <f t="shared" si="116"/>
        <v>8.9400000000000004E-7</v>
      </c>
      <c r="AJ277" s="140">
        <f t="shared" si="117"/>
        <v>1.1920000000000002E-6</v>
      </c>
      <c r="AK277" s="140">
        <f t="shared" si="118"/>
        <v>1.4900000000000001E-6</v>
      </c>
      <c r="AL277" s="157">
        <f>IF(AE277&lt;$B$57*DATA!$H$1037,DATA!$H$1037,IF(AE277&gt;DATA!$H$1036*$B$57,DATA!$H$1036,1))</f>
        <v>1.2</v>
      </c>
      <c r="AM277" s="156">
        <f t="shared" si="119"/>
        <v>9.9999999999999995E-8</v>
      </c>
      <c r="AO277" s="140">
        <f t="shared" si="120"/>
        <v>2.9800000000000003E-5</v>
      </c>
      <c r="AP277">
        <v>2.98</v>
      </c>
      <c r="AQ277" s="140">
        <f t="shared" si="121"/>
        <v>2.9799999999999994E-7</v>
      </c>
      <c r="AR277" s="140">
        <f t="shared" si="122"/>
        <v>5.9599999999999999E-7</v>
      </c>
      <c r="AS277" s="140">
        <f t="shared" si="123"/>
        <v>8.9400000000000004E-7</v>
      </c>
      <c r="AT277" s="140">
        <f t="shared" si="124"/>
        <v>1.1920000000000002E-6</v>
      </c>
      <c r="AU277" s="140">
        <f t="shared" si="125"/>
        <v>1.4900000000000001E-6</v>
      </c>
      <c r="AV277" s="157">
        <f>IF(AO277&lt;$B$73*DATA!$H$1037,DATA!$H$1037,IF(AO277&gt;DATA!$H$1036*$B$73,DATA!$H$1036,1))</f>
        <v>1.2</v>
      </c>
      <c r="AW277" s="156">
        <f t="shared" si="126"/>
        <v>9.9999999999999995E-8</v>
      </c>
      <c r="AY277" s="140">
        <f t="shared" si="127"/>
        <v>2.9800000000000003E-5</v>
      </c>
      <c r="AZ277">
        <v>2.98</v>
      </c>
      <c r="BA277" s="140">
        <f t="shared" si="128"/>
        <v>2.9799999999999994E-7</v>
      </c>
      <c r="BB277" s="140">
        <f t="shared" si="129"/>
        <v>5.9599999999999999E-7</v>
      </c>
      <c r="BC277" s="140">
        <f t="shared" si="130"/>
        <v>8.9400000000000004E-7</v>
      </c>
      <c r="BD277" s="140">
        <f t="shared" si="131"/>
        <v>1.1920000000000002E-6</v>
      </c>
      <c r="BE277" s="140">
        <f t="shared" si="132"/>
        <v>1.4900000000000001E-6</v>
      </c>
      <c r="BF277" s="157">
        <f>IF(AY277&lt;$B$89*DATA!$H$1037,DATA!$H$1037,IF(AY277&gt;DATA!$H$1036*$B$89,DATA!$H$1036,1))</f>
        <v>1.2</v>
      </c>
      <c r="BG277" s="156">
        <f t="shared" si="133"/>
        <v>9.9999999999999995E-8</v>
      </c>
      <c r="BI277" s="140">
        <f t="shared" si="134"/>
        <v>2.9800000000000003E-5</v>
      </c>
      <c r="BJ277">
        <v>2.98</v>
      </c>
      <c r="BK277" s="140">
        <f t="shared" si="135"/>
        <v>2.9799999999999994E-7</v>
      </c>
      <c r="BL277" s="140">
        <f t="shared" si="136"/>
        <v>5.9599999999999999E-7</v>
      </c>
      <c r="BM277" s="140">
        <f t="shared" si="137"/>
        <v>8.9400000000000004E-7</v>
      </c>
      <c r="BN277" s="140">
        <f t="shared" si="138"/>
        <v>1.1920000000000002E-6</v>
      </c>
      <c r="BO277" s="140">
        <f t="shared" si="139"/>
        <v>1.4900000000000001E-6</v>
      </c>
      <c r="BP277" s="157">
        <f>IF(BI277&lt;$B$105*DATA!$H$1037,DATA!$H$1037,IF(BI277&gt;DATA!$H$1036*$B$105,DATA!$H$1036,1))</f>
        <v>1.2</v>
      </c>
      <c r="BQ277" s="156">
        <f t="shared" si="140"/>
        <v>9.9999999999999995E-8</v>
      </c>
    </row>
    <row r="278" spans="1:69">
      <c r="A278" s="140">
        <f t="shared" si="96"/>
        <v>3.0000000000000004E-5</v>
      </c>
      <c r="B278">
        <v>3</v>
      </c>
      <c r="C278" s="140">
        <f t="shared" si="97"/>
        <v>2.9999999999999993E-7</v>
      </c>
      <c r="D278" s="140">
        <f t="shared" si="97"/>
        <v>5.9999999999999997E-7</v>
      </c>
      <c r="E278" s="140">
        <f t="shared" si="97"/>
        <v>9.0000000000000007E-7</v>
      </c>
      <c r="F278" s="140">
        <f t="shared" si="97"/>
        <v>1.2000000000000002E-6</v>
      </c>
      <c r="G278" s="140">
        <f t="shared" si="97"/>
        <v>1.5000000000000002E-6</v>
      </c>
      <c r="H278" s="157">
        <f>IF(A278&lt;$B$9*DATA!$H$1037,DATA!$H$1037,IF(A278&gt;DATA!$H$1036*$B$9,DATA!$H$1036,1))</f>
        <v>0.8</v>
      </c>
      <c r="I278" s="156">
        <f t="shared" si="98"/>
        <v>9.9999999999999995E-8</v>
      </c>
      <c r="K278" s="140">
        <f t="shared" si="99"/>
        <v>3.0000000000000004E-5</v>
      </c>
      <c r="L278">
        <v>3</v>
      </c>
      <c r="M278" s="140">
        <f t="shared" si="100"/>
        <v>2.9999999999999993E-7</v>
      </c>
      <c r="N278" s="140">
        <f t="shared" si="101"/>
        <v>5.9999999999999997E-7</v>
      </c>
      <c r="O278" s="140">
        <f t="shared" si="102"/>
        <v>9.0000000000000007E-7</v>
      </c>
      <c r="P278" s="140">
        <f t="shared" si="103"/>
        <v>1.2000000000000002E-6</v>
      </c>
      <c r="Q278" s="140">
        <f t="shared" si="104"/>
        <v>1.5000000000000002E-6</v>
      </c>
      <c r="R278" s="157">
        <f>IF(K278&lt;$B$25*DATA!$H$1037,DATA!$H$1037,IF(K278&gt;DATA!$H$1036*$B$25,DATA!$H$1036,1))</f>
        <v>0.8</v>
      </c>
      <c r="S278" s="156">
        <f t="shared" si="105"/>
        <v>9.9999999999999995E-8</v>
      </c>
      <c r="U278" s="140">
        <f t="shared" si="106"/>
        <v>3.0000000000000004E-5</v>
      </c>
      <c r="V278">
        <v>3</v>
      </c>
      <c r="W278" s="140">
        <f t="shared" si="107"/>
        <v>2.9999999999999993E-7</v>
      </c>
      <c r="X278" s="140">
        <f t="shared" si="108"/>
        <v>5.9999999999999997E-7</v>
      </c>
      <c r="Y278" s="140">
        <f t="shared" si="109"/>
        <v>9.0000000000000007E-7</v>
      </c>
      <c r="Z278" s="140">
        <f t="shared" si="110"/>
        <v>1.2000000000000002E-6</v>
      </c>
      <c r="AA278" s="140">
        <f t="shared" si="111"/>
        <v>1.5000000000000002E-6</v>
      </c>
      <c r="AB278" s="157">
        <f>IF(U278&lt;$B$41*DATA!$H$1037,DATA!$H$1037,IF(U278&gt;DATA!$H$1036*$B$41,DATA!$H$1036,1))</f>
        <v>0.8</v>
      </c>
      <c r="AC278" s="156">
        <f t="shared" si="112"/>
        <v>9.9999999999999995E-8</v>
      </c>
      <c r="AE278" s="140">
        <f t="shared" si="113"/>
        <v>3.0000000000000004E-5</v>
      </c>
      <c r="AF278">
        <v>3</v>
      </c>
      <c r="AG278" s="140">
        <f t="shared" si="114"/>
        <v>2.9999999999999993E-7</v>
      </c>
      <c r="AH278" s="140">
        <f t="shared" si="115"/>
        <v>5.9999999999999997E-7</v>
      </c>
      <c r="AI278" s="140">
        <f t="shared" si="116"/>
        <v>9.0000000000000007E-7</v>
      </c>
      <c r="AJ278" s="140">
        <f t="shared" si="117"/>
        <v>1.2000000000000002E-6</v>
      </c>
      <c r="AK278" s="140">
        <f t="shared" si="118"/>
        <v>1.5000000000000002E-6</v>
      </c>
      <c r="AL278" s="157">
        <f>IF(AE278&lt;$B$57*DATA!$H$1037,DATA!$H$1037,IF(AE278&gt;DATA!$H$1036*$B$57,DATA!$H$1036,1))</f>
        <v>1.2</v>
      </c>
      <c r="AM278" s="156">
        <f t="shared" si="119"/>
        <v>9.9999999999999995E-8</v>
      </c>
      <c r="AO278" s="140">
        <f t="shared" si="120"/>
        <v>3.0000000000000004E-5</v>
      </c>
      <c r="AP278">
        <v>3</v>
      </c>
      <c r="AQ278" s="140">
        <f t="shared" si="121"/>
        <v>2.9999999999999993E-7</v>
      </c>
      <c r="AR278" s="140">
        <f t="shared" si="122"/>
        <v>5.9999999999999997E-7</v>
      </c>
      <c r="AS278" s="140">
        <f t="shared" si="123"/>
        <v>9.0000000000000007E-7</v>
      </c>
      <c r="AT278" s="140">
        <f t="shared" si="124"/>
        <v>1.2000000000000002E-6</v>
      </c>
      <c r="AU278" s="140">
        <f t="shared" si="125"/>
        <v>1.5000000000000002E-6</v>
      </c>
      <c r="AV278" s="157">
        <f>IF(AO278&lt;$B$73*DATA!$H$1037,DATA!$H$1037,IF(AO278&gt;DATA!$H$1036*$B$73,DATA!$H$1036,1))</f>
        <v>1.2</v>
      </c>
      <c r="AW278" s="156">
        <f t="shared" si="126"/>
        <v>9.9999999999999995E-8</v>
      </c>
      <c r="AY278" s="140">
        <f t="shared" si="127"/>
        <v>3.0000000000000004E-5</v>
      </c>
      <c r="AZ278">
        <v>3</v>
      </c>
      <c r="BA278" s="140">
        <f t="shared" si="128"/>
        <v>2.9999999999999993E-7</v>
      </c>
      <c r="BB278" s="140">
        <f t="shared" si="129"/>
        <v>5.9999999999999997E-7</v>
      </c>
      <c r="BC278" s="140">
        <f t="shared" si="130"/>
        <v>9.0000000000000007E-7</v>
      </c>
      <c r="BD278" s="140">
        <f t="shared" si="131"/>
        <v>1.2000000000000002E-6</v>
      </c>
      <c r="BE278" s="140">
        <f t="shared" si="132"/>
        <v>1.5000000000000002E-6</v>
      </c>
      <c r="BF278" s="157">
        <f>IF(AY278&lt;$B$89*DATA!$H$1037,DATA!$H$1037,IF(AY278&gt;DATA!$H$1036*$B$89,DATA!$H$1036,1))</f>
        <v>1.2</v>
      </c>
      <c r="BG278" s="156">
        <f t="shared" si="133"/>
        <v>9.9999999999999995E-8</v>
      </c>
      <c r="BI278" s="140">
        <f t="shared" si="134"/>
        <v>3.0000000000000004E-5</v>
      </c>
      <c r="BJ278">
        <v>3</v>
      </c>
      <c r="BK278" s="140">
        <f t="shared" si="135"/>
        <v>2.9999999999999993E-7</v>
      </c>
      <c r="BL278" s="140">
        <f t="shared" si="136"/>
        <v>5.9999999999999997E-7</v>
      </c>
      <c r="BM278" s="140">
        <f t="shared" si="137"/>
        <v>9.0000000000000007E-7</v>
      </c>
      <c r="BN278" s="140">
        <f t="shared" si="138"/>
        <v>1.2000000000000002E-6</v>
      </c>
      <c r="BO278" s="140">
        <f t="shared" si="139"/>
        <v>1.5000000000000002E-6</v>
      </c>
      <c r="BP278" s="157">
        <f>IF(BI278&lt;$B$105*DATA!$H$1037,DATA!$H$1037,IF(BI278&gt;DATA!$H$1036*$B$105,DATA!$H$1036,1))</f>
        <v>1.2</v>
      </c>
      <c r="BQ278" s="156">
        <f t="shared" si="140"/>
        <v>9.9999999999999995E-8</v>
      </c>
    </row>
    <row r="279" spans="1:69">
      <c r="A279" s="140">
        <f t="shared" si="96"/>
        <v>3.0200000000000002E-5</v>
      </c>
      <c r="B279">
        <v>3.02</v>
      </c>
      <c r="C279" s="140">
        <f t="shared" si="97"/>
        <v>3.0199999999999992E-7</v>
      </c>
      <c r="D279" s="140">
        <f t="shared" si="97"/>
        <v>6.0399999999999996E-7</v>
      </c>
      <c r="E279" s="140">
        <f t="shared" si="97"/>
        <v>9.0599999999999999E-7</v>
      </c>
      <c r="F279" s="140">
        <f t="shared" si="97"/>
        <v>1.2080000000000001E-6</v>
      </c>
      <c r="G279" s="140">
        <f t="shared" si="97"/>
        <v>1.5100000000000002E-6</v>
      </c>
      <c r="H279" s="157">
        <f>IF(A279&lt;$B$9*DATA!$H$1037,DATA!$H$1037,IF(A279&gt;DATA!$H$1036*$B$9,DATA!$H$1036,1))</f>
        <v>0.8</v>
      </c>
      <c r="I279" s="156">
        <f t="shared" si="98"/>
        <v>9.9999999999999995E-8</v>
      </c>
      <c r="K279" s="140">
        <f t="shared" si="99"/>
        <v>3.0200000000000002E-5</v>
      </c>
      <c r="L279">
        <v>3.02</v>
      </c>
      <c r="M279" s="140">
        <f t="shared" si="100"/>
        <v>3.0199999999999992E-7</v>
      </c>
      <c r="N279" s="140">
        <f t="shared" si="101"/>
        <v>6.0399999999999996E-7</v>
      </c>
      <c r="O279" s="140">
        <f t="shared" si="102"/>
        <v>9.0599999999999999E-7</v>
      </c>
      <c r="P279" s="140">
        <f t="shared" si="103"/>
        <v>1.2080000000000001E-6</v>
      </c>
      <c r="Q279" s="140">
        <f t="shared" si="104"/>
        <v>1.5100000000000002E-6</v>
      </c>
      <c r="R279" s="157">
        <f>IF(K279&lt;$B$25*DATA!$H$1037,DATA!$H$1037,IF(K279&gt;DATA!$H$1036*$B$25,DATA!$H$1036,1))</f>
        <v>0.8</v>
      </c>
      <c r="S279" s="156">
        <f t="shared" si="105"/>
        <v>9.9999999999999995E-8</v>
      </c>
      <c r="U279" s="140">
        <f t="shared" si="106"/>
        <v>3.0200000000000002E-5</v>
      </c>
      <c r="V279">
        <v>3.02</v>
      </c>
      <c r="W279" s="140">
        <f t="shared" si="107"/>
        <v>3.0199999999999992E-7</v>
      </c>
      <c r="X279" s="140">
        <f t="shared" si="108"/>
        <v>6.0399999999999996E-7</v>
      </c>
      <c r="Y279" s="140">
        <f t="shared" si="109"/>
        <v>9.0599999999999999E-7</v>
      </c>
      <c r="Z279" s="140">
        <f t="shared" si="110"/>
        <v>1.2080000000000001E-6</v>
      </c>
      <c r="AA279" s="140">
        <f t="shared" si="111"/>
        <v>1.5100000000000002E-6</v>
      </c>
      <c r="AB279" s="157">
        <f>IF(U279&lt;$B$41*DATA!$H$1037,DATA!$H$1037,IF(U279&gt;DATA!$H$1036*$B$41,DATA!$H$1036,1))</f>
        <v>0.8</v>
      </c>
      <c r="AC279" s="156">
        <f t="shared" si="112"/>
        <v>9.9999999999999995E-8</v>
      </c>
      <c r="AE279" s="140">
        <f t="shared" si="113"/>
        <v>3.0200000000000002E-5</v>
      </c>
      <c r="AF279">
        <v>3.02</v>
      </c>
      <c r="AG279" s="140">
        <f t="shared" si="114"/>
        <v>3.0199999999999992E-7</v>
      </c>
      <c r="AH279" s="140">
        <f t="shared" si="115"/>
        <v>6.0399999999999996E-7</v>
      </c>
      <c r="AI279" s="140">
        <f t="shared" si="116"/>
        <v>9.0599999999999999E-7</v>
      </c>
      <c r="AJ279" s="140">
        <f t="shared" si="117"/>
        <v>1.2080000000000001E-6</v>
      </c>
      <c r="AK279" s="140">
        <f t="shared" si="118"/>
        <v>1.5100000000000002E-6</v>
      </c>
      <c r="AL279" s="157">
        <f>IF(AE279&lt;$B$57*DATA!$H$1037,DATA!$H$1037,IF(AE279&gt;DATA!$H$1036*$B$57,DATA!$H$1036,1))</f>
        <v>1.2</v>
      </c>
      <c r="AM279" s="156">
        <f t="shared" si="119"/>
        <v>9.9999999999999995E-8</v>
      </c>
      <c r="AO279" s="140">
        <f t="shared" si="120"/>
        <v>3.0200000000000002E-5</v>
      </c>
      <c r="AP279">
        <v>3.02</v>
      </c>
      <c r="AQ279" s="140">
        <f t="shared" si="121"/>
        <v>3.0199999999999992E-7</v>
      </c>
      <c r="AR279" s="140">
        <f t="shared" si="122"/>
        <v>6.0399999999999996E-7</v>
      </c>
      <c r="AS279" s="140">
        <f t="shared" si="123"/>
        <v>9.0599999999999999E-7</v>
      </c>
      <c r="AT279" s="140">
        <f t="shared" si="124"/>
        <v>1.2080000000000001E-6</v>
      </c>
      <c r="AU279" s="140">
        <f t="shared" si="125"/>
        <v>1.5100000000000002E-6</v>
      </c>
      <c r="AV279" s="157">
        <f>IF(AO279&lt;$B$73*DATA!$H$1037,DATA!$H$1037,IF(AO279&gt;DATA!$H$1036*$B$73,DATA!$H$1036,1))</f>
        <v>1.2</v>
      </c>
      <c r="AW279" s="156">
        <f t="shared" si="126"/>
        <v>9.9999999999999995E-8</v>
      </c>
      <c r="AY279" s="140">
        <f t="shared" si="127"/>
        <v>3.0200000000000002E-5</v>
      </c>
      <c r="AZ279">
        <v>3.02</v>
      </c>
      <c r="BA279" s="140">
        <f t="shared" si="128"/>
        <v>3.0199999999999992E-7</v>
      </c>
      <c r="BB279" s="140">
        <f t="shared" si="129"/>
        <v>6.0399999999999996E-7</v>
      </c>
      <c r="BC279" s="140">
        <f t="shared" si="130"/>
        <v>9.0599999999999999E-7</v>
      </c>
      <c r="BD279" s="140">
        <f t="shared" si="131"/>
        <v>1.2080000000000001E-6</v>
      </c>
      <c r="BE279" s="140">
        <f t="shared" si="132"/>
        <v>1.5100000000000002E-6</v>
      </c>
      <c r="BF279" s="157">
        <f>IF(AY279&lt;$B$89*DATA!$H$1037,DATA!$H$1037,IF(AY279&gt;DATA!$H$1036*$B$89,DATA!$H$1036,1))</f>
        <v>1.2</v>
      </c>
      <c r="BG279" s="156">
        <f t="shared" si="133"/>
        <v>9.9999999999999995E-8</v>
      </c>
      <c r="BI279" s="140">
        <f t="shared" si="134"/>
        <v>3.0200000000000002E-5</v>
      </c>
      <c r="BJ279">
        <v>3.02</v>
      </c>
      <c r="BK279" s="140">
        <f t="shared" si="135"/>
        <v>3.0199999999999992E-7</v>
      </c>
      <c r="BL279" s="140">
        <f t="shared" si="136"/>
        <v>6.0399999999999996E-7</v>
      </c>
      <c r="BM279" s="140">
        <f t="shared" si="137"/>
        <v>9.0599999999999999E-7</v>
      </c>
      <c r="BN279" s="140">
        <f t="shared" si="138"/>
        <v>1.2080000000000001E-6</v>
      </c>
      <c r="BO279" s="140">
        <f t="shared" si="139"/>
        <v>1.5100000000000002E-6</v>
      </c>
      <c r="BP279" s="157">
        <f>IF(BI279&lt;$B$105*DATA!$H$1037,DATA!$H$1037,IF(BI279&gt;DATA!$H$1036*$B$105,DATA!$H$1036,1))</f>
        <v>1.2</v>
      </c>
      <c r="BQ279" s="156">
        <f t="shared" si="140"/>
        <v>9.9999999999999995E-8</v>
      </c>
    </row>
    <row r="280" spans="1:69">
      <c r="A280" s="140">
        <f t="shared" si="96"/>
        <v>3.0400000000000004E-5</v>
      </c>
      <c r="B280">
        <v>3.04</v>
      </c>
      <c r="C280" s="140">
        <f t="shared" si="97"/>
        <v>3.0399999999999992E-7</v>
      </c>
      <c r="D280" s="140">
        <f t="shared" si="97"/>
        <v>6.0799999999999994E-7</v>
      </c>
      <c r="E280" s="140">
        <f t="shared" si="97"/>
        <v>9.1200000000000012E-7</v>
      </c>
      <c r="F280" s="140">
        <f t="shared" si="97"/>
        <v>1.2160000000000001E-6</v>
      </c>
      <c r="G280" s="140">
        <f t="shared" si="97"/>
        <v>1.5200000000000003E-6</v>
      </c>
      <c r="H280" s="157">
        <f>IF(A280&lt;$B$9*DATA!$H$1037,DATA!$H$1037,IF(A280&gt;DATA!$H$1036*$B$9,DATA!$H$1036,1))</f>
        <v>0.8</v>
      </c>
      <c r="I280" s="156">
        <f t="shared" si="98"/>
        <v>9.9999999999999995E-8</v>
      </c>
      <c r="K280" s="140">
        <f t="shared" si="99"/>
        <v>3.0400000000000004E-5</v>
      </c>
      <c r="L280">
        <v>3.04</v>
      </c>
      <c r="M280" s="140">
        <f t="shared" si="100"/>
        <v>3.0399999999999992E-7</v>
      </c>
      <c r="N280" s="140">
        <f t="shared" si="101"/>
        <v>6.0799999999999994E-7</v>
      </c>
      <c r="O280" s="140">
        <f t="shared" si="102"/>
        <v>9.1200000000000012E-7</v>
      </c>
      <c r="P280" s="140">
        <f t="shared" si="103"/>
        <v>1.2160000000000001E-6</v>
      </c>
      <c r="Q280" s="140">
        <f t="shared" si="104"/>
        <v>1.5200000000000003E-6</v>
      </c>
      <c r="R280" s="157">
        <f>IF(K280&lt;$B$25*DATA!$H$1037,DATA!$H$1037,IF(K280&gt;DATA!$H$1036*$B$25,DATA!$H$1036,1))</f>
        <v>0.8</v>
      </c>
      <c r="S280" s="156">
        <f t="shared" si="105"/>
        <v>9.9999999999999995E-8</v>
      </c>
      <c r="U280" s="140">
        <f t="shared" si="106"/>
        <v>3.0400000000000004E-5</v>
      </c>
      <c r="V280">
        <v>3.04</v>
      </c>
      <c r="W280" s="140">
        <f t="shared" si="107"/>
        <v>3.0399999999999992E-7</v>
      </c>
      <c r="X280" s="140">
        <f t="shared" si="108"/>
        <v>6.0799999999999994E-7</v>
      </c>
      <c r="Y280" s="140">
        <f t="shared" si="109"/>
        <v>9.1200000000000012E-7</v>
      </c>
      <c r="Z280" s="140">
        <f t="shared" si="110"/>
        <v>1.2160000000000001E-6</v>
      </c>
      <c r="AA280" s="140">
        <f t="shared" si="111"/>
        <v>1.5200000000000003E-6</v>
      </c>
      <c r="AB280" s="157">
        <f>IF(U280&lt;$B$41*DATA!$H$1037,DATA!$H$1037,IF(U280&gt;DATA!$H$1036*$B$41,DATA!$H$1036,1))</f>
        <v>0.8</v>
      </c>
      <c r="AC280" s="156">
        <f t="shared" si="112"/>
        <v>9.9999999999999995E-8</v>
      </c>
      <c r="AE280" s="140">
        <f t="shared" si="113"/>
        <v>3.0400000000000004E-5</v>
      </c>
      <c r="AF280">
        <v>3.04</v>
      </c>
      <c r="AG280" s="140">
        <f t="shared" si="114"/>
        <v>3.0399999999999992E-7</v>
      </c>
      <c r="AH280" s="140">
        <f t="shared" si="115"/>
        <v>6.0799999999999994E-7</v>
      </c>
      <c r="AI280" s="140">
        <f t="shared" si="116"/>
        <v>9.1200000000000012E-7</v>
      </c>
      <c r="AJ280" s="140">
        <f t="shared" si="117"/>
        <v>1.2160000000000001E-6</v>
      </c>
      <c r="AK280" s="140">
        <f t="shared" si="118"/>
        <v>1.5200000000000003E-6</v>
      </c>
      <c r="AL280" s="157">
        <f>IF(AE280&lt;$B$57*DATA!$H$1037,DATA!$H$1037,IF(AE280&gt;DATA!$H$1036*$B$57,DATA!$H$1036,1))</f>
        <v>1.2</v>
      </c>
      <c r="AM280" s="156">
        <f t="shared" si="119"/>
        <v>9.9999999999999995E-8</v>
      </c>
      <c r="AO280" s="140">
        <f t="shared" si="120"/>
        <v>3.0400000000000004E-5</v>
      </c>
      <c r="AP280">
        <v>3.04</v>
      </c>
      <c r="AQ280" s="140">
        <f t="shared" si="121"/>
        <v>3.0399999999999992E-7</v>
      </c>
      <c r="AR280" s="140">
        <f t="shared" si="122"/>
        <v>6.0799999999999994E-7</v>
      </c>
      <c r="AS280" s="140">
        <f t="shared" si="123"/>
        <v>9.1200000000000012E-7</v>
      </c>
      <c r="AT280" s="140">
        <f t="shared" si="124"/>
        <v>1.2160000000000001E-6</v>
      </c>
      <c r="AU280" s="140">
        <f t="shared" si="125"/>
        <v>1.5200000000000003E-6</v>
      </c>
      <c r="AV280" s="157">
        <f>IF(AO280&lt;$B$73*DATA!$H$1037,DATA!$H$1037,IF(AO280&gt;DATA!$H$1036*$B$73,DATA!$H$1036,1))</f>
        <v>1.2</v>
      </c>
      <c r="AW280" s="156">
        <f t="shared" si="126"/>
        <v>9.9999999999999995E-8</v>
      </c>
      <c r="AY280" s="140">
        <f t="shared" si="127"/>
        <v>3.0400000000000004E-5</v>
      </c>
      <c r="AZ280">
        <v>3.04</v>
      </c>
      <c r="BA280" s="140">
        <f t="shared" si="128"/>
        <v>3.0399999999999992E-7</v>
      </c>
      <c r="BB280" s="140">
        <f t="shared" si="129"/>
        <v>6.0799999999999994E-7</v>
      </c>
      <c r="BC280" s="140">
        <f t="shared" si="130"/>
        <v>9.1200000000000012E-7</v>
      </c>
      <c r="BD280" s="140">
        <f t="shared" si="131"/>
        <v>1.2160000000000001E-6</v>
      </c>
      <c r="BE280" s="140">
        <f t="shared" si="132"/>
        <v>1.5200000000000003E-6</v>
      </c>
      <c r="BF280" s="157">
        <f>IF(AY280&lt;$B$89*DATA!$H$1037,DATA!$H$1037,IF(AY280&gt;DATA!$H$1036*$B$89,DATA!$H$1036,1))</f>
        <v>1.2</v>
      </c>
      <c r="BG280" s="156">
        <f t="shared" si="133"/>
        <v>9.9999999999999995E-8</v>
      </c>
      <c r="BI280" s="140">
        <f t="shared" si="134"/>
        <v>3.0400000000000004E-5</v>
      </c>
      <c r="BJ280">
        <v>3.04</v>
      </c>
      <c r="BK280" s="140">
        <f t="shared" si="135"/>
        <v>3.0399999999999992E-7</v>
      </c>
      <c r="BL280" s="140">
        <f t="shared" si="136"/>
        <v>6.0799999999999994E-7</v>
      </c>
      <c r="BM280" s="140">
        <f t="shared" si="137"/>
        <v>9.1200000000000012E-7</v>
      </c>
      <c r="BN280" s="140">
        <f t="shared" si="138"/>
        <v>1.2160000000000001E-6</v>
      </c>
      <c r="BO280" s="140">
        <f t="shared" si="139"/>
        <v>1.5200000000000003E-6</v>
      </c>
      <c r="BP280" s="157">
        <f>IF(BI280&lt;$B$105*DATA!$H$1037,DATA!$H$1037,IF(BI280&gt;DATA!$H$1036*$B$105,DATA!$H$1036,1))</f>
        <v>1.2</v>
      </c>
      <c r="BQ280" s="156">
        <f t="shared" si="140"/>
        <v>9.9999999999999995E-8</v>
      </c>
    </row>
    <row r="281" spans="1:69">
      <c r="A281" s="140">
        <f t="shared" si="96"/>
        <v>3.0600000000000005E-5</v>
      </c>
      <c r="B281">
        <v>3.06</v>
      </c>
      <c r="C281" s="140">
        <f t="shared" si="97"/>
        <v>3.0599999999999996E-7</v>
      </c>
      <c r="D281" s="140">
        <f t="shared" si="97"/>
        <v>6.1200000000000003E-7</v>
      </c>
      <c r="E281" s="140">
        <f t="shared" si="97"/>
        <v>9.1800000000000015E-7</v>
      </c>
      <c r="F281" s="140">
        <f t="shared" si="97"/>
        <v>1.2240000000000003E-6</v>
      </c>
      <c r="G281" s="140">
        <f t="shared" si="97"/>
        <v>1.5300000000000004E-6</v>
      </c>
      <c r="H281" s="157">
        <f>IF(A281&lt;$B$9*DATA!$H$1037,DATA!$H$1037,IF(A281&gt;DATA!$H$1036*$B$9,DATA!$H$1036,1))</f>
        <v>0.8</v>
      </c>
      <c r="I281" s="156">
        <f t="shared" si="98"/>
        <v>9.9999999999999995E-8</v>
      </c>
      <c r="K281" s="140">
        <f t="shared" si="99"/>
        <v>3.0600000000000005E-5</v>
      </c>
      <c r="L281">
        <v>3.06</v>
      </c>
      <c r="M281" s="140">
        <f t="shared" si="100"/>
        <v>3.0599999999999996E-7</v>
      </c>
      <c r="N281" s="140">
        <f t="shared" si="101"/>
        <v>6.1200000000000003E-7</v>
      </c>
      <c r="O281" s="140">
        <f t="shared" si="102"/>
        <v>9.1800000000000015E-7</v>
      </c>
      <c r="P281" s="140">
        <f t="shared" si="103"/>
        <v>1.2240000000000003E-6</v>
      </c>
      <c r="Q281" s="140">
        <f t="shared" si="104"/>
        <v>1.5300000000000004E-6</v>
      </c>
      <c r="R281" s="157">
        <f>IF(K281&lt;$B$25*DATA!$H$1037,DATA!$H$1037,IF(K281&gt;DATA!$H$1036*$B$25,DATA!$H$1036,1))</f>
        <v>0.8</v>
      </c>
      <c r="S281" s="156">
        <f t="shared" si="105"/>
        <v>9.9999999999999995E-8</v>
      </c>
      <c r="U281" s="140">
        <f t="shared" si="106"/>
        <v>3.0600000000000005E-5</v>
      </c>
      <c r="V281">
        <v>3.06</v>
      </c>
      <c r="W281" s="140">
        <f t="shared" si="107"/>
        <v>3.0599999999999996E-7</v>
      </c>
      <c r="X281" s="140">
        <f t="shared" si="108"/>
        <v>6.1200000000000003E-7</v>
      </c>
      <c r="Y281" s="140">
        <f t="shared" si="109"/>
        <v>9.1800000000000015E-7</v>
      </c>
      <c r="Z281" s="140">
        <f t="shared" si="110"/>
        <v>1.2240000000000003E-6</v>
      </c>
      <c r="AA281" s="140">
        <f t="shared" si="111"/>
        <v>1.5300000000000004E-6</v>
      </c>
      <c r="AB281" s="157">
        <f>IF(U281&lt;$B$41*DATA!$H$1037,DATA!$H$1037,IF(U281&gt;DATA!$H$1036*$B$41,DATA!$H$1036,1))</f>
        <v>0.8</v>
      </c>
      <c r="AC281" s="156">
        <f t="shared" si="112"/>
        <v>9.9999999999999995E-8</v>
      </c>
      <c r="AE281" s="140">
        <f t="shared" si="113"/>
        <v>3.0600000000000005E-5</v>
      </c>
      <c r="AF281">
        <v>3.06</v>
      </c>
      <c r="AG281" s="140">
        <f t="shared" si="114"/>
        <v>3.0599999999999996E-7</v>
      </c>
      <c r="AH281" s="140">
        <f t="shared" si="115"/>
        <v>6.1200000000000003E-7</v>
      </c>
      <c r="AI281" s="140">
        <f t="shared" si="116"/>
        <v>9.1800000000000015E-7</v>
      </c>
      <c r="AJ281" s="140">
        <f t="shared" si="117"/>
        <v>1.2240000000000003E-6</v>
      </c>
      <c r="AK281" s="140">
        <f t="shared" si="118"/>
        <v>1.5300000000000004E-6</v>
      </c>
      <c r="AL281" s="157">
        <f>IF(AE281&lt;$B$57*DATA!$H$1037,DATA!$H$1037,IF(AE281&gt;DATA!$H$1036*$B$57,DATA!$H$1036,1))</f>
        <v>1.2</v>
      </c>
      <c r="AM281" s="156">
        <f t="shared" si="119"/>
        <v>9.9999999999999995E-8</v>
      </c>
      <c r="AO281" s="140">
        <f t="shared" si="120"/>
        <v>3.0600000000000005E-5</v>
      </c>
      <c r="AP281">
        <v>3.06</v>
      </c>
      <c r="AQ281" s="140">
        <f t="shared" si="121"/>
        <v>3.0599999999999996E-7</v>
      </c>
      <c r="AR281" s="140">
        <f t="shared" si="122"/>
        <v>6.1200000000000003E-7</v>
      </c>
      <c r="AS281" s="140">
        <f t="shared" si="123"/>
        <v>9.1800000000000015E-7</v>
      </c>
      <c r="AT281" s="140">
        <f t="shared" si="124"/>
        <v>1.2240000000000003E-6</v>
      </c>
      <c r="AU281" s="140">
        <f t="shared" si="125"/>
        <v>1.5300000000000004E-6</v>
      </c>
      <c r="AV281" s="157">
        <f>IF(AO281&lt;$B$73*DATA!$H$1037,DATA!$H$1037,IF(AO281&gt;DATA!$H$1036*$B$73,DATA!$H$1036,1))</f>
        <v>1.2</v>
      </c>
      <c r="AW281" s="156">
        <f t="shared" si="126"/>
        <v>9.9999999999999995E-8</v>
      </c>
      <c r="AY281" s="140">
        <f t="shared" si="127"/>
        <v>3.0600000000000005E-5</v>
      </c>
      <c r="AZ281">
        <v>3.06</v>
      </c>
      <c r="BA281" s="140">
        <f t="shared" si="128"/>
        <v>3.0599999999999996E-7</v>
      </c>
      <c r="BB281" s="140">
        <f t="shared" si="129"/>
        <v>6.1200000000000003E-7</v>
      </c>
      <c r="BC281" s="140">
        <f t="shared" si="130"/>
        <v>9.1800000000000015E-7</v>
      </c>
      <c r="BD281" s="140">
        <f t="shared" si="131"/>
        <v>1.2240000000000003E-6</v>
      </c>
      <c r="BE281" s="140">
        <f t="shared" si="132"/>
        <v>1.5300000000000004E-6</v>
      </c>
      <c r="BF281" s="157">
        <f>IF(AY281&lt;$B$89*DATA!$H$1037,DATA!$H$1037,IF(AY281&gt;DATA!$H$1036*$B$89,DATA!$H$1036,1))</f>
        <v>1.2</v>
      </c>
      <c r="BG281" s="156">
        <f t="shared" si="133"/>
        <v>9.9999999999999995E-8</v>
      </c>
      <c r="BI281" s="140">
        <f t="shared" si="134"/>
        <v>3.0600000000000005E-5</v>
      </c>
      <c r="BJ281">
        <v>3.06</v>
      </c>
      <c r="BK281" s="140">
        <f t="shared" si="135"/>
        <v>3.0599999999999996E-7</v>
      </c>
      <c r="BL281" s="140">
        <f t="shared" si="136"/>
        <v>6.1200000000000003E-7</v>
      </c>
      <c r="BM281" s="140">
        <f t="shared" si="137"/>
        <v>9.1800000000000015E-7</v>
      </c>
      <c r="BN281" s="140">
        <f t="shared" si="138"/>
        <v>1.2240000000000003E-6</v>
      </c>
      <c r="BO281" s="140">
        <f t="shared" si="139"/>
        <v>1.5300000000000004E-6</v>
      </c>
      <c r="BP281" s="157">
        <f>IF(BI281&lt;$B$105*DATA!$H$1037,DATA!$H$1037,IF(BI281&gt;DATA!$H$1036*$B$105,DATA!$H$1036,1))</f>
        <v>1.2</v>
      </c>
      <c r="BQ281" s="156">
        <f t="shared" si="140"/>
        <v>9.9999999999999995E-8</v>
      </c>
    </row>
    <row r="282" spans="1:69">
      <c r="A282" s="140">
        <f t="shared" si="96"/>
        <v>3.0800000000000003E-5</v>
      </c>
      <c r="B282">
        <v>3.08</v>
      </c>
      <c r="C282" s="140">
        <f t="shared" si="97"/>
        <v>3.0799999999999995E-7</v>
      </c>
      <c r="D282" s="140">
        <f t="shared" si="97"/>
        <v>6.1600000000000001E-7</v>
      </c>
      <c r="E282" s="140">
        <f t="shared" si="97"/>
        <v>9.2400000000000007E-7</v>
      </c>
      <c r="F282" s="140">
        <f t="shared" si="97"/>
        <v>1.2320000000000002E-6</v>
      </c>
      <c r="G282" s="140">
        <f t="shared" si="97"/>
        <v>1.5400000000000003E-6</v>
      </c>
      <c r="H282" s="157">
        <f>IF(A282&lt;$B$9*DATA!$H$1037,DATA!$H$1037,IF(A282&gt;DATA!$H$1036*$B$9,DATA!$H$1036,1))</f>
        <v>0.8</v>
      </c>
      <c r="I282" s="156">
        <f t="shared" si="98"/>
        <v>9.9999999999999995E-8</v>
      </c>
      <c r="K282" s="140">
        <f t="shared" si="99"/>
        <v>3.0800000000000003E-5</v>
      </c>
      <c r="L282">
        <v>3.08</v>
      </c>
      <c r="M282" s="140">
        <f t="shared" si="100"/>
        <v>3.0799999999999995E-7</v>
      </c>
      <c r="N282" s="140">
        <f t="shared" si="101"/>
        <v>6.1600000000000001E-7</v>
      </c>
      <c r="O282" s="140">
        <f t="shared" si="102"/>
        <v>9.2400000000000007E-7</v>
      </c>
      <c r="P282" s="140">
        <f t="shared" si="103"/>
        <v>1.2320000000000002E-6</v>
      </c>
      <c r="Q282" s="140">
        <f t="shared" si="104"/>
        <v>1.5400000000000003E-6</v>
      </c>
      <c r="R282" s="157">
        <f>IF(K282&lt;$B$25*DATA!$H$1037,DATA!$H$1037,IF(K282&gt;DATA!$H$1036*$B$25,DATA!$H$1036,1))</f>
        <v>0.8</v>
      </c>
      <c r="S282" s="156">
        <f t="shared" si="105"/>
        <v>9.9999999999999995E-8</v>
      </c>
      <c r="U282" s="140">
        <f t="shared" si="106"/>
        <v>3.0800000000000003E-5</v>
      </c>
      <c r="V282">
        <v>3.08</v>
      </c>
      <c r="W282" s="140">
        <f t="shared" si="107"/>
        <v>3.0799999999999995E-7</v>
      </c>
      <c r="X282" s="140">
        <f t="shared" si="108"/>
        <v>6.1600000000000001E-7</v>
      </c>
      <c r="Y282" s="140">
        <f t="shared" si="109"/>
        <v>9.2400000000000007E-7</v>
      </c>
      <c r="Z282" s="140">
        <f t="shared" si="110"/>
        <v>1.2320000000000002E-6</v>
      </c>
      <c r="AA282" s="140">
        <f t="shared" si="111"/>
        <v>1.5400000000000003E-6</v>
      </c>
      <c r="AB282" s="157">
        <f>IF(U282&lt;$B$41*DATA!$H$1037,DATA!$H$1037,IF(U282&gt;DATA!$H$1036*$B$41,DATA!$H$1036,1))</f>
        <v>0.8</v>
      </c>
      <c r="AC282" s="156">
        <f t="shared" si="112"/>
        <v>9.9999999999999995E-8</v>
      </c>
      <c r="AE282" s="140">
        <f t="shared" si="113"/>
        <v>3.0800000000000003E-5</v>
      </c>
      <c r="AF282">
        <v>3.08</v>
      </c>
      <c r="AG282" s="140">
        <f t="shared" si="114"/>
        <v>3.0799999999999995E-7</v>
      </c>
      <c r="AH282" s="140">
        <f t="shared" si="115"/>
        <v>6.1600000000000001E-7</v>
      </c>
      <c r="AI282" s="140">
        <f t="shared" si="116"/>
        <v>9.2400000000000007E-7</v>
      </c>
      <c r="AJ282" s="140">
        <f t="shared" si="117"/>
        <v>1.2320000000000002E-6</v>
      </c>
      <c r="AK282" s="140">
        <f t="shared" si="118"/>
        <v>1.5400000000000003E-6</v>
      </c>
      <c r="AL282" s="157">
        <f>IF(AE282&lt;$B$57*DATA!$H$1037,DATA!$H$1037,IF(AE282&gt;DATA!$H$1036*$B$57,DATA!$H$1036,1))</f>
        <v>1.2</v>
      </c>
      <c r="AM282" s="156">
        <f t="shared" si="119"/>
        <v>9.9999999999999995E-8</v>
      </c>
      <c r="AO282" s="140">
        <f t="shared" si="120"/>
        <v>3.0800000000000003E-5</v>
      </c>
      <c r="AP282">
        <v>3.08</v>
      </c>
      <c r="AQ282" s="140">
        <f t="shared" si="121"/>
        <v>3.0799999999999995E-7</v>
      </c>
      <c r="AR282" s="140">
        <f t="shared" si="122"/>
        <v>6.1600000000000001E-7</v>
      </c>
      <c r="AS282" s="140">
        <f t="shared" si="123"/>
        <v>9.2400000000000007E-7</v>
      </c>
      <c r="AT282" s="140">
        <f t="shared" si="124"/>
        <v>1.2320000000000002E-6</v>
      </c>
      <c r="AU282" s="140">
        <f t="shared" si="125"/>
        <v>1.5400000000000003E-6</v>
      </c>
      <c r="AV282" s="157">
        <f>IF(AO282&lt;$B$73*DATA!$H$1037,DATA!$H$1037,IF(AO282&gt;DATA!$H$1036*$B$73,DATA!$H$1036,1))</f>
        <v>1.2</v>
      </c>
      <c r="AW282" s="156">
        <f t="shared" si="126"/>
        <v>9.9999999999999995E-8</v>
      </c>
      <c r="AY282" s="140">
        <f t="shared" si="127"/>
        <v>3.0800000000000003E-5</v>
      </c>
      <c r="AZ282">
        <v>3.08</v>
      </c>
      <c r="BA282" s="140">
        <f t="shared" si="128"/>
        <v>3.0799999999999995E-7</v>
      </c>
      <c r="BB282" s="140">
        <f t="shared" si="129"/>
        <v>6.1600000000000001E-7</v>
      </c>
      <c r="BC282" s="140">
        <f t="shared" si="130"/>
        <v>9.2400000000000007E-7</v>
      </c>
      <c r="BD282" s="140">
        <f t="shared" si="131"/>
        <v>1.2320000000000002E-6</v>
      </c>
      <c r="BE282" s="140">
        <f t="shared" si="132"/>
        <v>1.5400000000000003E-6</v>
      </c>
      <c r="BF282" s="157">
        <f>IF(AY282&lt;$B$89*DATA!$H$1037,DATA!$H$1037,IF(AY282&gt;DATA!$H$1036*$B$89,DATA!$H$1036,1))</f>
        <v>1.2</v>
      </c>
      <c r="BG282" s="156">
        <f t="shared" si="133"/>
        <v>9.9999999999999995E-8</v>
      </c>
      <c r="BI282" s="140">
        <f t="shared" si="134"/>
        <v>3.0800000000000003E-5</v>
      </c>
      <c r="BJ282">
        <v>3.08</v>
      </c>
      <c r="BK282" s="140">
        <f t="shared" si="135"/>
        <v>3.0799999999999995E-7</v>
      </c>
      <c r="BL282" s="140">
        <f t="shared" si="136"/>
        <v>6.1600000000000001E-7</v>
      </c>
      <c r="BM282" s="140">
        <f t="shared" si="137"/>
        <v>9.2400000000000007E-7</v>
      </c>
      <c r="BN282" s="140">
        <f t="shared" si="138"/>
        <v>1.2320000000000002E-6</v>
      </c>
      <c r="BO282" s="140">
        <f t="shared" si="139"/>
        <v>1.5400000000000003E-6</v>
      </c>
      <c r="BP282" s="157">
        <f>IF(BI282&lt;$B$105*DATA!$H$1037,DATA!$H$1037,IF(BI282&gt;DATA!$H$1036*$B$105,DATA!$H$1036,1))</f>
        <v>1.2</v>
      </c>
      <c r="BQ282" s="156">
        <f t="shared" si="140"/>
        <v>9.9999999999999995E-8</v>
      </c>
    </row>
    <row r="283" spans="1:69">
      <c r="A283" s="140">
        <f t="shared" si="96"/>
        <v>3.1000000000000001E-5</v>
      </c>
      <c r="B283">
        <v>3.1</v>
      </c>
      <c r="C283" s="140">
        <f t="shared" si="97"/>
        <v>3.0999999999999989E-7</v>
      </c>
      <c r="D283" s="140">
        <f t="shared" si="97"/>
        <v>6.1999999999999989E-7</v>
      </c>
      <c r="E283" s="140">
        <f t="shared" si="97"/>
        <v>9.2999999999999999E-7</v>
      </c>
      <c r="F283" s="140">
        <f t="shared" si="97"/>
        <v>1.24E-6</v>
      </c>
      <c r="G283" s="140">
        <f t="shared" si="97"/>
        <v>1.5500000000000002E-6</v>
      </c>
      <c r="H283" s="157">
        <f>IF(A283&lt;$B$9*DATA!$H$1037,DATA!$H$1037,IF(A283&gt;DATA!$H$1036*$B$9,DATA!$H$1036,1))</f>
        <v>0.8</v>
      </c>
      <c r="I283" s="156">
        <f t="shared" si="98"/>
        <v>9.9999999999999995E-8</v>
      </c>
      <c r="K283" s="140">
        <f t="shared" si="99"/>
        <v>3.1000000000000001E-5</v>
      </c>
      <c r="L283">
        <v>3.1</v>
      </c>
      <c r="M283" s="140">
        <f t="shared" si="100"/>
        <v>3.0999999999999989E-7</v>
      </c>
      <c r="N283" s="140">
        <f t="shared" si="101"/>
        <v>6.1999999999999989E-7</v>
      </c>
      <c r="O283" s="140">
        <f t="shared" si="102"/>
        <v>9.2999999999999999E-7</v>
      </c>
      <c r="P283" s="140">
        <f t="shared" si="103"/>
        <v>1.24E-6</v>
      </c>
      <c r="Q283" s="140">
        <f t="shared" si="104"/>
        <v>1.5500000000000002E-6</v>
      </c>
      <c r="R283" s="157">
        <f>IF(K283&lt;$B$25*DATA!$H$1037,DATA!$H$1037,IF(K283&gt;DATA!$H$1036*$B$25,DATA!$H$1036,1))</f>
        <v>0.8</v>
      </c>
      <c r="S283" s="156">
        <f t="shared" si="105"/>
        <v>9.9999999999999995E-8</v>
      </c>
      <c r="U283" s="140">
        <f t="shared" si="106"/>
        <v>3.1000000000000001E-5</v>
      </c>
      <c r="V283">
        <v>3.1</v>
      </c>
      <c r="W283" s="140">
        <f t="shared" si="107"/>
        <v>3.0999999999999989E-7</v>
      </c>
      <c r="X283" s="140">
        <f t="shared" si="108"/>
        <v>6.1999999999999989E-7</v>
      </c>
      <c r="Y283" s="140">
        <f t="shared" si="109"/>
        <v>9.2999999999999999E-7</v>
      </c>
      <c r="Z283" s="140">
        <f t="shared" si="110"/>
        <v>1.24E-6</v>
      </c>
      <c r="AA283" s="140">
        <f t="shared" si="111"/>
        <v>1.5500000000000002E-6</v>
      </c>
      <c r="AB283" s="157">
        <f>IF(U283&lt;$B$41*DATA!$H$1037,DATA!$H$1037,IF(U283&gt;DATA!$H$1036*$B$41,DATA!$H$1036,1))</f>
        <v>0.8</v>
      </c>
      <c r="AC283" s="156">
        <f t="shared" si="112"/>
        <v>9.9999999999999995E-8</v>
      </c>
      <c r="AE283" s="140">
        <f t="shared" si="113"/>
        <v>3.1000000000000001E-5</v>
      </c>
      <c r="AF283">
        <v>3.1</v>
      </c>
      <c r="AG283" s="140">
        <f t="shared" si="114"/>
        <v>3.0999999999999989E-7</v>
      </c>
      <c r="AH283" s="140">
        <f t="shared" si="115"/>
        <v>6.1999999999999989E-7</v>
      </c>
      <c r="AI283" s="140">
        <f t="shared" si="116"/>
        <v>9.2999999999999999E-7</v>
      </c>
      <c r="AJ283" s="140">
        <f t="shared" si="117"/>
        <v>1.24E-6</v>
      </c>
      <c r="AK283" s="140">
        <f t="shared" si="118"/>
        <v>1.5500000000000002E-6</v>
      </c>
      <c r="AL283" s="157">
        <f>IF(AE283&lt;$B$57*DATA!$H$1037,DATA!$H$1037,IF(AE283&gt;DATA!$H$1036*$B$57,DATA!$H$1036,1))</f>
        <v>1.2</v>
      </c>
      <c r="AM283" s="156">
        <f t="shared" si="119"/>
        <v>9.9999999999999995E-8</v>
      </c>
      <c r="AO283" s="140">
        <f t="shared" si="120"/>
        <v>3.1000000000000001E-5</v>
      </c>
      <c r="AP283">
        <v>3.1</v>
      </c>
      <c r="AQ283" s="140">
        <f t="shared" si="121"/>
        <v>3.0999999999999989E-7</v>
      </c>
      <c r="AR283" s="140">
        <f t="shared" si="122"/>
        <v>6.1999999999999989E-7</v>
      </c>
      <c r="AS283" s="140">
        <f t="shared" si="123"/>
        <v>9.2999999999999999E-7</v>
      </c>
      <c r="AT283" s="140">
        <f t="shared" si="124"/>
        <v>1.24E-6</v>
      </c>
      <c r="AU283" s="140">
        <f t="shared" si="125"/>
        <v>1.5500000000000002E-6</v>
      </c>
      <c r="AV283" s="157">
        <f>IF(AO283&lt;$B$73*DATA!$H$1037,DATA!$H$1037,IF(AO283&gt;DATA!$H$1036*$B$73,DATA!$H$1036,1))</f>
        <v>1.2</v>
      </c>
      <c r="AW283" s="156">
        <f t="shared" si="126"/>
        <v>9.9999999999999995E-8</v>
      </c>
      <c r="AY283" s="140">
        <f t="shared" si="127"/>
        <v>3.1000000000000001E-5</v>
      </c>
      <c r="AZ283">
        <v>3.1</v>
      </c>
      <c r="BA283" s="140">
        <f t="shared" si="128"/>
        <v>3.0999999999999989E-7</v>
      </c>
      <c r="BB283" s="140">
        <f t="shared" si="129"/>
        <v>6.1999999999999989E-7</v>
      </c>
      <c r="BC283" s="140">
        <f t="shared" si="130"/>
        <v>9.2999999999999999E-7</v>
      </c>
      <c r="BD283" s="140">
        <f t="shared" si="131"/>
        <v>1.24E-6</v>
      </c>
      <c r="BE283" s="140">
        <f t="shared" si="132"/>
        <v>1.5500000000000002E-6</v>
      </c>
      <c r="BF283" s="157">
        <f>IF(AY283&lt;$B$89*DATA!$H$1037,DATA!$H$1037,IF(AY283&gt;DATA!$H$1036*$B$89,DATA!$H$1036,1))</f>
        <v>1.2</v>
      </c>
      <c r="BG283" s="156">
        <f t="shared" si="133"/>
        <v>9.9999999999999995E-8</v>
      </c>
      <c r="BI283" s="140">
        <f t="shared" si="134"/>
        <v>3.1000000000000001E-5</v>
      </c>
      <c r="BJ283">
        <v>3.1</v>
      </c>
      <c r="BK283" s="140">
        <f t="shared" si="135"/>
        <v>3.0999999999999989E-7</v>
      </c>
      <c r="BL283" s="140">
        <f t="shared" si="136"/>
        <v>6.1999999999999989E-7</v>
      </c>
      <c r="BM283" s="140">
        <f t="shared" si="137"/>
        <v>9.2999999999999999E-7</v>
      </c>
      <c r="BN283" s="140">
        <f t="shared" si="138"/>
        <v>1.24E-6</v>
      </c>
      <c r="BO283" s="140">
        <f t="shared" si="139"/>
        <v>1.5500000000000002E-6</v>
      </c>
      <c r="BP283" s="157">
        <f>IF(BI283&lt;$B$105*DATA!$H$1037,DATA!$H$1037,IF(BI283&gt;DATA!$H$1036*$B$105,DATA!$H$1036,1))</f>
        <v>1.2</v>
      </c>
      <c r="BQ283" s="156">
        <f t="shared" si="140"/>
        <v>9.9999999999999995E-8</v>
      </c>
    </row>
    <row r="284" spans="1:69">
      <c r="A284" s="140">
        <f t="shared" si="96"/>
        <v>3.1200000000000006E-5</v>
      </c>
      <c r="B284">
        <v>3.12</v>
      </c>
      <c r="C284" s="140">
        <f t="shared" si="97"/>
        <v>3.1199999999999994E-7</v>
      </c>
      <c r="D284" s="140">
        <f t="shared" si="97"/>
        <v>6.2400000000000008E-7</v>
      </c>
      <c r="E284" s="140">
        <f t="shared" si="97"/>
        <v>9.3600000000000012E-7</v>
      </c>
      <c r="F284" s="140">
        <f t="shared" si="97"/>
        <v>1.2480000000000004E-6</v>
      </c>
      <c r="G284" s="140">
        <f t="shared" si="97"/>
        <v>1.5600000000000003E-6</v>
      </c>
      <c r="H284" s="157">
        <f>IF(A284&lt;$B$9*DATA!$H$1037,DATA!$H$1037,IF(A284&gt;DATA!$H$1036*$B$9,DATA!$H$1036,1))</f>
        <v>0.8</v>
      </c>
      <c r="I284" s="156">
        <f t="shared" si="98"/>
        <v>9.9999999999999995E-8</v>
      </c>
      <c r="K284" s="140">
        <f t="shared" si="99"/>
        <v>3.1200000000000006E-5</v>
      </c>
      <c r="L284">
        <v>3.12</v>
      </c>
      <c r="M284" s="140">
        <f t="shared" si="100"/>
        <v>3.1199999999999994E-7</v>
      </c>
      <c r="N284" s="140">
        <f t="shared" si="101"/>
        <v>6.2400000000000008E-7</v>
      </c>
      <c r="O284" s="140">
        <f t="shared" si="102"/>
        <v>9.3600000000000012E-7</v>
      </c>
      <c r="P284" s="140">
        <f t="shared" si="103"/>
        <v>1.2480000000000004E-6</v>
      </c>
      <c r="Q284" s="140">
        <f t="shared" si="104"/>
        <v>1.5600000000000003E-6</v>
      </c>
      <c r="R284" s="157">
        <f>IF(K284&lt;$B$25*DATA!$H$1037,DATA!$H$1037,IF(K284&gt;DATA!$H$1036*$B$25,DATA!$H$1036,1))</f>
        <v>0.8</v>
      </c>
      <c r="S284" s="156">
        <f t="shared" si="105"/>
        <v>9.9999999999999995E-8</v>
      </c>
      <c r="U284" s="140">
        <f t="shared" si="106"/>
        <v>3.1200000000000006E-5</v>
      </c>
      <c r="V284">
        <v>3.12</v>
      </c>
      <c r="W284" s="140">
        <f t="shared" si="107"/>
        <v>3.1199999999999994E-7</v>
      </c>
      <c r="X284" s="140">
        <f t="shared" si="108"/>
        <v>6.2400000000000008E-7</v>
      </c>
      <c r="Y284" s="140">
        <f t="shared" si="109"/>
        <v>9.3600000000000012E-7</v>
      </c>
      <c r="Z284" s="140">
        <f t="shared" si="110"/>
        <v>1.2480000000000004E-6</v>
      </c>
      <c r="AA284" s="140">
        <f t="shared" si="111"/>
        <v>1.5600000000000003E-6</v>
      </c>
      <c r="AB284" s="157">
        <f>IF(U284&lt;$B$41*DATA!$H$1037,DATA!$H$1037,IF(U284&gt;DATA!$H$1036*$B$41,DATA!$H$1036,1))</f>
        <v>0.8</v>
      </c>
      <c r="AC284" s="156">
        <f t="shared" si="112"/>
        <v>9.9999999999999995E-8</v>
      </c>
      <c r="AE284" s="140">
        <f t="shared" si="113"/>
        <v>3.1200000000000006E-5</v>
      </c>
      <c r="AF284">
        <v>3.12</v>
      </c>
      <c r="AG284" s="140">
        <f t="shared" si="114"/>
        <v>3.1199999999999994E-7</v>
      </c>
      <c r="AH284" s="140">
        <f t="shared" si="115"/>
        <v>6.2400000000000008E-7</v>
      </c>
      <c r="AI284" s="140">
        <f t="shared" si="116"/>
        <v>9.3600000000000012E-7</v>
      </c>
      <c r="AJ284" s="140">
        <f t="shared" si="117"/>
        <v>1.2480000000000004E-6</v>
      </c>
      <c r="AK284" s="140">
        <f t="shared" si="118"/>
        <v>1.5600000000000003E-6</v>
      </c>
      <c r="AL284" s="157">
        <f>IF(AE284&lt;$B$57*DATA!$H$1037,DATA!$H$1037,IF(AE284&gt;DATA!$H$1036*$B$57,DATA!$H$1036,1))</f>
        <v>1.2</v>
      </c>
      <c r="AM284" s="156">
        <f t="shared" si="119"/>
        <v>9.9999999999999995E-8</v>
      </c>
      <c r="AO284" s="140">
        <f t="shared" si="120"/>
        <v>3.1200000000000006E-5</v>
      </c>
      <c r="AP284">
        <v>3.12</v>
      </c>
      <c r="AQ284" s="140">
        <f t="shared" si="121"/>
        <v>3.1199999999999994E-7</v>
      </c>
      <c r="AR284" s="140">
        <f t="shared" si="122"/>
        <v>6.2400000000000008E-7</v>
      </c>
      <c r="AS284" s="140">
        <f t="shared" si="123"/>
        <v>9.3600000000000012E-7</v>
      </c>
      <c r="AT284" s="140">
        <f t="shared" si="124"/>
        <v>1.2480000000000004E-6</v>
      </c>
      <c r="AU284" s="140">
        <f t="shared" si="125"/>
        <v>1.5600000000000003E-6</v>
      </c>
      <c r="AV284" s="157">
        <f>IF(AO284&lt;$B$73*DATA!$H$1037,DATA!$H$1037,IF(AO284&gt;DATA!$H$1036*$B$73,DATA!$H$1036,1))</f>
        <v>1.2</v>
      </c>
      <c r="AW284" s="156">
        <f t="shared" si="126"/>
        <v>9.9999999999999995E-8</v>
      </c>
      <c r="AY284" s="140">
        <f t="shared" si="127"/>
        <v>3.1200000000000006E-5</v>
      </c>
      <c r="AZ284">
        <v>3.12</v>
      </c>
      <c r="BA284" s="140">
        <f t="shared" si="128"/>
        <v>3.1199999999999994E-7</v>
      </c>
      <c r="BB284" s="140">
        <f t="shared" si="129"/>
        <v>6.2400000000000008E-7</v>
      </c>
      <c r="BC284" s="140">
        <f t="shared" si="130"/>
        <v>9.3600000000000012E-7</v>
      </c>
      <c r="BD284" s="140">
        <f t="shared" si="131"/>
        <v>1.2480000000000004E-6</v>
      </c>
      <c r="BE284" s="140">
        <f t="shared" si="132"/>
        <v>1.5600000000000003E-6</v>
      </c>
      <c r="BF284" s="157">
        <f>IF(AY284&lt;$B$89*DATA!$H$1037,DATA!$H$1037,IF(AY284&gt;DATA!$H$1036*$B$89,DATA!$H$1036,1))</f>
        <v>1.2</v>
      </c>
      <c r="BG284" s="156">
        <f t="shared" si="133"/>
        <v>9.9999999999999995E-8</v>
      </c>
      <c r="BI284" s="140">
        <f t="shared" si="134"/>
        <v>3.1200000000000006E-5</v>
      </c>
      <c r="BJ284">
        <v>3.12</v>
      </c>
      <c r="BK284" s="140">
        <f t="shared" si="135"/>
        <v>3.1199999999999994E-7</v>
      </c>
      <c r="BL284" s="140">
        <f t="shared" si="136"/>
        <v>6.2400000000000008E-7</v>
      </c>
      <c r="BM284" s="140">
        <f t="shared" si="137"/>
        <v>9.3600000000000012E-7</v>
      </c>
      <c r="BN284" s="140">
        <f t="shared" si="138"/>
        <v>1.2480000000000004E-6</v>
      </c>
      <c r="BO284" s="140">
        <f t="shared" si="139"/>
        <v>1.5600000000000003E-6</v>
      </c>
      <c r="BP284" s="157">
        <f>IF(BI284&lt;$B$105*DATA!$H$1037,DATA!$H$1037,IF(BI284&gt;DATA!$H$1036*$B$105,DATA!$H$1036,1))</f>
        <v>1.2</v>
      </c>
      <c r="BQ284" s="156">
        <f t="shared" si="140"/>
        <v>9.9999999999999995E-8</v>
      </c>
    </row>
    <row r="285" spans="1:69">
      <c r="A285" s="140">
        <f t="shared" si="96"/>
        <v>3.1400000000000004E-5</v>
      </c>
      <c r="B285">
        <v>3.14</v>
      </c>
      <c r="C285" s="140">
        <f t="shared" si="97"/>
        <v>3.1399999999999993E-7</v>
      </c>
      <c r="D285" s="140">
        <f t="shared" si="97"/>
        <v>6.2799999999999996E-7</v>
      </c>
      <c r="E285" s="140">
        <f t="shared" si="97"/>
        <v>9.4200000000000004E-7</v>
      </c>
      <c r="F285" s="140">
        <f t="shared" si="97"/>
        <v>1.2560000000000001E-6</v>
      </c>
      <c r="G285" s="140">
        <f t="shared" si="97"/>
        <v>1.5700000000000002E-6</v>
      </c>
      <c r="H285" s="157">
        <f>IF(A285&lt;$B$9*DATA!$H$1037,DATA!$H$1037,IF(A285&gt;DATA!$H$1036*$B$9,DATA!$H$1036,1))</f>
        <v>0.8</v>
      </c>
      <c r="I285" s="156">
        <f t="shared" si="98"/>
        <v>9.9999999999999995E-8</v>
      </c>
      <c r="K285" s="140">
        <f t="shared" si="99"/>
        <v>3.1400000000000004E-5</v>
      </c>
      <c r="L285">
        <v>3.14</v>
      </c>
      <c r="M285" s="140">
        <f t="shared" si="100"/>
        <v>3.1399999999999993E-7</v>
      </c>
      <c r="N285" s="140">
        <f t="shared" si="101"/>
        <v>6.2799999999999996E-7</v>
      </c>
      <c r="O285" s="140">
        <f t="shared" si="102"/>
        <v>9.4200000000000004E-7</v>
      </c>
      <c r="P285" s="140">
        <f t="shared" si="103"/>
        <v>1.2560000000000001E-6</v>
      </c>
      <c r="Q285" s="140">
        <f t="shared" si="104"/>
        <v>1.5700000000000002E-6</v>
      </c>
      <c r="R285" s="157">
        <f>IF(K285&lt;$B$25*DATA!$H$1037,DATA!$H$1037,IF(K285&gt;DATA!$H$1036*$B$25,DATA!$H$1036,1))</f>
        <v>0.8</v>
      </c>
      <c r="S285" s="156">
        <f t="shared" si="105"/>
        <v>9.9999999999999995E-8</v>
      </c>
      <c r="U285" s="140">
        <f t="shared" si="106"/>
        <v>3.1400000000000004E-5</v>
      </c>
      <c r="V285">
        <v>3.14</v>
      </c>
      <c r="W285" s="140">
        <f t="shared" si="107"/>
        <v>3.1399999999999993E-7</v>
      </c>
      <c r="X285" s="140">
        <f t="shared" si="108"/>
        <v>6.2799999999999996E-7</v>
      </c>
      <c r="Y285" s="140">
        <f t="shared" si="109"/>
        <v>9.4200000000000004E-7</v>
      </c>
      <c r="Z285" s="140">
        <f t="shared" si="110"/>
        <v>1.2560000000000001E-6</v>
      </c>
      <c r="AA285" s="140">
        <f t="shared" si="111"/>
        <v>1.5700000000000002E-6</v>
      </c>
      <c r="AB285" s="157">
        <f>IF(U285&lt;$B$41*DATA!$H$1037,DATA!$H$1037,IF(U285&gt;DATA!$H$1036*$B$41,DATA!$H$1036,1))</f>
        <v>0.8</v>
      </c>
      <c r="AC285" s="156">
        <f t="shared" si="112"/>
        <v>9.9999999999999995E-8</v>
      </c>
      <c r="AE285" s="140">
        <f t="shared" si="113"/>
        <v>3.1400000000000004E-5</v>
      </c>
      <c r="AF285">
        <v>3.14</v>
      </c>
      <c r="AG285" s="140">
        <f t="shared" si="114"/>
        <v>3.1399999999999993E-7</v>
      </c>
      <c r="AH285" s="140">
        <f t="shared" si="115"/>
        <v>6.2799999999999996E-7</v>
      </c>
      <c r="AI285" s="140">
        <f t="shared" si="116"/>
        <v>9.4200000000000004E-7</v>
      </c>
      <c r="AJ285" s="140">
        <f t="shared" si="117"/>
        <v>1.2560000000000001E-6</v>
      </c>
      <c r="AK285" s="140">
        <f t="shared" si="118"/>
        <v>1.5700000000000002E-6</v>
      </c>
      <c r="AL285" s="157">
        <f>IF(AE285&lt;$B$57*DATA!$H$1037,DATA!$H$1037,IF(AE285&gt;DATA!$H$1036*$B$57,DATA!$H$1036,1))</f>
        <v>1.2</v>
      </c>
      <c r="AM285" s="156">
        <f t="shared" si="119"/>
        <v>9.9999999999999995E-8</v>
      </c>
      <c r="AO285" s="140">
        <f t="shared" si="120"/>
        <v>3.1400000000000004E-5</v>
      </c>
      <c r="AP285">
        <v>3.14</v>
      </c>
      <c r="AQ285" s="140">
        <f t="shared" si="121"/>
        <v>3.1399999999999993E-7</v>
      </c>
      <c r="AR285" s="140">
        <f t="shared" si="122"/>
        <v>6.2799999999999996E-7</v>
      </c>
      <c r="AS285" s="140">
        <f t="shared" si="123"/>
        <v>9.4200000000000004E-7</v>
      </c>
      <c r="AT285" s="140">
        <f t="shared" si="124"/>
        <v>1.2560000000000001E-6</v>
      </c>
      <c r="AU285" s="140">
        <f t="shared" si="125"/>
        <v>1.5700000000000002E-6</v>
      </c>
      <c r="AV285" s="157">
        <f>IF(AO285&lt;$B$73*DATA!$H$1037,DATA!$H$1037,IF(AO285&gt;DATA!$H$1036*$B$73,DATA!$H$1036,1))</f>
        <v>1.2</v>
      </c>
      <c r="AW285" s="156">
        <f t="shared" si="126"/>
        <v>9.9999999999999995E-8</v>
      </c>
      <c r="AY285" s="140">
        <f t="shared" si="127"/>
        <v>3.1400000000000004E-5</v>
      </c>
      <c r="AZ285">
        <v>3.14</v>
      </c>
      <c r="BA285" s="140">
        <f t="shared" si="128"/>
        <v>3.1399999999999993E-7</v>
      </c>
      <c r="BB285" s="140">
        <f t="shared" si="129"/>
        <v>6.2799999999999996E-7</v>
      </c>
      <c r="BC285" s="140">
        <f t="shared" si="130"/>
        <v>9.4200000000000004E-7</v>
      </c>
      <c r="BD285" s="140">
        <f t="shared" si="131"/>
        <v>1.2560000000000001E-6</v>
      </c>
      <c r="BE285" s="140">
        <f t="shared" si="132"/>
        <v>1.5700000000000002E-6</v>
      </c>
      <c r="BF285" s="157">
        <f>IF(AY285&lt;$B$89*DATA!$H$1037,DATA!$H$1037,IF(AY285&gt;DATA!$H$1036*$B$89,DATA!$H$1036,1))</f>
        <v>1.2</v>
      </c>
      <c r="BG285" s="156">
        <f t="shared" si="133"/>
        <v>9.9999999999999995E-8</v>
      </c>
      <c r="BI285" s="140">
        <f t="shared" si="134"/>
        <v>3.1400000000000004E-5</v>
      </c>
      <c r="BJ285">
        <v>3.14</v>
      </c>
      <c r="BK285" s="140">
        <f t="shared" si="135"/>
        <v>3.1399999999999993E-7</v>
      </c>
      <c r="BL285" s="140">
        <f t="shared" si="136"/>
        <v>6.2799999999999996E-7</v>
      </c>
      <c r="BM285" s="140">
        <f t="shared" si="137"/>
        <v>9.4200000000000004E-7</v>
      </c>
      <c r="BN285" s="140">
        <f t="shared" si="138"/>
        <v>1.2560000000000001E-6</v>
      </c>
      <c r="BO285" s="140">
        <f t="shared" si="139"/>
        <v>1.5700000000000002E-6</v>
      </c>
      <c r="BP285" s="157">
        <f>IF(BI285&lt;$B$105*DATA!$H$1037,DATA!$H$1037,IF(BI285&gt;DATA!$H$1036*$B$105,DATA!$H$1036,1))</f>
        <v>1.2</v>
      </c>
      <c r="BQ285" s="156">
        <f t="shared" si="140"/>
        <v>9.9999999999999995E-8</v>
      </c>
    </row>
    <row r="286" spans="1:69">
      <c r="A286" s="140">
        <f t="shared" si="96"/>
        <v>3.1600000000000002E-5</v>
      </c>
      <c r="B286">
        <v>3.16</v>
      </c>
      <c r="C286" s="140">
        <f t="shared" si="97"/>
        <v>3.1599999999999992E-7</v>
      </c>
      <c r="D286" s="140">
        <f t="shared" si="97"/>
        <v>6.3199999999999994E-7</v>
      </c>
      <c r="E286" s="140">
        <f t="shared" si="97"/>
        <v>9.4800000000000007E-7</v>
      </c>
      <c r="F286" s="140">
        <f t="shared" si="97"/>
        <v>1.2640000000000001E-6</v>
      </c>
      <c r="G286" s="140">
        <f t="shared" si="97"/>
        <v>1.5800000000000001E-6</v>
      </c>
      <c r="H286" s="157">
        <f>IF(A286&lt;$B$9*DATA!$H$1037,DATA!$H$1037,IF(A286&gt;DATA!$H$1036*$B$9,DATA!$H$1036,1))</f>
        <v>0.8</v>
      </c>
      <c r="I286" s="156">
        <f t="shared" si="98"/>
        <v>9.9999999999999995E-8</v>
      </c>
      <c r="K286" s="140">
        <f t="shared" si="99"/>
        <v>3.1600000000000002E-5</v>
      </c>
      <c r="L286">
        <v>3.16</v>
      </c>
      <c r="M286" s="140">
        <f t="shared" si="100"/>
        <v>3.1599999999999992E-7</v>
      </c>
      <c r="N286" s="140">
        <f t="shared" si="101"/>
        <v>6.3199999999999994E-7</v>
      </c>
      <c r="O286" s="140">
        <f t="shared" si="102"/>
        <v>9.4800000000000007E-7</v>
      </c>
      <c r="P286" s="140">
        <f t="shared" si="103"/>
        <v>1.2640000000000001E-6</v>
      </c>
      <c r="Q286" s="140">
        <f t="shared" si="104"/>
        <v>1.5800000000000001E-6</v>
      </c>
      <c r="R286" s="157">
        <f>IF(K286&lt;$B$25*DATA!$H$1037,DATA!$H$1037,IF(K286&gt;DATA!$H$1036*$B$25,DATA!$H$1036,1))</f>
        <v>0.8</v>
      </c>
      <c r="S286" s="156">
        <f t="shared" si="105"/>
        <v>9.9999999999999995E-8</v>
      </c>
      <c r="U286" s="140">
        <f t="shared" si="106"/>
        <v>3.1600000000000002E-5</v>
      </c>
      <c r="V286">
        <v>3.16</v>
      </c>
      <c r="W286" s="140">
        <f t="shared" si="107"/>
        <v>3.1599999999999992E-7</v>
      </c>
      <c r="X286" s="140">
        <f t="shared" si="108"/>
        <v>6.3199999999999994E-7</v>
      </c>
      <c r="Y286" s="140">
        <f t="shared" si="109"/>
        <v>9.4800000000000007E-7</v>
      </c>
      <c r="Z286" s="140">
        <f t="shared" si="110"/>
        <v>1.2640000000000001E-6</v>
      </c>
      <c r="AA286" s="140">
        <f t="shared" si="111"/>
        <v>1.5800000000000001E-6</v>
      </c>
      <c r="AB286" s="157">
        <f>IF(U286&lt;$B$41*DATA!$H$1037,DATA!$H$1037,IF(U286&gt;DATA!$H$1036*$B$41,DATA!$H$1036,1))</f>
        <v>0.8</v>
      </c>
      <c r="AC286" s="156">
        <f t="shared" si="112"/>
        <v>9.9999999999999995E-8</v>
      </c>
      <c r="AE286" s="140">
        <f t="shared" si="113"/>
        <v>3.1600000000000002E-5</v>
      </c>
      <c r="AF286">
        <v>3.16</v>
      </c>
      <c r="AG286" s="140">
        <f t="shared" si="114"/>
        <v>3.1599999999999992E-7</v>
      </c>
      <c r="AH286" s="140">
        <f t="shared" si="115"/>
        <v>6.3199999999999994E-7</v>
      </c>
      <c r="AI286" s="140">
        <f t="shared" si="116"/>
        <v>9.4800000000000007E-7</v>
      </c>
      <c r="AJ286" s="140">
        <f t="shared" si="117"/>
        <v>1.2640000000000001E-6</v>
      </c>
      <c r="AK286" s="140">
        <f t="shared" si="118"/>
        <v>1.5800000000000001E-6</v>
      </c>
      <c r="AL286" s="157">
        <f>IF(AE286&lt;$B$57*DATA!$H$1037,DATA!$H$1037,IF(AE286&gt;DATA!$H$1036*$B$57,DATA!$H$1036,1))</f>
        <v>1.2</v>
      </c>
      <c r="AM286" s="156">
        <f t="shared" si="119"/>
        <v>9.9999999999999995E-8</v>
      </c>
      <c r="AO286" s="140">
        <f t="shared" si="120"/>
        <v>3.1600000000000002E-5</v>
      </c>
      <c r="AP286">
        <v>3.16</v>
      </c>
      <c r="AQ286" s="140">
        <f t="shared" si="121"/>
        <v>3.1599999999999992E-7</v>
      </c>
      <c r="AR286" s="140">
        <f t="shared" si="122"/>
        <v>6.3199999999999994E-7</v>
      </c>
      <c r="AS286" s="140">
        <f t="shared" si="123"/>
        <v>9.4800000000000007E-7</v>
      </c>
      <c r="AT286" s="140">
        <f t="shared" si="124"/>
        <v>1.2640000000000001E-6</v>
      </c>
      <c r="AU286" s="140">
        <f t="shared" si="125"/>
        <v>1.5800000000000001E-6</v>
      </c>
      <c r="AV286" s="157">
        <f>IF(AO286&lt;$B$73*DATA!$H$1037,DATA!$H$1037,IF(AO286&gt;DATA!$H$1036*$B$73,DATA!$H$1036,1))</f>
        <v>1.2</v>
      </c>
      <c r="AW286" s="156">
        <f t="shared" si="126"/>
        <v>9.9999999999999995E-8</v>
      </c>
      <c r="AY286" s="140">
        <f t="shared" si="127"/>
        <v>3.1600000000000002E-5</v>
      </c>
      <c r="AZ286">
        <v>3.16</v>
      </c>
      <c r="BA286" s="140">
        <f t="shared" si="128"/>
        <v>3.1599999999999992E-7</v>
      </c>
      <c r="BB286" s="140">
        <f t="shared" si="129"/>
        <v>6.3199999999999994E-7</v>
      </c>
      <c r="BC286" s="140">
        <f t="shared" si="130"/>
        <v>9.4800000000000007E-7</v>
      </c>
      <c r="BD286" s="140">
        <f t="shared" si="131"/>
        <v>1.2640000000000001E-6</v>
      </c>
      <c r="BE286" s="140">
        <f t="shared" si="132"/>
        <v>1.5800000000000001E-6</v>
      </c>
      <c r="BF286" s="157">
        <f>IF(AY286&lt;$B$89*DATA!$H$1037,DATA!$H$1037,IF(AY286&gt;DATA!$H$1036*$B$89,DATA!$H$1036,1))</f>
        <v>1.2</v>
      </c>
      <c r="BG286" s="156">
        <f t="shared" si="133"/>
        <v>9.9999999999999995E-8</v>
      </c>
      <c r="BI286" s="140">
        <f t="shared" si="134"/>
        <v>3.1600000000000002E-5</v>
      </c>
      <c r="BJ286">
        <v>3.16</v>
      </c>
      <c r="BK286" s="140">
        <f t="shared" si="135"/>
        <v>3.1599999999999992E-7</v>
      </c>
      <c r="BL286" s="140">
        <f t="shared" si="136"/>
        <v>6.3199999999999994E-7</v>
      </c>
      <c r="BM286" s="140">
        <f t="shared" si="137"/>
        <v>9.4800000000000007E-7</v>
      </c>
      <c r="BN286" s="140">
        <f t="shared" si="138"/>
        <v>1.2640000000000001E-6</v>
      </c>
      <c r="BO286" s="140">
        <f t="shared" si="139"/>
        <v>1.5800000000000001E-6</v>
      </c>
      <c r="BP286" s="157">
        <f>IF(BI286&lt;$B$105*DATA!$H$1037,DATA!$H$1037,IF(BI286&gt;DATA!$H$1036*$B$105,DATA!$H$1036,1))</f>
        <v>1.2</v>
      </c>
      <c r="BQ286" s="156">
        <f t="shared" si="140"/>
        <v>9.9999999999999995E-8</v>
      </c>
    </row>
    <row r="287" spans="1:69">
      <c r="A287" s="140">
        <f t="shared" si="96"/>
        <v>3.1800000000000007E-5</v>
      </c>
      <c r="B287">
        <v>3.18</v>
      </c>
      <c r="C287" s="140">
        <f t="shared" si="97"/>
        <v>3.1799999999999996E-7</v>
      </c>
      <c r="D287" s="140">
        <f t="shared" si="97"/>
        <v>6.3600000000000003E-7</v>
      </c>
      <c r="E287" s="140">
        <f t="shared" si="97"/>
        <v>9.540000000000001E-7</v>
      </c>
      <c r="F287" s="140">
        <f t="shared" si="97"/>
        <v>1.2720000000000003E-6</v>
      </c>
      <c r="G287" s="140">
        <f t="shared" si="97"/>
        <v>1.5900000000000004E-6</v>
      </c>
      <c r="H287" s="157">
        <f>IF(A287&lt;$B$9*DATA!$H$1037,DATA!$H$1037,IF(A287&gt;DATA!$H$1036*$B$9,DATA!$H$1036,1))</f>
        <v>0.8</v>
      </c>
      <c r="I287" s="156">
        <f t="shared" si="98"/>
        <v>9.9999999999999995E-8</v>
      </c>
      <c r="K287" s="140">
        <f t="shared" si="99"/>
        <v>3.1800000000000007E-5</v>
      </c>
      <c r="L287">
        <v>3.18</v>
      </c>
      <c r="M287" s="140">
        <f t="shared" si="100"/>
        <v>3.1799999999999996E-7</v>
      </c>
      <c r="N287" s="140">
        <f t="shared" si="101"/>
        <v>6.3600000000000003E-7</v>
      </c>
      <c r="O287" s="140">
        <f t="shared" si="102"/>
        <v>9.540000000000001E-7</v>
      </c>
      <c r="P287" s="140">
        <f t="shared" si="103"/>
        <v>1.2720000000000003E-6</v>
      </c>
      <c r="Q287" s="140">
        <f t="shared" si="104"/>
        <v>1.5900000000000004E-6</v>
      </c>
      <c r="R287" s="157">
        <f>IF(K287&lt;$B$25*DATA!$H$1037,DATA!$H$1037,IF(K287&gt;DATA!$H$1036*$B$25,DATA!$H$1036,1))</f>
        <v>0.8</v>
      </c>
      <c r="S287" s="156">
        <f t="shared" si="105"/>
        <v>9.9999999999999995E-8</v>
      </c>
      <c r="U287" s="140">
        <f t="shared" si="106"/>
        <v>3.1800000000000007E-5</v>
      </c>
      <c r="V287">
        <v>3.18</v>
      </c>
      <c r="W287" s="140">
        <f t="shared" si="107"/>
        <v>3.1799999999999996E-7</v>
      </c>
      <c r="X287" s="140">
        <f t="shared" si="108"/>
        <v>6.3600000000000003E-7</v>
      </c>
      <c r="Y287" s="140">
        <f t="shared" si="109"/>
        <v>9.540000000000001E-7</v>
      </c>
      <c r="Z287" s="140">
        <f t="shared" si="110"/>
        <v>1.2720000000000003E-6</v>
      </c>
      <c r="AA287" s="140">
        <f t="shared" si="111"/>
        <v>1.5900000000000004E-6</v>
      </c>
      <c r="AB287" s="157">
        <f>IF(U287&lt;$B$41*DATA!$H$1037,DATA!$H$1037,IF(U287&gt;DATA!$H$1036*$B$41,DATA!$H$1036,1))</f>
        <v>0.8</v>
      </c>
      <c r="AC287" s="156">
        <f t="shared" si="112"/>
        <v>9.9999999999999995E-8</v>
      </c>
      <c r="AE287" s="140">
        <f t="shared" si="113"/>
        <v>3.1800000000000007E-5</v>
      </c>
      <c r="AF287">
        <v>3.18</v>
      </c>
      <c r="AG287" s="140">
        <f t="shared" si="114"/>
        <v>3.1799999999999996E-7</v>
      </c>
      <c r="AH287" s="140">
        <f t="shared" si="115"/>
        <v>6.3600000000000003E-7</v>
      </c>
      <c r="AI287" s="140">
        <f t="shared" si="116"/>
        <v>9.540000000000001E-7</v>
      </c>
      <c r="AJ287" s="140">
        <f t="shared" si="117"/>
        <v>1.2720000000000003E-6</v>
      </c>
      <c r="AK287" s="140">
        <f t="shared" si="118"/>
        <v>1.5900000000000004E-6</v>
      </c>
      <c r="AL287" s="157">
        <f>IF(AE287&lt;$B$57*DATA!$H$1037,DATA!$H$1037,IF(AE287&gt;DATA!$H$1036*$B$57,DATA!$H$1036,1))</f>
        <v>1.2</v>
      </c>
      <c r="AM287" s="156">
        <f t="shared" si="119"/>
        <v>9.9999999999999995E-8</v>
      </c>
      <c r="AO287" s="140">
        <f t="shared" si="120"/>
        <v>3.1800000000000007E-5</v>
      </c>
      <c r="AP287">
        <v>3.18</v>
      </c>
      <c r="AQ287" s="140">
        <f t="shared" si="121"/>
        <v>3.1799999999999996E-7</v>
      </c>
      <c r="AR287" s="140">
        <f t="shared" si="122"/>
        <v>6.3600000000000003E-7</v>
      </c>
      <c r="AS287" s="140">
        <f t="shared" si="123"/>
        <v>9.540000000000001E-7</v>
      </c>
      <c r="AT287" s="140">
        <f t="shared" si="124"/>
        <v>1.2720000000000003E-6</v>
      </c>
      <c r="AU287" s="140">
        <f t="shared" si="125"/>
        <v>1.5900000000000004E-6</v>
      </c>
      <c r="AV287" s="157">
        <f>IF(AO287&lt;$B$73*DATA!$H$1037,DATA!$H$1037,IF(AO287&gt;DATA!$H$1036*$B$73,DATA!$H$1036,1))</f>
        <v>1.2</v>
      </c>
      <c r="AW287" s="156">
        <f t="shared" si="126"/>
        <v>9.9999999999999995E-8</v>
      </c>
      <c r="AY287" s="140">
        <f t="shared" si="127"/>
        <v>3.1800000000000007E-5</v>
      </c>
      <c r="AZ287">
        <v>3.18</v>
      </c>
      <c r="BA287" s="140">
        <f t="shared" si="128"/>
        <v>3.1799999999999996E-7</v>
      </c>
      <c r="BB287" s="140">
        <f t="shared" si="129"/>
        <v>6.3600000000000003E-7</v>
      </c>
      <c r="BC287" s="140">
        <f t="shared" si="130"/>
        <v>9.540000000000001E-7</v>
      </c>
      <c r="BD287" s="140">
        <f t="shared" si="131"/>
        <v>1.2720000000000003E-6</v>
      </c>
      <c r="BE287" s="140">
        <f t="shared" si="132"/>
        <v>1.5900000000000004E-6</v>
      </c>
      <c r="BF287" s="157">
        <f>IF(AY287&lt;$B$89*DATA!$H$1037,DATA!$H$1037,IF(AY287&gt;DATA!$H$1036*$B$89,DATA!$H$1036,1))</f>
        <v>1.2</v>
      </c>
      <c r="BG287" s="156">
        <f t="shared" si="133"/>
        <v>9.9999999999999995E-8</v>
      </c>
      <c r="BI287" s="140">
        <f t="shared" si="134"/>
        <v>3.1800000000000007E-5</v>
      </c>
      <c r="BJ287">
        <v>3.18</v>
      </c>
      <c r="BK287" s="140">
        <f t="shared" si="135"/>
        <v>3.1799999999999996E-7</v>
      </c>
      <c r="BL287" s="140">
        <f t="shared" si="136"/>
        <v>6.3600000000000003E-7</v>
      </c>
      <c r="BM287" s="140">
        <f t="shared" si="137"/>
        <v>9.540000000000001E-7</v>
      </c>
      <c r="BN287" s="140">
        <f t="shared" si="138"/>
        <v>1.2720000000000003E-6</v>
      </c>
      <c r="BO287" s="140">
        <f t="shared" si="139"/>
        <v>1.5900000000000004E-6</v>
      </c>
      <c r="BP287" s="157">
        <f>IF(BI287&lt;$B$105*DATA!$H$1037,DATA!$H$1037,IF(BI287&gt;DATA!$H$1036*$B$105,DATA!$H$1036,1))</f>
        <v>1.2</v>
      </c>
      <c r="BQ287" s="156">
        <f t="shared" si="140"/>
        <v>9.9999999999999995E-8</v>
      </c>
    </row>
    <row r="288" spans="1:69">
      <c r="A288" s="140">
        <f t="shared" si="96"/>
        <v>3.2000000000000005E-5</v>
      </c>
      <c r="B288">
        <v>3.2</v>
      </c>
      <c r="C288" s="140">
        <f t="shared" si="97"/>
        <v>3.1999999999999995E-7</v>
      </c>
      <c r="D288" s="140">
        <f t="shared" si="97"/>
        <v>6.4000000000000001E-7</v>
      </c>
      <c r="E288" s="140">
        <f t="shared" si="97"/>
        <v>9.6000000000000013E-7</v>
      </c>
      <c r="F288" s="140">
        <f t="shared" si="97"/>
        <v>1.2800000000000002E-6</v>
      </c>
      <c r="G288" s="140">
        <f t="shared" si="97"/>
        <v>1.6000000000000004E-6</v>
      </c>
      <c r="H288" s="157">
        <f>IF(A288&lt;$B$9*DATA!$H$1037,DATA!$H$1037,IF(A288&gt;DATA!$H$1036*$B$9,DATA!$H$1036,1))</f>
        <v>0.8</v>
      </c>
      <c r="I288" s="156">
        <f t="shared" si="98"/>
        <v>9.9999999999999995E-8</v>
      </c>
      <c r="K288" s="140">
        <f t="shared" si="99"/>
        <v>3.2000000000000005E-5</v>
      </c>
      <c r="L288">
        <v>3.2</v>
      </c>
      <c r="M288" s="140">
        <f t="shared" si="100"/>
        <v>3.1999999999999995E-7</v>
      </c>
      <c r="N288" s="140">
        <f t="shared" si="101"/>
        <v>6.4000000000000001E-7</v>
      </c>
      <c r="O288" s="140">
        <f t="shared" si="102"/>
        <v>9.6000000000000013E-7</v>
      </c>
      <c r="P288" s="140">
        <f t="shared" si="103"/>
        <v>1.2800000000000002E-6</v>
      </c>
      <c r="Q288" s="140">
        <f t="shared" si="104"/>
        <v>1.6000000000000004E-6</v>
      </c>
      <c r="R288" s="157">
        <f>IF(K288&lt;$B$25*DATA!$H$1037,DATA!$H$1037,IF(K288&gt;DATA!$H$1036*$B$25,DATA!$H$1036,1))</f>
        <v>0.8</v>
      </c>
      <c r="S288" s="156">
        <f t="shared" si="105"/>
        <v>9.9999999999999995E-8</v>
      </c>
      <c r="U288" s="140">
        <f t="shared" si="106"/>
        <v>3.2000000000000005E-5</v>
      </c>
      <c r="V288">
        <v>3.2</v>
      </c>
      <c r="W288" s="140">
        <f t="shared" si="107"/>
        <v>3.1999999999999995E-7</v>
      </c>
      <c r="X288" s="140">
        <f t="shared" si="108"/>
        <v>6.4000000000000001E-7</v>
      </c>
      <c r="Y288" s="140">
        <f t="shared" si="109"/>
        <v>9.6000000000000013E-7</v>
      </c>
      <c r="Z288" s="140">
        <f t="shared" si="110"/>
        <v>1.2800000000000002E-6</v>
      </c>
      <c r="AA288" s="140">
        <f t="shared" si="111"/>
        <v>1.6000000000000004E-6</v>
      </c>
      <c r="AB288" s="157">
        <f>IF(U288&lt;$B$41*DATA!$H$1037,DATA!$H$1037,IF(U288&gt;DATA!$H$1036*$B$41,DATA!$H$1036,1))</f>
        <v>0.8</v>
      </c>
      <c r="AC288" s="156">
        <f t="shared" si="112"/>
        <v>9.9999999999999995E-8</v>
      </c>
      <c r="AE288" s="140">
        <f t="shared" si="113"/>
        <v>3.2000000000000005E-5</v>
      </c>
      <c r="AF288">
        <v>3.2</v>
      </c>
      <c r="AG288" s="140">
        <f t="shared" si="114"/>
        <v>3.1999999999999995E-7</v>
      </c>
      <c r="AH288" s="140">
        <f t="shared" si="115"/>
        <v>6.4000000000000001E-7</v>
      </c>
      <c r="AI288" s="140">
        <f t="shared" si="116"/>
        <v>9.6000000000000013E-7</v>
      </c>
      <c r="AJ288" s="140">
        <f t="shared" si="117"/>
        <v>1.2800000000000002E-6</v>
      </c>
      <c r="AK288" s="140">
        <f t="shared" si="118"/>
        <v>1.6000000000000004E-6</v>
      </c>
      <c r="AL288" s="157">
        <f>IF(AE288&lt;$B$57*DATA!$H$1037,DATA!$H$1037,IF(AE288&gt;DATA!$H$1036*$B$57,DATA!$H$1036,1))</f>
        <v>1.2</v>
      </c>
      <c r="AM288" s="156">
        <f t="shared" si="119"/>
        <v>9.9999999999999995E-8</v>
      </c>
      <c r="AO288" s="140">
        <f t="shared" si="120"/>
        <v>3.2000000000000005E-5</v>
      </c>
      <c r="AP288">
        <v>3.2</v>
      </c>
      <c r="AQ288" s="140">
        <f t="shared" si="121"/>
        <v>3.1999999999999995E-7</v>
      </c>
      <c r="AR288" s="140">
        <f t="shared" si="122"/>
        <v>6.4000000000000001E-7</v>
      </c>
      <c r="AS288" s="140">
        <f t="shared" si="123"/>
        <v>9.6000000000000013E-7</v>
      </c>
      <c r="AT288" s="140">
        <f t="shared" si="124"/>
        <v>1.2800000000000002E-6</v>
      </c>
      <c r="AU288" s="140">
        <f t="shared" si="125"/>
        <v>1.6000000000000004E-6</v>
      </c>
      <c r="AV288" s="157">
        <f>IF(AO288&lt;$B$73*DATA!$H$1037,DATA!$H$1037,IF(AO288&gt;DATA!$H$1036*$B$73,DATA!$H$1036,1))</f>
        <v>1.2</v>
      </c>
      <c r="AW288" s="156">
        <f t="shared" si="126"/>
        <v>9.9999999999999995E-8</v>
      </c>
      <c r="AY288" s="140">
        <f t="shared" si="127"/>
        <v>3.2000000000000005E-5</v>
      </c>
      <c r="AZ288">
        <v>3.2</v>
      </c>
      <c r="BA288" s="140">
        <f t="shared" si="128"/>
        <v>3.1999999999999995E-7</v>
      </c>
      <c r="BB288" s="140">
        <f t="shared" si="129"/>
        <v>6.4000000000000001E-7</v>
      </c>
      <c r="BC288" s="140">
        <f t="shared" si="130"/>
        <v>9.6000000000000013E-7</v>
      </c>
      <c r="BD288" s="140">
        <f t="shared" si="131"/>
        <v>1.2800000000000002E-6</v>
      </c>
      <c r="BE288" s="140">
        <f t="shared" si="132"/>
        <v>1.6000000000000004E-6</v>
      </c>
      <c r="BF288" s="157">
        <f>IF(AY288&lt;$B$89*DATA!$H$1037,DATA!$H$1037,IF(AY288&gt;DATA!$H$1036*$B$89,DATA!$H$1036,1))</f>
        <v>1.2</v>
      </c>
      <c r="BG288" s="156">
        <f t="shared" si="133"/>
        <v>9.9999999999999995E-8</v>
      </c>
      <c r="BI288" s="140">
        <f t="shared" si="134"/>
        <v>3.2000000000000005E-5</v>
      </c>
      <c r="BJ288">
        <v>3.2</v>
      </c>
      <c r="BK288" s="140">
        <f t="shared" si="135"/>
        <v>3.1999999999999995E-7</v>
      </c>
      <c r="BL288" s="140">
        <f t="shared" si="136"/>
        <v>6.4000000000000001E-7</v>
      </c>
      <c r="BM288" s="140">
        <f t="shared" si="137"/>
        <v>9.6000000000000013E-7</v>
      </c>
      <c r="BN288" s="140">
        <f t="shared" si="138"/>
        <v>1.2800000000000002E-6</v>
      </c>
      <c r="BO288" s="140">
        <f t="shared" si="139"/>
        <v>1.6000000000000004E-6</v>
      </c>
      <c r="BP288" s="157">
        <f>IF(BI288&lt;$B$105*DATA!$H$1037,DATA!$H$1037,IF(BI288&gt;DATA!$H$1036*$B$105,DATA!$H$1036,1))</f>
        <v>1.2</v>
      </c>
      <c r="BQ288" s="156">
        <f t="shared" si="140"/>
        <v>9.9999999999999995E-8</v>
      </c>
    </row>
    <row r="289" spans="1:69">
      <c r="A289" s="140">
        <f t="shared" si="96"/>
        <v>3.2200000000000003E-5</v>
      </c>
      <c r="B289">
        <v>3.22</v>
      </c>
      <c r="C289" s="140">
        <f t="shared" si="97"/>
        <v>3.2199999999999995E-7</v>
      </c>
      <c r="D289" s="140">
        <f t="shared" si="97"/>
        <v>6.44E-7</v>
      </c>
      <c r="E289" s="140">
        <f t="shared" si="97"/>
        <v>9.6600000000000015E-7</v>
      </c>
      <c r="F289" s="140">
        <f t="shared" si="97"/>
        <v>1.2880000000000002E-6</v>
      </c>
      <c r="G289" s="140">
        <f t="shared" si="97"/>
        <v>1.6100000000000003E-6</v>
      </c>
      <c r="H289" s="157">
        <f>IF(A289&lt;$B$9*DATA!$H$1037,DATA!$H$1037,IF(A289&gt;DATA!$H$1036*$B$9,DATA!$H$1036,1))</f>
        <v>0.8</v>
      </c>
      <c r="I289" s="156">
        <f t="shared" si="98"/>
        <v>9.9999999999999995E-8</v>
      </c>
      <c r="K289" s="140">
        <f t="shared" si="99"/>
        <v>3.2200000000000003E-5</v>
      </c>
      <c r="L289">
        <v>3.22</v>
      </c>
      <c r="M289" s="140">
        <f t="shared" si="100"/>
        <v>3.2199999999999995E-7</v>
      </c>
      <c r="N289" s="140">
        <f t="shared" si="101"/>
        <v>6.44E-7</v>
      </c>
      <c r="O289" s="140">
        <f t="shared" si="102"/>
        <v>9.6600000000000015E-7</v>
      </c>
      <c r="P289" s="140">
        <f t="shared" si="103"/>
        <v>1.2880000000000002E-6</v>
      </c>
      <c r="Q289" s="140">
        <f t="shared" si="104"/>
        <v>1.6100000000000003E-6</v>
      </c>
      <c r="R289" s="157">
        <f>IF(K289&lt;$B$25*DATA!$H$1037,DATA!$H$1037,IF(K289&gt;DATA!$H$1036*$B$25,DATA!$H$1036,1))</f>
        <v>0.8</v>
      </c>
      <c r="S289" s="156">
        <f t="shared" si="105"/>
        <v>9.9999999999999995E-8</v>
      </c>
      <c r="U289" s="140">
        <f t="shared" si="106"/>
        <v>3.2200000000000003E-5</v>
      </c>
      <c r="V289">
        <v>3.22</v>
      </c>
      <c r="W289" s="140">
        <f t="shared" si="107"/>
        <v>3.2199999999999995E-7</v>
      </c>
      <c r="X289" s="140">
        <f t="shared" si="108"/>
        <v>6.44E-7</v>
      </c>
      <c r="Y289" s="140">
        <f t="shared" si="109"/>
        <v>9.6600000000000015E-7</v>
      </c>
      <c r="Z289" s="140">
        <f t="shared" si="110"/>
        <v>1.2880000000000002E-6</v>
      </c>
      <c r="AA289" s="140">
        <f t="shared" si="111"/>
        <v>1.6100000000000003E-6</v>
      </c>
      <c r="AB289" s="157">
        <f>IF(U289&lt;$B$41*DATA!$H$1037,DATA!$H$1037,IF(U289&gt;DATA!$H$1036*$B$41,DATA!$H$1036,1))</f>
        <v>0.8</v>
      </c>
      <c r="AC289" s="156">
        <f t="shared" si="112"/>
        <v>9.9999999999999995E-8</v>
      </c>
      <c r="AE289" s="140">
        <f t="shared" si="113"/>
        <v>3.2200000000000003E-5</v>
      </c>
      <c r="AF289">
        <v>3.22</v>
      </c>
      <c r="AG289" s="140">
        <f t="shared" si="114"/>
        <v>3.2199999999999995E-7</v>
      </c>
      <c r="AH289" s="140">
        <f t="shared" si="115"/>
        <v>6.44E-7</v>
      </c>
      <c r="AI289" s="140">
        <f t="shared" si="116"/>
        <v>9.6600000000000015E-7</v>
      </c>
      <c r="AJ289" s="140">
        <f t="shared" si="117"/>
        <v>1.2880000000000002E-6</v>
      </c>
      <c r="AK289" s="140">
        <f t="shared" si="118"/>
        <v>1.6100000000000003E-6</v>
      </c>
      <c r="AL289" s="157">
        <f>IF(AE289&lt;$B$57*DATA!$H$1037,DATA!$H$1037,IF(AE289&gt;DATA!$H$1036*$B$57,DATA!$H$1036,1))</f>
        <v>1.2</v>
      </c>
      <c r="AM289" s="156">
        <f t="shared" si="119"/>
        <v>9.9999999999999995E-8</v>
      </c>
      <c r="AO289" s="140">
        <f t="shared" si="120"/>
        <v>3.2200000000000003E-5</v>
      </c>
      <c r="AP289">
        <v>3.22</v>
      </c>
      <c r="AQ289" s="140">
        <f t="shared" si="121"/>
        <v>3.2199999999999995E-7</v>
      </c>
      <c r="AR289" s="140">
        <f t="shared" si="122"/>
        <v>6.44E-7</v>
      </c>
      <c r="AS289" s="140">
        <f t="shared" si="123"/>
        <v>9.6600000000000015E-7</v>
      </c>
      <c r="AT289" s="140">
        <f t="shared" si="124"/>
        <v>1.2880000000000002E-6</v>
      </c>
      <c r="AU289" s="140">
        <f t="shared" si="125"/>
        <v>1.6100000000000003E-6</v>
      </c>
      <c r="AV289" s="157">
        <f>IF(AO289&lt;$B$73*DATA!$H$1037,DATA!$H$1037,IF(AO289&gt;DATA!$H$1036*$B$73,DATA!$H$1036,1))</f>
        <v>1.2</v>
      </c>
      <c r="AW289" s="156">
        <f t="shared" si="126"/>
        <v>9.9999999999999995E-8</v>
      </c>
      <c r="AY289" s="140">
        <f t="shared" si="127"/>
        <v>3.2200000000000003E-5</v>
      </c>
      <c r="AZ289">
        <v>3.22</v>
      </c>
      <c r="BA289" s="140">
        <f t="shared" si="128"/>
        <v>3.2199999999999995E-7</v>
      </c>
      <c r="BB289" s="140">
        <f t="shared" si="129"/>
        <v>6.44E-7</v>
      </c>
      <c r="BC289" s="140">
        <f t="shared" si="130"/>
        <v>9.6600000000000015E-7</v>
      </c>
      <c r="BD289" s="140">
        <f t="shared" si="131"/>
        <v>1.2880000000000002E-6</v>
      </c>
      <c r="BE289" s="140">
        <f t="shared" si="132"/>
        <v>1.6100000000000003E-6</v>
      </c>
      <c r="BF289" s="157">
        <f>IF(AY289&lt;$B$89*DATA!$H$1037,DATA!$H$1037,IF(AY289&gt;DATA!$H$1036*$B$89,DATA!$H$1036,1))</f>
        <v>1.2</v>
      </c>
      <c r="BG289" s="156">
        <f t="shared" si="133"/>
        <v>9.9999999999999995E-8</v>
      </c>
      <c r="BI289" s="140">
        <f t="shared" si="134"/>
        <v>3.2200000000000003E-5</v>
      </c>
      <c r="BJ289">
        <v>3.22</v>
      </c>
      <c r="BK289" s="140">
        <f t="shared" si="135"/>
        <v>3.2199999999999995E-7</v>
      </c>
      <c r="BL289" s="140">
        <f t="shared" si="136"/>
        <v>6.44E-7</v>
      </c>
      <c r="BM289" s="140">
        <f t="shared" si="137"/>
        <v>9.6600000000000015E-7</v>
      </c>
      <c r="BN289" s="140">
        <f t="shared" si="138"/>
        <v>1.2880000000000002E-6</v>
      </c>
      <c r="BO289" s="140">
        <f t="shared" si="139"/>
        <v>1.6100000000000003E-6</v>
      </c>
      <c r="BP289" s="157">
        <f>IF(BI289&lt;$B$105*DATA!$H$1037,DATA!$H$1037,IF(BI289&gt;DATA!$H$1036*$B$105,DATA!$H$1036,1))</f>
        <v>1.2</v>
      </c>
      <c r="BQ289" s="156">
        <f t="shared" si="140"/>
        <v>9.9999999999999995E-8</v>
      </c>
    </row>
    <row r="290" spans="1:69">
      <c r="A290" s="140">
        <f t="shared" si="96"/>
        <v>3.2400000000000001E-5</v>
      </c>
      <c r="B290">
        <v>3.24</v>
      </c>
      <c r="C290" s="140">
        <f t="shared" si="97"/>
        <v>3.2399999999999988E-7</v>
      </c>
      <c r="D290" s="140">
        <f t="shared" si="97"/>
        <v>6.4799999999999998E-7</v>
      </c>
      <c r="E290" s="140">
        <f t="shared" si="97"/>
        <v>9.7199999999999997E-7</v>
      </c>
      <c r="F290" s="140">
        <f t="shared" si="97"/>
        <v>1.2960000000000002E-6</v>
      </c>
      <c r="G290" s="140">
        <f t="shared" si="97"/>
        <v>1.6200000000000002E-6</v>
      </c>
      <c r="H290" s="157">
        <f>IF(A290&lt;$B$9*DATA!$H$1037,DATA!$H$1037,IF(A290&gt;DATA!$H$1036*$B$9,DATA!$H$1036,1))</f>
        <v>0.8</v>
      </c>
      <c r="I290" s="156">
        <f t="shared" si="98"/>
        <v>9.9999999999999995E-8</v>
      </c>
      <c r="K290" s="140">
        <f t="shared" si="99"/>
        <v>3.2400000000000001E-5</v>
      </c>
      <c r="L290">
        <v>3.24</v>
      </c>
      <c r="M290" s="140">
        <f t="shared" si="100"/>
        <v>3.2399999999999988E-7</v>
      </c>
      <c r="N290" s="140">
        <f t="shared" si="101"/>
        <v>6.4799999999999998E-7</v>
      </c>
      <c r="O290" s="140">
        <f t="shared" si="102"/>
        <v>9.7199999999999997E-7</v>
      </c>
      <c r="P290" s="140">
        <f t="shared" si="103"/>
        <v>1.2960000000000002E-6</v>
      </c>
      <c r="Q290" s="140">
        <f t="shared" si="104"/>
        <v>1.6200000000000002E-6</v>
      </c>
      <c r="R290" s="157">
        <f>IF(K290&lt;$B$25*DATA!$H$1037,DATA!$H$1037,IF(K290&gt;DATA!$H$1036*$B$25,DATA!$H$1036,1))</f>
        <v>0.8</v>
      </c>
      <c r="S290" s="156">
        <f t="shared" si="105"/>
        <v>9.9999999999999995E-8</v>
      </c>
      <c r="U290" s="140">
        <f t="shared" si="106"/>
        <v>3.2400000000000001E-5</v>
      </c>
      <c r="V290">
        <v>3.24</v>
      </c>
      <c r="W290" s="140">
        <f t="shared" si="107"/>
        <v>3.2399999999999988E-7</v>
      </c>
      <c r="X290" s="140">
        <f t="shared" si="108"/>
        <v>6.4799999999999998E-7</v>
      </c>
      <c r="Y290" s="140">
        <f t="shared" si="109"/>
        <v>9.7199999999999997E-7</v>
      </c>
      <c r="Z290" s="140">
        <f t="shared" si="110"/>
        <v>1.2960000000000002E-6</v>
      </c>
      <c r="AA290" s="140">
        <f t="shared" si="111"/>
        <v>1.6200000000000002E-6</v>
      </c>
      <c r="AB290" s="157">
        <f>IF(U290&lt;$B$41*DATA!$H$1037,DATA!$H$1037,IF(U290&gt;DATA!$H$1036*$B$41,DATA!$H$1036,1))</f>
        <v>0.8</v>
      </c>
      <c r="AC290" s="156">
        <f t="shared" si="112"/>
        <v>9.9999999999999995E-8</v>
      </c>
      <c r="AE290" s="140">
        <f t="shared" si="113"/>
        <v>3.2400000000000001E-5</v>
      </c>
      <c r="AF290">
        <v>3.24</v>
      </c>
      <c r="AG290" s="140">
        <f t="shared" si="114"/>
        <v>3.2399999999999988E-7</v>
      </c>
      <c r="AH290" s="140">
        <f t="shared" si="115"/>
        <v>6.4799999999999998E-7</v>
      </c>
      <c r="AI290" s="140">
        <f t="shared" si="116"/>
        <v>9.7199999999999997E-7</v>
      </c>
      <c r="AJ290" s="140">
        <f t="shared" si="117"/>
        <v>1.2960000000000002E-6</v>
      </c>
      <c r="AK290" s="140">
        <f t="shared" si="118"/>
        <v>1.6200000000000002E-6</v>
      </c>
      <c r="AL290" s="157">
        <f>IF(AE290&lt;$B$57*DATA!$H$1037,DATA!$H$1037,IF(AE290&gt;DATA!$H$1036*$B$57,DATA!$H$1036,1))</f>
        <v>1.2</v>
      </c>
      <c r="AM290" s="156">
        <f t="shared" si="119"/>
        <v>9.9999999999999995E-8</v>
      </c>
      <c r="AO290" s="140">
        <f t="shared" si="120"/>
        <v>3.2400000000000001E-5</v>
      </c>
      <c r="AP290">
        <v>3.24</v>
      </c>
      <c r="AQ290" s="140">
        <f t="shared" si="121"/>
        <v>3.2399999999999988E-7</v>
      </c>
      <c r="AR290" s="140">
        <f t="shared" si="122"/>
        <v>6.4799999999999998E-7</v>
      </c>
      <c r="AS290" s="140">
        <f t="shared" si="123"/>
        <v>9.7199999999999997E-7</v>
      </c>
      <c r="AT290" s="140">
        <f t="shared" si="124"/>
        <v>1.2960000000000002E-6</v>
      </c>
      <c r="AU290" s="140">
        <f t="shared" si="125"/>
        <v>1.6200000000000002E-6</v>
      </c>
      <c r="AV290" s="157">
        <f>IF(AO290&lt;$B$73*DATA!$H$1037,DATA!$H$1037,IF(AO290&gt;DATA!$H$1036*$B$73,DATA!$H$1036,1))</f>
        <v>1.2</v>
      </c>
      <c r="AW290" s="156">
        <f t="shared" si="126"/>
        <v>9.9999999999999995E-8</v>
      </c>
      <c r="AY290" s="140">
        <f t="shared" si="127"/>
        <v>3.2400000000000001E-5</v>
      </c>
      <c r="AZ290">
        <v>3.24</v>
      </c>
      <c r="BA290" s="140">
        <f t="shared" si="128"/>
        <v>3.2399999999999988E-7</v>
      </c>
      <c r="BB290" s="140">
        <f t="shared" si="129"/>
        <v>6.4799999999999998E-7</v>
      </c>
      <c r="BC290" s="140">
        <f t="shared" si="130"/>
        <v>9.7199999999999997E-7</v>
      </c>
      <c r="BD290" s="140">
        <f t="shared" si="131"/>
        <v>1.2960000000000002E-6</v>
      </c>
      <c r="BE290" s="140">
        <f t="shared" si="132"/>
        <v>1.6200000000000002E-6</v>
      </c>
      <c r="BF290" s="157">
        <f>IF(AY290&lt;$B$89*DATA!$H$1037,DATA!$H$1037,IF(AY290&gt;DATA!$H$1036*$B$89,DATA!$H$1036,1))</f>
        <v>1.2</v>
      </c>
      <c r="BG290" s="156">
        <f t="shared" si="133"/>
        <v>9.9999999999999995E-8</v>
      </c>
      <c r="BI290" s="140">
        <f t="shared" si="134"/>
        <v>3.2400000000000001E-5</v>
      </c>
      <c r="BJ290">
        <v>3.24</v>
      </c>
      <c r="BK290" s="140">
        <f t="shared" si="135"/>
        <v>3.2399999999999988E-7</v>
      </c>
      <c r="BL290" s="140">
        <f t="shared" si="136"/>
        <v>6.4799999999999998E-7</v>
      </c>
      <c r="BM290" s="140">
        <f t="shared" si="137"/>
        <v>9.7199999999999997E-7</v>
      </c>
      <c r="BN290" s="140">
        <f t="shared" si="138"/>
        <v>1.2960000000000002E-6</v>
      </c>
      <c r="BO290" s="140">
        <f t="shared" si="139"/>
        <v>1.6200000000000002E-6</v>
      </c>
      <c r="BP290" s="157">
        <f>IF(BI290&lt;$B$105*DATA!$H$1037,DATA!$H$1037,IF(BI290&gt;DATA!$H$1036*$B$105,DATA!$H$1036,1))</f>
        <v>1.2</v>
      </c>
      <c r="BQ290" s="156">
        <f t="shared" si="140"/>
        <v>9.9999999999999995E-8</v>
      </c>
    </row>
    <row r="291" spans="1:69">
      <c r="A291" s="140">
        <f t="shared" si="96"/>
        <v>3.26E-5</v>
      </c>
      <c r="B291">
        <v>3.26</v>
      </c>
      <c r="C291" s="140">
        <f t="shared" si="97"/>
        <v>3.2599999999999988E-7</v>
      </c>
      <c r="D291" s="140">
        <f t="shared" si="97"/>
        <v>6.5199999999999986E-7</v>
      </c>
      <c r="E291" s="140">
        <f t="shared" si="97"/>
        <v>9.78E-7</v>
      </c>
      <c r="F291" s="140">
        <f t="shared" si="97"/>
        <v>1.3039999999999999E-6</v>
      </c>
      <c r="G291" s="140">
        <f t="shared" si="97"/>
        <v>1.6300000000000001E-6</v>
      </c>
      <c r="H291" s="157">
        <f>IF(A291&lt;$B$9*DATA!$H$1037,DATA!$H$1037,IF(A291&gt;DATA!$H$1036*$B$9,DATA!$H$1036,1))</f>
        <v>0.8</v>
      </c>
      <c r="I291" s="156">
        <f t="shared" si="98"/>
        <v>9.9999999999999995E-8</v>
      </c>
      <c r="K291" s="140">
        <f t="shared" si="99"/>
        <v>3.26E-5</v>
      </c>
      <c r="L291">
        <v>3.26</v>
      </c>
      <c r="M291" s="140">
        <f t="shared" si="100"/>
        <v>3.2599999999999988E-7</v>
      </c>
      <c r="N291" s="140">
        <f t="shared" si="101"/>
        <v>6.5199999999999986E-7</v>
      </c>
      <c r="O291" s="140">
        <f t="shared" si="102"/>
        <v>9.78E-7</v>
      </c>
      <c r="P291" s="140">
        <f t="shared" si="103"/>
        <v>1.3039999999999999E-6</v>
      </c>
      <c r="Q291" s="140">
        <f t="shared" si="104"/>
        <v>1.6300000000000001E-6</v>
      </c>
      <c r="R291" s="157">
        <f>IF(K291&lt;$B$25*DATA!$H$1037,DATA!$H$1037,IF(K291&gt;DATA!$H$1036*$B$25,DATA!$H$1036,1))</f>
        <v>0.8</v>
      </c>
      <c r="S291" s="156">
        <f t="shared" si="105"/>
        <v>9.9999999999999995E-8</v>
      </c>
      <c r="U291" s="140">
        <f t="shared" si="106"/>
        <v>3.26E-5</v>
      </c>
      <c r="V291">
        <v>3.26</v>
      </c>
      <c r="W291" s="140">
        <f t="shared" si="107"/>
        <v>3.2599999999999988E-7</v>
      </c>
      <c r="X291" s="140">
        <f t="shared" si="108"/>
        <v>6.5199999999999986E-7</v>
      </c>
      <c r="Y291" s="140">
        <f t="shared" si="109"/>
        <v>9.78E-7</v>
      </c>
      <c r="Z291" s="140">
        <f t="shared" si="110"/>
        <v>1.3039999999999999E-6</v>
      </c>
      <c r="AA291" s="140">
        <f t="shared" si="111"/>
        <v>1.6300000000000001E-6</v>
      </c>
      <c r="AB291" s="157">
        <f>IF(U291&lt;$B$41*DATA!$H$1037,DATA!$H$1037,IF(U291&gt;DATA!$H$1036*$B$41,DATA!$H$1036,1))</f>
        <v>0.8</v>
      </c>
      <c r="AC291" s="156">
        <f t="shared" si="112"/>
        <v>9.9999999999999995E-8</v>
      </c>
      <c r="AE291" s="140">
        <f t="shared" si="113"/>
        <v>3.26E-5</v>
      </c>
      <c r="AF291">
        <v>3.26</v>
      </c>
      <c r="AG291" s="140">
        <f t="shared" si="114"/>
        <v>3.2599999999999988E-7</v>
      </c>
      <c r="AH291" s="140">
        <f t="shared" si="115"/>
        <v>6.5199999999999986E-7</v>
      </c>
      <c r="AI291" s="140">
        <f t="shared" si="116"/>
        <v>9.78E-7</v>
      </c>
      <c r="AJ291" s="140">
        <f t="shared" si="117"/>
        <v>1.3039999999999999E-6</v>
      </c>
      <c r="AK291" s="140">
        <f t="shared" si="118"/>
        <v>1.6300000000000001E-6</v>
      </c>
      <c r="AL291" s="157">
        <f>IF(AE291&lt;$B$57*DATA!$H$1037,DATA!$H$1037,IF(AE291&gt;DATA!$H$1036*$B$57,DATA!$H$1036,1))</f>
        <v>1.2</v>
      </c>
      <c r="AM291" s="156">
        <f t="shared" si="119"/>
        <v>9.9999999999999995E-8</v>
      </c>
      <c r="AO291" s="140">
        <f t="shared" si="120"/>
        <v>3.26E-5</v>
      </c>
      <c r="AP291">
        <v>3.26</v>
      </c>
      <c r="AQ291" s="140">
        <f t="shared" si="121"/>
        <v>3.2599999999999988E-7</v>
      </c>
      <c r="AR291" s="140">
        <f t="shared" si="122"/>
        <v>6.5199999999999986E-7</v>
      </c>
      <c r="AS291" s="140">
        <f t="shared" si="123"/>
        <v>9.78E-7</v>
      </c>
      <c r="AT291" s="140">
        <f t="shared" si="124"/>
        <v>1.3039999999999999E-6</v>
      </c>
      <c r="AU291" s="140">
        <f t="shared" si="125"/>
        <v>1.6300000000000001E-6</v>
      </c>
      <c r="AV291" s="157">
        <f>IF(AO291&lt;$B$73*DATA!$H$1037,DATA!$H$1037,IF(AO291&gt;DATA!$H$1036*$B$73,DATA!$H$1036,1))</f>
        <v>1.2</v>
      </c>
      <c r="AW291" s="156">
        <f t="shared" si="126"/>
        <v>9.9999999999999995E-8</v>
      </c>
      <c r="AY291" s="140">
        <f t="shared" si="127"/>
        <v>3.26E-5</v>
      </c>
      <c r="AZ291">
        <v>3.26</v>
      </c>
      <c r="BA291" s="140">
        <f t="shared" si="128"/>
        <v>3.2599999999999988E-7</v>
      </c>
      <c r="BB291" s="140">
        <f t="shared" si="129"/>
        <v>6.5199999999999986E-7</v>
      </c>
      <c r="BC291" s="140">
        <f t="shared" si="130"/>
        <v>9.78E-7</v>
      </c>
      <c r="BD291" s="140">
        <f t="shared" si="131"/>
        <v>1.3039999999999999E-6</v>
      </c>
      <c r="BE291" s="140">
        <f t="shared" si="132"/>
        <v>1.6300000000000001E-6</v>
      </c>
      <c r="BF291" s="157">
        <f>IF(AY291&lt;$B$89*DATA!$H$1037,DATA!$H$1037,IF(AY291&gt;DATA!$H$1036*$B$89,DATA!$H$1036,1))</f>
        <v>1.2</v>
      </c>
      <c r="BG291" s="156">
        <f t="shared" si="133"/>
        <v>9.9999999999999995E-8</v>
      </c>
      <c r="BI291" s="140">
        <f t="shared" si="134"/>
        <v>3.26E-5</v>
      </c>
      <c r="BJ291">
        <v>3.26</v>
      </c>
      <c r="BK291" s="140">
        <f t="shared" si="135"/>
        <v>3.2599999999999988E-7</v>
      </c>
      <c r="BL291" s="140">
        <f t="shared" si="136"/>
        <v>6.5199999999999986E-7</v>
      </c>
      <c r="BM291" s="140">
        <f t="shared" si="137"/>
        <v>9.78E-7</v>
      </c>
      <c r="BN291" s="140">
        <f t="shared" si="138"/>
        <v>1.3039999999999999E-6</v>
      </c>
      <c r="BO291" s="140">
        <f t="shared" si="139"/>
        <v>1.6300000000000001E-6</v>
      </c>
      <c r="BP291" s="157">
        <f>IF(BI291&lt;$B$105*DATA!$H$1037,DATA!$H$1037,IF(BI291&gt;DATA!$H$1036*$B$105,DATA!$H$1036,1))</f>
        <v>1.2</v>
      </c>
      <c r="BQ291" s="156">
        <f t="shared" si="140"/>
        <v>9.9999999999999995E-8</v>
      </c>
    </row>
    <row r="292" spans="1:69">
      <c r="A292" s="140">
        <f t="shared" si="96"/>
        <v>3.2799999999999998E-5</v>
      </c>
      <c r="B292">
        <v>3.28</v>
      </c>
      <c r="C292" s="140">
        <f t="shared" si="97"/>
        <v>3.2799999999999987E-7</v>
      </c>
      <c r="D292" s="140">
        <f t="shared" si="97"/>
        <v>6.5599999999999984E-7</v>
      </c>
      <c r="E292" s="140">
        <f t="shared" si="97"/>
        <v>9.8399999999999981E-7</v>
      </c>
      <c r="F292" s="140">
        <f t="shared" si="97"/>
        <v>1.3119999999999999E-6</v>
      </c>
      <c r="G292" s="140">
        <f t="shared" si="97"/>
        <v>1.64E-6</v>
      </c>
      <c r="H292" s="157">
        <f>IF(A292&lt;$B$9*DATA!$H$1037,DATA!$H$1037,IF(A292&gt;DATA!$H$1036*$B$9,DATA!$H$1036,1))</f>
        <v>0.8</v>
      </c>
      <c r="I292" s="156">
        <f t="shared" si="98"/>
        <v>9.9999999999999995E-8</v>
      </c>
      <c r="K292" s="140">
        <f t="shared" si="99"/>
        <v>3.2799999999999998E-5</v>
      </c>
      <c r="L292">
        <v>3.28</v>
      </c>
      <c r="M292" s="140">
        <f t="shared" si="100"/>
        <v>3.2799999999999987E-7</v>
      </c>
      <c r="N292" s="140">
        <f t="shared" si="101"/>
        <v>6.5599999999999984E-7</v>
      </c>
      <c r="O292" s="140">
        <f t="shared" si="102"/>
        <v>9.8399999999999981E-7</v>
      </c>
      <c r="P292" s="140">
        <f t="shared" si="103"/>
        <v>1.3119999999999999E-6</v>
      </c>
      <c r="Q292" s="140">
        <f t="shared" si="104"/>
        <v>1.64E-6</v>
      </c>
      <c r="R292" s="157">
        <f>IF(K292&lt;$B$25*DATA!$H$1037,DATA!$H$1037,IF(K292&gt;DATA!$H$1036*$B$25,DATA!$H$1036,1))</f>
        <v>0.8</v>
      </c>
      <c r="S292" s="156">
        <f t="shared" si="105"/>
        <v>9.9999999999999995E-8</v>
      </c>
      <c r="U292" s="140">
        <f t="shared" si="106"/>
        <v>3.2799999999999998E-5</v>
      </c>
      <c r="V292">
        <v>3.28</v>
      </c>
      <c r="W292" s="140">
        <f t="shared" si="107"/>
        <v>3.2799999999999987E-7</v>
      </c>
      <c r="X292" s="140">
        <f t="shared" si="108"/>
        <v>6.5599999999999984E-7</v>
      </c>
      <c r="Y292" s="140">
        <f t="shared" si="109"/>
        <v>9.8399999999999981E-7</v>
      </c>
      <c r="Z292" s="140">
        <f t="shared" si="110"/>
        <v>1.3119999999999999E-6</v>
      </c>
      <c r="AA292" s="140">
        <f t="shared" si="111"/>
        <v>1.64E-6</v>
      </c>
      <c r="AB292" s="157">
        <f>IF(U292&lt;$B$41*DATA!$H$1037,DATA!$H$1037,IF(U292&gt;DATA!$H$1036*$B$41,DATA!$H$1036,1))</f>
        <v>0.8</v>
      </c>
      <c r="AC292" s="156">
        <f t="shared" si="112"/>
        <v>9.9999999999999995E-8</v>
      </c>
      <c r="AE292" s="140">
        <f t="shared" si="113"/>
        <v>3.2799999999999998E-5</v>
      </c>
      <c r="AF292">
        <v>3.28</v>
      </c>
      <c r="AG292" s="140">
        <f t="shared" si="114"/>
        <v>3.2799999999999987E-7</v>
      </c>
      <c r="AH292" s="140">
        <f t="shared" si="115"/>
        <v>6.5599999999999984E-7</v>
      </c>
      <c r="AI292" s="140">
        <f t="shared" si="116"/>
        <v>9.8399999999999981E-7</v>
      </c>
      <c r="AJ292" s="140">
        <f t="shared" si="117"/>
        <v>1.3119999999999999E-6</v>
      </c>
      <c r="AK292" s="140">
        <f t="shared" si="118"/>
        <v>1.64E-6</v>
      </c>
      <c r="AL292" s="157">
        <f>IF(AE292&lt;$B$57*DATA!$H$1037,DATA!$H$1037,IF(AE292&gt;DATA!$H$1036*$B$57,DATA!$H$1036,1))</f>
        <v>1.2</v>
      </c>
      <c r="AM292" s="156">
        <f t="shared" si="119"/>
        <v>9.9999999999999995E-8</v>
      </c>
      <c r="AO292" s="140">
        <f t="shared" si="120"/>
        <v>3.2799999999999998E-5</v>
      </c>
      <c r="AP292">
        <v>3.28</v>
      </c>
      <c r="AQ292" s="140">
        <f t="shared" si="121"/>
        <v>3.2799999999999987E-7</v>
      </c>
      <c r="AR292" s="140">
        <f t="shared" si="122"/>
        <v>6.5599999999999984E-7</v>
      </c>
      <c r="AS292" s="140">
        <f t="shared" si="123"/>
        <v>9.8399999999999981E-7</v>
      </c>
      <c r="AT292" s="140">
        <f t="shared" si="124"/>
        <v>1.3119999999999999E-6</v>
      </c>
      <c r="AU292" s="140">
        <f t="shared" si="125"/>
        <v>1.64E-6</v>
      </c>
      <c r="AV292" s="157">
        <f>IF(AO292&lt;$B$73*DATA!$H$1037,DATA!$H$1037,IF(AO292&gt;DATA!$H$1036*$B$73,DATA!$H$1036,1))</f>
        <v>1.2</v>
      </c>
      <c r="AW292" s="156">
        <f t="shared" si="126"/>
        <v>9.9999999999999995E-8</v>
      </c>
      <c r="AY292" s="140">
        <f t="shared" si="127"/>
        <v>3.2799999999999998E-5</v>
      </c>
      <c r="AZ292">
        <v>3.28</v>
      </c>
      <c r="BA292" s="140">
        <f t="shared" si="128"/>
        <v>3.2799999999999987E-7</v>
      </c>
      <c r="BB292" s="140">
        <f t="shared" si="129"/>
        <v>6.5599999999999984E-7</v>
      </c>
      <c r="BC292" s="140">
        <f t="shared" si="130"/>
        <v>9.8399999999999981E-7</v>
      </c>
      <c r="BD292" s="140">
        <f t="shared" si="131"/>
        <v>1.3119999999999999E-6</v>
      </c>
      <c r="BE292" s="140">
        <f t="shared" si="132"/>
        <v>1.64E-6</v>
      </c>
      <c r="BF292" s="157">
        <f>IF(AY292&lt;$B$89*DATA!$H$1037,DATA!$H$1037,IF(AY292&gt;DATA!$H$1036*$B$89,DATA!$H$1036,1))</f>
        <v>1.2</v>
      </c>
      <c r="BG292" s="156">
        <f t="shared" si="133"/>
        <v>9.9999999999999995E-8</v>
      </c>
      <c r="BI292" s="140">
        <f t="shared" si="134"/>
        <v>3.2799999999999998E-5</v>
      </c>
      <c r="BJ292">
        <v>3.28</v>
      </c>
      <c r="BK292" s="140">
        <f t="shared" si="135"/>
        <v>3.2799999999999987E-7</v>
      </c>
      <c r="BL292" s="140">
        <f t="shared" si="136"/>
        <v>6.5599999999999984E-7</v>
      </c>
      <c r="BM292" s="140">
        <f t="shared" si="137"/>
        <v>9.8399999999999981E-7</v>
      </c>
      <c r="BN292" s="140">
        <f t="shared" si="138"/>
        <v>1.3119999999999999E-6</v>
      </c>
      <c r="BO292" s="140">
        <f t="shared" si="139"/>
        <v>1.64E-6</v>
      </c>
      <c r="BP292" s="157">
        <f>IF(BI292&lt;$B$105*DATA!$H$1037,DATA!$H$1037,IF(BI292&gt;DATA!$H$1036*$B$105,DATA!$H$1036,1))</f>
        <v>1.2</v>
      </c>
      <c r="BQ292" s="156">
        <f t="shared" si="140"/>
        <v>9.9999999999999995E-8</v>
      </c>
    </row>
    <row r="293" spans="1:69">
      <c r="A293" s="140">
        <f t="shared" si="96"/>
        <v>3.3000000000000003E-5</v>
      </c>
      <c r="B293">
        <v>3.3</v>
      </c>
      <c r="C293" s="140">
        <f t="shared" si="97"/>
        <v>3.2999999999999991E-7</v>
      </c>
      <c r="D293" s="140">
        <f t="shared" si="97"/>
        <v>6.5999999999999993E-7</v>
      </c>
      <c r="E293" s="140">
        <f t="shared" si="97"/>
        <v>9.9000000000000005E-7</v>
      </c>
      <c r="F293" s="140">
        <f t="shared" si="97"/>
        <v>1.3200000000000001E-6</v>
      </c>
      <c r="G293" s="140">
        <f t="shared" si="97"/>
        <v>1.6500000000000003E-6</v>
      </c>
      <c r="H293" s="157">
        <f>IF(A293&lt;$B$9*DATA!$H$1037,DATA!$H$1037,IF(A293&gt;DATA!$H$1036*$B$9,DATA!$H$1036,1))</f>
        <v>0.8</v>
      </c>
      <c r="I293" s="156">
        <f t="shared" si="98"/>
        <v>9.9999999999999995E-8</v>
      </c>
      <c r="K293" s="140">
        <f t="shared" si="99"/>
        <v>3.3000000000000003E-5</v>
      </c>
      <c r="L293">
        <v>3.3</v>
      </c>
      <c r="M293" s="140">
        <f t="shared" si="100"/>
        <v>3.2999999999999991E-7</v>
      </c>
      <c r="N293" s="140">
        <f t="shared" si="101"/>
        <v>6.5999999999999993E-7</v>
      </c>
      <c r="O293" s="140">
        <f t="shared" si="102"/>
        <v>9.9000000000000005E-7</v>
      </c>
      <c r="P293" s="140">
        <f t="shared" si="103"/>
        <v>1.3200000000000001E-6</v>
      </c>
      <c r="Q293" s="140">
        <f t="shared" si="104"/>
        <v>1.6500000000000003E-6</v>
      </c>
      <c r="R293" s="157">
        <f>IF(K293&lt;$B$25*DATA!$H$1037,DATA!$H$1037,IF(K293&gt;DATA!$H$1036*$B$25,DATA!$H$1036,1))</f>
        <v>0.8</v>
      </c>
      <c r="S293" s="156">
        <f t="shared" si="105"/>
        <v>9.9999999999999995E-8</v>
      </c>
      <c r="U293" s="140">
        <f t="shared" si="106"/>
        <v>3.3000000000000003E-5</v>
      </c>
      <c r="V293">
        <v>3.3</v>
      </c>
      <c r="W293" s="140">
        <f t="shared" si="107"/>
        <v>3.2999999999999991E-7</v>
      </c>
      <c r="X293" s="140">
        <f t="shared" si="108"/>
        <v>6.5999999999999993E-7</v>
      </c>
      <c r="Y293" s="140">
        <f t="shared" si="109"/>
        <v>9.9000000000000005E-7</v>
      </c>
      <c r="Z293" s="140">
        <f t="shared" si="110"/>
        <v>1.3200000000000001E-6</v>
      </c>
      <c r="AA293" s="140">
        <f t="shared" si="111"/>
        <v>1.6500000000000003E-6</v>
      </c>
      <c r="AB293" s="157">
        <f>IF(U293&lt;$B$41*DATA!$H$1037,DATA!$H$1037,IF(U293&gt;DATA!$H$1036*$B$41,DATA!$H$1036,1))</f>
        <v>0.8</v>
      </c>
      <c r="AC293" s="156">
        <f t="shared" si="112"/>
        <v>9.9999999999999995E-8</v>
      </c>
      <c r="AE293" s="140">
        <f t="shared" si="113"/>
        <v>3.3000000000000003E-5</v>
      </c>
      <c r="AF293">
        <v>3.3</v>
      </c>
      <c r="AG293" s="140">
        <f t="shared" si="114"/>
        <v>3.2999999999999991E-7</v>
      </c>
      <c r="AH293" s="140">
        <f t="shared" si="115"/>
        <v>6.5999999999999993E-7</v>
      </c>
      <c r="AI293" s="140">
        <f t="shared" si="116"/>
        <v>9.9000000000000005E-7</v>
      </c>
      <c r="AJ293" s="140">
        <f t="shared" si="117"/>
        <v>1.3200000000000001E-6</v>
      </c>
      <c r="AK293" s="140">
        <f t="shared" si="118"/>
        <v>1.6500000000000003E-6</v>
      </c>
      <c r="AL293" s="157">
        <f>IF(AE293&lt;$B$57*DATA!$H$1037,DATA!$H$1037,IF(AE293&gt;DATA!$H$1036*$B$57,DATA!$H$1036,1))</f>
        <v>1.2</v>
      </c>
      <c r="AM293" s="156">
        <f t="shared" si="119"/>
        <v>9.9999999999999995E-8</v>
      </c>
      <c r="AO293" s="140">
        <f t="shared" si="120"/>
        <v>3.3000000000000003E-5</v>
      </c>
      <c r="AP293">
        <v>3.3</v>
      </c>
      <c r="AQ293" s="140">
        <f t="shared" si="121"/>
        <v>3.2999999999999991E-7</v>
      </c>
      <c r="AR293" s="140">
        <f t="shared" si="122"/>
        <v>6.5999999999999993E-7</v>
      </c>
      <c r="AS293" s="140">
        <f t="shared" si="123"/>
        <v>9.9000000000000005E-7</v>
      </c>
      <c r="AT293" s="140">
        <f t="shared" si="124"/>
        <v>1.3200000000000001E-6</v>
      </c>
      <c r="AU293" s="140">
        <f t="shared" si="125"/>
        <v>1.6500000000000003E-6</v>
      </c>
      <c r="AV293" s="157">
        <f>IF(AO293&lt;$B$73*DATA!$H$1037,DATA!$H$1037,IF(AO293&gt;DATA!$H$1036*$B$73,DATA!$H$1036,1))</f>
        <v>1.2</v>
      </c>
      <c r="AW293" s="156">
        <f t="shared" si="126"/>
        <v>9.9999999999999995E-8</v>
      </c>
      <c r="AY293" s="140">
        <f t="shared" si="127"/>
        <v>3.3000000000000003E-5</v>
      </c>
      <c r="AZ293">
        <v>3.3</v>
      </c>
      <c r="BA293" s="140">
        <f t="shared" si="128"/>
        <v>3.2999999999999991E-7</v>
      </c>
      <c r="BB293" s="140">
        <f t="shared" si="129"/>
        <v>6.5999999999999993E-7</v>
      </c>
      <c r="BC293" s="140">
        <f t="shared" si="130"/>
        <v>9.9000000000000005E-7</v>
      </c>
      <c r="BD293" s="140">
        <f t="shared" si="131"/>
        <v>1.3200000000000001E-6</v>
      </c>
      <c r="BE293" s="140">
        <f t="shared" si="132"/>
        <v>1.6500000000000003E-6</v>
      </c>
      <c r="BF293" s="157">
        <f>IF(AY293&lt;$B$89*DATA!$H$1037,DATA!$H$1037,IF(AY293&gt;DATA!$H$1036*$B$89,DATA!$H$1036,1))</f>
        <v>1.2</v>
      </c>
      <c r="BG293" s="156">
        <f t="shared" si="133"/>
        <v>9.9999999999999995E-8</v>
      </c>
      <c r="BI293" s="140">
        <f t="shared" si="134"/>
        <v>3.3000000000000003E-5</v>
      </c>
      <c r="BJ293">
        <v>3.3</v>
      </c>
      <c r="BK293" s="140">
        <f t="shared" si="135"/>
        <v>3.2999999999999991E-7</v>
      </c>
      <c r="BL293" s="140">
        <f t="shared" si="136"/>
        <v>6.5999999999999993E-7</v>
      </c>
      <c r="BM293" s="140">
        <f t="shared" si="137"/>
        <v>9.9000000000000005E-7</v>
      </c>
      <c r="BN293" s="140">
        <f t="shared" si="138"/>
        <v>1.3200000000000001E-6</v>
      </c>
      <c r="BO293" s="140">
        <f t="shared" si="139"/>
        <v>1.6500000000000003E-6</v>
      </c>
      <c r="BP293" s="157">
        <f>IF(BI293&lt;$B$105*DATA!$H$1037,DATA!$H$1037,IF(BI293&gt;DATA!$H$1036*$B$105,DATA!$H$1036,1))</f>
        <v>1.2</v>
      </c>
      <c r="BQ293" s="156">
        <f t="shared" si="140"/>
        <v>9.9999999999999995E-8</v>
      </c>
    </row>
    <row r="294" spans="1:69">
      <c r="A294" s="140">
        <f t="shared" si="96"/>
        <v>3.3200000000000001E-5</v>
      </c>
      <c r="B294">
        <v>3.32</v>
      </c>
      <c r="C294" s="140">
        <f t="shared" si="97"/>
        <v>3.319999999999999E-7</v>
      </c>
      <c r="D294" s="140">
        <f t="shared" si="97"/>
        <v>6.6399999999999991E-7</v>
      </c>
      <c r="E294" s="140">
        <f t="shared" si="97"/>
        <v>9.9600000000000008E-7</v>
      </c>
      <c r="F294" s="140">
        <f t="shared" si="97"/>
        <v>1.328E-6</v>
      </c>
      <c r="G294" s="140">
        <f t="shared" si="97"/>
        <v>1.6600000000000002E-6</v>
      </c>
      <c r="H294" s="157">
        <f>IF(A294&lt;$B$9*DATA!$H$1037,DATA!$H$1037,IF(A294&gt;DATA!$H$1036*$B$9,DATA!$H$1036,1))</f>
        <v>0.8</v>
      </c>
      <c r="I294" s="156">
        <f t="shared" si="98"/>
        <v>9.9999999999999995E-8</v>
      </c>
      <c r="K294" s="140">
        <f t="shared" si="99"/>
        <v>3.3200000000000001E-5</v>
      </c>
      <c r="L294">
        <v>3.32</v>
      </c>
      <c r="M294" s="140">
        <f t="shared" si="100"/>
        <v>3.319999999999999E-7</v>
      </c>
      <c r="N294" s="140">
        <f t="shared" si="101"/>
        <v>6.6399999999999991E-7</v>
      </c>
      <c r="O294" s="140">
        <f t="shared" si="102"/>
        <v>9.9600000000000008E-7</v>
      </c>
      <c r="P294" s="140">
        <f t="shared" si="103"/>
        <v>1.328E-6</v>
      </c>
      <c r="Q294" s="140">
        <f t="shared" si="104"/>
        <v>1.6600000000000002E-6</v>
      </c>
      <c r="R294" s="157">
        <f>IF(K294&lt;$B$25*DATA!$H$1037,DATA!$H$1037,IF(K294&gt;DATA!$H$1036*$B$25,DATA!$H$1036,1))</f>
        <v>0.8</v>
      </c>
      <c r="S294" s="156">
        <f t="shared" si="105"/>
        <v>9.9999999999999995E-8</v>
      </c>
      <c r="U294" s="140">
        <f t="shared" si="106"/>
        <v>3.3200000000000001E-5</v>
      </c>
      <c r="V294">
        <v>3.32</v>
      </c>
      <c r="W294" s="140">
        <f t="shared" si="107"/>
        <v>3.319999999999999E-7</v>
      </c>
      <c r="X294" s="140">
        <f t="shared" si="108"/>
        <v>6.6399999999999991E-7</v>
      </c>
      <c r="Y294" s="140">
        <f t="shared" si="109"/>
        <v>9.9600000000000008E-7</v>
      </c>
      <c r="Z294" s="140">
        <f t="shared" si="110"/>
        <v>1.328E-6</v>
      </c>
      <c r="AA294" s="140">
        <f t="shared" si="111"/>
        <v>1.6600000000000002E-6</v>
      </c>
      <c r="AB294" s="157">
        <f>IF(U294&lt;$B$41*DATA!$H$1037,DATA!$H$1037,IF(U294&gt;DATA!$H$1036*$B$41,DATA!$H$1036,1))</f>
        <v>0.8</v>
      </c>
      <c r="AC294" s="156">
        <f t="shared" si="112"/>
        <v>9.9999999999999995E-8</v>
      </c>
      <c r="AE294" s="140">
        <f t="shared" si="113"/>
        <v>3.3200000000000001E-5</v>
      </c>
      <c r="AF294">
        <v>3.32</v>
      </c>
      <c r="AG294" s="140">
        <f t="shared" si="114"/>
        <v>3.319999999999999E-7</v>
      </c>
      <c r="AH294" s="140">
        <f t="shared" si="115"/>
        <v>6.6399999999999991E-7</v>
      </c>
      <c r="AI294" s="140">
        <f t="shared" si="116"/>
        <v>9.9600000000000008E-7</v>
      </c>
      <c r="AJ294" s="140">
        <f t="shared" si="117"/>
        <v>1.328E-6</v>
      </c>
      <c r="AK294" s="140">
        <f t="shared" si="118"/>
        <v>1.6600000000000002E-6</v>
      </c>
      <c r="AL294" s="157">
        <f>IF(AE294&lt;$B$57*DATA!$H$1037,DATA!$H$1037,IF(AE294&gt;DATA!$H$1036*$B$57,DATA!$H$1036,1))</f>
        <v>1.2</v>
      </c>
      <c r="AM294" s="156">
        <f t="shared" si="119"/>
        <v>9.9999999999999995E-8</v>
      </c>
      <c r="AO294" s="140">
        <f t="shared" si="120"/>
        <v>3.3200000000000001E-5</v>
      </c>
      <c r="AP294">
        <v>3.32</v>
      </c>
      <c r="AQ294" s="140">
        <f t="shared" si="121"/>
        <v>3.319999999999999E-7</v>
      </c>
      <c r="AR294" s="140">
        <f t="shared" si="122"/>
        <v>6.6399999999999991E-7</v>
      </c>
      <c r="AS294" s="140">
        <f t="shared" si="123"/>
        <v>9.9600000000000008E-7</v>
      </c>
      <c r="AT294" s="140">
        <f t="shared" si="124"/>
        <v>1.328E-6</v>
      </c>
      <c r="AU294" s="140">
        <f t="shared" si="125"/>
        <v>1.6600000000000002E-6</v>
      </c>
      <c r="AV294" s="157">
        <f>IF(AO294&lt;$B$73*DATA!$H$1037,DATA!$H$1037,IF(AO294&gt;DATA!$H$1036*$B$73,DATA!$H$1036,1))</f>
        <v>1.2</v>
      </c>
      <c r="AW294" s="156">
        <f t="shared" si="126"/>
        <v>9.9999999999999995E-8</v>
      </c>
      <c r="AY294" s="140">
        <f t="shared" si="127"/>
        <v>3.3200000000000001E-5</v>
      </c>
      <c r="AZ294">
        <v>3.32</v>
      </c>
      <c r="BA294" s="140">
        <f t="shared" si="128"/>
        <v>3.319999999999999E-7</v>
      </c>
      <c r="BB294" s="140">
        <f t="shared" si="129"/>
        <v>6.6399999999999991E-7</v>
      </c>
      <c r="BC294" s="140">
        <f t="shared" si="130"/>
        <v>9.9600000000000008E-7</v>
      </c>
      <c r="BD294" s="140">
        <f t="shared" si="131"/>
        <v>1.328E-6</v>
      </c>
      <c r="BE294" s="140">
        <f t="shared" si="132"/>
        <v>1.6600000000000002E-6</v>
      </c>
      <c r="BF294" s="157">
        <f>IF(AY294&lt;$B$89*DATA!$H$1037,DATA!$H$1037,IF(AY294&gt;DATA!$H$1036*$B$89,DATA!$H$1036,1))</f>
        <v>1.2</v>
      </c>
      <c r="BG294" s="156">
        <f t="shared" si="133"/>
        <v>9.9999999999999995E-8</v>
      </c>
      <c r="BI294" s="140">
        <f t="shared" si="134"/>
        <v>3.3200000000000001E-5</v>
      </c>
      <c r="BJ294">
        <v>3.32</v>
      </c>
      <c r="BK294" s="140">
        <f t="shared" si="135"/>
        <v>3.319999999999999E-7</v>
      </c>
      <c r="BL294" s="140">
        <f t="shared" si="136"/>
        <v>6.6399999999999991E-7</v>
      </c>
      <c r="BM294" s="140">
        <f t="shared" si="137"/>
        <v>9.9600000000000008E-7</v>
      </c>
      <c r="BN294" s="140">
        <f t="shared" si="138"/>
        <v>1.328E-6</v>
      </c>
      <c r="BO294" s="140">
        <f t="shared" si="139"/>
        <v>1.6600000000000002E-6</v>
      </c>
      <c r="BP294" s="157">
        <f>IF(BI294&lt;$B$105*DATA!$H$1037,DATA!$H$1037,IF(BI294&gt;DATA!$H$1036*$B$105,DATA!$H$1036,1))</f>
        <v>1.2</v>
      </c>
      <c r="BQ294" s="156">
        <f t="shared" si="140"/>
        <v>9.9999999999999995E-8</v>
      </c>
    </row>
    <row r="295" spans="1:69">
      <c r="A295" s="140">
        <f t="shared" si="96"/>
        <v>3.3399999999999999E-5</v>
      </c>
      <c r="B295">
        <v>3.34</v>
      </c>
      <c r="C295" s="140">
        <f t="shared" si="97"/>
        <v>3.3399999999999989E-7</v>
      </c>
      <c r="D295" s="140">
        <f t="shared" si="97"/>
        <v>6.6799999999999989E-7</v>
      </c>
      <c r="E295" s="140">
        <f t="shared" si="97"/>
        <v>1.0019999999999999E-6</v>
      </c>
      <c r="F295" s="140">
        <f t="shared" si="97"/>
        <v>1.336E-6</v>
      </c>
      <c r="G295" s="140">
        <f t="shared" si="97"/>
        <v>1.6700000000000001E-6</v>
      </c>
      <c r="H295" s="157">
        <f>IF(A295&lt;$B$9*DATA!$H$1037,DATA!$H$1037,IF(A295&gt;DATA!$H$1036*$B$9,DATA!$H$1036,1))</f>
        <v>0.8</v>
      </c>
      <c r="I295" s="156">
        <f t="shared" si="98"/>
        <v>9.9999999999999995E-8</v>
      </c>
      <c r="K295" s="140">
        <f t="shared" si="99"/>
        <v>3.3399999999999999E-5</v>
      </c>
      <c r="L295">
        <v>3.34</v>
      </c>
      <c r="M295" s="140">
        <f t="shared" si="100"/>
        <v>3.3399999999999989E-7</v>
      </c>
      <c r="N295" s="140">
        <f t="shared" si="101"/>
        <v>6.6799999999999989E-7</v>
      </c>
      <c r="O295" s="140">
        <f t="shared" si="102"/>
        <v>1.0019999999999999E-6</v>
      </c>
      <c r="P295" s="140">
        <f t="shared" si="103"/>
        <v>1.336E-6</v>
      </c>
      <c r="Q295" s="140">
        <f t="shared" si="104"/>
        <v>1.6700000000000001E-6</v>
      </c>
      <c r="R295" s="157">
        <f>IF(K295&lt;$B$25*DATA!$H$1037,DATA!$H$1037,IF(K295&gt;DATA!$H$1036*$B$25,DATA!$H$1036,1))</f>
        <v>0.8</v>
      </c>
      <c r="S295" s="156">
        <f t="shared" si="105"/>
        <v>9.9999999999999995E-8</v>
      </c>
      <c r="U295" s="140">
        <f t="shared" si="106"/>
        <v>3.3399999999999999E-5</v>
      </c>
      <c r="V295">
        <v>3.34</v>
      </c>
      <c r="W295" s="140">
        <f t="shared" si="107"/>
        <v>3.3399999999999989E-7</v>
      </c>
      <c r="X295" s="140">
        <f t="shared" si="108"/>
        <v>6.6799999999999989E-7</v>
      </c>
      <c r="Y295" s="140">
        <f t="shared" si="109"/>
        <v>1.0019999999999999E-6</v>
      </c>
      <c r="Z295" s="140">
        <f t="shared" si="110"/>
        <v>1.336E-6</v>
      </c>
      <c r="AA295" s="140">
        <f t="shared" si="111"/>
        <v>1.6700000000000001E-6</v>
      </c>
      <c r="AB295" s="157">
        <f>IF(U295&lt;$B$41*DATA!$H$1037,DATA!$H$1037,IF(U295&gt;DATA!$H$1036*$B$41,DATA!$H$1036,1))</f>
        <v>0.8</v>
      </c>
      <c r="AC295" s="156">
        <f t="shared" si="112"/>
        <v>9.9999999999999995E-8</v>
      </c>
      <c r="AE295" s="140">
        <f t="shared" si="113"/>
        <v>3.3399999999999999E-5</v>
      </c>
      <c r="AF295">
        <v>3.34</v>
      </c>
      <c r="AG295" s="140">
        <f t="shared" si="114"/>
        <v>3.3399999999999989E-7</v>
      </c>
      <c r="AH295" s="140">
        <f t="shared" si="115"/>
        <v>6.6799999999999989E-7</v>
      </c>
      <c r="AI295" s="140">
        <f t="shared" si="116"/>
        <v>1.0019999999999999E-6</v>
      </c>
      <c r="AJ295" s="140">
        <f t="shared" si="117"/>
        <v>1.336E-6</v>
      </c>
      <c r="AK295" s="140">
        <f t="shared" si="118"/>
        <v>1.6700000000000001E-6</v>
      </c>
      <c r="AL295" s="157">
        <f>IF(AE295&lt;$B$57*DATA!$H$1037,DATA!$H$1037,IF(AE295&gt;DATA!$H$1036*$B$57,DATA!$H$1036,1))</f>
        <v>1.2</v>
      </c>
      <c r="AM295" s="156">
        <f t="shared" si="119"/>
        <v>9.9999999999999995E-8</v>
      </c>
      <c r="AO295" s="140">
        <f t="shared" si="120"/>
        <v>3.3399999999999999E-5</v>
      </c>
      <c r="AP295">
        <v>3.34</v>
      </c>
      <c r="AQ295" s="140">
        <f t="shared" si="121"/>
        <v>3.3399999999999989E-7</v>
      </c>
      <c r="AR295" s="140">
        <f t="shared" si="122"/>
        <v>6.6799999999999989E-7</v>
      </c>
      <c r="AS295" s="140">
        <f t="shared" si="123"/>
        <v>1.0019999999999999E-6</v>
      </c>
      <c r="AT295" s="140">
        <f t="shared" si="124"/>
        <v>1.336E-6</v>
      </c>
      <c r="AU295" s="140">
        <f t="shared" si="125"/>
        <v>1.6700000000000001E-6</v>
      </c>
      <c r="AV295" s="157">
        <f>IF(AO295&lt;$B$73*DATA!$H$1037,DATA!$H$1037,IF(AO295&gt;DATA!$H$1036*$B$73,DATA!$H$1036,1))</f>
        <v>1.2</v>
      </c>
      <c r="AW295" s="156">
        <f t="shared" si="126"/>
        <v>9.9999999999999995E-8</v>
      </c>
      <c r="AY295" s="140">
        <f t="shared" si="127"/>
        <v>3.3399999999999999E-5</v>
      </c>
      <c r="AZ295">
        <v>3.34</v>
      </c>
      <c r="BA295" s="140">
        <f t="shared" si="128"/>
        <v>3.3399999999999989E-7</v>
      </c>
      <c r="BB295" s="140">
        <f t="shared" si="129"/>
        <v>6.6799999999999989E-7</v>
      </c>
      <c r="BC295" s="140">
        <f t="shared" si="130"/>
        <v>1.0019999999999999E-6</v>
      </c>
      <c r="BD295" s="140">
        <f t="shared" si="131"/>
        <v>1.336E-6</v>
      </c>
      <c r="BE295" s="140">
        <f t="shared" si="132"/>
        <v>1.6700000000000001E-6</v>
      </c>
      <c r="BF295" s="157">
        <f>IF(AY295&lt;$B$89*DATA!$H$1037,DATA!$H$1037,IF(AY295&gt;DATA!$H$1036*$B$89,DATA!$H$1036,1))</f>
        <v>1.2</v>
      </c>
      <c r="BG295" s="156">
        <f t="shared" si="133"/>
        <v>9.9999999999999995E-8</v>
      </c>
      <c r="BI295" s="140">
        <f t="shared" si="134"/>
        <v>3.3399999999999999E-5</v>
      </c>
      <c r="BJ295">
        <v>3.34</v>
      </c>
      <c r="BK295" s="140">
        <f t="shared" si="135"/>
        <v>3.3399999999999989E-7</v>
      </c>
      <c r="BL295" s="140">
        <f t="shared" si="136"/>
        <v>6.6799999999999989E-7</v>
      </c>
      <c r="BM295" s="140">
        <f t="shared" si="137"/>
        <v>1.0019999999999999E-6</v>
      </c>
      <c r="BN295" s="140">
        <f t="shared" si="138"/>
        <v>1.336E-6</v>
      </c>
      <c r="BO295" s="140">
        <f t="shared" si="139"/>
        <v>1.6700000000000001E-6</v>
      </c>
      <c r="BP295" s="157">
        <f>IF(BI295&lt;$B$105*DATA!$H$1037,DATA!$H$1037,IF(BI295&gt;DATA!$H$1036*$B$105,DATA!$H$1036,1))</f>
        <v>1.2</v>
      </c>
      <c r="BQ295" s="156">
        <f t="shared" si="140"/>
        <v>9.9999999999999995E-8</v>
      </c>
    </row>
    <row r="296" spans="1:69">
      <c r="A296" s="140">
        <f t="shared" si="96"/>
        <v>3.3600000000000004E-5</v>
      </c>
      <c r="B296">
        <v>3.36</v>
      </c>
      <c r="C296" s="140">
        <f t="shared" si="97"/>
        <v>3.3599999999999994E-7</v>
      </c>
      <c r="D296" s="140">
        <f t="shared" si="97"/>
        <v>6.7199999999999998E-7</v>
      </c>
      <c r="E296" s="140">
        <f t="shared" si="97"/>
        <v>1.0080000000000001E-6</v>
      </c>
      <c r="F296" s="140">
        <f t="shared" si="97"/>
        <v>1.3440000000000002E-6</v>
      </c>
      <c r="G296" s="140">
        <f t="shared" si="97"/>
        <v>1.6800000000000002E-6</v>
      </c>
      <c r="H296" s="157">
        <f>IF(A296&lt;$B$9*DATA!$H$1037,DATA!$H$1037,IF(A296&gt;DATA!$H$1036*$B$9,DATA!$H$1036,1))</f>
        <v>0.8</v>
      </c>
      <c r="I296" s="156">
        <f t="shared" si="98"/>
        <v>9.9999999999999995E-8</v>
      </c>
      <c r="K296" s="140">
        <f t="shared" si="99"/>
        <v>3.3600000000000004E-5</v>
      </c>
      <c r="L296">
        <v>3.36</v>
      </c>
      <c r="M296" s="140">
        <f t="shared" si="100"/>
        <v>3.3599999999999994E-7</v>
      </c>
      <c r="N296" s="140">
        <f t="shared" si="101"/>
        <v>6.7199999999999998E-7</v>
      </c>
      <c r="O296" s="140">
        <f t="shared" si="102"/>
        <v>1.0080000000000001E-6</v>
      </c>
      <c r="P296" s="140">
        <f t="shared" si="103"/>
        <v>1.3440000000000002E-6</v>
      </c>
      <c r="Q296" s="140">
        <f t="shared" si="104"/>
        <v>1.6800000000000002E-6</v>
      </c>
      <c r="R296" s="157">
        <f>IF(K296&lt;$B$25*DATA!$H$1037,DATA!$H$1037,IF(K296&gt;DATA!$H$1036*$B$25,DATA!$H$1036,1))</f>
        <v>0.8</v>
      </c>
      <c r="S296" s="156">
        <f t="shared" si="105"/>
        <v>9.9999999999999995E-8</v>
      </c>
      <c r="U296" s="140">
        <f t="shared" si="106"/>
        <v>3.3600000000000004E-5</v>
      </c>
      <c r="V296">
        <v>3.36</v>
      </c>
      <c r="W296" s="140">
        <f t="shared" si="107"/>
        <v>3.3599999999999994E-7</v>
      </c>
      <c r="X296" s="140">
        <f t="shared" si="108"/>
        <v>6.7199999999999998E-7</v>
      </c>
      <c r="Y296" s="140">
        <f t="shared" si="109"/>
        <v>1.0080000000000001E-6</v>
      </c>
      <c r="Z296" s="140">
        <f t="shared" si="110"/>
        <v>1.3440000000000002E-6</v>
      </c>
      <c r="AA296" s="140">
        <f t="shared" si="111"/>
        <v>1.6800000000000002E-6</v>
      </c>
      <c r="AB296" s="157">
        <f>IF(U296&lt;$B$41*DATA!$H$1037,DATA!$H$1037,IF(U296&gt;DATA!$H$1036*$B$41,DATA!$H$1036,1))</f>
        <v>0.8</v>
      </c>
      <c r="AC296" s="156">
        <f t="shared" si="112"/>
        <v>9.9999999999999995E-8</v>
      </c>
      <c r="AE296" s="140">
        <f t="shared" si="113"/>
        <v>3.3600000000000004E-5</v>
      </c>
      <c r="AF296">
        <v>3.36</v>
      </c>
      <c r="AG296" s="140">
        <f t="shared" si="114"/>
        <v>3.3599999999999994E-7</v>
      </c>
      <c r="AH296" s="140">
        <f t="shared" si="115"/>
        <v>6.7199999999999998E-7</v>
      </c>
      <c r="AI296" s="140">
        <f t="shared" si="116"/>
        <v>1.0080000000000001E-6</v>
      </c>
      <c r="AJ296" s="140">
        <f t="shared" si="117"/>
        <v>1.3440000000000002E-6</v>
      </c>
      <c r="AK296" s="140">
        <f t="shared" si="118"/>
        <v>1.6800000000000002E-6</v>
      </c>
      <c r="AL296" s="157">
        <f>IF(AE296&lt;$B$57*DATA!$H$1037,DATA!$H$1037,IF(AE296&gt;DATA!$H$1036*$B$57,DATA!$H$1036,1))</f>
        <v>1.2</v>
      </c>
      <c r="AM296" s="156">
        <f t="shared" si="119"/>
        <v>9.9999999999999995E-8</v>
      </c>
      <c r="AO296" s="140">
        <f t="shared" si="120"/>
        <v>3.3600000000000004E-5</v>
      </c>
      <c r="AP296">
        <v>3.36</v>
      </c>
      <c r="AQ296" s="140">
        <f t="shared" si="121"/>
        <v>3.3599999999999994E-7</v>
      </c>
      <c r="AR296" s="140">
        <f t="shared" si="122"/>
        <v>6.7199999999999998E-7</v>
      </c>
      <c r="AS296" s="140">
        <f t="shared" si="123"/>
        <v>1.0080000000000001E-6</v>
      </c>
      <c r="AT296" s="140">
        <f t="shared" si="124"/>
        <v>1.3440000000000002E-6</v>
      </c>
      <c r="AU296" s="140">
        <f t="shared" si="125"/>
        <v>1.6800000000000002E-6</v>
      </c>
      <c r="AV296" s="157">
        <f>IF(AO296&lt;$B$73*DATA!$H$1037,DATA!$H$1037,IF(AO296&gt;DATA!$H$1036*$B$73,DATA!$H$1036,1))</f>
        <v>1.2</v>
      </c>
      <c r="AW296" s="156">
        <f t="shared" si="126"/>
        <v>9.9999999999999995E-8</v>
      </c>
      <c r="AY296" s="140">
        <f t="shared" si="127"/>
        <v>3.3600000000000004E-5</v>
      </c>
      <c r="AZ296">
        <v>3.36</v>
      </c>
      <c r="BA296" s="140">
        <f t="shared" si="128"/>
        <v>3.3599999999999994E-7</v>
      </c>
      <c r="BB296" s="140">
        <f t="shared" si="129"/>
        <v>6.7199999999999998E-7</v>
      </c>
      <c r="BC296" s="140">
        <f t="shared" si="130"/>
        <v>1.0080000000000001E-6</v>
      </c>
      <c r="BD296" s="140">
        <f t="shared" si="131"/>
        <v>1.3440000000000002E-6</v>
      </c>
      <c r="BE296" s="140">
        <f t="shared" si="132"/>
        <v>1.6800000000000002E-6</v>
      </c>
      <c r="BF296" s="157">
        <f>IF(AY296&lt;$B$89*DATA!$H$1037,DATA!$H$1037,IF(AY296&gt;DATA!$H$1036*$B$89,DATA!$H$1036,1))</f>
        <v>1.2</v>
      </c>
      <c r="BG296" s="156">
        <f t="shared" si="133"/>
        <v>9.9999999999999995E-8</v>
      </c>
      <c r="BI296" s="140">
        <f t="shared" si="134"/>
        <v>3.3600000000000004E-5</v>
      </c>
      <c r="BJ296">
        <v>3.36</v>
      </c>
      <c r="BK296" s="140">
        <f t="shared" si="135"/>
        <v>3.3599999999999994E-7</v>
      </c>
      <c r="BL296" s="140">
        <f t="shared" si="136"/>
        <v>6.7199999999999998E-7</v>
      </c>
      <c r="BM296" s="140">
        <f t="shared" si="137"/>
        <v>1.0080000000000001E-6</v>
      </c>
      <c r="BN296" s="140">
        <f t="shared" si="138"/>
        <v>1.3440000000000002E-6</v>
      </c>
      <c r="BO296" s="140">
        <f t="shared" si="139"/>
        <v>1.6800000000000002E-6</v>
      </c>
      <c r="BP296" s="157">
        <f>IF(BI296&lt;$B$105*DATA!$H$1037,DATA!$H$1037,IF(BI296&gt;DATA!$H$1036*$B$105,DATA!$H$1036,1))</f>
        <v>1.2</v>
      </c>
      <c r="BQ296" s="156">
        <f t="shared" si="140"/>
        <v>9.9999999999999995E-8</v>
      </c>
    </row>
    <row r="297" spans="1:69">
      <c r="A297" s="140">
        <f t="shared" si="96"/>
        <v>3.3800000000000002E-5</v>
      </c>
      <c r="B297">
        <v>3.38</v>
      </c>
      <c r="C297" s="140">
        <f t="shared" si="97"/>
        <v>3.3799999999999993E-7</v>
      </c>
      <c r="D297" s="140">
        <f t="shared" si="97"/>
        <v>6.7599999999999997E-7</v>
      </c>
      <c r="E297" s="140">
        <f t="shared" si="97"/>
        <v>1.0139999999999999E-6</v>
      </c>
      <c r="F297" s="140">
        <f t="shared" si="97"/>
        <v>1.3520000000000001E-6</v>
      </c>
      <c r="G297" s="140">
        <f t="shared" si="97"/>
        <v>1.6900000000000001E-6</v>
      </c>
      <c r="H297" s="157">
        <f>IF(A297&lt;$B$9*DATA!$H$1037,DATA!$H$1037,IF(A297&gt;DATA!$H$1036*$B$9,DATA!$H$1036,1))</f>
        <v>0.8</v>
      </c>
      <c r="I297" s="156">
        <f t="shared" si="98"/>
        <v>9.9999999999999995E-8</v>
      </c>
      <c r="K297" s="140">
        <f t="shared" si="99"/>
        <v>3.3800000000000002E-5</v>
      </c>
      <c r="L297">
        <v>3.38</v>
      </c>
      <c r="M297" s="140">
        <f t="shared" si="100"/>
        <v>3.3799999999999993E-7</v>
      </c>
      <c r="N297" s="140">
        <f t="shared" si="101"/>
        <v>6.7599999999999997E-7</v>
      </c>
      <c r="O297" s="140">
        <f t="shared" si="102"/>
        <v>1.0139999999999999E-6</v>
      </c>
      <c r="P297" s="140">
        <f t="shared" si="103"/>
        <v>1.3520000000000001E-6</v>
      </c>
      <c r="Q297" s="140">
        <f t="shared" si="104"/>
        <v>1.6900000000000001E-6</v>
      </c>
      <c r="R297" s="157">
        <f>IF(K297&lt;$B$25*DATA!$H$1037,DATA!$H$1037,IF(K297&gt;DATA!$H$1036*$B$25,DATA!$H$1036,1))</f>
        <v>0.8</v>
      </c>
      <c r="S297" s="156">
        <f t="shared" si="105"/>
        <v>9.9999999999999995E-8</v>
      </c>
      <c r="U297" s="140">
        <f t="shared" si="106"/>
        <v>3.3800000000000002E-5</v>
      </c>
      <c r="V297">
        <v>3.38</v>
      </c>
      <c r="W297" s="140">
        <f t="shared" si="107"/>
        <v>3.3799999999999993E-7</v>
      </c>
      <c r="X297" s="140">
        <f t="shared" si="108"/>
        <v>6.7599999999999997E-7</v>
      </c>
      <c r="Y297" s="140">
        <f t="shared" si="109"/>
        <v>1.0139999999999999E-6</v>
      </c>
      <c r="Z297" s="140">
        <f t="shared" si="110"/>
        <v>1.3520000000000001E-6</v>
      </c>
      <c r="AA297" s="140">
        <f t="shared" si="111"/>
        <v>1.6900000000000001E-6</v>
      </c>
      <c r="AB297" s="157">
        <f>IF(U297&lt;$B$41*DATA!$H$1037,DATA!$H$1037,IF(U297&gt;DATA!$H$1036*$B$41,DATA!$H$1036,1))</f>
        <v>0.8</v>
      </c>
      <c r="AC297" s="156">
        <f t="shared" si="112"/>
        <v>9.9999999999999995E-8</v>
      </c>
      <c r="AE297" s="140">
        <f t="shared" si="113"/>
        <v>3.3800000000000002E-5</v>
      </c>
      <c r="AF297">
        <v>3.38</v>
      </c>
      <c r="AG297" s="140">
        <f t="shared" si="114"/>
        <v>3.3799999999999993E-7</v>
      </c>
      <c r="AH297" s="140">
        <f t="shared" si="115"/>
        <v>6.7599999999999997E-7</v>
      </c>
      <c r="AI297" s="140">
        <f t="shared" si="116"/>
        <v>1.0139999999999999E-6</v>
      </c>
      <c r="AJ297" s="140">
        <f t="shared" si="117"/>
        <v>1.3520000000000001E-6</v>
      </c>
      <c r="AK297" s="140">
        <f t="shared" si="118"/>
        <v>1.6900000000000001E-6</v>
      </c>
      <c r="AL297" s="157">
        <f>IF(AE297&lt;$B$57*DATA!$H$1037,DATA!$H$1037,IF(AE297&gt;DATA!$H$1036*$B$57,DATA!$H$1036,1))</f>
        <v>1.2</v>
      </c>
      <c r="AM297" s="156">
        <f t="shared" si="119"/>
        <v>9.9999999999999995E-8</v>
      </c>
      <c r="AO297" s="140">
        <f t="shared" si="120"/>
        <v>3.3800000000000002E-5</v>
      </c>
      <c r="AP297">
        <v>3.38</v>
      </c>
      <c r="AQ297" s="140">
        <f t="shared" si="121"/>
        <v>3.3799999999999993E-7</v>
      </c>
      <c r="AR297" s="140">
        <f t="shared" si="122"/>
        <v>6.7599999999999997E-7</v>
      </c>
      <c r="AS297" s="140">
        <f t="shared" si="123"/>
        <v>1.0139999999999999E-6</v>
      </c>
      <c r="AT297" s="140">
        <f t="shared" si="124"/>
        <v>1.3520000000000001E-6</v>
      </c>
      <c r="AU297" s="140">
        <f t="shared" si="125"/>
        <v>1.6900000000000001E-6</v>
      </c>
      <c r="AV297" s="157">
        <f>IF(AO297&lt;$B$73*DATA!$H$1037,DATA!$H$1037,IF(AO297&gt;DATA!$H$1036*$B$73,DATA!$H$1036,1))</f>
        <v>1.2</v>
      </c>
      <c r="AW297" s="156">
        <f t="shared" si="126"/>
        <v>9.9999999999999995E-8</v>
      </c>
      <c r="AY297" s="140">
        <f t="shared" si="127"/>
        <v>3.3800000000000002E-5</v>
      </c>
      <c r="AZ297">
        <v>3.38</v>
      </c>
      <c r="BA297" s="140">
        <f t="shared" si="128"/>
        <v>3.3799999999999993E-7</v>
      </c>
      <c r="BB297" s="140">
        <f t="shared" si="129"/>
        <v>6.7599999999999997E-7</v>
      </c>
      <c r="BC297" s="140">
        <f t="shared" si="130"/>
        <v>1.0139999999999999E-6</v>
      </c>
      <c r="BD297" s="140">
        <f t="shared" si="131"/>
        <v>1.3520000000000001E-6</v>
      </c>
      <c r="BE297" s="140">
        <f t="shared" si="132"/>
        <v>1.6900000000000001E-6</v>
      </c>
      <c r="BF297" s="157">
        <f>IF(AY297&lt;$B$89*DATA!$H$1037,DATA!$H$1037,IF(AY297&gt;DATA!$H$1036*$B$89,DATA!$H$1036,1))</f>
        <v>1.2</v>
      </c>
      <c r="BG297" s="156">
        <f t="shared" si="133"/>
        <v>9.9999999999999995E-8</v>
      </c>
      <c r="BI297" s="140">
        <f t="shared" si="134"/>
        <v>3.3800000000000002E-5</v>
      </c>
      <c r="BJ297">
        <v>3.38</v>
      </c>
      <c r="BK297" s="140">
        <f t="shared" si="135"/>
        <v>3.3799999999999993E-7</v>
      </c>
      <c r="BL297" s="140">
        <f t="shared" si="136"/>
        <v>6.7599999999999997E-7</v>
      </c>
      <c r="BM297" s="140">
        <f t="shared" si="137"/>
        <v>1.0139999999999999E-6</v>
      </c>
      <c r="BN297" s="140">
        <f t="shared" si="138"/>
        <v>1.3520000000000001E-6</v>
      </c>
      <c r="BO297" s="140">
        <f t="shared" si="139"/>
        <v>1.6900000000000001E-6</v>
      </c>
      <c r="BP297" s="157">
        <f>IF(BI297&lt;$B$105*DATA!$H$1037,DATA!$H$1037,IF(BI297&gt;DATA!$H$1036*$B$105,DATA!$H$1036,1))</f>
        <v>1.2</v>
      </c>
      <c r="BQ297" s="156">
        <f t="shared" si="140"/>
        <v>9.9999999999999995E-8</v>
      </c>
    </row>
    <row r="298" spans="1:69">
      <c r="A298" s="140">
        <f t="shared" si="96"/>
        <v>3.4E-5</v>
      </c>
      <c r="B298">
        <v>3.4</v>
      </c>
      <c r="C298" s="140">
        <f t="shared" si="97"/>
        <v>3.3999999999999987E-7</v>
      </c>
      <c r="D298" s="140">
        <f t="shared" si="97"/>
        <v>6.7999999999999984E-7</v>
      </c>
      <c r="E298" s="140">
        <f t="shared" si="97"/>
        <v>1.02E-6</v>
      </c>
      <c r="F298" s="140">
        <f t="shared" si="97"/>
        <v>1.3600000000000001E-6</v>
      </c>
      <c r="G298" s="140">
        <f t="shared" si="97"/>
        <v>1.7E-6</v>
      </c>
      <c r="H298" s="157">
        <f>IF(A298&lt;$B$9*DATA!$H$1037,DATA!$H$1037,IF(A298&gt;DATA!$H$1036*$B$9,DATA!$H$1036,1))</f>
        <v>0.8</v>
      </c>
      <c r="I298" s="156">
        <f t="shared" si="98"/>
        <v>9.9999999999999995E-8</v>
      </c>
      <c r="K298" s="140">
        <f t="shared" si="99"/>
        <v>3.4E-5</v>
      </c>
      <c r="L298">
        <v>3.4</v>
      </c>
      <c r="M298" s="140">
        <f t="shared" si="100"/>
        <v>3.3999999999999987E-7</v>
      </c>
      <c r="N298" s="140">
        <f t="shared" si="101"/>
        <v>6.7999999999999984E-7</v>
      </c>
      <c r="O298" s="140">
        <f t="shared" si="102"/>
        <v>1.02E-6</v>
      </c>
      <c r="P298" s="140">
        <f t="shared" si="103"/>
        <v>1.3600000000000001E-6</v>
      </c>
      <c r="Q298" s="140">
        <f t="shared" si="104"/>
        <v>1.7E-6</v>
      </c>
      <c r="R298" s="157">
        <f>IF(K298&lt;$B$25*DATA!$H$1037,DATA!$H$1037,IF(K298&gt;DATA!$H$1036*$B$25,DATA!$H$1036,1))</f>
        <v>0.8</v>
      </c>
      <c r="S298" s="156">
        <f t="shared" si="105"/>
        <v>9.9999999999999995E-8</v>
      </c>
      <c r="U298" s="140">
        <f t="shared" si="106"/>
        <v>3.4E-5</v>
      </c>
      <c r="V298">
        <v>3.4</v>
      </c>
      <c r="W298" s="140">
        <f t="shared" si="107"/>
        <v>3.3999999999999987E-7</v>
      </c>
      <c r="X298" s="140">
        <f t="shared" si="108"/>
        <v>6.7999999999999984E-7</v>
      </c>
      <c r="Y298" s="140">
        <f t="shared" si="109"/>
        <v>1.02E-6</v>
      </c>
      <c r="Z298" s="140">
        <f t="shared" si="110"/>
        <v>1.3600000000000001E-6</v>
      </c>
      <c r="AA298" s="140">
        <f t="shared" si="111"/>
        <v>1.7E-6</v>
      </c>
      <c r="AB298" s="157">
        <f>IF(U298&lt;$B$41*DATA!$H$1037,DATA!$H$1037,IF(U298&gt;DATA!$H$1036*$B$41,DATA!$H$1036,1))</f>
        <v>0.8</v>
      </c>
      <c r="AC298" s="156">
        <f t="shared" si="112"/>
        <v>9.9999999999999995E-8</v>
      </c>
      <c r="AE298" s="140">
        <f t="shared" si="113"/>
        <v>3.4E-5</v>
      </c>
      <c r="AF298">
        <v>3.4</v>
      </c>
      <c r="AG298" s="140">
        <f t="shared" si="114"/>
        <v>3.3999999999999987E-7</v>
      </c>
      <c r="AH298" s="140">
        <f t="shared" si="115"/>
        <v>6.7999999999999984E-7</v>
      </c>
      <c r="AI298" s="140">
        <f t="shared" si="116"/>
        <v>1.02E-6</v>
      </c>
      <c r="AJ298" s="140">
        <f t="shared" si="117"/>
        <v>1.3600000000000001E-6</v>
      </c>
      <c r="AK298" s="140">
        <f t="shared" si="118"/>
        <v>1.7E-6</v>
      </c>
      <c r="AL298" s="157">
        <f>IF(AE298&lt;$B$57*DATA!$H$1037,DATA!$H$1037,IF(AE298&gt;DATA!$H$1036*$B$57,DATA!$H$1036,1))</f>
        <v>1.2</v>
      </c>
      <c r="AM298" s="156">
        <f t="shared" si="119"/>
        <v>9.9999999999999995E-8</v>
      </c>
      <c r="AO298" s="140">
        <f t="shared" si="120"/>
        <v>3.4E-5</v>
      </c>
      <c r="AP298">
        <v>3.4</v>
      </c>
      <c r="AQ298" s="140">
        <f t="shared" si="121"/>
        <v>3.3999999999999987E-7</v>
      </c>
      <c r="AR298" s="140">
        <f t="shared" si="122"/>
        <v>6.7999999999999984E-7</v>
      </c>
      <c r="AS298" s="140">
        <f t="shared" si="123"/>
        <v>1.02E-6</v>
      </c>
      <c r="AT298" s="140">
        <f t="shared" si="124"/>
        <v>1.3600000000000001E-6</v>
      </c>
      <c r="AU298" s="140">
        <f t="shared" si="125"/>
        <v>1.7E-6</v>
      </c>
      <c r="AV298" s="157">
        <f>IF(AO298&lt;$B$73*DATA!$H$1037,DATA!$H$1037,IF(AO298&gt;DATA!$H$1036*$B$73,DATA!$H$1036,1))</f>
        <v>1.2</v>
      </c>
      <c r="AW298" s="156">
        <f t="shared" si="126"/>
        <v>9.9999999999999995E-8</v>
      </c>
      <c r="AY298" s="140">
        <f t="shared" si="127"/>
        <v>3.4E-5</v>
      </c>
      <c r="AZ298">
        <v>3.4</v>
      </c>
      <c r="BA298" s="140">
        <f t="shared" si="128"/>
        <v>3.3999999999999987E-7</v>
      </c>
      <c r="BB298" s="140">
        <f t="shared" si="129"/>
        <v>6.7999999999999984E-7</v>
      </c>
      <c r="BC298" s="140">
        <f t="shared" si="130"/>
        <v>1.02E-6</v>
      </c>
      <c r="BD298" s="140">
        <f t="shared" si="131"/>
        <v>1.3600000000000001E-6</v>
      </c>
      <c r="BE298" s="140">
        <f t="shared" si="132"/>
        <v>1.7E-6</v>
      </c>
      <c r="BF298" s="157">
        <f>IF(AY298&lt;$B$89*DATA!$H$1037,DATA!$H$1037,IF(AY298&gt;DATA!$H$1036*$B$89,DATA!$H$1036,1))</f>
        <v>1.2</v>
      </c>
      <c r="BG298" s="156">
        <f t="shared" si="133"/>
        <v>9.9999999999999995E-8</v>
      </c>
      <c r="BI298" s="140">
        <f t="shared" si="134"/>
        <v>3.4E-5</v>
      </c>
      <c r="BJ298">
        <v>3.4</v>
      </c>
      <c r="BK298" s="140">
        <f t="shared" si="135"/>
        <v>3.3999999999999987E-7</v>
      </c>
      <c r="BL298" s="140">
        <f t="shared" si="136"/>
        <v>6.7999999999999984E-7</v>
      </c>
      <c r="BM298" s="140">
        <f t="shared" si="137"/>
        <v>1.02E-6</v>
      </c>
      <c r="BN298" s="140">
        <f t="shared" si="138"/>
        <v>1.3600000000000001E-6</v>
      </c>
      <c r="BO298" s="140">
        <f t="shared" si="139"/>
        <v>1.7E-6</v>
      </c>
      <c r="BP298" s="157">
        <f>IF(BI298&lt;$B$105*DATA!$H$1037,DATA!$H$1037,IF(BI298&gt;DATA!$H$1036*$B$105,DATA!$H$1036,1))</f>
        <v>1.2</v>
      </c>
      <c r="BQ298" s="156">
        <f t="shared" si="140"/>
        <v>9.9999999999999995E-8</v>
      </c>
    </row>
    <row r="299" spans="1:69">
      <c r="A299" s="140">
        <f t="shared" si="96"/>
        <v>3.4200000000000005E-5</v>
      </c>
      <c r="B299">
        <v>3.42</v>
      </c>
      <c r="C299" s="140">
        <f t="shared" si="97"/>
        <v>3.4199999999999991E-7</v>
      </c>
      <c r="D299" s="140">
        <f t="shared" si="97"/>
        <v>6.8400000000000004E-7</v>
      </c>
      <c r="E299" s="140">
        <f t="shared" si="97"/>
        <v>1.026E-6</v>
      </c>
      <c r="F299" s="140">
        <f t="shared" si="97"/>
        <v>1.3680000000000003E-6</v>
      </c>
      <c r="G299" s="140">
        <f t="shared" si="97"/>
        <v>1.7100000000000004E-6</v>
      </c>
      <c r="H299" s="157">
        <f>IF(A299&lt;$B$9*DATA!$H$1037,DATA!$H$1037,IF(A299&gt;DATA!$H$1036*$B$9,DATA!$H$1036,1))</f>
        <v>0.8</v>
      </c>
      <c r="I299" s="156">
        <f t="shared" si="98"/>
        <v>9.9999999999999995E-8</v>
      </c>
      <c r="K299" s="140">
        <f t="shared" si="99"/>
        <v>3.4200000000000005E-5</v>
      </c>
      <c r="L299">
        <v>3.42</v>
      </c>
      <c r="M299" s="140">
        <f t="shared" si="100"/>
        <v>3.4199999999999991E-7</v>
      </c>
      <c r="N299" s="140">
        <f t="shared" si="101"/>
        <v>6.8400000000000004E-7</v>
      </c>
      <c r="O299" s="140">
        <f t="shared" si="102"/>
        <v>1.026E-6</v>
      </c>
      <c r="P299" s="140">
        <f t="shared" si="103"/>
        <v>1.3680000000000003E-6</v>
      </c>
      <c r="Q299" s="140">
        <f t="shared" si="104"/>
        <v>1.7100000000000004E-6</v>
      </c>
      <c r="R299" s="157">
        <f>IF(K299&lt;$B$25*DATA!$H$1037,DATA!$H$1037,IF(K299&gt;DATA!$H$1036*$B$25,DATA!$H$1036,1))</f>
        <v>0.8</v>
      </c>
      <c r="S299" s="156">
        <f t="shared" si="105"/>
        <v>9.9999999999999995E-8</v>
      </c>
      <c r="U299" s="140">
        <f t="shared" si="106"/>
        <v>3.4200000000000005E-5</v>
      </c>
      <c r="V299">
        <v>3.42</v>
      </c>
      <c r="W299" s="140">
        <f t="shared" si="107"/>
        <v>3.4199999999999991E-7</v>
      </c>
      <c r="X299" s="140">
        <f t="shared" si="108"/>
        <v>6.8400000000000004E-7</v>
      </c>
      <c r="Y299" s="140">
        <f t="shared" si="109"/>
        <v>1.026E-6</v>
      </c>
      <c r="Z299" s="140">
        <f t="shared" si="110"/>
        <v>1.3680000000000003E-6</v>
      </c>
      <c r="AA299" s="140">
        <f t="shared" si="111"/>
        <v>1.7100000000000004E-6</v>
      </c>
      <c r="AB299" s="157">
        <f>IF(U299&lt;$B$41*DATA!$H$1037,DATA!$H$1037,IF(U299&gt;DATA!$H$1036*$B$41,DATA!$H$1036,1))</f>
        <v>0.8</v>
      </c>
      <c r="AC299" s="156">
        <f t="shared" si="112"/>
        <v>9.9999999999999995E-8</v>
      </c>
      <c r="AE299" s="140">
        <f t="shared" si="113"/>
        <v>3.4200000000000005E-5</v>
      </c>
      <c r="AF299">
        <v>3.42</v>
      </c>
      <c r="AG299" s="140">
        <f t="shared" si="114"/>
        <v>3.4199999999999991E-7</v>
      </c>
      <c r="AH299" s="140">
        <f t="shared" si="115"/>
        <v>6.8400000000000004E-7</v>
      </c>
      <c r="AI299" s="140">
        <f t="shared" si="116"/>
        <v>1.026E-6</v>
      </c>
      <c r="AJ299" s="140">
        <f t="shared" si="117"/>
        <v>1.3680000000000003E-6</v>
      </c>
      <c r="AK299" s="140">
        <f t="shared" si="118"/>
        <v>1.7100000000000004E-6</v>
      </c>
      <c r="AL299" s="157">
        <f>IF(AE299&lt;$B$57*DATA!$H$1037,DATA!$H$1037,IF(AE299&gt;DATA!$H$1036*$B$57,DATA!$H$1036,1))</f>
        <v>1.2</v>
      </c>
      <c r="AM299" s="156">
        <f t="shared" si="119"/>
        <v>9.9999999999999995E-8</v>
      </c>
      <c r="AO299" s="140">
        <f t="shared" si="120"/>
        <v>3.4200000000000005E-5</v>
      </c>
      <c r="AP299">
        <v>3.42</v>
      </c>
      <c r="AQ299" s="140">
        <f t="shared" si="121"/>
        <v>3.4199999999999991E-7</v>
      </c>
      <c r="AR299" s="140">
        <f t="shared" si="122"/>
        <v>6.8400000000000004E-7</v>
      </c>
      <c r="AS299" s="140">
        <f t="shared" si="123"/>
        <v>1.026E-6</v>
      </c>
      <c r="AT299" s="140">
        <f t="shared" si="124"/>
        <v>1.3680000000000003E-6</v>
      </c>
      <c r="AU299" s="140">
        <f t="shared" si="125"/>
        <v>1.7100000000000004E-6</v>
      </c>
      <c r="AV299" s="157">
        <f>IF(AO299&lt;$B$73*DATA!$H$1037,DATA!$H$1037,IF(AO299&gt;DATA!$H$1036*$B$73,DATA!$H$1036,1))</f>
        <v>1.2</v>
      </c>
      <c r="AW299" s="156">
        <f t="shared" si="126"/>
        <v>9.9999999999999995E-8</v>
      </c>
      <c r="AY299" s="140">
        <f t="shared" si="127"/>
        <v>3.4200000000000005E-5</v>
      </c>
      <c r="AZ299">
        <v>3.42</v>
      </c>
      <c r="BA299" s="140">
        <f t="shared" si="128"/>
        <v>3.4199999999999991E-7</v>
      </c>
      <c r="BB299" s="140">
        <f t="shared" si="129"/>
        <v>6.8400000000000004E-7</v>
      </c>
      <c r="BC299" s="140">
        <f t="shared" si="130"/>
        <v>1.026E-6</v>
      </c>
      <c r="BD299" s="140">
        <f t="shared" si="131"/>
        <v>1.3680000000000003E-6</v>
      </c>
      <c r="BE299" s="140">
        <f t="shared" si="132"/>
        <v>1.7100000000000004E-6</v>
      </c>
      <c r="BF299" s="157">
        <f>IF(AY299&lt;$B$89*DATA!$H$1037,DATA!$H$1037,IF(AY299&gt;DATA!$H$1036*$B$89,DATA!$H$1036,1))</f>
        <v>1.2</v>
      </c>
      <c r="BG299" s="156">
        <f t="shared" si="133"/>
        <v>9.9999999999999995E-8</v>
      </c>
      <c r="BI299" s="140">
        <f t="shared" si="134"/>
        <v>3.4200000000000005E-5</v>
      </c>
      <c r="BJ299">
        <v>3.42</v>
      </c>
      <c r="BK299" s="140">
        <f t="shared" si="135"/>
        <v>3.4199999999999991E-7</v>
      </c>
      <c r="BL299" s="140">
        <f t="shared" si="136"/>
        <v>6.8400000000000004E-7</v>
      </c>
      <c r="BM299" s="140">
        <f t="shared" si="137"/>
        <v>1.026E-6</v>
      </c>
      <c r="BN299" s="140">
        <f t="shared" si="138"/>
        <v>1.3680000000000003E-6</v>
      </c>
      <c r="BO299" s="140">
        <f t="shared" si="139"/>
        <v>1.7100000000000004E-6</v>
      </c>
      <c r="BP299" s="157">
        <f>IF(BI299&lt;$B$105*DATA!$H$1037,DATA!$H$1037,IF(BI299&gt;DATA!$H$1036*$B$105,DATA!$H$1036,1))</f>
        <v>1.2</v>
      </c>
      <c r="BQ299" s="156">
        <f t="shared" si="140"/>
        <v>9.9999999999999995E-8</v>
      </c>
    </row>
    <row r="300" spans="1:69">
      <c r="A300" s="140">
        <f t="shared" si="96"/>
        <v>3.4400000000000003E-5</v>
      </c>
      <c r="B300">
        <v>3.44</v>
      </c>
      <c r="C300" s="140">
        <f t="shared" si="97"/>
        <v>3.439999999999999E-7</v>
      </c>
      <c r="D300" s="140">
        <f t="shared" si="97"/>
        <v>6.8799999999999991E-7</v>
      </c>
      <c r="E300" s="140">
        <f t="shared" si="97"/>
        <v>1.032E-6</v>
      </c>
      <c r="F300" s="140">
        <f t="shared" si="97"/>
        <v>1.376E-6</v>
      </c>
      <c r="G300" s="140">
        <f t="shared" si="97"/>
        <v>1.7200000000000003E-6</v>
      </c>
      <c r="H300" s="157">
        <f>IF(A300&lt;$B$9*DATA!$H$1037,DATA!$H$1037,IF(A300&gt;DATA!$H$1036*$B$9,DATA!$H$1036,1))</f>
        <v>0.8</v>
      </c>
      <c r="I300" s="156">
        <f t="shared" si="98"/>
        <v>9.9999999999999995E-8</v>
      </c>
      <c r="K300" s="140">
        <f t="shared" si="99"/>
        <v>3.4400000000000003E-5</v>
      </c>
      <c r="L300">
        <v>3.44</v>
      </c>
      <c r="M300" s="140">
        <f t="shared" si="100"/>
        <v>3.439999999999999E-7</v>
      </c>
      <c r="N300" s="140">
        <f t="shared" si="101"/>
        <v>6.8799999999999991E-7</v>
      </c>
      <c r="O300" s="140">
        <f t="shared" si="102"/>
        <v>1.032E-6</v>
      </c>
      <c r="P300" s="140">
        <f t="shared" si="103"/>
        <v>1.376E-6</v>
      </c>
      <c r="Q300" s="140">
        <f t="shared" si="104"/>
        <v>1.7200000000000003E-6</v>
      </c>
      <c r="R300" s="157">
        <f>IF(K300&lt;$B$25*DATA!$H$1037,DATA!$H$1037,IF(K300&gt;DATA!$H$1036*$B$25,DATA!$H$1036,1))</f>
        <v>0.8</v>
      </c>
      <c r="S300" s="156">
        <f t="shared" si="105"/>
        <v>9.9999999999999995E-8</v>
      </c>
      <c r="U300" s="140">
        <f t="shared" si="106"/>
        <v>3.4400000000000003E-5</v>
      </c>
      <c r="V300">
        <v>3.44</v>
      </c>
      <c r="W300" s="140">
        <f t="shared" si="107"/>
        <v>3.439999999999999E-7</v>
      </c>
      <c r="X300" s="140">
        <f t="shared" si="108"/>
        <v>6.8799999999999991E-7</v>
      </c>
      <c r="Y300" s="140">
        <f t="shared" si="109"/>
        <v>1.032E-6</v>
      </c>
      <c r="Z300" s="140">
        <f t="shared" si="110"/>
        <v>1.376E-6</v>
      </c>
      <c r="AA300" s="140">
        <f t="shared" si="111"/>
        <v>1.7200000000000003E-6</v>
      </c>
      <c r="AB300" s="157">
        <f>IF(U300&lt;$B$41*DATA!$H$1037,DATA!$H$1037,IF(U300&gt;DATA!$H$1036*$B$41,DATA!$H$1036,1))</f>
        <v>0.8</v>
      </c>
      <c r="AC300" s="156">
        <f t="shared" si="112"/>
        <v>9.9999999999999995E-8</v>
      </c>
      <c r="AE300" s="140">
        <f t="shared" si="113"/>
        <v>3.4400000000000003E-5</v>
      </c>
      <c r="AF300">
        <v>3.44</v>
      </c>
      <c r="AG300" s="140">
        <f t="shared" si="114"/>
        <v>3.439999999999999E-7</v>
      </c>
      <c r="AH300" s="140">
        <f t="shared" si="115"/>
        <v>6.8799999999999991E-7</v>
      </c>
      <c r="AI300" s="140">
        <f t="shared" si="116"/>
        <v>1.032E-6</v>
      </c>
      <c r="AJ300" s="140">
        <f t="shared" si="117"/>
        <v>1.376E-6</v>
      </c>
      <c r="AK300" s="140">
        <f t="shared" si="118"/>
        <v>1.7200000000000003E-6</v>
      </c>
      <c r="AL300" s="157">
        <f>IF(AE300&lt;$B$57*DATA!$H$1037,DATA!$H$1037,IF(AE300&gt;DATA!$H$1036*$B$57,DATA!$H$1036,1))</f>
        <v>1.2</v>
      </c>
      <c r="AM300" s="156">
        <f t="shared" si="119"/>
        <v>9.9999999999999995E-8</v>
      </c>
      <c r="AO300" s="140">
        <f t="shared" si="120"/>
        <v>3.4400000000000003E-5</v>
      </c>
      <c r="AP300">
        <v>3.44</v>
      </c>
      <c r="AQ300" s="140">
        <f t="shared" si="121"/>
        <v>3.439999999999999E-7</v>
      </c>
      <c r="AR300" s="140">
        <f t="shared" si="122"/>
        <v>6.8799999999999991E-7</v>
      </c>
      <c r="AS300" s="140">
        <f t="shared" si="123"/>
        <v>1.032E-6</v>
      </c>
      <c r="AT300" s="140">
        <f t="shared" si="124"/>
        <v>1.376E-6</v>
      </c>
      <c r="AU300" s="140">
        <f t="shared" si="125"/>
        <v>1.7200000000000003E-6</v>
      </c>
      <c r="AV300" s="157">
        <f>IF(AO300&lt;$B$73*DATA!$H$1037,DATA!$H$1037,IF(AO300&gt;DATA!$H$1036*$B$73,DATA!$H$1036,1))</f>
        <v>1.2</v>
      </c>
      <c r="AW300" s="156">
        <f t="shared" si="126"/>
        <v>9.9999999999999995E-8</v>
      </c>
      <c r="AY300" s="140">
        <f t="shared" si="127"/>
        <v>3.4400000000000003E-5</v>
      </c>
      <c r="AZ300">
        <v>3.44</v>
      </c>
      <c r="BA300" s="140">
        <f t="shared" si="128"/>
        <v>3.439999999999999E-7</v>
      </c>
      <c r="BB300" s="140">
        <f t="shared" si="129"/>
        <v>6.8799999999999991E-7</v>
      </c>
      <c r="BC300" s="140">
        <f t="shared" si="130"/>
        <v>1.032E-6</v>
      </c>
      <c r="BD300" s="140">
        <f t="shared" si="131"/>
        <v>1.376E-6</v>
      </c>
      <c r="BE300" s="140">
        <f t="shared" si="132"/>
        <v>1.7200000000000003E-6</v>
      </c>
      <c r="BF300" s="157">
        <f>IF(AY300&lt;$B$89*DATA!$H$1037,DATA!$H$1037,IF(AY300&gt;DATA!$H$1036*$B$89,DATA!$H$1036,1))</f>
        <v>1.2</v>
      </c>
      <c r="BG300" s="156">
        <f t="shared" si="133"/>
        <v>9.9999999999999995E-8</v>
      </c>
      <c r="BI300" s="140">
        <f t="shared" si="134"/>
        <v>3.4400000000000003E-5</v>
      </c>
      <c r="BJ300">
        <v>3.44</v>
      </c>
      <c r="BK300" s="140">
        <f t="shared" si="135"/>
        <v>3.439999999999999E-7</v>
      </c>
      <c r="BL300" s="140">
        <f t="shared" si="136"/>
        <v>6.8799999999999991E-7</v>
      </c>
      <c r="BM300" s="140">
        <f t="shared" si="137"/>
        <v>1.032E-6</v>
      </c>
      <c r="BN300" s="140">
        <f t="shared" si="138"/>
        <v>1.376E-6</v>
      </c>
      <c r="BO300" s="140">
        <f t="shared" si="139"/>
        <v>1.7200000000000003E-6</v>
      </c>
      <c r="BP300" s="157">
        <f>IF(BI300&lt;$B$105*DATA!$H$1037,DATA!$H$1037,IF(BI300&gt;DATA!$H$1036*$B$105,DATA!$H$1036,1))</f>
        <v>1.2</v>
      </c>
      <c r="BQ300" s="156">
        <f t="shared" si="140"/>
        <v>9.9999999999999995E-8</v>
      </c>
    </row>
    <row r="301" spans="1:69">
      <c r="A301" s="140">
        <f t="shared" si="96"/>
        <v>3.4600000000000001E-5</v>
      </c>
      <c r="B301">
        <v>3.46</v>
      </c>
      <c r="C301" s="140">
        <f t="shared" si="97"/>
        <v>3.459999999999999E-7</v>
      </c>
      <c r="D301" s="140">
        <f t="shared" si="97"/>
        <v>6.919999999999999E-7</v>
      </c>
      <c r="E301" s="140">
        <f t="shared" si="97"/>
        <v>1.0380000000000001E-6</v>
      </c>
      <c r="F301" s="140">
        <f t="shared" si="97"/>
        <v>1.384E-6</v>
      </c>
      <c r="G301" s="140">
        <f t="shared" si="97"/>
        <v>1.7300000000000002E-6</v>
      </c>
      <c r="H301" s="157">
        <f>IF(A301&lt;$B$9*DATA!$H$1037,DATA!$H$1037,IF(A301&gt;DATA!$H$1036*$B$9,DATA!$H$1036,1))</f>
        <v>0.8</v>
      </c>
      <c r="I301" s="156">
        <f t="shared" si="98"/>
        <v>9.9999999999999995E-8</v>
      </c>
      <c r="K301" s="140">
        <f t="shared" si="99"/>
        <v>3.4600000000000001E-5</v>
      </c>
      <c r="L301">
        <v>3.46</v>
      </c>
      <c r="M301" s="140">
        <f t="shared" si="100"/>
        <v>3.459999999999999E-7</v>
      </c>
      <c r="N301" s="140">
        <f t="shared" si="101"/>
        <v>6.919999999999999E-7</v>
      </c>
      <c r="O301" s="140">
        <f t="shared" si="102"/>
        <v>1.0380000000000001E-6</v>
      </c>
      <c r="P301" s="140">
        <f t="shared" si="103"/>
        <v>1.384E-6</v>
      </c>
      <c r="Q301" s="140">
        <f t="shared" si="104"/>
        <v>1.7300000000000002E-6</v>
      </c>
      <c r="R301" s="157">
        <f>IF(K301&lt;$B$25*DATA!$H$1037,DATA!$H$1037,IF(K301&gt;DATA!$H$1036*$B$25,DATA!$H$1036,1))</f>
        <v>0.8</v>
      </c>
      <c r="S301" s="156">
        <f t="shared" si="105"/>
        <v>9.9999999999999995E-8</v>
      </c>
      <c r="U301" s="140">
        <f t="shared" si="106"/>
        <v>3.4600000000000001E-5</v>
      </c>
      <c r="V301">
        <v>3.46</v>
      </c>
      <c r="W301" s="140">
        <f t="shared" si="107"/>
        <v>3.459999999999999E-7</v>
      </c>
      <c r="X301" s="140">
        <f t="shared" si="108"/>
        <v>6.919999999999999E-7</v>
      </c>
      <c r="Y301" s="140">
        <f t="shared" si="109"/>
        <v>1.0380000000000001E-6</v>
      </c>
      <c r="Z301" s="140">
        <f t="shared" si="110"/>
        <v>1.384E-6</v>
      </c>
      <c r="AA301" s="140">
        <f t="shared" si="111"/>
        <v>1.7300000000000002E-6</v>
      </c>
      <c r="AB301" s="157">
        <f>IF(U301&lt;$B$41*DATA!$H$1037,DATA!$H$1037,IF(U301&gt;DATA!$H$1036*$B$41,DATA!$H$1036,1))</f>
        <v>0.8</v>
      </c>
      <c r="AC301" s="156">
        <f t="shared" si="112"/>
        <v>9.9999999999999995E-8</v>
      </c>
      <c r="AE301" s="140">
        <f t="shared" si="113"/>
        <v>3.4600000000000001E-5</v>
      </c>
      <c r="AF301">
        <v>3.46</v>
      </c>
      <c r="AG301" s="140">
        <f t="shared" si="114"/>
        <v>3.459999999999999E-7</v>
      </c>
      <c r="AH301" s="140">
        <f t="shared" si="115"/>
        <v>6.919999999999999E-7</v>
      </c>
      <c r="AI301" s="140">
        <f t="shared" si="116"/>
        <v>1.0380000000000001E-6</v>
      </c>
      <c r="AJ301" s="140">
        <f t="shared" si="117"/>
        <v>1.384E-6</v>
      </c>
      <c r="AK301" s="140">
        <f t="shared" si="118"/>
        <v>1.7300000000000002E-6</v>
      </c>
      <c r="AL301" s="157">
        <f>IF(AE301&lt;$B$57*DATA!$H$1037,DATA!$H$1037,IF(AE301&gt;DATA!$H$1036*$B$57,DATA!$H$1036,1))</f>
        <v>1.2</v>
      </c>
      <c r="AM301" s="156">
        <f t="shared" si="119"/>
        <v>9.9999999999999995E-8</v>
      </c>
      <c r="AO301" s="140">
        <f t="shared" si="120"/>
        <v>3.4600000000000001E-5</v>
      </c>
      <c r="AP301">
        <v>3.46</v>
      </c>
      <c r="AQ301" s="140">
        <f t="shared" si="121"/>
        <v>3.459999999999999E-7</v>
      </c>
      <c r="AR301" s="140">
        <f t="shared" si="122"/>
        <v>6.919999999999999E-7</v>
      </c>
      <c r="AS301" s="140">
        <f t="shared" si="123"/>
        <v>1.0380000000000001E-6</v>
      </c>
      <c r="AT301" s="140">
        <f t="shared" si="124"/>
        <v>1.384E-6</v>
      </c>
      <c r="AU301" s="140">
        <f t="shared" si="125"/>
        <v>1.7300000000000002E-6</v>
      </c>
      <c r="AV301" s="157">
        <f>IF(AO301&lt;$B$73*DATA!$H$1037,DATA!$H$1037,IF(AO301&gt;DATA!$H$1036*$B$73,DATA!$H$1036,1))</f>
        <v>1.2</v>
      </c>
      <c r="AW301" s="156">
        <f t="shared" si="126"/>
        <v>9.9999999999999995E-8</v>
      </c>
      <c r="AY301" s="140">
        <f t="shared" si="127"/>
        <v>3.4600000000000001E-5</v>
      </c>
      <c r="AZ301">
        <v>3.46</v>
      </c>
      <c r="BA301" s="140">
        <f t="shared" si="128"/>
        <v>3.459999999999999E-7</v>
      </c>
      <c r="BB301" s="140">
        <f t="shared" si="129"/>
        <v>6.919999999999999E-7</v>
      </c>
      <c r="BC301" s="140">
        <f t="shared" si="130"/>
        <v>1.0380000000000001E-6</v>
      </c>
      <c r="BD301" s="140">
        <f t="shared" si="131"/>
        <v>1.384E-6</v>
      </c>
      <c r="BE301" s="140">
        <f t="shared" si="132"/>
        <v>1.7300000000000002E-6</v>
      </c>
      <c r="BF301" s="157">
        <f>IF(AY301&lt;$B$89*DATA!$H$1037,DATA!$H$1037,IF(AY301&gt;DATA!$H$1036*$B$89,DATA!$H$1036,1))</f>
        <v>1.2</v>
      </c>
      <c r="BG301" s="156">
        <f t="shared" si="133"/>
        <v>9.9999999999999995E-8</v>
      </c>
      <c r="BI301" s="140">
        <f t="shared" si="134"/>
        <v>3.4600000000000001E-5</v>
      </c>
      <c r="BJ301">
        <v>3.46</v>
      </c>
      <c r="BK301" s="140">
        <f t="shared" si="135"/>
        <v>3.459999999999999E-7</v>
      </c>
      <c r="BL301" s="140">
        <f t="shared" si="136"/>
        <v>6.919999999999999E-7</v>
      </c>
      <c r="BM301" s="140">
        <f t="shared" si="137"/>
        <v>1.0380000000000001E-6</v>
      </c>
      <c r="BN301" s="140">
        <f t="shared" si="138"/>
        <v>1.384E-6</v>
      </c>
      <c r="BO301" s="140">
        <f t="shared" si="139"/>
        <v>1.7300000000000002E-6</v>
      </c>
      <c r="BP301" s="157">
        <f>IF(BI301&lt;$B$105*DATA!$H$1037,DATA!$H$1037,IF(BI301&gt;DATA!$H$1036*$B$105,DATA!$H$1036,1))</f>
        <v>1.2</v>
      </c>
      <c r="BQ301" s="156">
        <f t="shared" si="140"/>
        <v>9.9999999999999995E-8</v>
      </c>
    </row>
    <row r="302" spans="1:69">
      <c r="A302" s="140">
        <f t="shared" si="96"/>
        <v>3.4800000000000006E-5</v>
      </c>
      <c r="B302">
        <v>3.48</v>
      </c>
      <c r="C302" s="140">
        <f t="shared" si="97"/>
        <v>3.4799999999999994E-7</v>
      </c>
      <c r="D302" s="140">
        <f t="shared" si="97"/>
        <v>6.9599999999999999E-7</v>
      </c>
      <c r="E302" s="140">
        <f t="shared" si="97"/>
        <v>1.0440000000000001E-6</v>
      </c>
      <c r="F302" s="140">
        <f t="shared" si="97"/>
        <v>1.3920000000000002E-6</v>
      </c>
      <c r="G302" s="140">
        <f t="shared" si="97"/>
        <v>1.7400000000000003E-6</v>
      </c>
      <c r="H302" s="157">
        <f>IF(A302&lt;$B$9*DATA!$H$1037,DATA!$H$1037,IF(A302&gt;DATA!$H$1036*$B$9,DATA!$H$1036,1))</f>
        <v>0.8</v>
      </c>
      <c r="I302" s="156">
        <f t="shared" si="98"/>
        <v>9.9999999999999995E-8</v>
      </c>
      <c r="K302" s="140">
        <f t="shared" si="99"/>
        <v>3.4800000000000006E-5</v>
      </c>
      <c r="L302">
        <v>3.48</v>
      </c>
      <c r="M302" s="140">
        <f t="shared" si="100"/>
        <v>3.4799999999999994E-7</v>
      </c>
      <c r="N302" s="140">
        <f t="shared" si="101"/>
        <v>6.9599999999999999E-7</v>
      </c>
      <c r="O302" s="140">
        <f t="shared" si="102"/>
        <v>1.0440000000000001E-6</v>
      </c>
      <c r="P302" s="140">
        <f t="shared" si="103"/>
        <v>1.3920000000000002E-6</v>
      </c>
      <c r="Q302" s="140">
        <f t="shared" si="104"/>
        <v>1.7400000000000003E-6</v>
      </c>
      <c r="R302" s="157">
        <f>IF(K302&lt;$B$25*DATA!$H$1037,DATA!$H$1037,IF(K302&gt;DATA!$H$1036*$B$25,DATA!$H$1036,1))</f>
        <v>0.8</v>
      </c>
      <c r="S302" s="156">
        <f t="shared" si="105"/>
        <v>9.9999999999999995E-8</v>
      </c>
      <c r="U302" s="140">
        <f t="shared" si="106"/>
        <v>3.4800000000000006E-5</v>
      </c>
      <c r="V302">
        <v>3.48</v>
      </c>
      <c r="W302" s="140">
        <f t="shared" si="107"/>
        <v>3.4799999999999994E-7</v>
      </c>
      <c r="X302" s="140">
        <f t="shared" si="108"/>
        <v>6.9599999999999999E-7</v>
      </c>
      <c r="Y302" s="140">
        <f t="shared" si="109"/>
        <v>1.0440000000000001E-6</v>
      </c>
      <c r="Z302" s="140">
        <f t="shared" si="110"/>
        <v>1.3920000000000002E-6</v>
      </c>
      <c r="AA302" s="140">
        <f t="shared" si="111"/>
        <v>1.7400000000000003E-6</v>
      </c>
      <c r="AB302" s="157">
        <f>IF(U302&lt;$B$41*DATA!$H$1037,DATA!$H$1037,IF(U302&gt;DATA!$H$1036*$B$41,DATA!$H$1036,1))</f>
        <v>0.8</v>
      </c>
      <c r="AC302" s="156">
        <f t="shared" si="112"/>
        <v>9.9999999999999995E-8</v>
      </c>
      <c r="AE302" s="140">
        <f t="shared" si="113"/>
        <v>3.4800000000000006E-5</v>
      </c>
      <c r="AF302">
        <v>3.48</v>
      </c>
      <c r="AG302" s="140">
        <f t="shared" si="114"/>
        <v>3.4799999999999994E-7</v>
      </c>
      <c r="AH302" s="140">
        <f t="shared" si="115"/>
        <v>6.9599999999999999E-7</v>
      </c>
      <c r="AI302" s="140">
        <f t="shared" si="116"/>
        <v>1.0440000000000001E-6</v>
      </c>
      <c r="AJ302" s="140">
        <f t="shared" si="117"/>
        <v>1.3920000000000002E-6</v>
      </c>
      <c r="AK302" s="140">
        <f t="shared" si="118"/>
        <v>1.7400000000000003E-6</v>
      </c>
      <c r="AL302" s="157">
        <f>IF(AE302&lt;$B$57*DATA!$H$1037,DATA!$H$1037,IF(AE302&gt;DATA!$H$1036*$B$57,DATA!$H$1036,1))</f>
        <v>1.2</v>
      </c>
      <c r="AM302" s="156">
        <f t="shared" si="119"/>
        <v>9.9999999999999995E-8</v>
      </c>
      <c r="AO302" s="140">
        <f t="shared" si="120"/>
        <v>3.4800000000000006E-5</v>
      </c>
      <c r="AP302">
        <v>3.48</v>
      </c>
      <c r="AQ302" s="140">
        <f t="shared" si="121"/>
        <v>3.4799999999999994E-7</v>
      </c>
      <c r="AR302" s="140">
        <f t="shared" si="122"/>
        <v>6.9599999999999999E-7</v>
      </c>
      <c r="AS302" s="140">
        <f t="shared" si="123"/>
        <v>1.0440000000000001E-6</v>
      </c>
      <c r="AT302" s="140">
        <f t="shared" si="124"/>
        <v>1.3920000000000002E-6</v>
      </c>
      <c r="AU302" s="140">
        <f t="shared" si="125"/>
        <v>1.7400000000000003E-6</v>
      </c>
      <c r="AV302" s="157">
        <f>IF(AO302&lt;$B$73*DATA!$H$1037,DATA!$H$1037,IF(AO302&gt;DATA!$H$1036*$B$73,DATA!$H$1036,1))</f>
        <v>1.2</v>
      </c>
      <c r="AW302" s="156">
        <f t="shared" si="126"/>
        <v>9.9999999999999995E-8</v>
      </c>
      <c r="AY302" s="140">
        <f t="shared" si="127"/>
        <v>3.4800000000000006E-5</v>
      </c>
      <c r="AZ302">
        <v>3.48</v>
      </c>
      <c r="BA302" s="140">
        <f t="shared" si="128"/>
        <v>3.4799999999999994E-7</v>
      </c>
      <c r="BB302" s="140">
        <f t="shared" si="129"/>
        <v>6.9599999999999999E-7</v>
      </c>
      <c r="BC302" s="140">
        <f t="shared" si="130"/>
        <v>1.0440000000000001E-6</v>
      </c>
      <c r="BD302" s="140">
        <f t="shared" si="131"/>
        <v>1.3920000000000002E-6</v>
      </c>
      <c r="BE302" s="140">
        <f t="shared" si="132"/>
        <v>1.7400000000000003E-6</v>
      </c>
      <c r="BF302" s="157">
        <f>IF(AY302&lt;$B$89*DATA!$H$1037,DATA!$H$1037,IF(AY302&gt;DATA!$H$1036*$B$89,DATA!$H$1036,1))</f>
        <v>1.2</v>
      </c>
      <c r="BG302" s="156">
        <f t="shared" si="133"/>
        <v>9.9999999999999995E-8</v>
      </c>
      <c r="BI302" s="140">
        <f t="shared" si="134"/>
        <v>3.4800000000000006E-5</v>
      </c>
      <c r="BJ302">
        <v>3.48</v>
      </c>
      <c r="BK302" s="140">
        <f t="shared" si="135"/>
        <v>3.4799999999999994E-7</v>
      </c>
      <c r="BL302" s="140">
        <f t="shared" si="136"/>
        <v>6.9599999999999999E-7</v>
      </c>
      <c r="BM302" s="140">
        <f t="shared" si="137"/>
        <v>1.0440000000000001E-6</v>
      </c>
      <c r="BN302" s="140">
        <f t="shared" si="138"/>
        <v>1.3920000000000002E-6</v>
      </c>
      <c r="BO302" s="140">
        <f t="shared" si="139"/>
        <v>1.7400000000000003E-6</v>
      </c>
      <c r="BP302" s="157">
        <f>IF(BI302&lt;$B$105*DATA!$H$1037,DATA!$H$1037,IF(BI302&gt;DATA!$H$1036*$B$105,DATA!$H$1036,1))</f>
        <v>1.2</v>
      </c>
      <c r="BQ302" s="156">
        <f t="shared" si="140"/>
        <v>9.9999999999999995E-8</v>
      </c>
    </row>
    <row r="303" spans="1:69">
      <c r="A303" s="140">
        <f t="shared" si="96"/>
        <v>3.5000000000000004E-5</v>
      </c>
      <c r="B303">
        <v>3.5</v>
      </c>
      <c r="C303" s="140">
        <f t="shared" si="97"/>
        <v>3.4999999999999993E-7</v>
      </c>
      <c r="D303" s="140">
        <f t="shared" si="97"/>
        <v>6.9999999999999997E-7</v>
      </c>
      <c r="E303" s="140">
        <f t="shared" si="97"/>
        <v>1.0500000000000001E-6</v>
      </c>
      <c r="F303" s="140">
        <f t="shared" si="97"/>
        <v>1.4000000000000001E-6</v>
      </c>
      <c r="G303" s="140">
        <f t="shared" si="97"/>
        <v>1.7500000000000002E-6</v>
      </c>
      <c r="H303" s="157">
        <f>IF(A303&lt;$B$9*DATA!$H$1037,DATA!$H$1037,IF(A303&gt;DATA!$H$1036*$B$9,DATA!$H$1036,1))</f>
        <v>0.8</v>
      </c>
      <c r="I303" s="156">
        <f t="shared" si="98"/>
        <v>9.9999999999999995E-8</v>
      </c>
      <c r="K303" s="140">
        <f t="shared" si="99"/>
        <v>3.5000000000000004E-5</v>
      </c>
      <c r="L303">
        <v>3.5</v>
      </c>
      <c r="M303" s="140">
        <f t="shared" si="100"/>
        <v>3.4999999999999993E-7</v>
      </c>
      <c r="N303" s="140">
        <f t="shared" si="101"/>
        <v>6.9999999999999997E-7</v>
      </c>
      <c r="O303" s="140">
        <f t="shared" si="102"/>
        <v>1.0500000000000001E-6</v>
      </c>
      <c r="P303" s="140">
        <f t="shared" si="103"/>
        <v>1.4000000000000001E-6</v>
      </c>
      <c r="Q303" s="140">
        <f t="shared" si="104"/>
        <v>1.7500000000000002E-6</v>
      </c>
      <c r="R303" s="157">
        <f>IF(K303&lt;$B$25*DATA!$H$1037,DATA!$H$1037,IF(K303&gt;DATA!$H$1036*$B$25,DATA!$H$1036,1))</f>
        <v>0.8</v>
      </c>
      <c r="S303" s="156">
        <f t="shared" si="105"/>
        <v>9.9999999999999995E-8</v>
      </c>
      <c r="U303" s="140">
        <f t="shared" si="106"/>
        <v>3.5000000000000004E-5</v>
      </c>
      <c r="V303">
        <v>3.5</v>
      </c>
      <c r="W303" s="140">
        <f t="shared" si="107"/>
        <v>3.4999999999999993E-7</v>
      </c>
      <c r="X303" s="140">
        <f t="shared" si="108"/>
        <v>6.9999999999999997E-7</v>
      </c>
      <c r="Y303" s="140">
        <f t="shared" si="109"/>
        <v>1.0500000000000001E-6</v>
      </c>
      <c r="Z303" s="140">
        <f t="shared" si="110"/>
        <v>1.4000000000000001E-6</v>
      </c>
      <c r="AA303" s="140">
        <f t="shared" si="111"/>
        <v>1.7500000000000002E-6</v>
      </c>
      <c r="AB303" s="157">
        <f>IF(U303&lt;$B$41*DATA!$H$1037,DATA!$H$1037,IF(U303&gt;DATA!$H$1036*$B$41,DATA!$H$1036,1))</f>
        <v>0.8</v>
      </c>
      <c r="AC303" s="156">
        <f t="shared" si="112"/>
        <v>9.9999999999999995E-8</v>
      </c>
      <c r="AE303" s="140">
        <f t="shared" si="113"/>
        <v>3.5000000000000004E-5</v>
      </c>
      <c r="AF303">
        <v>3.5</v>
      </c>
      <c r="AG303" s="140">
        <f t="shared" si="114"/>
        <v>3.4999999999999993E-7</v>
      </c>
      <c r="AH303" s="140">
        <f t="shared" si="115"/>
        <v>6.9999999999999997E-7</v>
      </c>
      <c r="AI303" s="140">
        <f t="shared" si="116"/>
        <v>1.0500000000000001E-6</v>
      </c>
      <c r="AJ303" s="140">
        <f t="shared" si="117"/>
        <v>1.4000000000000001E-6</v>
      </c>
      <c r="AK303" s="140">
        <f t="shared" si="118"/>
        <v>1.7500000000000002E-6</v>
      </c>
      <c r="AL303" s="157">
        <f>IF(AE303&lt;$B$57*DATA!$H$1037,DATA!$H$1037,IF(AE303&gt;DATA!$H$1036*$B$57,DATA!$H$1036,1))</f>
        <v>1.2</v>
      </c>
      <c r="AM303" s="156">
        <f t="shared" si="119"/>
        <v>9.9999999999999995E-8</v>
      </c>
      <c r="AO303" s="140">
        <f t="shared" si="120"/>
        <v>3.5000000000000004E-5</v>
      </c>
      <c r="AP303">
        <v>3.5</v>
      </c>
      <c r="AQ303" s="140">
        <f t="shared" si="121"/>
        <v>3.4999999999999993E-7</v>
      </c>
      <c r="AR303" s="140">
        <f t="shared" si="122"/>
        <v>6.9999999999999997E-7</v>
      </c>
      <c r="AS303" s="140">
        <f t="shared" si="123"/>
        <v>1.0500000000000001E-6</v>
      </c>
      <c r="AT303" s="140">
        <f t="shared" si="124"/>
        <v>1.4000000000000001E-6</v>
      </c>
      <c r="AU303" s="140">
        <f t="shared" si="125"/>
        <v>1.7500000000000002E-6</v>
      </c>
      <c r="AV303" s="157">
        <f>IF(AO303&lt;$B$73*DATA!$H$1037,DATA!$H$1037,IF(AO303&gt;DATA!$H$1036*$B$73,DATA!$H$1036,1))</f>
        <v>1.2</v>
      </c>
      <c r="AW303" s="156">
        <f t="shared" si="126"/>
        <v>9.9999999999999995E-8</v>
      </c>
      <c r="AY303" s="140">
        <f t="shared" si="127"/>
        <v>3.5000000000000004E-5</v>
      </c>
      <c r="AZ303">
        <v>3.5</v>
      </c>
      <c r="BA303" s="140">
        <f t="shared" si="128"/>
        <v>3.4999999999999993E-7</v>
      </c>
      <c r="BB303" s="140">
        <f t="shared" si="129"/>
        <v>6.9999999999999997E-7</v>
      </c>
      <c r="BC303" s="140">
        <f t="shared" si="130"/>
        <v>1.0500000000000001E-6</v>
      </c>
      <c r="BD303" s="140">
        <f t="shared" si="131"/>
        <v>1.4000000000000001E-6</v>
      </c>
      <c r="BE303" s="140">
        <f t="shared" si="132"/>
        <v>1.7500000000000002E-6</v>
      </c>
      <c r="BF303" s="157">
        <f>IF(AY303&lt;$B$89*DATA!$H$1037,DATA!$H$1037,IF(AY303&gt;DATA!$H$1036*$B$89,DATA!$H$1036,1))</f>
        <v>1.2</v>
      </c>
      <c r="BG303" s="156">
        <f t="shared" si="133"/>
        <v>9.9999999999999995E-8</v>
      </c>
      <c r="BI303" s="140">
        <f t="shared" si="134"/>
        <v>3.5000000000000004E-5</v>
      </c>
      <c r="BJ303">
        <v>3.5</v>
      </c>
      <c r="BK303" s="140">
        <f t="shared" si="135"/>
        <v>3.4999999999999993E-7</v>
      </c>
      <c r="BL303" s="140">
        <f t="shared" si="136"/>
        <v>6.9999999999999997E-7</v>
      </c>
      <c r="BM303" s="140">
        <f t="shared" si="137"/>
        <v>1.0500000000000001E-6</v>
      </c>
      <c r="BN303" s="140">
        <f t="shared" si="138"/>
        <v>1.4000000000000001E-6</v>
      </c>
      <c r="BO303" s="140">
        <f t="shared" si="139"/>
        <v>1.7500000000000002E-6</v>
      </c>
      <c r="BP303" s="157">
        <f>IF(BI303&lt;$B$105*DATA!$H$1037,DATA!$H$1037,IF(BI303&gt;DATA!$H$1036*$B$105,DATA!$H$1036,1))</f>
        <v>1.2</v>
      </c>
      <c r="BQ303" s="156">
        <f t="shared" si="140"/>
        <v>9.9999999999999995E-8</v>
      </c>
    </row>
    <row r="304" spans="1:69">
      <c r="A304" s="140">
        <f t="shared" si="96"/>
        <v>3.5200000000000002E-5</v>
      </c>
      <c r="B304">
        <v>3.52</v>
      </c>
      <c r="C304" s="140">
        <f t="shared" si="97"/>
        <v>3.5199999999999992E-7</v>
      </c>
      <c r="D304" s="140">
        <f t="shared" si="97"/>
        <v>7.0399999999999995E-7</v>
      </c>
      <c r="E304" s="140">
        <f t="shared" si="97"/>
        <v>1.0559999999999999E-6</v>
      </c>
      <c r="F304" s="140">
        <f t="shared" si="97"/>
        <v>1.4080000000000001E-6</v>
      </c>
      <c r="G304" s="140">
        <f t="shared" si="97"/>
        <v>1.7600000000000001E-6</v>
      </c>
      <c r="H304" s="157">
        <f>IF(A304&lt;$B$9*DATA!$H$1037,DATA!$H$1037,IF(A304&gt;DATA!$H$1036*$B$9,DATA!$H$1036,1))</f>
        <v>0.8</v>
      </c>
      <c r="I304" s="156">
        <f t="shared" si="98"/>
        <v>9.9999999999999995E-8</v>
      </c>
      <c r="K304" s="140">
        <f t="shared" si="99"/>
        <v>3.5200000000000002E-5</v>
      </c>
      <c r="L304">
        <v>3.52</v>
      </c>
      <c r="M304" s="140">
        <f t="shared" si="100"/>
        <v>3.5199999999999992E-7</v>
      </c>
      <c r="N304" s="140">
        <f t="shared" si="101"/>
        <v>7.0399999999999995E-7</v>
      </c>
      <c r="O304" s="140">
        <f t="shared" si="102"/>
        <v>1.0559999999999999E-6</v>
      </c>
      <c r="P304" s="140">
        <f t="shared" si="103"/>
        <v>1.4080000000000001E-6</v>
      </c>
      <c r="Q304" s="140">
        <f t="shared" si="104"/>
        <v>1.7600000000000001E-6</v>
      </c>
      <c r="R304" s="157">
        <f>IF(K304&lt;$B$25*DATA!$H$1037,DATA!$H$1037,IF(K304&gt;DATA!$H$1036*$B$25,DATA!$H$1036,1))</f>
        <v>0.8</v>
      </c>
      <c r="S304" s="156">
        <f t="shared" si="105"/>
        <v>9.9999999999999995E-8</v>
      </c>
      <c r="U304" s="140">
        <f t="shared" si="106"/>
        <v>3.5200000000000002E-5</v>
      </c>
      <c r="V304">
        <v>3.52</v>
      </c>
      <c r="W304" s="140">
        <f t="shared" si="107"/>
        <v>3.5199999999999992E-7</v>
      </c>
      <c r="X304" s="140">
        <f t="shared" si="108"/>
        <v>7.0399999999999995E-7</v>
      </c>
      <c r="Y304" s="140">
        <f t="shared" si="109"/>
        <v>1.0559999999999999E-6</v>
      </c>
      <c r="Z304" s="140">
        <f t="shared" si="110"/>
        <v>1.4080000000000001E-6</v>
      </c>
      <c r="AA304" s="140">
        <f t="shared" si="111"/>
        <v>1.7600000000000001E-6</v>
      </c>
      <c r="AB304" s="157">
        <f>IF(U304&lt;$B$41*DATA!$H$1037,DATA!$H$1037,IF(U304&gt;DATA!$H$1036*$B$41,DATA!$H$1036,1))</f>
        <v>0.8</v>
      </c>
      <c r="AC304" s="156">
        <f t="shared" si="112"/>
        <v>9.9999999999999995E-8</v>
      </c>
      <c r="AE304" s="140">
        <f t="shared" si="113"/>
        <v>3.5200000000000002E-5</v>
      </c>
      <c r="AF304">
        <v>3.52</v>
      </c>
      <c r="AG304" s="140">
        <f t="shared" si="114"/>
        <v>3.5199999999999992E-7</v>
      </c>
      <c r="AH304" s="140">
        <f t="shared" si="115"/>
        <v>7.0399999999999995E-7</v>
      </c>
      <c r="AI304" s="140">
        <f t="shared" si="116"/>
        <v>1.0559999999999999E-6</v>
      </c>
      <c r="AJ304" s="140">
        <f t="shared" si="117"/>
        <v>1.4080000000000001E-6</v>
      </c>
      <c r="AK304" s="140">
        <f t="shared" si="118"/>
        <v>1.7600000000000001E-6</v>
      </c>
      <c r="AL304" s="157">
        <f>IF(AE304&lt;$B$57*DATA!$H$1037,DATA!$H$1037,IF(AE304&gt;DATA!$H$1036*$B$57,DATA!$H$1036,1))</f>
        <v>1.2</v>
      </c>
      <c r="AM304" s="156">
        <f t="shared" si="119"/>
        <v>9.9999999999999995E-8</v>
      </c>
      <c r="AO304" s="140">
        <f t="shared" si="120"/>
        <v>3.5200000000000002E-5</v>
      </c>
      <c r="AP304">
        <v>3.52</v>
      </c>
      <c r="AQ304" s="140">
        <f t="shared" si="121"/>
        <v>3.5199999999999992E-7</v>
      </c>
      <c r="AR304" s="140">
        <f t="shared" si="122"/>
        <v>7.0399999999999995E-7</v>
      </c>
      <c r="AS304" s="140">
        <f t="shared" si="123"/>
        <v>1.0559999999999999E-6</v>
      </c>
      <c r="AT304" s="140">
        <f t="shared" si="124"/>
        <v>1.4080000000000001E-6</v>
      </c>
      <c r="AU304" s="140">
        <f t="shared" si="125"/>
        <v>1.7600000000000001E-6</v>
      </c>
      <c r="AV304" s="157">
        <f>IF(AO304&lt;$B$73*DATA!$H$1037,DATA!$H$1037,IF(AO304&gt;DATA!$H$1036*$B$73,DATA!$H$1036,1))</f>
        <v>1.2</v>
      </c>
      <c r="AW304" s="156">
        <f t="shared" si="126"/>
        <v>9.9999999999999995E-8</v>
      </c>
      <c r="AY304" s="140">
        <f t="shared" si="127"/>
        <v>3.5200000000000002E-5</v>
      </c>
      <c r="AZ304">
        <v>3.52</v>
      </c>
      <c r="BA304" s="140">
        <f t="shared" si="128"/>
        <v>3.5199999999999992E-7</v>
      </c>
      <c r="BB304" s="140">
        <f t="shared" si="129"/>
        <v>7.0399999999999995E-7</v>
      </c>
      <c r="BC304" s="140">
        <f t="shared" si="130"/>
        <v>1.0559999999999999E-6</v>
      </c>
      <c r="BD304" s="140">
        <f t="shared" si="131"/>
        <v>1.4080000000000001E-6</v>
      </c>
      <c r="BE304" s="140">
        <f t="shared" si="132"/>
        <v>1.7600000000000001E-6</v>
      </c>
      <c r="BF304" s="157">
        <f>IF(AY304&lt;$B$89*DATA!$H$1037,DATA!$H$1037,IF(AY304&gt;DATA!$H$1036*$B$89,DATA!$H$1036,1))</f>
        <v>1.2</v>
      </c>
      <c r="BG304" s="156">
        <f t="shared" si="133"/>
        <v>9.9999999999999995E-8</v>
      </c>
      <c r="BI304" s="140">
        <f t="shared" si="134"/>
        <v>3.5200000000000002E-5</v>
      </c>
      <c r="BJ304">
        <v>3.52</v>
      </c>
      <c r="BK304" s="140">
        <f t="shared" si="135"/>
        <v>3.5199999999999992E-7</v>
      </c>
      <c r="BL304" s="140">
        <f t="shared" si="136"/>
        <v>7.0399999999999995E-7</v>
      </c>
      <c r="BM304" s="140">
        <f t="shared" si="137"/>
        <v>1.0559999999999999E-6</v>
      </c>
      <c r="BN304" s="140">
        <f t="shared" si="138"/>
        <v>1.4080000000000001E-6</v>
      </c>
      <c r="BO304" s="140">
        <f t="shared" si="139"/>
        <v>1.7600000000000001E-6</v>
      </c>
      <c r="BP304" s="157">
        <f>IF(BI304&lt;$B$105*DATA!$H$1037,DATA!$H$1037,IF(BI304&gt;DATA!$H$1036*$B$105,DATA!$H$1036,1))</f>
        <v>1.2</v>
      </c>
      <c r="BQ304" s="156">
        <f t="shared" si="140"/>
        <v>9.9999999999999995E-8</v>
      </c>
    </row>
    <row r="305" spans="1:69">
      <c r="A305" s="140">
        <f t="shared" si="96"/>
        <v>3.54E-5</v>
      </c>
      <c r="B305">
        <v>3.54</v>
      </c>
      <c r="C305" s="140">
        <f t="shared" si="97"/>
        <v>3.5399999999999986E-7</v>
      </c>
      <c r="D305" s="140">
        <f t="shared" si="97"/>
        <v>7.0799999999999993E-7</v>
      </c>
      <c r="E305" s="140">
        <f t="shared" si="97"/>
        <v>1.062E-6</v>
      </c>
      <c r="F305" s="140">
        <f t="shared" si="97"/>
        <v>1.4160000000000001E-6</v>
      </c>
      <c r="G305" s="140">
        <f t="shared" si="97"/>
        <v>1.77E-6</v>
      </c>
      <c r="H305" s="157">
        <f>IF(A305&lt;$B$9*DATA!$H$1037,DATA!$H$1037,IF(A305&gt;DATA!$H$1036*$B$9,DATA!$H$1036,1))</f>
        <v>0.8</v>
      </c>
      <c r="I305" s="156">
        <f t="shared" si="98"/>
        <v>9.9999999999999995E-8</v>
      </c>
      <c r="K305" s="140">
        <f t="shared" si="99"/>
        <v>3.54E-5</v>
      </c>
      <c r="L305">
        <v>3.54</v>
      </c>
      <c r="M305" s="140">
        <f t="shared" si="100"/>
        <v>3.5399999999999986E-7</v>
      </c>
      <c r="N305" s="140">
        <f t="shared" si="101"/>
        <v>7.0799999999999993E-7</v>
      </c>
      <c r="O305" s="140">
        <f t="shared" si="102"/>
        <v>1.062E-6</v>
      </c>
      <c r="P305" s="140">
        <f t="shared" si="103"/>
        <v>1.4160000000000001E-6</v>
      </c>
      <c r="Q305" s="140">
        <f t="shared" si="104"/>
        <v>1.77E-6</v>
      </c>
      <c r="R305" s="157">
        <f>IF(K305&lt;$B$25*DATA!$H$1037,DATA!$H$1037,IF(K305&gt;DATA!$H$1036*$B$25,DATA!$H$1036,1))</f>
        <v>0.8</v>
      </c>
      <c r="S305" s="156">
        <f t="shared" si="105"/>
        <v>9.9999999999999995E-8</v>
      </c>
      <c r="U305" s="140">
        <f t="shared" si="106"/>
        <v>3.54E-5</v>
      </c>
      <c r="V305">
        <v>3.54</v>
      </c>
      <c r="W305" s="140">
        <f t="shared" si="107"/>
        <v>3.5399999999999986E-7</v>
      </c>
      <c r="X305" s="140">
        <f t="shared" si="108"/>
        <v>7.0799999999999993E-7</v>
      </c>
      <c r="Y305" s="140">
        <f t="shared" si="109"/>
        <v>1.062E-6</v>
      </c>
      <c r="Z305" s="140">
        <f t="shared" si="110"/>
        <v>1.4160000000000001E-6</v>
      </c>
      <c r="AA305" s="140">
        <f t="shared" si="111"/>
        <v>1.77E-6</v>
      </c>
      <c r="AB305" s="157">
        <f>IF(U305&lt;$B$41*DATA!$H$1037,DATA!$H$1037,IF(U305&gt;DATA!$H$1036*$B$41,DATA!$H$1036,1))</f>
        <v>0.8</v>
      </c>
      <c r="AC305" s="156">
        <f t="shared" si="112"/>
        <v>9.9999999999999995E-8</v>
      </c>
      <c r="AE305" s="140">
        <f t="shared" si="113"/>
        <v>3.54E-5</v>
      </c>
      <c r="AF305">
        <v>3.54</v>
      </c>
      <c r="AG305" s="140">
        <f t="shared" si="114"/>
        <v>3.5399999999999986E-7</v>
      </c>
      <c r="AH305" s="140">
        <f t="shared" si="115"/>
        <v>7.0799999999999993E-7</v>
      </c>
      <c r="AI305" s="140">
        <f t="shared" si="116"/>
        <v>1.062E-6</v>
      </c>
      <c r="AJ305" s="140">
        <f t="shared" si="117"/>
        <v>1.4160000000000001E-6</v>
      </c>
      <c r="AK305" s="140">
        <f t="shared" si="118"/>
        <v>1.77E-6</v>
      </c>
      <c r="AL305" s="157">
        <f>IF(AE305&lt;$B$57*DATA!$H$1037,DATA!$H$1037,IF(AE305&gt;DATA!$H$1036*$B$57,DATA!$H$1036,1))</f>
        <v>1.2</v>
      </c>
      <c r="AM305" s="156">
        <f t="shared" si="119"/>
        <v>9.9999999999999995E-8</v>
      </c>
      <c r="AO305" s="140">
        <f t="shared" si="120"/>
        <v>3.54E-5</v>
      </c>
      <c r="AP305">
        <v>3.54</v>
      </c>
      <c r="AQ305" s="140">
        <f t="shared" si="121"/>
        <v>3.5399999999999986E-7</v>
      </c>
      <c r="AR305" s="140">
        <f t="shared" si="122"/>
        <v>7.0799999999999993E-7</v>
      </c>
      <c r="AS305" s="140">
        <f t="shared" si="123"/>
        <v>1.062E-6</v>
      </c>
      <c r="AT305" s="140">
        <f t="shared" si="124"/>
        <v>1.4160000000000001E-6</v>
      </c>
      <c r="AU305" s="140">
        <f t="shared" si="125"/>
        <v>1.77E-6</v>
      </c>
      <c r="AV305" s="157">
        <f>IF(AO305&lt;$B$73*DATA!$H$1037,DATA!$H$1037,IF(AO305&gt;DATA!$H$1036*$B$73,DATA!$H$1036,1))</f>
        <v>1.2</v>
      </c>
      <c r="AW305" s="156">
        <f t="shared" si="126"/>
        <v>9.9999999999999995E-8</v>
      </c>
      <c r="AY305" s="140">
        <f t="shared" si="127"/>
        <v>3.54E-5</v>
      </c>
      <c r="AZ305">
        <v>3.54</v>
      </c>
      <c r="BA305" s="140">
        <f t="shared" si="128"/>
        <v>3.5399999999999986E-7</v>
      </c>
      <c r="BB305" s="140">
        <f t="shared" si="129"/>
        <v>7.0799999999999993E-7</v>
      </c>
      <c r="BC305" s="140">
        <f t="shared" si="130"/>
        <v>1.062E-6</v>
      </c>
      <c r="BD305" s="140">
        <f t="shared" si="131"/>
        <v>1.4160000000000001E-6</v>
      </c>
      <c r="BE305" s="140">
        <f t="shared" si="132"/>
        <v>1.77E-6</v>
      </c>
      <c r="BF305" s="157">
        <f>IF(AY305&lt;$B$89*DATA!$H$1037,DATA!$H$1037,IF(AY305&gt;DATA!$H$1036*$B$89,DATA!$H$1036,1))</f>
        <v>1.2</v>
      </c>
      <c r="BG305" s="156">
        <f t="shared" si="133"/>
        <v>9.9999999999999995E-8</v>
      </c>
      <c r="BI305" s="140">
        <f t="shared" si="134"/>
        <v>3.54E-5</v>
      </c>
      <c r="BJ305">
        <v>3.54</v>
      </c>
      <c r="BK305" s="140">
        <f t="shared" si="135"/>
        <v>3.5399999999999986E-7</v>
      </c>
      <c r="BL305" s="140">
        <f t="shared" si="136"/>
        <v>7.0799999999999993E-7</v>
      </c>
      <c r="BM305" s="140">
        <f t="shared" si="137"/>
        <v>1.062E-6</v>
      </c>
      <c r="BN305" s="140">
        <f t="shared" si="138"/>
        <v>1.4160000000000001E-6</v>
      </c>
      <c r="BO305" s="140">
        <f t="shared" si="139"/>
        <v>1.77E-6</v>
      </c>
      <c r="BP305" s="157">
        <f>IF(BI305&lt;$B$105*DATA!$H$1037,DATA!$H$1037,IF(BI305&gt;DATA!$H$1036*$B$105,DATA!$H$1036,1))</f>
        <v>1.2</v>
      </c>
      <c r="BQ305" s="156">
        <f t="shared" si="140"/>
        <v>9.9999999999999995E-8</v>
      </c>
    </row>
    <row r="306" spans="1:69">
      <c r="A306" s="140">
        <f t="shared" si="96"/>
        <v>3.5600000000000005E-5</v>
      </c>
      <c r="B306">
        <v>3.56</v>
      </c>
      <c r="C306" s="140">
        <f t="shared" si="97"/>
        <v>3.5599999999999991E-7</v>
      </c>
      <c r="D306" s="140">
        <f t="shared" si="97"/>
        <v>7.1200000000000002E-7</v>
      </c>
      <c r="E306" s="140">
        <f t="shared" si="97"/>
        <v>1.0680000000000002E-6</v>
      </c>
      <c r="F306" s="140">
        <f t="shared" si="97"/>
        <v>1.4240000000000003E-6</v>
      </c>
      <c r="G306" s="140">
        <f t="shared" si="97"/>
        <v>1.7800000000000003E-6</v>
      </c>
      <c r="H306" s="157">
        <f>IF(A306&lt;$B$9*DATA!$H$1037,DATA!$H$1037,IF(A306&gt;DATA!$H$1036*$B$9,DATA!$H$1036,1))</f>
        <v>0.8</v>
      </c>
      <c r="I306" s="156">
        <f t="shared" si="98"/>
        <v>9.9999999999999995E-8</v>
      </c>
      <c r="K306" s="140">
        <f t="shared" si="99"/>
        <v>3.5600000000000005E-5</v>
      </c>
      <c r="L306">
        <v>3.56</v>
      </c>
      <c r="M306" s="140">
        <f t="shared" si="100"/>
        <v>3.5599999999999991E-7</v>
      </c>
      <c r="N306" s="140">
        <f t="shared" si="101"/>
        <v>7.1200000000000002E-7</v>
      </c>
      <c r="O306" s="140">
        <f t="shared" si="102"/>
        <v>1.0680000000000002E-6</v>
      </c>
      <c r="P306" s="140">
        <f t="shared" si="103"/>
        <v>1.4240000000000003E-6</v>
      </c>
      <c r="Q306" s="140">
        <f t="shared" si="104"/>
        <v>1.7800000000000003E-6</v>
      </c>
      <c r="R306" s="157">
        <f>IF(K306&lt;$B$25*DATA!$H$1037,DATA!$H$1037,IF(K306&gt;DATA!$H$1036*$B$25,DATA!$H$1036,1))</f>
        <v>0.8</v>
      </c>
      <c r="S306" s="156">
        <f t="shared" si="105"/>
        <v>9.9999999999999995E-8</v>
      </c>
      <c r="U306" s="140">
        <f t="shared" si="106"/>
        <v>3.5600000000000005E-5</v>
      </c>
      <c r="V306">
        <v>3.56</v>
      </c>
      <c r="W306" s="140">
        <f t="shared" si="107"/>
        <v>3.5599999999999991E-7</v>
      </c>
      <c r="X306" s="140">
        <f t="shared" si="108"/>
        <v>7.1200000000000002E-7</v>
      </c>
      <c r="Y306" s="140">
        <f t="shared" si="109"/>
        <v>1.0680000000000002E-6</v>
      </c>
      <c r="Z306" s="140">
        <f t="shared" si="110"/>
        <v>1.4240000000000003E-6</v>
      </c>
      <c r="AA306" s="140">
        <f t="shared" si="111"/>
        <v>1.7800000000000003E-6</v>
      </c>
      <c r="AB306" s="157">
        <f>IF(U306&lt;$B$41*DATA!$H$1037,DATA!$H$1037,IF(U306&gt;DATA!$H$1036*$B$41,DATA!$H$1036,1))</f>
        <v>0.8</v>
      </c>
      <c r="AC306" s="156">
        <f t="shared" si="112"/>
        <v>9.9999999999999995E-8</v>
      </c>
      <c r="AE306" s="140">
        <f t="shared" si="113"/>
        <v>3.5600000000000005E-5</v>
      </c>
      <c r="AF306">
        <v>3.56</v>
      </c>
      <c r="AG306" s="140">
        <f t="shared" si="114"/>
        <v>3.5599999999999991E-7</v>
      </c>
      <c r="AH306" s="140">
        <f t="shared" si="115"/>
        <v>7.1200000000000002E-7</v>
      </c>
      <c r="AI306" s="140">
        <f t="shared" si="116"/>
        <v>1.0680000000000002E-6</v>
      </c>
      <c r="AJ306" s="140">
        <f t="shared" si="117"/>
        <v>1.4240000000000003E-6</v>
      </c>
      <c r="AK306" s="140">
        <f t="shared" si="118"/>
        <v>1.7800000000000003E-6</v>
      </c>
      <c r="AL306" s="157">
        <f>IF(AE306&lt;$B$57*DATA!$H$1037,DATA!$H$1037,IF(AE306&gt;DATA!$H$1036*$B$57,DATA!$H$1036,1))</f>
        <v>1.2</v>
      </c>
      <c r="AM306" s="156">
        <f t="shared" si="119"/>
        <v>9.9999999999999995E-8</v>
      </c>
      <c r="AO306" s="140">
        <f t="shared" si="120"/>
        <v>3.5600000000000005E-5</v>
      </c>
      <c r="AP306">
        <v>3.56</v>
      </c>
      <c r="AQ306" s="140">
        <f t="shared" si="121"/>
        <v>3.5599999999999991E-7</v>
      </c>
      <c r="AR306" s="140">
        <f t="shared" si="122"/>
        <v>7.1200000000000002E-7</v>
      </c>
      <c r="AS306" s="140">
        <f t="shared" si="123"/>
        <v>1.0680000000000002E-6</v>
      </c>
      <c r="AT306" s="140">
        <f t="shared" si="124"/>
        <v>1.4240000000000003E-6</v>
      </c>
      <c r="AU306" s="140">
        <f t="shared" si="125"/>
        <v>1.7800000000000003E-6</v>
      </c>
      <c r="AV306" s="157">
        <f>IF(AO306&lt;$B$73*DATA!$H$1037,DATA!$H$1037,IF(AO306&gt;DATA!$H$1036*$B$73,DATA!$H$1036,1))</f>
        <v>1.2</v>
      </c>
      <c r="AW306" s="156">
        <f t="shared" si="126"/>
        <v>9.9999999999999995E-8</v>
      </c>
      <c r="AY306" s="140">
        <f t="shared" si="127"/>
        <v>3.5600000000000005E-5</v>
      </c>
      <c r="AZ306">
        <v>3.56</v>
      </c>
      <c r="BA306" s="140">
        <f t="shared" si="128"/>
        <v>3.5599999999999991E-7</v>
      </c>
      <c r="BB306" s="140">
        <f t="shared" si="129"/>
        <v>7.1200000000000002E-7</v>
      </c>
      <c r="BC306" s="140">
        <f t="shared" si="130"/>
        <v>1.0680000000000002E-6</v>
      </c>
      <c r="BD306" s="140">
        <f t="shared" si="131"/>
        <v>1.4240000000000003E-6</v>
      </c>
      <c r="BE306" s="140">
        <f t="shared" si="132"/>
        <v>1.7800000000000003E-6</v>
      </c>
      <c r="BF306" s="157">
        <f>IF(AY306&lt;$B$89*DATA!$H$1037,DATA!$H$1037,IF(AY306&gt;DATA!$H$1036*$B$89,DATA!$H$1036,1))</f>
        <v>1.2</v>
      </c>
      <c r="BG306" s="156">
        <f t="shared" si="133"/>
        <v>9.9999999999999995E-8</v>
      </c>
      <c r="BI306" s="140">
        <f t="shared" si="134"/>
        <v>3.5600000000000005E-5</v>
      </c>
      <c r="BJ306">
        <v>3.56</v>
      </c>
      <c r="BK306" s="140">
        <f t="shared" si="135"/>
        <v>3.5599999999999991E-7</v>
      </c>
      <c r="BL306" s="140">
        <f t="shared" si="136"/>
        <v>7.1200000000000002E-7</v>
      </c>
      <c r="BM306" s="140">
        <f t="shared" si="137"/>
        <v>1.0680000000000002E-6</v>
      </c>
      <c r="BN306" s="140">
        <f t="shared" si="138"/>
        <v>1.4240000000000003E-6</v>
      </c>
      <c r="BO306" s="140">
        <f t="shared" si="139"/>
        <v>1.7800000000000003E-6</v>
      </c>
      <c r="BP306" s="157">
        <f>IF(BI306&lt;$B$105*DATA!$H$1037,DATA!$H$1037,IF(BI306&gt;DATA!$H$1036*$B$105,DATA!$H$1036,1))</f>
        <v>1.2</v>
      </c>
      <c r="BQ306" s="156">
        <f t="shared" si="140"/>
        <v>9.9999999999999995E-8</v>
      </c>
    </row>
    <row r="307" spans="1:69">
      <c r="A307" s="140">
        <f t="shared" si="96"/>
        <v>3.5800000000000003E-5</v>
      </c>
      <c r="B307">
        <v>3.58</v>
      </c>
      <c r="C307" s="140">
        <f t="shared" si="97"/>
        <v>3.579999999999999E-7</v>
      </c>
      <c r="D307" s="140">
        <f t="shared" si="97"/>
        <v>7.159999999999999E-7</v>
      </c>
      <c r="E307" s="140">
        <f t="shared" si="97"/>
        <v>1.074E-6</v>
      </c>
      <c r="F307" s="140">
        <f t="shared" si="97"/>
        <v>1.4320000000000002E-6</v>
      </c>
      <c r="G307" s="140">
        <f t="shared" si="97"/>
        <v>1.7900000000000002E-6</v>
      </c>
      <c r="H307" s="157">
        <f>IF(A307&lt;$B$9*DATA!$H$1037,DATA!$H$1037,IF(A307&gt;DATA!$H$1036*$B$9,DATA!$H$1036,1))</f>
        <v>0.8</v>
      </c>
      <c r="I307" s="156">
        <f t="shared" si="98"/>
        <v>9.9999999999999995E-8</v>
      </c>
      <c r="K307" s="140">
        <f t="shared" si="99"/>
        <v>3.5800000000000003E-5</v>
      </c>
      <c r="L307">
        <v>3.58</v>
      </c>
      <c r="M307" s="140">
        <f t="shared" si="100"/>
        <v>3.579999999999999E-7</v>
      </c>
      <c r="N307" s="140">
        <f t="shared" si="101"/>
        <v>7.159999999999999E-7</v>
      </c>
      <c r="O307" s="140">
        <f t="shared" si="102"/>
        <v>1.074E-6</v>
      </c>
      <c r="P307" s="140">
        <f t="shared" si="103"/>
        <v>1.4320000000000002E-6</v>
      </c>
      <c r="Q307" s="140">
        <f t="shared" si="104"/>
        <v>1.7900000000000002E-6</v>
      </c>
      <c r="R307" s="157">
        <f>IF(K307&lt;$B$25*DATA!$H$1037,DATA!$H$1037,IF(K307&gt;DATA!$H$1036*$B$25,DATA!$H$1036,1))</f>
        <v>0.8</v>
      </c>
      <c r="S307" s="156">
        <f t="shared" si="105"/>
        <v>9.9999999999999995E-8</v>
      </c>
      <c r="U307" s="140">
        <f t="shared" si="106"/>
        <v>3.5800000000000003E-5</v>
      </c>
      <c r="V307">
        <v>3.58</v>
      </c>
      <c r="W307" s="140">
        <f t="shared" si="107"/>
        <v>3.579999999999999E-7</v>
      </c>
      <c r="X307" s="140">
        <f t="shared" si="108"/>
        <v>7.159999999999999E-7</v>
      </c>
      <c r="Y307" s="140">
        <f t="shared" si="109"/>
        <v>1.074E-6</v>
      </c>
      <c r="Z307" s="140">
        <f t="shared" si="110"/>
        <v>1.4320000000000002E-6</v>
      </c>
      <c r="AA307" s="140">
        <f t="shared" si="111"/>
        <v>1.7900000000000002E-6</v>
      </c>
      <c r="AB307" s="157">
        <f>IF(U307&lt;$B$41*DATA!$H$1037,DATA!$H$1037,IF(U307&gt;DATA!$H$1036*$B$41,DATA!$H$1036,1))</f>
        <v>0.8</v>
      </c>
      <c r="AC307" s="156">
        <f t="shared" si="112"/>
        <v>9.9999999999999995E-8</v>
      </c>
      <c r="AE307" s="140">
        <f t="shared" si="113"/>
        <v>3.5800000000000003E-5</v>
      </c>
      <c r="AF307">
        <v>3.58</v>
      </c>
      <c r="AG307" s="140">
        <f t="shared" si="114"/>
        <v>3.579999999999999E-7</v>
      </c>
      <c r="AH307" s="140">
        <f t="shared" si="115"/>
        <v>7.159999999999999E-7</v>
      </c>
      <c r="AI307" s="140">
        <f t="shared" si="116"/>
        <v>1.074E-6</v>
      </c>
      <c r="AJ307" s="140">
        <f t="shared" si="117"/>
        <v>1.4320000000000002E-6</v>
      </c>
      <c r="AK307" s="140">
        <f t="shared" si="118"/>
        <v>1.7900000000000002E-6</v>
      </c>
      <c r="AL307" s="157">
        <f>IF(AE307&lt;$B$57*DATA!$H$1037,DATA!$H$1037,IF(AE307&gt;DATA!$H$1036*$B$57,DATA!$H$1036,1))</f>
        <v>1.2</v>
      </c>
      <c r="AM307" s="156">
        <f t="shared" si="119"/>
        <v>9.9999999999999995E-8</v>
      </c>
      <c r="AO307" s="140">
        <f t="shared" si="120"/>
        <v>3.5800000000000003E-5</v>
      </c>
      <c r="AP307">
        <v>3.58</v>
      </c>
      <c r="AQ307" s="140">
        <f t="shared" si="121"/>
        <v>3.579999999999999E-7</v>
      </c>
      <c r="AR307" s="140">
        <f t="shared" si="122"/>
        <v>7.159999999999999E-7</v>
      </c>
      <c r="AS307" s="140">
        <f t="shared" si="123"/>
        <v>1.074E-6</v>
      </c>
      <c r="AT307" s="140">
        <f t="shared" si="124"/>
        <v>1.4320000000000002E-6</v>
      </c>
      <c r="AU307" s="140">
        <f t="shared" si="125"/>
        <v>1.7900000000000002E-6</v>
      </c>
      <c r="AV307" s="157">
        <f>IF(AO307&lt;$B$73*DATA!$H$1037,DATA!$H$1037,IF(AO307&gt;DATA!$H$1036*$B$73,DATA!$H$1036,1))</f>
        <v>1.2</v>
      </c>
      <c r="AW307" s="156">
        <f t="shared" si="126"/>
        <v>9.9999999999999995E-8</v>
      </c>
      <c r="AY307" s="140">
        <f t="shared" si="127"/>
        <v>3.5800000000000003E-5</v>
      </c>
      <c r="AZ307">
        <v>3.58</v>
      </c>
      <c r="BA307" s="140">
        <f t="shared" si="128"/>
        <v>3.579999999999999E-7</v>
      </c>
      <c r="BB307" s="140">
        <f t="shared" si="129"/>
        <v>7.159999999999999E-7</v>
      </c>
      <c r="BC307" s="140">
        <f t="shared" si="130"/>
        <v>1.074E-6</v>
      </c>
      <c r="BD307" s="140">
        <f t="shared" si="131"/>
        <v>1.4320000000000002E-6</v>
      </c>
      <c r="BE307" s="140">
        <f t="shared" si="132"/>
        <v>1.7900000000000002E-6</v>
      </c>
      <c r="BF307" s="157">
        <f>IF(AY307&lt;$B$89*DATA!$H$1037,DATA!$H$1037,IF(AY307&gt;DATA!$H$1036*$B$89,DATA!$H$1036,1))</f>
        <v>1.2</v>
      </c>
      <c r="BG307" s="156">
        <f t="shared" si="133"/>
        <v>9.9999999999999995E-8</v>
      </c>
      <c r="BI307" s="140">
        <f t="shared" si="134"/>
        <v>3.5800000000000003E-5</v>
      </c>
      <c r="BJ307">
        <v>3.58</v>
      </c>
      <c r="BK307" s="140">
        <f t="shared" si="135"/>
        <v>3.579999999999999E-7</v>
      </c>
      <c r="BL307" s="140">
        <f t="shared" si="136"/>
        <v>7.159999999999999E-7</v>
      </c>
      <c r="BM307" s="140">
        <f t="shared" si="137"/>
        <v>1.074E-6</v>
      </c>
      <c r="BN307" s="140">
        <f t="shared" si="138"/>
        <v>1.4320000000000002E-6</v>
      </c>
      <c r="BO307" s="140">
        <f t="shared" si="139"/>
        <v>1.7900000000000002E-6</v>
      </c>
      <c r="BP307" s="157">
        <f>IF(BI307&lt;$B$105*DATA!$H$1037,DATA!$H$1037,IF(BI307&gt;DATA!$H$1036*$B$105,DATA!$H$1036,1))</f>
        <v>1.2</v>
      </c>
      <c r="BQ307" s="156">
        <f t="shared" si="140"/>
        <v>9.9999999999999995E-8</v>
      </c>
    </row>
    <row r="308" spans="1:69">
      <c r="A308" s="140">
        <f t="shared" si="96"/>
        <v>3.6000000000000001E-5</v>
      </c>
      <c r="B308">
        <v>3.6</v>
      </c>
      <c r="C308" s="140">
        <f t="shared" si="97"/>
        <v>3.5999999999999989E-7</v>
      </c>
      <c r="D308" s="140">
        <f t="shared" si="97"/>
        <v>7.1999999999999988E-7</v>
      </c>
      <c r="E308" s="140">
        <f t="shared" si="97"/>
        <v>1.08E-6</v>
      </c>
      <c r="F308" s="140">
        <f t="shared" si="97"/>
        <v>1.44E-6</v>
      </c>
      <c r="G308" s="140">
        <f t="shared" si="97"/>
        <v>1.8000000000000001E-6</v>
      </c>
      <c r="H308" s="157">
        <f>IF(A308&lt;$B$9*DATA!$H$1037,DATA!$H$1037,IF(A308&gt;DATA!$H$1036*$B$9,DATA!$H$1036,1))</f>
        <v>0.8</v>
      </c>
      <c r="I308" s="156">
        <f t="shared" si="98"/>
        <v>9.9999999999999995E-8</v>
      </c>
      <c r="K308" s="140">
        <f t="shared" si="99"/>
        <v>3.6000000000000001E-5</v>
      </c>
      <c r="L308">
        <v>3.6</v>
      </c>
      <c r="M308" s="140">
        <f t="shared" si="100"/>
        <v>3.5999999999999989E-7</v>
      </c>
      <c r="N308" s="140">
        <f t="shared" si="101"/>
        <v>7.1999999999999988E-7</v>
      </c>
      <c r="O308" s="140">
        <f t="shared" si="102"/>
        <v>1.08E-6</v>
      </c>
      <c r="P308" s="140">
        <f t="shared" si="103"/>
        <v>1.44E-6</v>
      </c>
      <c r="Q308" s="140">
        <f t="shared" si="104"/>
        <v>1.8000000000000001E-6</v>
      </c>
      <c r="R308" s="157">
        <f>IF(K308&lt;$B$25*DATA!$H$1037,DATA!$H$1037,IF(K308&gt;DATA!$H$1036*$B$25,DATA!$H$1036,1))</f>
        <v>0.8</v>
      </c>
      <c r="S308" s="156">
        <f t="shared" si="105"/>
        <v>9.9999999999999995E-8</v>
      </c>
      <c r="U308" s="140">
        <f t="shared" si="106"/>
        <v>3.6000000000000001E-5</v>
      </c>
      <c r="V308">
        <v>3.6</v>
      </c>
      <c r="W308" s="140">
        <f t="shared" si="107"/>
        <v>3.5999999999999989E-7</v>
      </c>
      <c r="X308" s="140">
        <f t="shared" si="108"/>
        <v>7.1999999999999988E-7</v>
      </c>
      <c r="Y308" s="140">
        <f t="shared" si="109"/>
        <v>1.08E-6</v>
      </c>
      <c r="Z308" s="140">
        <f t="shared" si="110"/>
        <v>1.44E-6</v>
      </c>
      <c r="AA308" s="140">
        <f t="shared" si="111"/>
        <v>1.8000000000000001E-6</v>
      </c>
      <c r="AB308" s="157">
        <f>IF(U308&lt;$B$41*DATA!$H$1037,DATA!$H$1037,IF(U308&gt;DATA!$H$1036*$B$41,DATA!$H$1036,1))</f>
        <v>0.8</v>
      </c>
      <c r="AC308" s="156">
        <f t="shared" si="112"/>
        <v>9.9999999999999995E-8</v>
      </c>
      <c r="AE308" s="140">
        <f t="shared" si="113"/>
        <v>3.6000000000000001E-5</v>
      </c>
      <c r="AF308">
        <v>3.6</v>
      </c>
      <c r="AG308" s="140">
        <f t="shared" si="114"/>
        <v>3.5999999999999989E-7</v>
      </c>
      <c r="AH308" s="140">
        <f t="shared" si="115"/>
        <v>7.1999999999999988E-7</v>
      </c>
      <c r="AI308" s="140">
        <f t="shared" si="116"/>
        <v>1.08E-6</v>
      </c>
      <c r="AJ308" s="140">
        <f t="shared" si="117"/>
        <v>1.44E-6</v>
      </c>
      <c r="AK308" s="140">
        <f t="shared" si="118"/>
        <v>1.8000000000000001E-6</v>
      </c>
      <c r="AL308" s="157">
        <f>IF(AE308&lt;$B$57*DATA!$H$1037,DATA!$H$1037,IF(AE308&gt;DATA!$H$1036*$B$57,DATA!$H$1036,1))</f>
        <v>1.2</v>
      </c>
      <c r="AM308" s="156">
        <f t="shared" si="119"/>
        <v>9.9999999999999995E-8</v>
      </c>
      <c r="AO308" s="140">
        <f t="shared" si="120"/>
        <v>3.6000000000000001E-5</v>
      </c>
      <c r="AP308">
        <v>3.6</v>
      </c>
      <c r="AQ308" s="140">
        <f t="shared" si="121"/>
        <v>3.5999999999999989E-7</v>
      </c>
      <c r="AR308" s="140">
        <f t="shared" si="122"/>
        <v>7.1999999999999988E-7</v>
      </c>
      <c r="AS308" s="140">
        <f t="shared" si="123"/>
        <v>1.08E-6</v>
      </c>
      <c r="AT308" s="140">
        <f t="shared" si="124"/>
        <v>1.44E-6</v>
      </c>
      <c r="AU308" s="140">
        <f t="shared" si="125"/>
        <v>1.8000000000000001E-6</v>
      </c>
      <c r="AV308" s="157">
        <f>IF(AO308&lt;$B$73*DATA!$H$1037,DATA!$H$1037,IF(AO308&gt;DATA!$H$1036*$B$73,DATA!$H$1036,1))</f>
        <v>1.2</v>
      </c>
      <c r="AW308" s="156">
        <f t="shared" si="126"/>
        <v>9.9999999999999995E-8</v>
      </c>
      <c r="AY308" s="140">
        <f t="shared" si="127"/>
        <v>3.6000000000000001E-5</v>
      </c>
      <c r="AZ308">
        <v>3.6</v>
      </c>
      <c r="BA308" s="140">
        <f t="shared" si="128"/>
        <v>3.5999999999999989E-7</v>
      </c>
      <c r="BB308" s="140">
        <f t="shared" si="129"/>
        <v>7.1999999999999988E-7</v>
      </c>
      <c r="BC308" s="140">
        <f t="shared" si="130"/>
        <v>1.08E-6</v>
      </c>
      <c r="BD308" s="140">
        <f t="shared" si="131"/>
        <v>1.44E-6</v>
      </c>
      <c r="BE308" s="140">
        <f t="shared" si="132"/>
        <v>1.8000000000000001E-6</v>
      </c>
      <c r="BF308" s="157">
        <f>IF(AY308&lt;$B$89*DATA!$H$1037,DATA!$H$1037,IF(AY308&gt;DATA!$H$1036*$B$89,DATA!$H$1036,1))</f>
        <v>1.2</v>
      </c>
      <c r="BG308" s="156">
        <f t="shared" si="133"/>
        <v>9.9999999999999995E-8</v>
      </c>
      <c r="BI308" s="140">
        <f t="shared" si="134"/>
        <v>3.6000000000000001E-5</v>
      </c>
      <c r="BJ308">
        <v>3.6</v>
      </c>
      <c r="BK308" s="140">
        <f t="shared" si="135"/>
        <v>3.5999999999999989E-7</v>
      </c>
      <c r="BL308" s="140">
        <f t="shared" si="136"/>
        <v>7.1999999999999988E-7</v>
      </c>
      <c r="BM308" s="140">
        <f t="shared" si="137"/>
        <v>1.08E-6</v>
      </c>
      <c r="BN308" s="140">
        <f t="shared" si="138"/>
        <v>1.44E-6</v>
      </c>
      <c r="BO308" s="140">
        <f t="shared" si="139"/>
        <v>1.8000000000000001E-6</v>
      </c>
      <c r="BP308" s="157">
        <f>IF(BI308&lt;$B$105*DATA!$H$1037,DATA!$H$1037,IF(BI308&gt;DATA!$H$1036*$B$105,DATA!$H$1036,1))</f>
        <v>1.2</v>
      </c>
      <c r="BQ308" s="156">
        <f t="shared" si="140"/>
        <v>9.9999999999999995E-8</v>
      </c>
    </row>
    <row r="309" spans="1:69">
      <c r="A309" s="140">
        <f t="shared" si="96"/>
        <v>3.6200000000000006E-5</v>
      </c>
      <c r="B309">
        <v>3.62</v>
      </c>
      <c r="C309" s="140">
        <f t="shared" si="97"/>
        <v>3.6199999999999993E-7</v>
      </c>
      <c r="D309" s="140">
        <f t="shared" si="97"/>
        <v>7.2399999999999997E-7</v>
      </c>
      <c r="E309" s="140">
        <f t="shared" si="97"/>
        <v>1.0860000000000001E-6</v>
      </c>
      <c r="F309" s="140">
        <f t="shared" si="97"/>
        <v>1.4480000000000004E-6</v>
      </c>
      <c r="G309" s="140">
        <f t="shared" si="97"/>
        <v>1.8100000000000005E-6</v>
      </c>
      <c r="H309" s="157">
        <f>IF(A309&lt;$B$9*DATA!$H$1037,DATA!$H$1037,IF(A309&gt;DATA!$H$1036*$B$9,DATA!$H$1036,1))</f>
        <v>0.8</v>
      </c>
      <c r="I309" s="156">
        <f t="shared" si="98"/>
        <v>9.9999999999999995E-8</v>
      </c>
      <c r="K309" s="140">
        <f t="shared" si="99"/>
        <v>3.6200000000000006E-5</v>
      </c>
      <c r="L309">
        <v>3.62</v>
      </c>
      <c r="M309" s="140">
        <f t="shared" si="100"/>
        <v>3.6199999999999993E-7</v>
      </c>
      <c r="N309" s="140">
        <f t="shared" si="101"/>
        <v>7.2399999999999997E-7</v>
      </c>
      <c r="O309" s="140">
        <f t="shared" si="102"/>
        <v>1.0860000000000001E-6</v>
      </c>
      <c r="P309" s="140">
        <f t="shared" si="103"/>
        <v>1.4480000000000004E-6</v>
      </c>
      <c r="Q309" s="140">
        <f t="shared" si="104"/>
        <v>1.8100000000000005E-6</v>
      </c>
      <c r="R309" s="157">
        <f>IF(K309&lt;$B$25*DATA!$H$1037,DATA!$H$1037,IF(K309&gt;DATA!$H$1036*$B$25,DATA!$H$1036,1))</f>
        <v>0.8</v>
      </c>
      <c r="S309" s="156">
        <f t="shared" si="105"/>
        <v>9.9999999999999995E-8</v>
      </c>
      <c r="U309" s="140">
        <f t="shared" si="106"/>
        <v>3.6200000000000006E-5</v>
      </c>
      <c r="V309">
        <v>3.62</v>
      </c>
      <c r="W309" s="140">
        <f t="shared" si="107"/>
        <v>3.6199999999999993E-7</v>
      </c>
      <c r="X309" s="140">
        <f t="shared" si="108"/>
        <v>7.2399999999999997E-7</v>
      </c>
      <c r="Y309" s="140">
        <f t="shared" si="109"/>
        <v>1.0860000000000001E-6</v>
      </c>
      <c r="Z309" s="140">
        <f t="shared" si="110"/>
        <v>1.4480000000000004E-6</v>
      </c>
      <c r="AA309" s="140">
        <f t="shared" si="111"/>
        <v>1.8100000000000005E-6</v>
      </c>
      <c r="AB309" s="157">
        <f>IF(U309&lt;$B$41*DATA!$H$1037,DATA!$H$1037,IF(U309&gt;DATA!$H$1036*$B$41,DATA!$H$1036,1))</f>
        <v>0.8</v>
      </c>
      <c r="AC309" s="156">
        <f t="shared" si="112"/>
        <v>9.9999999999999995E-8</v>
      </c>
      <c r="AE309" s="140">
        <f t="shared" si="113"/>
        <v>3.6200000000000006E-5</v>
      </c>
      <c r="AF309">
        <v>3.62</v>
      </c>
      <c r="AG309" s="140">
        <f t="shared" si="114"/>
        <v>3.6199999999999993E-7</v>
      </c>
      <c r="AH309" s="140">
        <f t="shared" si="115"/>
        <v>7.2399999999999997E-7</v>
      </c>
      <c r="AI309" s="140">
        <f t="shared" si="116"/>
        <v>1.0860000000000001E-6</v>
      </c>
      <c r="AJ309" s="140">
        <f t="shared" si="117"/>
        <v>1.4480000000000004E-6</v>
      </c>
      <c r="AK309" s="140">
        <f t="shared" si="118"/>
        <v>1.8100000000000005E-6</v>
      </c>
      <c r="AL309" s="157">
        <f>IF(AE309&lt;$B$57*DATA!$H$1037,DATA!$H$1037,IF(AE309&gt;DATA!$H$1036*$B$57,DATA!$H$1036,1))</f>
        <v>1.2</v>
      </c>
      <c r="AM309" s="156">
        <f t="shared" si="119"/>
        <v>9.9999999999999995E-8</v>
      </c>
      <c r="AO309" s="140">
        <f t="shared" si="120"/>
        <v>3.6200000000000006E-5</v>
      </c>
      <c r="AP309">
        <v>3.62</v>
      </c>
      <c r="AQ309" s="140">
        <f t="shared" si="121"/>
        <v>3.6199999999999993E-7</v>
      </c>
      <c r="AR309" s="140">
        <f t="shared" si="122"/>
        <v>7.2399999999999997E-7</v>
      </c>
      <c r="AS309" s="140">
        <f t="shared" si="123"/>
        <v>1.0860000000000001E-6</v>
      </c>
      <c r="AT309" s="140">
        <f t="shared" si="124"/>
        <v>1.4480000000000004E-6</v>
      </c>
      <c r="AU309" s="140">
        <f t="shared" si="125"/>
        <v>1.8100000000000005E-6</v>
      </c>
      <c r="AV309" s="157">
        <f>IF(AO309&lt;$B$73*DATA!$H$1037,DATA!$H$1037,IF(AO309&gt;DATA!$H$1036*$B$73,DATA!$H$1036,1))</f>
        <v>1.2</v>
      </c>
      <c r="AW309" s="156">
        <f t="shared" si="126"/>
        <v>9.9999999999999995E-8</v>
      </c>
      <c r="AY309" s="140">
        <f t="shared" si="127"/>
        <v>3.6200000000000006E-5</v>
      </c>
      <c r="AZ309">
        <v>3.62</v>
      </c>
      <c r="BA309" s="140">
        <f t="shared" si="128"/>
        <v>3.6199999999999993E-7</v>
      </c>
      <c r="BB309" s="140">
        <f t="shared" si="129"/>
        <v>7.2399999999999997E-7</v>
      </c>
      <c r="BC309" s="140">
        <f t="shared" si="130"/>
        <v>1.0860000000000001E-6</v>
      </c>
      <c r="BD309" s="140">
        <f t="shared" si="131"/>
        <v>1.4480000000000004E-6</v>
      </c>
      <c r="BE309" s="140">
        <f t="shared" si="132"/>
        <v>1.8100000000000005E-6</v>
      </c>
      <c r="BF309" s="157">
        <f>IF(AY309&lt;$B$89*DATA!$H$1037,DATA!$H$1037,IF(AY309&gt;DATA!$H$1036*$B$89,DATA!$H$1036,1))</f>
        <v>1.2</v>
      </c>
      <c r="BG309" s="156">
        <f t="shared" si="133"/>
        <v>9.9999999999999995E-8</v>
      </c>
      <c r="BI309" s="140">
        <f t="shared" si="134"/>
        <v>3.6200000000000006E-5</v>
      </c>
      <c r="BJ309">
        <v>3.62</v>
      </c>
      <c r="BK309" s="140">
        <f t="shared" si="135"/>
        <v>3.6199999999999993E-7</v>
      </c>
      <c r="BL309" s="140">
        <f t="shared" si="136"/>
        <v>7.2399999999999997E-7</v>
      </c>
      <c r="BM309" s="140">
        <f t="shared" si="137"/>
        <v>1.0860000000000001E-6</v>
      </c>
      <c r="BN309" s="140">
        <f t="shared" si="138"/>
        <v>1.4480000000000004E-6</v>
      </c>
      <c r="BO309" s="140">
        <f t="shared" si="139"/>
        <v>1.8100000000000005E-6</v>
      </c>
      <c r="BP309" s="157">
        <f>IF(BI309&lt;$B$105*DATA!$H$1037,DATA!$H$1037,IF(BI309&gt;DATA!$H$1036*$B$105,DATA!$H$1036,1))</f>
        <v>1.2</v>
      </c>
      <c r="BQ309" s="156">
        <f t="shared" si="140"/>
        <v>9.9999999999999995E-8</v>
      </c>
    </row>
    <row r="310" spans="1:69">
      <c r="A310" s="140">
        <f t="shared" si="96"/>
        <v>3.6400000000000004E-5</v>
      </c>
      <c r="B310">
        <v>3.64</v>
      </c>
      <c r="C310" s="140">
        <f t="shared" si="97"/>
        <v>3.6399999999999992E-7</v>
      </c>
      <c r="D310" s="140">
        <f t="shared" si="97"/>
        <v>7.2799999999999995E-7</v>
      </c>
      <c r="E310" s="140">
        <f t="shared" si="97"/>
        <v>1.0920000000000001E-6</v>
      </c>
      <c r="F310" s="140">
        <f t="shared" si="97"/>
        <v>1.4560000000000001E-6</v>
      </c>
      <c r="G310" s="140">
        <f t="shared" si="97"/>
        <v>1.8200000000000004E-6</v>
      </c>
      <c r="H310" s="157">
        <f>IF(A310&lt;$B$9*DATA!$H$1037,DATA!$H$1037,IF(A310&gt;DATA!$H$1036*$B$9,DATA!$H$1036,1))</f>
        <v>0.8</v>
      </c>
      <c r="I310" s="156">
        <f t="shared" si="98"/>
        <v>9.9999999999999995E-8</v>
      </c>
      <c r="K310" s="140">
        <f t="shared" si="99"/>
        <v>3.6400000000000004E-5</v>
      </c>
      <c r="L310">
        <v>3.64</v>
      </c>
      <c r="M310" s="140">
        <f t="shared" si="100"/>
        <v>3.6399999999999992E-7</v>
      </c>
      <c r="N310" s="140">
        <f t="shared" si="101"/>
        <v>7.2799999999999995E-7</v>
      </c>
      <c r="O310" s="140">
        <f t="shared" si="102"/>
        <v>1.0920000000000001E-6</v>
      </c>
      <c r="P310" s="140">
        <f t="shared" si="103"/>
        <v>1.4560000000000001E-6</v>
      </c>
      <c r="Q310" s="140">
        <f t="shared" si="104"/>
        <v>1.8200000000000004E-6</v>
      </c>
      <c r="R310" s="157">
        <f>IF(K310&lt;$B$25*DATA!$H$1037,DATA!$H$1037,IF(K310&gt;DATA!$H$1036*$B$25,DATA!$H$1036,1))</f>
        <v>0.8</v>
      </c>
      <c r="S310" s="156">
        <f t="shared" si="105"/>
        <v>9.9999999999999995E-8</v>
      </c>
      <c r="U310" s="140">
        <f t="shared" si="106"/>
        <v>3.6400000000000004E-5</v>
      </c>
      <c r="V310">
        <v>3.64</v>
      </c>
      <c r="W310" s="140">
        <f t="shared" si="107"/>
        <v>3.6399999999999992E-7</v>
      </c>
      <c r="X310" s="140">
        <f t="shared" si="108"/>
        <v>7.2799999999999995E-7</v>
      </c>
      <c r="Y310" s="140">
        <f t="shared" si="109"/>
        <v>1.0920000000000001E-6</v>
      </c>
      <c r="Z310" s="140">
        <f t="shared" si="110"/>
        <v>1.4560000000000001E-6</v>
      </c>
      <c r="AA310" s="140">
        <f t="shared" si="111"/>
        <v>1.8200000000000004E-6</v>
      </c>
      <c r="AB310" s="157">
        <f>IF(U310&lt;$B$41*DATA!$H$1037,DATA!$H$1037,IF(U310&gt;DATA!$H$1036*$B$41,DATA!$H$1036,1))</f>
        <v>0.8</v>
      </c>
      <c r="AC310" s="156">
        <f t="shared" si="112"/>
        <v>9.9999999999999995E-8</v>
      </c>
      <c r="AE310" s="140">
        <f t="shared" si="113"/>
        <v>3.6400000000000004E-5</v>
      </c>
      <c r="AF310">
        <v>3.64</v>
      </c>
      <c r="AG310" s="140">
        <f t="shared" si="114"/>
        <v>3.6399999999999992E-7</v>
      </c>
      <c r="AH310" s="140">
        <f t="shared" si="115"/>
        <v>7.2799999999999995E-7</v>
      </c>
      <c r="AI310" s="140">
        <f t="shared" si="116"/>
        <v>1.0920000000000001E-6</v>
      </c>
      <c r="AJ310" s="140">
        <f t="shared" si="117"/>
        <v>1.4560000000000001E-6</v>
      </c>
      <c r="AK310" s="140">
        <f t="shared" si="118"/>
        <v>1.8200000000000004E-6</v>
      </c>
      <c r="AL310" s="157">
        <f>IF(AE310&lt;$B$57*DATA!$H$1037,DATA!$H$1037,IF(AE310&gt;DATA!$H$1036*$B$57,DATA!$H$1036,1))</f>
        <v>1.2</v>
      </c>
      <c r="AM310" s="156">
        <f t="shared" si="119"/>
        <v>9.9999999999999995E-8</v>
      </c>
      <c r="AO310" s="140">
        <f t="shared" si="120"/>
        <v>3.6400000000000004E-5</v>
      </c>
      <c r="AP310">
        <v>3.64</v>
      </c>
      <c r="AQ310" s="140">
        <f t="shared" si="121"/>
        <v>3.6399999999999992E-7</v>
      </c>
      <c r="AR310" s="140">
        <f t="shared" si="122"/>
        <v>7.2799999999999995E-7</v>
      </c>
      <c r="AS310" s="140">
        <f t="shared" si="123"/>
        <v>1.0920000000000001E-6</v>
      </c>
      <c r="AT310" s="140">
        <f t="shared" si="124"/>
        <v>1.4560000000000001E-6</v>
      </c>
      <c r="AU310" s="140">
        <f t="shared" si="125"/>
        <v>1.8200000000000004E-6</v>
      </c>
      <c r="AV310" s="157">
        <f>IF(AO310&lt;$B$73*DATA!$H$1037,DATA!$H$1037,IF(AO310&gt;DATA!$H$1036*$B$73,DATA!$H$1036,1))</f>
        <v>1.2</v>
      </c>
      <c r="AW310" s="156">
        <f t="shared" si="126"/>
        <v>9.9999999999999995E-8</v>
      </c>
      <c r="AY310" s="140">
        <f t="shared" si="127"/>
        <v>3.6400000000000004E-5</v>
      </c>
      <c r="AZ310">
        <v>3.64</v>
      </c>
      <c r="BA310" s="140">
        <f t="shared" si="128"/>
        <v>3.6399999999999992E-7</v>
      </c>
      <c r="BB310" s="140">
        <f t="shared" si="129"/>
        <v>7.2799999999999995E-7</v>
      </c>
      <c r="BC310" s="140">
        <f t="shared" si="130"/>
        <v>1.0920000000000001E-6</v>
      </c>
      <c r="BD310" s="140">
        <f t="shared" si="131"/>
        <v>1.4560000000000001E-6</v>
      </c>
      <c r="BE310" s="140">
        <f t="shared" si="132"/>
        <v>1.8200000000000004E-6</v>
      </c>
      <c r="BF310" s="157">
        <f>IF(AY310&lt;$B$89*DATA!$H$1037,DATA!$H$1037,IF(AY310&gt;DATA!$H$1036*$B$89,DATA!$H$1036,1))</f>
        <v>1.2</v>
      </c>
      <c r="BG310" s="156">
        <f t="shared" si="133"/>
        <v>9.9999999999999995E-8</v>
      </c>
      <c r="BI310" s="140">
        <f t="shared" si="134"/>
        <v>3.6400000000000004E-5</v>
      </c>
      <c r="BJ310">
        <v>3.64</v>
      </c>
      <c r="BK310" s="140">
        <f t="shared" si="135"/>
        <v>3.6399999999999992E-7</v>
      </c>
      <c r="BL310" s="140">
        <f t="shared" si="136"/>
        <v>7.2799999999999995E-7</v>
      </c>
      <c r="BM310" s="140">
        <f t="shared" si="137"/>
        <v>1.0920000000000001E-6</v>
      </c>
      <c r="BN310" s="140">
        <f t="shared" si="138"/>
        <v>1.4560000000000001E-6</v>
      </c>
      <c r="BO310" s="140">
        <f t="shared" si="139"/>
        <v>1.8200000000000004E-6</v>
      </c>
      <c r="BP310" s="157">
        <f>IF(BI310&lt;$B$105*DATA!$H$1037,DATA!$H$1037,IF(BI310&gt;DATA!$H$1036*$B$105,DATA!$H$1036,1))</f>
        <v>1.2</v>
      </c>
      <c r="BQ310" s="156">
        <f t="shared" si="140"/>
        <v>9.9999999999999995E-8</v>
      </c>
    </row>
    <row r="311" spans="1:69">
      <c r="A311" s="140">
        <f t="shared" si="96"/>
        <v>3.6600000000000002E-5</v>
      </c>
      <c r="B311">
        <v>3.66</v>
      </c>
      <c r="C311" s="140">
        <f t="shared" si="97"/>
        <v>3.6599999999999992E-7</v>
      </c>
      <c r="D311" s="140">
        <f t="shared" si="97"/>
        <v>7.3199999999999994E-7</v>
      </c>
      <c r="E311" s="140">
        <f t="shared" si="97"/>
        <v>1.0980000000000001E-6</v>
      </c>
      <c r="F311" s="140">
        <f t="shared" si="97"/>
        <v>1.4640000000000001E-6</v>
      </c>
      <c r="G311" s="140">
        <f t="shared" si="97"/>
        <v>1.8300000000000003E-6</v>
      </c>
      <c r="H311" s="157">
        <f>IF(A311&lt;$B$9*DATA!$H$1037,DATA!$H$1037,IF(A311&gt;DATA!$H$1036*$B$9,DATA!$H$1036,1))</f>
        <v>0.8</v>
      </c>
      <c r="I311" s="156">
        <f t="shared" si="98"/>
        <v>9.9999999999999995E-8</v>
      </c>
      <c r="K311" s="140">
        <f t="shared" si="99"/>
        <v>3.6600000000000002E-5</v>
      </c>
      <c r="L311">
        <v>3.66</v>
      </c>
      <c r="M311" s="140">
        <f t="shared" si="100"/>
        <v>3.6599999999999992E-7</v>
      </c>
      <c r="N311" s="140">
        <f t="shared" si="101"/>
        <v>7.3199999999999994E-7</v>
      </c>
      <c r="O311" s="140">
        <f t="shared" si="102"/>
        <v>1.0980000000000001E-6</v>
      </c>
      <c r="P311" s="140">
        <f t="shared" si="103"/>
        <v>1.4640000000000001E-6</v>
      </c>
      <c r="Q311" s="140">
        <f t="shared" si="104"/>
        <v>1.8300000000000003E-6</v>
      </c>
      <c r="R311" s="157">
        <f>IF(K311&lt;$B$25*DATA!$H$1037,DATA!$H$1037,IF(K311&gt;DATA!$H$1036*$B$25,DATA!$H$1036,1))</f>
        <v>0.8</v>
      </c>
      <c r="S311" s="156">
        <f t="shared" si="105"/>
        <v>9.9999999999999995E-8</v>
      </c>
      <c r="U311" s="140">
        <f t="shared" si="106"/>
        <v>3.6600000000000002E-5</v>
      </c>
      <c r="V311">
        <v>3.66</v>
      </c>
      <c r="W311" s="140">
        <f t="shared" si="107"/>
        <v>3.6599999999999992E-7</v>
      </c>
      <c r="X311" s="140">
        <f t="shared" si="108"/>
        <v>7.3199999999999994E-7</v>
      </c>
      <c r="Y311" s="140">
        <f t="shared" si="109"/>
        <v>1.0980000000000001E-6</v>
      </c>
      <c r="Z311" s="140">
        <f t="shared" si="110"/>
        <v>1.4640000000000001E-6</v>
      </c>
      <c r="AA311" s="140">
        <f t="shared" si="111"/>
        <v>1.8300000000000003E-6</v>
      </c>
      <c r="AB311" s="157">
        <f>IF(U311&lt;$B$41*DATA!$H$1037,DATA!$H$1037,IF(U311&gt;DATA!$H$1036*$B$41,DATA!$H$1036,1))</f>
        <v>0.8</v>
      </c>
      <c r="AC311" s="156">
        <f t="shared" si="112"/>
        <v>9.9999999999999995E-8</v>
      </c>
      <c r="AE311" s="140">
        <f t="shared" si="113"/>
        <v>3.6600000000000002E-5</v>
      </c>
      <c r="AF311">
        <v>3.66</v>
      </c>
      <c r="AG311" s="140">
        <f t="shared" si="114"/>
        <v>3.6599999999999992E-7</v>
      </c>
      <c r="AH311" s="140">
        <f t="shared" si="115"/>
        <v>7.3199999999999994E-7</v>
      </c>
      <c r="AI311" s="140">
        <f t="shared" si="116"/>
        <v>1.0980000000000001E-6</v>
      </c>
      <c r="AJ311" s="140">
        <f t="shared" si="117"/>
        <v>1.4640000000000001E-6</v>
      </c>
      <c r="AK311" s="140">
        <f t="shared" si="118"/>
        <v>1.8300000000000003E-6</v>
      </c>
      <c r="AL311" s="157">
        <f>IF(AE311&lt;$B$57*DATA!$H$1037,DATA!$H$1037,IF(AE311&gt;DATA!$H$1036*$B$57,DATA!$H$1036,1))</f>
        <v>1.2</v>
      </c>
      <c r="AM311" s="156">
        <f t="shared" si="119"/>
        <v>9.9999999999999995E-8</v>
      </c>
      <c r="AO311" s="140">
        <f t="shared" si="120"/>
        <v>3.6600000000000002E-5</v>
      </c>
      <c r="AP311">
        <v>3.66</v>
      </c>
      <c r="AQ311" s="140">
        <f t="shared" si="121"/>
        <v>3.6599999999999992E-7</v>
      </c>
      <c r="AR311" s="140">
        <f t="shared" si="122"/>
        <v>7.3199999999999994E-7</v>
      </c>
      <c r="AS311" s="140">
        <f t="shared" si="123"/>
        <v>1.0980000000000001E-6</v>
      </c>
      <c r="AT311" s="140">
        <f t="shared" si="124"/>
        <v>1.4640000000000001E-6</v>
      </c>
      <c r="AU311" s="140">
        <f t="shared" si="125"/>
        <v>1.8300000000000003E-6</v>
      </c>
      <c r="AV311" s="157">
        <f>IF(AO311&lt;$B$73*DATA!$H$1037,DATA!$H$1037,IF(AO311&gt;DATA!$H$1036*$B$73,DATA!$H$1036,1))</f>
        <v>1.2</v>
      </c>
      <c r="AW311" s="156">
        <f t="shared" si="126"/>
        <v>9.9999999999999995E-8</v>
      </c>
      <c r="AY311" s="140">
        <f t="shared" si="127"/>
        <v>3.6600000000000002E-5</v>
      </c>
      <c r="AZ311">
        <v>3.66</v>
      </c>
      <c r="BA311" s="140">
        <f t="shared" si="128"/>
        <v>3.6599999999999992E-7</v>
      </c>
      <c r="BB311" s="140">
        <f t="shared" si="129"/>
        <v>7.3199999999999994E-7</v>
      </c>
      <c r="BC311" s="140">
        <f t="shared" si="130"/>
        <v>1.0980000000000001E-6</v>
      </c>
      <c r="BD311" s="140">
        <f t="shared" si="131"/>
        <v>1.4640000000000001E-6</v>
      </c>
      <c r="BE311" s="140">
        <f t="shared" si="132"/>
        <v>1.8300000000000003E-6</v>
      </c>
      <c r="BF311" s="157">
        <f>IF(AY311&lt;$B$89*DATA!$H$1037,DATA!$H$1037,IF(AY311&gt;DATA!$H$1036*$B$89,DATA!$H$1036,1))</f>
        <v>1.2</v>
      </c>
      <c r="BG311" s="156">
        <f t="shared" si="133"/>
        <v>9.9999999999999995E-8</v>
      </c>
      <c r="BI311" s="140">
        <f t="shared" si="134"/>
        <v>3.6600000000000002E-5</v>
      </c>
      <c r="BJ311">
        <v>3.66</v>
      </c>
      <c r="BK311" s="140">
        <f t="shared" si="135"/>
        <v>3.6599999999999992E-7</v>
      </c>
      <c r="BL311" s="140">
        <f t="shared" si="136"/>
        <v>7.3199999999999994E-7</v>
      </c>
      <c r="BM311" s="140">
        <f t="shared" si="137"/>
        <v>1.0980000000000001E-6</v>
      </c>
      <c r="BN311" s="140">
        <f t="shared" si="138"/>
        <v>1.4640000000000001E-6</v>
      </c>
      <c r="BO311" s="140">
        <f t="shared" si="139"/>
        <v>1.8300000000000003E-6</v>
      </c>
      <c r="BP311" s="157">
        <f>IF(BI311&lt;$B$105*DATA!$H$1037,DATA!$H$1037,IF(BI311&gt;DATA!$H$1036*$B$105,DATA!$H$1036,1))</f>
        <v>1.2</v>
      </c>
      <c r="BQ311" s="156">
        <f t="shared" si="140"/>
        <v>9.9999999999999995E-8</v>
      </c>
    </row>
    <row r="312" spans="1:69">
      <c r="A312" s="140">
        <f t="shared" si="96"/>
        <v>3.6800000000000007E-5</v>
      </c>
      <c r="B312">
        <v>3.68</v>
      </c>
      <c r="C312" s="140">
        <f t="shared" si="97"/>
        <v>3.6799999999999996E-7</v>
      </c>
      <c r="D312" s="140">
        <f t="shared" si="97"/>
        <v>7.3600000000000003E-7</v>
      </c>
      <c r="E312" s="140">
        <f t="shared" si="97"/>
        <v>1.1040000000000001E-6</v>
      </c>
      <c r="F312" s="140">
        <f t="shared" si="97"/>
        <v>1.4720000000000003E-6</v>
      </c>
      <c r="G312" s="140">
        <f t="shared" si="97"/>
        <v>1.8400000000000004E-6</v>
      </c>
      <c r="H312" s="157">
        <f>IF(A312&lt;$B$9*DATA!$H$1037,DATA!$H$1037,IF(A312&gt;DATA!$H$1036*$B$9,DATA!$H$1036,1))</f>
        <v>0.8</v>
      </c>
      <c r="I312" s="156">
        <f t="shared" si="98"/>
        <v>9.9999999999999995E-8</v>
      </c>
      <c r="K312" s="140">
        <f t="shared" si="99"/>
        <v>3.6800000000000007E-5</v>
      </c>
      <c r="L312">
        <v>3.68</v>
      </c>
      <c r="M312" s="140">
        <f t="shared" si="100"/>
        <v>3.6799999999999996E-7</v>
      </c>
      <c r="N312" s="140">
        <f t="shared" si="101"/>
        <v>7.3600000000000003E-7</v>
      </c>
      <c r="O312" s="140">
        <f t="shared" si="102"/>
        <v>1.1040000000000001E-6</v>
      </c>
      <c r="P312" s="140">
        <f t="shared" si="103"/>
        <v>1.4720000000000003E-6</v>
      </c>
      <c r="Q312" s="140">
        <f t="shared" si="104"/>
        <v>1.8400000000000004E-6</v>
      </c>
      <c r="R312" s="157">
        <f>IF(K312&lt;$B$25*DATA!$H$1037,DATA!$H$1037,IF(K312&gt;DATA!$H$1036*$B$25,DATA!$H$1036,1))</f>
        <v>0.8</v>
      </c>
      <c r="S312" s="156">
        <f t="shared" si="105"/>
        <v>9.9999999999999995E-8</v>
      </c>
      <c r="U312" s="140">
        <f t="shared" si="106"/>
        <v>3.6800000000000007E-5</v>
      </c>
      <c r="V312">
        <v>3.68</v>
      </c>
      <c r="W312" s="140">
        <f t="shared" si="107"/>
        <v>3.6799999999999996E-7</v>
      </c>
      <c r="X312" s="140">
        <f t="shared" si="108"/>
        <v>7.3600000000000003E-7</v>
      </c>
      <c r="Y312" s="140">
        <f t="shared" si="109"/>
        <v>1.1040000000000001E-6</v>
      </c>
      <c r="Z312" s="140">
        <f t="shared" si="110"/>
        <v>1.4720000000000003E-6</v>
      </c>
      <c r="AA312" s="140">
        <f t="shared" si="111"/>
        <v>1.8400000000000004E-6</v>
      </c>
      <c r="AB312" s="157">
        <f>IF(U312&lt;$B$41*DATA!$H$1037,DATA!$H$1037,IF(U312&gt;DATA!$H$1036*$B$41,DATA!$H$1036,1))</f>
        <v>0.8</v>
      </c>
      <c r="AC312" s="156">
        <f t="shared" si="112"/>
        <v>9.9999999999999995E-8</v>
      </c>
      <c r="AE312" s="140">
        <f t="shared" si="113"/>
        <v>3.6800000000000007E-5</v>
      </c>
      <c r="AF312">
        <v>3.68</v>
      </c>
      <c r="AG312" s="140">
        <f t="shared" si="114"/>
        <v>3.6799999999999996E-7</v>
      </c>
      <c r="AH312" s="140">
        <f t="shared" si="115"/>
        <v>7.3600000000000003E-7</v>
      </c>
      <c r="AI312" s="140">
        <f t="shared" si="116"/>
        <v>1.1040000000000001E-6</v>
      </c>
      <c r="AJ312" s="140">
        <f t="shared" si="117"/>
        <v>1.4720000000000003E-6</v>
      </c>
      <c r="AK312" s="140">
        <f t="shared" si="118"/>
        <v>1.8400000000000004E-6</v>
      </c>
      <c r="AL312" s="157">
        <f>IF(AE312&lt;$B$57*DATA!$H$1037,DATA!$H$1037,IF(AE312&gt;DATA!$H$1036*$B$57,DATA!$H$1036,1))</f>
        <v>1.2</v>
      </c>
      <c r="AM312" s="156">
        <f t="shared" si="119"/>
        <v>9.9999999999999995E-8</v>
      </c>
      <c r="AO312" s="140">
        <f t="shared" si="120"/>
        <v>3.6800000000000007E-5</v>
      </c>
      <c r="AP312">
        <v>3.68</v>
      </c>
      <c r="AQ312" s="140">
        <f t="shared" si="121"/>
        <v>3.6799999999999996E-7</v>
      </c>
      <c r="AR312" s="140">
        <f t="shared" si="122"/>
        <v>7.3600000000000003E-7</v>
      </c>
      <c r="AS312" s="140">
        <f t="shared" si="123"/>
        <v>1.1040000000000001E-6</v>
      </c>
      <c r="AT312" s="140">
        <f t="shared" si="124"/>
        <v>1.4720000000000003E-6</v>
      </c>
      <c r="AU312" s="140">
        <f t="shared" si="125"/>
        <v>1.8400000000000004E-6</v>
      </c>
      <c r="AV312" s="157">
        <f>IF(AO312&lt;$B$73*DATA!$H$1037,DATA!$H$1037,IF(AO312&gt;DATA!$H$1036*$B$73,DATA!$H$1036,1))</f>
        <v>1.2</v>
      </c>
      <c r="AW312" s="156">
        <f t="shared" si="126"/>
        <v>9.9999999999999995E-8</v>
      </c>
      <c r="AY312" s="140">
        <f t="shared" si="127"/>
        <v>3.6800000000000007E-5</v>
      </c>
      <c r="AZ312">
        <v>3.68</v>
      </c>
      <c r="BA312" s="140">
        <f t="shared" si="128"/>
        <v>3.6799999999999996E-7</v>
      </c>
      <c r="BB312" s="140">
        <f t="shared" si="129"/>
        <v>7.3600000000000003E-7</v>
      </c>
      <c r="BC312" s="140">
        <f t="shared" si="130"/>
        <v>1.1040000000000001E-6</v>
      </c>
      <c r="BD312" s="140">
        <f t="shared" si="131"/>
        <v>1.4720000000000003E-6</v>
      </c>
      <c r="BE312" s="140">
        <f t="shared" si="132"/>
        <v>1.8400000000000004E-6</v>
      </c>
      <c r="BF312" s="157">
        <f>IF(AY312&lt;$B$89*DATA!$H$1037,DATA!$H$1037,IF(AY312&gt;DATA!$H$1036*$B$89,DATA!$H$1036,1))</f>
        <v>1.2</v>
      </c>
      <c r="BG312" s="156">
        <f t="shared" si="133"/>
        <v>9.9999999999999995E-8</v>
      </c>
      <c r="BI312" s="140">
        <f t="shared" si="134"/>
        <v>3.6800000000000007E-5</v>
      </c>
      <c r="BJ312">
        <v>3.68</v>
      </c>
      <c r="BK312" s="140">
        <f t="shared" si="135"/>
        <v>3.6799999999999996E-7</v>
      </c>
      <c r="BL312" s="140">
        <f t="shared" si="136"/>
        <v>7.3600000000000003E-7</v>
      </c>
      <c r="BM312" s="140">
        <f t="shared" si="137"/>
        <v>1.1040000000000001E-6</v>
      </c>
      <c r="BN312" s="140">
        <f t="shared" si="138"/>
        <v>1.4720000000000003E-6</v>
      </c>
      <c r="BO312" s="140">
        <f t="shared" si="139"/>
        <v>1.8400000000000004E-6</v>
      </c>
      <c r="BP312" s="157">
        <f>IF(BI312&lt;$B$105*DATA!$H$1037,DATA!$H$1037,IF(BI312&gt;DATA!$H$1036*$B$105,DATA!$H$1036,1))</f>
        <v>1.2</v>
      </c>
      <c r="BQ312" s="156">
        <f t="shared" si="140"/>
        <v>9.9999999999999995E-8</v>
      </c>
    </row>
    <row r="313" spans="1:69">
      <c r="A313" s="140">
        <f t="shared" si="96"/>
        <v>3.7000000000000005E-5</v>
      </c>
      <c r="B313">
        <v>3.7</v>
      </c>
      <c r="C313" s="140">
        <f t="shared" si="97"/>
        <v>3.6999999999999995E-7</v>
      </c>
      <c r="D313" s="140">
        <f t="shared" si="97"/>
        <v>7.4000000000000001E-7</v>
      </c>
      <c r="E313" s="140">
        <f t="shared" si="97"/>
        <v>1.1100000000000002E-6</v>
      </c>
      <c r="F313" s="140">
        <f t="shared" si="97"/>
        <v>1.4800000000000002E-6</v>
      </c>
      <c r="G313" s="140">
        <f t="shared" si="97"/>
        <v>1.8500000000000003E-6</v>
      </c>
      <c r="H313" s="157">
        <f>IF(A313&lt;$B$9*DATA!$H$1037,DATA!$H$1037,IF(A313&gt;DATA!$H$1036*$B$9,DATA!$H$1036,1))</f>
        <v>0.8</v>
      </c>
      <c r="I313" s="156">
        <f t="shared" si="98"/>
        <v>9.9999999999999995E-8</v>
      </c>
      <c r="K313" s="140">
        <f t="shared" si="99"/>
        <v>3.7000000000000005E-5</v>
      </c>
      <c r="L313">
        <v>3.7</v>
      </c>
      <c r="M313" s="140">
        <f t="shared" si="100"/>
        <v>3.6999999999999995E-7</v>
      </c>
      <c r="N313" s="140">
        <f t="shared" si="101"/>
        <v>7.4000000000000001E-7</v>
      </c>
      <c r="O313" s="140">
        <f t="shared" si="102"/>
        <v>1.1100000000000002E-6</v>
      </c>
      <c r="P313" s="140">
        <f t="shared" si="103"/>
        <v>1.4800000000000002E-6</v>
      </c>
      <c r="Q313" s="140">
        <f t="shared" si="104"/>
        <v>1.8500000000000003E-6</v>
      </c>
      <c r="R313" s="157">
        <f>IF(K313&lt;$B$25*DATA!$H$1037,DATA!$H$1037,IF(K313&gt;DATA!$H$1036*$B$25,DATA!$H$1036,1))</f>
        <v>0.8</v>
      </c>
      <c r="S313" s="156">
        <f t="shared" si="105"/>
        <v>9.9999999999999995E-8</v>
      </c>
      <c r="U313" s="140">
        <f t="shared" si="106"/>
        <v>3.7000000000000005E-5</v>
      </c>
      <c r="V313">
        <v>3.7</v>
      </c>
      <c r="W313" s="140">
        <f t="shared" si="107"/>
        <v>3.6999999999999995E-7</v>
      </c>
      <c r="X313" s="140">
        <f t="shared" si="108"/>
        <v>7.4000000000000001E-7</v>
      </c>
      <c r="Y313" s="140">
        <f t="shared" si="109"/>
        <v>1.1100000000000002E-6</v>
      </c>
      <c r="Z313" s="140">
        <f t="shared" si="110"/>
        <v>1.4800000000000002E-6</v>
      </c>
      <c r="AA313" s="140">
        <f t="shared" si="111"/>
        <v>1.8500000000000003E-6</v>
      </c>
      <c r="AB313" s="157">
        <f>IF(U313&lt;$B$41*DATA!$H$1037,DATA!$H$1037,IF(U313&gt;DATA!$H$1036*$B$41,DATA!$H$1036,1))</f>
        <v>0.8</v>
      </c>
      <c r="AC313" s="156">
        <f t="shared" si="112"/>
        <v>9.9999999999999995E-8</v>
      </c>
      <c r="AE313" s="140">
        <f t="shared" si="113"/>
        <v>3.7000000000000005E-5</v>
      </c>
      <c r="AF313">
        <v>3.7</v>
      </c>
      <c r="AG313" s="140">
        <f t="shared" si="114"/>
        <v>3.6999999999999995E-7</v>
      </c>
      <c r="AH313" s="140">
        <f t="shared" si="115"/>
        <v>7.4000000000000001E-7</v>
      </c>
      <c r="AI313" s="140">
        <f t="shared" si="116"/>
        <v>1.1100000000000002E-6</v>
      </c>
      <c r="AJ313" s="140">
        <f t="shared" si="117"/>
        <v>1.4800000000000002E-6</v>
      </c>
      <c r="AK313" s="140">
        <f t="shared" si="118"/>
        <v>1.8500000000000003E-6</v>
      </c>
      <c r="AL313" s="157">
        <f>IF(AE313&lt;$B$57*DATA!$H$1037,DATA!$H$1037,IF(AE313&gt;DATA!$H$1036*$B$57,DATA!$H$1036,1))</f>
        <v>1.2</v>
      </c>
      <c r="AM313" s="156">
        <f t="shared" si="119"/>
        <v>9.9999999999999995E-8</v>
      </c>
      <c r="AO313" s="140">
        <f t="shared" si="120"/>
        <v>3.7000000000000005E-5</v>
      </c>
      <c r="AP313">
        <v>3.7</v>
      </c>
      <c r="AQ313" s="140">
        <f t="shared" si="121"/>
        <v>3.6999999999999995E-7</v>
      </c>
      <c r="AR313" s="140">
        <f t="shared" si="122"/>
        <v>7.4000000000000001E-7</v>
      </c>
      <c r="AS313" s="140">
        <f t="shared" si="123"/>
        <v>1.1100000000000002E-6</v>
      </c>
      <c r="AT313" s="140">
        <f t="shared" si="124"/>
        <v>1.4800000000000002E-6</v>
      </c>
      <c r="AU313" s="140">
        <f t="shared" si="125"/>
        <v>1.8500000000000003E-6</v>
      </c>
      <c r="AV313" s="157">
        <f>IF(AO313&lt;$B$73*DATA!$H$1037,DATA!$H$1037,IF(AO313&gt;DATA!$H$1036*$B$73,DATA!$H$1036,1))</f>
        <v>1.2</v>
      </c>
      <c r="AW313" s="156">
        <f t="shared" si="126"/>
        <v>9.9999999999999995E-8</v>
      </c>
      <c r="AY313" s="140">
        <f t="shared" si="127"/>
        <v>3.7000000000000005E-5</v>
      </c>
      <c r="AZ313">
        <v>3.7</v>
      </c>
      <c r="BA313" s="140">
        <f t="shared" si="128"/>
        <v>3.6999999999999995E-7</v>
      </c>
      <c r="BB313" s="140">
        <f t="shared" si="129"/>
        <v>7.4000000000000001E-7</v>
      </c>
      <c r="BC313" s="140">
        <f t="shared" si="130"/>
        <v>1.1100000000000002E-6</v>
      </c>
      <c r="BD313" s="140">
        <f t="shared" si="131"/>
        <v>1.4800000000000002E-6</v>
      </c>
      <c r="BE313" s="140">
        <f t="shared" si="132"/>
        <v>1.8500000000000003E-6</v>
      </c>
      <c r="BF313" s="157">
        <f>IF(AY313&lt;$B$89*DATA!$H$1037,DATA!$H$1037,IF(AY313&gt;DATA!$H$1036*$B$89,DATA!$H$1036,1))</f>
        <v>1.2</v>
      </c>
      <c r="BG313" s="156">
        <f t="shared" si="133"/>
        <v>9.9999999999999995E-8</v>
      </c>
      <c r="BI313" s="140">
        <f t="shared" si="134"/>
        <v>3.7000000000000005E-5</v>
      </c>
      <c r="BJ313">
        <v>3.7</v>
      </c>
      <c r="BK313" s="140">
        <f t="shared" si="135"/>
        <v>3.6999999999999995E-7</v>
      </c>
      <c r="BL313" s="140">
        <f t="shared" si="136"/>
        <v>7.4000000000000001E-7</v>
      </c>
      <c r="BM313" s="140">
        <f t="shared" si="137"/>
        <v>1.1100000000000002E-6</v>
      </c>
      <c r="BN313" s="140">
        <f t="shared" si="138"/>
        <v>1.4800000000000002E-6</v>
      </c>
      <c r="BO313" s="140">
        <f t="shared" si="139"/>
        <v>1.8500000000000003E-6</v>
      </c>
      <c r="BP313" s="157">
        <f>IF(BI313&lt;$B$105*DATA!$H$1037,DATA!$H$1037,IF(BI313&gt;DATA!$H$1036*$B$105,DATA!$H$1036,1))</f>
        <v>1.2</v>
      </c>
      <c r="BQ313" s="156">
        <f t="shared" si="140"/>
        <v>9.9999999999999995E-8</v>
      </c>
    </row>
    <row r="314" spans="1:69">
      <c r="A314" s="140">
        <f t="shared" si="96"/>
        <v>3.7200000000000003E-5</v>
      </c>
      <c r="B314">
        <v>3.72</v>
      </c>
      <c r="C314" s="140">
        <f t="shared" si="97"/>
        <v>3.7199999999999989E-7</v>
      </c>
      <c r="D314" s="140">
        <f t="shared" si="97"/>
        <v>7.4399999999999999E-7</v>
      </c>
      <c r="E314" s="140">
        <f t="shared" si="97"/>
        <v>1.116E-6</v>
      </c>
      <c r="F314" s="140">
        <f t="shared" si="97"/>
        <v>1.4880000000000002E-6</v>
      </c>
      <c r="G314" s="140">
        <f t="shared" si="97"/>
        <v>1.8600000000000002E-6</v>
      </c>
      <c r="H314" s="157">
        <f>IF(A314&lt;$B$9*DATA!$H$1037,DATA!$H$1037,IF(A314&gt;DATA!$H$1036*$B$9,DATA!$H$1036,1))</f>
        <v>0.8</v>
      </c>
      <c r="I314" s="156">
        <f t="shared" si="98"/>
        <v>9.9999999999999995E-8</v>
      </c>
      <c r="K314" s="140">
        <f t="shared" si="99"/>
        <v>3.7200000000000003E-5</v>
      </c>
      <c r="L314">
        <v>3.72</v>
      </c>
      <c r="M314" s="140">
        <f t="shared" si="100"/>
        <v>3.7199999999999989E-7</v>
      </c>
      <c r="N314" s="140">
        <f t="shared" si="101"/>
        <v>7.4399999999999999E-7</v>
      </c>
      <c r="O314" s="140">
        <f t="shared" si="102"/>
        <v>1.116E-6</v>
      </c>
      <c r="P314" s="140">
        <f t="shared" si="103"/>
        <v>1.4880000000000002E-6</v>
      </c>
      <c r="Q314" s="140">
        <f t="shared" si="104"/>
        <v>1.8600000000000002E-6</v>
      </c>
      <c r="R314" s="157">
        <f>IF(K314&lt;$B$25*DATA!$H$1037,DATA!$H$1037,IF(K314&gt;DATA!$H$1036*$B$25,DATA!$H$1036,1))</f>
        <v>0.8</v>
      </c>
      <c r="S314" s="156">
        <f t="shared" si="105"/>
        <v>9.9999999999999995E-8</v>
      </c>
      <c r="U314" s="140">
        <f t="shared" si="106"/>
        <v>3.7200000000000003E-5</v>
      </c>
      <c r="V314">
        <v>3.72</v>
      </c>
      <c r="W314" s="140">
        <f t="shared" si="107"/>
        <v>3.7199999999999989E-7</v>
      </c>
      <c r="X314" s="140">
        <f t="shared" si="108"/>
        <v>7.4399999999999999E-7</v>
      </c>
      <c r="Y314" s="140">
        <f t="shared" si="109"/>
        <v>1.116E-6</v>
      </c>
      <c r="Z314" s="140">
        <f t="shared" si="110"/>
        <v>1.4880000000000002E-6</v>
      </c>
      <c r="AA314" s="140">
        <f t="shared" si="111"/>
        <v>1.8600000000000002E-6</v>
      </c>
      <c r="AB314" s="157">
        <f>IF(U314&lt;$B$41*DATA!$H$1037,DATA!$H$1037,IF(U314&gt;DATA!$H$1036*$B$41,DATA!$H$1036,1))</f>
        <v>0.8</v>
      </c>
      <c r="AC314" s="156">
        <f t="shared" si="112"/>
        <v>9.9999999999999995E-8</v>
      </c>
      <c r="AE314" s="140">
        <f t="shared" si="113"/>
        <v>3.7200000000000003E-5</v>
      </c>
      <c r="AF314">
        <v>3.72</v>
      </c>
      <c r="AG314" s="140">
        <f t="shared" si="114"/>
        <v>3.7199999999999989E-7</v>
      </c>
      <c r="AH314" s="140">
        <f t="shared" si="115"/>
        <v>7.4399999999999999E-7</v>
      </c>
      <c r="AI314" s="140">
        <f t="shared" si="116"/>
        <v>1.116E-6</v>
      </c>
      <c r="AJ314" s="140">
        <f t="shared" si="117"/>
        <v>1.4880000000000002E-6</v>
      </c>
      <c r="AK314" s="140">
        <f t="shared" si="118"/>
        <v>1.8600000000000002E-6</v>
      </c>
      <c r="AL314" s="157">
        <f>IF(AE314&lt;$B$57*DATA!$H$1037,DATA!$H$1037,IF(AE314&gt;DATA!$H$1036*$B$57,DATA!$H$1036,1))</f>
        <v>1.2</v>
      </c>
      <c r="AM314" s="156">
        <f t="shared" si="119"/>
        <v>9.9999999999999995E-8</v>
      </c>
      <c r="AO314" s="140">
        <f t="shared" si="120"/>
        <v>3.7200000000000003E-5</v>
      </c>
      <c r="AP314">
        <v>3.72</v>
      </c>
      <c r="AQ314" s="140">
        <f t="shared" si="121"/>
        <v>3.7199999999999989E-7</v>
      </c>
      <c r="AR314" s="140">
        <f t="shared" si="122"/>
        <v>7.4399999999999999E-7</v>
      </c>
      <c r="AS314" s="140">
        <f t="shared" si="123"/>
        <v>1.116E-6</v>
      </c>
      <c r="AT314" s="140">
        <f t="shared" si="124"/>
        <v>1.4880000000000002E-6</v>
      </c>
      <c r="AU314" s="140">
        <f t="shared" si="125"/>
        <v>1.8600000000000002E-6</v>
      </c>
      <c r="AV314" s="157">
        <f>IF(AO314&lt;$B$73*DATA!$H$1037,DATA!$H$1037,IF(AO314&gt;DATA!$H$1036*$B$73,DATA!$H$1036,1))</f>
        <v>1.2</v>
      </c>
      <c r="AW314" s="156">
        <f t="shared" si="126"/>
        <v>9.9999999999999995E-8</v>
      </c>
      <c r="AY314" s="140">
        <f t="shared" si="127"/>
        <v>3.7200000000000003E-5</v>
      </c>
      <c r="AZ314">
        <v>3.72</v>
      </c>
      <c r="BA314" s="140">
        <f t="shared" si="128"/>
        <v>3.7199999999999989E-7</v>
      </c>
      <c r="BB314" s="140">
        <f t="shared" si="129"/>
        <v>7.4399999999999999E-7</v>
      </c>
      <c r="BC314" s="140">
        <f t="shared" si="130"/>
        <v>1.116E-6</v>
      </c>
      <c r="BD314" s="140">
        <f t="shared" si="131"/>
        <v>1.4880000000000002E-6</v>
      </c>
      <c r="BE314" s="140">
        <f t="shared" si="132"/>
        <v>1.8600000000000002E-6</v>
      </c>
      <c r="BF314" s="157">
        <f>IF(AY314&lt;$B$89*DATA!$H$1037,DATA!$H$1037,IF(AY314&gt;DATA!$H$1036*$B$89,DATA!$H$1036,1))</f>
        <v>1.2</v>
      </c>
      <c r="BG314" s="156">
        <f t="shared" si="133"/>
        <v>9.9999999999999995E-8</v>
      </c>
      <c r="BI314" s="140">
        <f t="shared" si="134"/>
        <v>3.7200000000000003E-5</v>
      </c>
      <c r="BJ314">
        <v>3.72</v>
      </c>
      <c r="BK314" s="140">
        <f t="shared" si="135"/>
        <v>3.7199999999999989E-7</v>
      </c>
      <c r="BL314" s="140">
        <f t="shared" si="136"/>
        <v>7.4399999999999999E-7</v>
      </c>
      <c r="BM314" s="140">
        <f t="shared" si="137"/>
        <v>1.116E-6</v>
      </c>
      <c r="BN314" s="140">
        <f t="shared" si="138"/>
        <v>1.4880000000000002E-6</v>
      </c>
      <c r="BO314" s="140">
        <f t="shared" si="139"/>
        <v>1.8600000000000002E-6</v>
      </c>
      <c r="BP314" s="157">
        <f>IF(BI314&lt;$B$105*DATA!$H$1037,DATA!$H$1037,IF(BI314&gt;DATA!$H$1036*$B$105,DATA!$H$1036,1))</f>
        <v>1.2</v>
      </c>
      <c r="BQ314" s="156">
        <f t="shared" si="140"/>
        <v>9.9999999999999995E-8</v>
      </c>
    </row>
    <row r="315" spans="1:69">
      <c r="A315" s="140">
        <f t="shared" si="96"/>
        <v>3.7400000000000008E-5</v>
      </c>
      <c r="B315">
        <v>3.74</v>
      </c>
      <c r="C315" s="140">
        <f t="shared" si="97"/>
        <v>3.7399999999999993E-7</v>
      </c>
      <c r="D315" s="140">
        <f t="shared" si="97"/>
        <v>7.4800000000000008E-7</v>
      </c>
      <c r="E315" s="140">
        <f t="shared" si="97"/>
        <v>1.1220000000000002E-6</v>
      </c>
      <c r="F315" s="140">
        <f t="shared" si="97"/>
        <v>1.4960000000000004E-6</v>
      </c>
      <c r="G315" s="140">
        <f t="shared" si="97"/>
        <v>1.8700000000000005E-6</v>
      </c>
      <c r="H315" s="157">
        <f>IF(A315&lt;$B$9*DATA!$H$1037,DATA!$H$1037,IF(A315&gt;DATA!$H$1036*$B$9,DATA!$H$1036,1))</f>
        <v>0.8</v>
      </c>
      <c r="I315" s="156">
        <f t="shared" si="98"/>
        <v>9.9999999999999995E-8</v>
      </c>
      <c r="K315" s="140">
        <f t="shared" si="99"/>
        <v>3.7400000000000008E-5</v>
      </c>
      <c r="L315">
        <v>3.74</v>
      </c>
      <c r="M315" s="140">
        <f t="shared" si="100"/>
        <v>3.7399999999999993E-7</v>
      </c>
      <c r="N315" s="140">
        <f t="shared" si="101"/>
        <v>7.4800000000000008E-7</v>
      </c>
      <c r="O315" s="140">
        <f t="shared" si="102"/>
        <v>1.1220000000000002E-6</v>
      </c>
      <c r="P315" s="140">
        <f t="shared" si="103"/>
        <v>1.4960000000000004E-6</v>
      </c>
      <c r="Q315" s="140">
        <f t="shared" si="104"/>
        <v>1.8700000000000005E-6</v>
      </c>
      <c r="R315" s="157">
        <f>IF(K315&lt;$B$25*DATA!$H$1037,DATA!$H$1037,IF(K315&gt;DATA!$H$1036*$B$25,DATA!$H$1036,1))</f>
        <v>0.8</v>
      </c>
      <c r="S315" s="156">
        <f t="shared" si="105"/>
        <v>9.9999999999999995E-8</v>
      </c>
      <c r="U315" s="140">
        <f t="shared" si="106"/>
        <v>3.7400000000000008E-5</v>
      </c>
      <c r="V315">
        <v>3.74</v>
      </c>
      <c r="W315" s="140">
        <f t="shared" si="107"/>
        <v>3.7399999999999993E-7</v>
      </c>
      <c r="X315" s="140">
        <f t="shared" si="108"/>
        <v>7.4800000000000008E-7</v>
      </c>
      <c r="Y315" s="140">
        <f t="shared" si="109"/>
        <v>1.1220000000000002E-6</v>
      </c>
      <c r="Z315" s="140">
        <f t="shared" si="110"/>
        <v>1.4960000000000004E-6</v>
      </c>
      <c r="AA315" s="140">
        <f t="shared" si="111"/>
        <v>1.8700000000000005E-6</v>
      </c>
      <c r="AB315" s="157">
        <f>IF(U315&lt;$B$41*DATA!$H$1037,DATA!$H$1037,IF(U315&gt;DATA!$H$1036*$B$41,DATA!$H$1036,1))</f>
        <v>0.8</v>
      </c>
      <c r="AC315" s="156">
        <f t="shared" si="112"/>
        <v>9.9999999999999995E-8</v>
      </c>
      <c r="AE315" s="140">
        <f t="shared" si="113"/>
        <v>3.7400000000000008E-5</v>
      </c>
      <c r="AF315">
        <v>3.74</v>
      </c>
      <c r="AG315" s="140">
        <f t="shared" si="114"/>
        <v>3.7399999999999993E-7</v>
      </c>
      <c r="AH315" s="140">
        <f t="shared" si="115"/>
        <v>7.4800000000000008E-7</v>
      </c>
      <c r="AI315" s="140">
        <f t="shared" si="116"/>
        <v>1.1220000000000002E-6</v>
      </c>
      <c r="AJ315" s="140">
        <f t="shared" si="117"/>
        <v>1.4960000000000004E-6</v>
      </c>
      <c r="AK315" s="140">
        <f t="shared" si="118"/>
        <v>1.8700000000000005E-6</v>
      </c>
      <c r="AL315" s="157">
        <f>IF(AE315&lt;$B$57*DATA!$H$1037,DATA!$H$1037,IF(AE315&gt;DATA!$H$1036*$B$57,DATA!$H$1036,1))</f>
        <v>1.2</v>
      </c>
      <c r="AM315" s="156">
        <f t="shared" si="119"/>
        <v>9.9999999999999995E-8</v>
      </c>
      <c r="AO315" s="140">
        <f t="shared" si="120"/>
        <v>3.7400000000000008E-5</v>
      </c>
      <c r="AP315">
        <v>3.74</v>
      </c>
      <c r="AQ315" s="140">
        <f t="shared" si="121"/>
        <v>3.7399999999999993E-7</v>
      </c>
      <c r="AR315" s="140">
        <f t="shared" si="122"/>
        <v>7.4800000000000008E-7</v>
      </c>
      <c r="AS315" s="140">
        <f t="shared" si="123"/>
        <v>1.1220000000000002E-6</v>
      </c>
      <c r="AT315" s="140">
        <f t="shared" si="124"/>
        <v>1.4960000000000004E-6</v>
      </c>
      <c r="AU315" s="140">
        <f t="shared" si="125"/>
        <v>1.8700000000000005E-6</v>
      </c>
      <c r="AV315" s="157">
        <f>IF(AO315&lt;$B$73*DATA!$H$1037,DATA!$H$1037,IF(AO315&gt;DATA!$H$1036*$B$73,DATA!$H$1036,1))</f>
        <v>1.2</v>
      </c>
      <c r="AW315" s="156">
        <f t="shared" si="126"/>
        <v>9.9999999999999995E-8</v>
      </c>
      <c r="AY315" s="140">
        <f t="shared" si="127"/>
        <v>3.7400000000000008E-5</v>
      </c>
      <c r="AZ315">
        <v>3.74</v>
      </c>
      <c r="BA315" s="140">
        <f t="shared" si="128"/>
        <v>3.7399999999999993E-7</v>
      </c>
      <c r="BB315" s="140">
        <f t="shared" si="129"/>
        <v>7.4800000000000008E-7</v>
      </c>
      <c r="BC315" s="140">
        <f t="shared" si="130"/>
        <v>1.1220000000000002E-6</v>
      </c>
      <c r="BD315" s="140">
        <f t="shared" si="131"/>
        <v>1.4960000000000004E-6</v>
      </c>
      <c r="BE315" s="140">
        <f t="shared" si="132"/>
        <v>1.8700000000000005E-6</v>
      </c>
      <c r="BF315" s="157">
        <f>IF(AY315&lt;$B$89*DATA!$H$1037,DATA!$H$1037,IF(AY315&gt;DATA!$H$1036*$B$89,DATA!$H$1036,1))</f>
        <v>1.2</v>
      </c>
      <c r="BG315" s="156">
        <f t="shared" si="133"/>
        <v>9.9999999999999995E-8</v>
      </c>
      <c r="BI315" s="140">
        <f t="shared" si="134"/>
        <v>3.7400000000000008E-5</v>
      </c>
      <c r="BJ315">
        <v>3.74</v>
      </c>
      <c r="BK315" s="140">
        <f t="shared" si="135"/>
        <v>3.7399999999999993E-7</v>
      </c>
      <c r="BL315" s="140">
        <f t="shared" si="136"/>
        <v>7.4800000000000008E-7</v>
      </c>
      <c r="BM315" s="140">
        <f t="shared" si="137"/>
        <v>1.1220000000000002E-6</v>
      </c>
      <c r="BN315" s="140">
        <f t="shared" si="138"/>
        <v>1.4960000000000004E-6</v>
      </c>
      <c r="BO315" s="140">
        <f t="shared" si="139"/>
        <v>1.8700000000000005E-6</v>
      </c>
      <c r="BP315" s="157">
        <f>IF(BI315&lt;$B$105*DATA!$H$1037,DATA!$H$1037,IF(BI315&gt;DATA!$H$1036*$B$105,DATA!$H$1036,1))</f>
        <v>1.2</v>
      </c>
      <c r="BQ315" s="156">
        <f t="shared" si="140"/>
        <v>9.9999999999999995E-8</v>
      </c>
    </row>
    <row r="316" spans="1:69">
      <c r="A316" s="140">
        <f t="shared" si="96"/>
        <v>3.7599999999999999E-5</v>
      </c>
      <c r="B316">
        <v>3.76</v>
      </c>
      <c r="C316" s="140">
        <f t="shared" si="97"/>
        <v>3.7599999999999987E-7</v>
      </c>
      <c r="D316" s="140">
        <f t="shared" si="97"/>
        <v>7.5199999999999985E-7</v>
      </c>
      <c r="E316" s="140">
        <f t="shared" si="97"/>
        <v>1.1279999999999998E-6</v>
      </c>
      <c r="F316" s="140">
        <f t="shared" si="97"/>
        <v>1.5039999999999999E-6</v>
      </c>
      <c r="G316" s="140">
        <f t="shared" si="97"/>
        <v>1.88E-6</v>
      </c>
      <c r="H316" s="157">
        <f>IF(A316&lt;$B$9*DATA!$H$1037,DATA!$H$1037,IF(A316&gt;DATA!$H$1036*$B$9,DATA!$H$1036,1))</f>
        <v>0.8</v>
      </c>
      <c r="I316" s="156">
        <f t="shared" si="98"/>
        <v>9.9999999999999995E-8</v>
      </c>
      <c r="K316" s="140">
        <f t="shared" si="99"/>
        <v>3.7599999999999999E-5</v>
      </c>
      <c r="L316">
        <v>3.76</v>
      </c>
      <c r="M316" s="140">
        <f t="shared" si="100"/>
        <v>3.7599999999999987E-7</v>
      </c>
      <c r="N316" s="140">
        <f t="shared" si="101"/>
        <v>7.5199999999999985E-7</v>
      </c>
      <c r="O316" s="140">
        <f t="shared" si="102"/>
        <v>1.1279999999999998E-6</v>
      </c>
      <c r="P316" s="140">
        <f t="shared" si="103"/>
        <v>1.5039999999999999E-6</v>
      </c>
      <c r="Q316" s="140">
        <f t="shared" si="104"/>
        <v>1.88E-6</v>
      </c>
      <c r="R316" s="157">
        <f>IF(K316&lt;$B$25*DATA!$H$1037,DATA!$H$1037,IF(K316&gt;DATA!$H$1036*$B$25,DATA!$H$1036,1))</f>
        <v>0.8</v>
      </c>
      <c r="S316" s="156">
        <f t="shared" si="105"/>
        <v>9.9999999999999995E-8</v>
      </c>
      <c r="U316" s="140">
        <f t="shared" si="106"/>
        <v>3.7599999999999999E-5</v>
      </c>
      <c r="V316">
        <v>3.76</v>
      </c>
      <c r="W316" s="140">
        <f t="shared" si="107"/>
        <v>3.7599999999999987E-7</v>
      </c>
      <c r="X316" s="140">
        <f t="shared" si="108"/>
        <v>7.5199999999999985E-7</v>
      </c>
      <c r="Y316" s="140">
        <f t="shared" si="109"/>
        <v>1.1279999999999998E-6</v>
      </c>
      <c r="Z316" s="140">
        <f t="shared" si="110"/>
        <v>1.5039999999999999E-6</v>
      </c>
      <c r="AA316" s="140">
        <f t="shared" si="111"/>
        <v>1.88E-6</v>
      </c>
      <c r="AB316" s="157">
        <f>IF(U316&lt;$B$41*DATA!$H$1037,DATA!$H$1037,IF(U316&gt;DATA!$H$1036*$B$41,DATA!$H$1036,1))</f>
        <v>0.8</v>
      </c>
      <c r="AC316" s="156">
        <f t="shared" si="112"/>
        <v>9.9999999999999995E-8</v>
      </c>
      <c r="AE316" s="140">
        <f t="shared" si="113"/>
        <v>3.7599999999999999E-5</v>
      </c>
      <c r="AF316">
        <v>3.76</v>
      </c>
      <c r="AG316" s="140">
        <f t="shared" si="114"/>
        <v>3.7599999999999987E-7</v>
      </c>
      <c r="AH316" s="140">
        <f t="shared" si="115"/>
        <v>7.5199999999999985E-7</v>
      </c>
      <c r="AI316" s="140">
        <f t="shared" si="116"/>
        <v>1.1279999999999998E-6</v>
      </c>
      <c r="AJ316" s="140">
        <f t="shared" si="117"/>
        <v>1.5039999999999999E-6</v>
      </c>
      <c r="AK316" s="140">
        <f t="shared" si="118"/>
        <v>1.88E-6</v>
      </c>
      <c r="AL316" s="157">
        <f>IF(AE316&lt;$B$57*DATA!$H$1037,DATA!$H$1037,IF(AE316&gt;DATA!$H$1036*$B$57,DATA!$H$1036,1))</f>
        <v>1.2</v>
      </c>
      <c r="AM316" s="156">
        <f t="shared" si="119"/>
        <v>9.9999999999999995E-8</v>
      </c>
      <c r="AO316" s="140">
        <f t="shared" si="120"/>
        <v>3.7599999999999999E-5</v>
      </c>
      <c r="AP316">
        <v>3.76</v>
      </c>
      <c r="AQ316" s="140">
        <f t="shared" si="121"/>
        <v>3.7599999999999987E-7</v>
      </c>
      <c r="AR316" s="140">
        <f t="shared" si="122"/>
        <v>7.5199999999999985E-7</v>
      </c>
      <c r="AS316" s="140">
        <f t="shared" si="123"/>
        <v>1.1279999999999998E-6</v>
      </c>
      <c r="AT316" s="140">
        <f t="shared" si="124"/>
        <v>1.5039999999999999E-6</v>
      </c>
      <c r="AU316" s="140">
        <f t="shared" si="125"/>
        <v>1.88E-6</v>
      </c>
      <c r="AV316" s="157">
        <f>IF(AO316&lt;$B$73*DATA!$H$1037,DATA!$H$1037,IF(AO316&gt;DATA!$H$1036*$B$73,DATA!$H$1036,1))</f>
        <v>1.2</v>
      </c>
      <c r="AW316" s="156">
        <f t="shared" si="126"/>
        <v>9.9999999999999995E-8</v>
      </c>
      <c r="AY316" s="140">
        <f t="shared" si="127"/>
        <v>3.7599999999999999E-5</v>
      </c>
      <c r="AZ316">
        <v>3.76</v>
      </c>
      <c r="BA316" s="140">
        <f t="shared" si="128"/>
        <v>3.7599999999999987E-7</v>
      </c>
      <c r="BB316" s="140">
        <f t="shared" si="129"/>
        <v>7.5199999999999985E-7</v>
      </c>
      <c r="BC316" s="140">
        <f t="shared" si="130"/>
        <v>1.1279999999999998E-6</v>
      </c>
      <c r="BD316" s="140">
        <f t="shared" si="131"/>
        <v>1.5039999999999999E-6</v>
      </c>
      <c r="BE316" s="140">
        <f t="shared" si="132"/>
        <v>1.88E-6</v>
      </c>
      <c r="BF316" s="157">
        <f>IF(AY316&lt;$B$89*DATA!$H$1037,DATA!$H$1037,IF(AY316&gt;DATA!$H$1036*$B$89,DATA!$H$1036,1))</f>
        <v>1.2</v>
      </c>
      <c r="BG316" s="156">
        <f t="shared" si="133"/>
        <v>9.9999999999999995E-8</v>
      </c>
      <c r="BI316" s="140">
        <f t="shared" si="134"/>
        <v>3.7599999999999999E-5</v>
      </c>
      <c r="BJ316">
        <v>3.76</v>
      </c>
      <c r="BK316" s="140">
        <f t="shared" si="135"/>
        <v>3.7599999999999987E-7</v>
      </c>
      <c r="BL316" s="140">
        <f t="shared" si="136"/>
        <v>7.5199999999999985E-7</v>
      </c>
      <c r="BM316" s="140">
        <f t="shared" si="137"/>
        <v>1.1279999999999998E-6</v>
      </c>
      <c r="BN316" s="140">
        <f t="shared" si="138"/>
        <v>1.5039999999999999E-6</v>
      </c>
      <c r="BO316" s="140">
        <f t="shared" si="139"/>
        <v>1.88E-6</v>
      </c>
      <c r="BP316" s="157">
        <f>IF(BI316&lt;$B$105*DATA!$H$1037,DATA!$H$1037,IF(BI316&gt;DATA!$H$1036*$B$105,DATA!$H$1036,1))</f>
        <v>1.2</v>
      </c>
      <c r="BQ316" s="156">
        <f t="shared" si="140"/>
        <v>9.9999999999999995E-8</v>
      </c>
    </row>
    <row r="317" spans="1:69">
      <c r="A317" s="140">
        <f t="shared" si="96"/>
        <v>3.7800000000000004E-5</v>
      </c>
      <c r="B317">
        <v>3.78</v>
      </c>
      <c r="C317" s="140">
        <f t="shared" si="97"/>
        <v>3.7799999999999992E-7</v>
      </c>
      <c r="D317" s="140">
        <f t="shared" si="97"/>
        <v>7.5599999999999994E-7</v>
      </c>
      <c r="E317" s="140">
        <f t="shared" si="97"/>
        <v>1.1340000000000001E-6</v>
      </c>
      <c r="F317" s="140">
        <f t="shared" si="97"/>
        <v>1.5120000000000001E-6</v>
      </c>
      <c r="G317" s="140">
        <f t="shared" si="97"/>
        <v>1.8900000000000003E-6</v>
      </c>
      <c r="H317" s="157">
        <f>IF(A317&lt;$B$9*DATA!$H$1037,DATA!$H$1037,IF(A317&gt;DATA!$H$1036*$B$9,DATA!$H$1036,1))</f>
        <v>0.8</v>
      </c>
      <c r="I317" s="156">
        <f t="shared" si="98"/>
        <v>9.9999999999999995E-8</v>
      </c>
      <c r="K317" s="140">
        <f t="shared" si="99"/>
        <v>3.7800000000000004E-5</v>
      </c>
      <c r="L317">
        <v>3.78</v>
      </c>
      <c r="M317" s="140">
        <f t="shared" si="100"/>
        <v>3.7799999999999992E-7</v>
      </c>
      <c r="N317" s="140">
        <f t="shared" si="101"/>
        <v>7.5599999999999994E-7</v>
      </c>
      <c r="O317" s="140">
        <f t="shared" si="102"/>
        <v>1.1340000000000001E-6</v>
      </c>
      <c r="P317" s="140">
        <f t="shared" si="103"/>
        <v>1.5120000000000001E-6</v>
      </c>
      <c r="Q317" s="140">
        <f t="shared" si="104"/>
        <v>1.8900000000000003E-6</v>
      </c>
      <c r="R317" s="157">
        <f>IF(K317&lt;$B$25*DATA!$H$1037,DATA!$H$1037,IF(K317&gt;DATA!$H$1036*$B$25,DATA!$H$1036,1))</f>
        <v>0.8</v>
      </c>
      <c r="S317" s="156">
        <f t="shared" si="105"/>
        <v>9.9999999999999995E-8</v>
      </c>
      <c r="U317" s="140">
        <f t="shared" si="106"/>
        <v>3.7800000000000004E-5</v>
      </c>
      <c r="V317">
        <v>3.78</v>
      </c>
      <c r="W317" s="140">
        <f t="shared" si="107"/>
        <v>3.7799999999999992E-7</v>
      </c>
      <c r="X317" s="140">
        <f t="shared" si="108"/>
        <v>7.5599999999999994E-7</v>
      </c>
      <c r="Y317" s="140">
        <f t="shared" si="109"/>
        <v>1.1340000000000001E-6</v>
      </c>
      <c r="Z317" s="140">
        <f t="shared" si="110"/>
        <v>1.5120000000000001E-6</v>
      </c>
      <c r="AA317" s="140">
        <f t="shared" si="111"/>
        <v>1.8900000000000003E-6</v>
      </c>
      <c r="AB317" s="157">
        <f>IF(U317&lt;$B$41*DATA!$H$1037,DATA!$H$1037,IF(U317&gt;DATA!$H$1036*$B$41,DATA!$H$1036,1))</f>
        <v>0.8</v>
      </c>
      <c r="AC317" s="156">
        <f t="shared" si="112"/>
        <v>9.9999999999999995E-8</v>
      </c>
      <c r="AE317" s="140">
        <f t="shared" si="113"/>
        <v>3.7800000000000004E-5</v>
      </c>
      <c r="AF317">
        <v>3.78</v>
      </c>
      <c r="AG317" s="140">
        <f t="shared" si="114"/>
        <v>3.7799999999999992E-7</v>
      </c>
      <c r="AH317" s="140">
        <f t="shared" si="115"/>
        <v>7.5599999999999994E-7</v>
      </c>
      <c r="AI317" s="140">
        <f t="shared" si="116"/>
        <v>1.1340000000000001E-6</v>
      </c>
      <c r="AJ317" s="140">
        <f t="shared" si="117"/>
        <v>1.5120000000000001E-6</v>
      </c>
      <c r="AK317" s="140">
        <f t="shared" si="118"/>
        <v>1.8900000000000003E-6</v>
      </c>
      <c r="AL317" s="157">
        <f>IF(AE317&lt;$B$57*DATA!$H$1037,DATA!$H$1037,IF(AE317&gt;DATA!$H$1036*$B$57,DATA!$H$1036,1))</f>
        <v>1.2</v>
      </c>
      <c r="AM317" s="156">
        <f t="shared" si="119"/>
        <v>9.9999999999999995E-8</v>
      </c>
      <c r="AO317" s="140">
        <f t="shared" si="120"/>
        <v>3.7800000000000004E-5</v>
      </c>
      <c r="AP317">
        <v>3.78</v>
      </c>
      <c r="AQ317" s="140">
        <f t="shared" si="121"/>
        <v>3.7799999999999992E-7</v>
      </c>
      <c r="AR317" s="140">
        <f t="shared" si="122"/>
        <v>7.5599999999999994E-7</v>
      </c>
      <c r="AS317" s="140">
        <f t="shared" si="123"/>
        <v>1.1340000000000001E-6</v>
      </c>
      <c r="AT317" s="140">
        <f t="shared" si="124"/>
        <v>1.5120000000000001E-6</v>
      </c>
      <c r="AU317" s="140">
        <f t="shared" si="125"/>
        <v>1.8900000000000003E-6</v>
      </c>
      <c r="AV317" s="157">
        <f>IF(AO317&lt;$B$73*DATA!$H$1037,DATA!$H$1037,IF(AO317&gt;DATA!$H$1036*$B$73,DATA!$H$1036,1))</f>
        <v>1.2</v>
      </c>
      <c r="AW317" s="156">
        <f t="shared" si="126"/>
        <v>9.9999999999999995E-8</v>
      </c>
      <c r="AY317" s="140">
        <f t="shared" si="127"/>
        <v>3.7800000000000004E-5</v>
      </c>
      <c r="AZ317">
        <v>3.78</v>
      </c>
      <c r="BA317" s="140">
        <f t="shared" si="128"/>
        <v>3.7799999999999992E-7</v>
      </c>
      <c r="BB317" s="140">
        <f t="shared" si="129"/>
        <v>7.5599999999999994E-7</v>
      </c>
      <c r="BC317" s="140">
        <f t="shared" si="130"/>
        <v>1.1340000000000001E-6</v>
      </c>
      <c r="BD317" s="140">
        <f t="shared" si="131"/>
        <v>1.5120000000000001E-6</v>
      </c>
      <c r="BE317" s="140">
        <f t="shared" si="132"/>
        <v>1.8900000000000003E-6</v>
      </c>
      <c r="BF317" s="157">
        <f>IF(AY317&lt;$B$89*DATA!$H$1037,DATA!$H$1037,IF(AY317&gt;DATA!$H$1036*$B$89,DATA!$H$1036,1))</f>
        <v>1.2</v>
      </c>
      <c r="BG317" s="156">
        <f t="shared" si="133"/>
        <v>9.9999999999999995E-8</v>
      </c>
      <c r="BI317" s="140">
        <f t="shared" si="134"/>
        <v>3.7800000000000004E-5</v>
      </c>
      <c r="BJ317">
        <v>3.78</v>
      </c>
      <c r="BK317" s="140">
        <f t="shared" si="135"/>
        <v>3.7799999999999992E-7</v>
      </c>
      <c r="BL317" s="140">
        <f t="shared" si="136"/>
        <v>7.5599999999999994E-7</v>
      </c>
      <c r="BM317" s="140">
        <f t="shared" si="137"/>
        <v>1.1340000000000001E-6</v>
      </c>
      <c r="BN317" s="140">
        <f t="shared" si="138"/>
        <v>1.5120000000000001E-6</v>
      </c>
      <c r="BO317" s="140">
        <f t="shared" si="139"/>
        <v>1.8900000000000003E-6</v>
      </c>
      <c r="BP317" s="157">
        <f>IF(BI317&lt;$B$105*DATA!$H$1037,DATA!$H$1037,IF(BI317&gt;DATA!$H$1036*$B$105,DATA!$H$1036,1))</f>
        <v>1.2</v>
      </c>
      <c r="BQ317" s="156">
        <f t="shared" si="140"/>
        <v>9.9999999999999995E-8</v>
      </c>
    </row>
    <row r="318" spans="1:69">
      <c r="A318" s="140">
        <f t="shared" si="96"/>
        <v>4.7800000000000003E-5</v>
      </c>
      <c r="B318">
        <v>4.78</v>
      </c>
      <c r="C318" s="140">
        <f t="shared" si="97"/>
        <v>4.7799999999999991E-7</v>
      </c>
      <c r="D318" s="140">
        <f t="shared" si="97"/>
        <v>9.5599999999999983E-7</v>
      </c>
      <c r="E318" s="140">
        <f t="shared" si="97"/>
        <v>1.4339999999999999E-6</v>
      </c>
      <c r="F318" s="140">
        <f t="shared" si="97"/>
        <v>1.9120000000000001E-6</v>
      </c>
      <c r="G318" s="140">
        <f t="shared" si="97"/>
        <v>2.3900000000000004E-6</v>
      </c>
      <c r="H318" s="157">
        <f>IF(A318&lt;$B$9*DATA!$H$1037,DATA!$H$1037,IF(A318&gt;DATA!$H$1036*$B$9,DATA!$H$1036,1))</f>
        <v>0.8</v>
      </c>
      <c r="I318" s="156">
        <f t="shared" si="98"/>
        <v>9.9999999999999995E-8</v>
      </c>
      <c r="K318" s="140">
        <f t="shared" si="99"/>
        <v>4.7800000000000003E-5</v>
      </c>
      <c r="L318">
        <v>4.78</v>
      </c>
      <c r="M318" s="140">
        <f t="shared" si="100"/>
        <v>4.7799999999999991E-7</v>
      </c>
      <c r="N318" s="140">
        <f t="shared" si="101"/>
        <v>9.5599999999999983E-7</v>
      </c>
      <c r="O318" s="140">
        <f t="shared" si="102"/>
        <v>1.4339999999999999E-6</v>
      </c>
      <c r="P318" s="140">
        <f t="shared" si="103"/>
        <v>1.9120000000000001E-6</v>
      </c>
      <c r="Q318" s="140">
        <f t="shared" si="104"/>
        <v>2.3900000000000004E-6</v>
      </c>
      <c r="R318" s="157">
        <f>IF(K318&lt;$B$25*DATA!$H$1037,DATA!$H$1037,IF(K318&gt;DATA!$H$1036*$B$25,DATA!$H$1036,1))</f>
        <v>0.8</v>
      </c>
      <c r="S318" s="156">
        <f t="shared" si="105"/>
        <v>9.9999999999999995E-8</v>
      </c>
      <c r="U318" s="140">
        <f t="shared" si="106"/>
        <v>4.7800000000000003E-5</v>
      </c>
      <c r="V318">
        <v>4.78</v>
      </c>
      <c r="W318" s="140">
        <f t="shared" si="107"/>
        <v>4.7799999999999991E-7</v>
      </c>
      <c r="X318" s="140">
        <f t="shared" si="108"/>
        <v>9.5599999999999983E-7</v>
      </c>
      <c r="Y318" s="140">
        <f t="shared" si="109"/>
        <v>1.4339999999999999E-6</v>
      </c>
      <c r="Z318" s="140">
        <f t="shared" si="110"/>
        <v>1.9120000000000001E-6</v>
      </c>
      <c r="AA318" s="140">
        <f t="shared" si="111"/>
        <v>2.3900000000000004E-6</v>
      </c>
      <c r="AB318" s="157">
        <f>IF(U318&lt;$B$41*DATA!$H$1037,DATA!$H$1037,IF(U318&gt;DATA!$H$1036*$B$41,DATA!$H$1036,1))</f>
        <v>0.8</v>
      </c>
      <c r="AC318" s="156">
        <f t="shared" si="112"/>
        <v>9.9999999999999995E-8</v>
      </c>
      <c r="AE318" s="140">
        <f t="shared" si="113"/>
        <v>4.7800000000000003E-5</v>
      </c>
      <c r="AF318">
        <v>4.78</v>
      </c>
      <c r="AG318" s="140">
        <f t="shared" si="114"/>
        <v>4.7799999999999991E-7</v>
      </c>
      <c r="AH318" s="140">
        <f t="shared" si="115"/>
        <v>9.5599999999999983E-7</v>
      </c>
      <c r="AI318" s="140">
        <f t="shared" si="116"/>
        <v>1.4339999999999999E-6</v>
      </c>
      <c r="AJ318" s="140">
        <f t="shared" si="117"/>
        <v>1.9120000000000001E-6</v>
      </c>
      <c r="AK318" s="140">
        <f t="shared" si="118"/>
        <v>2.3900000000000004E-6</v>
      </c>
      <c r="AL318" s="157">
        <f>IF(AE318&lt;$B$57*DATA!$H$1037,DATA!$H$1037,IF(AE318&gt;DATA!$H$1036*$B$57,DATA!$H$1036,1))</f>
        <v>1.2</v>
      </c>
      <c r="AM318" s="156">
        <f t="shared" si="119"/>
        <v>9.9999999999999995E-8</v>
      </c>
      <c r="AO318" s="140">
        <f t="shared" si="120"/>
        <v>4.7800000000000003E-5</v>
      </c>
      <c r="AP318">
        <v>4.78</v>
      </c>
      <c r="AQ318" s="140">
        <f t="shared" si="121"/>
        <v>4.7799999999999991E-7</v>
      </c>
      <c r="AR318" s="140">
        <f t="shared" si="122"/>
        <v>9.5599999999999983E-7</v>
      </c>
      <c r="AS318" s="140">
        <f t="shared" si="123"/>
        <v>1.4339999999999999E-6</v>
      </c>
      <c r="AT318" s="140">
        <f t="shared" si="124"/>
        <v>1.9120000000000001E-6</v>
      </c>
      <c r="AU318" s="140">
        <f t="shared" si="125"/>
        <v>2.3900000000000004E-6</v>
      </c>
      <c r="AV318" s="157">
        <f>IF(AO318&lt;$B$73*DATA!$H$1037,DATA!$H$1037,IF(AO318&gt;DATA!$H$1036*$B$73,DATA!$H$1036,1))</f>
        <v>1.2</v>
      </c>
      <c r="AW318" s="156">
        <f t="shared" si="126"/>
        <v>9.9999999999999995E-8</v>
      </c>
      <c r="AY318" s="140">
        <f t="shared" si="127"/>
        <v>4.7800000000000003E-5</v>
      </c>
      <c r="AZ318">
        <v>4.78</v>
      </c>
      <c r="BA318" s="140">
        <f t="shared" si="128"/>
        <v>4.7799999999999991E-7</v>
      </c>
      <c r="BB318" s="140">
        <f t="shared" si="129"/>
        <v>9.5599999999999983E-7</v>
      </c>
      <c r="BC318" s="140">
        <f t="shared" si="130"/>
        <v>1.4339999999999999E-6</v>
      </c>
      <c r="BD318" s="140">
        <f t="shared" si="131"/>
        <v>1.9120000000000001E-6</v>
      </c>
      <c r="BE318" s="140">
        <f t="shared" si="132"/>
        <v>2.3900000000000004E-6</v>
      </c>
      <c r="BF318" s="157">
        <f>IF(AY318&lt;$B$89*DATA!$H$1037,DATA!$H$1037,IF(AY318&gt;DATA!$H$1036*$B$89,DATA!$H$1036,1))</f>
        <v>1.2</v>
      </c>
      <c r="BG318" s="156">
        <f t="shared" si="133"/>
        <v>9.9999999999999995E-8</v>
      </c>
      <c r="BI318" s="140">
        <f t="shared" si="134"/>
        <v>4.7800000000000003E-5</v>
      </c>
      <c r="BJ318">
        <v>4.78</v>
      </c>
      <c r="BK318" s="140">
        <f t="shared" si="135"/>
        <v>4.7799999999999991E-7</v>
      </c>
      <c r="BL318" s="140">
        <f t="shared" si="136"/>
        <v>9.5599999999999983E-7</v>
      </c>
      <c r="BM318" s="140">
        <f t="shared" si="137"/>
        <v>1.4339999999999999E-6</v>
      </c>
      <c r="BN318" s="140">
        <f t="shared" si="138"/>
        <v>1.9120000000000001E-6</v>
      </c>
      <c r="BO318" s="140">
        <f t="shared" si="139"/>
        <v>2.3900000000000004E-6</v>
      </c>
      <c r="BP318" s="157">
        <f>IF(BI318&lt;$B$105*DATA!$H$1037,DATA!$H$1037,IF(BI318&gt;DATA!$H$1036*$B$105,DATA!$H$1036,1))</f>
        <v>1.2</v>
      </c>
      <c r="BQ318" s="156">
        <f t="shared" si="140"/>
        <v>9.9999999999999995E-8</v>
      </c>
    </row>
  </sheetData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Day" error="Must be a number between 1 and 31 " sqref="D7" xr:uid="{00000000-0002-0000-2800-000000000000}">
      <formula1>0</formula1>
      <formula2>31</formula2>
    </dataValidation>
    <dataValidation type="whole" allowBlank="1" showInputMessage="1" showErrorMessage="1" errorTitle="Month" error="Must be a number between 1 and 12" sqref="E7" xr:uid="{00000000-0002-0000-2800-000001000000}">
      <formula1>0</formula1>
      <formula2>12</formula2>
    </dataValidation>
    <dataValidation type="whole" allowBlank="1" showInputMessage="1" showErrorMessage="1" errorTitle="Year " error="Year must contain both century and decade (eg. 2010)" sqref="F7" xr:uid="{00000000-0002-0000-2800-000002000000}">
      <formula1>0</formula1>
      <formula2>9999</formula2>
    </dataValidation>
  </dataValidations>
  <pageMargins left="0.31496062992125984" right="0.31496062992125984" top="0.35433070866141736" bottom="0.35433070866141736" header="0.19685039370078741" footer="0.15748031496062992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11">
    <tabColor rgb="FF7030A0"/>
  </sheetPr>
  <dimension ref="A1:BQ318"/>
  <sheetViews>
    <sheetView workbookViewId="0">
      <selection activeCell="B15" sqref="B15"/>
    </sheetView>
  </sheetViews>
  <sheetFormatPr defaultRowHeight="15"/>
  <cols>
    <col min="1" max="1" width="24" bestFit="1" customWidth="1"/>
    <col min="2" max="2" width="16.5703125" bestFit="1" customWidth="1"/>
    <col min="3" max="6" width="6.7109375" customWidth="1"/>
    <col min="7" max="7" width="16" customWidth="1"/>
    <col min="9" max="9" width="15.5703125" bestFit="1" customWidth="1"/>
    <col min="10" max="10" width="14" bestFit="1" customWidth="1"/>
    <col min="11" max="12" width="16" bestFit="1" customWidth="1"/>
    <col min="13" max="16" width="15" bestFit="1" customWidth="1"/>
    <col min="17" max="17" width="18.140625" bestFit="1" customWidth="1"/>
    <col min="18" max="18" width="7.85546875" bestFit="1" customWidth="1"/>
    <col min="19" max="19" width="15" bestFit="1" customWidth="1"/>
    <col min="21" max="21" width="17.42578125" bestFit="1" customWidth="1"/>
    <col min="22" max="22" width="16" bestFit="1" customWidth="1"/>
    <col min="23" max="24" width="15" bestFit="1" customWidth="1"/>
    <col min="25" max="25" width="17.42578125" bestFit="1" customWidth="1"/>
    <col min="26" max="26" width="16" bestFit="1" customWidth="1"/>
    <col min="27" max="27" width="18.14062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4062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40625" bestFit="1" customWidth="1"/>
    <col min="48" max="48" width="7.85546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4062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40625" bestFit="1" customWidth="1"/>
    <col min="69" max="69" width="15" bestFit="1" customWidth="1"/>
  </cols>
  <sheetData>
    <row r="1" spans="1:10" ht="15" customHeight="1">
      <c r="A1" s="263" t="str">
        <f>DATA!$C$1004</f>
        <v>NRA.N.011-050-2012/1F</v>
      </c>
      <c r="C1" s="1612" t="str">
        <f>DATA!$C$1005</f>
        <v>CONSULTING ENGINEERING SERVICES FOR THE PRELIMINARY DESIGN REVIEW,DETAIL DESIGN, CONTRACT DOCUMENTATION AND CONSTRUCTION MONITORING OF THE ERMELO RING ROAD</v>
      </c>
      <c r="D1" s="1612"/>
      <c r="E1" s="1612"/>
      <c r="F1" s="1612"/>
      <c r="G1" s="1612"/>
      <c r="H1" s="1612"/>
      <c r="I1" s="1612"/>
      <c r="J1" s="1612"/>
    </row>
    <row r="2" spans="1:10">
      <c r="C2" s="1612"/>
      <c r="D2" s="1612"/>
      <c r="E2" s="1612"/>
      <c r="F2" s="1612"/>
      <c r="G2" s="1612"/>
      <c r="H2" s="1612"/>
      <c r="I2" s="1612"/>
      <c r="J2" s="1612"/>
    </row>
    <row r="3" spans="1:10">
      <c r="A3" s="232" t="str">
        <f>'All Hours'!$D$1</f>
        <v>PLEASE INSERT TENDERER NAME ON INPUT DATA SHEET</v>
      </c>
    </row>
    <row r="4" spans="1:10">
      <c r="A4" s="1" t="s">
        <v>193</v>
      </c>
      <c r="B4" t="s">
        <v>194</v>
      </c>
    </row>
    <row r="6" spans="1:10">
      <c r="D6" s="124" t="s">
        <v>171</v>
      </c>
      <c r="E6" s="124" t="s">
        <v>172</v>
      </c>
      <c r="F6" s="124" t="s">
        <v>173</v>
      </c>
      <c r="G6" s="162"/>
      <c r="I6" s="133" t="s">
        <v>174</v>
      </c>
    </row>
    <row r="7" spans="1:10">
      <c r="C7" s="124" t="s">
        <v>175</v>
      </c>
      <c r="D7" s="909"/>
      <c r="E7" s="909"/>
      <c r="F7" s="909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177</v>
      </c>
      <c r="B9" s="152">
        <f>DATA!$J$1010</f>
        <v>4500000000</v>
      </c>
      <c r="C9" s="140"/>
      <c r="D9" s="140"/>
      <c r="E9" s="140"/>
      <c r="F9" s="140"/>
      <c r="G9" s="140"/>
    </row>
    <row r="10" spans="1:10">
      <c r="A10" s="124" t="s">
        <v>178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0">
      <c r="A11" s="124" t="s">
        <v>807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180</v>
      </c>
      <c r="B12" s="910"/>
    </row>
    <row r="13" spans="1:10">
      <c r="A13" s="124" t="s">
        <v>181</v>
      </c>
      <c r="B13" s="124">
        <f>IF(B12&lt;B9*0.8,0.8,IF(B12&gt;1.2*B9,1.2,1))</f>
        <v>0.8</v>
      </c>
      <c r="C13" s="134"/>
      <c r="D13" s="134"/>
      <c r="E13" s="134"/>
      <c r="F13" s="134"/>
      <c r="G13" s="134"/>
    </row>
    <row r="14" spans="1:10">
      <c r="A14" s="124" t="s">
        <v>804</v>
      </c>
      <c r="B14" s="881">
        <f>IF(OR(B10=0,B9=0),0,B9*(0.261-0.023*LOG10(B9))/B10)</f>
        <v>0</v>
      </c>
    </row>
    <row r="15" spans="1:10">
      <c r="A15" s="124" t="s">
        <v>182</v>
      </c>
      <c r="B15" s="158">
        <f>IF(B12="",0,IF(B13=1,B10,B12*((B10*B14/(B13*B9)+0.023*LOG10(B13*B9/B12)))/B14))</f>
        <v>0</v>
      </c>
    </row>
    <row r="16" spans="1:10">
      <c r="A16" s="124" t="s">
        <v>808</v>
      </c>
      <c r="B16" s="153">
        <f>IF(B12="",0,B15/B12)</f>
        <v>0</v>
      </c>
      <c r="D16" s="159"/>
      <c r="E16" s="159"/>
      <c r="F16" s="159"/>
      <c r="G16" s="159"/>
      <c r="H16" s="140"/>
      <c r="J16" s="122"/>
    </row>
    <row r="17" spans="1:10">
      <c r="B17" s="140"/>
    </row>
    <row r="18" spans="1:10">
      <c r="B18" s="140"/>
    </row>
    <row r="19" spans="1:10">
      <c r="A19" s="129" t="s">
        <v>183</v>
      </c>
      <c r="B19" s="126"/>
      <c r="C19" s="140"/>
      <c r="F19" s="140"/>
      <c r="G19" s="140"/>
    </row>
    <row r="20" spans="1:10">
      <c r="A20" s="1613"/>
      <c r="B20" s="1614"/>
    </row>
    <row r="21" spans="1:10">
      <c r="A21" s="1615"/>
      <c r="B21" s="1616"/>
    </row>
    <row r="22" spans="1:10">
      <c r="A22" s="1617"/>
      <c r="B22" s="1618"/>
    </row>
    <row r="24" spans="1:10">
      <c r="A24" s="1" t="str">
        <f>'ADJ-1'!A24</f>
        <v>Structures</v>
      </c>
    </row>
    <row r="25" spans="1:10">
      <c r="A25" s="124" t="s">
        <v>177</v>
      </c>
      <c r="B25" s="152">
        <f>DATA!$J$1011</f>
        <v>300000000</v>
      </c>
    </row>
    <row r="26" spans="1:10">
      <c r="A26" s="124" t="s">
        <v>178</v>
      </c>
      <c r="B26" s="152">
        <f>'SUMMARY TENDERED FEE'!$C$18</f>
        <v>0</v>
      </c>
    </row>
    <row r="27" spans="1:10">
      <c r="A27" s="124" t="s">
        <v>807</v>
      </c>
      <c r="B27" s="166">
        <f>'SUMMARY TENDERED FEE'!$D$18</f>
        <v>0</v>
      </c>
    </row>
    <row r="28" spans="1:10">
      <c r="A28" s="124" t="s">
        <v>180</v>
      </c>
      <c r="B28" s="908"/>
    </row>
    <row r="29" spans="1:10">
      <c r="A29" s="124" t="s">
        <v>181</v>
      </c>
      <c r="B29" s="124">
        <f>IF(B28&lt;B25*0.8,0.8,IF(B28&gt;1.2*B25,1.2,1))</f>
        <v>0.8</v>
      </c>
    </row>
    <row r="30" spans="1:10">
      <c r="A30" s="124" t="s">
        <v>804</v>
      </c>
      <c r="B30" s="881">
        <f>IF(OR(B26=0,B25=0),0,B25*(0.261-0.023*LOG10(B25))/B26)</f>
        <v>0</v>
      </c>
      <c r="J30" s="156"/>
    </row>
    <row r="31" spans="1:10">
      <c r="A31" s="124" t="s">
        <v>182</v>
      </c>
      <c r="B31" s="158">
        <f>IF(B28="",0,IF(B29=1,B26,B28*((B26*B30/(B29*B25)+0.023*LOG10(B29*B25/B28)))/B30))</f>
        <v>0</v>
      </c>
    </row>
    <row r="32" spans="1:10">
      <c r="A32" s="124" t="s">
        <v>808</v>
      </c>
      <c r="B32" s="153">
        <f>IF(B28="",0,B31/B28)</f>
        <v>0</v>
      </c>
    </row>
    <row r="33" spans="1:2">
      <c r="B33" s="140"/>
    </row>
    <row r="34" spans="1:2">
      <c r="B34" s="140"/>
    </row>
    <row r="35" spans="1:2">
      <c r="A35" s="129" t="s">
        <v>183</v>
      </c>
      <c r="B35" s="126"/>
    </row>
    <row r="36" spans="1:2">
      <c r="A36" s="1613"/>
      <c r="B36" s="1614"/>
    </row>
    <row r="37" spans="1:2">
      <c r="A37" s="1615"/>
      <c r="B37" s="1616"/>
    </row>
    <row r="38" spans="1:2">
      <c r="A38" s="1617"/>
      <c r="B38" s="1618"/>
    </row>
    <row r="40" spans="1:2">
      <c r="A40" s="1" t="str">
        <f>'ADJ-1'!A40</f>
        <v>Electrical</v>
      </c>
    </row>
    <row r="41" spans="1:2">
      <c r="A41" s="124" t="s">
        <v>177</v>
      </c>
      <c r="B41" s="152">
        <f>DATA!$J$1012</f>
        <v>100000000</v>
      </c>
    </row>
    <row r="42" spans="1:2">
      <c r="A42" s="124" t="s">
        <v>178</v>
      </c>
      <c r="B42" s="152">
        <f>'SUMMARY TENDERED FEE'!$C$19</f>
        <v>0</v>
      </c>
    </row>
    <row r="43" spans="1:2">
      <c r="A43" s="124" t="s">
        <v>807</v>
      </c>
      <c r="B43" s="166">
        <f>'SUMMARY TENDERED FEE'!$D$19</f>
        <v>0</v>
      </c>
    </row>
    <row r="44" spans="1:2">
      <c r="A44" s="124" t="s">
        <v>180</v>
      </c>
      <c r="B44" s="908"/>
    </row>
    <row r="45" spans="1:2">
      <c r="A45" s="124" t="s">
        <v>181</v>
      </c>
      <c r="B45" s="124">
        <f>IF(B44&lt;B41*0.8,0.8,IF(B44&gt;1.2*B41,1.2,1))</f>
        <v>0.8</v>
      </c>
    </row>
    <row r="46" spans="1:2">
      <c r="A46" s="124" t="s">
        <v>804</v>
      </c>
      <c r="B46" s="881">
        <f>IF(OR(B42=0,B41=0),0,B41*(0.261-0.023*LOG10(B41))/B42)</f>
        <v>0</v>
      </c>
    </row>
    <row r="47" spans="1:2">
      <c r="A47" s="124" t="s">
        <v>182</v>
      </c>
      <c r="B47" s="158">
        <f>IF(B44="",0,IF(B45=1,B42,B44*((B42*B46/(B45*B41)+0.023*LOG10(B45*B41/B44)))/B46))</f>
        <v>0</v>
      </c>
    </row>
    <row r="48" spans="1:2">
      <c r="A48" s="124" t="s">
        <v>808</v>
      </c>
      <c r="B48" s="153">
        <f>IF(B44="",0,B47/B44)</f>
        <v>0</v>
      </c>
    </row>
    <row r="49" spans="1:2">
      <c r="B49" s="140"/>
    </row>
    <row r="50" spans="1:2">
      <c r="B50" s="140"/>
    </row>
    <row r="51" spans="1:2">
      <c r="A51" s="129" t="s">
        <v>183</v>
      </c>
      <c r="B51" s="126"/>
    </row>
    <row r="52" spans="1:2">
      <c r="A52" s="1613"/>
      <c r="B52" s="1614"/>
    </row>
    <row r="53" spans="1:2">
      <c r="A53" s="1615"/>
      <c r="B53" s="1616"/>
    </row>
    <row r="54" spans="1:2">
      <c r="A54" s="1617"/>
      <c r="B54" s="1618"/>
    </row>
    <row r="56" spans="1:2">
      <c r="A56" s="1" t="str">
        <f>'ADJ-1'!A56</f>
        <v xml:space="preserve">Building </v>
      </c>
    </row>
    <row r="57" spans="1:2">
      <c r="A57" s="124" t="s">
        <v>177</v>
      </c>
      <c r="B57" s="152">
        <f>DATA!$J$1013</f>
        <v>0</v>
      </c>
    </row>
    <row r="58" spans="1:2">
      <c r="A58" s="124" t="s">
        <v>178</v>
      </c>
      <c r="B58" s="152">
        <f>'SUMMARY TENDERED FEE'!$C$20</f>
        <v>0</v>
      </c>
    </row>
    <row r="59" spans="1:2">
      <c r="A59" s="124" t="s">
        <v>807</v>
      </c>
      <c r="B59" s="166">
        <f>'SUMMARY TENDERED FEE'!$D$20</f>
        <v>0</v>
      </c>
    </row>
    <row r="60" spans="1:2">
      <c r="A60" s="124" t="s">
        <v>180</v>
      </c>
      <c r="B60" s="908"/>
    </row>
    <row r="61" spans="1:2">
      <c r="A61" s="124" t="s">
        <v>181</v>
      </c>
      <c r="B61" s="124">
        <f>IF(B60&lt;B57*0.8,0.8,IF(B60&gt;1.2*B57,1.2,1))</f>
        <v>1</v>
      </c>
    </row>
    <row r="62" spans="1:2">
      <c r="A62" s="124" t="s">
        <v>804</v>
      </c>
      <c r="B62" s="881">
        <f>IF(OR(B58=0,B57=0),0,B57*(0.261-0.023*LOG10(B57))/B58)</f>
        <v>0</v>
      </c>
    </row>
    <row r="63" spans="1:2">
      <c r="A63" s="124" t="s">
        <v>182</v>
      </c>
      <c r="B63" s="158">
        <f>IF(B60="",0,IF(B61=1,B58,B60*((B58*B62/(B61*B57)+0.023*LOG10(B61*B57/B60)))/B62))</f>
        <v>0</v>
      </c>
    </row>
    <row r="64" spans="1:2">
      <c r="A64" s="124" t="s">
        <v>808</v>
      </c>
      <c r="B64" s="153">
        <f>IF(B60="",0,B63/B60)</f>
        <v>0</v>
      </c>
    </row>
    <row r="65" spans="1:2">
      <c r="B65" s="140"/>
    </row>
    <row r="66" spans="1:2">
      <c r="B66" s="140"/>
    </row>
    <row r="67" spans="1:2">
      <c r="A67" s="129" t="s">
        <v>183</v>
      </c>
      <c r="B67" s="126"/>
    </row>
    <row r="68" spans="1:2">
      <c r="A68" s="1613"/>
      <c r="B68" s="1614"/>
    </row>
    <row r="69" spans="1:2">
      <c r="A69" s="1615"/>
      <c r="B69" s="1616"/>
    </row>
    <row r="70" spans="1:2">
      <c r="A70" s="1617"/>
      <c r="B70" s="1618"/>
    </row>
    <row r="71" spans="1:2">
      <c r="A71" s="160"/>
      <c r="B71" s="160"/>
    </row>
    <row r="72" spans="1:2">
      <c r="A72" s="1" t="str">
        <f>'ADJ-1'!A72</f>
        <v>Mechanical</v>
      </c>
    </row>
    <row r="73" spans="1:2">
      <c r="A73" s="124" t="s">
        <v>177</v>
      </c>
      <c r="B73" s="152">
        <f>DATA!$J$1014</f>
        <v>0</v>
      </c>
    </row>
    <row r="74" spans="1:2">
      <c r="A74" s="124" t="s">
        <v>178</v>
      </c>
      <c r="B74" s="152">
        <f>'SUMMARY TENDERED FEE'!$C$21</f>
        <v>0</v>
      </c>
    </row>
    <row r="75" spans="1:2">
      <c r="A75" s="124" t="s">
        <v>807</v>
      </c>
      <c r="B75" s="166">
        <f>'SUMMARY TENDERED FEE'!$D$21</f>
        <v>0</v>
      </c>
    </row>
    <row r="76" spans="1:2">
      <c r="A76" s="124" t="s">
        <v>180</v>
      </c>
      <c r="B76" s="908"/>
    </row>
    <row r="77" spans="1:2">
      <c r="A77" s="124" t="s">
        <v>181</v>
      </c>
      <c r="B77" s="124">
        <f>IF(B76&lt;B73*0.8,0.8,IF(B76&gt;1.2*B73,1.2,1))</f>
        <v>1</v>
      </c>
    </row>
    <row r="78" spans="1:2">
      <c r="A78" s="124" t="s">
        <v>804</v>
      </c>
      <c r="B78" s="881">
        <f>IF(OR(B74=0,B73=0),0,B73*(0.261-0.023*LOG10(B73))/B74)</f>
        <v>0</v>
      </c>
    </row>
    <row r="79" spans="1:2">
      <c r="A79" s="124" t="s">
        <v>182</v>
      </c>
      <c r="B79" s="158">
        <f>IF(B76="",0,IF(B77=1,B74,B76*((B74*B78/(B77*B73)+0.023*LOG10(B77*B73/B76)))/B78))</f>
        <v>0</v>
      </c>
    </row>
    <row r="80" spans="1:2">
      <c r="A80" s="124" t="s">
        <v>808</v>
      </c>
      <c r="B80" s="153">
        <f>IF(B76="",0,B79/B76)</f>
        <v>0</v>
      </c>
    </row>
    <row r="81" spans="1:2">
      <c r="B81" s="140"/>
    </row>
    <row r="82" spans="1:2">
      <c r="B82" s="140"/>
    </row>
    <row r="83" spans="1:2">
      <c r="A83" s="129" t="s">
        <v>183</v>
      </c>
      <c r="B83" s="126"/>
    </row>
    <row r="84" spans="1:2">
      <c r="A84" s="1613"/>
      <c r="B84" s="1614"/>
    </row>
    <row r="85" spans="1:2">
      <c r="A85" s="1615"/>
      <c r="B85" s="1616"/>
    </row>
    <row r="86" spans="1:2">
      <c r="A86" s="1617"/>
      <c r="B86" s="1618"/>
    </row>
    <row r="88" spans="1:2">
      <c r="A88" s="1" t="str">
        <f>'ADJ-1'!A88</f>
        <v>Electronic</v>
      </c>
    </row>
    <row r="89" spans="1:2">
      <c r="A89" s="124" t="s">
        <v>177</v>
      </c>
      <c r="B89" s="152">
        <f>DATA!$J$1015</f>
        <v>0</v>
      </c>
    </row>
    <row r="90" spans="1:2">
      <c r="A90" s="124" t="s">
        <v>178</v>
      </c>
      <c r="B90" s="152">
        <f>'SUMMARY TENDERED FEE'!$C$22</f>
        <v>0</v>
      </c>
    </row>
    <row r="91" spans="1:2">
      <c r="A91" s="124" t="s">
        <v>807</v>
      </c>
      <c r="B91" s="166">
        <f>'SUMMARY TENDERED FEE'!$D$22</f>
        <v>0</v>
      </c>
    </row>
    <row r="92" spans="1:2">
      <c r="A92" s="124" t="s">
        <v>180</v>
      </c>
      <c r="B92" s="908"/>
    </row>
    <row r="93" spans="1:2">
      <c r="A93" s="124" t="s">
        <v>181</v>
      </c>
      <c r="B93" s="124">
        <f>IF(B92&lt;B89*0.8,0.8,IF(B92&gt;1.2*B89,1.2,1))</f>
        <v>1</v>
      </c>
    </row>
    <row r="94" spans="1:2">
      <c r="A94" s="124" t="s">
        <v>804</v>
      </c>
      <c r="B94" s="881">
        <f>IF(OR(B90=0,B89=0),0,B89*(0.261-0.023*LOG10(B89))/B90)</f>
        <v>0</v>
      </c>
    </row>
    <row r="95" spans="1:2">
      <c r="A95" s="124" t="s">
        <v>182</v>
      </c>
      <c r="B95" s="158">
        <f>IF(B92="",0,IF(B93=1,B90,B92*((B90*B94/(B93*B89)+0.023*LOG10(B93*B89/B92)))/B94))</f>
        <v>0</v>
      </c>
    </row>
    <row r="96" spans="1:2">
      <c r="A96" s="124" t="s">
        <v>808</v>
      </c>
      <c r="B96" s="153">
        <f>IF(B92="",0,B95/B92)</f>
        <v>0</v>
      </c>
    </row>
    <row r="97" spans="1:2">
      <c r="B97" s="140"/>
    </row>
    <row r="98" spans="1:2">
      <c r="B98" s="140"/>
    </row>
    <row r="99" spans="1:2">
      <c r="A99" s="129" t="s">
        <v>183</v>
      </c>
      <c r="B99" s="126"/>
    </row>
    <row r="100" spans="1:2">
      <c r="A100" s="1613"/>
      <c r="B100" s="1614"/>
    </row>
    <row r="101" spans="1:2">
      <c r="A101" s="1615"/>
      <c r="B101" s="1616"/>
    </row>
    <row r="102" spans="1:2">
      <c r="A102" s="1617"/>
      <c r="B102" s="1618"/>
    </row>
    <row r="104" spans="1:2">
      <c r="A104" s="1" t="str">
        <f>'ADJ-1'!A104</f>
        <v>Other:</v>
      </c>
    </row>
    <row r="105" spans="1:2">
      <c r="A105" s="124" t="s">
        <v>177</v>
      </c>
      <c r="B105" s="152">
        <f>DATA!$J$1016</f>
        <v>0</v>
      </c>
    </row>
    <row r="106" spans="1:2">
      <c r="A106" s="124" t="s">
        <v>178</v>
      </c>
      <c r="B106" s="152">
        <f>'SUMMARY TENDERED FEE'!$C$23</f>
        <v>0</v>
      </c>
    </row>
    <row r="107" spans="1:2">
      <c r="A107" s="124" t="s">
        <v>807</v>
      </c>
      <c r="B107" s="166">
        <f>'SUMMARY TENDERED FEE'!$D$23</f>
        <v>0</v>
      </c>
    </row>
    <row r="108" spans="1:2">
      <c r="A108" s="124" t="s">
        <v>180</v>
      </c>
      <c r="B108" s="908"/>
    </row>
    <row r="109" spans="1:2">
      <c r="A109" s="124" t="s">
        <v>181</v>
      </c>
      <c r="B109" s="124">
        <f>IF(B108&lt;B105*0.8,0.8,IF(B108&gt;1.2*B105,1.2,1))</f>
        <v>1</v>
      </c>
    </row>
    <row r="110" spans="1:2">
      <c r="A110" s="124" t="s">
        <v>804</v>
      </c>
      <c r="B110" s="881">
        <f>IF(OR(B106=0,B105=0),0,B105*(0.261-0.023*LOG10(B105))/B106)</f>
        <v>0</v>
      </c>
    </row>
    <row r="111" spans="1:2">
      <c r="A111" s="124" t="s">
        <v>182</v>
      </c>
      <c r="B111" s="158">
        <f>IF(B108="",0,IF(B109=1,B106,B108*((B106*B110/(B109*B105)+0.023*LOG10(B109*B105/B108)))/B110))</f>
        <v>0</v>
      </c>
    </row>
    <row r="112" spans="1:2">
      <c r="A112" s="124" t="s">
        <v>808</v>
      </c>
      <c r="B112" s="153">
        <f>IF(B108="",0,B111/B108)</f>
        <v>0</v>
      </c>
    </row>
    <row r="113" spans="1:68">
      <c r="B113" s="140"/>
    </row>
    <row r="114" spans="1:68">
      <c r="B114" s="140"/>
    </row>
    <row r="115" spans="1:68">
      <c r="A115" s="129" t="s">
        <v>183</v>
      </c>
      <c r="B115" s="126"/>
    </row>
    <row r="116" spans="1:68">
      <c r="A116" s="1613"/>
      <c r="B116" s="1614"/>
    </row>
    <row r="117" spans="1:68">
      <c r="A117" s="1615"/>
      <c r="B117" s="1616"/>
    </row>
    <row r="118" spans="1:68">
      <c r="A118" s="1617"/>
      <c r="B118" s="1618"/>
    </row>
    <row r="125" spans="1:68">
      <c r="BF125" s="140"/>
      <c r="BP125" s="140"/>
    </row>
    <row r="126" spans="1:68">
      <c r="H126" s="140"/>
      <c r="R126" s="140"/>
      <c r="AB126" s="140"/>
      <c r="AL126" s="140"/>
      <c r="AV126" s="140"/>
      <c r="BF126" s="140"/>
      <c r="BP126" s="140"/>
    </row>
    <row r="127" spans="1:68">
      <c r="H127" s="140"/>
      <c r="R127" s="140"/>
      <c r="AB127" s="140"/>
      <c r="AL127" s="140"/>
      <c r="AV127" s="140"/>
    </row>
    <row r="128" spans="1:68">
      <c r="BE128" s="122"/>
      <c r="BF128" s="131"/>
      <c r="BO128" s="122"/>
      <c r="BP128" s="131"/>
    </row>
    <row r="129" spans="1:69">
      <c r="G129" s="122"/>
      <c r="H129" s="131"/>
      <c r="Q129" s="122"/>
      <c r="R129" s="131"/>
      <c r="AA129" s="122"/>
      <c r="AB129" s="131"/>
      <c r="AK129" s="122"/>
      <c r="AL129" s="131"/>
      <c r="AU129" s="122"/>
      <c r="AV129" s="131"/>
      <c r="BF129" s="131"/>
      <c r="BP129" s="131"/>
    </row>
    <row r="130" spans="1:69">
      <c r="H130" s="131"/>
      <c r="R130" s="131"/>
      <c r="AB130" s="131"/>
      <c r="AL130" s="131"/>
      <c r="AV130" s="131"/>
    </row>
    <row r="133" spans="1:69">
      <c r="A133" t="s">
        <v>177</v>
      </c>
      <c r="B133" s="140">
        <f>B9</f>
        <v>4500000000</v>
      </c>
      <c r="K133" t="s">
        <v>177</v>
      </c>
      <c r="L133" s="140">
        <f>B25</f>
        <v>300000000</v>
      </c>
      <c r="U133" t="s">
        <v>177</v>
      </c>
      <c r="V133" s="140">
        <f>B41</f>
        <v>100000000</v>
      </c>
      <c r="AE133" t="s">
        <v>177</v>
      </c>
      <c r="AF133" s="140">
        <f>B57</f>
        <v>0</v>
      </c>
      <c r="AO133" t="s">
        <v>177</v>
      </c>
      <c r="AP133" s="140">
        <f>B73</f>
        <v>0</v>
      </c>
      <c r="AY133" t="s">
        <v>177</v>
      </c>
      <c r="AZ133" s="140">
        <f>B89</f>
        <v>0</v>
      </c>
      <c r="BI133" t="s">
        <v>177</v>
      </c>
      <c r="BJ133" s="140">
        <f>B105</f>
        <v>0</v>
      </c>
    </row>
    <row r="134" spans="1:69">
      <c r="A134" t="s">
        <v>805</v>
      </c>
      <c r="B134" s="140">
        <f>B10</f>
        <v>0</v>
      </c>
      <c r="K134" t="s">
        <v>805</v>
      </c>
      <c r="L134" s="140">
        <f>B26</f>
        <v>0</v>
      </c>
      <c r="U134" t="s">
        <v>805</v>
      </c>
      <c r="V134" s="140">
        <f>B42</f>
        <v>0</v>
      </c>
      <c r="AA134" s="140"/>
      <c r="AE134" t="s">
        <v>805</v>
      </c>
      <c r="AF134" s="140">
        <f>B58</f>
        <v>0</v>
      </c>
      <c r="AL134" s="140"/>
      <c r="AO134" t="s">
        <v>805</v>
      </c>
      <c r="AP134" s="140">
        <f t="shared" ref="AP134:AP138" si="0">B74</f>
        <v>0</v>
      </c>
      <c r="AV134" s="140"/>
      <c r="AY134" t="s">
        <v>805</v>
      </c>
      <c r="AZ134" s="140">
        <f t="shared" ref="AZ134:AZ138" si="1">B90</f>
        <v>0</v>
      </c>
      <c r="BF134" s="140"/>
      <c r="BI134" t="s">
        <v>805</v>
      </c>
      <c r="BJ134" s="140">
        <f t="shared" ref="BJ134:BJ138" si="2">B106</f>
        <v>0</v>
      </c>
    </row>
    <row r="135" spans="1:69">
      <c r="A135" t="s">
        <v>806</v>
      </c>
      <c r="B135" s="154">
        <f>B11</f>
        <v>0</v>
      </c>
      <c r="K135" t="s">
        <v>806</v>
      </c>
      <c r="L135" s="140">
        <f>B27</f>
        <v>0</v>
      </c>
      <c r="Q135" s="140"/>
      <c r="U135" t="s">
        <v>806</v>
      </c>
      <c r="V135" s="140">
        <f>B43</f>
        <v>0</v>
      </c>
      <c r="AA135" s="140"/>
      <c r="AE135" t="s">
        <v>806</v>
      </c>
      <c r="AF135" s="140">
        <f>B59</f>
        <v>0</v>
      </c>
      <c r="AL135" s="140"/>
      <c r="AO135" t="s">
        <v>806</v>
      </c>
      <c r="AP135" s="140">
        <f t="shared" si="0"/>
        <v>0</v>
      </c>
      <c r="AV135" s="140"/>
      <c r="AY135" t="s">
        <v>806</v>
      </c>
      <c r="AZ135" s="140">
        <f t="shared" si="1"/>
        <v>0</v>
      </c>
      <c r="BF135" s="140"/>
      <c r="BI135" t="s">
        <v>806</v>
      </c>
      <c r="BJ135" s="140">
        <f t="shared" si="2"/>
        <v>0</v>
      </c>
      <c r="BP135" s="140"/>
    </row>
    <row r="136" spans="1:69">
      <c r="A136" t="s">
        <v>185</v>
      </c>
      <c r="B136" s="140">
        <f>IF(B12=0,0.00001,B12)</f>
        <v>1.0000000000000001E-5</v>
      </c>
      <c r="K136" t="s">
        <v>185</v>
      </c>
      <c r="L136" s="140">
        <f>IF(B28=0,0.00001,B28)</f>
        <v>1.0000000000000001E-5</v>
      </c>
      <c r="Q136" s="140"/>
      <c r="U136" t="s">
        <v>185</v>
      </c>
      <c r="V136" s="140">
        <f>IF(B44=0,0.00001,B44)</f>
        <v>1.0000000000000001E-5</v>
      </c>
      <c r="AA136" s="140"/>
      <c r="AE136" t="s">
        <v>185</v>
      </c>
      <c r="AF136" s="140">
        <f>IF(B60=0,0.00001,B60)</f>
        <v>1.0000000000000001E-5</v>
      </c>
      <c r="AL136" s="140"/>
      <c r="AO136" t="s">
        <v>185</v>
      </c>
      <c r="AP136" s="140">
        <f>IF(B76=0,0.00001,B76)</f>
        <v>1.0000000000000001E-5</v>
      </c>
      <c r="AV136" s="140"/>
      <c r="AY136" t="s">
        <v>185</v>
      </c>
      <c r="AZ136" s="140">
        <f>IF(B92=0,0.00001,B92)</f>
        <v>1.0000000000000001E-5</v>
      </c>
      <c r="BF136" s="140"/>
      <c r="BI136" t="s">
        <v>185</v>
      </c>
      <c r="BJ136" s="140">
        <f>IF(B108=0,0.00001,B108)</f>
        <v>1.0000000000000001E-5</v>
      </c>
      <c r="BP136" s="140"/>
    </row>
    <row r="137" spans="1:69">
      <c r="A137" t="s">
        <v>181</v>
      </c>
      <c r="B137">
        <f>B13</f>
        <v>0.8</v>
      </c>
      <c r="K137" t="s">
        <v>181</v>
      </c>
      <c r="L137" s="140">
        <f>B29</f>
        <v>0.8</v>
      </c>
      <c r="Q137" s="140"/>
      <c r="U137" t="s">
        <v>181</v>
      </c>
      <c r="V137" s="140">
        <f>B45</f>
        <v>0.8</v>
      </c>
      <c r="AE137" t="s">
        <v>181</v>
      </c>
      <c r="AF137" s="140">
        <f>B61</f>
        <v>1</v>
      </c>
      <c r="AO137" t="s">
        <v>181</v>
      </c>
      <c r="AP137" s="140">
        <f t="shared" si="0"/>
        <v>1</v>
      </c>
      <c r="AY137" t="s">
        <v>181</v>
      </c>
      <c r="AZ137" s="140">
        <f t="shared" si="1"/>
        <v>1</v>
      </c>
      <c r="BI137" t="s">
        <v>181</v>
      </c>
      <c r="BJ137" s="140">
        <f t="shared" si="2"/>
        <v>1</v>
      </c>
      <c r="BP137" s="140"/>
    </row>
    <row r="138" spans="1:69">
      <c r="A138" t="s">
        <v>804</v>
      </c>
      <c r="B138" s="745">
        <f>B14</f>
        <v>0</v>
      </c>
      <c r="K138" t="s">
        <v>804</v>
      </c>
      <c r="L138" s="140">
        <f>B30</f>
        <v>0</v>
      </c>
      <c r="U138" t="s">
        <v>804</v>
      </c>
      <c r="V138" s="140">
        <f>B46</f>
        <v>0</v>
      </c>
      <c r="AE138" t="s">
        <v>804</v>
      </c>
      <c r="AF138" s="140">
        <f>B62</f>
        <v>0</v>
      </c>
      <c r="AO138" t="s">
        <v>804</v>
      </c>
      <c r="AP138" s="140">
        <f t="shared" si="0"/>
        <v>0</v>
      </c>
      <c r="AY138" t="s">
        <v>804</v>
      </c>
      <c r="AZ138" s="140">
        <f t="shared" si="1"/>
        <v>0</v>
      </c>
      <c r="BI138" t="s">
        <v>804</v>
      </c>
      <c r="BJ138" s="140">
        <f t="shared" si="2"/>
        <v>0</v>
      </c>
    </row>
    <row r="139" spans="1:69">
      <c r="A139" t="s">
        <v>184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184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184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184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184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184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184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185</v>
      </c>
      <c r="B142" s="132" t="s">
        <v>186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181</v>
      </c>
      <c r="I142" s="132" t="s">
        <v>187</v>
      </c>
      <c r="K142" s="132" t="s">
        <v>185</v>
      </c>
      <c r="L142" s="132" t="s">
        <v>186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181</v>
      </c>
      <c r="S142" s="132" t="s">
        <v>187</v>
      </c>
      <c r="U142" s="132" t="s">
        <v>185</v>
      </c>
      <c r="V142" s="132" t="s">
        <v>186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181</v>
      </c>
      <c r="AC142" s="132" t="s">
        <v>187</v>
      </c>
      <c r="AE142" s="132" t="s">
        <v>185</v>
      </c>
      <c r="AF142" s="132" t="s">
        <v>186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181</v>
      </c>
      <c r="AM142" s="132" t="s">
        <v>187</v>
      </c>
      <c r="AO142" s="132" t="s">
        <v>185</v>
      </c>
      <c r="AP142" s="132" t="s">
        <v>186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181</v>
      </c>
      <c r="AW142" s="132" t="s">
        <v>187</v>
      </c>
      <c r="AY142" s="132" t="s">
        <v>185</v>
      </c>
      <c r="AZ142" s="132" t="s">
        <v>186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181</v>
      </c>
      <c r="BG142" s="132" t="s">
        <v>187</v>
      </c>
      <c r="BI142" s="132" t="s">
        <v>185</v>
      </c>
      <c r="BJ142" s="132" t="s">
        <v>186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181</v>
      </c>
      <c r="BQ142" s="132" t="s">
        <v>187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58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0.8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0.8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4">B144*B$136</f>
        <v>3.2000000000000003E-6</v>
      </c>
      <c r="B144">
        <v>0.32</v>
      </c>
      <c r="C144" s="140">
        <f t="shared" ref="C144:G175" si="5">C$142*$A144</f>
        <v>3.1999999999999995E-8</v>
      </c>
      <c r="D144" s="140">
        <f t="shared" si="3"/>
        <v>6.3999999999999991E-8</v>
      </c>
      <c r="E144" s="140">
        <f t="shared" si="3"/>
        <v>9.5999999999999999E-8</v>
      </c>
      <c r="F144" s="140">
        <f t="shared" si="3"/>
        <v>1.2800000000000001E-7</v>
      </c>
      <c r="G144" s="140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207" si="6">IF(OR(B$134=0,B$133=0),0.0000001,IF(H144=1,B$134,A144*((B$134*B$138)/(H144*B$133)+0.023*LOG10(H144*B$133/A144))/B$138))</f>
        <v>9.9999999999999995E-8</v>
      </c>
      <c r="K144" s="140">
        <f t="shared" ref="K144:K207" si="7">L144*L$136</f>
        <v>3.2000000000000003E-6</v>
      </c>
      <c r="L144">
        <v>0.32</v>
      </c>
      <c r="M144" s="140">
        <f t="shared" ref="M144:M207" si="8">M$142*K144</f>
        <v>3.1999999999999995E-8</v>
      </c>
      <c r="N144" s="140">
        <f t="shared" ref="N144:N207" si="9">N$142*K144</f>
        <v>6.3999999999999991E-8</v>
      </c>
      <c r="O144" s="140">
        <f t="shared" ref="O144:O207" si="10">O$142*K144</f>
        <v>9.5999999999999999E-8</v>
      </c>
      <c r="P144" s="140">
        <f t="shared" ref="P144:P207" si="11">P$142*$K144</f>
        <v>1.2800000000000001E-7</v>
      </c>
      <c r="Q144" s="140">
        <f t="shared" ref="Q144:Q207" si="12">Q$142*K144</f>
        <v>1.6000000000000003E-7</v>
      </c>
      <c r="R144" s="157">
        <f>IF(K144&lt;$B$25*DATA!$H$1037,DATA!$H$1037,IF(K144&gt;DATA!$H$1036*$B$25,DATA!$H$1036,1))</f>
        <v>0.8</v>
      </c>
      <c r="S144" s="156">
        <f t="shared" ref="S144:S207" si="13">IF(OR(L$134=0,L$133=0),0.0000001,IF(R144=1,L$134,K144*((L$134*L$138)/(R144*L$133)+0.023*LOG10(R144*L$133/K144))/L$138))</f>
        <v>9.9999999999999995E-8</v>
      </c>
      <c r="U144" s="140">
        <f t="shared" ref="U144:U207" si="14">V144*V$136</f>
        <v>3.2000000000000003E-6</v>
      </c>
      <c r="V144">
        <v>0.32</v>
      </c>
      <c r="W144" s="140">
        <f t="shared" ref="W144:W207" si="15">W$142*U144</f>
        <v>3.1999999999999995E-8</v>
      </c>
      <c r="X144" s="140">
        <f t="shared" ref="X144:X207" si="16">X$142*U144</f>
        <v>6.3999999999999991E-8</v>
      </c>
      <c r="Y144" s="140">
        <f t="shared" ref="Y144:Y207" si="17">Y$142*U144</f>
        <v>9.5999999999999999E-8</v>
      </c>
      <c r="Z144" s="140">
        <f t="shared" ref="Z144:Z207" si="18">Z$142*U144</f>
        <v>1.2800000000000001E-7</v>
      </c>
      <c r="AA144" s="140">
        <f t="shared" ref="AA144:AA207" si="19">AA$142*U144</f>
        <v>1.6000000000000003E-7</v>
      </c>
      <c r="AB144" s="157">
        <f>IF(U144&lt;$B$41*DATA!$H$1037,DATA!$H$1037,IF(U144&gt;DATA!$H$1036*$B$41,DATA!$H$1036,1))</f>
        <v>0.8</v>
      </c>
      <c r="AC144" s="156">
        <f t="shared" ref="AC144:AC207" si="20">IF(OR(V$134=0,V$133=0),0.0000001,IF(AB144=1,V$134,U144*((V$134*V$138)/(AB144*V$133)+0.023*LOG10(AB144*V$133/U144))/V$138))</f>
        <v>9.9999999999999995E-8</v>
      </c>
      <c r="AE144" s="140">
        <f t="shared" ref="AE144:AE207" si="21">AF144*AF$136</f>
        <v>3.2000000000000003E-6</v>
      </c>
      <c r="AF144">
        <v>0.32</v>
      </c>
      <c r="AG144" s="140">
        <f t="shared" ref="AG144:AG207" si="22">AG$142*AE144</f>
        <v>3.1999999999999995E-8</v>
      </c>
      <c r="AH144" s="140">
        <f t="shared" ref="AH144:AH207" si="23">AH$142*AE144</f>
        <v>6.3999999999999991E-8</v>
      </c>
      <c r="AI144" s="140">
        <f t="shared" ref="AI144:AI207" si="24">AI$142*AE144</f>
        <v>9.5999999999999999E-8</v>
      </c>
      <c r="AJ144" s="140">
        <f t="shared" ref="AJ144:AJ207" si="25">AJ$142*AE144</f>
        <v>1.2800000000000001E-7</v>
      </c>
      <c r="AK144" s="140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ref="AM144:AM207" si="27">IF(OR(AF$134=0,AF$133=0),0.0000001,IF(AL144=1,AF$134,AE144*((AF$134*AF$138)/(AL144*AF$133)+0.023*LOG10(AL144*AF$133/AE144))/AF$138))</f>
        <v>9.9999999999999995E-8</v>
      </c>
      <c r="AO144" s="140">
        <f t="shared" ref="AO144:AO207" si="28">AP144*AP$136</f>
        <v>3.2000000000000003E-6</v>
      </c>
      <c r="AP144">
        <v>0.32</v>
      </c>
      <c r="AQ144" s="140">
        <f t="shared" ref="AQ144:AQ207" si="29">AQ$142*AO144</f>
        <v>3.1999999999999995E-8</v>
      </c>
      <c r="AR144" s="140">
        <f t="shared" ref="AR144:AR207" si="30">AR$142*AO144</f>
        <v>6.3999999999999991E-8</v>
      </c>
      <c r="AS144" s="140">
        <f t="shared" ref="AS144:AS207" si="31">AS$142*AO144</f>
        <v>9.5999999999999999E-8</v>
      </c>
      <c r="AT144" s="140">
        <f t="shared" ref="AT144:AT207" si="32">AT$142*AO144</f>
        <v>1.2800000000000001E-7</v>
      </c>
      <c r="AU144" s="140">
        <f t="shared" ref="AU144:AU207" si="33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4">IF(OR(AP$134=0,AP$133=0),0.0000001,IF(AV144=1,AP$134,AO144*((AP$134*AP$138)/(AV144*AP$133)+0.023*LOG10(AV144*AP$133/AO144))/AP$138))</f>
        <v>9.9999999999999995E-8</v>
      </c>
      <c r="AY144" s="140">
        <f t="shared" ref="AY144:AY207" si="35">AZ144*AZ$136</f>
        <v>3.2000000000000003E-6</v>
      </c>
      <c r="AZ144">
        <v>0.32</v>
      </c>
      <c r="BA144" s="140">
        <f t="shared" ref="BA144:BA207" si="36">BA$142*AY144</f>
        <v>3.1999999999999995E-8</v>
      </c>
      <c r="BB144" s="140">
        <f t="shared" ref="BB144:BB207" si="37">BB$142*AY144</f>
        <v>6.3999999999999991E-8</v>
      </c>
      <c r="BC144" s="140">
        <f t="shared" ref="BC144:BC207" si="38">BC$142*AY144</f>
        <v>9.5999999999999999E-8</v>
      </c>
      <c r="BD144" s="140">
        <f t="shared" ref="BD144:BD207" si="39">BD$142*AY144</f>
        <v>1.2800000000000001E-7</v>
      </c>
      <c r="BE144" s="140">
        <f t="shared" ref="BE144:BE207" si="40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1">IF(OR(AZ$134=0,AZ$133=0),0.0000001,IF(BF144=1,AZ$134,AY144*((AZ$134*AZ$138)/(BF144*AZ$133)+0.023*LOG10(BF144*AZ$133/AY144))/AZ$138))</f>
        <v>9.9999999999999995E-8</v>
      </c>
      <c r="BI144" s="140">
        <f t="shared" ref="BI144:BI207" si="42">BJ144*BJ$136</f>
        <v>3.2000000000000003E-6</v>
      </c>
      <c r="BJ144">
        <v>0.32</v>
      </c>
      <c r="BK144" s="140">
        <f t="shared" ref="BK144:BK207" si="43">BK$142*BI144</f>
        <v>3.1999999999999995E-8</v>
      </c>
      <c r="BL144" s="140">
        <f t="shared" ref="BL144:BL207" si="44">BL$142*BI144</f>
        <v>6.3999999999999991E-8</v>
      </c>
      <c r="BM144" s="140">
        <f t="shared" ref="BM144:BM207" si="45">BM$142*BI144</f>
        <v>9.5999999999999999E-8</v>
      </c>
      <c r="BN144" s="140">
        <f t="shared" ref="BN144:BN207" si="46">BN$142*$BI144</f>
        <v>1.2800000000000001E-7</v>
      </c>
      <c r="BO144" s="140">
        <f t="shared" ref="BO144:BO207" si="47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8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3"/>
        <v>6.8E-8</v>
      </c>
      <c r="E145" s="140">
        <f t="shared" si="3"/>
        <v>1.0200000000000001E-7</v>
      </c>
      <c r="F145" s="140">
        <f t="shared" si="3"/>
        <v>1.3600000000000003E-7</v>
      </c>
      <c r="G145" s="140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6"/>
        <v>9.9999999999999995E-8</v>
      </c>
      <c r="K145" s="140">
        <f t="shared" si="7"/>
        <v>3.4000000000000005E-6</v>
      </c>
      <c r="L145">
        <v>0.34</v>
      </c>
      <c r="M145" s="140">
        <f t="shared" si="8"/>
        <v>3.3999999999999993E-8</v>
      </c>
      <c r="N145" s="140">
        <f t="shared" si="9"/>
        <v>6.8E-8</v>
      </c>
      <c r="O145" s="140">
        <f t="shared" si="10"/>
        <v>1.0200000000000001E-7</v>
      </c>
      <c r="P145" s="140">
        <f t="shared" si="11"/>
        <v>1.3600000000000003E-7</v>
      </c>
      <c r="Q145" s="140">
        <f t="shared" si="12"/>
        <v>1.7000000000000004E-7</v>
      </c>
      <c r="R145" s="157">
        <f>IF(K145&lt;$B$25*DATA!$H$1037,DATA!$H$1037,IF(K145&gt;DATA!$H$1036*$B$25,DATA!$H$1036,1))</f>
        <v>0.8</v>
      </c>
      <c r="S145" s="156">
        <f t="shared" si="13"/>
        <v>9.9999999999999995E-8</v>
      </c>
      <c r="U145" s="140">
        <f t="shared" si="14"/>
        <v>3.4000000000000005E-6</v>
      </c>
      <c r="V145">
        <v>0.34</v>
      </c>
      <c r="W145" s="140">
        <f t="shared" si="15"/>
        <v>3.3999999999999993E-8</v>
      </c>
      <c r="X145" s="140">
        <f t="shared" si="16"/>
        <v>6.8E-8</v>
      </c>
      <c r="Y145" s="140">
        <f t="shared" si="17"/>
        <v>1.0200000000000001E-7</v>
      </c>
      <c r="Z145" s="140">
        <f t="shared" si="18"/>
        <v>1.3600000000000003E-7</v>
      </c>
      <c r="AA145" s="140">
        <f t="shared" si="19"/>
        <v>1.7000000000000004E-7</v>
      </c>
      <c r="AB145" s="157">
        <f>IF(U145&lt;$B$41*DATA!$H$1037,DATA!$H$1037,IF(U145&gt;DATA!$H$1036*$B$41,DATA!$H$1036,1))</f>
        <v>0.8</v>
      </c>
      <c r="AC145" s="156">
        <f t="shared" si="20"/>
        <v>9.9999999999999995E-8</v>
      </c>
      <c r="AE145" s="140">
        <f t="shared" si="21"/>
        <v>3.4000000000000005E-6</v>
      </c>
      <c r="AF145">
        <v>0.34</v>
      </c>
      <c r="AG145" s="140">
        <f t="shared" si="22"/>
        <v>3.3999999999999993E-8</v>
      </c>
      <c r="AH145" s="140">
        <f t="shared" si="23"/>
        <v>6.8E-8</v>
      </c>
      <c r="AI145" s="140">
        <f t="shared" si="24"/>
        <v>1.0200000000000001E-7</v>
      </c>
      <c r="AJ145" s="140">
        <f t="shared" si="25"/>
        <v>1.3600000000000003E-7</v>
      </c>
      <c r="AK145" s="140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27"/>
        <v>9.9999999999999995E-8</v>
      </c>
      <c r="AO145" s="140">
        <f t="shared" si="28"/>
        <v>3.4000000000000005E-6</v>
      </c>
      <c r="AP145">
        <v>0.34</v>
      </c>
      <c r="AQ145" s="140">
        <f t="shared" si="29"/>
        <v>3.3999999999999993E-8</v>
      </c>
      <c r="AR145" s="140">
        <f t="shared" si="30"/>
        <v>6.8E-8</v>
      </c>
      <c r="AS145" s="140">
        <f t="shared" si="31"/>
        <v>1.0200000000000001E-7</v>
      </c>
      <c r="AT145" s="140">
        <f t="shared" si="32"/>
        <v>1.3600000000000003E-7</v>
      </c>
      <c r="AU145" s="140">
        <f t="shared" si="33"/>
        <v>1.7000000000000004E-7</v>
      </c>
      <c r="AV145" s="157">
        <f>IF(AO145&lt;$B$73*DATA!$H$1037,DATA!$H$1037,IF(AO145&gt;DATA!$H$1036*$B$73,DATA!$H$1036,1))</f>
        <v>1.2</v>
      </c>
      <c r="AW145" s="156">
        <f t="shared" si="34"/>
        <v>9.9999999999999995E-8</v>
      </c>
      <c r="AY145" s="140">
        <f t="shared" si="35"/>
        <v>3.4000000000000005E-6</v>
      </c>
      <c r="AZ145">
        <v>0.34</v>
      </c>
      <c r="BA145" s="140">
        <f t="shared" si="36"/>
        <v>3.3999999999999993E-8</v>
      </c>
      <c r="BB145" s="140">
        <f t="shared" si="37"/>
        <v>6.8E-8</v>
      </c>
      <c r="BC145" s="140">
        <f t="shared" si="38"/>
        <v>1.0200000000000001E-7</v>
      </c>
      <c r="BD145" s="140">
        <f t="shared" si="39"/>
        <v>1.3600000000000003E-7</v>
      </c>
      <c r="BE145" s="140">
        <f t="shared" si="40"/>
        <v>1.7000000000000004E-7</v>
      </c>
      <c r="BF145" s="157">
        <f>IF(AY145&lt;$B$89*DATA!$H$1037,DATA!$H$1037,IF(AY145&gt;DATA!$H$1036*$B$89,DATA!$H$1036,1))</f>
        <v>1.2</v>
      </c>
      <c r="BG145" s="156">
        <f t="shared" si="41"/>
        <v>9.9999999999999995E-8</v>
      </c>
      <c r="BI145" s="140">
        <f t="shared" si="42"/>
        <v>3.4000000000000005E-6</v>
      </c>
      <c r="BJ145">
        <v>0.34</v>
      </c>
      <c r="BK145" s="140">
        <f t="shared" si="43"/>
        <v>3.3999999999999993E-8</v>
      </c>
      <c r="BL145" s="140">
        <f t="shared" si="44"/>
        <v>6.8E-8</v>
      </c>
      <c r="BM145" s="140">
        <f t="shared" si="45"/>
        <v>1.0200000000000001E-7</v>
      </c>
      <c r="BN145" s="140">
        <f t="shared" si="46"/>
        <v>1.3600000000000003E-7</v>
      </c>
      <c r="BO145" s="140">
        <f t="shared" si="47"/>
        <v>1.7000000000000004E-7</v>
      </c>
      <c r="BP145" s="157">
        <f>IF(BI145&lt;$B$105*DATA!$H$1037,DATA!$H$1037,IF(BI145&gt;DATA!$H$1036*$B$105,DATA!$H$1036,1))</f>
        <v>1.2</v>
      </c>
      <c r="BQ145" s="156">
        <f t="shared" si="48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3"/>
        <v>7.1999999999999996E-8</v>
      </c>
      <c r="E146" s="140">
        <f t="shared" si="3"/>
        <v>1.08E-7</v>
      </c>
      <c r="F146" s="140">
        <f t="shared" si="3"/>
        <v>1.4400000000000002E-7</v>
      </c>
      <c r="G146" s="140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6"/>
        <v>9.9999999999999995E-8</v>
      </c>
      <c r="K146" s="140">
        <f t="shared" si="7"/>
        <v>3.6000000000000003E-6</v>
      </c>
      <c r="L146">
        <v>0.36</v>
      </c>
      <c r="M146" s="140">
        <f t="shared" si="8"/>
        <v>3.5999999999999991E-8</v>
      </c>
      <c r="N146" s="140">
        <f t="shared" si="9"/>
        <v>7.1999999999999996E-8</v>
      </c>
      <c r="O146" s="140">
        <f t="shared" si="10"/>
        <v>1.08E-7</v>
      </c>
      <c r="P146" s="140">
        <f t="shared" si="11"/>
        <v>1.4400000000000002E-7</v>
      </c>
      <c r="Q146" s="140">
        <f t="shared" si="12"/>
        <v>1.8000000000000002E-7</v>
      </c>
      <c r="R146" s="157">
        <f>IF(K146&lt;$B$25*DATA!$H$1037,DATA!$H$1037,IF(K146&gt;DATA!$H$1036*$B$25,DATA!$H$1036,1))</f>
        <v>0.8</v>
      </c>
      <c r="S146" s="156">
        <f t="shared" si="13"/>
        <v>9.9999999999999995E-8</v>
      </c>
      <c r="U146" s="140">
        <f t="shared" si="14"/>
        <v>3.6000000000000003E-6</v>
      </c>
      <c r="V146">
        <v>0.36</v>
      </c>
      <c r="W146" s="140">
        <f t="shared" si="15"/>
        <v>3.5999999999999991E-8</v>
      </c>
      <c r="X146" s="140">
        <f t="shared" si="16"/>
        <v>7.1999999999999996E-8</v>
      </c>
      <c r="Y146" s="140">
        <f t="shared" si="17"/>
        <v>1.08E-7</v>
      </c>
      <c r="Z146" s="140">
        <f t="shared" si="18"/>
        <v>1.4400000000000002E-7</v>
      </c>
      <c r="AA146" s="140">
        <f t="shared" si="19"/>
        <v>1.8000000000000002E-7</v>
      </c>
      <c r="AB146" s="157">
        <f>IF(U146&lt;$B$41*DATA!$H$1037,DATA!$H$1037,IF(U146&gt;DATA!$H$1036*$B$41,DATA!$H$1036,1))</f>
        <v>0.8</v>
      </c>
      <c r="AC146" s="156">
        <f t="shared" si="20"/>
        <v>9.9999999999999995E-8</v>
      </c>
      <c r="AE146" s="140">
        <f t="shared" si="21"/>
        <v>3.6000000000000003E-6</v>
      </c>
      <c r="AF146">
        <v>0.36</v>
      </c>
      <c r="AG146" s="140">
        <f t="shared" si="22"/>
        <v>3.5999999999999991E-8</v>
      </c>
      <c r="AH146" s="140">
        <f t="shared" si="23"/>
        <v>7.1999999999999996E-8</v>
      </c>
      <c r="AI146" s="140">
        <f t="shared" si="24"/>
        <v>1.08E-7</v>
      </c>
      <c r="AJ146" s="140">
        <f t="shared" si="25"/>
        <v>1.4400000000000002E-7</v>
      </c>
      <c r="AK146" s="140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27"/>
        <v>9.9999999999999995E-8</v>
      </c>
      <c r="AO146" s="140">
        <f t="shared" si="28"/>
        <v>3.6000000000000003E-6</v>
      </c>
      <c r="AP146">
        <v>0.36</v>
      </c>
      <c r="AQ146" s="140">
        <f t="shared" si="29"/>
        <v>3.5999999999999991E-8</v>
      </c>
      <c r="AR146" s="140">
        <f t="shared" si="30"/>
        <v>7.1999999999999996E-8</v>
      </c>
      <c r="AS146" s="140">
        <f t="shared" si="31"/>
        <v>1.08E-7</v>
      </c>
      <c r="AT146" s="140">
        <f t="shared" si="32"/>
        <v>1.4400000000000002E-7</v>
      </c>
      <c r="AU146" s="140">
        <f t="shared" si="33"/>
        <v>1.8000000000000002E-7</v>
      </c>
      <c r="AV146" s="157">
        <f>IF(AO146&lt;$B$73*DATA!$H$1037,DATA!$H$1037,IF(AO146&gt;DATA!$H$1036*$B$73,DATA!$H$1036,1))</f>
        <v>1.2</v>
      </c>
      <c r="AW146" s="156">
        <f t="shared" si="34"/>
        <v>9.9999999999999995E-8</v>
      </c>
      <c r="AY146" s="140">
        <f t="shared" si="35"/>
        <v>3.6000000000000003E-6</v>
      </c>
      <c r="AZ146">
        <v>0.36</v>
      </c>
      <c r="BA146" s="140">
        <f t="shared" si="36"/>
        <v>3.5999999999999991E-8</v>
      </c>
      <c r="BB146" s="140">
        <f t="shared" si="37"/>
        <v>7.1999999999999996E-8</v>
      </c>
      <c r="BC146" s="140">
        <f t="shared" si="38"/>
        <v>1.08E-7</v>
      </c>
      <c r="BD146" s="140">
        <f t="shared" si="39"/>
        <v>1.4400000000000002E-7</v>
      </c>
      <c r="BE146" s="140">
        <f t="shared" si="40"/>
        <v>1.8000000000000002E-7</v>
      </c>
      <c r="BF146" s="157">
        <f>IF(AY146&lt;$B$89*DATA!$H$1037,DATA!$H$1037,IF(AY146&gt;DATA!$H$1036*$B$89,DATA!$H$1036,1))</f>
        <v>1.2</v>
      </c>
      <c r="BG146" s="156">
        <f t="shared" si="41"/>
        <v>9.9999999999999995E-8</v>
      </c>
      <c r="BI146" s="140">
        <f t="shared" si="42"/>
        <v>3.6000000000000003E-6</v>
      </c>
      <c r="BJ146">
        <v>0.36</v>
      </c>
      <c r="BK146" s="140">
        <f t="shared" si="43"/>
        <v>3.5999999999999991E-8</v>
      </c>
      <c r="BL146" s="140">
        <f t="shared" si="44"/>
        <v>7.1999999999999996E-8</v>
      </c>
      <c r="BM146" s="140">
        <f t="shared" si="45"/>
        <v>1.08E-7</v>
      </c>
      <c r="BN146" s="140">
        <f t="shared" si="46"/>
        <v>1.4400000000000002E-7</v>
      </c>
      <c r="BO146" s="140">
        <f t="shared" si="47"/>
        <v>1.8000000000000002E-7</v>
      </c>
      <c r="BP146" s="157">
        <f>IF(BI146&lt;$B$105*DATA!$H$1037,DATA!$H$1037,IF(BI146&gt;DATA!$H$1036*$B$105,DATA!$H$1036,1))</f>
        <v>1.2</v>
      </c>
      <c r="BQ146" s="156">
        <f t="shared" si="48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3"/>
        <v>7.5999999999999992E-8</v>
      </c>
      <c r="E147" s="140">
        <f t="shared" si="3"/>
        <v>1.1400000000000001E-7</v>
      </c>
      <c r="F147" s="140">
        <f t="shared" si="3"/>
        <v>1.5200000000000001E-7</v>
      </c>
      <c r="G147" s="140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6"/>
        <v>9.9999999999999995E-8</v>
      </c>
      <c r="K147" s="140">
        <f t="shared" si="7"/>
        <v>3.8000000000000005E-6</v>
      </c>
      <c r="L147">
        <v>0.38</v>
      </c>
      <c r="M147" s="140">
        <f t="shared" si="8"/>
        <v>3.799999999999999E-8</v>
      </c>
      <c r="N147" s="140">
        <f t="shared" si="9"/>
        <v>7.5999999999999992E-8</v>
      </c>
      <c r="O147" s="140">
        <f t="shared" si="10"/>
        <v>1.1400000000000001E-7</v>
      </c>
      <c r="P147" s="140">
        <f t="shared" si="11"/>
        <v>1.5200000000000001E-7</v>
      </c>
      <c r="Q147" s="140">
        <f t="shared" si="12"/>
        <v>1.9000000000000003E-7</v>
      </c>
      <c r="R147" s="157">
        <f>IF(K147&lt;$B$25*DATA!$H$1037,DATA!$H$1037,IF(K147&gt;DATA!$H$1036*$B$25,DATA!$H$1036,1))</f>
        <v>0.8</v>
      </c>
      <c r="S147" s="156">
        <f t="shared" si="13"/>
        <v>9.9999999999999995E-8</v>
      </c>
      <c r="U147" s="140">
        <f t="shared" si="14"/>
        <v>3.8000000000000005E-6</v>
      </c>
      <c r="V147">
        <v>0.38</v>
      </c>
      <c r="W147" s="140">
        <f t="shared" si="15"/>
        <v>3.799999999999999E-8</v>
      </c>
      <c r="X147" s="140">
        <f t="shared" si="16"/>
        <v>7.5999999999999992E-8</v>
      </c>
      <c r="Y147" s="140">
        <f t="shared" si="17"/>
        <v>1.1400000000000001E-7</v>
      </c>
      <c r="Z147" s="140">
        <f t="shared" si="18"/>
        <v>1.5200000000000001E-7</v>
      </c>
      <c r="AA147" s="140">
        <f t="shared" si="19"/>
        <v>1.9000000000000003E-7</v>
      </c>
      <c r="AB147" s="157">
        <f>IF(U147&lt;$B$41*DATA!$H$1037,DATA!$H$1037,IF(U147&gt;DATA!$H$1036*$B$41,DATA!$H$1036,1))</f>
        <v>0.8</v>
      </c>
      <c r="AC147" s="156">
        <f t="shared" si="20"/>
        <v>9.9999999999999995E-8</v>
      </c>
      <c r="AE147" s="140">
        <f t="shared" si="21"/>
        <v>3.8000000000000005E-6</v>
      </c>
      <c r="AF147">
        <v>0.38</v>
      </c>
      <c r="AG147" s="140">
        <f t="shared" si="22"/>
        <v>3.799999999999999E-8</v>
      </c>
      <c r="AH147" s="140">
        <f t="shared" si="23"/>
        <v>7.5999999999999992E-8</v>
      </c>
      <c r="AI147" s="140">
        <f t="shared" si="24"/>
        <v>1.1400000000000001E-7</v>
      </c>
      <c r="AJ147" s="140">
        <f t="shared" si="25"/>
        <v>1.5200000000000001E-7</v>
      </c>
      <c r="AK147" s="140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27"/>
        <v>9.9999999999999995E-8</v>
      </c>
      <c r="AO147" s="140">
        <f t="shared" si="28"/>
        <v>3.8000000000000005E-6</v>
      </c>
      <c r="AP147">
        <v>0.38</v>
      </c>
      <c r="AQ147" s="140">
        <f t="shared" si="29"/>
        <v>3.799999999999999E-8</v>
      </c>
      <c r="AR147" s="140">
        <f t="shared" si="30"/>
        <v>7.5999999999999992E-8</v>
      </c>
      <c r="AS147" s="140">
        <f t="shared" si="31"/>
        <v>1.1400000000000001E-7</v>
      </c>
      <c r="AT147" s="140">
        <f t="shared" si="32"/>
        <v>1.5200000000000001E-7</v>
      </c>
      <c r="AU147" s="140">
        <f t="shared" si="33"/>
        <v>1.9000000000000003E-7</v>
      </c>
      <c r="AV147" s="157">
        <f>IF(AO147&lt;$B$73*DATA!$H$1037,DATA!$H$1037,IF(AO147&gt;DATA!$H$1036*$B$73,DATA!$H$1036,1))</f>
        <v>1.2</v>
      </c>
      <c r="AW147" s="156">
        <f t="shared" si="34"/>
        <v>9.9999999999999995E-8</v>
      </c>
      <c r="AY147" s="140">
        <f t="shared" si="35"/>
        <v>3.8000000000000005E-6</v>
      </c>
      <c r="AZ147">
        <v>0.38</v>
      </c>
      <c r="BA147" s="140">
        <f t="shared" si="36"/>
        <v>3.799999999999999E-8</v>
      </c>
      <c r="BB147" s="140">
        <f t="shared" si="37"/>
        <v>7.5999999999999992E-8</v>
      </c>
      <c r="BC147" s="140">
        <f t="shared" si="38"/>
        <v>1.1400000000000001E-7</v>
      </c>
      <c r="BD147" s="140">
        <f t="shared" si="39"/>
        <v>1.5200000000000001E-7</v>
      </c>
      <c r="BE147" s="140">
        <f t="shared" si="40"/>
        <v>1.9000000000000003E-7</v>
      </c>
      <c r="BF147" s="157">
        <f>IF(AY147&lt;$B$89*DATA!$H$1037,DATA!$H$1037,IF(AY147&gt;DATA!$H$1036*$B$89,DATA!$H$1036,1))</f>
        <v>1.2</v>
      </c>
      <c r="BG147" s="156">
        <f t="shared" si="41"/>
        <v>9.9999999999999995E-8</v>
      </c>
      <c r="BI147" s="140">
        <f t="shared" si="42"/>
        <v>3.8000000000000005E-6</v>
      </c>
      <c r="BJ147">
        <v>0.38</v>
      </c>
      <c r="BK147" s="140">
        <f t="shared" si="43"/>
        <v>3.799999999999999E-8</v>
      </c>
      <c r="BL147" s="140">
        <f t="shared" si="44"/>
        <v>7.5999999999999992E-8</v>
      </c>
      <c r="BM147" s="140">
        <f t="shared" si="45"/>
        <v>1.1400000000000001E-7</v>
      </c>
      <c r="BN147" s="140">
        <f t="shared" si="46"/>
        <v>1.5200000000000001E-7</v>
      </c>
      <c r="BO147" s="140">
        <f t="shared" si="47"/>
        <v>1.9000000000000003E-7</v>
      </c>
      <c r="BP147" s="157">
        <f>IF(BI147&lt;$B$105*DATA!$H$1037,DATA!$H$1037,IF(BI147&gt;DATA!$H$1036*$B$105,DATA!$H$1036,1))</f>
        <v>1.2</v>
      </c>
      <c r="BQ147" s="156">
        <f t="shared" si="48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3"/>
        <v>8.0000000000000002E-8</v>
      </c>
      <c r="E148" s="140">
        <f t="shared" si="3"/>
        <v>1.2000000000000002E-7</v>
      </c>
      <c r="F148" s="140">
        <f t="shared" si="3"/>
        <v>1.6000000000000003E-7</v>
      </c>
      <c r="G148" s="140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6"/>
        <v>9.9999999999999995E-8</v>
      </c>
      <c r="K148" s="140">
        <f t="shared" si="7"/>
        <v>4.0000000000000007E-6</v>
      </c>
      <c r="L148">
        <v>0.4</v>
      </c>
      <c r="M148" s="140">
        <f t="shared" si="8"/>
        <v>3.9999999999999994E-8</v>
      </c>
      <c r="N148" s="140">
        <f t="shared" si="9"/>
        <v>8.0000000000000002E-8</v>
      </c>
      <c r="O148" s="140">
        <f t="shared" si="10"/>
        <v>1.2000000000000002E-7</v>
      </c>
      <c r="P148" s="140">
        <f t="shared" si="11"/>
        <v>1.6000000000000003E-7</v>
      </c>
      <c r="Q148" s="140">
        <f t="shared" si="12"/>
        <v>2.0000000000000004E-7</v>
      </c>
      <c r="R148" s="157">
        <f>IF(K148&lt;$B$25*DATA!$H$1037,DATA!$H$1037,IF(K148&gt;DATA!$H$1036*$B$25,DATA!$H$1036,1))</f>
        <v>0.8</v>
      </c>
      <c r="S148" s="156">
        <f t="shared" si="13"/>
        <v>9.9999999999999995E-8</v>
      </c>
      <c r="U148" s="140">
        <f t="shared" si="14"/>
        <v>4.0000000000000007E-6</v>
      </c>
      <c r="V148">
        <v>0.4</v>
      </c>
      <c r="W148" s="140">
        <f t="shared" si="15"/>
        <v>3.9999999999999994E-8</v>
      </c>
      <c r="X148" s="140">
        <f t="shared" si="16"/>
        <v>8.0000000000000002E-8</v>
      </c>
      <c r="Y148" s="140">
        <f t="shared" si="17"/>
        <v>1.2000000000000002E-7</v>
      </c>
      <c r="Z148" s="140">
        <f t="shared" si="18"/>
        <v>1.6000000000000003E-7</v>
      </c>
      <c r="AA148" s="140">
        <f t="shared" si="19"/>
        <v>2.0000000000000004E-7</v>
      </c>
      <c r="AB148" s="157">
        <f>IF(U148&lt;$B$41*DATA!$H$1037,DATA!$H$1037,IF(U148&gt;DATA!$H$1036*$B$41,DATA!$H$1036,1))</f>
        <v>0.8</v>
      </c>
      <c r="AC148" s="156">
        <f t="shared" si="20"/>
        <v>9.9999999999999995E-8</v>
      </c>
      <c r="AE148" s="140">
        <f t="shared" si="21"/>
        <v>4.0000000000000007E-6</v>
      </c>
      <c r="AF148">
        <v>0.4</v>
      </c>
      <c r="AG148" s="140">
        <f t="shared" si="22"/>
        <v>3.9999999999999994E-8</v>
      </c>
      <c r="AH148" s="140">
        <f t="shared" si="23"/>
        <v>8.0000000000000002E-8</v>
      </c>
      <c r="AI148" s="140">
        <f t="shared" si="24"/>
        <v>1.2000000000000002E-7</v>
      </c>
      <c r="AJ148" s="140">
        <f t="shared" si="25"/>
        <v>1.6000000000000003E-7</v>
      </c>
      <c r="AK148" s="140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27"/>
        <v>9.9999999999999995E-8</v>
      </c>
      <c r="AO148" s="140">
        <f t="shared" si="28"/>
        <v>4.0000000000000007E-6</v>
      </c>
      <c r="AP148">
        <v>0.4</v>
      </c>
      <c r="AQ148" s="140">
        <f t="shared" si="29"/>
        <v>3.9999999999999994E-8</v>
      </c>
      <c r="AR148" s="140">
        <f t="shared" si="30"/>
        <v>8.0000000000000002E-8</v>
      </c>
      <c r="AS148" s="140">
        <f t="shared" si="31"/>
        <v>1.2000000000000002E-7</v>
      </c>
      <c r="AT148" s="140">
        <f t="shared" si="32"/>
        <v>1.6000000000000003E-7</v>
      </c>
      <c r="AU148" s="140">
        <f t="shared" si="33"/>
        <v>2.0000000000000004E-7</v>
      </c>
      <c r="AV148" s="157">
        <f>IF(AO148&lt;$B$73*DATA!$H$1037,DATA!$H$1037,IF(AO148&gt;DATA!$H$1036*$B$73,DATA!$H$1036,1))</f>
        <v>1.2</v>
      </c>
      <c r="AW148" s="156">
        <f t="shared" si="34"/>
        <v>9.9999999999999995E-8</v>
      </c>
      <c r="AY148" s="140">
        <f t="shared" si="35"/>
        <v>4.0000000000000007E-6</v>
      </c>
      <c r="AZ148">
        <v>0.4</v>
      </c>
      <c r="BA148" s="140">
        <f t="shared" si="36"/>
        <v>3.9999999999999994E-8</v>
      </c>
      <c r="BB148" s="140">
        <f t="shared" si="37"/>
        <v>8.0000000000000002E-8</v>
      </c>
      <c r="BC148" s="140">
        <f t="shared" si="38"/>
        <v>1.2000000000000002E-7</v>
      </c>
      <c r="BD148" s="140">
        <f t="shared" si="39"/>
        <v>1.6000000000000003E-7</v>
      </c>
      <c r="BE148" s="140">
        <f t="shared" si="40"/>
        <v>2.0000000000000004E-7</v>
      </c>
      <c r="BF148" s="157">
        <f>IF(AY148&lt;$B$89*DATA!$H$1037,DATA!$H$1037,IF(AY148&gt;DATA!$H$1036*$B$89,DATA!$H$1036,1))</f>
        <v>1.2</v>
      </c>
      <c r="BG148" s="156">
        <f t="shared" si="41"/>
        <v>9.9999999999999995E-8</v>
      </c>
      <c r="BI148" s="140">
        <f t="shared" si="42"/>
        <v>4.0000000000000007E-6</v>
      </c>
      <c r="BJ148">
        <v>0.4</v>
      </c>
      <c r="BK148" s="140">
        <f t="shared" si="43"/>
        <v>3.9999999999999994E-8</v>
      </c>
      <c r="BL148" s="140">
        <f t="shared" si="44"/>
        <v>8.0000000000000002E-8</v>
      </c>
      <c r="BM148" s="140">
        <f t="shared" si="45"/>
        <v>1.2000000000000002E-7</v>
      </c>
      <c r="BN148" s="140">
        <f t="shared" si="46"/>
        <v>1.6000000000000003E-7</v>
      </c>
      <c r="BO148" s="140">
        <f t="shared" si="47"/>
        <v>2.0000000000000004E-7</v>
      </c>
      <c r="BP148" s="157">
        <f>IF(BI148&lt;$B$105*DATA!$H$1037,DATA!$H$1037,IF(BI148&gt;DATA!$H$1036*$B$105,DATA!$H$1036,1))</f>
        <v>1.2</v>
      </c>
      <c r="BQ148" s="156">
        <f t="shared" si="48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3"/>
        <v>8.3999999999999998E-8</v>
      </c>
      <c r="E149" s="140">
        <f t="shared" si="3"/>
        <v>1.2600000000000002E-7</v>
      </c>
      <c r="F149" s="140">
        <f t="shared" si="3"/>
        <v>1.6800000000000002E-7</v>
      </c>
      <c r="G149" s="140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6"/>
        <v>9.9999999999999995E-8</v>
      </c>
      <c r="K149" s="140">
        <f t="shared" si="7"/>
        <v>4.2000000000000004E-6</v>
      </c>
      <c r="L149">
        <v>0.42</v>
      </c>
      <c r="M149" s="140">
        <f t="shared" si="8"/>
        <v>4.1999999999999992E-8</v>
      </c>
      <c r="N149" s="140">
        <f t="shared" si="9"/>
        <v>8.3999999999999998E-8</v>
      </c>
      <c r="O149" s="140">
        <f t="shared" si="10"/>
        <v>1.2600000000000002E-7</v>
      </c>
      <c r="P149" s="140">
        <f t="shared" si="11"/>
        <v>1.6800000000000002E-7</v>
      </c>
      <c r="Q149" s="140">
        <f t="shared" si="12"/>
        <v>2.1000000000000003E-7</v>
      </c>
      <c r="R149" s="157">
        <f>IF(K149&lt;$B$25*DATA!$H$1037,DATA!$H$1037,IF(K149&gt;DATA!$H$1036*$B$25,DATA!$H$1036,1))</f>
        <v>0.8</v>
      </c>
      <c r="S149" s="156">
        <f t="shared" si="13"/>
        <v>9.9999999999999995E-8</v>
      </c>
      <c r="U149" s="140">
        <f t="shared" si="14"/>
        <v>4.2000000000000004E-6</v>
      </c>
      <c r="V149">
        <v>0.42</v>
      </c>
      <c r="W149" s="140">
        <f t="shared" si="15"/>
        <v>4.1999999999999992E-8</v>
      </c>
      <c r="X149" s="140">
        <f t="shared" si="16"/>
        <v>8.3999999999999998E-8</v>
      </c>
      <c r="Y149" s="140">
        <f t="shared" si="17"/>
        <v>1.2600000000000002E-7</v>
      </c>
      <c r="Z149" s="140">
        <f t="shared" si="18"/>
        <v>1.6800000000000002E-7</v>
      </c>
      <c r="AA149" s="140">
        <f t="shared" si="19"/>
        <v>2.1000000000000003E-7</v>
      </c>
      <c r="AB149" s="157">
        <f>IF(U149&lt;$B$41*DATA!$H$1037,DATA!$H$1037,IF(U149&gt;DATA!$H$1036*$B$41,DATA!$H$1036,1))</f>
        <v>0.8</v>
      </c>
      <c r="AC149" s="156">
        <f t="shared" si="20"/>
        <v>9.9999999999999995E-8</v>
      </c>
      <c r="AE149" s="140">
        <f t="shared" si="21"/>
        <v>4.2000000000000004E-6</v>
      </c>
      <c r="AF149">
        <v>0.42</v>
      </c>
      <c r="AG149" s="140">
        <f t="shared" si="22"/>
        <v>4.1999999999999992E-8</v>
      </c>
      <c r="AH149" s="140">
        <f t="shared" si="23"/>
        <v>8.3999999999999998E-8</v>
      </c>
      <c r="AI149" s="140">
        <f t="shared" si="24"/>
        <v>1.2600000000000002E-7</v>
      </c>
      <c r="AJ149" s="140">
        <f t="shared" si="25"/>
        <v>1.6800000000000002E-7</v>
      </c>
      <c r="AK149" s="140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27"/>
        <v>9.9999999999999995E-8</v>
      </c>
      <c r="AO149" s="140">
        <f t="shared" si="28"/>
        <v>4.2000000000000004E-6</v>
      </c>
      <c r="AP149">
        <v>0.42</v>
      </c>
      <c r="AQ149" s="140">
        <f t="shared" si="29"/>
        <v>4.1999999999999992E-8</v>
      </c>
      <c r="AR149" s="140">
        <f t="shared" si="30"/>
        <v>8.3999999999999998E-8</v>
      </c>
      <c r="AS149" s="140">
        <f t="shared" si="31"/>
        <v>1.2600000000000002E-7</v>
      </c>
      <c r="AT149" s="140">
        <f t="shared" si="32"/>
        <v>1.6800000000000002E-7</v>
      </c>
      <c r="AU149" s="140">
        <f t="shared" si="33"/>
        <v>2.1000000000000003E-7</v>
      </c>
      <c r="AV149" s="157">
        <f>IF(AO149&lt;$B$73*DATA!$H$1037,DATA!$H$1037,IF(AO149&gt;DATA!$H$1036*$B$73,DATA!$H$1036,1))</f>
        <v>1.2</v>
      </c>
      <c r="AW149" s="156">
        <f t="shared" si="34"/>
        <v>9.9999999999999995E-8</v>
      </c>
      <c r="AY149" s="140">
        <f t="shared" si="35"/>
        <v>4.2000000000000004E-6</v>
      </c>
      <c r="AZ149">
        <v>0.42</v>
      </c>
      <c r="BA149" s="140">
        <f t="shared" si="36"/>
        <v>4.1999999999999992E-8</v>
      </c>
      <c r="BB149" s="140">
        <f t="shared" si="37"/>
        <v>8.3999999999999998E-8</v>
      </c>
      <c r="BC149" s="140">
        <f t="shared" si="38"/>
        <v>1.2600000000000002E-7</v>
      </c>
      <c r="BD149" s="140">
        <f t="shared" si="39"/>
        <v>1.6800000000000002E-7</v>
      </c>
      <c r="BE149" s="140">
        <f t="shared" si="40"/>
        <v>2.1000000000000003E-7</v>
      </c>
      <c r="BF149" s="157">
        <f>IF(AY149&lt;$B$89*DATA!$H$1037,DATA!$H$1037,IF(AY149&gt;DATA!$H$1036*$B$89,DATA!$H$1036,1))</f>
        <v>1.2</v>
      </c>
      <c r="BG149" s="156">
        <f t="shared" si="41"/>
        <v>9.9999999999999995E-8</v>
      </c>
      <c r="BI149" s="140">
        <f t="shared" si="42"/>
        <v>4.2000000000000004E-6</v>
      </c>
      <c r="BJ149">
        <v>0.42</v>
      </c>
      <c r="BK149" s="140">
        <f t="shared" si="43"/>
        <v>4.1999999999999992E-8</v>
      </c>
      <c r="BL149" s="140">
        <f t="shared" si="44"/>
        <v>8.3999999999999998E-8</v>
      </c>
      <c r="BM149" s="140">
        <f t="shared" si="45"/>
        <v>1.2600000000000002E-7</v>
      </c>
      <c r="BN149" s="140">
        <f t="shared" si="46"/>
        <v>1.6800000000000002E-7</v>
      </c>
      <c r="BO149" s="140">
        <f t="shared" si="47"/>
        <v>2.1000000000000003E-7</v>
      </c>
      <c r="BP149" s="157">
        <f>IF(BI149&lt;$B$105*DATA!$H$1037,DATA!$H$1037,IF(BI149&gt;DATA!$H$1036*$B$105,DATA!$H$1036,1))</f>
        <v>1.2</v>
      </c>
      <c r="BQ149" s="156">
        <f t="shared" si="48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3"/>
        <v>8.7999999999999994E-8</v>
      </c>
      <c r="E150" s="140">
        <f t="shared" si="3"/>
        <v>1.3199999999999999E-7</v>
      </c>
      <c r="F150" s="140">
        <f t="shared" si="3"/>
        <v>1.7600000000000001E-7</v>
      </c>
      <c r="G150" s="140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6"/>
        <v>9.9999999999999995E-8</v>
      </c>
      <c r="K150" s="140">
        <f t="shared" si="7"/>
        <v>4.4000000000000002E-6</v>
      </c>
      <c r="L150">
        <v>0.44</v>
      </c>
      <c r="M150" s="140">
        <f t="shared" si="8"/>
        <v>4.399999999999999E-8</v>
      </c>
      <c r="N150" s="140">
        <f t="shared" si="9"/>
        <v>8.7999999999999994E-8</v>
      </c>
      <c r="O150" s="140">
        <f t="shared" si="10"/>
        <v>1.3199999999999999E-7</v>
      </c>
      <c r="P150" s="140">
        <f t="shared" si="11"/>
        <v>1.7600000000000001E-7</v>
      </c>
      <c r="Q150" s="140">
        <f t="shared" si="12"/>
        <v>2.2000000000000001E-7</v>
      </c>
      <c r="R150" s="157">
        <f>IF(K150&lt;$B$25*DATA!$H$1037,DATA!$H$1037,IF(K150&gt;DATA!$H$1036*$B$25,DATA!$H$1036,1))</f>
        <v>0.8</v>
      </c>
      <c r="S150" s="156">
        <f t="shared" si="13"/>
        <v>9.9999999999999995E-8</v>
      </c>
      <c r="U150" s="140">
        <f t="shared" si="14"/>
        <v>4.4000000000000002E-6</v>
      </c>
      <c r="V150">
        <v>0.44</v>
      </c>
      <c r="W150" s="140">
        <f t="shared" si="15"/>
        <v>4.399999999999999E-8</v>
      </c>
      <c r="X150" s="140">
        <f t="shared" si="16"/>
        <v>8.7999999999999994E-8</v>
      </c>
      <c r="Y150" s="140">
        <f t="shared" si="17"/>
        <v>1.3199999999999999E-7</v>
      </c>
      <c r="Z150" s="140">
        <f t="shared" si="18"/>
        <v>1.7600000000000001E-7</v>
      </c>
      <c r="AA150" s="140">
        <f t="shared" si="19"/>
        <v>2.2000000000000001E-7</v>
      </c>
      <c r="AB150" s="157">
        <f>IF(U150&lt;$B$41*DATA!$H$1037,DATA!$H$1037,IF(U150&gt;DATA!$H$1036*$B$41,DATA!$H$1036,1))</f>
        <v>0.8</v>
      </c>
      <c r="AC150" s="156">
        <f t="shared" si="20"/>
        <v>9.9999999999999995E-8</v>
      </c>
      <c r="AE150" s="140">
        <f t="shared" si="21"/>
        <v>4.4000000000000002E-6</v>
      </c>
      <c r="AF150">
        <v>0.44</v>
      </c>
      <c r="AG150" s="140">
        <f t="shared" si="22"/>
        <v>4.399999999999999E-8</v>
      </c>
      <c r="AH150" s="140">
        <f t="shared" si="23"/>
        <v>8.7999999999999994E-8</v>
      </c>
      <c r="AI150" s="140">
        <f t="shared" si="24"/>
        <v>1.3199999999999999E-7</v>
      </c>
      <c r="AJ150" s="140">
        <f t="shared" si="25"/>
        <v>1.7600000000000001E-7</v>
      </c>
      <c r="AK150" s="140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27"/>
        <v>9.9999999999999995E-8</v>
      </c>
      <c r="AO150" s="140">
        <f t="shared" si="28"/>
        <v>4.4000000000000002E-6</v>
      </c>
      <c r="AP150">
        <v>0.44</v>
      </c>
      <c r="AQ150" s="140">
        <f t="shared" si="29"/>
        <v>4.399999999999999E-8</v>
      </c>
      <c r="AR150" s="140">
        <f t="shared" si="30"/>
        <v>8.7999999999999994E-8</v>
      </c>
      <c r="AS150" s="140">
        <f t="shared" si="31"/>
        <v>1.3199999999999999E-7</v>
      </c>
      <c r="AT150" s="140">
        <f t="shared" si="32"/>
        <v>1.7600000000000001E-7</v>
      </c>
      <c r="AU150" s="140">
        <f t="shared" si="33"/>
        <v>2.2000000000000001E-7</v>
      </c>
      <c r="AV150" s="157">
        <f>IF(AO150&lt;$B$73*DATA!$H$1037,DATA!$H$1037,IF(AO150&gt;DATA!$H$1036*$B$73,DATA!$H$1036,1))</f>
        <v>1.2</v>
      </c>
      <c r="AW150" s="156">
        <f t="shared" si="34"/>
        <v>9.9999999999999995E-8</v>
      </c>
      <c r="AY150" s="140">
        <f t="shared" si="35"/>
        <v>4.4000000000000002E-6</v>
      </c>
      <c r="AZ150">
        <v>0.44</v>
      </c>
      <c r="BA150" s="140">
        <f t="shared" si="36"/>
        <v>4.399999999999999E-8</v>
      </c>
      <c r="BB150" s="140">
        <f t="shared" si="37"/>
        <v>8.7999999999999994E-8</v>
      </c>
      <c r="BC150" s="140">
        <f t="shared" si="38"/>
        <v>1.3199999999999999E-7</v>
      </c>
      <c r="BD150" s="140">
        <f t="shared" si="39"/>
        <v>1.7600000000000001E-7</v>
      </c>
      <c r="BE150" s="140">
        <f t="shared" si="40"/>
        <v>2.2000000000000001E-7</v>
      </c>
      <c r="BF150" s="157">
        <f>IF(AY150&lt;$B$89*DATA!$H$1037,DATA!$H$1037,IF(AY150&gt;DATA!$H$1036*$B$89,DATA!$H$1036,1))</f>
        <v>1.2</v>
      </c>
      <c r="BG150" s="156">
        <f t="shared" si="41"/>
        <v>9.9999999999999995E-8</v>
      </c>
      <c r="BI150" s="140">
        <f t="shared" si="42"/>
        <v>4.4000000000000002E-6</v>
      </c>
      <c r="BJ150">
        <v>0.44</v>
      </c>
      <c r="BK150" s="140">
        <f t="shared" si="43"/>
        <v>4.399999999999999E-8</v>
      </c>
      <c r="BL150" s="140">
        <f t="shared" si="44"/>
        <v>8.7999999999999994E-8</v>
      </c>
      <c r="BM150" s="140">
        <f t="shared" si="45"/>
        <v>1.3199999999999999E-7</v>
      </c>
      <c r="BN150" s="140">
        <f t="shared" si="46"/>
        <v>1.7600000000000001E-7</v>
      </c>
      <c r="BO150" s="140">
        <f t="shared" si="47"/>
        <v>2.2000000000000001E-7</v>
      </c>
      <c r="BP150" s="157">
        <f>IF(BI150&lt;$B$105*DATA!$H$1037,DATA!$H$1037,IF(BI150&gt;DATA!$H$1036*$B$105,DATA!$H$1036,1))</f>
        <v>1.2</v>
      </c>
      <c r="BQ150" s="156">
        <f t="shared" si="48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3"/>
        <v>9.2000000000000003E-8</v>
      </c>
      <c r="E151" s="140">
        <f t="shared" si="3"/>
        <v>1.3800000000000002E-7</v>
      </c>
      <c r="F151" s="140">
        <f t="shared" si="3"/>
        <v>1.8400000000000003E-7</v>
      </c>
      <c r="G151" s="140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6"/>
        <v>9.9999999999999995E-8</v>
      </c>
      <c r="K151" s="140">
        <f t="shared" si="7"/>
        <v>4.6000000000000009E-6</v>
      </c>
      <c r="L151">
        <v>0.46</v>
      </c>
      <c r="M151" s="140">
        <f t="shared" si="8"/>
        <v>4.5999999999999995E-8</v>
      </c>
      <c r="N151" s="140">
        <f t="shared" si="9"/>
        <v>9.2000000000000003E-8</v>
      </c>
      <c r="O151" s="140">
        <f t="shared" si="10"/>
        <v>1.3800000000000002E-7</v>
      </c>
      <c r="P151" s="140">
        <f t="shared" si="11"/>
        <v>1.8400000000000003E-7</v>
      </c>
      <c r="Q151" s="140">
        <f t="shared" si="12"/>
        <v>2.3000000000000005E-7</v>
      </c>
      <c r="R151" s="157">
        <f>IF(K151&lt;$B$25*DATA!$H$1037,DATA!$H$1037,IF(K151&gt;DATA!$H$1036*$B$25,DATA!$H$1036,1))</f>
        <v>0.8</v>
      </c>
      <c r="S151" s="156">
        <f t="shared" si="13"/>
        <v>9.9999999999999995E-8</v>
      </c>
      <c r="U151" s="140">
        <f t="shared" si="14"/>
        <v>4.6000000000000009E-6</v>
      </c>
      <c r="V151">
        <v>0.46</v>
      </c>
      <c r="W151" s="140">
        <f t="shared" si="15"/>
        <v>4.5999999999999995E-8</v>
      </c>
      <c r="X151" s="140">
        <f t="shared" si="16"/>
        <v>9.2000000000000003E-8</v>
      </c>
      <c r="Y151" s="140">
        <f t="shared" si="17"/>
        <v>1.3800000000000002E-7</v>
      </c>
      <c r="Z151" s="140">
        <f t="shared" si="18"/>
        <v>1.8400000000000003E-7</v>
      </c>
      <c r="AA151" s="140">
        <f t="shared" si="19"/>
        <v>2.3000000000000005E-7</v>
      </c>
      <c r="AB151" s="157">
        <f>IF(U151&lt;$B$41*DATA!$H$1037,DATA!$H$1037,IF(U151&gt;DATA!$H$1036*$B$41,DATA!$H$1036,1))</f>
        <v>0.8</v>
      </c>
      <c r="AC151" s="156">
        <f t="shared" si="20"/>
        <v>9.9999999999999995E-8</v>
      </c>
      <c r="AE151" s="140">
        <f t="shared" si="21"/>
        <v>4.6000000000000009E-6</v>
      </c>
      <c r="AF151">
        <v>0.46</v>
      </c>
      <c r="AG151" s="140">
        <f t="shared" si="22"/>
        <v>4.5999999999999995E-8</v>
      </c>
      <c r="AH151" s="140">
        <f t="shared" si="23"/>
        <v>9.2000000000000003E-8</v>
      </c>
      <c r="AI151" s="140">
        <f t="shared" si="24"/>
        <v>1.3800000000000002E-7</v>
      </c>
      <c r="AJ151" s="140">
        <f t="shared" si="25"/>
        <v>1.8400000000000003E-7</v>
      </c>
      <c r="AK151" s="140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27"/>
        <v>9.9999999999999995E-8</v>
      </c>
      <c r="AO151" s="140">
        <f t="shared" si="28"/>
        <v>4.6000000000000009E-6</v>
      </c>
      <c r="AP151">
        <v>0.46</v>
      </c>
      <c r="AQ151" s="140">
        <f t="shared" si="29"/>
        <v>4.5999999999999995E-8</v>
      </c>
      <c r="AR151" s="140">
        <f t="shared" si="30"/>
        <v>9.2000000000000003E-8</v>
      </c>
      <c r="AS151" s="140">
        <f t="shared" si="31"/>
        <v>1.3800000000000002E-7</v>
      </c>
      <c r="AT151" s="140">
        <f t="shared" si="32"/>
        <v>1.8400000000000003E-7</v>
      </c>
      <c r="AU151" s="140">
        <f t="shared" si="33"/>
        <v>2.3000000000000005E-7</v>
      </c>
      <c r="AV151" s="157">
        <f>IF(AO151&lt;$B$73*DATA!$H$1037,DATA!$H$1037,IF(AO151&gt;DATA!$H$1036*$B$73,DATA!$H$1036,1))</f>
        <v>1.2</v>
      </c>
      <c r="AW151" s="156">
        <f t="shared" si="34"/>
        <v>9.9999999999999995E-8</v>
      </c>
      <c r="AY151" s="140">
        <f t="shared" si="35"/>
        <v>4.6000000000000009E-6</v>
      </c>
      <c r="AZ151">
        <v>0.46</v>
      </c>
      <c r="BA151" s="140">
        <f t="shared" si="36"/>
        <v>4.5999999999999995E-8</v>
      </c>
      <c r="BB151" s="140">
        <f t="shared" si="37"/>
        <v>9.2000000000000003E-8</v>
      </c>
      <c r="BC151" s="140">
        <f t="shared" si="38"/>
        <v>1.3800000000000002E-7</v>
      </c>
      <c r="BD151" s="140">
        <f t="shared" si="39"/>
        <v>1.8400000000000003E-7</v>
      </c>
      <c r="BE151" s="140">
        <f t="shared" si="40"/>
        <v>2.3000000000000005E-7</v>
      </c>
      <c r="BF151" s="157">
        <f>IF(AY151&lt;$B$89*DATA!$H$1037,DATA!$H$1037,IF(AY151&gt;DATA!$H$1036*$B$89,DATA!$H$1036,1))</f>
        <v>1.2</v>
      </c>
      <c r="BG151" s="156">
        <f t="shared" si="41"/>
        <v>9.9999999999999995E-8</v>
      </c>
      <c r="BI151" s="140">
        <f t="shared" si="42"/>
        <v>4.6000000000000009E-6</v>
      </c>
      <c r="BJ151">
        <v>0.46</v>
      </c>
      <c r="BK151" s="140">
        <f t="shared" si="43"/>
        <v>4.5999999999999995E-8</v>
      </c>
      <c r="BL151" s="140">
        <f t="shared" si="44"/>
        <v>9.2000000000000003E-8</v>
      </c>
      <c r="BM151" s="140">
        <f t="shared" si="45"/>
        <v>1.3800000000000002E-7</v>
      </c>
      <c r="BN151" s="140">
        <f t="shared" si="46"/>
        <v>1.8400000000000003E-7</v>
      </c>
      <c r="BO151" s="140">
        <f t="shared" si="47"/>
        <v>2.3000000000000005E-7</v>
      </c>
      <c r="BP151" s="157">
        <f>IF(BI151&lt;$B$105*DATA!$H$1037,DATA!$H$1037,IF(BI151&gt;DATA!$H$1036*$B$105,DATA!$H$1036,1))</f>
        <v>1.2</v>
      </c>
      <c r="BQ151" s="156">
        <f t="shared" si="48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3"/>
        <v>9.5999999999999999E-8</v>
      </c>
      <c r="E152" s="140">
        <f t="shared" si="3"/>
        <v>1.4400000000000002E-7</v>
      </c>
      <c r="F152" s="140">
        <f t="shared" si="3"/>
        <v>1.9200000000000003E-7</v>
      </c>
      <c r="G152" s="140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6"/>
        <v>9.9999999999999995E-8</v>
      </c>
      <c r="K152" s="140">
        <f t="shared" si="7"/>
        <v>4.8000000000000006E-6</v>
      </c>
      <c r="L152">
        <v>0.48</v>
      </c>
      <c r="M152" s="140">
        <f t="shared" si="8"/>
        <v>4.7999999999999993E-8</v>
      </c>
      <c r="N152" s="140">
        <f t="shared" si="9"/>
        <v>9.5999999999999999E-8</v>
      </c>
      <c r="O152" s="140">
        <f t="shared" si="10"/>
        <v>1.4400000000000002E-7</v>
      </c>
      <c r="P152" s="140">
        <f t="shared" si="11"/>
        <v>1.9200000000000003E-7</v>
      </c>
      <c r="Q152" s="140">
        <f t="shared" si="12"/>
        <v>2.4000000000000003E-7</v>
      </c>
      <c r="R152" s="157">
        <f>IF(K152&lt;$B$25*DATA!$H$1037,DATA!$H$1037,IF(K152&gt;DATA!$H$1036*$B$25,DATA!$H$1036,1))</f>
        <v>0.8</v>
      </c>
      <c r="S152" s="156">
        <f t="shared" si="13"/>
        <v>9.9999999999999995E-8</v>
      </c>
      <c r="U152" s="140">
        <f t="shared" si="14"/>
        <v>4.8000000000000006E-6</v>
      </c>
      <c r="V152">
        <v>0.48</v>
      </c>
      <c r="W152" s="140">
        <f t="shared" si="15"/>
        <v>4.7999999999999993E-8</v>
      </c>
      <c r="X152" s="140">
        <f t="shared" si="16"/>
        <v>9.5999999999999999E-8</v>
      </c>
      <c r="Y152" s="140">
        <f t="shared" si="17"/>
        <v>1.4400000000000002E-7</v>
      </c>
      <c r="Z152" s="140">
        <f t="shared" si="18"/>
        <v>1.9200000000000003E-7</v>
      </c>
      <c r="AA152" s="140">
        <f t="shared" si="19"/>
        <v>2.4000000000000003E-7</v>
      </c>
      <c r="AB152" s="157">
        <f>IF(U152&lt;$B$41*DATA!$H$1037,DATA!$H$1037,IF(U152&gt;DATA!$H$1036*$B$41,DATA!$H$1036,1))</f>
        <v>0.8</v>
      </c>
      <c r="AC152" s="156">
        <f t="shared" si="20"/>
        <v>9.9999999999999995E-8</v>
      </c>
      <c r="AE152" s="140">
        <f t="shared" si="21"/>
        <v>4.8000000000000006E-6</v>
      </c>
      <c r="AF152">
        <v>0.48</v>
      </c>
      <c r="AG152" s="140">
        <f t="shared" si="22"/>
        <v>4.7999999999999993E-8</v>
      </c>
      <c r="AH152" s="140">
        <f t="shared" si="23"/>
        <v>9.5999999999999999E-8</v>
      </c>
      <c r="AI152" s="140">
        <f t="shared" si="24"/>
        <v>1.4400000000000002E-7</v>
      </c>
      <c r="AJ152" s="140">
        <f t="shared" si="25"/>
        <v>1.9200000000000003E-7</v>
      </c>
      <c r="AK152" s="140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27"/>
        <v>9.9999999999999995E-8</v>
      </c>
      <c r="AO152" s="140">
        <f t="shared" si="28"/>
        <v>4.8000000000000006E-6</v>
      </c>
      <c r="AP152">
        <v>0.48</v>
      </c>
      <c r="AQ152" s="140">
        <f t="shared" si="29"/>
        <v>4.7999999999999993E-8</v>
      </c>
      <c r="AR152" s="140">
        <f t="shared" si="30"/>
        <v>9.5999999999999999E-8</v>
      </c>
      <c r="AS152" s="140">
        <f t="shared" si="31"/>
        <v>1.4400000000000002E-7</v>
      </c>
      <c r="AT152" s="140">
        <f t="shared" si="32"/>
        <v>1.9200000000000003E-7</v>
      </c>
      <c r="AU152" s="140">
        <f t="shared" si="33"/>
        <v>2.4000000000000003E-7</v>
      </c>
      <c r="AV152" s="157">
        <f>IF(AO152&lt;$B$73*DATA!$H$1037,DATA!$H$1037,IF(AO152&gt;DATA!$H$1036*$B$73,DATA!$H$1036,1))</f>
        <v>1.2</v>
      </c>
      <c r="AW152" s="156">
        <f t="shared" si="34"/>
        <v>9.9999999999999995E-8</v>
      </c>
      <c r="AY152" s="140">
        <f t="shared" si="35"/>
        <v>4.8000000000000006E-6</v>
      </c>
      <c r="AZ152">
        <v>0.48</v>
      </c>
      <c r="BA152" s="140">
        <f t="shared" si="36"/>
        <v>4.7999999999999993E-8</v>
      </c>
      <c r="BB152" s="140">
        <f t="shared" si="37"/>
        <v>9.5999999999999999E-8</v>
      </c>
      <c r="BC152" s="140">
        <f t="shared" si="38"/>
        <v>1.4400000000000002E-7</v>
      </c>
      <c r="BD152" s="140">
        <f t="shared" si="39"/>
        <v>1.9200000000000003E-7</v>
      </c>
      <c r="BE152" s="140">
        <f t="shared" si="40"/>
        <v>2.4000000000000003E-7</v>
      </c>
      <c r="BF152" s="157">
        <f>IF(AY152&lt;$B$89*DATA!$H$1037,DATA!$H$1037,IF(AY152&gt;DATA!$H$1036*$B$89,DATA!$H$1036,1))</f>
        <v>1.2</v>
      </c>
      <c r="BG152" s="156">
        <f t="shared" si="41"/>
        <v>9.9999999999999995E-8</v>
      </c>
      <c r="BI152" s="140">
        <f t="shared" si="42"/>
        <v>4.8000000000000006E-6</v>
      </c>
      <c r="BJ152">
        <v>0.48</v>
      </c>
      <c r="BK152" s="140">
        <f t="shared" si="43"/>
        <v>4.7999999999999993E-8</v>
      </c>
      <c r="BL152" s="140">
        <f t="shared" si="44"/>
        <v>9.5999999999999999E-8</v>
      </c>
      <c r="BM152" s="140">
        <f t="shared" si="45"/>
        <v>1.4400000000000002E-7</v>
      </c>
      <c r="BN152" s="140">
        <f t="shared" si="46"/>
        <v>1.9200000000000003E-7</v>
      </c>
      <c r="BO152" s="140">
        <f t="shared" si="47"/>
        <v>2.4000000000000003E-7</v>
      </c>
      <c r="BP152" s="157">
        <f>IF(BI152&lt;$B$105*DATA!$H$1037,DATA!$H$1037,IF(BI152&gt;DATA!$H$1036*$B$105,DATA!$H$1036,1))</f>
        <v>1.2</v>
      </c>
      <c r="BQ152" s="156">
        <f t="shared" si="48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3"/>
        <v>9.9999999999999995E-8</v>
      </c>
      <c r="E153" s="140">
        <f t="shared" si="3"/>
        <v>1.5000000000000002E-7</v>
      </c>
      <c r="F153" s="140">
        <f t="shared" si="3"/>
        <v>2.0000000000000002E-7</v>
      </c>
      <c r="G153" s="140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6"/>
        <v>9.9999999999999995E-8</v>
      </c>
      <c r="K153" s="140">
        <f t="shared" si="7"/>
        <v>5.0000000000000004E-6</v>
      </c>
      <c r="L153">
        <v>0.5</v>
      </c>
      <c r="M153" s="140">
        <f t="shared" si="8"/>
        <v>4.9999999999999985E-8</v>
      </c>
      <c r="N153" s="140">
        <f t="shared" si="9"/>
        <v>9.9999999999999995E-8</v>
      </c>
      <c r="O153" s="140">
        <f t="shared" si="10"/>
        <v>1.5000000000000002E-7</v>
      </c>
      <c r="P153" s="140">
        <f t="shared" si="11"/>
        <v>2.0000000000000002E-7</v>
      </c>
      <c r="Q153" s="140">
        <f t="shared" si="12"/>
        <v>2.5000000000000004E-7</v>
      </c>
      <c r="R153" s="157">
        <f>IF(K153&lt;$B$25*DATA!$H$1037,DATA!$H$1037,IF(K153&gt;DATA!$H$1036*$B$25,DATA!$H$1036,1))</f>
        <v>0.8</v>
      </c>
      <c r="S153" s="156">
        <f t="shared" si="13"/>
        <v>9.9999999999999995E-8</v>
      </c>
      <c r="U153" s="140">
        <f t="shared" si="14"/>
        <v>5.0000000000000004E-6</v>
      </c>
      <c r="V153">
        <v>0.5</v>
      </c>
      <c r="W153" s="140">
        <f t="shared" si="15"/>
        <v>4.9999999999999985E-8</v>
      </c>
      <c r="X153" s="140">
        <f t="shared" si="16"/>
        <v>9.9999999999999995E-8</v>
      </c>
      <c r="Y153" s="140">
        <f t="shared" si="17"/>
        <v>1.5000000000000002E-7</v>
      </c>
      <c r="Z153" s="140">
        <f t="shared" si="18"/>
        <v>2.0000000000000002E-7</v>
      </c>
      <c r="AA153" s="140">
        <f t="shared" si="19"/>
        <v>2.5000000000000004E-7</v>
      </c>
      <c r="AB153" s="157">
        <f>IF(U153&lt;$B$41*DATA!$H$1037,DATA!$H$1037,IF(U153&gt;DATA!$H$1036*$B$41,DATA!$H$1036,1))</f>
        <v>0.8</v>
      </c>
      <c r="AC153" s="156">
        <f t="shared" si="20"/>
        <v>9.9999999999999995E-8</v>
      </c>
      <c r="AE153" s="140">
        <f t="shared" si="21"/>
        <v>5.0000000000000004E-6</v>
      </c>
      <c r="AF153">
        <v>0.5</v>
      </c>
      <c r="AG153" s="140">
        <f t="shared" si="22"/>
        <v>4.9999999999999985E-8</v>
      </c>
      <c r="AH153" s="140">
        <f t="shared" si="23"/>
        <v>9.9999999999999995E-8</v>
      </c>
      <c r="AI153" s="140">
        <f t="shared" si="24"/>
        <v>1.5000000000000002E-7</v>
      </c>
      <c r="AJ153" s="140">
        <f t="shared" si="25"/>
        <v>2.0000000000000002E-7</v>
      </c>
      <c r="AK153" s="140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27"/>
        <v>9.9999999999999995E-8</v>
      </c>
      <c r="AO153" s="140">
        <f t="shared" si="28"/>
        <v>5.0000000000000004E-6</v>
      </c>
      <c r="AP153">
        <v>0.5</v>
      </c>
      <c r="AQ153" s="140">
        <f t="shared" si="29"/>
        <v>4.9999999999999985E-8</v>
      </c>
      <c r="AR153" s="140">
        <f t="shared" si="30"/>
        <v>9.9999999999999995E-8</v>
      </c>
      <c r="AS153" s="140">
        <f t="shared" si="31"/>
        <v>1.5000000000000002E-7</v>
      </c>
      <c r="AT153" s="140">
        <f t="shared" si="32"/>
        <v>2.0000000000000002E-7</v>
      </c>
      <c r="AU153" s="140">
        <f t="shared" si="33"/>
        <v>2.5000000000000004E-7</v>
      </c>
      <c r="AV153" s="157">
        <f>IF(AO153&lt;$B$73*DATA!$H$1037,DATA!$H$1037,IF(AO153&gt;DATA!$H$1036*$B$73,DATA!$H$1036,1))</f>
        <v>1.2</v>
      </c>
      <c r="AW153" s="156">
        <f t="shared" si="34"/>
        <v>9.9999999999999995E-8</v>
      </c>
      <c r="AY153" s="140">
        <f t="shared" si="35"/>
        <v>5.0000000000000004E-6</v>
      </c>
      <c r="AZ153">
        <v>0.5</v>
      </c>
      <c r="BA153" s="140">
        <f t="shared" si="36"/>
        <v>4.9999999999999985E-8</v>
      </c>
      <c r="BB153" s="140">
        <f t="shared" si="37"/>
        <v>9.9999999999999995E-8</v>
      </c>
      <c r="BC153" s="140">
        <f t="shared" si="38"/>
        <v>1.5000000000000002E-7</v>
      </c>
      <c r="BD153" s="140">
        <f t="shared" si="39"/>
        <v>2.0000000000000002E-7</v>
      </c>
      <c r="BE153" s="140">
        <f t="shared" si="40"/>
        <v>2.5000000000000004E-7</v>
      </c>
      <c r="BF153" s="157">
        <f>IF(AY153&lt;$B$89*DATA!$H$1037,DATA!$H$1037,IF(AY153&gt;DATA!$H$1036*$B$89,DATA!$H$1036,1))</f>
        <v>1.2</v>
      </c>
      <c r="BG153" s="156">
        <f t="shared" si="41"/>
        <v>9.9999999999999995E-8</v>
      </c>
      <c r="BI153" s="140">
        <f t="shared" si="42"/>
        <v>5.0000000000000004E-6</v>
      </c>
      <c r="BJ153">
        <v>0.5</v>
      </c>
      <c r="BK153" s="140">
        <f t="shared" si="43"/>
        <v>4.9999999999999985E-8</v>
      </c>
      <c r="BL153" s="140">
        <f t="shared" si="44"/>
        <v>9.9999999999999995E-8</v>
      </c>
      <c r="BM153" s="140">
        <f t="shared" si="45"/>
        <v>1.5000000000000002E-7</v>
      </c>
      <c r="BN153" s="140">
        <f t="shared" si="46"/>
        <v>2.0000000000000002E-7</v>
      </c>
      <c r="BO153" s="140">
        <f t="shared" si="47"/>
        <v>2.5000000000000004E-7</v>
      </c>
      <c r="BP153" s="157">
        <f>IF(BI153&lt;$B$105*DATA!$H$1037,DATA!$H$1037,IF(BI153&gt;DATA!$H$1036*$B$105,DATA!$H$1036,1))</f>
        <v>1.2</v>
      </c>
      <c r="BQ153" s="156">
        <f t="shared" si="48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3"/>
        <v>1.0399999999999999E-7</v>
      </c>
      <c r="E154" s="140">
        <f t="shared" si="3"/>
        <v>1.5599999999999999E-7</v>
      </c>
      <c r="F154" s="140">
        <f t="shared" si="3"/>
        <v>2.0800000000000001E-7</v>
      </c>
      <c r="G154" s="140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6"/>
        <v>9.9999999999999995E-8</v>
      </c>
      <c r="K154" s="140">
        <f t="shared" si="7"/>
        <v>5.2000000000000002E-6</v>
      </c>
      <c r="L154">
        <v>0.52</v>
      </c>
      <c r="M154" s="140">
        <f t="shared" si="8"/>
        <v>5.1999999999999983E-8</v>
      </c>
      <c r="N154" s="140">
        <f t="shared" si="9"/>
        <v>1.0399999999999999E-7</v>
      </c>
      <c r="O154" s="140">
        <f t="shared" si="10"/>
        <v>1.5599999999999999E-7</v>
      </c>
      <c r="P154" s="140">
        <f t="shared" si="11"/>
        <v>2.0800000000000001E-7</v>
      </c>
      <c r="Q154" s="140">
        <f t="shared" si="12"/>
        <v>2.6E-7</v>
      </c>
      <c r="R154" s="157">
        <f>IF(K154&lt;$B$25*DATA!$H$1037,DATA!$H$1037,IF(K154&gt;DATA!$H$1036*$B$25,DATA!$H$1036,1))</f>
        <v>0.8</v>
      </c>
      <c r="S154" s="156">
        <f t="shared" si="13"/>
        <v>9.9999999999999995E-8</v>
      </c>
      <c r="U154" s="140">
        <f t="shared" si="14"/>
        <v>5.2000000000000002E-6</v>
      </c>
      <c r="V154">
        <v>0.52</v>
      </c>
      <c r="W154" s="140">
        <f t="shared" si="15"/>
        <v>5.1999999999999983E-8</v>
      </c>
      <c r="X154" s="140">
        <f t="shared" si="16"/>
        <v>1.0399999999999999E-7</v>
      </c>
      <c r="Y154" s="140">
        <f t="shared" si="17"/>
        <v>1.5599999999999999E-7</v>
      </c>
      <c r="Z154" s="140">
        <f t="shared" si="18"/>
        <v>2.0800000000000001E-7</v>
      </c>
      <c r="AA154" s="140">
        <f t="shared" si="19"/>
        <v>2.6E-7</v>
      </c>
      <c r="AB154" s="157">
        <f>IF(U154&lt;$B$41*DATA!$H$1037,DATA!$H$1037,IF(U154&gt;DATA!$H$1036*$B$41,DATA!$H$1036,1))</f>
        <v>0.8</v>
      </c>
      <c r="AC154" s="156">
        <f t="shared" si="20"/>
        <v>9.9999999999999995E-8</v>
      </c>
      <c r="AE154" s="140">
        <f t="shared" si="21"/>
        <v>5.2000000000000002E-6</v>
      </c>
      <c r="AF154">
        <v>0.52</v>
      </c>
      <c r="AG154" s="140">
        <f t="shared" si="22"/>
        <v>5.1999999999999983E-8</v>
      </c>
      <c r="AH154" s="140">
        <f t="shared" si="23"/>
        <v>1.0399999999999999E-7</v>
      </c>
      <c r="AI154" s="140">
        <f t="shared" si="24"/>
        <v>1.5599999999999999E-7</v>
      </c>
      <c r="AJ154" s="140">
        <f t="shared" si="25"/>
        <v>2.0800000000000001E-7</v>
      </c>
      <c r="AK154" s="140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27"/>
        <v>9.9999999999999995E-8</v>
      </c>
      <c r="AO154" s="140">
        <f t="shared" si="28"/>
        <v>5.2000000000000002E-6</v>
      </c>
      <c r="AP154">
        <v>0.52</v>
      </c>
      <c r="AQ154" s="140">
        <f t="shared" si="29"/>
        <v>5.1999999999999983E-8</v>
      </c>
      <c r="AR154" s="140">
        <f t="shared" si="30"/>
        <v>1.0399999999999999E-7</v>
      </c>
      <c r="AS154" s="140">
        <f t="shared" si="31"/>
        <v>1.5599999999999999E-7</v>
      </c>
      <c r="AT154" s="140">
        <f t="shared" si="32"/>
        <v>2.0800000000000001E-7</v>
      </c>
      <c r="AU154" s="140">
        <f t="shared" si="33"/>
        <v>2.6E-7</v>
      </c>
      <c r="AV154" s="157">
        <f>IF(AO154&lt;$B$73*DATA!$H$1037,DATA!$H$1037,IF(AO154&gt;DATA!$H$1036*$B$73,DATA!$H$1036,1))</f>
        <v>1.2</v>
      </c>
      <c r="AW154" s="156">
        <f t="shared" si="34"/>
        <v>9.9999999999999995E-8</v>
      </c>
      <c r="AY154" s="140">
        <f t="shared" si="35"/>
        <v>5.2000000000000002E-6</v>
      </c>
      <c r="AZ154">
        <v>0.52</v>
      </c>
      <c r="BA154" s="140">
        <f t="shared" si="36"/>
        <v>5.1999999999999983E-8</v>
      </c>
      <c r="BB154" s="140">
        <f t="shared" si="37"/>
        <v>1.0399999999999999E-7</v>
      </c>
      <c r="BC154" s="140">
        <f t="shared" si="38"/>
        <v>1.5599999999999999E-7</v>
      </c>
      <c r="BD154" s="140">
        <f t="shared" si="39"/>
        <v>2.0800000000000001E-7</v>
      </c>
      <c r="BE154" s="140">
        <f t="shared" si="40"/>
        <v>2.6E-7</v>
      </c>
      <c r="BF154" s="157">
        <f>IF(AY154&lt;$B$89*DATA!$H$1037,DATA!$H$1037,IF(AY154&gt;DATA!$H$1036*$B$89,DATA!$H$1036,1))</f>
        <v>1.2</v>
      </c>
      <c r="BG154" s="156">
        <f t="shared" si="41"/>
        <v>9.9999999999999995E-8</v>
      </c>
      <c r="BI154" s="140">
        <f t="shared" si="42"/>
        <v>5.2000000000000002E-6</v>
      </c>
      <c r="BJ154">
        <v>0.52</v>
      </c>
      <c r="BK154" s="140">
        <f t="shared" si="43"/>
        <v>5.1999999999999983E-8</v>
      </c>
      <c r="BL154" s="140">
        <f t="shared" si="44"/>
        <v>1.0399999999999999E-7</v>
      </c>
      <c r="BM154" s="140">
        <f t="shared" si="45"/>
        <v>1.5599999999999999E-7</v>
      </c>
      <c r="BN154" s="140">
        <f t="shared" si="46"/>
        <v>2.0800000000000001E-7</v>
      </c>
      <c r="BO154" s="140">
        <f t="shared" si="47"/>
        <v>2.6E-7</v>
      </c>
      <c r="BP154" s="157">
        <f>IF(BI154&lt;$B$105*DATA!$H$1037,DATA!$H$1037,IF(BI154&gt;DATA!$H$1036*$B$105,DATA!$H$1036,1))</f>
        <v>1.2</v>
      </c>
      <c r="BQ154" s="156">
        <f t="shared" si="48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3"/>
        <v>1.08E-7</v>
      </c>
      <c r="E155" s="140">
        <f t="shared" si="3"/>
        <v>1.6200000000000002E-7</v>
      </c>
      <c r="F155" s="140">
        <f t="shared" si="3"/>
        <v>2.1600000000000003E-7</v>
      </c>
      <c r="G155" s="140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6"/>
        <v>9.9999999999999995E-8</v>
      </c>
      <c r="K155" s="140">
        <f t="shared" si="7"/>
        <v>5.4000000000000008E-6</v>
      </c>
      <c r="L155">
        <v>0.54</v>
      </c>
      <c r="M155" s="140">
        <f t="shared" si="8"/>
        <v>5.3999999999999987E-8</v>
      </c>
      <c r="N155" s="140">
        <f t="shared" si="9"/>
        <v>1.08E-7</v>
      </c>
      <c r="O155" s="140">
        <f t="shared" si="10"/>
        <v>1.6200000000000002E-7</v>
      </c>
      <c r="P155" s="140">
        <f t="shared" si="11"/>
        <v>2.1600000000000003E-7</v>
      </c>
      <c r="Q155" s="140">
        <f t="shared" si="12"/>
        <v>2.7000000000000006E-7</v>
      </c>
      <c r="R155" s="157">
        <f>IF(K155&lt;$B$25*DATA!$H$1037,DATA!$H$1037,IF(K155&gt;DATA!$H$1036*$B$25,DATA!$H$1036,1))</f>
        <v>0.8</v>
      </c>
      <c r="S155" s="156">
        <f t="shared" si="13"/>
        <v>9.9999999999999995E-8</v>
      </c>
      <c r="U155" s="140">
        <f t="shared" si="14"/>
        <v>5.4000000000000008E-6</v>
      </c>
      <c r="V155">
        <v>0.54</v>
      </c>
      <c r="W155" s="140">
        <f t="shared" si="15"/>
        <v>5.3999999999999987E-8</v>
      </c>
      <c r="X155" s="140">
        <f t="shared" si="16"/>
        <v>1.08E-7</v>
      </c>
      <c r="Y155" s="140">
        <f t="shared" si="17"/>
        <v>1.6200000000000002E-7</v>
      </c>
      <c r="Z155" s="140">
        <f t="shared" si="18"/>
        <v>2.1600000000000003E-7</v>
      </c>
      <c r="AA155" s="140">
        <f t="shared" si="19"/>
        <v>2.7000000000000006E-7</v>
      </c>
      <c r="AB155" s="157">
        <f>IF(U155&lt;$B$41*DATA!$H$1037,DATA!$H$1037,IF(U155&gt;DATA!$H$1036*$B$41,DATA!$H$1036,1))</f>
        <v>0.8</v>
      </c>
      <c r="AC155" s="156">
        <f t="shared" si="20"/>
        <v>9.9999999999999995E-8</v>
      </c>
      <c r="AE155" s="140">
        <f t="shared" si="21"/>
        <v>5.4000000000000008E-6</v>
      </c>
      <c r="AF155">
        <v>0.54</v>
      </c>
      <c r="AG155" s="140">
        <f t="shared" si="22"/>
        <v>5.3999999999999987E-8</v>
      </c>
      <c r="AH155" s="140">
        <f t="shared" si="23"/>
        <v>1.08E-7</v>
      </c>
      <c r="AI155" s="140">
        <f t="shared" si="24"/>
        <v>1.6200000000000002E-7</v>
      </c>
      <c r="AJ155" s="140">
        <f t="shared" si="25"/>
        <v>2.1600000000000003E-7</v>
      </c>
      <c r="AK155" s="140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27"/>
        <v>9.9999999999999995E-8</v>
      </c>
      <c r="AO155" s="140">
        <f t="shared" si="28"/>
        <v>5.4000000000000008E-6</v>
      </c>
      <c r="AP155">
        <v>0.54</v>
      </c>
      <c r="AQ155" s="140">
        <f t="shared" si="29"/>
        <v>5.3999999999999987E-8</v>
      </c>
      <c r="AR155" s="140">
        <f t="shared" si="30"/>
        <v>1.08E-7</v>
      </c>
      <c r="AS155" s="140">
        <f t="shared" si="31"/>
        <v>1.6200000000000002E-7</v>
      </c>
      <c r="AT155" s="140">
        <f t="shared" si="32"/>
        <v>2.1600000000000003E-7</v>
      </c>
      <c r="AU155" s="140">
        <f t="shared" si="33"/>
        <v>2.7000000000000006E-7</v>
      </c>
      <c r="AV155" s="157">
        <f>IF(AO155&lt;$B$73*DATA!$H$1037,DATA!$H$1037,IF(AO155&gt;DATA!$H$1036*$B$73,DATA!$H$1036,1))</f>
        <v>1.2</v>
      </c>
      <c r="AW155" s="156">
        <f t="shared" si="34"/>
        <v>9.9999999999999995E-8</v>
      </c>
      <c r="AY155" s="140">
        <f t="shared" si="35"/>
        <v>5.4000000000000008E-6</v>
      </c>
      <c r="AZ155">
        <v>0.54</v>
      </c>
      <c r="BA155" s="140">
        <f t="shared" si="36"/>
        <v>5.3999999999999987E-8</v>
      </c>
      <c r="BB155" s="140">
        <f t="shared" si="37"/>
        <v>1.08E-7</v>
      </c>
      <c r="BC155" s="140">
        <f t="shared" si="38"/>
        <v>1.6200000000000002E-7</v>
      </c>
      <c r="BD155" s="140">
        <f t="shared" si="39"/>
        <v>2.1600000000000003E-7</v>
      </c>
      <c r="BE155" s="140">
        <f t="shared" si="40"/>
        <v>2.7000000000000006E-7</v>
      </c>
      <c r="BF155" s="157">
        <f>IF(AY155&lt;$B$89*DATA!$H$1037,DATA!$H$1037,IF(AY155&gt;DATA!$H$1036*$B$89,DATA!$H$1036,1))</f>
        <v>1.2</v>
      </c>
      <c r="BG155" s="156">
        <f t="shared" si="41"/>
        <v>9.9999999999999995E-8</v>
      </c>
      <c r="BI155" s="140">
        <f t="shared" si="42"/>
        <v>5.4000000000000008E-6</v>
      </c>
      <c r="BJ155">
        <v>0.54</v>
      </c>
      <c r="BK155" s="140">
        <f t="shared" si="43"/>
        <v>5.3999999999999987E-8</v>
      </c>
      <c r="BL155" s="140">
        <f t="shared" si="44"/>
        <v>1.08E-7</v>
      </c>
      <c r="BM155" s="140">
        <f t="shared" si="45"/>
        <v>1.6200000000000002E-7</v>
      </c>
      <c r="BN155" s="140">
        <f t="shared" si="46"/>
        <v>2.1600000000000003E-7</v>
      </c>
      <c r="BO155" s="140">
        <f t="shared" si="47"/>
        <v>2.7000000000000006E-7</v>
      </c>
      <c r="BP155" s="157">
        <f>IF(BI155&lt;$B$105*DATA!$H$1037,DATA!$H$1037,IF(BI155&gt;DATA!$H$1036*$B$105,DATA!$H$1036,1))</f>
        <v>1.2</v>
      </c>
      <c r="BQ155" s="156">
        <f t="shared" si="48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3"/>
        <v>1.12E-7</v>
      </c>
      <c r="E156" s="140">
        <f t="shared" si="3"/>
        <v>1.6800000000000002E-7</v>
      </c>
      <c r="F156" s="140">
        <f t="shared" si="3"/>
        <v>2.2400000000000002E-7</v>
      </c>
      <c r="G156" s="140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6"/>
        <v>9.9999999999999995E-8</v>
      </c>
      <c r="K156" s="140">
        <f t="shared" si="7"/>
        <v>5.6000000000000006E-6</v>
      </c>
      <c r="L156">
        <v>0.56000000000000005</v>
      </c>
      <c r="M156" s="140">
        <f t="shared" si="8"/>
        <v>5.5999999999999985E-8</v>
      </c>
      <c r="N156" s="140">
        <f t="shared" si="9"/>
        <v>1.12E-7</v>
      </c>
      <c r="O156" s="140">
        <f t="shared" si="10"/>
        <v>1.6800000000000002E-7</v>
      </c>
      <c r="P156" s="140">
        <f t="shared" si="11"/>
        <v>2.2400000000000002E-7</v>
      </c>
      <c r="Q156" s="140">
        <f t="shared" si="12"/>
        <v>2.8000000000000002E-7</v>
      </c>
      <c r="R156" s="157">
        <f>IF(K156&lt;$B$25*DATA!$H$1037,DATA!$H$1037,IF(K156&gt;DATA!$H$1036*$B$25,DATA!$H$1036,1))</f>
        <v>0.8</v>
      </c>
      <c r="S156" s="156">
        <f t="shared" si="13"/>
        <v>9.9999999999999995E-8</v>
      </c>
      <c r="U156" s="140">
        <f t="shared" si="14"/>
        <v>5.6000000000000006E-6</v>
      </c>
      <c r="V156">
        <v>0.56000000000000005</v>
      </c>
      <c r="W156" s="140">
        <f t="shared" si="15"/>
        <v>5.5999999999999985E-8</v>
      </c>
      <c r="X156" s="140">
        <f t="shared" si="16"/>
        <v>1.12E-7</v>
      </c>
      <c r="Y156" s="140">
        <f t="shared" si="17"/>
        <v>1.6800000000000002E-7</v>
      </c>
      <c r="Z156" s="140">
        <f t="shared" si="18"/>
        <v>2.2400000000000002E-7</v>
      </c>
      <c r="AA156" s="140">
        <f t="shared" si="19"/>
        <v>2.8000000000000002E-7</v>
      </c>
      <c r="AB156" s="157">
        <f>IF(U156&lt;$B$41*DATA!$H$1037,DATA!$H$1037,IF(U156&gt;DATA!$H$1036*$B$41,DATA!$H$1036,1))</f>
        <v>0.8</v>
      </c>
      <c r="AC156" s="156">
        <f t="shared" si="20"/>
        <v>9.9999999999999995E-8</v>
      </c>
      <c r="AE156" s="140">
        <f t="shared" si="21"/>
        <v>5.6000000000000006E-6</v>
      </c>
      <c r="AF156">
        <v>0.56000000000000005</v>
      </c>
      <c r="AG156" s="140">
        <f t="shared" si="22"/>
        <v>5.5999999999999985E-8</v>
      </c>
      <c r="AH156" s="140">
        <f t="shared" si="23"/>
        <v>1.12E-7</v>
      </c>
      <c r="AI156" s="140">
        <f t="shared" si="24"/>
        <v>1.6800000000000002E-7</v>
      </c>
      <c r="AJ156" s="140">
        <f t="shared" si="25"/>
        <v>2.2400000000000002E-7</v>
      </c>
      <c r="AK156" s="140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27"/>
        <v>9.9999999999999995E-8</v>
      </c>
      <c r="AO156" s="140">
        <f t="shared" si="28"/>
        <v>5.6000000000000006E-6</v>
      </c>
      <c r="AP156">
        <v>0.56000000000000005</v>
      </c>
      <c r="AQ156" s="140">
        <f t="shared" si="29"/>
        <v>5.5999999999999985E-8</v>
      </c>
      <c r="AR156" s="140">
        <f t="shared" si="30"/>
        <v>1.12E-7</v>
      </c>
      <c r="AS156" s="140">
        <f t="shared" si="31"/>
        <v>1.6800000000000002E-7</v>
      </c>
      <c r="AT156" s="140">
        <f t="shared" si="32"/>
        <v>2.2400000000000002E-7</v>
      </c>
      <c r="AU156" s="140">
        <f t="shared" si="33"/>
        <v>2.8000000000000002E-7</v>
      </c>
      <c r="AV156" s="157">
        <f>IF(AO156&lt;$B$73*DATA!$H$1037,DATA!$H$1037,IF(AO156&gt;DATA!$H$1036*$B$73,DATA!$H$1036,1))</f>
        <v>1.2</v>
      </c>
      <c r="AW156" s="156">
        <f t="shared" si="34"/>
        <v>9.9999999999999995E-8</v>
      </c>
      <c r="AY156" s="140">
        <f t="shared" si="35"/>
        <v>5.6000000000000006E-6</v>
      </c>
      <c r="AZ156">
        <v>0.56000000000000005</v>
      </c>
      <c r="BA156" s="140">
        <f t="shared" si="36"/>
        <v>5.5999999999999985E-8</v>
      </c>
      <c r="BB156" s="140">
        <f t="shared" si="37"/>
        <v>1.12E-7</v>
      </c>
      <c r="BC156" s="140">
        <f t="shared" si="38"/>
        <v>1.6800000000000002E-7</v>
      </c>
      <c r="BD156" s="140">
        <f t="shared" si="39"/>
        <v>2.2400000000000002E-7</v>
      </c>
      <c r="BE156" s="140">
        <f t="shared" si="40"/>
        <v>2.8000000000000002E-7</v>
      </c>
      <c r="BF156" s="157">
        <f>IF(AY156&lt;$B$89*DATA!$H$1037,DATA!$H$1037,IF(AY156&gt;DATA!$H$1036*$B$89,DATA!$H$1036,1))</f>
        <v>1.2</v>
      </c>
      <c r="BG156" s="156">
        <f t="shared" si="41"/>
        <v>9.9999999999999995E-8</v>
      </c>
      <c r="BI156" s="140">
        <f t="shared" si="42"/>
        <v>5.6000000000000006E-6</v>
      </c>
      <c r="BJ156">
        <v>0.56000000000000005</v>
      </c>
      <c r="BK156" s="140">
        <f t="shared" si="43"/>
        <v>5.5999999999999985E-8</v>
      </c>
      <c r="BL156" s="140">
        <f t="shared" si="44"/>
        <v>1.12E-7</v>
      </c>
      <c r="BM156" s="140">
        <f t="shared" si="45"/>
        <v>1.6800000000000002E-7</v>
      </c>
      <c r="BN156" s="140">
        <f t="shared" si="46"/>
        <v>2.2400000000000002E-7</v>
      </c>
      <c r="BO156" s="140">
        <f t="shared" si="47"/>
        <v>2.8000000000000002E-7</v>
      </c>
      <c r="BP156" s="157">
        <f>IF(BI156&lt;$B$105*DATA!$H$1037,DATA!$H$1037,IF(BI156&gt;DATA!$H$1036*$B$105,DATA!$H$1036,1))</f>
        <v>1.2</v>
      </c>
      <c r="BQ156" s="156">
        <f t="shared" si="48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3"/>
        <v>1.1599999999999999E-7</v>
      </c>
      <c r="E157" s="140">
        <f t="shared" si="3"/>
        <v>1.74E-7</v>
      </c>
      <c r="F157" s="140">
        <f t="shared" si="3"/>
        <v>2.3200000000000001E-7</v>
      </c>
      <c r="G157" s="140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6"/>
        <v>9.9999999999999995E-8</v>
      </c>
      <c r="K157" s="140">
        <f t="shared" si="7"/>
        <v>5.8000000000000004E-6</v>
      </c>
      <c r="L157">
        <v>0.57999999999999996</v>
      </c>
      <c r="M157" s="140">
        <f t="shared" si="8"/>
        <v>5.7999999999999983E-8</v>
      </c>
      <c r="N157" s="140">
        <f t="shared" si="9"/>
        <v>1.1599999999999999E-7</v>
      </c>
      <c r="O157" s="140">
        <f t="shared" si="10"/>
        <v>1.74E-7</v>
      </c>
      <c r="P157" s="140">
        <f t="shared" si="11"/>
        <v>2.3200000000000001E-7</v>
      </c>
      <c r="Q157" s="140">
        <f t="shared" si="12"/>
        <v>2.9000000000000003E-7</v>
      </c>
      <c r="R157" s="157">
        <f>IF(K157&lt;$B$25*DATA!$H$1037,DATA!$H$1037,IF(K157&gt;DATA!$H$1036*$B$25,DATA!$H$1036,1))</f>
        <v>0.8</v>
      </c>
      <c r="S157" s="156">
        <f t="shared" si="13"/>
        <v>9.9999999999999995E-8</v>
      </c>
      <c r="U157" s="140">
        <f t="shared" si="14"/>
        <v>5.8000000000000004E-6</v>
      </c>
      <c r="V157">
        <v>0.57999999999999996</v>
      </c>
      <c r="W157" s="140">
        <f t="shared" si="15"/>
        <v>5.7999999999999983E-8</v>
      </c>
      <c r="X157" s="140">
        <f t="shared" si="16"/>
        <v>1.1599999999999999E-7</v>
      </c>
      <c r="Y157" s="140">
        <f t="shared" si="17"/>
        <v>1.74E-7</v>
      </c>
      <c r="Z157" s="140">
        <f t="shared" si="18"/>
        <v>2.3200000000000001E-7</v>
      </c>
      <c r="AA157" s="140">
        <f t="shared" si="19"/>
        <v>2.9000000000000003E-7</v>
      </c>
      <c r="AB157" s="157">
        <f>IF(U157&lt;$B$41*DATA!$H$1037,DATA!$H$1037,IF(U157&gt;DATA!$H$1036*$B$41,DATA!$H$1036,1))</f>
        <v>0.8</v>
      </c>
      <c r="AC157" s="156">
        <f t="shared" si="20"/>
        <v>9.9999999999999995E-8</v>
      </c>
      <c r="AE157" s="140">
        <f t="shared" si="21"/>
        <v>5.8000000000000004E-6</v>
      </c>
      <c r="AF157">
        <v>0.57999999999999996</v>
      </c>
      <c r="AG157" s="140">
        <f t="shared" si="22"/>
        <v>5.7999999999999983E-8</v>
      </c>
      <c r="AH157" s="140">
        <f t="shared" si="23"/>
        <v>1.1599999999999999E-7</v>
      </c>
      <c r="AI157" s="140">
        <f t="shared" si="24"/>
        <v>1.74E-7</v>
      </c>
      <c r="AJ157" s="140">
        <f t="shared" si="25"/>
        <v>2.3200000000000001E-7</v>
      </c>
      <c r="AK157" s="140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27"/>
        <v>9.9999999999999995E-8</v>
      </c>
      <c r="AO157" s="140">
        <f t="shared" si="28"/>
        <v>5.8000000000000004E-6</v>
      </c>
      <c r="AP157">
        <v>0.57999999999999996</v>
      </c>
      <c r="AQ157" s="140">
        <f t="shared" si="29"/>
        <v>5.7999999999999983E-8</v>
      </c>
      <c r="AR157" s="140">
        <f t="shared" si="30"/>
        <v>1.1599999999999999E-7</v>
      </c>
      <c r="AS157" s="140">
        <f t="shared" si="31"/>
        <v>1.74E-7</v>
      </c>
      <c r="AT157" s="140">
        <f t="shared" si="32"/>
        <v>2.3200000000000001E-7</v>
      </c>
      <c r="AU157" s="140">
        <f t="shared" si="33"/>
        <v>2.9000000000000003E-7</v>
      </c>
      <c r="AV157" s="157">
        <f>IF(AO157&lt;$B$73*DATA!$H$1037,DATA!$H$1037,IF(AO157&gt;DATA!$H$1036*$B$73,DATA!$H$1036,1))</f>
        <v>1.2</v>
      </c>
      <c r="AW157" s="156">
        <f t="shared" si="34"/>
        <v>9.9999999999999995E-8</v>
      </c>
      <c r="AY157" s="140">
        <f t="shared" si="35"/>
        <v>5.8000000000000004E-6</v>
      </c>
      <c r="AZ157">
        <v>0.57999999999999996</v>
      </c>
      <c r="BA157" s="140">
        <f t="shared" si="36"/>
        <v>5.7999999999999983E-8</v>
      </c>
      <c r="BB157" s="140">
        <f t="shared" si="37"/>
        <v>1.1599999999999999E-7</v>
      </c>
      <c r="BC157" s="140">
        <f t="shared" si="38"/>
        <v>1.74E-7</v>
      </c>
      <c r="BD157" s="140">
        <f t="shared" si="39"/>
        <v>2.3200000000000001E-7</v>
      </c>
      <c r="BE157" s="140">
        <f t="shared" si="40"/>
        <v>2.9000000000000003E-7</v>
      </c>
      <c r="BF157" s="157">
        <f>IF(AY157&lt;$B$89*DATA!$H$1037,DATA!$H$1037,IF(AY157&gt;DATA!$H$1036*$B$89,DATA!$H$1036,1))</f>
        <v>1.2</v>
      </c>
      <c r="BG157" s="156">
        <f t="shared" si="41"/>
        <v>9.9999999999999995E-8</v>
      </c>
      <c r="BI157" s="140">
        <f t="shared" si="42"/>
        <v>5.8000000000000004E-6</v>
      </c>
      <c r="BJ157">
        <v>0.57999999999999996</v>
      </c>
      <c r="BK157" s="140">
        <f t="shared" si="43"/>
        <v>5.7999999999999983E-8</v>
      </c>
      <c r="BL157" s="140">
        <f t="shared" si="44"/>
        <v>1.1599999999999999E-7</v>
      </c>
      <c r="BM157" s="140">
        <f t="shared" si="45"/>
        <v>1.74E-7</v>
      </c>
      <c r="BN157" s="140">
        <f t="shared" si="46"/>
        <v>2.3200000000000001E-7</v>
      </c>
      <c r="BO157" s="140">
        <f t="shared" si="47"/>
        <v>2.9000000000000003E-7</v>
      </c>
      <c r="BP157" s="157">
        <f>IF(BI157&lt;$B$105*DATA!$H$1037,DATA!$H$1037,IF(BI157&gt;DATA!$H$1036*$B$105,DATA!$H$1036,1))</f>
        <v>1.2</v>
      </c>
      <c r="BQ157" s="156">
        <f t="shared" si="48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3"/>
        <v>1.1999999999999999E-7</v>
      </c>
      <c r="E158" s="140">
        <f t="shared" si="3"/>
        <v>1.8E-7</v>
      </c>
      <c r="F158" s="140">
        <f t="shared" si="3"/>
        <v>2.4000000000000003E-7</v>
      </c>
      <c r="G158" s="140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6"/>
        <v>9.9999999999999995E-8</v>
      </c>
      <c r="K158" s="140">
        <f t="shared" si="7"/>
        <v>6.0000000000000002E-6</v>
      </c>
      <c r="L158">
        <v>0.6</v>
      </c>
      <c r="M158" s="140">
        <f t="shared" si="8"/>
        <v>5.9999999999999981E-8</v>
      </c>
      <c r="N158" s="140">
        <f t="shared" si="9"/>
        <v>1.1999999999999999E-7</v>
      </c>
      <c r="O158" s="140">
        <f t="shared" si="10"/>
        <v>1.8E-7</v>
      </c>
      <c r="P158" s="140">
        <f t="shared" si="11"/>
        <v>2.4000000000000003E-7</v>
      </c>
      <c r="Q158" s="140">
        <f t="shared" si="12"/>
        <v>3.0000000000000004E-7</v>
      </c>
      <c r="R158" s="157">
        <f>IF(K158&lt;$B$25*DATA!$H$1037,DATA!$H$1037,IF(K158&gt;DATA!$H$1036*$B$25,DATA!$H$1036,1))</f>
        <v>0.8</v>
      </c>
      <c r="S158" s="156">
        <f t="shared" si="13"/>
        <v>9.9999999999999995E-8</v>
      </c>
      <c r="U158" s="140">
        <f t="shared" si="14"/>
        <v>6.0000000000000002E-6</v>
      </c>
      <c r="V158">
        <v>0.6</v>
      </c>
      <c r="W158" s="140">
        <f t="shared" si="15"/>
        <v>5.9999999999999981E-8</v>
      </c>
      <c r="X158" s="140">
        <f t="shared" si="16"/>
        <v>1.1999999999999999E-7</v>
      </c>
      <c r="Y158" s="140">
        <f t="shared" si="17"/>
        <v>1.8E-7</v>
      </c>
      <c r="Z158" s="140">
        <f t="shared" si="18"/>
        <v>2.4000000000000003E-7</v>
      </c>
      <c r="AA158" s="140">
        <f t="shared" si="19"/>
        <v>3.0000000000000004E-7</v>
      </c>
      <c r="AB158" s="157">
        <f>IF(U158&lt;$B$41*DATA!$H$1037,DATA!$H$1037,IF(U158&gt;DATA!$H$1036*$B$41,DATA!$H$1036,1))</f>
        <v>0.8</v>
      </c>
      <c r="AC158" s="156">
        <f t="shared" si="20"/>
        <v>9.9999999999999995E-8</v>
      </c>
      <c r="AE158" s="140">
        <f t="shared" si="21"/>
        <v>6.0000000000000002E-6</v>
      </c>
      <c r="AF158">
        <v>0.6</v>
      </c>
      <c r="AG158" s="140">
        <f t="shared" si="22"/>
        <v>5.9999999999999981E-8</v>
      </c>
      <c r="AH158" s="140">
        <f t="shared" si="23"/>
        <v>1.1999999999999999E-7</v>
      </c>
      <c r="AI158" s="140">
        <f t="shared" si="24"/>
        <v>1.8E-7</v>
      </c>
      <c r="AJ158" s="140">
        <f t="shared" si="25"/>
        <v>2.4000000000000003E-7</v>
      </c>
      <c r="AK158" s="140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27"/>
        <v>9.9999999999999995E-8</v>
      </c>
      <c r="AO158" s="140">
        <f t="shared" si="28"/>
        <v>6.0000000000000002E-6</v>
      </c>
      <c r="AP158">
        <v>0.6</v>
      </c>
      <c r="AQ158" s="140">
        <f t="shared" si="29"/>
        <v>5.9999999999999981E-8</v>
      </c>
      <c r="AR158" s="140">
        <f t="shared" si="30"/>
        <v>1.1999999999999999E-7</v>
      </c>
      <c r="AS158" s="140">
        <f t="shared" si="31"/>
        <v>1.8E-7</v>
      </c>
      <c r="AT158" s="140">
        <f t="shared" si="32"/>
        <v>2.4000000000000003E-7</v>
      </c>
      <c r="AU158" s="140">
        <f t="shared" si="33"/>
        <v>3.0000000000000004E-7</v>
      </c>
      <c r="AV158" s="157">
        <f>IF(AO158&lt;$B$73*DATA!$H$1037,DATA!$H$1037,IF(AO158&gt;DATA!$H$1036*$B$73,DATA!$H$1036,1))</f>
        <v>1.2</v>
      </c>
      <c r="AW158" s="156">
        <f t="shared" si="34"/>
        <v>9.9999999999999995E-8</v>
      </c>
      <c r="AY158" s="140">
        <f t="shared" si="35"/>
        <v>6.0000000000000002E-6</v>
      </c>
      <c r="AZ158">
        <v>0.6</v>
      </c>
      <c r="BA158" s="140">
        <f t="shared" si="36"/>
        <v>5.9999999999999981E-8</v>
      </c>
      <c r="BB158" s="140">
        <f t="shared" si="37"/>
        <v>1.1999999999999999E-7</v>
      </c>
      <c r="BC158" s="140">
        <f t="shared" si="38"/>
        <v>1.8E-7</v>
      </c>
      <c r="BD158" s="140">
        <f t="shared" si="39"/>
        <v>2.4000000000000003E-7</v>
      </c>
      <c r="BE158" s="140">
        <f t="shared" si="40"/>
        <v>3.0000000000000004E-7</v>
      </c>
      <c r="BF158" s="157">
        <f>IF(AY158&lt;$B$89*DATA!$H$1037,DATA!$H$1037,IF(AY158&gt;DATA!$H$1036*$B$89,DATA!$H$1036,1))</f>
        <v>1.2</v>
      </c>
      <c r="BG158" s="156">
        <f t="shared" si="41"/>
        <v>9.9999999999999995E-8</v>
      </c>
      <c r="BI158" s="140">
        <f t="shared" si="42"/>
        <v>6.0000000000000002E-6</v>
      </c>
      <c r="BJ158">
        <v>0.6</v>
      </c>
      <c r="BK158" s="140">
        <f t="shared" si="43"/>
        <v>5.9999999999999981E-8</v>
      </c>
      <c r="BL158" s="140">
        <f t="shared" si="44"/>
        <v>1.1999999999999999E-7</v>
      </c>
      <c r="BM158" s="140">
        <f t="shared" si="45"/>
        <v>1.8E-7</v>
      </c>
      <c r="BN158" s="140">
        <f t="shared" si="46"/>
        <v>2.4000000000000003E-7</v>
      </c>
      <c r="BO158" s="140">
        <f t="shared" si="47"/>
        <v>3.0000000000000004E-7</v>
      </c>
      <c r="BP158" s="157">
        <f>IF(BI158&lt;$B$105*DATA!$H$1037,DATA!$H$1037,IF(BI158&gt;DATA!$H$1036*$B$105,DATA!$H$1036,1))</f>
        <v>1.2</v>
      </c>
      <c r="BQ158" s="156">
        <f t="shared" si="48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si="5"/>
        <v>6.1999999999999986E-8</v>
      </c>
      <c r="D159" s="140">
        <f t="shared" si="5"/>
        <v>1.24E-7</v>
      </c>
      <c r="E159" s="140">
        <f t="shared" si="5"/>
        <v>1.8600000000000002E-7</v>
      </c>
      <c r="F159" s="140">
        <f t="shared" si="5"/>
        <v>2.4800000000000005E-7</v>
      </c>
      <c r="G159" s="140">
        <f t="shared" si="5"/>
        <v>3.1000000000000005E-7</v>
      </c>
      <c r="H159" s="157">
        <f>IF(A159&lt;$B$9*DATA!$H$1037,DATA!$H$1037,IF(A159&gt;DATA!$H$1036*$B$9,DATA!$H$1036,1))</f>
        <v>0.8</v>
      </c>
      <c r="I159" s="156">
        <f t="shared" si="6"/>
        <v>9.9999999999999995E-8</v>
      </c>
      <c r="K159" s="140">
        <f t="shared" si="7"/>
        <v>6.2000000000000008E-6</v>
      </c>
      <c r="L159">
        <v>0.62</v>
      </c>
      <c r="M159" s="140">
        <f t="shared" si="8"/>
        <v>6.1999999999999986E-8</v>
      </c>
      <c r="N159" s="140">
        <f t="shared" si="9"/>
        <v>1.24E-7</v>
      </c>
      <c r="O159" s="140">
        <f t="shared" si="10"/>
        <v>1.8600000000000002E-7</v>
      </c>
      <c r="P159" s="140">
        <f t="shared" si="11"/>
        <v>2.4800000000000005E-7</v>
      </c>
      <c r="Q159" s="140">
        <f t="shared" si="12"/>
        <v>3.1000000000000005E-7</v>
      </c>
      <c r="R159" s="157">
        <f>IF(K159&lt;$B$25*DATA!$H$1037,DATA!$H$1037,IF(K159&gt;DATA!$H$1036*$B$25,DATA!$H$1036,1))</f>
        <v>0.8</v>
      </c>
      <c r="S159" s="156">
        <f t="shared" si="13"/>
        <v>9.9999999999999995E-8</v>
      </c>
      <c r="U159" s="140">
        <f t="shared" si="14"/>
        <v>6.2000000000000008E-6</v>
      </c>
      <c r="V159">
        <v>0.62</v>
      </c>
      <c r="W159" s="140">
        <f t="shared" si="15"/>
        <v>6.1999999999999986E-8</v>
      </c>
      <c r="X159" s="140">
        <f t="shared" si="16"/>
        <v>1.24E-7</v>
      </c>
      <c r="Y159" s="140">
        <f t="shared" si="17"/>
        <v>1.8600000000000002E-7</v>
      </c>
      <c r="Z159" s="140">
        <f t="shared" si="18"/>
        <v>2.4800000000000005E-7</v>
      </c>
      <c r="AA159" s="140">
        <f t="shared" si="19"/>
        <v>3.1000000000000005E-7</v>
      </c>
      <c r="AB159" s="157">
        <f>IF(U159&lt;$B$41*DATA!$H$1037,DATA!$H$1037,IF(U159&gt;DATA!$H$1036*$B$41,DATA!$H$1036,1))</f>
        <v>0.8</v>
      </c>
      <c r="AC159" s="156">
        <f t="shared" si="20"/>
        <v>9.9999999999999995E-8</v>
      </c>
      <c r="AE159" s="140">
        <f t="shared" si="21"/>
        <v>6.2000000000000008E-6</v>
      </c>
      <c r="AF159">
        <v>0.62</v>
      </c>
      <c r="AG159" s="140">
        <f t="shared" si="22"/>
        <v>6.1999999999999986E-8</v>
      </c>
      <c r="AH159" s="140">
        <f t="shared" si="23"/>
        <v>1.24E-7</v>
      </c>
      <c r="AI159" s="140">
        <f t="shared" si="24"/>
        <v>1.8600000000000002E-7</v>
      </c>
      <c r="AJ159" s="140">
        <f t="shared" si="25"/>
        <v>2.4800000000000005E-7</v>
      </c>
      <c r="AK159" s="140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27"/>
        <v>9.9999999999999995E-8</v>
      </c>
      <c r="AO159" s="140">
        <f t="shared" si="28"/>
        <v>6.2000000000000008E-6</v>
      </c>
      <c r="AP159">
        <v>0.62</v>
      </c>
      <c r="AQ159" s="140">
        <f t="shared" si="29"/>
        <v>6.1999999999999986E-8</v>
      </c>
      <c r="AR159" s="140">
        <f t="shared" si="30"/>
        <v>1.24E-7</v>
      </c>
      <c r="AS159" s="140">
        <f t="shared" si="31"/>
        <v>1.8600000000000002E-7</v>
      </c>
      <c r="AT159" s="140">
        <f t="shared" si="32"/>
        <v>2.4800000000000005E-7</v>
      </c>
      <c r="AU159" s="140">
        <f t="shared" si="33"/>
        <v>3.1000000000000005E-7</v>
      </c>
      <c r="AV159" s="157">
        <f>IF(AO159&lt;$B$73*DATA!$H$1037,DATA!$H$1037,IF(AO159&gt;DATA!$H$1036*$B$73,DATA!$H$1036,1))</f>
        <v>1.2</v>
      </c>
      <c r="AW159" s="156">
        <f t="shared" si="34"/>
        <v>9.9999999999999995E-8</v>
      </c>
      <c r="AY159" s="140">
        <f t="shared" si="35"/>
        <v>6.2000000000000008E-6</v>
      </c>
      <c r="AZ159">
        <v>0.62</v>
      </c>
      <c r="BA159" s="140">
        <f t="shared" si="36"/>
        <v>6.1999999999999986E-8</v>
      </c>
      <c r="BB159" s="140">
        <f t="shared" si="37"/>
        <v>1.24E-7</v>
      </c>
      <c r="BC159" s="140">
        <f t="shared" si="38"/>
        <v>1.8600000000000002E-7</v>
      </c>
      <c r="BD159" s="140">
        <f t="shared" si="39"/>
        <v>2.4800000000000005E-7</v>
      </c>
      <c r="BE159" s="140">
        <f t="shared" si="40"/>
        <v>3.1000000000000005E-7</v>
      </c>
      <c r="BF159" s="157">
        <f>IF(AY159&lt;$B$89*DATA!$H$1037,DATA!$H$1037,IF(AY159&gt;DATA!$H$1036*$B$89,DATA!$H$1036,1))</f>
        <v>1.2</v>
      </c>
      <c r="BG159" s="156">
        <f t="shared" si="41"/>
        <v>9.9999999999999995E-8</v>
      </c>
      <c r="BI159" s="140">
        <f t="shared" si="42"/>
        <v>6.2000000000000008E-6</v>
      </c>
      <c r="BJ159">
        <v>0.62</v>
      </c>
      <c r="BK159" s="140">
        <f t="shared" si="43"/>
        <v>6.1999999999999986E-8</v>
      </c>
      <c r="BL159" s="140">
        <f t="shared" si="44"/>
        <v>1.24E-7</v>
      </c>
      <c r="BM159" s="140">
        <f t="shared" si="45"/>
        <v>1.8600000000000002E-7</v>
      </c>
      <c r="BN159" s="140">
        <f t="shared" si="46"/>
        <v>2.4800000000000005E-7</v>
      </c>
      <c r="BO159" s="140">
        <f t="shared" si="47"/>
        <v>3.1000000000000005E-7</v>
      </c>
      <c r="BP159" s="157">
        <f>IF(BI159&lt;$B$105*DATA!$H$1037,DATA!$H$1037,IF(BI159&gt;DATA!$H$1036*$B$105,DATA!$H$1036,1))</f>
        <v>1.2</v>
      </c>
      <c r="BQ159" s="156">
        <f t="shared" si="48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"/>
        <v>6.3999999999999991E-8</v>
      </c>
      <c r="D160" s="140">
        <f t="shared" si="5"/>
        <v>1.2799999999999998E-7</v>
      </c>
      <c r="E160" s="140">
        <f t="shared" si="5"/>
        <v>1.92E-7</v>
      </c>
      <c r="F160" s="140">
        <f t="shared" si="5"/>
        <v>2.5600000000000002E-7</v>
      </c>
      <c r="G160" s="140">
        <f t="shared" si="5"/>
        <v>3.2000000000000006E-7</v>
      </c>
      <c r="H160" s="157">
        <f>IF(A160&lt;$B$9*DATA!$H$1037,DATA!$H$1037,IF(A160&gt;DATA!$H$1036*$B$9,DATA!$H$1036,1))</f>
        <v>0.8</v>
      </c>
      <c r="I160" s="156">
        <f t="shared" si="6"/>
        <v>9.9999999999999995E-8</v>
      </c>
      <c r="K160" s="140">
        <f t="shared" si="7"/>
        <v>6.4000000000000006E-6</v>
      </c>
      <c r="L160">
        <v>0.64</v>
      </c>
      <c r="M160" s="140">
        <f t="shared" si="8"/>
        <v>6.3999999999999991E-8</v>
      </c>
      <c r="N160" s="140">
        <f t="shared" si="9"/>
        <v>1.2799999999999998E-7</v>
      </c>
      <c r="O160" s="140">
        <f t="shared" si="10"/>
        <v>1.92E-7</v>
      </c>
      <c r="P160" s="140">
        <f t="shared" si="11"/>
        <v>2.5600000000000002E-7</v>
      </c>
      <c r="Q160" s="140">
        <f t="shared" si="12"/>
        <v>3.2000000000000006E-7</v>
      </c>
      <c r="R160" s="157">
        <f>IF(K160&lt;$B$25*DATA!$H$1037,DATA!$H$1037,IF(K160&gt;DATA!$H$1036*$B$25,DATA!$H$1036,1))</f>
        <v>0.8</v>
      </c>
      <c r="S160" s="156">
        <f t="shared" si="13"/>
        <v>9.9999999999999995E-8</v>
      </c>
      <c r="U160" s="140">
        <f t="shared" si="14"/>
        <v>6.4000000000000006E-6</v>
      </c>
      <c r="V160">
        <v>0.64</v>
      </c>
      <c r="W160" s="140">
        <f t="shared" si="15"/>
        <v>6.3999999999999991E-8</v>
      </c>
      <c r="X160" s="140">
        <f t="shared" si="16"/>
        <v>1.2799999999999998E-7</v>
      </c>
      <c r="Y160" s="140">
        <f t="shared" si="17"/>
        <v>1.92E-7</v>
      </c>
      <c r="Z160" s="140">
        <f t="shared" si="18"/>
        <v>2.5600000000000002E-7</v>
      </c>
      <c r="AA160" s="140">
        <f t="shared" si="19"/>
        <v>3.2000000000000006E-7</v>
      </c>
      <c r="AB160" s="157">
        <f>IF(U160&lt;$B$41*DATA!$H$1037,DATA!$H$1037,IF(U160&gt;DATA!$H$1036*$B$41,DATA!$H$1036,1))</f>
        <v>0.8</v>
      </c>
      <c r="AC160" s="156">
        <f t="shared" si="20"/>
        <v>9.9999999999999995E-8</v>
      </c>
      <c r="AE160" s="140">
        <f t="shared" si="21"/>
        <v>6.4000000000000006E-6</v>
      </c>
      <c r="AF160">
        <v>0.64</v>
      </c>
      <c r="AG160" s="140">
        <f t="shared" si="22"/>
        <v>6.3999999999999991E-8</v>
      </c>
      <c r="AH160" s="140">
        <f t="shared" si="23"/>
        <v>1.2799999999999998E-7</v>
      </c>
      <c r="AI160" s="140">
        <f t="shared" si="24"/>
        <v>1.92E-7</v>
      </c>
      <c r="AJ160" s="140">
        <f t="shared" si="25"/>
        <v>2.5600000000000002E-7</v>
      </c>
      <c r="AK160" s="140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27"/>
        <v>9.9999999999999995E-8</v>
      </c>
      <c r="AO160" s="140">
        <f t="shared" si="28"/>
        <v>6.4000000000000006E-6</v>
      </c>
      <c r="AP160">
        <v>0.64</v>
      </c>
      <c r="AQ160" s="140">
        <f t="shared" si="29"/>
        <v>6.3999999999999991E-8</v>
      </c>
      <c r="AR160" s="140">
        <f t="shared" si="30"/>
        <v>1.2799999999999998E-7</v>
      </c>
      <c r="AS160" s="140">
        <f t="shared" si="31"/>
        <v>1.92E-7</v>
      </c>
      <c r="AT160" s="140">
        <f t="shared" si="32"/>
        <v>2.5600000000000002E-7</v>
      </c>
      <c r="AU160" s="140">
        <f t="shared" si="33"/>
        <v>3.2000000000000006E-7</v>
      </c>
      <c r="AV160" s="157">
        <f>IF(AO160&lt;$B$73*DATA!$H$1037,DATA!$H$1037,IF(AO160&gt;DATA!$H$1036*$B$73,DATA!$H$1036,1))</f>
        <v>1.2</v>
      </c>
      <c r="AW160" s="156">
        <f t="shared" si="34"/>
        <v>9.9999999999999995E-8</v>
      </c>
      <c r="AY160" s="140">
        <f t="shared" si="35"/>
        <v>6.4000000000000006E-6</v>
      </c>
      <c r="AZ160">
        <v>0.64</v>
      </c>
      <c r="BA160" s="140">
        <f t="shared" si="36"/>
        <v>6.3999999999999991E-8</v>
      </c>
      <c r="BB160" s="140">
        <f t="shared" si="37"/>
        <v>1.2799999999999998E-7</v>
      </c>
      <c r="BC160" s="140">
        <f t="shared" si="38"/>
        <v>1.92E-7</v>
      </c>
      <c r="BD160" s="140">
        <f t="shared" si="39"/>
        <v>2.5600000000000002E-7</v>
      </c>
      <c r="BE160" s="140">
        <f t="shared" si="40"/>
        <v>3.2000000000000006E-7</v>
      </c>
      <c r="BF160" s="157">
        <f>IF(AY160&lt;$B$89*DATA!$H$1037,DATA!$H$1037,IF(AY160&gt;DATA!$H$1036*$B$89,DATA!$H$1036,1))</f>
        <v>1.2</v>
      </c>
      <c r="BG160" s="156">
        <f t="shared" si="41"/>
        <v>9.9999999999999995E-8</v>
      </c>
      <c r="BI160" s="140">
        <f t="shared" si="42"/>
        <v>6.4000000000000006E-6</v>
      </c>
      <c r="BJ160">
        <v>0.64</v>
      </c>
      <c r="BK160" s="140">
        <f t="shared" si="43"/>
        <v>6.3999999999999991E-8</v>
      </c>
      <c r="BL160" s="140">
        <f t="shared" si="44"/>
        <v>1.2799999999999998E-7</v>
      </c>
      <c r="BM160" s="140">
        <f t="shared" si="45"/>
        <v>1.92E-7</v>
      </c>
      <c r="BN160" s="140">
        <f t="shared" si="46"/>
        <v>2.5600000000000002E-7</v>
      </c>
      <c r="BO160" s="140">
        <f t="shared" si="47"/>
        <v>3.2000000000000006E-7</v>
      </c>
      <c r="BP160" s="157">
        <f>IF(BI160&lt;$B$105*DATA!$H$1037,DATA!$H$1037,IF(BI160&gt;DATA!$H$1036*$B$105,DATA!$H$1036,1))</f>
        <v>1.2</v>
      </c>
      <c r="BQ160" s="156">
        <f t="shared" si="48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"/>
        <v>6.5999999999999995E-8</v>
      </c>
      <c r="D161" s="140">
        <f t="shared" si="5"/>
        <v>1.3199999999999999E-7</v>
      </c>
      <c r="E161" s="140">
        <f t="shared" si="5"/>
        <v>1.9800000000000003E-7</v>
      </c>
      <c r="F161" s="140">
        <f t="shared" si="5"/>
        <v>2.6400000000000003E-7</v>
      </c>
      <c r="G161" s="140">
        <f t="shared" si="5"/>
        <v>3.3000000000000007E-7</v>
      </c>
      <c r="H161" s="157">
        <f>IF(A161&lt;$B$9*DATA!$H$1037,DATA!$H$1037,IF(A161&gt;DATA!$H$1036*$B$9,DATA!$H$1036,1))</f>
        <v>0.8</v>
      </c>
      <c r="I161" s="156">
        <f t="shared" si="6"/>
        <v>9.9999999999999995E-8</v>
      </c>
      <c r="K161" s="140">
        <f t="shared" si="7"/>
        <v>6.6000000000000012E-6</v>
      </c>
      <c r="L161">
        <v>0.66</v>
      </c>
      <c r="M161" s="140">
        <f t="shared" si="8"/>
        <v>6.5999999999999995E-8</v>
      </c>
      <c r="N161" s="140">
        <f t="shared" si="9"/>
        <v>1.3199999999999999E-7</v>
      </c>
      <c r="O161" s="140">
        <f t="shared" si="10"/>
        <v>1.9800000000000003E-7</v>
      </c>
      <c r="P161" s="140">
        <f t="shared" si="11"/>
        <v>2.6400000000000003E-7</v>
      </c>
      <c r="Q161" s="140">
        <f t="shared" si="12"/>
        <v>3.3000000000000007E-7</v>
      </c>
      <c r="R161" s="157">
        <f>IF(K161&lt;$B$25*DATA!$H$1037,DATA!$H$1037,IF(K161&gt;DATA!$H$1036*$B$25,DATA!$H$1036,1))</f>
        <v>0.8</v>
      </c>
      <c r="S161" s="156">
        <f t="shared" si="13"/>
        <v>9.9999999999999995E-8</v>
      </c>
      <c r="U161" s="140">
        <f t="shared" si="14"/>
        <v>6.6000000000000012E-6</v>
      </c>
      <c r="V161">
        <v>0.66</v>
      </c>
      <c r="W161" s="140">
        <f t="shared" si="15"/>
        <v>6.5999999999999995E-8</v>
      </c>
      <c r="X161" s="140">
        <f t="shared" si="16"/>
        <v>1.3199999999999999E-7</v>
      </c>
      <c r="Y161" s="140">
        <f t="shared" si="17"/>
        <v>1.9800000000000003E-7</v>
      </c>
      <c r="Z161" s="140">
        <f t="shared" si="18"/>
        <v>2.6400000000000003E-7</v>
      </c>
      <c r="AA161" s="140">
        <f t="shared" si="19"/>
        <v>3.3000000000000007E-7</v>
      </c>
      <c r="AB161" s="157">
        <f>IF(U161&lt;$B$41*DATA!$H$1037,DATA!$H$1037,IF(U161&gt;DATA!$H$1036*$B$41,DATA!$H$1036,1))</f>
        <v>0.8</v>
      </c>
      <c r="AC161" s="156">
        <f t="shared" si="20"/>
        <v>9.9999999999999995E-8</v>
      </c>
      <c r="AE161" s="140">
        <f t="shared" si="21"/>
        <v>6.6000000000000012E-6</v>
      </c>
      <c r="AF161">
        <v>0.66</v>
      </c>
      <c r="AG161" s="140">
        <f t="shared" si="22"/>
        <v>6.5999999999999995E-8</v>
      </c>
      <c r="AH161" s="140">
        <f t="shared" si="23"/>
        <v>1.3199999999999999E-7</v>
      </c>
      <c r="AI161" s="140">
        <f t="shared" si="24"/>
        <v>1.9800000000000003E-7</v>
      </c>
      <c r="AJ161" s="140">
        <f t="shared" si="25"/>
        <v>2.6400000000000003E-7</v>
      </c>
      <c r="AK161" s="140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27"/>
        <v>9.9999999999999995E-8</v>
      </c>
      <c r="AO161" s="140">
        <f t="shared" si="28"/>
        <v>6.6000000000000012E-6</v>
      </c>
      <c r="AP161">
        <v>0.66</v>
      </c>
      <c r="AQ161" s="140">
        <f t="shared" si="29"/>
        <v>6.5999999999999995E-8</v>
      </c>
      <c r="AR161" s="140">
        <f t="shared" si="30"/>
        <v>1.3199999999999999E-7</v>
      </c>
      <c r="AS161" s="140">
        <f t="shared" si="31"/>
        <v>1.9800000000000003E-7</v>
      </c>
      <c r="AT161" s="140">
        <f t="shared" si="32"/>
        <v>2.6400000000000003E-7</v>
      </c>
      <c r="AU161" s="140">
        <f t="shared" si="33"/>
        <v>3.3000000000000007E-7</v>
      </c>
      <c r="AV161" s="157">
        <f>IF(AO161&lt;$B$73*DATA!$H$1037,DATA!$H$1037,IF(AO161&gt;DATA!$H$1036*$B$73,DATA!$H$1036,1))</f>
        <v>1.2</v>
      </c>
      <c r="AW161" s="156">
        <f t="shared" si="34"/>
        <v>9.9999999999999995E-8</v>
      </c>
      <c r="AY161" s="140">
        <f t="shared" si="35"/>
        <v>6.6000000000000012E-6</v>
      </c>
      <c r="AZ161">
        <v>0.66</v>
      </c>
      <c r="BA161" s="140">
        <f t="shared" si="36"/>
        <v>6.5999999999999995E-8</v>
      </c>
      <c r="BB161" s="140">
        <f t="shared" si="37"/>
        <v>1.3199999999999999E-7</v>
      </c>
      <c r="BC161" s="140">
        <f t="shared" si="38"/>
        <v>1.9800000000000003E-7</v>
      </c>
      <c r="BD161" s="140">
        <f t="shared" si="39"/>
        <v>2.6400000000000003E-7</v>
      </c>
      <c r="BE161" s="140">
        <f t="shared" si="40"/>
        <v>3.3000000000000007E-7</v>
      </c>
      <c r="BF161" s="157">
        <f>IF(AY161&lt;$B$89*DATA!$H$1037,DATA!$H$1037,IF(AY161&gt;DATA!$H$1036*$B$89,DATA!$H$1036,1))</f>
        <v>1.2</v>
      </c>
      <c r="BG161" s="156">
        <f t="shared" si="41"/>
        <v>9.9999999999999995E-8</v>
      </c>
      <c r="BI161" s="140">
        <f t="shared" si="42"/>
        <v>6.6000000000000012E-6</v>
      </c>
      <c r="BJ161">
        <v>0.66</v>
      </c>
      <c r="BK161" s="140">
        <f t="shared" si="43"/>
        <v>6.5999999999999995E-8</v>
      </c>
      <c r="BL161" s="140">
        <f t="shared" si="44"/>
        <v>1.3199999999999999E-7</v>
      </c>
      <c r="BM161" s="140">
        <f t="shared" si="45"/>
        <v>1.9800000000000003E-7</v>
      </c>
      <c r="BN161" s="140">
        <f t="shared" si="46"/>
        <v>2.6400000000000003E-7</v>
      </c>
      <c r="BO161" s="140">
        <f t="shared" si="47"/>
        <v>3.3000000000000007E-7</v>
      </c>
      <c r="BP161" s="157">
        <f>IF(BI161&lt;$B$105*DATA!$H$1037,DATA!$H$1037,IF(BI161&gt;DATA!$H$1036*$B$105,DATA!$H$1036,1))</f>
        <v>1.2</v>
      </c>
      <c r="BQ161" s="156">
        <f t="shared" si="48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"/>
        <v>6.7999999999999987E-8</v>
      </c>
      <c r="D162" s="140">
        <f t="shared" si="5"/>
        <v>1.36E-7</v>
      </c>
      <c r="E162" s="140">
        <f t="shared" si="5"/>
        <v>2.0400000000000003E-7</v>
      </c>
      <c r="F162" s="140">
        <f t="shared" si="5"/>
        <v>2.7200000000000005E-7</v>
      </c>
      <c r="G162" s="140">
        <f t="shared" si="5"/>
        <v>3.4000000000000008E-7</v>
      </c>
      <c r="H162" s="157">
        <f>IF(A162&lt;$B$9*DATA!$H$1037,DATA!$H$1037,IF(A162&gt;DATA!$H$1036*$B$9,DATA!$H$1036,1))</f>
        <v>0.8</v>
      </c>
      <c r="I162" s="156">
        <f t="shared" si="6"/>
        <v>9.9999999999999995E-8</v>
      </c>
      <c r="K162" s="140">
        <f t="shared" si="7"/>
        <v>6.800000000000001E-6</v>
      </c>
      <c r="L162">
        <v>0.68</v>
      </c>
      <c r="M162" s="140">
        <f t="shared" si="8"/>
        <v>6.7999999999999987E-8</v>
      </c>
      <c r="N162" s="140">
        <f t="shared" si="9"/>
        <v>1.36E-7</v>
      </c>
      <c r="O162" s="140">
        <f t="shared" si="10"/>
        <v>2.0400000000000003E-7</v>
      </c>
      <c r="P162" s="140">
        <f t="shared" si="11"/>
        <v>2.7200000000000005E-7</v>
      </c>
      <c r="Q162" s="140">
        <f t="shared" si="12"/>
        <v>3.4000000000000008E-7</v>
      </c>
      <c r="R162" s="157">
        <f>IF(K162&lt;$B$25*DATA!$H$1037,DATA!$H$1037,IF(K162&gt;DATA!$H$1036*$B$25,DATA!$H$1036,1))</f>
        <v>0.8</v>
      </c>
      <c r="S162" s="156">
        <f t="shared" si="13"/>
        <v>9.9999999999999995E-8</v>
      </c>
      <c r="U162" s="140">
        <f t="shared" si="14"/>
        <v>6.800000000000001E-6</v>
      </c>
      <c r="V162">
        <v>0.68</v>
      </c>
      <c r="W162" s="140">
        <f t="shared" si="15"/>
        <v>6.7999999999999987E-8</v>
      </c>
      <c r="X162" s="140">
        <f t="shared" si="16"/>
        <v>1.36E-7</v>
      </c>
      <c r="Y162" s="140">
        <f t="shared" si="17"/>
        <v>2.0400000000000003E-7</v>
      </c>
      <c r="Z162" s="140">
        <f t="shared" si="18"/>
        <v>2.7200000000000005E-7</v>
      </c>
      <c r="AA162" s="140">
        <f t="shared" si="19"/>
        <v>3.4000000000000008E-7</v>
      </c>
      <c r="AB162" s="157">
        <f>IF(U162&lt;$B$41*DATA!$H$1037,DATA!$H$1037,IF(U162&gt;DATA!$H$1036*$B$41,DATA!$H$1036,1))</f>
        <v>0.8</v>
      </c>
      <c r="AC162" s="156">
        <f t="shared" si="20"/>
        <v>9.9999999999999995E-8</v>
      </c>
      <c r="AE162" s="140">
        <f t="shared" si="21"/>
        <v>6.800000000000001E-6</v>
      </c>
      <c r="AF162">
        <v>0.68</v>
      </c>
      <c r="AG162" s="140">
        <f t="shared" si="22"/>
        <v>6.7999999999999987E-8</v>
      </c>
      <c r="AH162" s="140">
        <f t="shared" si="23"/>
        <v>1.36E-7</v>
      </c>
      <c r="AI162" s="140">
        <f t="shared" si="24"/>
        <v>2.0400000000000003E-7</v>
      </c>
      <c r="AJ162" s="140">
        <f t="shared" si="25"/>
        <v>2.7200000000000005E-7</v>
      </c>
      <c r="AK162" s="140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27"/>
        <v>9.9999999999999995E-8</v>
      </c>
      <c r="AO162" s="140">
        <f t="shared" si="28"/>
        <v>6.800000000000001E-6</v>
      </c>
      <c r="AP162">
        <v>0.68</v>
      </c>
      <c r="AQ162" s="140">
        <f t="shared" si="29"/>
        <v>6.7999999999999987E-8</v>
      </c>
      <c r="AR162" s="140">
        <f t="shared" si="30"/>
        <v>1.36E-7</v>
      </c>
      <c r="AS162" s="140">
        <f t="shared" si="31"/>
        <v>2.0400000000000003E-7</v>
      </c>
      <c r="AT162" s="140">
        <f t="shared" si="32"/>
        <v>2.7200000000000005E-7</v>
      </c>
      <c r="AU162" s="140">
        <f t="shared" si="33"/>
        <v>3.4000000000000008E-7</v>
      </c>
      <c r="AV162" s="157">
        <f>IF(AO162&lt;$B$73*DATA!$H$1037,DATA!$H$1037,IF(AO162&gt;DATA!$H$1036*$B$73,DATA!$H$1036,1))</f>
        <v>1.2</v>
      </c>
      <c r="AW162" s="156">
        <f t="shared" si="34"/>
        <v>9.9999999999999995E-8</v>
      </c>
      <c r="AY162" s="140">
        <f t="shared" si="35"/>
        <v>6.800000000000001E-6</v>
      </c>
      <c r="AZ162">
        <v>0.68</v>
      </c>
      <c r="BA162" s="140">
        <f t="shared" si="36"/>
        <v>6.7999999999999987E-8</v>
      </c>
      <c r="BB162" s="140">
        <f t="shared" si="37"/>
        <v>1.36E-7</v>
      </c>
      <c r="BC162" s="140">
        <f t="shared" si="38"/>
        <v>2.0400000000000003E-7</v>
      </c>
      <c r="BD162" s="140">
        <f t="shared" si="39"/>
        <v>2.7200000000000005E-7</v>
      </c>
      <c r="BE162" s="140">
        <f t="shared" si="40"/>
        <v>3.4000000000000008E-7</v>
      </c>
      <c r="BF162" s="157">
        <f>IF(AY162&lt;$B$89*DATA!$H$1037,DATA!$H$1037,IF(AY162&gt;DATA!$H$1036*$B$89,DATA!$H$1036,1))</f>
        <v>1.2</v>
      </c>
      <c r="BG162" s="156">
        <f t="shared" si="41"/>
        <v>9.9999999999999995E-8</v>
      </c>
      <c r="BI162" s="140">
        <f t="shared" si="42"/>
        <v>6.800000000000001E-6</v>
      </c>
      <c r="BJ162">
        <v>0.68</v>
      </c>
      <c r="BK162" s="140">
        <f t="shared" si="43"/>
        <v>6.7999999999999987E-8</v>
      </c>
      <c r="BL162" s="140">
        <f t="shared" si="44"/>
        <v>1.36E-7</v>
      </c>
      <c r="BM162" s="140">
        <f t="shared" si="45"/>
        <v>2.0400000000000003E-7</v>
      </c>
      <c r="BN162" s="140">
        <f t="shared" si="46"/>
        <v>2.7200000000000005E-7</v>
      </c>
      <c r="BO162" s="140">
        <f t="shared" si="47"/>
        <v>3.4000000000000008E-7</v>
      </c>
      <c r="BP162" s="157">
        <f>IF(BI162&lt;$B$105*DATA!$H$1037,DATA!$H$1037,IF(BI162&gt;DATA!$H$1036*$B$105,DATA!$H$1036,1))</f>
        <v>1.2</v>
      </c>
      <c r="BQ162" s="156">
        <f t="shared" si="48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"/>
        <v>6.9999999999999978E-8</v>
      </c>
      <c r="D163" s="140">
        <f t="shared" si="5"/>
        <v>1.3999999999999998E-7</v>
      </c>
      <c r="E163" s="140">
        <f t="shared" si="5"/>
        <v>2.1E-7</v>
      </c>
      <c r="F163" s="140">
        <f t="shared" si="5"/>
        <v>2.8000000000000002E-7</v>
      </c>
      <c r="G163" s="140">
        <f t="shared" si="5"/>
        <v>3.5000000000000004E-7</v>
      </c>
      <c r="H163" s="157">
        <f>IF(A163&lt;$B$9*DATA!$H$1037,DATA!$H$1037,IF(A163&gt;DATA!$H$1036*$B$9,DATA!$H$1036,1))</f>
        <v>0.8</v>
      </c>
      <c r="I163" s="156">
        <f t="shared" si="6"/>
        <v>9.9999999999999995E-8</v>
      </c>
      <c r="K163" s="140">
        <f t="shared" si="7"/>
        <v>6.9999999999999999E-6</v>
      </c>
      <c r="L163">
        <v>0.7</v>
      </c>
      <c r="M163" s="140">
        <f t="shared" si="8"/>
        <v>6.9999999999999978E-8</v>
      </c>
      <c r="N163" s="140">
        <f t="shared" si="9"/>
        <v>1.3999999999999998E-7</v>
      </c>
      <c r="O163" s="140">
        <f t="shared" si="10"/>
        <v>2.1E-7</v>
      </c>
      <c r="P163" s="140">
        <f t="shared" si="11"/>
        <v>2.8000000000000002E-7</v>
      </c>
      <c r="Q163" s="140">
        <f t="shared" si="12"/>
        <v>3.5000000000000004E-7</v>
      </c>
      <c r="R163" s="157">
        <f>IF(K163&lt;$B$25*DATA!$H$1037,DATA!$H$1037,IF(K163&gt;DATA!$H$1036*$B$25,DATA!$H$1036,1))</f>
        <v>0.8</v>
      </c>
      <c r="S163" s="156">
        <f t="shared" si="13"/>
        <v>9.9999999999999995E-8</v>
      </c>
      <c r="U163" s="140">
        <f t="shared" si="14"/>
        <v>6.9999999999999999E-6</v>
      </c>
      <c r="V163">
        <v>0.7</v>
      </c>
      <c r="W163" s="140">
        <f t="shared" si="15"/>
        <v>6.9999999999999978E-8</v>
      </c>
      <c r="X163" s="140">
        <f t="shared" si="16"/>
        <v>1.3999999999999998E-7</v>
      </c>
      <c r="Y163" s="140">
        <f t="shared" si="17"/>
        <v>2.1E-7</v>
      </c>
      <c r="Z163" s="140">
        <f t="shared" si="18"/>
        <v>2.8000000000000002E-7</v>
      </c>
      <c r="AA163" s="140">
        <f t="shared" si="19"/>
        <v>3.5000000000000004E-7</v>
      </c>
      <c r="AB163" s="157">
        <f>IF(U163&lt;$B$41*DATA!$H$1037,DATA!$H$1037,IF(U163&gt;DATA!$H$1036*$B$41,DATA!$H$1036,1))</f>
        <v>0.8</v>
      </c>
      <c r="AC163" s="156">
        <f t="shared" si="20"/>
        <v>9.9999999999999995E-8</v>
      </c>
      <c r="AE163" s="140">
        <f t="shared" si="21"/>
        <v>6.9999999999999999E-6</v>
      </c>
      <c r="AF163">
        <v>0.7</v>
      </c>
      <c r="AG163" s="140">
        <f t="shared" si="22"/>
        <v>6.9999999999999978E-8</v>
      </c>
      <c r="AH163" s="140">
        <f t="shared" si="23"/>
        <v>1.3999999999999998E-7</v>
      </c>
      <c r="AI163" s="140">
        <f t="shared" si="24"/>
        <v>2.1E-7</v>
      </c>
      <c r="AJ163" s="140">
        <f t="shared" si="25"/>
        <v>2.8000000000000002E-7</v>
      </c>
      <c r="AK163" s="140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27"/>
        <v>9.9999999999999995E-8</v>
      </c>
      <c r="AO163" s="140">
        <f t="shared" si="28"/>
        <v>6.9999999999999999E-6</v>
      </c>
      <c r="AP163">
        <v>0.7</v>
      </c>
      <c r="AQ163" s="140">
        <f t="shared" si="29"/>
        <v>6.9999999999999978E-8</v>
      </c>
      <c r="AR163" s="140">
        <f t="shared" si="30"/>
        <v>1.3999999999999998E-7</v>
      </c>
      <c r="AS163" s="140">
        <f t="shared" si="31"/>
        <v>2.1E-7</v>
      </c>
      <c r="AT163" s="140">
        <f t="shared" si="32"/>
        <v>2.8000000000000002E-7</v>
      </c>
      <c r="AU163" s="140">
        <f t="shared" si="33"/>
        <v>3.5000000000000004E-7</v>
      </c>
      <c r="AV163" s="157">
        <f>IF(AO163&lt;$B$73*DATA!$H$1037,DATA!$H$1037,IF(AO163&gt;DATA!$H$1036*$B$73,DATA!$H$1036,1))</f>
        <v>1.2</v>
      </c>
      <c r="AW163" s="156">
        <f t="shared" si="34"/>
        <v>9.9999999999999995E-8</v>
      </c>
      <c r="AY163" s="140">
        <f t="shared" si="35"/>
        <v>6.9999999999999999E-6</v>
      </c>
      <c r="AZ163">
        <v>0.7</v>
      </c>
      <c r="BA163" s="140">
        <f t="shared" si="36"/>
        <v>6.9999999999999978E-8</v>
      </c>
      <c r="BB163" s="140">
        <f t="shared" si="37"/>
        <v>1.3999999999999998E-7</v>
      </c>
      <c r="BC163" s="140">
        <f t="shared" si="38"/>
        <v>2.1E-7</v>
      </c>
      <c r="BD163" s="140">
        <f t="shared" si="39"/>
        <v>2.8000000000000002E-7</v>
      </c>
      <c r="BE163" s="140">
        <f t="shared" si="40"/>
        <v>3.5000000000000004E-7</v>
      </c>
      <c r="BF163" s="157">
        <f>IF(AY163&lt;$B$89*DATA!$H$1037,DATA!$H$1037,IF(AY163&gt;DATA!$H$1036*$B$89,DATA!$H$1036,1))</f>
        <v>1.2</v>
      </c>
      <c r="BG163" s="156">
        <f t="shared" si="41"/>
        <v>9.9999999999999995E-8</v>
      </c>
      <c r="BI163" s="140">
        <f t="shared" si="42"/>
        <v>6.9999999999999999E-6</v>
      </c>
      <c r="BJ163">
        <v>0.7</v>
      </c>
      <c r="BK163" s="140">
        <f t="shared" si="43"/>
        <v>6.9999999999999978E-8</v>
      </c>
      <c r="BL163" s="140">
        <f t="shared" si="44"/>
        <v>1.3999999999999998E-7</v>
      </c>
      <c r="BM163" s="140">
        <f t="shared" si="45"/>
        <v>2.1E-7</v>
      </c>
      <c r="BN163" s="140">
        <f t="shared" si="46"/>
        <v>2.8000000000000002E-7</v>
      </c>
      <c r="BO163" s="140">
        <f t="shared" si="47"/>
        <v>3.5000000000000004E-7</v>
      </c>
      <c r="BP163" s="157">
        <f>IF(BI163&lt;$B$105*DATA!$H$1037,DATA!$H$1037,IF(BI163&gt;DATA!$H$1036*$B$105,DATA!$H$1036,1))</f>
        <v>1.2</v>
      </c>
      <c r="BQ163" s="156">
        <f t="shared" si="48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"/>
        <v>7.1999999999999983E-8</v>
      </c>
      <c r="D164" s="140">
        <f t="shared" si="5"/>
        <v>1.4399999999999999E-7</v>
      </c>
      <c r="E164" s="140">
        <f t="shared" si="5"/>
        <v>2.16E-7</v>
      </c>
      <c r="F164" s="140">
        <f t="shared" si="5"/>
        <v>2.8800000000000004E-7</v>
      </c>
      <c r="G164" s="140">
        <f t="shared" si="5"/>
        <v>3.6000000000000005E-7</v>
      </c>
      <c r="H164" s="157">
        <f>IF(A164&lt;$B$9*DATA!$H$1037,DATA!$H$1037,IF(A164&gt;DATA!$H$1036*$B$9,DATA!$H$1036,1))</f>
        <v>0.8</v>
      </c>
      <c r="I164" s="156">
        <f t="shared" si="6"/>
        <v>9.9999999999999995E-8</v>
      </c>
      <c r="K164" s="140">
        <f t="shared" si="7"/>
        <v>7.2000000000000005E-6</v>
      </c>
      <c r="L164">
        <v>0.72</v>
      </c>
      <c r="M164" s="140">
        <f t="shared" si="8"/>
        <v>7.1999999999999983E-8</v>
      </c>
      <c r="N164" s="140">
        <f t="shared" si="9"/>
        <v>1.4399999999999999E-7</v>
      </c>
      <c r="O164" s="140">
        <f t="shared" si="10"/>
        <v>2.16E-7</v>
      </c>
      <c r="P164" s="140">
        <f t="shared" si="11"/>
        <v>2.8800000000000004E-7</v>
      </c>
      <c r="Q164" s="140">
        <f t="shared" si="12"/>
        <v>3.6000000000000005E-7</v>
      </c>
      <c r="R164" s="157">
        <f>IF(K164&lt;$B$25*DATA!$H$1037,DATA!$H$1037,IF(K164&gt;DATA!$H$1036*$B$25,DATA!$H$1036,1))</f>
        <v>0.8</v>
      </c>
      <c r="S164" s="156">
        <f t="shared" si="13"/>
        <v>9.9999999999999995E-8</v>
      </c>
      <c r="U164" s="140">
        <f t="shared" si="14"/>
        <v>7.2000000000000005E-6</v>
      </c>
      <c r="V164">
        <v>0.72</v>
      </c>
      <c r="W164" s="140">
        <f t="shared" si="15"/>
        <v>7.1999999999999983E-8</v>
      </c>
      <c r="X164" s="140">
        <f t="shared" si="16"/>
        <v>1.4399999999999999E-7</v>
      </c>
      <c r="Y164" s="140">
        <f t="shared" si="17"/>
        <v>2.16E-7</v>
      </c>
      <c r="Z164" s="140">
        <f t="shared" si="18"/>
        <v>2.8800000000000004E-7</v>
      </c>
      <c r="AA164" s="140">
        <f t="shared" si="19"/>
        <v>3.6000000000000005E-7</v>
      </c>
      <c r="AB164" s="157">
        <f>IF(U164&lt;$B$41*DATA!$H$1037,DATA!$H$1037,IF(U164&gt;DATA!$H$1036*$B$41,DATA!$H$1036,1))</f>
        <v>0.8</v>
      </c>
      <c r="AC164" s="156">
        <f t="shared" si="20"/>
        <v>9.9999999999999995E-8</v>
      </c>
      <c r="AE164" s="140">
        <f t="shared" si="21"/>
        <v>7.2000000000000005E-6</v>
      </c>
      <c r="AF164">
        <v>0.72</v>
      </c>
      <c r="AG164" s="140">
        <f t="shared" si="22"/>
        <v>7.1999999999999983E-8</v>
      </c>
      <c r="AH164" s="140">
        <f t="shared" si="23"/>
        <v>1.4399999999999999E-7</v>
      </c>
      <c r="AI164" s="140">
        <f t="shared" si="24"/>
        <v>2.16E-7</v>
      </c>
      <c r="AJ164" s="140">
        <f t="shared" si="25"/>
        <v>2.8800000000000004E-7</v>
      </c>
      <c r="AK164" s="140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27"/>
        <v>9.9999999999999995E-8</v>
      </c>
      <c r="AO164" s="140">
        <f t="shared" si="28"/>
        <v>7.2000000000000005E-6</v>
      </c>
      <c r="AP164">
        <v>0.72</v>
      </c>
      <c r="AQ164" s="140">
        <f t="shared" si="29"/>
        <v>7.1999999999999983E-8</v>
      </c>
      <c r="AR164" s="140">
        <f t="shared" si="30"/>
        <v>1.4399999999999999E-7</v>
      </c>
      <c r="AS164" s="140">
        <f t="shared" si="31"/>
        <v>2.16E-7</v>
      </c>
      <c r="AT164" s="140">
        <f t="shared" si="32"/>
        <v>2.8800000000000004E-7</v>
      </c>
      <c r="AU164" s="140">
        <f t="shared" si="33"/>
        <v>3.6000000000000005E-7</v>
      </c>
      <c r="AV164" s="157">
        <f>IF(AO164&lt;$B$73*DATA!$H$1037,DATA!$H$1037,IF(AO164&gt;DATA!$H$1036*$B$73,DATA!$H$1036,1))</f>
        <v>1.2</v>
      </c>
      <c r="AW164" s="156">
        <f t="shared" si="34"/>
        <v>9.9999999999999995E-8</v>
      </c>
      <c r="AY164" s="140">
        <f t="shared" si="35"/>
        <v>7.2000000000000005E-6</v>
      </c>
      <c r="AZ164">
        <v>0.72</v>
      </c>
      <c r="BA164" s="140">
        <f t="shared" si="36"/>
        <v>7.1999999999999983E-8</v>
      </c>
      <c r="BB164" s="140">
        <f t="shared" si="37"/>
        <v>1.4399999999999999E-7</v>
      </c>
      <c r="BC164" s="140">
        <f t="shared" si="38"/>
        <v>2.16E-7</v>
      </c>
      <c r="BD164" s="140">
        <f t="shared" si="39"/>
        <v>2.8800000000000004E-7</v>
      </c>
      <c r="BE164" s="140">
        <f t="shared" si="40"/>
        <v>3.6000000000000005E-7</v>
      </c>
      <c r="BF164" s="157">
        <f>IF(AY164&lt;$B$89*DATA!$H$1037,DATA!$H$1037,IF(AY164&gt;DATA!$H$1036*$B$89,DATA!$H$1036,1))</f>
        <v>1.2</v>
      </c>
      <c r="BG164" s="156">
        <f t="shared" si="41"/>
        <v>9.9999999999999995E-8</v>
      </c>
      <c r="BI164" s="140">
        <f t="shared" si="42"/>
        <v>7.2000000000000005E-6</v>
      </c>
      <c r="BJ164">
        <v>0.72</v>
      </c>
      <c r="BK164" s="140">
        <f t="shared" si="43"/>
        <v>7.1999999999999983E-8</v>
      </c>
      <c r="BL164" s="140">
        <f t="shared" si="44"/>
        <v>1.4399999999999999E-7</v>
      </c>
      <c r="BM164" s="140">
        <f t="shared" si="45"/>
        <v>2.16E-7</v>
      </c>
      <c r="BN164" s="140">
        <f t="shared" si="46"/>
        <v>2.8800000000000004E-7</v>
      </c>
      <c r="BO164" s="140">
        <f t="shared" si="47"/>
        <v>3.6000000000000005E-7</v>
      </c>
      <c r="BP164" s="157">
        <f>IF(BI164&lt;$B$105*DATA!$H$1037,DATA!$H$1037,IF(BI164&gt;DATA!$H$1036*$B$105,DATA!$H$1036,1))</f>
        <v>1.2</v>
      </c>
      <c r="BQ164" s="156">
        <f t="shared" si="48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"/>
        <v>7.3999999999999974E-8</v>
      </c>
      <c r="D165" s="140">
        <f t="shared" si="5"/>
        <v>1.4799999999999998E-7</v>
      </c>
      <c r="E165" s="140">
        <f t="shared" si="5"/>
        <v>2.22E-7</v>
      </c>
      <c r="F165" s="140">
        <f t="shared" si="5"/>
        <v>2.96E-7</v>
      </c>
      <c r="G165" s="140">
        <f t="shared" si="5"/>
        <v>3.7000000000000006E-7</v>
      </c>
      <c r="H165" s="157">
        <f>IF(A165&lt;$B$9*DATA!$H$1037,DATA!$H$1037,IF(A165&gt;DATA!$H$1036*$B$9,DATA!$H$1036,1))</f>
        <v>0.8</v>
      </c>
      <c r="I165" s="156">
        <f t="shared" si="6"/>
        <v>9.9999999999999995E-8</v>
      </c>
      <c r="K165" s="140">
        <f t="shared" si="7"/>
        <v>7.4000000000000003E-6</v>
      </c>
      <c r="L165">
        <v>0.74</v>
      </c>
      <c r="M165" s="140">
        <f t="shared" si="8"/>
        <v>7.3999999999999974E-8</v>
      </c>
      <c r="N165" s="140">
        <f t="shared" si="9"/>
        <v>1.4799999999999998E-7</v>
      </c>
      <c r="O165" s="140">
        <f t="shared" si="10"/>
        <v>2.22E-7</v>
      </c>
      <c r="P165" s="140">
        <f t="shared" si="11"/>
        <v>2.96E-7</v>
      </c>
      <c r="Q165" s="140">
        <f t="shared" si="12"/>
        <v>3.7000000000000006E-7</v>
      </c>
      <c r="R165" s="157">
        <f>IF(K165&lt;$B$25*DATA!$H$1037,DATA!$H$1037,IF(K165&gt;DATA!$H$1036*$B$25,DATA!$H$1036,1))</f>
        <v>0.8</v>
      </c>
      <c r="S165" s="156">
        <f t="shared" si="13"/>
        <v>9.9999999999999995E-8</v>
      </c>
      <c r="U165" s="140">
        <f t="shared" si="14"/>
        <v>7.4000000000000003E-6</v>
      </c>
      <c r="V165">
        <v>0.74</v>
      </c>
      <c r="W165" s="140">
        <f t="shared" si="15"/>
        <v>7.3999999999999974E-8</v>
      </c>
      <c r="X165" s="140">
        <f t="shared" si="16"/>
        <v>1.4799999999999998E-7</v>
      </c>
      <c r="Y165" s="140">
        <f t="shared" si="17"/>
        <v>2.22E-7</v>
      </c>
      <c r="Z165" s="140">
        <f t="shared" si="18"/>
        <v>2.96E-7</v>
      </c>
      <c r="AA165" s="140">
        <f t="shared" si="19"/>
        <v>3.7000000000000006E-7</v>
      </c>
      <c r="AB165" s="157">
        <f>IF(U165&lt;$B$41*DATA!$H$1037,DATA!$H$1037,IF(U165&gt;DATA!$H$1036*$B$41,DATA!$H$1036,1))</f>
        <v>0.8</v>
      </c>
      <c r="AC165" s="156">
        <f t="shared" si="20"/>
        <v>9.9999999999999995E-8</v>
      </c>
      <c r="AE165" s="140">
        <f t="shared" si="21"/>
        <v>7.4000000000000003E-6</v>
      </c>
      <c r="AF165">
        <v>0.74</v>
      </c>
      <c r="AG165" s="140">
        <f t="shared" si="22"/>
        <v>7.3999999999999974E-8</v>
      </c>
      <c r="AH165" s="140">
        <f t="shared" si="23"/>
        <v>1.4799999999999998E-7</v>
      </c>
      <c r="AI165" s="140">
        <f t="shared" si="24"/>
        <v>2.22E-7</v>
      </c>
      <c r="AJ165" s="140">
        <f t="shared" si="25"/>
        <v>2.96E-7</v>
      </c>
      <c r="AK165" s="140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27"/>
        <v>9.9999999999999995E-8</v>
      </c>
      <c r="AO165" s="140">
        <f t="shared" si="28"/>
        <v>7.4000000000000003E-6</v>
      </c>
      <c r="AP165">
        <v>0.74</v>
      </c>
      <c r="AQ165" s="140">
        <f t="shared" si="29"/>
        <v>7.3999999999999974E-8</v>
      </c>
      <c r="AR165" s="140">
        <f t="shared" si="30"/>
        <v>1.4799999999999998E-7</v>
      </c>
      <c r="AS165" s="140">
        <f t="shared" si="31"/>
        <v>2.22E-7</v>
      </c>
      <c r="AT165" s="140">
        <f t="shared" si="32"/>
        <v>2.96E-7</v>
      </c>
      <c r="AU165" s="140">
        <f t="shared" si="33"/>
        <v>3.7000000000000006E-7</v>
      </c>
      <c r="AV165" s="157">
        <f>IF(AO165&lt;$B$73*DATA!$H$1037,DATA!$H$1037,IF(AO165&gt;DATA!$H$1036*$B$73,DATA!$H$1036,1))</f>
        <v>1.2</v>
      </c>
      <c r="AW165" s="156">
        <f t="shared" si="34"/>
        <v>9.9999999999999995E-8</v>
      </c>
      <c r="AY165" s="140">
        <f t="shared" si="35"/>
        <v>7.4000000000000003E-6</v>
      </c>
      <c r="AZ165">
        <v>0.74</v>
      </c>
      <c r="BA165" s="140">
        <f t="shared" si="36"/>
        <v>7.3999999999999974E-8</v>
      </c>
      <c r="BB165" s="140">
        <f t="shared" si="37"/>
        <v>1.4799999999999998E-7</v>
      </c>
      <c r="BC165" s="140">
        <f t="shared" si="38"/>
        <v>2.22E-7</v>
      </c>
      <c r="BD165" s="140">
        <f t="shared" si="39"/>
        <v>2.96E-7</v>
      </c>
      <c r="BE165" s="140">
        <f t="shared" si="40"/>
        <v>3.7000000000000006E-7</v>
      </c>
      <c r="BF165" s="157">
        <f>IF(AY165&lt;$B$89*DATA!$H$1037,DATA!$H$1037,IF(AY165&gt;DATA!$H$1036*$B$89,DATA!$H$1036,1))</f>
        <v>1.2</v>
      </c>
      <c r="BG165" s="156">
        <f t="shared" si="41"/>
        <v>9.9999999999999995E-8</v>
      </c>
      <c r="BI165" s="140">
        <f t="shared" si="42"/>
        <v>7.4000000000000003E-6</v>
      </c>
      <c r="BJ165">
        <v>0.74</v>
      </c>
      <c r="BK165" s="140">
        <f t="shared" si="43"/>
        <v>7.3999999999999974E-8</v>
      </c>
      <c r="BL165" s="140">
        <f t="shared" si="44"/>
        <v>1.4799999999999998E-7</v>
      </c>
      <c r="BM165" s="140">
        <f t="shared" si="45"/>
        <v>2.22E-7</v>
      </c>
      <c r="BN165" s="140">
        <f t="shared" si="46"/>
        <v>2.96E-7</v>
      </c>
      <c r="BO165" s="140">
        <f t="shared" si="47"/>
        <v>3.7000000000000006E-7</v>
      </c>
      <c r="BP165" s="157">
        <f>IF(BI165&lt;$B$105*DATA!$H$1037,DATA!$H$1037,IF(BI165&gt;DATA!$H$1036*$B$105,DATA!$H$1036,1))</f>
        <v>1.2</v>
      </c>
      <c r="BQ165" s="156">
        <f t="shared" si="48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"/>
        <v>7.5999999999999979E-8</v>
      </c>
      <c r="D166" s="140">
        <f t="shared" si="5"/>
        <v>1.5199999999999998E-7</v>
      </c>
      <c r="E166" s="140">
        <f t="shared" si="5"/>
        <v>2.2800000000000003E-7</v>
      </c>
      <c r="F166" s="140">
        <f t="shared" si="5"/>
        <v>3.0400000000000002E-7</v>
      </c>
      <c r="G166" s="140">
        <f t="shared" si="5"/>
        <v>3.8000000000000007E-7</v>
      </c>
      <c r="H166" s="157">
        <f>IF(A166&lt;$B$9*DATA!$H$1037,DATA!$H$1037,IF(A166&gt;DATA!$H$1036*$B$9,DATA!$H$1036,1))</f>
        <v>0.8</v>
      </c>
      <c r="I166" s="156">
        <f t="shared" si="6"/>
        <v>9.9999999999999995E-8</v>
      </c>
      <c r="K166" s="140">
        <f t="shared" si="7"/>
        <v>7.6000000000000009E-6</v>
      </c>
      <c r="L166">
        <v>0.76</v>
      </c>
      <c r="M166" s="140">
        <f t="shared" si="8"/>
        <v>7.5999999999999979E-8</v>
      </c>
      <c r="N166" s="140">
        <f t="shared" si="9"/>
        <v>1.5199999999999998E-7</v>
      </c>
      <c r="O166" s="140">
        <f t="shared" si="10"/>
        <v>2.2800000000000003E-7</v>
      </c>
      <c r="P166" s="140">
        <f t="shared" si="11"/>
        <v>3.0400000000000002E-7</v>
      </c>
      <c r="Q166" s="140">
        <f t="shared" si="12"/>
        <v>3.8000000000000007E-7</v>
      </c>
      <c r="R166" s="157">
        <f>IF(K166&lt;$B$25*DATA!$H$1037,DATA!$H$1037,IF(K166&gt;DATA!$H$1036*$B$25,DATA!$H$1036,1))</f>
        <v>0.8</v>
      </c>
      <c r="S166" s="156">
        <f t="shared" si="13"/>
        <v>9.9999999999999995E-8</v>
      </c>
      <c r="U166" s="140">
        <f t="shared" si="14"/>
        <v>7.6000000000000009E-6</v>
      </c>
      <c r="V166">
        <v>0.76</v>
      </c>
      <c r="W166" s="140">
        <f t="shared" si="15"/>
        <v>7.5999999999999979E-8</v>
      </c>
      <c r="X166" s="140">
        <f t="shared" si="16"/>
        <v>1.5199999999999998E-7</v>
      </c>
      <c r="Y166" s="140">
        <f t="shared" si="17"/>
        <v>2.2800000000000003E-7</v>
      </c>
      <c r="Z166" s="140">
        <f t="shared" si="18"/>
        <v>3.0400000000000002E-7</v>
      </c>
      <c r="AA166" s="140">
        <f t="shared" si="19"/>
        <v>3.8000000000000007E-7</v>
      </c>
      <c r="AB166" s="157">
        <f>IF(U166&lt;$B$41*DATA!$H$1037,DATA!$H$1037,IF(U166&gt;DATA!$H$1036*$B$41,DATA!$H$1036,1))</f>
        <v>0.8</v>
      </c>
      <c r="AC166" s="156">
        <f t="shared" si="20"/>
        <v>9.9999999999999995E-8</v>
      </c>
      <c r="AE166" s="140">
        <f t="shared" si="21"/>
        <v>7.6000000000000009E-6</v>
      </c>
      <c r="AF166">
        <v>0.76</v>
      </c>
      <c r="AG166" s="140">
        <f t="shared" si="22"/>
        <v>7.5999999999999979E-8</v>
      </c>
      <c r="AH166" s="140">
        <f t="shared" si="23"/>
        <v>1.5199999999999998E-7</v>
      </c>
      <c r="AI166" s="140">
        <f t="shared" si="24"/>
        <v>2.2800000000000003E-7</v>
      </c>
      <c r="AJ166" s="140">
        <f t="shared" si="25"/>
        <v>3.0400000000000002E-7</v>
      </c>
      <c r="AK166" s="140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27"/>
        <v>9.9999999999999995E-8</v>
      </c>
      <c r="AO166" s="140">
        <f t="shared" si="28"/>
        <v>7.6000000000000009E-6</v>
      </c>
      <c r="AP166">
        <v>0.76</v>
      </c>
      <c r="AQ166" s="140">
        <f t="shared" si="29"/>
        <v>7.5999999999999979E-8</v>
      </c>
      <c r="AR166" s="140">
        <f t="shared" si="30"/>
        <v>1.5199999999999998E-7</v>
      </c>
      <c r="AS166" s="140">
        <f t="shared" si="31"/>
        <v>2.2800000000000003E-7</v>
      </c>
      <c r="AT166" s="140">
        <f t="shared" si="32"/>
        <v>3.0400000000000002E-7</v>
      </c>
      <c r="AU166" s="140">
        <f t="shared" si="33"/>
        <v>3.8000000000000007E-7</v>
      </c>
      <c r="AV166" s="157">
        <f>IF(AO166&lt;$B$73*DATA!$H$1037,DATA!$H$1037,IF(AO166&gt;DATA!$H$1036*$B$73,DATA!$H$1036,1))</f>
        <v>1.2</v>
      </c>
      <c r="AW166" s="156">
        <f t="shared" si="34"/>
        <v>9.9999999999999995E-8</v>
      </c>
      <c r="AY166" s="140">
        <f t="shared" si="35"/>
        <v>7.6000000000000009E-6</v>
      </c>
      <c r="AZ166">
        <v>0.76</v>
      </c>
      <c r="BA166" s="140">
        <f t="shared" si="36"/>
        <v>7.5999999999999979E-8</v>
      </c>
      <c r="BB166" s="140">
        <f t="shared" si="37"/>
        <v>1.5199999999999998E-7</v>
      </c>
      <c r="BC166" s="140">
        <f t="shared" si="38"/>
        <v>2.2800000000000003E-7</v>
      </c>
      <c r="BD166" s="140">
        <f t="shared" si="39"/>
        <v>3.0400000000000002E-7</v>
      </c>
      <c r="BE166" s="140">
        <f t="shared" si="40"/>
        <v>3.8000000000000007E-7</v>
      </c>
      <c r="BF166" s="157">
        <f>IF(AY166&lt;$B$89*DATA!$H$1037,DATA!$H$1037,IF(AY166&gt;DATA!$H$1036*$B$89,DATA!$H$1036,1))</f>
        <v>1.2</v>
      </c>
      <c r="BG166" s="156">
        <f t="shared" si="41"/>
        <v>9.9999999999999995E-8</v>
      </c>
      <c r="BI166" s="140">
        <f t="shared" si="42"/>
        <v>7.6000000000000009E-6</v>
      </c>
      <c r="BJ166">
        <v>0.76</v>
      </c>
      <c r="BK166" s="140">
        <f t="shared" si="43"/>
        <v>7.5999999999999979E-8</v>
      </c>
      <c r="BL166" s="140">
        <f t="shared" si="44"/>
        <v>1.5199999999999998E-7</v>
      </c>
      <c r="BM166" s="140">
        <f t="shared" si="45"/>
        <v>2.2800000000000003E-7</v>
      </c>
      <c r="BN166" s="140">
        <f t="shared" si="46"/>
        <v>3.0400000000000002E-7</v>
      </c>
      <c r="BO166" s="140">
        <f t="shared" si="47"/>
        <v>3.8000000000000007E-7</v>
      </c>
      <c r="BP166" s="157">
        <f>IF(BI166&lt;$B$105*DATA!$H$1037,DATA!$H$1037,IF(BI166&gt;DATA!$H$1036*$B$105,DATA!$H$1036,1))</f>
        <v>1.2</v>
      </c>
      <c r="BQ166" s="156">
        <f t="shared" si="48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"/>
        <v>7.7999999999999984E-8</v>
      </c>
      <c r="D167" s="140">
        <f t="shared" si="5"/>
        <v>1.5600000000000002E-7</v>
      </c>
      <c r="E167" s="140">
        <f t="shared" si="5"/>
        <v>2.3400000000000003E-7</v>
      </c>
      <c r="F167" s="140">
        <f t="shared" si="5"/>
        <v>3.1200000000000009E-7</v>
      </c>
      <c r="G167" s="140">
        <f t="shared" si="5"/>
        <v>3.9000000000000008E-7</v>
      </c>
      <c r="H167" s="157">
        <f>IF(A167&lt;$B$9*DATA!$H$1037,DATA!$H$1037,IF(A167&gt;DATA!$H$1036*$B$9,DATA!$H$1036,1))</f>
        <v>0.8</v>
      </c>
      <c r="I167" s="156">
        <f t="shared" si="6"/>
        <v>9.9999999999999995E-8</v>
      </c>
      <c r="K167" s="140">
        <f t="shared" si="7"/>
        <v>7.8000000000000016E-6</v>
      </c>
      <c r="L167">
        <v>0.78</v>
      </c>
      <c r="M167" s="140">
        <f t="shared" si="8"/>
        <v>7.7999999999999984E-8</v>
      </c>
      <c r="N167" s="140">
        <f t="shared" si="9"/>
        <v>1.5600000000000002E-7</v>
      </c>
      <c r="O167" s="140">
        <f t="shared" si="10"/>
        <v>2.3400000000000003E-7</v>
      </c>
      <c r="P167" s="140">
        <f t="shared" si="11"/>
        <v>3.1200000000000009E-7</v>
      </c>
      <c r="Q167" s="140">
        <f t="shared" si="12"/>
        <v>3.9000000000000008E-7</v>
      </c>
      <c r="R167" s="157">
        <f>IF(K167&lt;$B$25*DATA!$H$1037,DATA!$H$1037,IF(K167&gt;DATA!$H$1036*$B$25,DATA!$H$1036,1))</f>
        <v>0.8</v>
      </c>
      <c r="S167" s="156">
        <f t="shared" si="13"/>
        <v>9.9999999999999995E-8</v>
      </c>
      <c r="U167" s="140">
        <f t="shared" si="14"/>
        <v>7.8000000000000016E-6</v>
      </c>
      <c r="V167">
        <v>0.78</v>
      </c>
      <c r="W167" s="140">
        <f t="shared" si="15"/>
        <v>7.7999999999999984E-8</v>
      </c>
      <c r="X167" s="140">
        <f t="shared" si="16"/>
        <v>1.5600000000000002E-7</v>
      </c>
      <c r="Y167" s="140">
        <f t="shared" si="17"/>
        <v>2.3400000000000003E-7</v>
      </c>
      <c r="Z167" s="140">
        <f t="shared" si="18"/>
        <v>3.1200000000000009E-7</v>
      </c>
      <c r="AA167" s="140">
        <f t="shared" si="19"/>
        <v>3.9000000000000008E-7</v>
      </c>
      <c r="AB167" s="157">
        <f>IF(U167&lt;$B$41*DATA!$H$1037,DATA!$H$1037,IF(U167&gt;DATA!$H$1036*$B$41,DATA!$H$1036,1))</f>
        <v>0.8</v>
      </c>
      <c r="AC167" s="156">
        <f t="shared" si="20"/>
        <v>9.9999999999999995E-8</v>
      </c>
      <c r="AE167" s="140">
        <f t="shared" si="21"/>
        <v>7.8000000000000016E-6</v>
      </c>
      <c r="AF167">
        <v>0.78</v>
      </c>
      <c r="AG167" s="140">
        <f t="shared" si="22"/>
        <v>7.7999999999999984E-8</v>
      </c>
      <c r="AH167" s="140">
        <f t="shared" si="23"/>
        <v>1.5600000000000002E-7</v>
      </c>
      <c r="AI167" s="140">
        <f t="shared" si="24"/>
        <v>2.3400000000000003E-7</v>
      </c>
      <c r="AJ167" s="140">
        <f t="shared" si="25"/>
        <v>3.1200000000000009E-7</v>
      </c>
      <c r="AK167" s="140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27"/>
        <v>9.9999999999999995E-8</v>
      </c>
      <c r="AO167" s="140">
        <f t="shared" si="28"/>
        <v>7.8000000000000016E-6</v>
      </c>
      <c r="AP167">
        <v>0.78</v>
      </c>
      <c r="AQ167" s="140">
        <f t="shared" si="29"/>
        <v>7.7999999999999984E-8</v>
      </c>
      <c r="AR167" s="140">
        <f t="shared" si="30"/>
        <v>1.5600000000000002E-7</v>
      </c>
      <c r="AS167" s="140">
        <f t="shared" si="31"/>
        <v>2.3400000000000003E-7</v>
      </c>
      <c r="AT167" s="140">
        <f t="shared" si="32"/>
        <v>3.1200000000000009E-7</v>
      </c>
      <c r="AU167" s="140">
        <f t="shared" si="33"/>
        <v>3.9000000000000008E-7</v>
      </c>
      <c r="AV167" s="157">
        <f>IF(AO167&lt;$B$73*DATA!$H$1037,DATA!$H$1037,IF(AO167&gt;DATA!$H$1036*$B$73,DATA!$H$1036,1))</f>
        <v>1.2</v>
      </c>
      <c r="AW167" s="156">
        <f t="shared" si="34"/>
        <v>9.9999999999999995E-8</v>
      </c>
      <c r="AY167" s="140">
        <f t="shared" si="35"/>
        <v>7.8000000000000016E-6</v>
      </c>
      <c r="AZ167">
        <v>0.78</v>
      </c>
      <c r="BA167" s="140">
        <f t="shared" si="36"/>
        <v>7.7999999999999984E-8</v>
      </c>
      <c r="BB167" s="140">
        <f t="shared" si="37"/>
        <v>1.5600000000000002E-7</v>
      </c>
      <c r="BC167" s="140">
        <f t="shared" si="38"/>
        <v>2.3400000000000003E-7</v>
      </c>
      <c r="BD167" s="140">
        <f t="shared" si="39"/>
        <v>3.1200000000000009E-7</v>
      </c>
      <c r="BE167" s="140">
        <f t="shared" si="40"/>
        <v>3.9000000000000008E-7</v>
      </c>
      <c r="BF167" s="157">
        <f>IF(AY167&lt;$B$89*DATA!$H$1037,DATA!$H$1037,IF(AY167&gt;DATA!$H$1036*$B$89,DATA!$H$1036,1))</f>
        <v>1.2</v>
      </c>
      <c r="BG167" s="156">
        <f t="shared" si="41"/>
        <v>9.9999999999999995E-8</v>
      </c>
      <c r="BI167" s="140">
        <f t="shared" si="42"/>
        <v>7.8000000000000016E-6</v>
      </c>
      <c r="BJ167">
        <v>0.78</v>
      </c>
      <c r="BK167" s="140">
        <f t="shared" si="43"/>
        <v>7.7999999999999984E-8</v>
      </c>
      <c r="BL167" s="140">
        <f t="shared" si="44"/>
        <v>1.5600000000000002E-7</v>
      </c>
      <c r="BM167" s="140">
        <f t="shared" si="45"/>
        <v>2.3400000000000003E-7</v>
      </c>
      <c r="BN167" s="140">
        <f t="shared" si="46"/>
        <v>3.1200000000000009E-7</v>
      </c>
      <c r="BO167" s="140">
        <f t="shared" si="47"/>
        <v>3.9000000000000008E-7</v>
      </c>
      <c r="BP167" s="157">
        <f>IF(BI167&lt;$B$105*DATA!$H$1037,DATA!$H$1037,IF(BI167&gt;DATA!$H$1036*$B$105,DATA!$H$1036,1))</f>
        <v>1.2</v>
      </c>
      <c r="BQ167" s="156">
        <f t="shared" si="48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"/>
        <v>7.9999999999999988E-8</v>
      </c>
      <c r="D168" s="140">
        <f t="shared" si="5"/>
        <v>1.6E-7</v>
      </c>
      <c r="E168" s="140">
        <f t="shared" si="5"/>
        <v>2.4000000000000003E-7</v>
      </c>
      <c r="F168" s="140">
        <f t="shared" si="5"/>
        <v>3.2000000000000006E-7</v>
      </c>
      <c r="G168" s="140">
        <f t="shared" si="5"/>
        <v>4.0000000000000009E-7</v>
      </c>
      <c r="H168" s="157">
        <f>IF(A168&lt;$B$9*DATA!$H$1037,DATA!$H$1037,IF(A168&gt;DATA!$H$1036*$B$9,DATA!$H$1036,1))</f>
        <v>0.8</v>
      </c>
      <c r="I168" s="156">
        <f t="shared" si="6"/>
        <v>9.9999999999999995E-8</v>
      </c>
      <c r="K168" s="140">
        <f t="shared" si="7"/>
        <v>8.0000000000000013E-6</v>
      </c>
      <c r="L168">
        <v>0.8</v>
      </c>
      <c r="M168" s="140">
        <f t="shared" si="8"/>
        <v>7.9999999999999988E-8</v>
      </c>
      <c r="N168" s="140">
        <f t="shared" si="9"/>
        <v>1.6E-7</v>
      </c>
      <c r="O168" s="140">
        <f t="shared" si="10"/>
        <v>2.4000000000000003E-7</v>
      </c>
      <c r="P168" s="140">
        <f t="shared" si="11"/>
        <v>3.2000000000000006E-7</v>
      </c>
      <c r="Q168" s="140">
        <f t="shared" si="12"/>
        <v>4.0000000000000009E-7</v>
      </c>
      <c r="R168" s="157">
        <f>IF(K168&lt;$B$25*DATA!$H$1037,DATA!$H$1037,IF(K168&gt;DATA!$H$1036*$B$25,DATA!$H$1036,1))</f>
        <v>0.8</v>
      </c>
      <c r="S168" s="156">
        <f t="shared" si="13"/>
        <v>9.9999999999999995E-8</v>
      </c>
      <c r="U168" s="140">
        <f t="shared" si="14"/>
        <v>8.0000000000000013E-6</v>
      </c>
      <c r="V168">
        <v>0.8</v>
      </c>
      <c r="W168" s="140">
        <f t="shared" si="15"/>
        <v>7.9999999999999988E-8</v>
      </c>
      <c r="X168" s="140">
        <f t="shared" si="16"/>
        <v>1.6E-7</v>
      </c>
      <c r="Y168" s="140">
        <f t="shared" si="17"/>
        <v>2.4000000000000003E-7</v>
      </c>
      <c r="Z168" s="140">
        <f t="shared" si="18"/>
        <v>3.2000000000000006E-7</v>
      </c>
      <c r="AA168" s="140">
        <f t="shared" si="19"/>
        <v>4.0000000000000009E-7</v>
      </c>
      <c r="AB168" s="157">
        <f>IF(U168&lt;$B$41*DATA!$H$1037,DATA!$H$1037,IF(U168&gt;DATA!$H$1036*$B$41,DATA!$H$1036,1))</f>
        <v>0.8</v>
      </c>
      <c r="AC168" s="156">
        <f t="shared" si="20"/>
        <v>9.9999999999999995E-8</v>
      </c>
      <c r="AE168" s="140">
        <f t="shared" si="21"/>
        <v>8.0000000000000013E-6</v>
      </c>
      <c r="AF168">
        <v>0.8</v>
      </c>
      <c r="AG168" s="140">
        <f t="shared" si="22"/>
        <v>7.9999999999999988E-8</v>
      </c>
      <c r="AH168" s="140">
        <f t="shared" si="23"/>
        <v>1.6E-7</v>
      </c>
      <c r="AI168" s="140">
        <f t="shared" si="24"/>
        <v>2.4000000000000003E-7</v>
      </c>
      <c r="AJ168" s="140">
        <f t="shared" si="25"/>
        <v>3.2000000000000006E-7</v>
      </c>
      <c r="AK168" s="140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27"/>
        <v>9.9999999999999995E-8</v>
      </c>
      <c r="AO168" s="140">
        <f t="shared" si="28"/>
        <v>8.0000000000000013E-6</v>
      </c>
      <c r="AP168">
        <v>0.8</v>
      </c>
      <c r="AQ168" s="140">
        <f t="shared" si="29"/>
        <v>7.9999999999999988E-8</v>
      </c>
      <c r="AR168" s="140">
        <f t="shared" si="30"/>
        <v>1.6E-7</v>
      </c>
      <c r="AS168" s="140">
        <f t="shared" si="31"/>
        <v>2.4000000000000003E-7</v>
      </c>
      <c r="AT168" s="140">
        <f t="shared" si="32"/>
        <v>3.2000000000000006E-7</v>
      </c>
      <c r="AU168" s="140">
        <f t="shared" si="33"/>
        <v>4.0000000000000009E-7</v>
      </c>
      <c r="AV168" s="157">
        <f>IF(AO168&lt;$B$73*DATA!$H$1037,DATA!$H$1037,IF(AO168&gt;DATA!$H$1036*$B$73,DATA!$H$1036,1))</f>
        <v>1.2</v>
      </c>
      <c r="AW168" s="156">
        <f t="shared" si="34"/>
        <v>9.9999999999999995E-8</v>
      </c>
      <c r="AY168" s="140">
        <f t="shared" si="35"/>
        <v>8.0000000000000013E-6</v>
      </c>
      <c r="AZ168">
        <v>0.8</v>
      </c>
      <c r="BA168" s="140">
        <f t="shared" si="36"/>
        <v>7.9999999999999988E-8</v>
      </c>
      <c r="BB168" s="140">
        <f t="shared" si="37"/>
        <v>1.6E-7</v>
      </c>
      <c r="BC168" s="140">
        <f t="shared" si="38"/>
        <v>2.4000000000000003E-7</v>
      </c>
      <c r="BD168" s="140">
        <f t="shared" si="39"/>
        <v>3.2000000000000006E-7</v>
      </c>
      <c r="BE168" s="140">
        <f t="shared" si="40"/>
        <v>4.0000000000000009E-7</v>
      </c>
      <c r="BF168" s="157">
        <f>IF(AY168&lt;$B$89*DATA!$H$1037,DATA!$H$1037,IF(AY168&gt;DATA!$H$1036*$B$89,DATA!$H$1036,1))</f>
        <v>1.2</v>
      </c>
      <c r="BG168" s="156">
        <f t="shared" si="41"/>
        <v>9.9999999999999995E-8</v>
      </c>
      <c r="BI168" s="140">
        <f t="shared" si="42"/>
        <v>8.0000000000000013E-6</v>
      </c>
      <c r="BJ168">
        <v>0.8</v>
      </c>
      <c r="BK168" s="140">
        <f t="shared" si="43"/>
        <v>7.9999999999999988E-8</v>
      </c>
      <c r="BL168" s="140">
        <f t="shared" si="44"/>
        <v>1.6E-7</v>
      </c>
      <c r="BM168" s="140">
        <f t="shared" si="45"/>
        <v>2.4000000000000003E-7</v>
      </c>
      <c r="BN168" s="140">
        <f t="shared" si="46"/>
        <v>3.2000000000000006E-7</v>
      </c>
      <c r="BO168" s="140">
        <f t="shared" si="47"/>
        <v>4.0000000000000009E-7</v>
      </c>
      <c r="BP168" s="157">
        <f>IF(BI168&lt;$B$105*DATA!$H$1037,DATA!$H$1037,IF(BI168&gt;DATA!$H$1036*$B$105,DATA!$H$1036,1))</f>
        <v>1.2</v>
      </c>
      <c r="BQ168" s="156">
        <f t="shared" si="48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"/>
        <v>8.1999999999999967E-8</v>
      </c>
      <c r="D169" s="140">
        <f t="shared" si="5"/>
        <v>1.6399999999999996E-7</v>
      </c>
      <c r="E169" s="140">
        <f t="shared" si="5"/>
        <v>2.4599999999999995E-7</v>
      </c>
      <c r="F169" s="140">
        <f t="shared" si="5"/>
        <v>3.2799999999999997E-7</v>
      </c>
      <c r="G169" s="140">
        <f t="shared" si="5"/>
        <v>4.0999999999999999E-7</v>
      </c>
      <c r="H169" s="157">
        <f>IF(A169&lt;$B$9*DATA!$H$1037,DATA!$H$1037,IF(A169&gt;DATA!$H$1036*$B$9,DATA!$H$1036,1))</f>
        <v>0.8</v>
      </c>
      <c r="I169" s="156">
        <f t="shared" si="6"/>
        <v>9.9999999999999995E-8</v>
      </c>
      <c r="K169" s="140">
        <f t="shared" si="7"/>
        <v>8.1999999999999994E-6</v>
      </c>
      <c r="L169">
        <v>0.82</v>
      </c>
      <c r="M169" s="140">
        <f t="shared" si="8"/>
        <v>8.1999999999999967E-8</v>
      </c>
      <c r="N169" s="140">
        <f t="shared" si="9"/>
        <v>1.6399999999999996E-7</v>
      </c>
      <c r="O169" s="140">
        <f t="shared" si="10"/>
        <v>2.4599999999999995E-7</v>
      </c>
      <c r="P169" s="140">
        <f t="shared" si="11"/>
        <v>3.2799999999999997E-7</v>
      </c>
      <c r="Q169" s="140">
        <f t="shared" si="12"/>
        <v>4.0999999999999999E-7</v>
      </c>
      <c r="R169" s="157">
        <f>IF(K169&lt;$B$25*DATA!$H$1037,DATA!$H$1037,IF(K169&gt;DATA!$H$1036*$B$25,DATA!$H$1036,1))</f>
        <v>0.8</v>
      </c>
      <c r="S169" s="156">
        <f t="shared" si="13"/>
        <v>9.9999999999999995E-8</v>
      </c>
      <c r="U169" s="140">
        <f t="shared" si="14"/>
        <v>8.1999999999999994E-6</v>
      </c>
      <c r="V169">
        <v>0.82</v>
      </c>
      <c r="W169" s="140">
        <f t="shared" si="15"/>
        <v>8.1999999999999967E-8</v>
      </c>
      <c r="X169" s="140">
        <f t="shared" si="16"/>
        <v>1.6399999999999996E-7</v>
      </c>
      <c r="Y169" s="140">
        <f t="shared" si="17"/>
        <v>2.4599999999999995E-7</v>
      </c>
      <c r="Z169" s="140">
        <f t="shared" si="18"/>
        <v>3.2799999999999997E-7</v>
      </c>
      <c r="AA169" s="140">
        <f t="shared" si="19"/>
        <v>4.0999999999999999E-7</v>
      </c>
      <c r="AB169" s="157">
        <f>IF(U169&lt;$B$41*DATA!$H$1037,DATA!$H$1037,IF(U169&gt;DATA!$H$1036*$B$41,DATA!$H$1036,1))</f>
        <v>0.8</v>
      </c>
      <c r="AC169" s="156">
        <f t="shared" si="20"/>
        <v>9.9999999999999995E-8</v>
      </c>
      <c r="AE169" s="140">
        <f t="shared" si="21"/>
        <v>8.1999999999999994E-6</v>
      </c>
      <c r="AF169">
        <v>0.82</v>
      </c>
      <c r="AG169" s="140">
        <f t="shared" si="22"/>
        <v>8.1999999999999967E-8</v>
      </c>
      <c r="AH169" s="140">
        <f t="shared" si="23"/>
        <v>1.6399999999999996E-7</v>
      </c>
      <c r="AI169" s="140">
        <f t="shared" si="24"/>
        <v>2.4599999999999995E-7</v>
      </c>
      <c r="AJ169" s="140">
        <f t="shared" si="25"/>
        <v>3.2799999999999997E-7</v>
      </c>
      <c r="AK169" s="140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27"/>
        <v>9.9999999999999995E-8</v>
      </c>
      <c r="AO169" s="140">
        <f t="shared" si="28"/>
        <v>8.1999999999999994E-6</v>
      </c>
      <c r="AP169">
        <v>0.82</v>
      </c>
      <c r="AQ169" s="140">
        <f t="shared" si="29"/>
        <v>8.1999999999999967E-8</v>
      </c>
      <c r="AR169" s="140">
        <f t="shared" si="30"/>
        <v>1.6399999999999996E-7</v>
      </c>
      <c r="AS169" s="140">
        <f t="shared" si="31"/>
        <v>2.4599999999999995E-7</v>
      </c>
      <c r="AT169" s="140">
        <f t="shared" si="32"/>
        <v>3.2799999999999997E-7</v>
      </c>
      <c r="AU169" s="140">
        <f t="shared" si="33"/>
        <v>4.0999999999999999E-7</v>
      </c>
      <c r="AV169" s="157">
        <f>IF(AO169&lt;$B$73*DATA!$H$1037,DATA!$H$1037,IF(AO169&gt;DATA!$H$1036*$B$73,DATA!$H$1036,1))</f>
        <v>1.2</v>
      </c>
      <c r="AW169" s="156">
        <f t="shared" si="34"/>
        <v>9.9999999999999995E-8</v>
      </c>
      <c r="AY169" s="140">
        <f t="shared" si="35"/>
        <v>8.1999999999999994E-6</v>
      </c>
      <c r="AZ169">
        <v>0.82</v>
      </c>
      <c r="BA169" s="140">
        <f t="shared" si="36"/>
        <v>8.1999999999999967E-8</v>
      </c>
      <c r="BB169" s="140">
        <f t="shared" si="37"/>
        <v>1.6399999999999996E-7</v>
      </c>
      <c r="BC169" s="140">
        <f t="shared" si="38"/>
        <v>2.4599999999999995E-7</v>
      </c>
      <c r="BD169" s="140">
        <f t="shared" si="39"/>
        <v>3.2799999999999997E-7</v>
      </c>
      <c r="BE169" s="140">
        <f t="shared" si="40"/>
        <v>4.0999999999999999E-7</v>
      </c>
      <c r="BF169" s="157">
        <f>IF(AY169&lt;$B$89*DATA!$H$1037,DATA!$H$1037,IF(AY169&gt;DATA!$H$1036*$B$89,DATA!$H$1036,1))</f>
        <v>1.2</v>
      </c>
      <c r="BG169" s="156">
        <f t="shared" si="41"/>
        <v>9.9999999999999995E-8</v>
      </c>
      <c r="BI169" s="140">
        <f t="shared" si="42"/>
        <v>8.1999999999999994E-6</v>
      </c>
      <c r="BJ169">
        <v>0.82</v>
      </c>
      <c r="BK169" s="140">
        <f t="shared" si="43"/>
        <v>8.1999999999999967E-8</v>
      </c>
      <c r="BL169" s="140">
        <f t="shared" si="44"/>
        <v>1.6399999999999996E-7</v>
      </c>
      <c r="BM169" s="140">
        <f t="shared" si="45"/>
        <v>2.4599999999999995E-7</v>
      </c>
      <c r="BN169" s="140">
        <f t="shared" si="46"/>
        <v>3.2799999999999997E-7</v>
      </c>
      <c r="BO169" s="140">
        <f t="shared" si="47"/>
        <v>4.0999999999999999E-7</v>
      </c>
      <c r="BP169" s="157">
        <f>IF(BI169&lt;$B$105*DATA!$H$1037,DATA!$H$1037,IF(BI169&gt;DATA!$H$1036*$B$105,DATA!$H$1036,1))</f>
        <v>1.2</v>
      </c>
      <c r="BQ169" s="156">
        <f t="shared" si="48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"/>
        <v>8.3999999999999985E-8</v>
      </c>
      <c r="D170" s="140">
        <f t="shared" si="5"/>
        <v>1.68E-7</v>
      </c>
      <c r="E170" s="140">
        <f t="shared" si="5"/>
        <v>2.5200000000000003E-7</v>
      </c>
      <c r="F170" s="140">
        <f t="shared" si="5"/>
        <v>3.3600000000000004E-7</v>
      </c>
      <c r="G170" s="140">
        <f t="shared" si="5"/>
        <v>4.2000000000000006E-7</v>
      </c>
      <c r="H170" s="157">
        <f>IF(A170&lt;$B$9*DATA!$H$1037,DATA!$H$1037,IF(A170&gt;DATA!$H$1036*$B$9,DATA!$H$1036,1))</f>
        <v>0.8</v>
      </c>
      <c r="I170" s="156">
        <f t="shared" si="6"/>
        <v>9.9999999999999995E-8</v>
      </c>
      <c r="K170" s="140">
        <f t="shared" si="7"/>
        <v>8.4000000000000009E-6</v>
      </c>
      <c r="L170">
        <v>0.84</v>
      </c>
      <c r="M170" s="140">
        <f t="shared" si="8"/>
        <v>8.3999999999999985E-8</v>
      </c>
      <c r="N170" s="140">
        <f t="shared" si="9"/>
        <v>1.68E-7</v>
      </c>
      <c r="O170" s="140">
        <f t="shared" si="10"/>
        <v>2.5200000000000003E-7</v>
      </c>
      <c r="P170" s="140">
        <f t="shared" si="11"/>
        <v>3.3600000000000004E-7</v>
      </c>
      <c r="Q170" s="140">
        <f t="shared" si="12"/>
        <v>4.2000000000000006E-7</v>
      </c>
      <c r="R170" s="157">
        <f>IF(K170&lt;$B$25*DATA!$H$1037,DATA!$H$1037,IF(K170&gt;DATA!$H$1036*$B$25,DATA!$H$1036,1))</f>
        <v>0.8</v>
      </c>
      <c r="S170" s="156">
        <f t="shared" si="13"/>
        <v>9.9999999999999995E-8</v>
      </c>
      <c r="U170" s="140">
        <f t="shared" si="14"/>
        <v>8.4000000000000009E-6</v>
      </c>
      <c r="V170">
        <v>0.84</v>
      </c>
      <c r="W170" s="140">
        <f t="shared" si="15"/>
        <v>8.3999999999999985E-8</v>
      </c>
      <c r="X170" s="140">
        <f t="shared" si="16"/>
        <v>1.68E-7</v>
      </c>
      <c r="Y170" s="140">
        <f t="shared" si="17"/>
        <v>2.5200000000000003E-7</v>
      </c>
      <c r="Z170" s="140">
        <f t="shared" si="18"/>
        <v>3.3600000000000004E-7</v>
      </c>
      <c r="AA170" s="140">
        <f t="shared" si="19"/>
        <v>4.2000000000000006E-7</v>
      </c>
      <c r="AB170" s="157">
        <f>IF(U170&lt;$B$41*DATA!$H$1037,DATA!$H$1037,IF(U170&gt;DATA!$H$1036*$B$41,DATA!$H$1036,1))</f>
        <v>0.8</v>
      </c>
      <c r="AC170" s="156">
        <f t="shared" si="20"/>
        <v>9.9999999999999995E-8</v>
      </c>
      <c r="AE170" s="140">
        <f t="shared" si="21"/>
        <v>8.4000000000000009E-6</v>
      </c>
      <c r="AF170">
        <v>0.84</v>
      </c>
      <c r="AG170" s="140">
        <f t="shared" si="22"/>
        <v>8.3999999999999985E-8</v>
      </c>
      <c r="AH170" s="140">
        <f t="shared" si="23"/>
        <v>1.68E-7</v>
      </c>
      <c r="AI170" s="140">
        <f t="shared" si="24"/>
        <v>2.5200000000000003E-7</v>
      </c>
      <c r="AJ170" s="140">
        <f t="shared" si="25"/>
        <v>3.3600000000000004E-7</v>
      </c>
      <c r="AK170" s="140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27"/>
        <v>9.9999999999999995E-8</v>
      </c>
      <c r="AO170" s="140">
        <f t="shared" si="28"/>
        <v>8.4000000000000009E-6</v>
      </c>
      <c r="AP170">
        <v>0.84</v>
      </c>
      <c r="AQ170" s="140">
        <f t="shared" si="29"/>
        <v>8.3999999999999985E-8</v>
      </c>
      <c r="AR170" s="140">
        <f t="shared" si="30"/>
        <v>1.68E-7</v>
      </c>
      <c r="AS170" s="140">
        <f t="shared" si="31"/>
        <v>2.5200000000000003E-7</v>
      </c>
      <c r="AT170" s="140">
        <f t="shared" si="32"/>
        <v>3.3600000000000004E-7</v>
      </c>
      <c r="AU170" s="140">
        <f t="shared" si="33"/>
        <v>4.2000000000000006E-7</v>
      </c>
      <c r="AV170" s="157">
        <f>IF(AO170&lt;$B$73*DATA!$H$1037,DATA!$H$1037,IF(AO170&gt;DATA!$H$1036*$B$73,DATA!$H$1036,1))</f>
        <v>1.2</v>
      </c>
      <c r="AW170" s="156">
        <f t="shared" si="34"/>
        <v>9.9999999999999995E-8</v>
      </c>
      <c r="AY170" s="140">
        <f t="shared" si="35"/>
        <v>8.4000000000000009E-6</v>
      </c>
      <c r="AZ170">
        <v>0.84</v>
      </c>
      <c r="BA170" s="140">
        <f t="shared" si="36"/>
        <v>8.3999999999999985E-8</v>
      </c>
      <c r="BB170" s="140">
        <f t="shared" si="37"/>
        <v>1.68E-7</v>
      </c>
      <c r="BC170" s="140">
        <f t="shared" si="38"/>
        <v>2.5200000000000003E-7</v>
      </c>
      <c r="BD170" s="140">
        <f t="shared" si="39"/>
        <v>3.3600000000000004E-7</v>
      </c>
      <c r="BE170" s="140">
        <f t="shared" si="40"/>
        <v>4.2000000000000006E-7</v>
      </c>
      <c r="BF170" s="157">
        <f>IF(AY170&lt;$B$89*DATA!$H$1037,DATA!$H$1037,IF(AY170&gt;DATA!$H$1036*$B$89,DATA!$H$1036,1))</f>
        <v>1.2</v>
      </c>
      <c r="BG170" s="156">
        <f t="shared" si="41"/>
        <v>9.9999999999999995E-8</v>
      </c>
      <c r="BI170" s="140">
        <f t="shared" si="42"/>
        <v>8.4000000000000009E-6</v>
      </c>
      <c r="BJ170">
        <v>0.84</v>
      </c>
      <c r="BK170" s="140">
        <f t="shared" si="43"/>
        <v>8.3999999999999985E-8</v>
      </c>
      <c r="BL170" s="140">
        <f t="shared" si="44"/>
        <v>1.68E-7</v>
      </c>
      <c r="BM170" s="140">
        <f t="shared" si="45"/>
        <v>2.5200000000000003E-7</v>
      </c>
      <c r="BN170" s="140">
        <f t="shared" si="46"/>
        <v>3.3600000000000004E-7</v>
      </c>
      <c r="BO170" s="140">
        <f t="shared" si="47"/>
        <v>4.2000000000000006E-7</v>
      </c>
      <c r="BP170" s="157">
        <f>IF(BI170&lt;$B$105*DATA!$H$1037,DATA!$H$1037,IF(BI170&gt;DATA!$H$1036*$B$105,DATA!$H$1036,1))</f>
        <v>1.2</v>
      </c>
      <c r="BQ170" s="156">
        <f t="shared" si="48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"/>
        <v>8.5999999999999976E-8</v>
      </c>
      <c r="D171" s="140">
        <f t="shared" si="5"/>
        <v>1.7199999999999998E-7</v>
      </c>
      <c r="E171" s="140">
        <f t="shared" si="5"/>
        <v>2.5800000000000001E-7</v>
      </c>
      <c r="F171" s="140">
        <f t="shared" si="5"/>
        <v>3.4400000000000001E-7</v>
      </c>
      <c r="G171" s="140">
        <f t="shared" si="5"/>
        <v>4.3000000000000007E-7</v>
      </c>
      <c r="H171" s="157">
        <f>IF(A171&lt;$B$9*DATA!$H$1037,DATA!$H$1037,IF(A171&gt;DATA!$H$1036*$B$9,DATA!$H$1036,1))</f>
        <v>0.8</v>
      </c>
      <c r="I171" s="156">
        <f t="shared" si="6"/>
        <v>9.9999999999999995E-8</v>
      </c>
      <c r="K171" s="140">
        <f t="shared" si="7"/>
        <v>8.6000000000000007E-6</v>
      </c>
      <c r="L171">
        <v>0.86</v>
      </c>
      <c r="M171" s="140">
        <f t="shared" si="8"/>
        <v>8.5999999999999976E-8</v>
      </c>
      <c r="N171" s="140">
        <f t="shared" si="9"/>
        <v>1.7199999999999998E-7</v>
      </c>
      <c r="O171" s="140">
        <f t="shared" si="10"/>
        <v>2.5800000000000001E-7</v>
      </c>
      <c r="P171" s="140">
        <f t="shared" si="11"/>
        <v>3.4400000000000001E-7</v>
      </c>
      <c r="Q171" s="140">
        <f t="shared" si="12"/>
        <v>4.3000000000000007E-7</v>
      </c>
      <c r="R171" s="157">
        <f>IF(K171&lt;$B$25*DATA!$H$1037,DATA!$H$1037,IF(K171&gt;DATA!$H$1036*$B$25,DATA!$H$1036,1))</f>
        <v>0.8</v>
      </c>
      <c r="S171" s="156">
        <f t="shared" si="13"/>
        <v>9.9999999999999995E-8</v>
      </c>
      <c r="U171" s="140">
        <f t="shared" si="14"/>
        <v>8.6000000000000007E-6</v>
      </c>
      <c r="V171">
        <v>0.86</v>
      </c>
      <c r="W171" s="140">
        <f t="shared" si="15"/>
        <v>8.5999999999999976E-8</v>
      </c>
      <c r="X171" s="140">
        <f t="shared" si="16"/>
        <v>1.7199999999999998E-7</v>
      </c>
      <c r="Y171" s="140">
        <f t="shared" si="17"/>
        <v>2.5800000000000001E-7</v>
      </c>
      <c r="Z171" s="140">
        <f t="shared" si="18"/>
        <v>3.4400000000000001E-7</v>
      </c>
      <c r="AA171" s="140">
        <f t="shared" si="19"/>
        <v>4.3000000000000007E-7</v>
      </c>
      <c r="AB171" s="157">
        <f>IF(U171&lt;$B$41*DATA!$H$1037,DATA!$H$1037,IF(U171&gt;DATA!$H$1036*$B$41,DATA!$H$1036,1))</f>
        <v>0.8</v>
      </c>
      <c r="AC171" s="156">
        <f t="shared" si="20"/>
        <v>9.9999999999999995E-8</v>
      </c>
      <c r="AE171" s="140">
        <f t="shared" si="21"/>
        <v>8.6000000000000007E-6</v>
      </c>
      <c r="AF171">
        <v>0.86</v>
      </c>
      <c r="AG171" s="140">
        <f t="shared" si="22"/>
        <v>8.5999999999999976E-8</v>
      </c>
      <c r="AH171" s="140">
        <f t="shared" si="23"/>
        <v>1.7199999999999998E-7</v>
      </c>
      <c r="AI171" s="140">
        <f t="shared" si="24"/>
        <v>2.5800000000000001E-7</v>
      </c>
      <c r="AJ171" s="140">
        <f t="shared" si="25"/>
        <v>3.4400000000000001E-7</v>
      </c>
      <c r="AK171" s="140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27"/>
        <v>9.9999999999999995E-8</v>
      </c>
      <c r="AO171" s="140">
        <f t="shared" si="28"/>
        <v>8.6000000000000007E-6</v>
      </c>
      <c r="AP171">
        <v>0.86</v>
      </c>
      <c r="AQ171" s="140">
        <f t="shared" si="29"/>
        <v>8.5999999999999976E-8</v>
      </c>
      <c r="AR171" s="140">
        <f t="shared" si="30"/>
        <v>1.7199999999999998E-7</v>
      </c>
      <c r="AS171" s="140">
        <f t="shared" si="31"/>
        <v>2.5800000000000001E-7</v>
      </c>
      <c r="AT171" s="140">
        <f t="shared" si="32"/>
        <v>3.4400000000000001E-7</v>
      </c>
      <c r="AU171" s="140">
        <f t="shared" si="33"/>
        <v>4.3000000000000007E-7</v>
      </c>
      <c r="AV171" s="157">
        <f>IF(AO171&lt;$B$73*DATA!$H$1037,DATA!$H$1037,IF(AO171&gt;DATA!$H$1036*$B$73,DATA!$H$1036,1))</f>
        <v>1.2</v>
      </c>
      <c r="AW171" s="156">
        <f t="shared" si="34"/>
        <v>9.9999999999999995E-8</v>
      </c>
      <c r="AY171" s="140">
        <f t="shared" si="35"/>
        <v>8.6000000000000007E-6</v>
      </c>
      <c r="AZ171">
        <v>0.86</v>
      </c>
      <c r="BA171" s="140">
        <f t="shared" si="36"/>
        <v>8.5999999999999976E-8</v>
      </c>
      <c r="BB171" s="140">
        <f t="shared" si="37"/>
        <v>1.7199999999999998E-7</v>
      </c>
      <c r="BC171" s="140">
        <f t="shared" si="38"/>
        <v>2.5800000000000001E-7</v>
      </c>
      <c r="BD171" s="140">
        <f t="shared" si="39"/>
        <v>3.4400000000000001E-7</v>
      </c>
      <c r="BE171" s="140">
        <f t="shared" si="40"/>
        <v>4.3000000000000007E-7</v>
      </c>
      <c r="BF171" s="157">
        <f>IF(AY171&lt;$B$89*DATA!$H$1037,DATA!$H$1037,IF(AY171&gt;DATA!$H$1036*$B$89,DATA!$H$1036,1))</f>
        <v>1.2</v>
      </c>
      <c r="BG171" s="156">
        <f t="shared" si="41"/>
        <v>9.9999999999999995E-8</v>
      </c>
      <c r="BI171" s="140">
        <f t="shared" si="42"/>
        <v>8.6000000000000007E-6</v>
      </c>
      <c r="BJ171">
        <v>0.86</v>
      </c>
      <c r="BK171" s="140">
        <f t="shared" si="43"/>
        <v>8.5999999999999976E-8</v>
      </c>
      <c r="BL171" s="140">
        <f t="shared" si="44"/>
        <v>1.7199999999999998E-7</v>
      </c>
      <c r="BM171" s="140">
        <f t="shared" si="45"/>
        <v>2.5800000000000001E-7</v>
      </c>
      <c r="BN171" s="140">
        <f t="shared" si="46"/>
        <v>3.4400000000000001E-7</v>
      </c>
      <c r="BO171" s="140">
        <f t="shared" si="47"/>
        <v>4.3000000000000007E-7</v>
      </c>
      <c r="BP171" s="157">
        <f>IF(BI171&lt;$B$105*DATA!$H$1037,DATA!$H$1037,IF(BI171&gt;DATA!$H$1036*$B$105,DATA!$H$1036,1))</f>
        <v>1.2</v>
      </c>
      <c r="BQ171" s="156">
        <f t="shared" si="48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"/>
        <v>8.8000000000000073E-8</v>
      </c>
      <c r="D172" s="140">
        <f t="shared" si="5"/>
        <v>1.7600000000000017E-7</v>
      </c>
      <c r="E172" s="140">
        <f t="shared" si="5"/>
        <v>2.640000000000003E-7</v>
      </c>
      <c r="F172" s="140">
        <f t="shared" si="5"/>
        <v>3.5200000000000045E-7</v>
      </c>
      <c r="G172" s="140">
        <f t="shared" si="5"/>
        <v>4.4000000000000055E-7</v>
      </c>
      <c r="H172" s="157">
        <f>IF(A172&lt;$B$9*DATA!$H$1037,DATA!$H$1037,IF(A172&gt;DATA!$H$1036*$B$9,DATA!$H$1036,1))</f>
        <v>0.8</v>
      </c>
      <c r="I172" s="156">
        <f t="shared" si="6"/>
        <v>9.9999999999999995E-8</v>
      </c>
      <c r="K172" s="140">
        <f t="shared" si="7"/>
        <v>8.8000000000000106E-6</v>
      </c>
      <c r="L172">
        <v>0.880000000000001</v>
      </c>
      <c r="M172" s="140">
        <f t="shared" si="8"/>
        <v>8.8000000000000073E-8</v>
      </c>
      <c r="N172" s="140">
        <f t="shared" si="9"/>
        <v>1.7600000000000017E-7</v>
      </c>
      <c r="O172" s="140">
        <f t="shared" si="10"/>
        <v>2.640000000000003E-7</v>
      </c>
      <c r="P172" s="140">
        <f t="shared" si="11"/>
        <v>3.5200000000000045E-7</v>
      </c>
      <c r="Q172" s="140">
        <f t="shared" si="12"/>
        <v>4.4000000000000055E-7</v>
      </c>
      <c r="R172" s="157">
        <f>IF(K172&lt;$B$25*DATA!$H$1037,DATA!$H$1037,IF(K172&gt;DATA!$H$1036*$B$25,DATA!$H$1036,1))</f>
        <v>0.8</v>
      </c>
      <c r="S172" s="156">
        <f t="shared" si="13"/>
        <v>9.9999999999999995E-8</v>
      </c>
      <c r="U172" s="140">
        <f t="shared" si="14"/>
        <v>8.8000000000000106E-6</v>
      </c>
      <c r="V172">
        <v>0.880000000000001</v>
      </c>
      <c r="W172" s="140">
        <f t="shared" si="15"/>
        <v>8.8000000000000073E-8</v>
      </c>
      <c r="X172" s="140">
        <f t="shared" si="16"/>
        <v>1.7600000000000017E-7</v>
      </c>
      <c r="Y172" s="140">
        <f t="shared" si="17"/>
        <v>2.640000000000003E-7</v>
      </c>
      <c r="Z172" s="140">
        <f t="shared" si="18"/>
        <v>3.5200000000000045E-7</v>
      </c>
      <c r="AA172" s="140">
        <f t="shared" si="19"/>
        <v>4.4000000000000055E-7</v>
      </c>
      <c r="AB172" s="157">
        <f>IF(U172&lt;$B$41*DATA!$H$1037,DATA!$H$1037,IF(U172&gt;DATA!$H$1036*$B$41,DATA!$H$1036,1))</f>
        <v>0.8</v>
      </c>
      <c r="AC172" s="156">
        <f t="shared" si="20"/>
        <v>9.9999999999999995E-8</v>
      </c>
      <c r="AE172" s="140">
        <f t="shared" si="21"/>
        <v>8.8000000000000106E-6</v>
      </c>
      <c r="AF172">
        <v>0.880000000000001</v>
      </c>
      <c r="AG172" s="140">
        <f t="shared" si="22"/>
        <v>8.8000000000000073E-8</v>
      </c>
      <c r="AH172" s="140">
        <f t="shared" si="23"/>
        <v>1.7600000000000017E-7</v>
      </c>
      <c r="AI172" s="140">
        <f t="shared" si="24"/>
        <v>2.640000000000003E-7</v>
      </c>
      <c r="AJ172" s="140">
        <f t="shared" si="25"/>
        <v>3.5200000000000045E-7</v>
      </c>
      <c r="AK172" s="140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27"/>
        <v>9.9999999999999995E-8</v>
      </c>
      <c r="AO172" s="140">
        <f t="shared" si="28"/>
        <v>8.8000000000000106E-6</v>
      </c>
      <c r="AP172">
        <v>0.880000000000001</v>
      </c>
      <c r="AQ172" s="140">
        <f t="shared" si="29"/>
        <v>8.8000000000000073E-8</v>
      </c>
      <c r="AR172" s="140">
        <f t="shared" si="30"/>
        <v>1.7600000000000017E-7</v>
      </c>
      <c r="AS172" s="140">
        <f t="shared" si="31"/>
        <v>2.640000000000003E-7</v>
      </c>
      <c r="AT172" s="140">
        <f t="shared" si="32"/>
        <v>3.5200000000000045E-7</v>
      </c>
      <c r="AU172" s="140">
        <f t="shared" si="33"/>
        <v>4.4000000000000055E-7</v>
      </c>
      <c r="AV172" s="157">
        <f>IF(AO172&lt;$B$73*DATA!$H$1037,DATA!$H$1037,IF(AO172&gt;DATA!$H$1036*$B$73,DATA!$H$1036,1))</f>
        <v>1.2</v>
      </c>
      <c r="AW172" s="156">
        <f t="shared" si="34"/>
        <v>9.9999999999999995E-8</v>
      </c>
      <c r="AY172" s="140">
        <f t="shared" si="35"/>
        <v>8.8000000000000106E-6</v>
      </c>
      <c r="AZ172">
        <v>0.880000000000001</v>
      </c>
      <c r="BA172" s="140">
        <f t="shared" si="36"/>
        <v>8.8000000000000073E-8</v>
      </c>
      <c r="BB172" s="140">
        <f t="shared" si="37"/>
        <v>1.7600000000000017E-7</v>
      </c>
      <c r="BC172" s="140">
        <f t="shared" si="38"/>
        <v>2.640000000000003E-7</v>
      </c>
      <c r="BD172" s="140">
        <f t="shared" si="39"/>
        <v>3.5200000000000045E-7</v>
      </c>
      <c r="BE172" s="140">
        <f t="shared" si="40"/>
        <v>4.4000000000000055E-7</v>
      </c>
      <c r="BF172" s="157">
        <f>IF(AY172&lt;$B$89*DATA!$H$1037,DATA!$H$1037,IF(AY172&gt;DATA!$H$1036*$B$89,DATA!$H$1036,1))</f>
        <v>1.2</v>
      </c>
      <c r="BG172" s="156">
        <f t="shared" si="41"/>
        <v>9.9999999999999995E-8</v>
      </c>
      <c r="BI172" s="140">
        <f t="shared" si="42"/>
        <v>8.8000000000000106E-6</v>
      </c>
      <c r="BJ172">
        <v>0.880000000000001</v>
      </c>
      <c r="BK172" s="140">
        <f t="shared" si="43"/>
        <v>8.8000000000000073E-8</v>
      </c>
      <c r="BL172" s="140">
        <f t="shared" si="44"/>
        <v>1.7600000000000017E-7</v>
      </c>
      <c r="BM172" s="140">
        <f t="shared" si="45"/>
        <v>2.640000000000003E-7</v>
      </c>
      <c r="BN172" s="140">
        <f t="shared" si="46"/>
        <v>3.5200000000000045E-7</v>
      </c>
      <c r="BO172" s="140">
        <f t="shared" si="47"/>
        <v>4.4000000000000055E-7</v>
      </c>
      <c r="BP172" s="157">
        <f>IF(BI172&lt;$B$105*DATA!$H$1037,DATA!$H$1037,IF(BI172&gt;DATA!$H$1036*$B$105,DATA!$H$1036,1))</f>
        <v>1.2</v>
      </c>
      <c r="BQ172" s="156">
        <f t="shared" si="48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"/>
        <v>9.0000000000000078E-8</v>
      </c>
      <c r="D173" s="140">
        <f t="shared" si="5"/>
        <v>1.8000000000000018E-7</v>
      </c>
      <c r="E173" s="140">
        <f t="shared" si="5"/>
        <v>2.7000000000000033E-7</v>
      </c>
      <c r="F173" s="140">
        <f t="shared" si="5"/>
        <v>3.6000000000000042E-7</v>
      </c>
      <c r="G173" s="140">
        <f t="shared" si="5"/>
        <v>4.5000000000000056E-7</v>
      </c>
      <c r="H173" s="157">
        <f>IF(A173&lt;$B$9*DATA!$H$1037,DATA!$H$1037,IF(A173&gt;DATA!$H$1036*$B$9,DATA!$H$1036,1))</f>
        <v>0.8</v>
      </c>
      <c r="I173" s="156">
        <f t="shared" si="6"/>
        <v>9.9999999999999995E-8</v>
      </c>
      <c r="K173" s="140">
        <f t="shared" si="7"/>
        <v>9.0000000000000104E-6</v>
      </c>
      <c r="L173">
        <v>0.90000000000000102</v>
      </c>
      <c r="M173" s="140">
        <f t="shared" si="8"/>
        <v>9.0000000000000078E-8</v>
      </c>
      <c r="N173" s="140">
        <f t="shared" si="9"/>
        <v>1.8000000000000018E-7</v>
      </c>
      <c r="O173" s="140">
        <f t="shared" si="10"/>
        <v>2.7000000000000033E-7</v>
      </c>
      <c r="P173" s="140">
        <f t="shared" si="11"/>
        <v>3.6000000000000042E-7</v>
      </c>
      <c r="Q173" s="140">
        <f t="shared" si="12"/>
        <v>4.5000000000000056E-7</v>
      </c>
      <c r="R173" s="157">
        <f>IF(K173&lt;$B$25*DATA!$H$1037,DATA!$H$1037,IF(K173&gt;DATA!$H$1036*$B$25,DATA!$H$1036,1))</f>
        <v>0.8</v>
      </c>
      <c r="S173" s="156">
        <f t="shared" si="13"/>
        <v>9.9999999999999995E-8</v>
      </c>
      <c r="U173" s="140">
        <f t="shared" si="14"/>
        <v>9.0000000000000104E-6</v>
      </c>
      <c r="V173">
        <v>0.90000000000000102</v>
      </c>
      <c r="W173" s="140">
        <f t="shared" si="15"/>
        <v>9.0000000000000078E-8</v>
      </c>
      <c r="X173" s="140">
        <f t="shared" si="16"/>
        <v>1.8000000000000018E-7</v>
      </c>
      <c r="Y173" s="140">
        <f t="shared" si="17"/>
        <v>2.7000000000000033E-7</v>
      </c>
      <c r="Z173" s="140">
        <f t="shared" si="18"/>
        <v>3.6000000000000042E-7</v>
      </c>
      <c r="AA173" s="140">
        <f t="shared" si="19"/>
        <v>4.5000000000000056E-7</v>
      </c>
      <c r="AB173" s="157">
        <f>IF(U173&lt;$B$41*DATA!$H$1037,DATA!$H$1037,IF(U173&gt;DATA!$H$1036*$B$41,DATA!$H$1036,1))</f>
        <v>0.8</v>
      </c>
      <c r="AC173" s="156">
        <f t="shared" si="20"/>
        <v>9.9999999999999995E-8</v>
      </c>
      <c r="AE173" s="140">
        <f t="shared" si="21"/>
        <v>9.0000000000000104E-6</v>
      </c>
      <c r="AF173">
        <v>0.90000000000000102</v>
      </c>
      <c r="AG173" s="140">
        <f t="shared" si="22"/>
        <v>9.0000000000000078E-8</v>
      </c>
      <c r="AH173" s="140">
        <f t="shared" si="23"/>
        <v>1.8000000000000018E-7</v>
      </c>
      <c r="AI173" s="140">
        <f t="shared" si="24"/>
        <v>2.7000000000000033E-7</v>
      </c>
      <c r="AJ173" s="140">
        <f t="shared" si="25"/>
        <v>3.6000000000000042E-7</v>
      </c>
      <c r="AK173" s="140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27"/>
        <v>9.9999999999999995E-8</v>
      </c>
      <c r="AO173" s="140">
        <f t="shared" si="28"/>
        <v>9.0000000000000104E-6</v>
      </c>
      <c r="AP173">
        <v>0.90000000000000102</v>
      </c>
      <c r="AQ173" s="140">
        <f t="shared" si="29"/>
        <v>9.0000000000000078E-8</v>
      </c>
      <c r="AR173" s="140">
        <f t="shared" si="30"/>
        <v>1.8000000000000018E-7</v>
      </c>
      <c r="AS173" s="140">
        <f t="shared" si="31"/>
        <v>2.7000000000000033E-7</v>
      </c>
      <c r="AT173" s="140">
        <f t="shared" si="32"/>
        <v>3.6000000000000042E-7</v>
      </c>
      <c r="AU173" s="140">
        <f t="shared" si="33"/>
        <v>4.5000000000000056E-7</v>
      </c>
      <c r="AV173" s="157">
        <f>IF(AO173&lt;$B$73*DATA!$H$1037,DATA!$H$1037,IF(AO173&gt;DATA!$H$1036*$B$73,DATA!$H$1036,1))</f>
        <v>1.2</v>
      </c>
      <c r="AW173" s="156">
        <f t="shared" si="34"/>
        <v>9.9999999999999995E-8</v>
      </c>
      <c r="AY173" s="140">
        <f t="shared" si="35"/>
        <v>9.0000000000000104E-6</v>
      </c>
      <c r="AZ173">
        <v>0.90000000000000102</v>
      </c>
      <c r="BA173" s="140">
        <f t="shared" si="36"/>
        <v>9.0000000000000078E-8</v>
      </c>
      <c r="BB173" s="140">
        <f t="shared" si="37"/>
        <v>1.8000000000000018E-7</v>
      </c>
      <c r="BC173" s="140">
        <f t="shared" si="38"/>
        <v>2.7000000000000033E-7</v>
      </c>
      <c r="BD173" s="140">
        <f t="shared" si="39"/>
        <v>3.6000000000000042E-7</v>
      </c>
      <c r="BE173" s="140">
        <f t="shared" si="40"/>
        <v>4.5000000000000056E-7</v>
      </c>
      <c r="BF173" s="157">
        <f>IF(AY173&lt;$B$89*DATA!$H$1037,DATA!$H$1037,IF(AY173&gt;DATA!$H$1036*$B$89,DATA!$H$1036,1))</f>
        <v>1.2</v>
      </c>
      <c r="BG173" s="156">
        <f t="shared" si="41"/>
        <v>9.9999999999999995E-8</v>
      </c>
      <c r="BI173" s="140">
        <f t="shared" si="42"/>
        <v>9.0000000000000104E-6</v>
      </c>
      <c r="BJ173">
        <v>0.90000000000000102</v>
      </c>
      <c r="BK173" s="140">
        <f t="shared" si="43"/>
        <v>9.0000000000000078E-8</v>
      </c>
      <c r="BL173" s="140">
        <f t="shared" si="44"/>
        <v>1.8000000000000018E-7</v>
      </c>
      <c r="BM173" s="140">
        <f t="shared" si="45"/>
        <v>2.7000000000000033E-7</v>
      </c>
      <c r="BN173" s="140">
        <f t="shared" si="46"/>
        <v>3.6000000000000042E-7</v>
      </c>
      <c r="BO173" s="140">
        <f t="shared" si="47"/>
        <v>4.5000000000000056E-7</v>
      </c>
      <c r="BP173" s="157">
        <f>IF(BI173&lt;$B$105*DATA!$H$1037,DATA!$H$1037,IF(BI173&gt;DATA!$H$1036*$B$105,DATA!$H$1036,1))</f>
        <v>1.2</v>
      </c>
      <c r="BQ173" s="156">
        <f t="shared" si="48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"/>
        <v>9.2000000000000083E-8</v>
      </c>
      <c r="D174" s="140">
        <f t="shared" si="5"/>
        <v>1.8400000000000022E-7</v>
      </c>
      <c r="E174" s="140">
        <f t="shared" si="5"/>
        <v>2.7600000000000035E-7</v>
      </c>
      <c r="F174" s="140">
        <f t="shared" si="5"/>
        <v>3.6800000000000049E-7</v>
      </c>
      <c r="G174" s="140">
        <f t="shared" si="5"/>
        <v>4.6000000000000063E-7</v>
      </c>
      <c r="H174" s="157">
        <f>IF(A174&lt;$B$9*DATA!$H$1037,DATA!$H$1037,IF(A174&gt;DATA!$H$1036*$B$9,DATA!$H$1036,1))</f>
        <v>0.8</v>
      </c>
      <c r="I174" s="156">
        <f t="shared" si="6"/>
        <v>9.9999999999999995E-8</v>
      </c>
      <c r="K174" s="140">
        <f t="shared" si="7"/>
        <v>9.2000000000000119E-6</v>
      </c>
      <c r="L174">
        <v>0.92000000000000104</v>
      </c>
      <c r="M174" s="140">
        <f t="shared" si="8"/>
        <v>9.2000000000000083E-8</v>
      </c>
      <c r="N174" s="140">
        <f t="shared" si="9"/>
        <v>1.8400000000000022E-7</v>
      </c>
      <c r="O174" s="140">
        <f t="shared" si="10"/>
        <v>2.7600000000000035E-7</v>
      </c>
      <c r="P174" s="140">
        <f t="shared" si="11"/>
        <v>3.6800000000000049E-7</v>
      </c>
      <c r="Q174" s="140">
        <f t="shared" si="12"/>
        <v>4.6000000000000063E-7</v>
      </c>
      <c r="R174" s="157">
        <f>IF(K174&lt;$B$25*DATA!$H$1037,DATA!$H$1037,IF(K174&gt;DATA!$H$1036*$B$25,DATA!$H$1036,1))</f>
        <v>0.8</v>
      </c>
      <c r="S174" s="156">
        <f t="shared" si="13"/>
        <v>9.9999999999999995E-8</v>
      </c>
      <c r="U174" s="140">
        <f t="shared" si="14"/>
        <v>9.2000000000000119E-6</v>
      </c>
      <c r="V174">
        <v>0.92000000000000104</v>
      </c>
      <c r="W174" s="140">
        <f t="shared" si="15"/>
        <v>9.2000000000000083E-8</v>
      </c>
      <c r="X174" s="140">
        <f t="shared" si="16"/>
        <v>1.8400000000000022E-7</v>
      </c>
      <c r="Y174" s="140">
        <f t="shared" si="17"/>
        <v>2.7600000000000035E-7</v>
      </c>
      <c r="Z174" s="140">
        <f t="shared" si="18"/>
        <v>3.6800000000000049E-7</v>
      </c>
      <c r="AA174" s="140">
        <f t="shared" si="19"/>
        <v>4.6000000000000063E-7</v>
      </c>
      <c r="AB174" s="157">
        <f>IF(U174&lt;$B$41*DATA!$H$1037,DATA!$H$1037,IF(U174&gt;DATA!$H$1036*$B$41,DATA!$H$1036,1))</f>
        <v>0.8</v>
      </c>
      <c r="AC174" s="156">
        <f t="shared" si="20"/>
        <v>9.9999999999999995E-8</v>
      </c>
      <c r="AE174" s="140">
        <f t="shared" si="21"/>
        <v>9.2000000000000119E-6</v>
      </c>
      <c r="AF174">
        <v>0.92000000000000104</v>
      </c>
      <c r="AG174" s="140">
        <f t="shared" si="22"/>
        <v>9.2000000000000083E-8</v>
      </c>
      <c r="AH174" s="140">
        <f t="shared" si="23"/>
        <v>1.8400000000000022E-7</v>
      </c>
      <c r="AI174" s="140">
        <f t="shared" si="24"/>
        <v>2.7600000000000035E-7</v>
      </c>
      <c r="AJ174" s="140">
        <f t="shared" si="25"/>
        <v>3.6800000000000049E-7</v>
      </c>
      <c r="AK174" s="140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27"/>
        <v>9.9999999999999995E-8</v>
      </c>
      <c r="AO174" s="140">
        <f t="shared" si="28"/>
        <v>9.2000000000000119E-6</v>
      </c>
      <c r="AP174">
        <v>0.92000000000000104</v>
      </c>
      <c r="AQ174" s="140">
        <f t="shared" si="29"/>
        <v>9.2000000000000083E-8</v>
      </c>
      <c r="AR174" s="140">
        <f t="shared" si="30"/>
        <v>1.8400000000000022E-7</v>
      </c>
      <c r="AS174" s="140">
        <f t="shared" si="31"/>
        <v>2.7600000000000035E-7</v>
      </c>
      <c r="AT174" s="140">
        <f t="shared" si="32"/>
        <v>3.6800000000000049E-7</v>
      </c>
      <c r="AU174" s="140">
        <f t="shared" si="33"/>
        <v>4.6000000000000063E-7</v>
      </c>
      <c r="AV174" s="157">
        <f>IF(AO174&lt;$B$73*DATA!$H$1037,DATA!$H$1037,IF(AO174&gt;DATA!$H$1036*$B$73,DATA!$H$1036,1))</f>
        <v>1.2</v>
      </c>
      <c r="AW174" s="156">
        <f t="shared" si="34"/>
        <v>9.9999999999999995E-8</v>
      </c>
      <c r="AY174" s="140">
        <f t="shared" si="35"/>
        <v>9.2000000000000119E-6</v>
      </c>
      <c r="AZ174">
        <v>0.92000000000000104</v>
      </c>
      <c r="BA174" s="140">
        <f t="shared" si="36"/>
        <v>9.2000000000000083E-8</v>
      </c>
      <c r="BB174" s="140">
        <f t="shared" si="37"/>
        <v>1.8400000000000022E-7</v>
      </c>
      <c r="BC174" s="140">
        <f t="shared" si="38"/>
        <v>2.7600000000000035E-7</v>
      </c>
      <c r="BD174" s="140">
        <f t="shared" si="39"/>
        <v>3.6800000000000049E-7</v>
      </c>
      <c r="BE174" s="140">
        <f t="shared" si="40"/>
        <v>4.6000000000000063E-7</v>
      </c>
      <c r="BF174" s="157">
        <f>IF(AY174&lt;$B$89*DATA!$H$1037,DATA!$H$1037,IF(AY174&gt;DATA!$H$1036*$B$89,DATA!$H$1036,1))</f>
        <v>1.2</v>
      </c>
      <c r="BG174" s="156">
        <f t="shared" si="41"/>
        <v>9.9999999999999995E-8</v>
      </c>
      <c r="BI174" s="140">
        <f t="shared" si="42"/>
        <v>9.2000000000000119E-6</v>
      </c>
      <c r="BJ174">
        <v>0.92000000000000104</v>
      </c>
      <c r="BK174" s="140">
        <f t="shared" si="43"/>
        <v>9.2000000000000083E-8</v>
      </c>
      <c r="BL174" s="140">
        <f t="shared" si="44"/>
        <v>1.8400000000000022E-7</v>
      </c>
      <c r="BM174" s="140">
        <f t="shared" si="45"/>
        <v>2.7600000000000035E-7</v>
      </c>
      <c r="BN174" s="140">
        <f t="shared" si="46"/>
        <v>3.6800000000000049E-7</v>
      </c>
      <c r="BO174" s="140">
        <f t="shared" si="47"/>
        <v>4.6000000000000063E-7</v>
      </c>
      <c r="BP174" s="157">
        <f>IF(BI174&lt;$B$105*DATA!$H$1037,DATA!$H$1037,IF(BI174&gt;DATA!$H$1036*$B$105,DATA!$H$1036,1))</f>
        <v>1.2</v>
      </c>
      <c r="BQ174" s="156">
        <f t="shared" si="48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si="5"/>
        <v>9.4000000000000074E-8</v>
      </c>
      <c r="D175" s="140">
        <f t="shared" si="5"/>
        <v>1.8800000000000017E-7</v>
      </c>
      <c r="E175" s="140">
        <f t="shared" si="5"/>
        <v>2.8200000000000028E-7</v>
      </c>
      <c r="F175" s="140">
        <f t="shared" si="5"/>
        <v>3.760000000000004E-7</v>
      </c>
      <c r="G175" s="140">
        <f t="shared" si="5"/>
        <v>4.7000000000000053E-7</v>
      </c>
      <c r="H175" s="157">
        <f>IF(A175&lt;$B$9*DATA!$H$1037,DATA!$H$1037,IF(A175&gt;DATA!$H$1036*$B$9,DATA!$H$1036,1))</f>
        <v>0.8</v>
      </c>
      <c r="I175" s="156">
        <f t="shared" si="6"/>
        <v>9.9999999999999995E-8</v>
      </c>
      <c r="K175" s="140">
        <f t="shared" si="7"/>
        <v>9.40000000000001E-6</v>
      </c>
      <c r="L175">
        <v>0.94000000000000095</v>
      </c>
      <c r="M175" s="140">
        <f t="shared" si="8"/>
        <v>9.4000000000000074E-8</v>
      </c>
      <c r="N175" s="140">
        <f t="shared" si="9"/>
        <v>1.8800000000000017E-7</v>
      </c>
      <c r="O175" s="140">
        <f t="shared" si="10"/>
        <v>2.8200000000000028E-7</v>
      </c>
      <c r="P175" s="140">
        <f t="shared" si="11"/>
        <v>3.760000000000004E-7</v>
      </c>
      <c r="Q175" s="140">
        <f t="shared" si="12"/>
        <v>4.7000000000000053E-7</v>
      </c>
      <c r="R175" s="157">
        <f>IF(K175&lt;$B$25*DATA!$H$1037,DATA!$H$1037,IF(K175&gt;DATA!$H$1036*$B$25,DATA!$H$1036,1))</f>
        <v>0.8</v>
      </c>
      <c r="S175" s="156">
        <f t="shared" si="13"/>
        <v>9.9999999999999995E-8</v>
      </c>
      <c r="U175" s="140">
        <f t="shared" si="14"/>
        <v>9.40000000000001E-6</v>
      </c>
      <c r="V175">
        <v>0.94000000000000095</v>
      </c>
      <c r="W175" s="140">
        <f t="shared" si="15"/>
        <v>9.4000000000000074E-8</v>
      </c>
      <c r="X175" s="140">
        <f t="shared" si="16"/>
        <v>1.8800000000000017E-7</v>
      </c>
      <c r="Y175" s="140">
        <f t="shared" si="17"/>
        <v>2.8200000000000028E-7</v>
      </c>
      <c r="Z175" s="140">
        <f t="shared" si="18"/>
        <v>3.760000000000004E-7</v>
      </c>
      <c r="AA175" s="140">
        <f t="shared" si="19"/>
        <v>4.7000000000000053E-7</v>
      </c>
      <c r="AB175" s="157">
        <f>IF(U175&lt;$B$41*DATA!$H$1037,DATA!$H$1037,IF(U175&gt;DATA!$H$1036*$B$41,DATA!$H$1036,1))</f>
        <v>0.8</v>
      </c>
      <c r="AC175" s="156">
        <f t="shared" si="20"/>
        <v>9.9999999999999995E-8</v>
      </c>
      <c r="AE175" s="140">
        <f t="shared" si="21"/>
        <v>9.40000000000001E-6</v>
      </c>
      <c r="AF175">
        <v>0.94000000000000095</v>
      </c>
      <c r="AG175" s="140">
        <f t="shared" si="22"/>
        <v>9.4000000000000074E-8</v>
      </c>
      <c r="AH175" s="140">
        <f t="shared" si="23"/>
        <v>1.8800000000000017E-7</v>
      </c>
      <c r="AI175" s="140">
        <f t="shared" si="24"/>
        <v>2.8200000000000028E-7</v>
      </c>
      <c r="AJ175" s="140">
        <f t="shared" si="25"/>
        <v>3.760000000000004E-7</v>
      </c>
      <c r="AK175" s="140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si="27"/>
        <v>9.9999999999999995E-8</v>
      </c>
      <c r="AO175" s="140">
        <f t="shared" si="28"/>
        <v>9.40000000000001E-6</v>
      </c>
      <c r="AP175">
        <v>0.94000000000000095</v>
      </c>
      <c r="AQ175" s="140">
        <f t="shared" si="29"/>
        <v>9.4000000000000074E-8</v>
      </c>
      <c r="AR175" s="140">
        <f t="shared" si="30"/>
        <v>1.8800000000000017E-7</v>
      </c>
      <c r="AS175" s="140">
        <f t="shared" si="31"/>
        <v>2.8200000000000028E-7</v>
      </c>
      <c r="AT175" s="140">
        <f t="shared" si="32"/>
        <v>3.760000000000004E-7</v>
      </c>
      <c r="AU175" s="140">
        <f t="shared" si="33"/>
        <v>4.7000000000000053E-7</v>
      </c>
      <c r="AV175" s="157">
        <f>IF(AO175&lt;$B$73*DATA!$H$1037,DATA!$H$1037,IF(AO175&gt;DATA!$H$1036*$B$73,DATA!$H$1036,1))</f>
        <v>1.2</v>
      </c>
      <c r="AW175" s="156">
        <f t="shared" si="34"/>
        <v>9.9999999999999995E-8</v>
      </c>
      <c r="AY175" s="140">
        <f t="shared" si="35"/>
        <v>9.40000000000001E-6</v>
      </c>
      <c r="AZ175">
        <v>0.94000000000000095</v>
      </c>
      <c r="BA175" s="140">
        <f t="shared" si="36"/>
        <v>9.4000000000000074E-8</v>
      </c>
      <c r="BB175" s="140">
        <f t="shared" si="37"/>
        <v>1.8800000000000017E-7</v>
      </c>
      <c r="BC175" s="140">
        <f t="shared" si="38"/>
        <v>2.8200000000000028E-7</v>
      </c>
      <c r="BD175" s="140">
        <f t="shared" si="39"/>
        <v>3.760000000000004E-7</v>
      </c>
      <c r="BE175" s="140">
        <f t="shared" si="40"/>
        <v>4.7000000000000053E-7</v>
      </c>
      <c r="BF175" s="157">
        <f>IF(AY175&lt;$B$89*DATA!$H$1037,DATA!$H$1037,IF(AY175&gt;DATA!$H$1036*$B$89,DATA!$H$1036,1))</f>
        <v>1.2</v>
      </c>
      <c r="BG175" s="156">
        <f t="shared" si="41"/>
        <v>9.9999999999999995E-8</v>
      </c>
      <c r="BI175" s="140">
        <f t="shared" si="42"/>
        <v>9.40000000000001E-6</v>
      </c>
      <c r="BJ175">
        <v>0.94000000000000095</v>
      </c>
      <c r="BK175" s="140">
        <f t="shared" si="43"/>
        <v>9.4000000000000074E-8</v>
      </c>
      <c r="BL175" s="140">
        <f t="shared" si="44"/>
        <v>1.8800000000000017E-7</v>
      </c>
      <c r="BM175" s="140">
        <f t="shared" si="45"/>
        <v>2.8200000000000028E-7</v>
      </c>
      <c r="BN175" s="140">
        <f t="shared" si="46"/>
        <v>3.760000000000004E-7</v>
      </c>
      <c r="BO175" s="140">
        <f t="shared" si="47"/>
        <v>4.7000000000000053E-7</v>
      </c>
      <c r="BP175" s="157">
        <f>IF(BI175&lt;$B$105*DATA!$H$1037,DATA!$H$1037,IF(BI175&gt;DATA!$H$1036*$B$105,DATA!$H$1036,1))</f>
        <v>1.2</v>
      </c>
      <c r="BQ175" s="156">
        <f t="shared" si="48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ref="C176:G207" si="49">C$142*$A176</f>
        <v>9.6000000000000066E-8</v>
      </c>
      <c r="D176" s="140">
        <f t="shared" si="49"/>
        <v>1.9200000000000016E-7</v>
      </c>
      <c r="E176" s="140">
        <f t="shared" si="49"/>
        <v>2.880000000000003E-7</v>
      </c>
      <c r="F176" s="140">
        <f t="shared" si="49"/>
        <v>3.8400000000000042E-7</v>
      </c>
      <c r="G176" s="140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si="6"/>
        <v>9.9999999999999995E-8</v>
      </c>
      <c r="K176" s="140">
        <f t="shared" si="7"/>
        <v>9.6000000000000097E-6</v>
      </c>
      <c r="L176">
        <v>0.96000000000000096</v>
      </c>
      <c r="M176" s="140">
        <f t="shared" si="8"/>
        <v>9.6000000000000066E-8</v>
      </c>
      <c r="N176" s="140">
        <f t="shared" si="9"/>
        <v>1.9200000000000016E-7</v>
      </c>
      <c r="O176" s="140">
        <f t="shared" si="10"/>
        <v>2.880000000000003E-7</v>
      </c>
      <c r="P176" s="140">
        <f t="shared" si="11"/>
        <v>3.8400000000000042E-7</v>
      </c>
      <c r="Q176" s="140">
        <f t="shared" si="12"/>
        <v>4.8000000000000049E-7</v>
      </c>
      <c r="R176" s="157">
        <f>IF(K176&lt;$B$25*DATA!$H$1037,DATA!$H$1037,IF(K176&gt;DATA!$H$1036*$B$25,DATA!$H$1036,1))</f>
        <v>0.8</v>
      </c>
      <c r="S176" s="156">
        <f t="shared" si="13"/>
        <v>9.9999999999999995E-8</v>
      </c>
      <c r="U176" s="140">
        <f t="shared" si="14"/>
        <v>9.6000000000000097E-6</v>
      </c>
      <c r="V176">
        <v>0.96000000000000096</v>
      </c>
      <c r="W176" s="140">
        <f t="shared" si="15"/>
        <v>9.6000000000000066E-8</v>
      </c>
      <c r="X176" s="140">
        <f t="shared" si="16"/>
        <v>1.9200000000000016E-7</v>
      </c>
      <c r="Y176" s="140">
        <f t="shared" si="17"/>
        <v>2.880000000000003E-7</v>
      </c>
      <c r="Z176" s="140">
        <f t="shared" si="18"/>
        <v>3.8400000000000042E-7</v>
      </c>
      <c r="AA176" s="140">
        <f t="shared" si="19"/>
        <v>4.8000000000000049E-7</v>
      </c>
      <c r="AB176" s="157">
        <f>IF(U176&lt;$B$41*DATA!$H$1037,DATA!$H$1037,IF(U176&gt;DATA!$H$1036*$B$41,DATA!$H$1036,1))</f>
        <v>0.8</v>
      </c>
      <c r="AC176" s="156">
        <f t="shared" si="20"/>
        <v>9.9999999999999995E-8</v>
      </c>
      <c r="AE176" s="140">
        <f t="shared" si="21"/>
        <v>9.6000000000000097E-6</v>
      </c>
      <c r="AF176">
        <v>0.96000000000000096</v>
      </c>
      <c r="AG176" s="140">
        <f t="shared" si="22"/>
        <v>9.6000000000000066E-8</v>
      </c>
      <c r="AH176" s="140">
        <f t="shared" si="23"/>
        <v>1.9200000000000016E-7</v>
      </c>
      <c r="AI176" s="140">
        <f t="shared" si="24"/>
        <v>2.880000000000003E-7</v>
      </c>
      <c r="AJ176" s="140">
        <f t="shared" si="25"/>
        <v>3.8400000000000042E-7</v>
      </c>
      <c r="AK176" s="140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27"/>
        <v>9.9999999999999995E-8</v>
      </c>
      <c r="AO176" s="140">
        <f t="shared" si="28"/>
        <v>9.6000000000000097E-6</v>
      </c>
      <c r="AP176">
        <v>0.96000000000000096</v>
      </c>
      <c r="AQ176" s="140">
        <f t="shared" si="29"/>
        <v>9.6000000000000066E-8</v>
      </c>
      <c r="AR176" s="140">
        <f t="shared" si="30"/>
        <v>1.9200000000000016E-7</v>
      </c>
      <c r="AS176" s="140">
        <f t="shared" si="31"/>
        <v>2.880000000000003E-7</v>
      </c>
      <c r="AT176" s="140">
        <f t="shared" si="32"/>
        <v>3.8400000000000042E-7</v>
      </c>
      <c r="AU176" s="140">
        <f t="shared" si="33"/>
        <v>4.8000000000000049E-7</v>
      </c>
      <c r="AV176" s="157">
        <f>IF(AO176&lt;$B$73*DATA!$H$1037,DATA!$H$1037,IF(AO176&gt;DATA!$H$1036*$B$73,DATA!$H$1036,1))</f>
        <v>1.2</v>
      </c>
      <c r="AW176" s="156">
        <f t="shared" si="34"/>
        <v>9.9999999999999995E-8</v>
      </c>
      <c r="AY176" s="140">
        <f t="shared" si="35"/>
        <v>9.6000000000000097E-6</v>
      </c>
      <c r="AZ176">
        <v>0.96000000000000096</v>
      </c>
      <c r="BA176" s="140">
        <f t="shared" si="36"/>
        <v>9.6000000000000066E-8</v>
      </c>
      <c r="BB176" s="140">
        <f t="shared" si="37"/>
        <v>1.9200000000000016E-7</v>
      </c>
      <c r="BC176" s="140">
        <f t="shared" si="38"/>
        <v>2.880000000000003E-7</v>
      </c>
      <c r="BD176" s="140">
        <f t="shared" si="39"/>
        <v>3.8400000000000042E-7</v>
      </c>
      <c r="BE176" s="140">
        <f t="shared" si="40"/>
        <v>4.8000000000000049E-7</v>
      </c>
      <c r="BF176" s="157">
        <f>IF(AY176&lt;$B$89*DATA!$H$1037,DATA!$H$1037,IF(AY176&gt;DATA!$H$1036*$B$89,DATA!$H$1036,1))</f>
        <v>1.2</v>
      </c>
      <c r="BG176" s="156">
        <f t="shared" si="41"/>
        <v>9.9999999999999995E-8</v>
      </c>
      <c r="BI176" s="140">
        <f t="shared" si="42"/>
        <v>9.6000000000000097E-6</v>
      </c>
      <c r="BJ176">
        <v>0.96000000000000096</v>
      </c>
      <c r="BK176" s="140">
        <f t="shared" si="43"/>
        <v>9.6000000000000066E-8</v>
      </c>
      <c r="BL176" s="140">
        <f t="shared" si="44"/>
        <v>1.9200000000000016E-7</v>
      </c>
      <c r="BM176" s="140">
        <f t="shared" si="45"/>
        <v>2.880000000000003E-7</v>
      </c>
      <c r="BN176" s="140">
        <f t="shared" si="46"/>
        <v>3.8400000000000042E-7</v>
      </c>
      <c r="BO176" s="140">
        <f t="shared" si="47"/>
        <v>4.8000000000000049E-7</v>
      </c>
      <c r="BP176" s="157">
        <f>IF(BI176&lt;$B$105*DATA!$H$1037,DATA!$H$1037,IF(BI176&gt;DATA!$H$1036*$B$105,DATA!$H$1036,1))</f>
        <v>1.2</v>
      </c>
      <c r="BQ176" s="156">
        <f t="shared" si="48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49"/>
        <v>9.8000000000000083E-8</v>
      </c>
      <c r="D177" s="140">
        <f t="shared" si="49"/>
        <v>1.9600000000000019E-7</v>
      </c>
      <c r="E177" s="140">
        <f t="shared" si="49"/>
        <v>2.9400000000000033E-7</v>
      </c>
      <c r="F177" s="140">
        <f t="shared" si="49"/>
        <v>3.9200000000000044E-7</v>
      </c>
      <c r="G177" s="140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6"/>
        <v>9.9999999999999995E-8</v>
      </c>
      <c r="K177" s="140">
        <f t="shared" si="7"/>
        <v>9.8000000000000112E-6</v>
      </c>
      <c r="L177">
        <v>0.98000000000000098</v>
      </c>
      <c r="M177" s="140">
        <f t="shared" si="8"/>
        <v>9.8000000000000083E-8</v>
      </c>
      <c r="N177" s="140">
        <f t="shared" si="9"/>
        <v>1.9600000000000019E-7</v>
      </c>
      <c r="O177" s="140">
        <f t="shared" si="10"/>
        <v>2.9400000000000033E-7</v>
      </c>
      <c r="P177" s="140">
        <f t="shared" si="11"/>
        <v>3.9200000000000044E-7</v>
      </c>
      <c r="Q177" s="140">
        <f t="shared" si="12"/>
        <v>4.900000000000006E-7</v>
      </c>
      <c r="R177" s="157">
        <f>IF(K177&lt;$B$25*DATA!$H$1037,DATA!$H$1037,IF(K177&gt;DATA!$H$1036*$B$25,DATA!$H$1036,1))</f>
        <v>0.8</v>
      </c>
      <c r="S177" s="156">
        <f t="shared" si="13"/>
        <v>9.9999999999999995E-8</v>
      </c>
      <c r="U177" s="140">
        <f t="shared" si="14"/>
        <v>9.8000000000000112E-6</v>
      </c>
      <c r="V177">
        <v>0.98000000000000098</v>
      </c>
      <c r="W177" s="140">
        <f t="shared" si="15"/>
        <v>9.8000000000000083E-8</v>
      </c>
      <c r="X177" s="140">
        <f t="shared" si="16"/>
        <v>1.9600000000000019E-7</v>
      </c>
      <c r="Y177" s="140">
        <f t="shared" si="17"/>
        <v>2.9400000000000033E-7</v>
      </c>
      <c r="Z177" s="140">
        <f t="shared" si="18"/>
        <v>3.9200000000000044E-7</v>
      </c>
      <c r="AA177" s="140">
        <f t="shared" si="19"/>
        <v>4.900000000000006E-7</v>
      </c>
      <c r="AB177" s="157">
        <f>IF(U177&lt;$B$41*DATA!$H$1037,DATA!$H$1037,IF(U177&gt;DATA!$H$1036*$B$41,DATA!$H$1036,1))</f>
        <v>0.8</v>
      </c>
      <c r="AC177" s="156">
        <f t="shared" si="20"/>
        <v>9.9999999999999995E-8</v>
      </c>
      <c r="AE177" s="140">
        <f t="shared" si="21"/>
        <v>9.8000000000000112E-6</v>
      </c>
      <c r="AF177">
        <v>0.98000000000000098</v>
      </c>
      <c r="AG177" s="140">
        <f t="shared" si="22"/>
        <v>9.8000000000000083E-8</v>
      </c>
      <c r="AH177" s="140">
        <f t="shared" si="23"/>
        <v>1.9600000000000019E-7</v>
      </c>
      <c r="AI177" s="140">
        <f t="shared" si="24"/>
        <v>2.9400000000000033E-7</v>
      </c>
      <c r="AJ177" s="140">
        <f t="shared" si="25"/>
        <v>3.9200000000000044E-7</v>
      </c>
      <c r="AK177" s="140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27"/>
        <v>9.9999999999999995E-8</v>
      </c>
      <c r="AO177" s="140">
        <f t="shared" si="28"/>
        <v>9.8000000000000112E-6</v>
      </c>
      <c r="AP177">
        <v>0.98000000000000098</v>
      </c>
      <c r="AQ177" s="140">
        <f t="shared" si="29"/>
        <v>9.8000000000000083E-8</v>
      </c>
      <c r="AR177" s="140">
        <f t="shared" si="30"/>
        <v>1.9600000000000019E-7</v>
      </c>
      <c r="AS177" s="140">
        <f t="shared" si="31"/>
        <v>2.9400000000000033E-7</v>
      </c>
      <c r="AT177" s="140">
        <f t="shared" si="32"/>
        <v>3.9200000000000044E-7</v>
      </c>
      <c r="AU177" s="140">
        <f t="shared" si="33"/>
        <v>4.900000000000006E-7</v>
      </c>
      <c r="AV177" s="157">
        <f>IF(AO177&lt;$B$73*DATA!$H$1037,DATA!$H$1037,IF(AO177&gt;DATA!$H$1036*$B$73,DATA!$H$1036,1))</f>
        <v>1.2</v>
      </c>
      <c r="AW177" s="156">
        <f t="shared" si="34"/>
        <v>9.9999999999999995E-8</v>
      </c>
      <c r="AY177" s="140">
        <f t="shared" si="35"/>
        <v>9.8000000000000112E-6</v>
      </c>
      <c r="AZ177">
        <v>0.98000000000000098</v>
      </c>
      <c r="BA177" s="140">
        <f t="shared" si="36"/>
        <v>9.8000000000000083E-8</v>
      </c>
      <c r="BB177" s="140">
        <f t="shared" si="37"/>
        <v>1.9600000000000019E-7</v>
      </c>
      <c r="BC177" s="140">
        <f t="shared" si="38"/>
        <v>2.9400000000000033E-7</v>
      </c>
      <c r="BD177" s="140">
        <f t="shared" si="39"/>
        <v>3.9200000000000044E-7</v>
      </c>
      <c r="BE177" s="140">
        <f t="shared" si="40"/>
        <v>4.900000000000006E-7</v>
      </c>
      <c r="BF177" s="157">
        <f>IF(AY177&lt;$B$89*DATA!$H$1037,DATA!$H$1037,IF(AY177&gt;DATA!$H$1036*$B$89,DATA!$H$1036,1))</f>
        <v>1.2</v>
      </c>
      <c r="BG177" s="156">
        <f t="shared" si="41"/>
        <v>9.9999999999999995E-8</v>
      </c>
      <c r="BI177" s="140">
        <f t="shared" si="42"/>
        <v>9.8000000000000112E-6</v>
      </c>
      <c r="BJ177">
        <v>0.98000000000000098</v>
      </c>
      <c r="BK177" s="140">
        <f t="shared" si="43"/>
        <v>9.8000000000000083E-8</v>
      </c>
      <c r="BL177" s="140">
        <f t="shared" si="44"/>
        <v>1.9600000000000019E-7</v>
      </c>
      <c r="BM177" s="140">
        <f t="shared" si="45"/>
        <v>2.9400000000000033E-7</v>
      </c>
      <c r="BN177" s="140">
        <f t="shared" si="46"/>
        <v>3.9200000000000044E-7</v>
      </c>
      <c r="BO177" s="140">
        <f t="shared" si="47"/>
        <v>4.900000000000006E-7</v>
      </c>
      <c r="BP177" s="157">
        <f>IF(BI177&lt;$B$105*DATA!$H$1037,DATA!$H$1037,IF(BI177&gt;DATA!$H$1036*$B$105,DATA!$H$1036,1))</f>
        <v>1.2</v>
      </c>
      <c r="BQ177" s="156">
        <f t="shared" si="48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49"/>
        <v>9.9999999999999969E-8</v>
      </c>
      <c r="D178" s="140">
        <f t="shared" si="49"/>
        <v>1.9999999999999999E-7</v>
      </c>
      <c r="E178" s="140">
        <f t="shared" si="49"/>
        <v>3.0000000000000004E-7</v>
      </c>
      <c r="F178" s="140">
        <f t="shared" si="49"/>
        <v>4.0000000000000003E-7</v>
      </c>
      <c r="G178" s="140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6"/>
        <v>9.9999999999999995E-8</v>
      </c>
      <c r="K178" s="140">
        <f t="shared" si="7"/>
        <v>1.0000000000000001E-5</v>
      </c>
      <c r="L178">
        <v>1</v>
      </c>
      <c r="M178" s="140">
        <f t="shared" si="8"/>
        <v>9.9999999999999969E-8</v>
      </c>
      <c r="N178" s="140">
        <f t="shared" si="9"/>
        <v>1.9999999999999999E-7</v>
      </c>
      <c r="O178" s="140">
        <f t="shared" si="10"/>
        <v>3.0000000000000004E-7</v>
      </c>
      <c r="P178" s="140">
        <f t="shared" si="11"/>
        <v>4.0000000000000003E-7</v>
      </c>
      <c r="Q178" s="140">
        <f t="shared" si="12"/>
        <v>5.0000000000000008E-7</v>
      </c>
      <c r="R178" s="157">
        <f>IF(K178&lt;$B$25*DATA!$H$1037,DATA!$H$1037,IF(K178&gt;DATA!$H$1036*$B$25,DATA!$H$1036,1))</f>
        <v>0.8</v>
      </c>
      <c r="S178" s="156">
        <f t="shared" si="13"/>
        <v>9.9999999999999995E-8</v>
      </c>
      <c r="U178" s="140">
        <f t="shared" si="14"/>
        <v>1.0000000000000001E-5</v>
      </c>
      <c r="V178">
        <v>1</v>
      </c>
      <c r="W178" s="140">
        <f t="shared" si="15"/>
        <v>9.9999999999999969E-8</v>
      </c>
      <c r="X178" s="140">
        <f t="shared" si="16"/>
        <v>1.9999999999999999E-7</v>
      </c>
      <c r="Y178" s="140">
        <f t="shared" si="17"/>
        <v>3.0000000000000004E-7</v>
      </c>
      <c r="Z178" s="140">
        <f t="shared" si="18"/>
        <v>4.0000000000000003E-7</v>
      </c>
      <c r="AA178" s="140">
        <f t="shared" si="19"/>
        <v>5.0000000000000008E-7</v>
      </c>
      <c r="AB178" s="157">
        <f>IF(U178&lt;$B$41*DATA!$H$1037,DATA!$H$1037,IF(U178&gt;DATA!$H$1036*$B$41,DATA!$H$1036,1))</f>
        <v>0.8</v>
      </c>
      <c r="AC178" s="156">
        <f t="shared" si="20"/>
        <v>9.9999999999999995E-8</v>
      </c>
      <c r="AE178" s="140">
        <f t="shared" si="21"/>
        <v>1.0000000000000001E-5</v>
      </c>
      <c r="AF178">
        <v>1</v>
      </c>
      <c r="AG178" s="140">
        <f t="shared" si="22"/>
        <v>9.9999999999999969E-8</v>
      </c>
      <c r="AH178" s="140">
        <f t="shared" si="23"/>
        <v>1.9999999999999999E-7</v>
      </c>
      <c r="AI178" s="140">
        <f t="shared" si="24"/>
        <v>3.0000000000000004E-7</v>
      </c>
      <c r="AJ178" s="140">
        <f t="shared" si="25"/>
        <v>4.0000000000000003E-7</v>
      </c>
      <c r="AK178" s="140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27"/>
        <v>9.9999999999999995E-8</v>
      </c>
      <c r="AO178" s="140">
        <f t="shared" si="28"/>
        <v>1.0000000000000001E-5</v>
      </c>
      <c r="AP178">
        <v>1</v>
      </c>
      <c r="AQ178" s="140">
        <f t="shared" si="29"/>
        <v>9.9999999999999969E-8</v>
      </c>
      <c r="AR178" s="140">
        <f t="shared" si="30"/>
        <v>1.9999999999999999E-7</v>
      </c>
      <c r="AS178" s="140">
        <f t="shared" si="31"/>
        <v>3.0000000000000004E-7</v>
      </c>
      <c r="AT178" s="140">
        <f t="shared" si="32"/>
        <v>4.0000000000000003E-7</v>
      </c>
      <c r="AU178" s="140">
        <f t="shared" si="33"/>
        <v>5.0000000000000008E-7</v>
      </c>
      <c r="AV178" s="157">
        <f>IF(AO178&lt;$B$73*DATA!$H$1037,DATA!$H$1037,IF(AO178&gt;DATA!$H$1036*$B$73,DATA!$H$1036,1))</f>
        <v>1.2</v>
      </c>
      <c r="AW178" s="156">
        <f t="shared" si="34"/>
        <v>9.9999999999999995E-8</v>
      </c>
      <c r="AY178" s="140">
        <f t="shared" si="35"/>
        <v>1.0000000000000001E-5</v>
      </c>
      <c r="AZ178">
        <v>1</v>
      </c>
      <c r="BA178" s="140">
        <f t="shared" si="36"/>
        <v>9.9999999999999969E-8</v>
      </c>
      <c r="BB178" s="140">
        <f t="shared" si="37"/>
        <v>1.9999999999999999E-7</v>
      </c>
      <c r="BC178" s="140">
        <f t="shared" si="38"/>
        <v>3.0000000000000004E-7</v>
      </c>
      <c r="BD178" s="140">
        <f t="shared" si="39"/>
        <v>4.0000000000000003E-7</v>
      </c>
      <c r="BE178" s="140">
        <f t="shared" si="40"/>
        <v>5.0000000000000008E-7</v>
      </c>
      <c r="BF178" s="157">
        <f>IF(AY178&lt;$B$89*DATA!$H$1037,DATA!$H$1037,IF(AY178&gt;DATA!$H$1036*$B$89,DATA!$H$1036,1))</f>
        <v>1.2</v>
      </c>
      <c r="BG178" s="156">
        <f t="shared" si="41"/>
        <v>9.9999999999999995E-8</v>
      </c>
      <c r="BI178" s="140">
        <f t="shared" si="42"/>
        <v>1.0000000000000001E-5</v>
      </c>
      <c r="BJ178">
        <v>1</v>
      </c>
      <c r="BK178" s="140">
        <f t="shared" si="43"/>
        <v>9.9999999999999969E-8</v>
      </c>
      <c r="BL178" s="140">
        <f t="shared" si="44"/>
        <v>1.9999999999999999E-7</v>
      </c>
      <c r="BM178" s="140">
        <f t="shared" si="45"/>
        <v>3.0000000000000004E-7</v>
      </c>
      <c r="BN178" s="140">
        <f t="shared" si="46"/>
        <v>4.0000000000000003E-7</v>
      </c>
      <c r="BO178" s="140">
        <f t="shared" si="47"/>
        <v>5.0000000000000008E-7</v>
      </c>
      <c r="BP178" s="157">
        <f>IF(BI178&lt;$B$105*DATA!$H$1037,DATA!$H$1037,IF(BI178&gt;DATA!$H$1036*$B$105,DATA!$H$1036,1))</f>
        <v>1.2</v>
      </c>
      <c r="BQ178" s="156">
        <f t="shared" si="48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49"/>
        <v>1.0199999999999997E-7</v>
      </c>
      <c r="D179" s="140">
        <f t="shared" si="49"/>
        <v>2.0399999999999997E-7</v>
      </c>
      <c r="E179" s="140">
        <f t="shared" si="49"/>
        <v>3.0600000000000001E-7</v>
      </c>
      <c r="F179" s="140">
        <f t="shared" si="49"/>
        <v>4.0800000000000005E-7</v>
      </c>
      <c r="G179" s="140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6"/>
        <v>9.9999999999999995E-8</v>
      </c>
      <c r="K179" s="140">
        <f t="shared" si="7"/>
        <v>1.0200000000000001E-5</v>
      </c>
      <c r="L179">
        <v>1.02</v>
      </c>
      <c r="M179" s="140">
        <f t="shared" si="8"/>
        <v>1.0199999999999997E-7</v>
      </c>
      <c r="N179" s="140">
        <f t="shared" si="9"/>
        <v>2.0399999999999997E-7</v>
      </c>
      <c r="O179" s="140">
        <f t="shared" si="10"/>
        <v>3.0600000000000001E-7</v>
      </c>
      <c r="P179" s="140">
        <f t="shared" si="11"/>
        <v>4.0800000000000005E-7</v>
      </c>
      <c r="Q179" s="140">
        <f t="shared" si="12"/>
        <v>5.1000000000000009E-7</v>
      </c>
      <c r="R179" s="157">
        <f>IF(K179&lt;$B$25*DATA!$H$1037,DATA!$H$1037,IF(K179&gt;DATA!$H$1036*$B$25,DATA!$H$1036,1))</f>
        <v>0.8</v>
      </c>
      <c r="S179" s="156">
        <f t="shared" si="13"/>
        <v>9.9999999999999995E-8</v>
      </c>
      <c r="U179" s="140">
        <f t="shared" si="14"/>
        <v>1.0200000000000001E-5</v>
      </c>
      <c r="V179">
        <v>1.02</v>
      </c>
      <c r="W179" s="140">
        <f t="shared" si="15"/>
        <v>1.0199999999999997E-7</v>
      </c>
      <c r="X179" s="140">
        <f t="shared" si="16"/>
        <v>2.0399999999999997E-7</v>
      </c>
      <c r="Y179" s="140">
        <f t="shared" si="17"/>
        <v>3.0600000000000001E-7</v>
      </c>
      <c r="Z179" s="140">
        <f t="shared" si="18"/>
        <v>4.0800000000000005E-7</v>
      </c>
      <c r="AA179" s="140">
        <f t="shared" si="19"/>
        <v>5.1000000000000009E-7</v>
      </c>
      <c r="AB179" s="157">
        <f>IF(U179&lt;$B$41*DATA!$H$1037,DATA!$H$1037,IF(U179&gt;DATA!$H$1036*$B$41,DATA!$H$1036,1))</f>
        <v>0.8</v>
      </c>
      <c r="AC179" s="156">
        <f t="shared" si="20"/>
        <v>9.9999999999999995E-8</v>
      </c>
      <c r="AE179" s="140">
        <f t="shared" si="21"/>
        <v>1.0200000000000001E-5</v>
      </c>
      <c r="AF179">
        <v>1.02</v>
      </c>
      <c r="AG179" s="140">
        <f t="shared" si="22"/>
        <v>1.0199999999999997E-7</v>
      </c>
      <c r="AH179" s="140">
        <f t="shared" si="23"/>
        <v>2.0399999999999997E-7</v>
      </c>
      <c r="AI179" s="140">
        <f t="shared" si="24"/>
        <v>3.0600000000000001E-7</v>
      </c>
      <c r="AJ179" s="140">
        <f t="shared" si="25"/>
        <v>4.0800000000000005E-7</v>
      </c>
      <c r="AK179" s="140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27"/>
        <v>9.9999999999999995E-8</v>
      </c>
      <c r="AO179" s="140">
        <f t="shared" si="28"/>
        <v>1.0200000000000001E-5</v>
      </c>
      <c r="AP179">
        <v>1.02</v>
      </c>
      <c r="AQ179" s="140">
        <f t="shared" si="29"/>
        <v>1.0199999999999997E-7</v>
      </c>
      <c r="AR179" s="140">
        <f t="shared" si="30"/>
        <v>2.0399999999999997E-7</v>
      </c>
      <c r="AS179" s="140">
        <f t="shared" si="31"/>
        <v>3.0600000000000001E-7</v>
      </c>
      <c r="AT179" s="140">
        <f t="shared" si="32"/>
        <v>4.0800000000000005E-7</v>
      </c>
      <c r="AU179" s="140">
        <f t="shared" si="33"/>
        <v>5.1000000000000009E-7</v>
      </c>
      <c r="AV179" s="157">
        <f>IF(AO179&lt;$B$73*DATA!$H$1037,DATA!$H$1037,IF(AO179&gt;DATA!$H$1036*$B$73,DATA!$H$1036,1))</f>
        <v>1.2</v>
      </c>
      <c r="AW179" s="156">
        <f t="shared" si="34"/>
        <v>9.9999999999999995E-8</v>
      </c>
      <c r="AY179" s="140">
        <f t="shared" si="35"/>
        <v>1.0200000000000001E-5</v>
      </c>
      <c r="AZ179">
        <v>1.02</v>
      </c>
      <c r="BA179" s="140">
        <f t="shared" si="36"/>
        <v>1.0199999999999997E-7</v>
      </c>
      <c r="BB179" s="140">
        <f t="shared" si="37"/>
        <v>2.0399999999999997E-7</v>
      </c>
      <c r="BC179" s="140">
        <f t="shared" si="38"/>
        <v>3.0600000000000001E-7</v>
      </c>
      <c r="BD179" s="140">
        <f t="shared" si="39"/>
        <v>4.0800000000000005E-7</v>
      </c>
      <c r="BE179" s="140">
        <f t="shared" si="40"/>
        <v>5.1000000000000009E-7</v>
      </c>
      <c r="BF179" s="157">
        <f>IF(AY179&lt;$B$89*DATA!$H$1037,DATA!$H$1037,IF(AY179&gt;DATA!$H$1036*$B$89,DATA!$H$1036,1))</f>
        <v>1.2</v>
      </c>
      <c r="BG179" s="156">
        <f t="shared" si="41"/>
        <v>9.9999999999999995E-8</v>
      </c>
      <c r="BI179" s="140">
        <f t="shared" si="42"/>
        <v>1.0200000000000001E-5</v>
      </c>
      <c r="BJ179">
        <v>1.02</v>
      </c>
      <c r="BK179" s="140">
        <f t="shared" si="43"/>
        <v>1.0199999999999997E-7</v>
      </c>
      <c r="BL179" s="140">
        <f t="shared" si="44"/>
        <v>2.0399999999999997E-7</v>
      </c>
      <c r="BM179" s="140">
        <f t="shared" si="45"/>
        <v>3.0600000000000001E-7</v>
      </c>
      <c r="BN179" s="140">
        <f t="shared" si="46"/>
        <v>4.0800000000000005E-7</v>
      </c>
      <c r="BO179" s="140">
        <f t="shared" si="47"/>
        <v>5.1000000000000009E-7</v>
      </c>
      <c r="BP179" s="157">
        <f>IF(BI179&lt;$B$105*DATA!$H$1037,DATA!$H$1037,IF(BI179&gt;DATA!$H$1036*$B$105,DATA!$H$1036,1))</f>
        <v>1.2</v>
      </c>
      <c r="BQ179" s="156">
        <f t="shared" si="48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49"/>
        <v>1.0399999999999997E-7</v>
      </c>
      <c r="D180" s="140">
        <f t="shared" si="49"/>
        <v>2.0799999999999998E-7</v>
      </c>
      <c r="E180" s="140">
        <f t="shared" si="49"/>
        <v>3.1199999999999999E-7</v>
      </c>
      <c r="F180" s="140">
        <f t="shared" si="49"/>
        <v>4.1600000000000002E-7</v>
      </c>
      <c r="G180" s="140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6"/>
        <v>9.9999999999999995E-8</v>
      </c>
      <c r="K180" s="140">
        <f t="shared" si="7"/>
        <v>1.04E-5</v>
      </c>
      <c r="L180">
        <v>1.04</v>
      </c>
      <c r="M180" s="140">
        <f t="shared" si="8"/>
        <v>1.0399999999999997E-7</v>
      </c>
      <c r="N180" s="140">
        <f t="shared" si="9"/>
        <v>2.0799999999999998E-7</v>
      </c>
      <c r="O180" s="140">
        <f t="shared" si="10"/>
        <v>3.1199999999999999E-7</v>
      </c>
      <c r="P180" s="140">
        <f t="shared" si="11"/>
        <v>4.1600000000000002E-7</v>
      </c>
      <c r="Q180" s="140">
        <f t="shared" si="12"/>
        <v>5.2E-7</v>
      </c>
      <c r="R180" s="157">
        <f>IF(K180&lt;$B$25*DATA!$H$1037,DATA!$H$1037,IF(K180&gt;DATA!$H$1036*$B$25,DATA!$H$1036,1))</f>
        <v>0.8</v>
      </c>
      <c r="S180" s="156">
        <f t="shared" si="13"/>
        <v>9.9999999999999995E-8</v>
      </c>
      <c r="U180" s="140">
        <f t="shared" si="14"/>
        <v>1.04E-5</v>
      </c>
      <c r="V180">
        <v>1.04</v>
      </c>
      <c r="W180" s="140">
        <f t="shared" si="15"/>
        <v>1.0399999999999997E-7</v>
      </c>
      <c r="X180" s="140">
        <f t="shared" si="16"/>
        <v>2.0799999999999998E-7</v>
      </c>
      <c r="Y180" s="140">
        <f t="shared" si="17"/>
        <v>3.1199999999999999E-7</v>
      </c>
      <c r="Z180" s="140">
        <f t="shared" si="18"/>
        <v>4.1600000000000002E-7</v>
      </c>
      <c r="AA180" s="140">
        <f t="shared" si="19"/>
        <v>5.2E-7</v>
      </c>
      <c r="AB180" s="157">
        <f>IF(U180&lt;$B$41*DATA!$H$1037,DATA!$H$1037,IF(U180&gt;DATA!$H$1036*$B$41,DATA!$H$1036,1))</f>
        <v>0.8</v>
      </c>
      <c r="AC180" s="156">
        <f t="shared" si="20"/>
        <v>9.9999999999999995E-8</v>
      </c>
      <c r="AE180" s="140">
        <f t="shared" si="21"/>
        <v>1.04E-5</v>
      </c>
      <c r="AF180">
        <v>1.04</v>
      </c>
      <c r="AG180" s="140">
        <f t="shared" si="22"/>
        <v>1.0399999999999997E-7</v>
      </c>
      <c r="AH180" s="140">
        <f t="shared" si="23"/>
        <v>2.0799999999999998E-7</v>
      </c>
      <c r="AI180" s="140">
        <f t="shared" si="24"/>
        <v>3.1199999999999999E-7</v>
      </c>
      <c r="AJ180" s="140">
        <f t="shared" si="25"/>
        <v>4.1600000000000002E-7</v>
      </c>
      <c r="AK180" s="140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27"/>
        <v>9.9999999999999995E-8</v>
      </c>
      <c r="AO180" s="140">
        <f t="shared" si="28"/>
        <v>1.04E-5</v>
      </c>
      <c r="AP180">
        <v>1.04</v>
      </c>
      <c r="AQ180" s="140">
        <f t="shared" si="29"/>
        <v>1.0399999999999997E-7</v>
      </c>
      <c r="AR180" s="140">
        <f t="shared" si="30"/>
        <v>2.0799999999999998E-7</v>
      </c>
      <c r="AS180" s="140">
        <f t="shared" si="31"/>
        <v>3.1199999999999999E-7</v>
      </c>
      <c r="AT180" s="140">
        <f t="shared" si="32"/>
        <v>4.1600000000000002E-7</v>
      </c>
      <c r="AU180" s="140">
        <f t="shared" si="33"/>
        <v>5.2E-7</v>
      </c>
      <c r="AV180" s="157">
        <f>IF(AO180&lt;$B$73*DATA!$H$1037,DATA!$H$1037,IF(AO180&gt;DATA!$H$1036*$B$73,DATA!$H$1036,1))</f>
        <v>1.2</v>
      </c>
      <c r="AW180" s="156">
        <f t="shared" si="34"/>
        <v>9.9999999999999995E-8</v>
      </c>
      <c r="AY180" s="140">
        <f t="shared" si="35"/>
        <v>1.04E-5</v>
      </c>
      <c r="AZ180">
        <v>1.04</v>
      </c>
      <c r="BA180" s="140">
        <f t="shared" si="36"/>
        <v>1.0399999999999997E-7</v>
      </c>
      <c r="BB180" s="140">
        <f t="shared" si="37"/>
        <v>2.0799999999999998E-7</v>
      </c>
      <c r="BC180" s="140">
        <f t="shared" si="38"/>
        <v>3.1199999999999999E-7</v>
      </c>
      <c r="BD180" s="140">
        <f t="shared" si="39"/>
        <v>4.1600000000000002E-7</v>
      </c>
      <c r="BE180" s="140">
        <f t="shared" si="40"/>
        <v>5.2E-7</v>
      </c>
      <c r="BF180" s="157">
        <f>IF(AY180&lt;$B$89*DATA!$H$1037,DATA!$H$1037,IF(AY180&gt;DATA!$H$1036*$B$89,DATA!$H$1036,1))</f>
        <v>1.2</v>
      </c>
      <c r="BG180" s="156">
        <f t="shared" si="41"/>
        <v>9.9999999999999995E-8</v>
      </c>
      <c r="BI180" s="140">
        <f t="shared" si="42"/>
        <v>1.04E-5</v>
      </c>
      <c r="BJ180">
        <v>1.04</v>
      </c>
      <c r="BK180" s="140">
        <f t="shared" si="43"/>
        <v>1.0399999999999997E-7</v>
      </c>
      <c r="BL180" s="140">
        <f t="shared" si="44"/>
        <v>2.0799999999999998E-7</v>
      </c>
      <c r="BM180" s="140">
        <f t="shared" si="45"/>
        <v>3.1199999999999999E-7</v>
      </c>
      <c r="BN180" s="140">
        <f t="shared" si="46"/>
        <v>4.1600000000000002E-7</v>
      </c>
      <c r="BO180" s="140">
        <f t="shared" si="47"/>
        <v>5.2E-7</v>
      </c>
      <c r="BP180" s="157">
        <f>IF(BI180&lt;$B$105*DATA!$H$1037,DATA!$H$1037,IF(BI180&gt;DATA!$H$1036*$B$105,DATA!$H$1036,1))</f>
        <v>1.2</v>
      </c>
      <c r="BQ180" s="156">
        <f t="shared" si="48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49"/>
        <v>1.0599999999999998E-7</v>
      </c>
      <c r="D181" s="140">
        <f t="shared" si="49"/>
        <v>2.1199999999999999E-7</v>
      </c>
      <c r="E181" s="140">
        <f t="shared" si="49"/>
        <v>3.1800000000000007E-7</v>
      </c>
      <c r="F181" s="140">
        <f t="shared" si="49"/>
        <v>4.2400000000000009E-7</v>
      </c>
      <c r="G181" s="140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6"/>
        <v>9.9999999999999995E-8</v>
      </c>
      <c r="K181" s="140">
        <f t="shared" si="7"/>
        <v>1.0600000000000002E-5</v>
      </c>
      <c r="L181">
        <v>1.06</v>
      </c>
      <c r="M181" s="140">
        <f t="shared" si="8"/>
        <v>1.0599999999999998E-7</v>
      </c>
      <c r="N181" s="140">
        <f t="shared" si="9"/>
        <v>2.1199999999999999E-7</v>
      </c>
      <c r="O181" s="140">
        <f t="shared" si="10"/>
        <v>3.1800000000000007E-7</v>
      </c>
      <c r="P181" s="140">
        <f t="shared" si="11"/>
        <v>4.2400000000000009E-7</v>
      </c>
      <c r="Q181" s="140">
        <f t="shared" si="12"/>
        <v>5.3000000000000011E-7</v>
      </c>
      <c r="R181" s="157">
        <f>IF(K181&lt;$B$25*DATA!$H$1037,DATA!$H$1037,IF(K181&gt;DATA!$H$1036*$B$25,DATA!$H$1036,1))</f>
        <v>0.8</v>
      </c>
      <c r="S181" s="156">
        <f t="shared" si="13"/>
        <v>9.9999999999999995E-8</v>
      </c>
      <c r="U181" s="140">
        <f t="shared" si="14"/>
        <v>1.0600000000000002E-5</v>
      </c>
      <c r="V181">
        <v>1.06</v>
      </c>
      <c r="W181" s="140">
        <f t="shared" si="15"/>
        <v>1.0599999999999998E-7</v>
      </c>
      <c r="X181" s="140">
        <f t="shared" si="16"/>
        <v>2.1199999999999999E-7</v>
      </c>
      <c r="Y181" s="140">
        <f t="shared" si="17"/>
        <v>3.1800000000000007E-7</v>
      </c>
      <c r="Z181" s="140">
        <f t="shared" si="18"/>
        <v>4.2400000000000009E-7</v>
      </c>
      <c r="AA181" s="140">
        <f t="shared" si="19"/>
        <v>5.3000000000000011E-7</v>
      </c>
      <c r="AB181" s="157">
        <f>IF(U181&lt;$B$41*DATA!$H$1037,DATA!$H$1037,IF(U181&gt;DATA!$H$1036*$B$41,DATA!$H$1036,1))</f>
        <v>0.8</v>
      </c>
      <c r="AC181" s="156">
        <f t="shared" si="20"/>
        <v>9.9999999999999995E-8</v>
      </c>
      <c r="AE181" s="140">
        <f t="shared" si="21"/>
        <v>1.0600000000000002E-5</v>
      </c>
      <c r="AF181">
        <v>1.06</v>
      </c>
      <c r="AG181" s="140">
        <f t="shared" si="22"/>
        <v>1.0599999999999998E-7</v>
      </c>
      <c r="AH181" s="140">
        <f t="shared" si="23"/>
        <v>2.1199999999999999E-7</v>
      </c>
      <c r="AI181" s="140">
        <f t="shared" si="24"/>
        <v>3.1800000000000007E-7</v>
      </c>
      <c r="AJ181" s="140">
        <f t="shared" si="25"/>
        <v>4.2400000000000009E-7</v>
      </c>
      <c r="AK181" s="140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27"/>
        <v>9.9999999999999995E-8</v>
      </c>
      <c r="AO181" s="140">
        <f t="shared" si="28"/>
        <v>1.0600000000000002E-5</v>
      </c>
      <c r="AP181">
        <v>1.06</v>
      </c>
      <c r="AQ181" s="140">
        <f t="shared" si="29"/>
        <v>1.0599999999999998E-7</v>
      </c>
      <c r="AR181" s="140">
        <f t="shared" si="30"/>
        <v>2.1199999999999999E-7</v>
      </c>
      <c r="AS181" s="140">
        <f t="shared" si="31"/>
        <v>3.1800000000000007E-7</v>
      </c>
      <c r="AT181" s="140">
        <f t="shared" si="32"/>
        <v>4.2400000000000009E-7</v>
      </c>
      <c r="AU181" s="140">
        <f t="shared" si="33"/>
        <v>5.3000000000000011E-7</v>
      </c>
      <c r="AV181" s="157">
        <f>IF(AO181&lt;$B$73*DATA!$H$1037,DATA!$H$1037,IF(AO181&gt;DATA!$H$1036*$B$73,DATA!$H$1036,1))</f>
        <v>1.2</v>
      </c>
      <c r="AW181" s="156">
        <f t="shared" si="34"/>
        <v>9.9999999999999995E-8</v>
      </c>
      <c r="AY181" s="140">
        <f t="shared" si="35"/>
        <v>1.0600000000000002E-5</v>
      </c>
      <c r="AZ181">
        <v>1.06</v>
      </c>
      <c r="BA181" s="140">
        <f t="shared" si="36"/>
        <v>1.0599999999999998E-7</v>
      </c>
      <c r="BB181" s="140">
        <f t="shared" si="37"/>
        <v>2.1199999999999999E-7</v>
      </c>
      <c r="BC181" s="140">
        <f t="shared" si="38"/>
        <v>3.1800000000000007E-7</v>
      </c>
      <c r="BD181" s="140">
        <f t="shared" si="39"/>
        <v>4.2400000000000009E-7</v>
      </c>
      <c r="BE181" s="140">
        <f t="shared" si="40"/>
        <v>5.3000000000000011E-7</v>
      </c>
      <c r="BF181" s="157">
        <f>IF(AY181&lt;$B$89*DATA!$H$1037,DATA!$H$1037,IF(AY181&gt;DATA!$H$1036*$B$89,DATA!$H$1036,1))</f>
        <v>1.2</v>
      </c>
      <c r="BG181" s="156">
        <f t="shared" si="41"/>
        <v>9.9999999999999995E-8</v>
      </c>
      <c r="BI181" s="140">
        <f t="shared" si="42"/>
        <v>1.0600000000000002E-5</v>
      </c>
      <c r="BJ181">
        <v>1.06</v>
      </c>
      <c r="BK181" s="140">
        <f t="shared" si="43"/>
        <v>1.0599999999999998E-7</v>
      </c>
      <c r="BL181" s="140">
        <f t="shared" si="44"/>
        <v>2.1199999999999999E-7</v>
      </c>
      <c r="BM181" s="140">
        <f t="shared" si="45"/>
        <v>3.1800000000000007E-7</v>
      </c>
      <c r="BN181" s="140">
        <f t="shared" si="46"/>
        <v>4.2400000000000009E-7</v>
      </c>
      <c r="BO181" s="140">
        <f t="shared" si="47"/>
        <v>5.3000000000000011E-7</v>
      </c>
      <c r="BP181" s="157">
        <f>IF(BI181&lt;$B$105*DATA!$H$1037,DATA!$H$1037,IF(BI181&gt;DATA!$H$1036*$B$105,DATA!$H$1036,1))</f>
        <v>1.2</v>
      </c>
      <c r="BQ181" s="156">
        <f t="shared" si="48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49"/>
        <v>1.0799999999999997E-7</v>
      </c>
      <c r="D182" s="140">
        <f t="shared" si="49"/>
        <v>2.16E-7</v>
      </c>
      <c r="E182" s="140">
        <f t="shared" si="49"/>
        <v>3.2400000000000004E-7</v>
      </c>
      <c r="F182" s="140">
        <f t="shared" si="49"/>
        <v>4.3200000000000006E-7</v>
      </c>
      <c r="G182" s="140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6"/>
        <v>9.9999999999999995E-8</v>
      </c>
      <c r="K182" s="140">
        <f t="shared" si="7"/>
        <v>1.0800000000000002E-5</v>
      </c>
      <c r="L182">
        <v>1.08</v>
      </c>
      <c r="M182" s="140">
        <f t="shared" si="8"/>
        <v>1.0799999999999997E-7</v>
      </c>
      <c r="N182" s="140">
        <f t="shared" si="9"/>
        <v>2.16E-7</v>
      </c>
      <c r="O182" s="140">
        <f t="shared" si="10"/>
        <v>3.2400000000000004E-7</v>
      </c>
      <c r="P182" s="140">
        <f t="shared" si="11"/>
        <v>4.3200000000000006E-7</v>
      </c>
      <c r="Q182" s="140">
        <f t="shared" si="12"/>
        <v>5.4000000000000012E-7</v>
      </c>
      <c r="R182" s="157">
        <f>IF(K182&lt;$B$25*DATA!$H$1037,DATA!$H$1037,IF(K182&gt;DATA!$H$1036*$B$25,DATA!$H$1036,1))</f>
        <v>0.8</v>
      </c>
      <c r="S182" s="156">
        <f t="shared" si="13"/>
        <v>9.9999999999999995E-8</v>
      </c>
      <c r="U182" s="140">
        <f t="shared" si="14"/>
        <v>1.0800000000000002E-5</v>
      </c>
      <c r="V182">
        <v>1.08</v>
      </c>
      <c r="W182" s="140">
        <f t="shared" si="15"/>
        <v>1.0799999999999997E-7</v>
      </c>
      <c r="X182" s="140">
        <f t="shared" si="16"/>
        <v>2.16E-7</v>
      </c>
      <c r="Y182" s="140">
        <f t="shared" si="17"/>
        <v>3.2400000000000004E-7</v>
      </c>
      <c r="Z182" s="140">
        <f t="shared" si="18"/>
        <v>4.3200000000000006E-7</v>
      </c>
      <c r="AA182" s="140">
        <f t="shared" si="19"/>
        <v>5.4000000000000012E-7</v>
      </c>
      <c r="AB182" s="157">
        <f>IF(U182&lt;$B$41*DATA!$H$1037,DATA!$H$1037,IF(U182&gt;DATA!$H$1036*$B$41,DATA!$H$1036,1))</f>
        <v>0.8</v>
      </c>
      <c r="AC182" s="156">
        <f t="shared" si="20"/>
        <v>9.9999999999999995E-8</v>
      </c>
      <c r="AE182" s="140">
        <f t="shared" si="21"/>
        <v>1.0800000000000002E-5</v>
      </c>
      <c r="AF182">
        <v>1.08</v>
      </c>
      <c r="AG182" s="140">
        <f t="shared" si="22"/>
        <v>1.0799999999999997E-7</v>
      </c>
      <c r="AH182" s="140">
        <f t="shared" si="23"/>
        <v>2.16E-7</v>
      </c>
      <c r="AI182" s="140">
        <f t="shared" si="24"/>
        <v>3.2400000000000004E-7</v>
      </c>
      <c r="AJ182" s="140">
        <f t="shared" si="25"/>
        <v>4.3200000000000006E-7</v>
      </c>
      <c r="AK182" s="140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27"/>
        <v>9.9999999999999995E-8</v>
      </c>
      <c r="AO182" s="140">
        <f t="shared" si="28"/>
        <v>1.0800000000000002E-5</v>
      </c>
      <c r="AP182">
        <v>1.08</v>
      </c>
      <c r="AQ182" s="140">
        <f t="shared" si="29"/>
        <v>1.0799999999999997E-7</v>
      </c>
      <c r="AR182" s="140">
        <f t="shared" si="30"/>
        <v>2.16E-7</v>
      </c>
      <c r="AS182" s="140">
        <f t="shared" si="31"/>
        <v>3.2400000000000004E-7</v>
      </c>
      <c r="AT182" s="140">
        <f t="shared" si="32"/>
        <v>4.3200000000000006E-7</v>
      </c>
      <c r="AU182" s="140">
        <f t="shared" si="33"/>
        <v>5.4000000000000012E-7</v>
      </c>
      <c r="AV182" s="157">
        <f>IF(AO182&lt;$B$73*DATA!$H$1037,DATA!$H$1037,IF(AO182&gt;DATA!$H$1036*$B$73,DATA!$H$1036,1))</f>
        <v>1.2</v>
      </c>
      <c r="AW182" s="156">
        <f t="shared" si="34"/>
        <v>9.9999999999999995E-8</v>
      </c>
      <c r="AY182" s="140">
        <f t="shared" si="35"/>
        <v>1.0800000000000002E-5</v>
      </c>
      <c r="AZ182">
        <v>1.08</v>
      </c>
      <c r="BA182" s="140">
        <f t="shared" si="36"/>
        <v>1.0799999999999997E-7</v>
      </c>
      <c r="BB182" s="140">
        <f t="shared" si="37"/>
        <v>2.16E-7</v>
      </c>
      <c r="BC182" s="140">
        <f t="shared" si="38"/>
        <v>3.2400000000000004E-7</v>
      </c>
      <c r="BD182" s="140">
        <f t="shared" si="39"/>
        <v>4.3200000000000006E-7</v>
      </c>
      <c r="BE182" s="140">
        <f t="shared" si="40"/>
        <v>5.4000000000000012E-7</v>
      </c>
      <c r="BF182" s="157">
        <f>IF(AY182&lt;$B$89*DATA!$H$1037,DATA!$H$1037,IF(AY182&gt;DATA!$H$1036*$B$89,DATA!$H$1036,1))</f>
        <v>1.2</v>
      </c>
      <c r="BG182" s="156">
        <f t="shared" si="41"/>
        <v>9.9999999999999995E-8</v>
      </c>
      <c r="BI182" s="140">
        <f t="shared" si="42"/>
        <v>1.0800000000000002E-5</v>
      </c>
      <c r="BJ182">
        <v>1.08</v>
      </c>
      <c r="BK182" s="140">
        <f t="shared" si="43"/>
        <v>1.0799999999999997E-7</v>
      </c>
      <c r="BL182" s="140">
        <f t="shared" si="44"/>
        <v>2.16E-7</v>
      </c>
      <c r="BM182" s="140">
        <f t="shared" si="45"/>
        <v>3.2400000000000004E-7</v>
      </c>
      <c r="BN182" s="140">
        <f t="shared" si="46"/>
        <v>4.3200000000000006E-7</v>
      </c>
      <c r="BO182" s="140">
        <f t="shared" si="47"/>
        <v>5.4000000000000012E-7</v>
      </c>
      <c r="BP182" s="157">
        <f>IF(BI182&lt;$B$105*DATA!$H$1037,DATA!$H$1037,IF(BI182&gt;DATA!$H$1036*$B$105,DATA!$H$1036,1))</f>
        <v>1.2</v>
      </c>
      <c r="BQ182" s="156">
        <f t="shared" si="48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49"/>
        <v>1.0999999999999998E-7</v>
      </c>
      <c r="D183" s="140">
        <f t="shared" si="49"/>
        <v>2.1999999999999998E-7</v>
      </c>
      <c r="E183" s="140">
        <f t="shared" si="49"/>
        <v>3.3000000000000002E-7</v>
      </c>
      <c r="F183" s="140">
        <f t="shared" si="49"/>
        <v>4.4000000000000008E-7</v>
      </c>
      <c r="G183" s="140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6"/>
        <v>9.9999999999999995E-8</v>
      </c>
      <c r="K183" s="140">
        <f t="shared" si="7"/>
        <v>1.1000000000000001E-5</v>
      </c>
      <c r="L183">
        <v>1.1000000000000001</v>
      </c>
      <c r="M183" s="140">
        <f t="shared" si="8"/>
        <v>1.0999999999999998E-7</v>
      </c>
      <c r="N183" s="140">
        <f t="shared" si="9"/>
        <v>2.1999999999999998E-7</v>
      </c>
      <c r="O183" s="140">
        <f t="shared" si="10"/>
        <v>3.3000000000000002E-7</v>
      </c>
      <c r="P183" s="140">
        <f t="shared" si="11"/>
        <v>4.4000000000000008E-7</v>
      </c>
      <c r="Q183" s="140">
        <f t="shared" si="12"/>
        <v>5.5000000000000013E-7</v>
      </c>
      <c r="R183" s="157">
        <f>IF(K183&lt;$B$25*DATA!$H$1037,DATA!$H$1037,IF(K183&gt;DATA!$H$1036*$B$25,DATA!$H$1036,1))</f>
        <v>0.8</v>
      </c>
      <c r="S183" s="156">
        <f t="shared" si="13"/>
        <v>9.9999999999999995E-8</v>
      </c>
      <c r="U183" s="140">
        <f t="shared" si="14"/>
        <v>1.1000000000000001E-5</v>
      </c>
      <c r="V183">
        <v>1.1000000000000001</v>
      </c>
      <c r="W183" s="140">
        <f t="shared" si="15"/>
        <v>1.0999999999999998E-7</v>
      </c>
      <c r="X183" s="140">
        <f t="shared" si="16"/>
        <v>2.1999999999999998E-7</v>
      </c>
      <c r="Y183" s="140">
        <f t="shared" si="17"/>
        <v>3.3000000000000002E-7</v>
      </c>
      <c r="Z183" s="140">
        <f t="shared" si="18"/>
        <v>4.4000000000000008E-7</v>
      </c>
      <c r="AA183" s="140">
        <f t="shared" si="19"/>
        <v>5.5000000000000013E-7</v>
      </c>
      <c r="AB183" s="157">
        <f>IF(U183&lt;$B$41*DATA!$H$1037,DATA!$H$1037,IF(U183&gt;DATA!$H$1036*$B$41,DATA!$H$1036,1))</f>
        <v>0.8</v>
      </c>
      <c r="AC183" s="156">
        <f t="shared" si="20"/>
        <v>9.9999999999999995E-8</v>
      </c>
      <c r="AE183" s="140">
        <f t="shared" si="21"/>
        <v>1.1000000000000001E-5</v>
      </c>
      <c r="AF183">
        <v>1.1000000000000001</v>
      </c>
      <c r="AG183" s="140">
        <f t="shared" si="22"/>
        <v>1.0999999999999998E-7</v>
      </c>
      <c r="AH183" s="140">
        <f t="shared" si="23"/>
        <v>2.1999999999999998E-7</v>
      </c>
      <c r="AI183" s="140">
        <f t="shared" si="24"/>
        <v>3.3000000000000002E-7</v>
      </c>
      <c r="AJ183" s="140">
        <f t="shared" si="25"/>
        <v>4.4000000000000008E-7</v>
      </c>
      <c r="AK183" s="140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27"/>
        <v>9.9999999999999995E-8</v>
      </c>
      <c r="AO183" s="140">
        <f t="shared" si="28"/>
        <v>1.1000000000000001E-5</v>
      </c>
      <c r="AP183">
        <v>1.1000000000000001</v>
      </c>
      <c r="AQ183" s="140">
        <f t="shared" si="29"/>
        <v>1.0999999999999998E-7</v>
      </c>
      <c r="AR183" s="140">
        <f t="shared" si="30"/>
        <v>2.1999999999999998E-7</v>
      </c>
      <c r="AS183" s="140">
        <f t="shared" si="31"/>
        <v>3.3000000000000002E-7</v>
      </c>
      <c r="AT183" s="140">
        <f t="shared" si="32"/>
        <v>4.4000000000000008E-7</v>
      </c>
      <c r="AU183" s="140">
        <f t="shared" si="33"/>
        <v>5.5000000000000013E-7</v>
      </c>
      <c r="AV183" s="157">
        <f>IF(AO183&lt;$B$73*DATA!$H$1037,DATA!$H$1037,IF(AO183&gt;DATA!$H$1036*$B$73,DATA!$H$1036,1))</f>
        <v>1.2</v>
      </c>
      <c r="AW183" s="156">
        <f t="shared" si="34"/>
        <v>9.9999999999999995E-8</v>
      </c>
      <c r="AY183" s="140">
        <f t="shared" si="35"/>
        <v>1.1000000000000001E-5</v>
      </c>
      <c r="AZ183">
        <v>1.1000000000000001</v>
      </c>
      <c r="BA183" s="140">
        <f t="shared" si="36"/>
        <v>1.0999999999999998E-7</v>
      </c>
      <c r="BB183" s="140">
        <f t="shared" si="37"/>
        <v>2.1999999999999998E-7</v>
      </c>
      <c r="BC183" s="140">
        <f t="shared" si="38"/>
        <v>3.3000000000000002E-7</v>
      </c>
      <c r="BD183" s="140">
        <f t="shared" si="39"/>
        <v>4.4000000000000008E-7</v>
      </c>
      <c r="BE183" s="140">
        <f t="shared" si="40"/>
        <v>5.5000000000000013E-7</v>
      </c>
      <c r="BF183" s="157">
        <f>IF(AY183&lt;$B$89*DATA!$H$1037,DATA!$H$1037,IF(AY183&gt;DATA!$H$1036*$B$89,DATA!$H$1036,1))</f>
        <v>1.2</v>
      </c>
      <c r="BG183" s="156">
        <f t="shared" si="41"/>
        <v>9.9999999999999995E-8</v>
      </c>
      <c r="BI183" s="140">
        <f t="shared" si="42"/>
        <v>1.1000000000000001E-5</v>
      </c>
      <c r="BJ183">
        <v>1.1000000000000001</v>
      </c>
      <c r="BK183" s="140">
        <f t="shared" si="43"/>
        <v>1.0999999999999998E-7</v>
      </c>
      <c r="BL183" s="140">
        <f t="shared" si="44"/>
        <v>2.1999999999999998E-7</v>
      </c>
      <c r="BM183" s="140">
        <f t="shared" si="45"/>
        <v>3.3000000000000002E-7</v>
      </c>
      <c r="BN183" s="140">
        <f t="shared" si="46"/>
        <v>4.4000000000000008E-7</v>
      </c>
      <c r="BO183" s="140">
        <f t="shared" si="47"/>
        <v>5.5000000000000013E-7</v>
      </c>
      <c r="BP183" s="157">
        <f>IF(BI183&lt;$B$105*DATA!$H$1037,DATA!$H$1037,IF(BI183&gt;DATA!$H$1036*$B$105,DATA!$H$1036,1))</f>
        <v>1.2</v>
      </c>
      <c r="BQ183" s="156">
        <f t="shared" si="48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49"/>
        <v>1.1199999999999997E-7</v>
      </c>
      <c r="D184" s="140">
        <f t="shared" si="49"/>
        <v>2.2399999999999999E-7</v>
      </c>
      <c r="E184" s="140">
        <f t="shared" si="49"/>
        <v>3.3600000000000004E-7</v>
      </c>
      <c r="F184" s="140">
        <f t="shared" si="49"/>
        <v>4.4800000000000004E-7</v>
      </c>
      <c r="G184" s="140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6"/>
        <v>9.9999999999999995E-8</v>
      </c>
      <c r="K184" s="140">
        <f t="shared" si="7"/>
        <v>1.1200000000000001E-5</v>
      </c>
      <c r="L184">
        <v>1.1200000000000001</v>
      </c>
      <c r="M184" s="140">
        <f t="shared" si="8"/>
        <v>1.1199999999999997E-7</v>
      </c>
      <c r="N184" s="140">
        <f t="shared" si="9"/>
        <v>2.2399999999999999E-7</v>
      </c>
      <c r="O184" s="140">
        <f t="shared" si="10"/>
        <v>3.3600000000000004E-7</v>
      </c>
      <c r="P184" s="140">
        <f t="shared" si="11"/>
        <v>4.4800000000000004E-7</v>
      </c>
      <c r="Q184" s="140">
        <f t="shared" si="12"/>
        <v>5.6000000000000004E-7</v>
      </c>
      <c r="R184" s="157">
        <f>IF(K184&lt;$B$25*DATA!$H$1037,DATA!$H$1037,IF(K184&gt;DATA!$H$1036*$B$25,DATA!$H$1036,1))</f>
        <v>0.8</v>
      </c>
      <c r="S184" s="156">
        <f t="shared" si="13"/>
        <v>9.9999999999999995E-8</v>
      </c>
      <c r="U184" s="140">
        <f t="shared" si="14"/>
        <v>1.1200000000000001E-5</v>
      </c>
      <c r="V184">
        <v>1.1200000000000001</v>
      </c>
      <c r="W184" s="140">
        <f t="shared" si="15"/>
        <v>1.1199999999999997E-7</v>
      </c>
      <c r="X184" s="140">
        <f t="shared" si="16"/>
        <v>2.2399999999999999E-7</v>
      </c>
      <c r="Y184" s="140">
        <f t="shared" si="17"/>
        <v>3.3600000000000004E-7</v>
      </c>
      <c r="Z184" s="140">
        <f t="shared" si="18"/>
        <v>4.4800000000000004E-7</v>
      </c>
      <c r="AA184" s="140">
        <f t="shared" si="19"/>
        <v>5.6000000000000004E-7</v>
      </c>
      <c r="AB184" s="157">
        <f>IF(U184&lt;$B$41*DATA!$H$1037,DATA!$H$1037,IF(U184&gt;DATA!$H$1036*$B$41,DATA!$H$1036,1))</f>
        <v>0.8</v>
      </c>
      <c r="AC184" s="156">
        <f t="shared" si="20"/>
        <v>9.9999999999999995E-8</v>
      </c>
      <c r="AE184" s="140">
        <f t="shared" si="21"/>
        <v>1.1200000000000001E-5</v>
      </c>
      <c r="AF184">
        <v>1.1200000000000001</v>
      </c>
      <c r="AG184" s="140">
        <f t="shared" si="22"/>
        <v>1.1199999999999997E-7</v>
      </c>
      <c r="AH184" s="140">
        <f t="shared" si="23"/>
        <v>2.2399999999999999E-7</v>
      </c>
      <c r="AI184" s="140">
        <f t="shared" si="24"/>
        <v>3.3600000000000004E-7</v>
      </c>
      <c r="AJ184" s="140">
        <f t="shared" si="25"/>
        <v>4.4800000000000004E-7</v>
      </c>
      <c r="AK184" s="140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27"/>
        <v>9.9999999999999995E-8</v>
      </c>
      <c r="AO184" s="140">
        <f t="shared" si="28"/>
        <v>1.1200000000000001E-5</v>
      </c>
      <c r="AP184">
        <v>1.1200000000000001</v>
      </c>
      <c r="AQ184" s="140">
        <f t="shared" si="29"/>
        <v>1.1199999999999997E-7</v>
      </c>
      <c r="AR184" s="140">
        <f t="shared" si="30"/>
        <v>2.2399999999999999E-7</v>
      </c>
      <c r="AS184" s="140">
        <f t="shared" si="31"/>
        <v>3.3600000000000004E-7</v>
      </c>
      <c r="AT184" s="140">
        <f t="shared" si="32"/>
        <v>4.4800000000000004E-7</v>
      </c>
      <c r="AU184" s="140">
        <f t="shared" si="33"/>
        <v>5.6000000000000004E-7</v>
      </c>
      <c r="AV184" s="157">
        <f>IF(AO184&lt;$B$73*DATA!$H$1037,DATA!$H$1037,IF(AO184&gt;DATA!$H$1036*$B$73,DATA!$H$1036,1))</f>
        <v>1.2</v>
      </c>
      <c r="AW184" s="156">
        <f t="shared" si="34"/>
        <v>9.9999999999999995E-8</v>
      </c>
      <c r="AY184" s="140">
        <f t="shared" si="35"/>
        <v>1.1200000000000001E-5</v>
      </c>
      <c r="AZ184">
        <v>1.1200000000000001</v>
      </c>
      <c r="BA184" s="140">
        <f t="shared" si="36"/>
        <v>1.1199999999999997E-7</v>
      </c>
      <c r="BB184" s="140">
        <f t="shared" si="37"/>
        <v>2.2399999999999999E-7</v>
      </c>
      <c r="BC184" s="140">
        <f t="shared" si="38"/>
        <v>3.3600000000000004E-7</v>
      </c>
      <c r="BD184" s="140">
        <f t="shared" si="39"/>
        <v>4.4800000000000004E-7</v>
      </c>
      <c r="BE184" s="140">
        <f t="shared" si="40"/>
        <v>5.6000000000000004E-7</v>
      </c>
      <c r="BF184" s="157">
        <f>IF(AY184&lt;$B$89*DATA!$H$1037,DATA!$H$1037,IF(AY184&gt;DATA!$H$1036*$B$89,DATA!$H$1036,1))</f>
        <v>1.2</v>
      </c>
      <c r="BG184" s="156">
        <f t="shared" si="41"/>
        <v>9.9999999999999995E-8</v>
      </c>
      <c r="BI184" s="140">
        <f t="shared" si="42"/>
        <v>1.1200000000000001E-5</v>
      </c>
      <c r="BJ184">
        <v>1.1200000000000001</v>
      </c>
      <c r="BK184" s="140">
        <f t="shared" si="43"/>
        <v>1.1199999999999997E-7</v>
      </c>
      <c r="BL184" s="140">
        <f t="shared" si="44"/>
        <v>2.2399999999999999E-7</v>
      </c>
      <c r="BM184" s="140">
        <f t="shared" si="45"/>
        <v>3.3600000000000004E-7</v>
      </c>
      <c r="BN184" s="140">
        <f t="shared" si="46"/>
        <v>4.4800000000000004E-7</v>
      </c>
      <c r="BO184" s="140">
        <f t="shared" si="47"/>
        <v>5.6000000000000004E-7</v>
      </c>
      <c r="BP184" s="157">
        <f>IF(BI184&lt;$B$105*DATA!$H$1037,DATA!$H$1037,IF(BI184&gt;DATA!$H$1036*$B$105,DATA!$H$1036,1))</f>
        <v>1.2</v>
      </c>
      <c r="BQ184" s="156">
        <f t="shared" si="48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49"/>
        <v>1.1399999999999996E-7</v>
      </c>
      <c r="D185" s="140">
        <f t="shared" si="49"/>
        <v>2.2799999999999995E-7</v>
      </c>
      <c r="E185" s="140">
        <f t="shared" si="49"/>
        <v>3.4199999999999997E-7</v>
      </c>
      <c r="F185" s="140">
        <f t="shared" si="49"/>
        <v>4.5599999999999995E-7</v>
      </c>
      <c r="G185" s="140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6"/>
        <v>9.9999999999999995E-8</v>
      </c>
      <c r="K185" s="140">
        <f t="shared" si="7"/>
        <v>1.1399999999999999E-5</v>
      </c>
      <c r="L185">
        <v>1.1399999999999999</v>
      </c>
      <c r="M185" s="140">
        <f t="shared" si="8"/>
        <v>1.1399999999999996E-7</v>
      </c>
      <c r="N185" s="140">
        <f t="shared" si="9"/>
        <v>2.2799999999999995E-7</v>
      </c>
      <c r="O185" s="140">
        <f t="shared" si="10"/>
        <v>3.4199999999999997E-7</v>
      </c>
      <c r="P185" s="140">
        <f t="shared" si="11"/>
        <v>4.5599999999999995E-7</v>
      </c>
      <c r="Q185" s="140">
        <f t="shared" si="12"/>
        <v>5.6999999999999994E-7</v>
      </c>
      <c r="R185" s="157">
        <f>IF(K185&lt;$B$25*DATA!$H$1037,DATA!$H$1037,IF(K185&gt;DATA!$H$1036*$B$25,DATA!$H$1036,1))</f>
        <v>0.8</v>
      </c>
      <c r="S185" s="156">
        <f t="shared" si="13"/>
        <v>9.9999999999999995E-8</v>
      </c>
      <c r="U185" s="140">
        <f t="shared" si="14"/>
        <v>1.1399999999999999E-5</v>
      </c>
      <c r="V185">
        <v>1.1399999999999999</v>
      </c>
      <c r="W185" s="140">
        <f t="shared" si="15"/>
        <v>1.1399999999999996E-7</v>
      </c>
      <c r="X185" s="140">
        <f t="shared" si="16"/>
        <v>2.2799999999999995E-7</v>
      </c>
      <c r="Y185" s="140">
        <f t="shared" si="17"/>
        <v>3.4199999999999997E-7</v>
      </c>
      <c r="Z185" s="140">
        <f t="shared" si="18"/>
        <v>4.5599999999999995E-7</v>
      </c>
      <c r="AA185" s="140">
        <f t="shared" si="19"/>
        <v>5.6999999999999994E-7</v>
      </c>
      <c r="AB185" s="157">
        <f>IF(U185&lt;$B$41*DATA!$H$1037,DATA!$H$1037,IF(U185&gt;DATA!$H$1036*$B$41,DATA!$H$1036,1))</f>
        <v>0.8</v>
      </c>
      <c r="AC185" s="156">
        <f t="shared" si="20"/>
        <v>9.9999999999999995E-8</v>
      </c>
      <c r="AE185" s="140">
        <f t="shared" si="21"/>
        <v>1.1399999999999999E-5</v>
      </c>
      <c r="AF185">
        <v>1.1399999999999999</v>
      </c>
      <c r="AG185" s="140">
        <f t="shared" si="22"/>
        <v>1.1399999999999996E-7</v>
      </c>
      <c r="AH185" s="140">
        <f t="shared" si="23"/>
        <v>2.2799999999999995E-7</v>
      </c>
      <c r="AI185" s="140">
        <f t="shared" si="24"/>
        <v>3.4199999999999997E-7</v>
      </c>
      <c r="AJ185" s="140">
        <f t="shared" si="25"/>
        <v>4.5599999999999995E-7</v>
      </c>
      <c r="AK185" s="140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27"/>
        <v>9.9999999999999995E-8</v>
      </c>
      <c r="AO185" s="140">
        <f t="shared" si="28"/>
        <v>1.1399999999999999E-5</v>
      </c>
      <c r="AP185">
        <v>1.1399999999999999</v>
      </c>
      <c r="AQ185" s="140">
        <f t="shared" si="29"/>
        <v>1.1399999999999996E-7</v>
      </c>
      <c r="AR185" s="140">
        <f t="shared" si="30"/>
        <v>2.2799999999999995E-7</v>
      </c>
      <c r="AS185" s="140">
        <f t="shared" si="31"/>
        <v>3.4199999999999997E-7</v>
      </c>
      <c r="AT185" s="140">
        <f t="shared" si="32"/>
        <v>4.5599999999999995E-7</v>
      </c>
      <c r="AU185" s="140">
        <f t="shared" si="33"/>
        <v>5.6999999999999994E-7</v>
      </c>
      <c r="AV185" s="157">
        <f>IF(AO185&lt;$B$73*DATA!$H$1037,DATA!$H$1037,IF(AO185&gt;DATA!$H$1036*$B$73,DATA!$H$1036,1))</f>
        <v>1.2</v>
      </c>
      <c r="AW185" s="156">
        <f t="shared" si="34"/>
        <v>9.9999999999999995E-8</v>
      </c>
      <c r="AY185" s="140">
        <f t="shared" si="35"/>
        <v>1.1399999999999999E-5</v>
      </c>
      <c r="AZ185">
        <v>1.1399999999999999</v>
      </c>
      <c r="BA185" s="140">
        <f t="shared" si="36"/>
        <v>1.1399999999999996E-7</v>
      </c>
      <c r="BB185" s="140">
        <f t="shared" si="37"/>
        <v>2.2799999999999995E-7</v>
      </c>
      <c r="BC185" s="140">
        <f t="shared" si="38"/>
        <v>3.4199999999999997E-7</v>
      </c>
      <c r="BD185" s="140">
        <f t="shared" si="39"/>
        <v>4.5599999999999995E-7</v>
      </c>
      <c r="BE185" s="140">
        <f t="shared" si="40"/>
        <v>5.6999999999999994E-7</v>
      </c>
      <c r="BF185" s="157">
        <f>IF(AY185&lt;$B$89*DATA!$H$1037,DATA!$H$1037,IF(AY185&gt;DATA!$H$1036*$B$89,DATA!$H$1036,1))</f>
        <v>1.2</v>
      </c>
      <c r="BG185" s="156">
        <f t="shared" si="41"/>
        <v>9.9999999999999995E-8</v>
      </c>
      <c r="BI185" s="140">
        <f t="shared" si="42"/>
        <v>1.1399999999999999E-5</v>
      </c>
      <c r="BJ185">
        <v>1.1399999999999999</v>
      </c>
      <c r="BK185" s="140">
        <f t="shared" si="43"/>
        <v>1.1399999999999996E-7</v>
      </c>
      <c r="BL185" s="140">
        <f t="shared" si="44"/>
        <v>2.2799999999999995E-7</v>
      </c>
      <c r="BM185" s="140">
        <f t="shared" si="45"/>
        <v>3.4199999999999997E-7</v>
      </c>
      <c r="BN185" s="140">
        <f t="shared" si="46"/>
        <v>4.5599999999999995E-7</v>
      </c>
      <c r="BO185" s="140">
        <f t="shared" si="47"/>
        <v>5.6999999999999994E-7</v>
      </c>
      <c r="BP185" s="157">
        <f>IF(BI185&lt;$B$105*DATA!$H$1037,DATA!$H$1037,IF(BI185&gt;DATA!$H$1036*$B$105,DATA!$H$1036,1))</f>
        <v>1.2</v>
      </c>
      <c r="BQ185" s="156">
        <f t="shared" si="48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49"/>
        <v>1.1599999999999997E-7</v>
      </c>
      <c r="D186" s="140">
        <f t="shared" si="49"/>
        <v>2.3199999999999999E-7</v>
      </c>
      <c r="E186" s="140">
        <f t="shared" si="49"/>
        <v>3.4799999999999999E-7</v>
      </c>
      <c r="F186" s="140">
        <f t="shared" si="49"/>
        <v>4.6400000000000003E-7</v>
      </c>
      <c r="G186" s="140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6"/>
        <v>9.9999999999999995E-8</v>
      </c>
      <c r="K186" s="140">
        <f t="shared" si="7"/>
        <v>1.1600000000000001E-5</v>
      </c>
      <c r="L186">
        <v>1.1599999999999999</v>
      </c>
      <c r="M186" s="140">
        <f t="shared" si="8"/>
        <v>1.1599999999999997E-7</v>
      </c>
      <c r="N186" s="140">
        <f t="shared" si="9"/>
        <v>2.3199999999999999E-7</v>
      </c>
      <c r="O186" s="140">
        <f t="shared" si="10"/>
        <v>3.4799999999999999E-7</v>
      </c>
      <c r="P186" s="140">
        <f t="shared" si="11"/>
        <v>4.6400000000000003E-7</v>
      </c>
      <c r="Q186" s="140">
        <f t="shared" si="12"/>
        <v>5.8000000000000006E-7</v>
      </c>
      <c r="R186" s="157">
        <f>IF(K186&lt;$B$25*DATA!$H$1037,DATA!$H$1037,IF(K186&gt;DATA!$H$1036*$B$25,DATA!$H$1036,1))</f>
        <v>0.8</v>
      </c>
      <c r="S186" s="156">
        <f t="shared" si="13"/>
        <v>9.9999999999999995E-8</v>
      </c>
      <c r="U186" s="140">
        <f t="shared" si="14"/>
        <v>1.1600000000000001E-5</v>
      </c>
      <c r="V186">
        <v>1.1599999999999999</v>
      </c>
      <c r="W186" s="140">
        <f t="shared" si="15"/>
        <v>1.1599999999999997E-7</v>
      </c>
      <c r="X186" s="140">
        <f t="shared" si="16"/>
        <v>2.3199999999999999E-7</v>
      </c>
      <c r="Y186" s="140">
        <f t="shared" si="17"/>
        <v>3.4799999999999999E-7</v>
      </c>
      <c r="Z186" s="140">
        <f t="shared" si="18"/>
        <v>4.6400000000000003E-7</v>
      </c>
      <c r="AA186" s="140">
        <f t="shared" si="19"/>
        <v>5.8000000000000006E-7</v>
      </c>
      <c r="AB186" s="157">
        <f>IF(U186&lt;$B$41*DATA!$H$1037,DATA!$H$1037,IF(U186&gt;DATA!$H$1036*$B$41,DATA!$H$1036,1))</f>
        <v>0.8</v>
      </c>
      <c r="AC186" s="156">
        <f t="shared" si="20"/>
        <v>9.9999999999999995E-8</v>
      </c>
      <c r="AE186" s="140">
        <f t="shared" si="21"/>
        <v>1.1600000000000001E-5</v>
      </c>
      <c r="AF186">
        <v>1.1599999999999999</v>
      </c>
      <c r="AG186" s="140">
        <f t="shared" si="22"/>
        <v>1.1599999999999997E-7</v>
      </c>
      <c r="AH186" s="140">
        <f t="shared" si="23"/>
        <v>2.3199999999999999E-7</v>
      </c>
      <c r="AI186" s="140">
        <f t="shared" si="24"/>
        <v>3.4799999999999999E-7</v>
      </c>
      <c r="AJ186" s="140">
        <f t="shared" si="25"/>
        <v>4.6400000000000003E-7</v>
      </c>
      <c r="AK186" s="140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27"/>
        <v>9.9999999999999995E-8</v>
      </c>
      <c r="AO186" s="140">
        <f t="shared" si="28"/>
        <v>1.1600000000000001E-5</v>
      </c>
      <c r="AP186">
        <v>1.1599999999999999</v>
      </c>
      <c r="AQ186" s="140">
        <f t="shared" si="29"/>
        <v>1.1599999999999997E-7</v>
      </c>
      <c r="AR186" s="140">
        <f t="shared" si="30"/>
        <v>2.3199999999999999E-7</v>
      </c>
      <c r="AS186" s="140">
        <f t="shared" si="31"/>
        <v>3.4799999999999999E-7</v>
      </c>
      <c r="AT186" s="140">
        <f t="shared" si="32"/>
        <v>4.6400000000000003E-7</v>
      </c>
      <c r="AU186" s="140">
        <f t="shared" si="33"/>
        <v>5.8000000000000006E-7</v>
      </c>
      <c r="AV186" s="157">
        <f>IF(AO186&lt;$B$73*DATA!$H$1037,DATA!$H$1037,IF(AO186&gt;DATA!$H$1036*$B$73,DATA!$H$1036,1))</f>
        <v>1.2</v>
      </c>
      <c r="AW186" s="156">
        <f t="shared" si="34"/>
        <v>9.9999999999999995E-8</v>
      </c>
      <c r="AY186" s="140">
        <f t="shared" si="35"/>
        <v>1.1600000000000001E-5</v>
      </c>
      <c r="AZ186">
        <v>1.1599999999999999</v>
      </c>
      <c r="BA186" s="140">
        <f t="shared" si="36"/>
        <v>1.1599999999999997E-7</v>
      </c>
      <c r="BB186" s="140">
        <f t="shared" si="37"/>
        <v>2.3199999999999999E-7</v>
      </c>
      <c r="BC186" s="140">
        <f t="shared" si="38"/>
        <v>3.4799999999999999E-7</v>
      </c>
      <c r="BD186" s="140">
        <f t="shared" si="39"/>
        <v>4.6400000000000003E-7</v>
      </c>
      <c r="BE186" s="140">
        <f t="shared" si="40"/>
        <v>5.8000000000000006E-7</v>
      </c>
      <c r="BF186" s="157">
        <f>IF(AY186&lt;$B$89*DATA!$H$1037,DATA!$H$1037,IF(AY186&gt;DATA!$H$1036*$B$89,DATA!$H$1036,1))</f>
        <v>1.2</v>
      </c>
      <c r="BG186" s="156">
        <f t="shared" si="41"/>
        <v>9.9999999999999995E-8</v>
      </c>
      <c r="BI186" s="140">
        <f t="shared" si="42"/>
        <v>1.1600000000000001E-5</v>
      </c>
      <c r="BJ186">
        <v>1.1599999999999999</v>
      </c>
      <c r="BK186" s="140">
        <f t="shared" si="43"/>
        <v>1.1599999999999997E-7</v>
      </c>
      <c r="BL186" s="140">
        <f t="shared" si="44"/>
        <v>2.3199999999999999E-7</v>
      </c>
      <c r="BM186" s="140">
        <f t="shared" si="45"/>
        <v>3.4799999999999999E-7</v>
      </c>
      <c r="BN186" s="140">
        <f t="shared" si="46"/>
        <v>4.6400000000000003E-7</v>
      </c>
      <c r="BO186" s="140">
        <f t="shared" si="47"/>
        <v>5.8000000000000006E-7</v>
      </c>
      <c r="BP186" s="157">
        <f>IF(BI186&lt;$B$105*DATA!$H$1037,DATA!$H$1037,IF(BI186&gt;DATA!$H$1036*$B$105,DATA!$H$1036,1))</f>
        <v>1.2</v>
      </c>
      <c r="BQ186" s="156">
        <f t="shared" si="48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49"/>
        <v>1.1799999999999997E-7</v>
      </c>
      <c r="D187" s="140">
        <f t="shared" si="49"/>
        <v>2.3599999999999997E-7</v>
      </c>
      <c r="E187" s="140">
        <f t="shared" si="49"/>
        <v>3.5400000000000002E-7</v>
      </c>
      <c r="F187" s="140">
        <f t="shared" si="49"/>
        <v>4.7200000000000004E-7</v>
      </c>
      <c r="G187" s="140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6"/>
        <v>9.9999999999999995E-8</v>
      </c>
      <c r="K187" s="140">
        <f t="shared" si="7"/>
        <v>1.1800000000000001E-5</v>
      </c>
      <c r="L187">
        <v>1.18</v>
      </c>
      <c r="M187" s="140">
        <f t="shared" si="8"/>
        <v>1.1799999999999997E-7</v>
      </c>
      <c r="N187" s="140">
        <f t="shared" si="9"/>
        <v>2.3599999999999997E-7</v>
      </c>
      <c r="O187" s="140">
        <f t="shared" si="10"/>
        <v>3.5400000000000002E-7</v>
      </c>
      <c r="P187" s="140">
        <f t="shared" si="11"/>
        <v>4.7200000000000004E-7</v>
      </c>
      <c r="Q187" s="140">
        <f t="shared" si="12"/>
        <v>5.9000000000000007E-7</v>
      </c>
      <c r="R187" s="157">
        <f>IF(K187&lt;$B$25*DATA!$H$1037,DATA!$H$1037,IF(K187&gt;DATA!$H$1036*$B$25,DATA!$H$1036,1))</f>
        <v>0.8</v>
      </c>
      <c r="S187" s="156">
        <f t="shared" si="13"/>
        <v>9.9999999999999995E-8</v>
      </c>
      <c r="U187" s="140">
        <f t="shared" si="14"/>
        <v>1.1800000000000001E-5</v>
      </c>
      <c r="V187">
        <v>1.18</v>
      </c>
      <c r="W187" s="140">
        <f t="shared" si="15"/>
        <v>1.1799999999999997E-7</v>
      </c>
      <c r="X187" s="140">
        <f t="shared" si="16"/>
        <v>2.3599999999999997E-7</v>
      </c>
      <c r="Y187" s="140">
        <f t="shared" si="17"/>
        <v>3.5400000000000002E-7</v>
      </c>
      <c r="Z187" s="140">
        <f t="shared" si="18"/>
        <v>4.7200000000000004E-7</v>
      </c>
      <c r="AA187" s="140">
        <f t="shared" si="19"/>
        <v>5.9000000000000007E-7</v>
      </c>
      <c r="AB187" s="157">
        <f>IF(U187&lt;$B$41*DATA!$H$1037,DATA!$H$1037,IF(U187&gt;DATA!$H$1036*$B$41,DATA!$H$1036,1))</f>
        <v>0.8</v>
      </c>
      <c r="AC187" s="156">
        <f t="shared" si="20"/>
        <v>9.9999999999999995E-8</v>
      </c>
      <c r="AE187" s="140">
        <f t="shared" si="21"/>
        <v>1.1800000000000001E-5</v>
      </c>
      <c r="AF187">
        <v>1.18</v>
      </c>
      <c r="AG187" s="140">
        <f t="shared" si="22"/>
        <v>1.1799999999999997E-7</v>
      </c>
      <c r="AH187" s="140">
        <f t="shared" si="23"/>
        <v>2.3599999999999997E-7</v>
      </c>
      <c r="AI187" s="140">
        <f t="shared" si="24"/>
        <v>3.5400000000000002E-7</v>
      </c>
      <c r="AJ187" s="140">
        <f t="shared" si="25"/>
        <v>4.7200000000000004E-7</v>
      </c>
      <c r="AK187" s="140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27"/>
        <v>9.9999999999999995E-8</v>
      </c>
      <c r="AO187" s="140">
        <f t="shared" si="28"/>
        <v>1.1800000000000001E-5</v>
      </c>
      <c r="AP187">
        <v>1.18</v>
      </c>
      <c r="AQ187" s="140">
        <f t="shared" si="29"/>
        <v>1.1799999999999997E-7</v>
      </c>
      <c r="AR187" s="140">
        <f t="shared" si="30"/>
        <v>2.3599999999999997E-7</v>
      </c>
      <c r="AS187" s="140">
        <f t="shared" si="31"/>
        <v>3.5400000000000002E-7</v>
      </c>
      <c r="AT187" s="140">
        <f t="shared" si="32"/>
        <v>4.7200000000000004E-7</v>
      </c>
      <c r="AU187" s="140">
        <f t="shared" si="33"/>
        <v>5.9000000000000007E-7</v>
      </c>
      <c r="AV187" s="157">
        <f>IF(AO187&lt;$B$73*DATA!$H$1037,DATA!$H$1037,IF(AO187&gt;DATA!$H$1036*$B$73,DATA!$H$1036,1))</f>
        <v>1.2</v>
      </c>
      <c r="AW187" s="156">
        <f t="shared" si="34"/>
        <v>9.9999999999999995E-8</v>
      </c>
      <c r="AY187" s="140">
        <f t="shared" si="35"/>
        <v>1.1800000000000001E-5</v>
      </c>
      <c r="AZ187">
        <v>1.18</v>
      </c>
      <c r="BA187" s="140">
        <f t="shared" si="36"/>
        <v>1.1799999999999997E-7</v>
      </c>
      <c r="BB187" s="140">
        <f t="shared" si="37"/>
        <v>2.3599999999999997E-7</v>
      </c>
      <c r="BC187" s="140">
        <f t="shared" si="38"/>
        <v>3.5400000000000002E-7</v>
      </c>
      <c r="BD187" s="140">
        <f t="shared" si="39"/>
        <v>4.7200000000000004E-7</v>
      </c>
      <c r="BE187" s="140">
        <f t="shared" si="40"/>
        <v>5.9000000000000007E-7</v>
      </c>
      <c r="BF187" s="157">
        <f>IF(AY187&lt;$B$89*DATA!$H$1037,DATA!$H$1037,IF(AY187&gt;DATA!$H$1036*$B$89,DATA!$H$1036,1))</f>
        <v>1.2</v>
      </c>
      <c r="BG187" s="156">
        <f t="shared" si="41"/>
        <v>9.9999999999999995E-8</v>
      </c>
      <c r="BI187" s="140">
        <f t="shared" si="42"/>
        <v>1.1800000000000001E-5</v>
      </c>
      <c r="BJ187">
        <v>1.18</v>
      </c>
      <c r="BK187" s="140">
        <f t="shared" si="43"/>
        <v>1.1799999999999997E-7</v>
      </c>
      <c r="BL187" s="140">
        <f t="shared" si="44"/>
        <v>2.3599999999999997E-7</v>
      </c>
      <c r="BM187" s="140">
        <f t="shared" si="45"/>
        <v>3.5400000000000002E-7</v>
      </c>
      <c r="BN187" s="140">
        <f t="shared" si="46"/>
        <v>4.7200000000000004E-7</v>
      </c>
      <c r="BO187" s="140">
        <f t="shared" si="47"/>
        <v>5.9000000000000007E-7</v>
      </c>
      <c r="BP187" s="157">
        <f>IF(BI187&lt;$B$105*DATA!$H$1037,DATA!$H$1037,IF(BI187&gt;DATA!$H$1036*$B$105,DATA!$H$1036,1))</f>
        <v>1.2</v>
      </c>
      <c r="BQ187" s="156">
        <f t="shared" si="48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49"/>
        <v>1.1999999999999996E-7</v>
      </c>
      <c r="D188" s="140">
        <f t="shared" si="49"/>
        <v>2.3999999999999998E-7</v>
      </c>
      <c r="E188" s="140">
        <f t="shared" si="49"/>
        <v>3.5999999999999999E-7</v>
      </c>
      <c r="F188" s="140">
        <f t="shared" si="49"/>
        <v>4.8000000000000006E-7</v>
      </c>
      <c r="G188" s="140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6"/>
        <v>9.9999999999999995E-8</v>
      </c>
      <c r="K188" s="140">
        <f t="shared" si="7"/>
        <v>1.2E-5</v>
      </c>
      <c r="L188">
        <v>1.2</v>
      </c>
      <c r="M188" s="140">
        <f t="shared" si="8"/>
        <v>1.1999999999999996E-7</v>
      </c>
      <c r="N188" s="140">
        <f t="shared" si="9"/>
        <v>2.3999999999999998E-7</v>
      </c>
      <c r="O188" s="140">
        <f t="shared" si="10"/>
        <v>3.5999999999999999E-7</v>
      </c>
      <c r="P188" s="140">
        <f t="shared" si="11"/>
        <v>4.8000000000000006E-7</v>
      </c>
      <c r="Q188" s="140">
        <f t="shared" si="12"/>
        <v>6.0000000000000008E-7</v>
      </c>
      <c r="R188" s="157">
        <f>IF(K188&lt;$B$25*DATA!$H$1037,DATA!$H$1037,IF(K188&gt;DATA!$H$1036*$B$25,DATA!$H$1036,1))</f>
        <v>0.8</v>
      </c>
      <c r="S188" s="156">
        <f t="shared" si="13"/>
        <v>9.9999999999999995E-8</v>
      </c>
      <c r="U188" s="140">
        <f t="shared" si="14"/>
        <v>1.2E-5</v>
      </c>
      <c r="V188">
        <v>1.2</v>
      </c>
      <c r="W188" s="140">
        <f t="shared" si="15"/>
        <v>1.1999999999999996E-7</v>
      </c>
      <c r="X188" s="140">
        <f t="shared" si="16"/>
        <v>2.3999999999999998E-7</v>
      </c>
      <c r="Y188" s="140">
        <f t="shared" si="17"/>
        <v>3.5999999999999999E-7</v>
      </c>
      <c r="Z188" s="140">
        <f t="shared" si="18"/>
        <v>4.8000000000000006E-7</v>
      </c>
      <c r="AA188" s="140">
        <f t="shared" si="19"/>
        <v>6.0000000000000008E-7</v>
      </c>
      <c r="AB188" s="157">
        <f>IF(U188&lt;$B$41*DATA!$H$1037,DATA!$H$1037,IF(U188&gt;DATA!$H$1036*$B$41,DATA!$H$1036,1))</f>
        <v>0.8</v>
      </c>
      <c r="AC188" s="156">
        <f t="shared" si="20"/>
        <v>9.9999999999999995E-8</v>
      </c>
      <c r="AE188" s="140">
        <f t="shared" si="21"/>
        <v>1.2E-5</v>
      </c>
      <c r="AF188">
        <v>1.2</v>
      </c>
      <c r="AG188" s="140">
        <f t="shared" si="22"/>
        <v>1.1999999999999996E-7</v>
      </c>
      <c r="AH188" s="140">
        <f t="shared" si="23"/>
        <v>2.3999999999999998E-7</v>
      </c>
      <c r="AI188" s="140">
        <f t="shared" si="24"/>
        <v>3.5999999999999999E-7</v>
      </c>
      <c r="AJ188" s="140">
        <f t="shared" si="25"/>
        <v>4.8000000000000006E-7</v>
      </c>
      <c r="AK188" s="140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27"/>
        <v>9.9999999999999995E-8</v>
      </c>
      <c r="AO188" s="140">
        <f t="shared" si="28"/>
        <v>1.2E-5</v>
      </c>
      <c r="AP188">
        <v>1.2</v>
      </c>
      <c r="AQ188" s="140">
        <f t="shared" si="29"/>
        <v>1.1999999999999996E-7</v>
      </c>
      <c r="AR188" s="140">
        <f t="shared" si="30"/>
        <v>2.3999999999999998E-7</v>
      </c>
      <c r="AS188" s="140">
        <f t="shared" si="31"/>
        <v>3.5999999999999999E-7</v>
      </c>
      <c r="AT188" s="140">
        <f t="shared" si="32"/>
        <v>4.8000000000000006E-7</v>
      </c>
      <c r="AU188" s="140">
        <f t="shared" si="33"/>
        <v>6.0000000000000008E-7</v>
      </c>
      <c r="AV188" s="157">
        <f>IF(AO188&lt;$B$73*DATA!$H$1037,DATA!$H$1037,IF(AO188&gt;DATA!$H$1036*$B$73,DATA!$H$1036,1))</f>
        <v>1.2</v>
      </c>
      <c r="AW188" s="156">
        <f t="shared" si="34"/>
        <v>9.9999999999999995E-8</v>
      </c>
      <c r="AY188" s="140">
        <f t="shared" si="35"/>
        <v>1.2E-5</v>
      </c>
      <c r="AZ188">
        <v>1.2</v>
      </c>
      <c r="BA188" s="140">
        <f t="shared" si="36"/>
        <v>1.1999999999999996E-7</v>
      </c>
      <c r="BB188" s="140">
        <f t="shared" si="37"/>
        <v>2.3999999999999998E-7</v>
      </c>
      <c r="BC188" s="140">
        <f t="shared" si="38"/>
        <v>3.5999999999999999E-7</v>
      </c>
      <c r="BD188" s="140">
        <f t="shared" si="39"/>
        <v>4.8000000000000006E-7</v>
      </c>
      <c r="BE188" s="140">
        <f t="shared" si="40"/>
        <v>6.0000000000000008E-7</v>
      </c>
      <c r="BF188" s="157">
        <f>IF(AY188&lt;$B$89*DATA!$H$1037,DATA!$H$1037,IF(AY188&gt;DATA!$H$1036*$B$89,DATA!$H$1036,1))</f>
        <v>1.2</v>
      </c>
      <c r="BG188" s="156">
        <f t="shared" si="41"/>
        <v>9.9999999999999995E-8</v>
      </c>
      <c r="BI188" s="140">
        <f t="shared" si="42"/>
        <v>1.2E-5</v>
      </c>
      <c r="BJ188">
        <v>1.2</v>
      </c>
      <c r="BK188" s="140">
        <f t="shared" si="43"/>
        <v>1.1999999999999996E-7</v>
      </c>
      <c r="BL188" s="140">
        <f t="shared" si="44"/>
        <v>2.3999999999999998E-7</v>
      </c>
      <c r="BM188" s="140">
        <f t="shared" si="45"/>
        <v>3.5999999999999999E-7</v>
      </c>
      <c r="BN188" s="140">
        <f t="shared" si="46"/>
        <v>4.8000000000000006E-7</v>
      </c>
      <c r="BO188" s="140">
        <f t="shared" si="47"/>
        <v>6.0000000000000008E-7</v>
      </c>
      <c r="BP188" s="157">
        <f>IF(BI188&lt;$B$105*DATA!$H$1037,DATA!$H$1037,IF(BI188&gt;DATA!$H$1036*$B$105,DATA!$H$1036,1))</f>
        <v>1.2</v>
      </c>
      <c r="BQ188" s="156">
        <f t="shared" si="48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49"/>
        <v>1.2199999999999995E-7</v>
      </c>
      <c r="D189" s="140">
        <f t="shared" si="49"/>
        <v>2.4399999999999996E-7</v>
      </c>
      <c r="E189" s="140">
        <f t="shared" si="49"/>
        <v>3.6599999999999997E-7</v>
      </c>
      <c r="F189" s="140">
        <f t="shared" si="49"/>
        <v>4.8800000000000003E-7</v>
      </c>
      <c r="G189" s="140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6"/>
        <v>9.9999999999999995E-8</v>
      </c>
      <c r="K189" s="140">
        <f t="shared" si="7"/>
        <v>1.22E-5</v>
      </c>
      <c r="L189">
        <v>1.22</v>
      </c>
      <c r="M189" s="140">
        <f t="shared" si="8"/>
        <v>1.2199999999999995E-7</v>
      </c>
      <c r="N189" s="140">
        <f t="shared" si="9"/>
        <v>2.4399999999999996E-7</v>
      </c>
      <c r="O189" s="140">
        <f t="shared" si="10"/>
        <v>3.6599999999999997E-7</v>
      </c>
      <c r="P189" s="140">
        <f t="shared" si="11"/>
        <v>4.8800000000000003E-7</v>
      </c>
      <c r="Q189" s="140">
        <f t="shared" si="12"/>
        <v>6.1000000000000009E-7</v>
      </c>
      <c r="R189" s="157">
        <f>IF(K189&lt;$B$25*DATA!$H$1037,DATA!$H$1037,IF(K189&gt;DATA!$H$1036*$B$25,DATA!$H$1036,1))</f>
        <v>0.8</v>
      </c>
      <c r="S189" s="156">
        <f t="shared" si="13"/>
        <v>9.9999999999999995E-8</v>
      </c>
      <c r="U189" s="140">
        <f t="shared" si="14"/>
        <v>1.22E-5</v>
      </c>
      <c r="V189">
        <v>1.22</v>
      </c>
      <c r="W189" s="140">
        <f t="shared" si="15"/>
        <v>1.2199999999999995E-7</v>
      </c>
      <c r="X189" s="140">
        <f t="shared" si="16"/>
        <v>2.4399999999999996E-7</v>
      </c>
      <c r="Y189" s="140">
        <f t="shared" si="17"/>
        <v>3.6599999999999997E-7</v>
      </c>
      <c r="Z189" s="140">
        <f t="shared" si="18"/>
        <v>4.8800000000000003E-7</v>
      </c>
      <c r="AA189" s="140">
        <f t="shared" si="19"/>
        <v>6.1000000000000009E-7</v>
      </c>
      <c r="AB189" s="157">
        <f>IF(U189&lt;$B$41*DATA!$H$1037,DATA!$H$1037,IF(U189&gt;DATA!$H$1036*$B$41,DATA!$H$1036,1))</f>
        <v>0.8</v>
      </c>
      <c r="AC189" s="156">
        <f t="shared" si="20"/>
        <v>9.9999999999999995E-8</v>
      </c>
      <c r="AE189" s="140">
        <f t="shared" si="21"/>
        <v>1.22E-5</v>
      </c>
      <c r="AF189">
        <v>1.22</v>
      </c>
      <c r="AG189" s="140">
        <f t="shared" si="22"/>
        <v>1.2199999999999995E-7</v>
      </c>
      <c r="AH189" s="140">
        <f t="shared" si="23"/>
        <v>2.4399999999999996E-7</v>
      </c>
      <c r="AI189" s="140">
        <f t="shared" si="24"/>
        <v>3.6599999999999997E-7</v>
      </c>
      <c r="AJ189" s="140">
        <f t="shared" si="25"/>
        <v>4.8800000000000003E-7</v>
      </c>
      <c r="AK189" s="140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27"/>
        <v>9.9999999999999995E-8</v>
      </c>
      <c r="AO189" s="140">
        <f t="shared" si="28"/>
        <v>1.22E-5</v>
      </c>
      <c r="AP189">
        <v>1.22</v>
      </c>
      <c r="AQ189" s="140">
        <f t="shared" si="29"/>
        <v>1.2199999999999995E-7</v>
      </c>
      <c r="AR189" s="140">
        <f t="shared" si="30"/>
        <v>2.4399999999999996E-7</v>
      </c>
      <c r="AS189" s="140">
        <f t="shared" si="31"/>
        <v>3.6599999999999997E-7</v>
      </c>
      <c r="AT189" s="140">
        <f t="shared" si="32"/>
        <v>4.8800000000000003E-7</v>
      </c>
      <c r="AU189" s="140">
        <f t="shared" si="33"/>
        <v>6.1000000000000009E-7</v>
      </c>
      <c r="AV189" s="157">
        <f>IF(AO189&lt;$B$73*DATA!$H$1037,DATA!$H$1037,IF(AO189&gt;DATA!$H$1036*$B$73,DATA!$H$1036,1))</f>
        <v>1.2</v>
      </c>
      <c r="AW189" s="156">
        <f t="shared" si="34"/>
        <v>9.9999999999999995E-8</v>
      </c>
      <c r="AY189" s="140">
        <f t="shared" si="35"/>
        <v>1.22E-5</v>
      </c>
      <c r="AZ189">
        <v>1.22</v>
      </c>
      <c r="BA189" s="140">
        <f t="shared" si="36"/>
        <v>1.2199999999999995E-7</v>
      </c>
      <c r="BB189" s="140">
        <f t="shared" si="37"/>
        <v>2.4399999999999996E-7</v>
      </c>
      <c r="BC189" s="140">
        <f t="shared" si="38"/>
        <v>3.6599999999999997E-7</v>
      </c>
      <c r="BD189" s="140">
        <f t="shared" si="39"/>
        <v>4.8800000000000003E-7</v>
      </c>
      <c r="BE189" s="140">
        <f t="shared" si="40"/>
        <v>6.1000000000000009E-7</v>
      </c>
      <c r="BF189" s="157">
        <f>IF(AY189&lt;$B$89*DATA!$H$1037,DATA!$H$1037,IF(AY189&gt;DATA!$H$1036*$B$89,DATA!$H$1036,1))</f>
        <v>1.2</v>
      </c>
      <c r="BG189" s="156">
        <f t="shared" si="41"/>
        <v>9.9999999999999995E-8</v>
      </c>
      <c r="BI189" s="140">
        <f t="shared" si="42"/>
        <v>1.22E-5</v>
      </c>
      <c r="BJ189">
        <v>1.22</v>
      </c>
      <c r="BK189" s="140">
        <f t="shared" si="43"/>
        <v>1.2199999999999995E-7</v>
      </c>
      <c r="BL189" s="140">
        <f t="shared" si="44"/>
        <v>2.4399999999999996E-7</v>
      </c>
      <c r="BM189" s="140">
        <f t="shared" si="45"/>
        <v>3.6599999999999997E-7</v>
      </c>
      <c r="BN189" s="140">
        <f t="shared" si="46"/>
        <v>4.8800000000000003E-7</v>
      </c>
      <c r="BO189" s="140">
        <f t="shared" si="47"/>
        <v>6.1000000000000009E-7</v>
      </c>
      <c r="BP189" s="157">
        <f>IF(BI189&lt;$B$105*DATA!$H$1037,DATA!$H$1037,IF(BI189&gt;DATA!$H$1036*$B$105,DATA!$H$1036,1))</f>
        <v>1.2</v>
      </c>
      <c r="BQ189" s="156">
        <f t="shared" si="48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49"/>
        <v>1.2399999999999997E-7</v>
      </c>
      <c r="D190" s="140">
        <f t="shared" si="49"/>
        <v>2.48E-7</v>
      </c>
      <c r="E190" s="140">
        <f t="shared" si="49"/>
        <v>3.7200000000000005E-7</v>
      </c>
      <c r="F190" s="140">
        <f t="shared" si="49"/>
        <v>4.960000000000001E-7</v>
      </c>
      <c r="G190" s="140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6"/>
        <v>9.9999999999999995E-8</v>
      </c>
      <c r="K190" s="140">
        <f t="shared" si="7"/>
        <v>1.2400000000000002E-5</v>
      </c>
      <c r="L190">
        <v>1.24</v>
      </c>
      <c r="M190" s="140">
        <f t="shared" si="8"/>
        <v>1.2399999999999997E-7</v>
      </c>
      <c r="N190" s="140">
        <f t="shared" si="9"/>
        <v>2.48E-7</v>
      </c>
      <c r="O190" s="140">
        <f t="shared" si="10"/>
        <v>3.7200000000000005E-7</v>
      </c>
      <c r="P190" s="140">
        <f t="shared" si="11"/>
        <v>4.960000000000001E-7</v>
      </c>
      <c r="Q190" s="140">
        <f t="shared" si="12"/>
        <v>6.200000000000001E-7</v>
      </c>
      <c r="R190" s="157">
        <f>IF(K190&lt;$B$25*DATA!$H$1037,DATA!$H$1037,IF(K190&gt;DATA!$H$1036*$B$25,DATA!$H$1036,1))</f>
        <v>0.8</v>
      </c>
      <c r="S190" s="156">
        <f t="shared" si="13"/>
        <v>9.9999999999999995E-8</v>
      </c>
      <c r="U190" s="140">
        <f t="shared" si="14"/>
        <v>1.2400000000000002E-5</v>
      </c>
      <c r="V190">
        <v>1.24</v>
      </c>
      <c r="W190" s="140">
        <f t="shared" si="15"/>
        <v>1.2399999999999997E-7</v>
      </c>
      <c r="X190" s="140">
        <f t="shared" si="16"/>
        <v>2.48E-7</v>
      </c>
      <c r="Y190" s="140">
        <f t="shared" si="17"/>
        <v>3.7200000000000005E-7</v>
      </c>
      <c r="Z190" s="140">
        <f t="shared" si="18"/>
        <v>4.960000000000001E-7</v>
      </c>
      <c r="AA190" s="140">
        <f t="shared" si="19"/>
        <v>6.200000000000001E-7</v>
      </c>
      <c r="AB190" s="157">
        <f>IF(U190&lt;$B$41*DATA!$H$1037,DATA!$H$1037,IF(U190&gt;DATA!$H$1036*$B$41,DATA!$H$1036,1))</f>
        <v>0.8</v>
      </c>
      <c r="AC190" s="156">
        <f t="shared" si="20"/>
        <v>9.9999999999999995E-8</v>
      </c>
      <c r="AE190" s="140">
        <f t="shared" si="21"/>
        <v>1.2400000000000002E-5</v>
      </c>
      <c r="AF190">
        <v>1.24</v>
      </c>
      <c r="AG190" s="140">
        <f t="shared" si="22"/>
        <v>1.2399999999999997E-7</v>
      </c>
      <c r="AH190" s="140">
        <f t="shared" si="23"/>
        <v>2.48E-7</v>
      </c>
      <c r="AI190" s="140">
        <f t="shared" si="24"/>
        <v>3.7200000000000005E-7</v>
      </c>
      <c r="AJ190" s="140">
        <f t="shared" si="25"/>
        <v>4.960000000000001E-7</v>
      </c>
      <c r="AK190" s="140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27"/>
        <v>9.9999999999999995E-8</v>
      </c>
      <c r="AO190" s="140">
        <f t="shared" si="28"/>
        <v>1.2400000000000002E-5</v>
      </c>
      <c r="AP190">
        <v>1.24</v>
      </c>
      <c r="AQ190" s="140">
        <f t="shared" si="29"/>
        <v>1.2399999999999997E-7</v>
      </c>
      <c r="AR190" s="140">
        <f t="shared" si="30"/>
        <v>2.48E-7</v>
      </c>
      <c r="AS190" s="140">
        <f t="shared" si="31"/>
        <v>3.7200000000000005E-7</v>
      </c>
      <c r="AT190" s="140">
        <f t="shared" si="32"/>
        <v>4.960000000000001E-7</v>
      </c>
      <c r="AU190" s="140">
        <f t="shared" si="33"/>
        <v>6.200000000000001E-7</v>
      </c>
      <c r="AV190" s="157">
        <f>IF(AO190&lt;$B$73*DATA!$H$1037,DATA!$H$1037,IF(AO190&gt;DATA!$H$1036*$B$73,DATA!$H$1036,1))</f>
        <v>1.2</v>
      </c>
      <c r="AW190" s="156">
        <f t="shared" si="34"/>
        <v>9.9999999999999995E-8</v>
      </c>
      <c r="AY190" s="140">
        <f t="shared" si="35"/>
        <v>1.2400000000000002E-5</v>
      </c>
      <c r="AZ190">
        <v>1.24</v>
      </c>
      <c r="BA190" s="140">
        <f t="shared" si="36"/>
        <v>1.2399999999999997E-7</v>
      </c>
      <c r="BB190" s="140">
        <f t="shared" si="37"/>
        <v>2.48E-7</v>
      </c>
      <c r="BC190" s="140">
        <f t="shared" si="38"/>
        <v>3.7200000000000005E-7</v>
      </c>
      <c r="BD190" s="140">
        <f t="shared" si="39"/>
        <v>4.960000000000001E-7</v>
      </c>
      <c r="BE190" s="140">
        <f t="shared" si="40"/>
        <v>6.200000000000001E-7</v>
      </c>
      <c r="BF190" s="157">
        <f>IF(AY190&lt;$B$89*DATA!$H$1037,DATA!$H$1037,IF(AY190&gt;DATA!$H$1036*$B$89,DATA!$H$1036,1))</f>
        <v>1.2</v>
      </c>
      <c r="BG190" s="156">
        <f t="shared" si="41"/>
        <v>9.9999999999999995E-8</v>
      </c>
      <c r="BI190" s="140">
        <f t="shared" si="42"/>
        <v>1.2400000000000002E-5</v>
      </c>
      <c r="BJ190">
        <v>1.24</v>
      </c>
      <c r="BK190" s="140">
        <f t="shared" si="43"/>
        <v>1.2399999999999997E-7</v>
      </c>
      <c r="BL190" s="140">
        <f t="shared" si="44"/>
        <v>2.48E-7</v>
      </c>
      <c r="BM190" s="140">
        <f t="shared" si="45"/>
        <v>3.7200000000000005E-7</v>
      </c>
      <c r="BN190" s="140">
        <f t="shared" si="46"/>
        <v>4.960000000000001E-7</v>
      </c>
      <c r="BO190" s="140">
        <f t="shared" si="47"/>
        <v>6.200000000000001E-7</v>
      </c>
      <c r="BP190" s="157">
        <f>IF(BI190&lt;$B$105*DATA!$H$1037,DATA!$H$1037,IF(BI190&gt;DATA!$H$1036*$B$105,DATA!$H$1036,1))</f>
        <v>1.2</v>
      </c>
      <c r="BQ190" s="156">
        <f t="shared" si="48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si="49"/>
        <v>1.2599999999999996E-7</v>
      </c>
      <c r="D191" s="140">
        <f t="shared" si="49"/>
        <v>2.5199999999999998E-7</v>
      </c>
      <c r="E191" s="140">
        <f t="shared" si="49"/>
        <v>3.7800000000000002E-7</v>
      </c>
      <c r="F191" s="140">
        <f t="shared" si="49"/>
        <v>5.0400000000000007E-7</v>
      </c>
      <c r="G191" s="140">
        <f t="shared" si="49"/>
        <v>6.3000000000000011E-7</v>
      </c>
      <c r="H191" s="157">
        <f>IF(A191&lt;$B$9*DATA!$H$1037,DATA!$H$1037,IF(A191&gt;DATA!$H$1036*$B$9,DATA!$H$1036,1))</f>
        <v>0.8</v>
      </c>
      <c r="I191" s="156">
        <f t="shared" si="6"/>
        <v>9.9999999999999995E-8</v>
      </c>
      <c r="K191" s="140">
        <f t="shared" si="7"/>
        <v>1.2600000000000001E-5</v>
      </c>
      <c r="L191">
        <v>1.26</v>
      </c>
      <c r="M191" s="140">
        <f t="shared" si="8"/>
        <v>1.2599999999999996E-7</v>
      </c>
      <c r="N191" s="140">
        <f t="shared" si="9"/>
        <v>2.5199999999999998E-7</v>
      </c>
      <c r="O191" s="140">
        <f t="shared" si="10"/>
        <v>3.7800000000000002E-7</v>
      </c>
      <c r="P191" s="140">
        <f t="shared" si="11"/>
        <v>5.0400000000000007E-7</v>
      </c>
      <c r="Q191" s="140">
        <f t="shared" si="12"/>
        <v>6.3000000000000011E-7</v>
      </c>
      <c r="R191" s="157">
        <f>IF(K191&lt;$B$25*DATA!$H$1037,DATA!$H$1037,IF(K191&gt;DATA!$H$1036*$B$25,DATA!$H$1036,1))</f>
        <v>0.8</v>
      </c>
      <c r="S191" s="156">
        <f t="shared" si="13"/>
        <v>9.9999999999999995E-8</v>
      </c>
      <c r="U191" s="140">
        <f t="shared" si="14"/>
        <v>1.2600000000000001E-5</v>
      </c>
      <c r="V191">
        <v>1.26</v>
      </c>
      <c r="W191" s="140">
        <f t="shared" si="15"/>
        <v>1.2599999999999996E-7</v>
      </c>
      <c r="X191" s="140">
        <f t="shared" si="16"/>
        <v>2.5199999999999998E-7</v>
      </c>
      <c r="Y191" s="140">
        <f t="shared" si="17"/>
        <v>3.7800000000000002E-7</v>
      </c>
      <c r="Z191" s="140">
        <f t="shared" si="18"/>
        <v>5.0400000000000007E-7</v>
      </c>
      <c r="AA191" s="140">
        <f t="shared" si="19"/>
        <v>6.3000000000000011E-7</v>
      </c>
      <c r="AB191" s="157">
        <f>IF(U191&lt;$B$41*DATA!$H$1037,DATA!$H$1037,IF(U191&gt;DATA!$H$1036*$B$41,DATA!$H$1036,1))</f>
        <v>0.8</v>
      </c>
      <c r="AC191" s="156">
        <f t="shared" si="20"/>
        <v>9.9999999999999995E-8</v>
      </c>
      <c r="AE191" s="140">
        <f t="shared" si="21"/>
        <v>1.2600000000000001E-5</v>
      </c>
      <c r="AF191">
        <v>1.26</v>
      </c>
      <c r="AG191" s="140">
        <f t="shared" si="22"/>
        <v>1.2599999999999996E-7</v>
      </c>
      <c r="AH191" s="140">
        <f t="shared" si="23"/>
        <v>2.5199999999999998E-7</v>
      </c>
      <c r="AI191" s="140">
        <f t="shared" si="24"/>
        <v>3.7800000000000002E-7</v>
      </c>
      <c r="AJ191" s="140">
        <f t="shared" si="25"/>
        <v>5.0400000000000007E-7</v>
      </c>
      <c r="AK191" s="140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27"/>
        <v>9.9999999999999995E-8</v>
      </c>
      <c r="AO191" s="140">
        <f t="shared" si="28"/>
        <v>1.2600000000000001E-5</v>
      </c>
      <c r="AP191">
        <v>1.26</v>
      </c>
      <c r="AQ191" s="140">
        <f t="shared" si="29"/>
        <v>1.2599999999999996E-7</v>
      </c>
      <c r="AR191" s="140">
        <f t="shared" si="30"/>
        <v>2.5199999999999998E-7</v>
      </c>
      <c r="AS191" s="140">
        <f t="shared" si="31"/>
        <v>3.7800000000000002E-7</v>
      </c>
      <c r="AT191" s="140">
        <f t="shared" si="32"/>
        <v>5.0400000000000007E-7</v>
      </c>
      <c r="AU191" s="140">
        <f t="shared" si="33"/>
        <v>6.3000000000000011E-7</v>
      </c>
      <c r="AV191" s="157">
        <f>IF(AO191&lt;$B$73*DATA!$H$1037,DATA!$H$1037,IF(AO191&gt;DATA!$H$1036*$B$73,DATA!$H$1036,1))</f>
        <v>1.2</v>
      </c>
      <c r="AW191" s="156">
        <f t="shared" si="34"/>
        <v>9.9999999999999995E-8</v>
      </c>
      <c r="AY191" s="140">
        <f t="shared" si="35"/>
        <v>1.2600000000000001E-5</v>
      </c>
      <c r="AZ191">
        <v>1.26</v>
      </c>
      <c r="BA191" s="140">
        <f t="shared" si="36"/>
        <v>1.2599999999999996E-7</v>
      </c>
      <c r="BB191" s="140">
        <f t="shared" si="37"/>
        <v>2.5199999999999998E-7</v>
      </c>
      <c r="BC191" s="140">
        <f t="shared" si="38"/>
        <v>3.7800000000000002E-7</v>
      </c>
      <c r="BD191" s="140">
        <f t="shared" si="39"/>
        <v>5.0400000000000007E-7</v>
      </c>
      <c r="BE191" s="140">
        <f t="shared" si="40"/>
        <v>6.3000000000000011E-7</v>
      </c>
      <c r="BF191" s="157">
        <f>IF(AY191&lt;$B$89*DATA!$H$1037,DATA!$H$1037,IF(AY191&gt;DATA!$H$1036*$B$89,DATA!$H$1036,1))</f>
        <v>1.2</v>
      </c>
      <c r="BG191" s="156">
        <f t="shared" si="41"/>
        <v>9.9999999999999995E-8</v>
      </c>
      <c r="BI191" s="140">
        <f t="shared" si="42"/>
        <v>1.2600000000000001E-5</v>
      </c>
      <c r="BJ191">
        <v>1.26</v>
      </c>
      <c r="BK191" s="140">
        <f t="shared" si="43"/>
        <v>1.2599999999999996E-7</v>
      </c>
      <c r="BL191" s="140">
        <f t="shared" si="44"/>
        <v>2.5199999999999998E-7</v>
      </c>
      <c r="BM191" s="140">
        <f t="shared" si="45"/>
        <v>3.7800000000000002E-7</v>
      </c>
      <c r="BN191" s="140">
        <f t="shared" si="46"/>
        <v>5.0400000000000007E-7</v>
      </c>
      <c r="BO191" s="140">
        <f t="shared" si="47"/>
        <v>6.3000000000000011E-7</v>
      </c>
      <c r="BP191" s="157">
        <f>IF(BI191&lt;$B$105*DATA!$H$1037,DATA!$H$1037,IF(BI191&gt;DATA!$H$1036*$B$105,DATA!$H$1036,1))</f>
        <v>1.2</v>
      </c>
      <c r="BQ191" s="156">
        <f t="shared" si="48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49"/>
        <v>1.2799999999999998E-7</v>
      </c>
      <c r="D192" s="140">
        <f t="shared" si="49"/>
        <v>2.5599999999999996E-7</v>
      </c>
      <c r="E192" s="140">
        <f t="shared" si="49"/>
        <v>3.84E-7</v>
      </c>
      <c r="F192" s="140">
        <f t="shared" si="49"/>
        <v>5.1200000000000003E-7</v>
      </c>
      <c r="G192" s="140">
        <f t="shared" si="49"/>
        <v>6.4000000000000012E-7</v>
      </c>
      <c r="H192" s="157">
        <f>IF(A192&lt;$B$9*DATA!$H$1037,DATA!$H$1037,IF(A192&gt;DATA!$H$1036*$B$9,DATA!$H$1036,1))</f>
        <v>0.8</v>
      </c>
      <c r="I192" s="156">
        <f t="shared" si="6"/>
        <v>9.9999999999999995E-8</v>
      </c>
      <c r="K192" s="140">
        <f t="shared" si="7"/>
        <v>1.2800000000000001E-5</v>
      </c>
      <c r="L192">
        <v>1.28</v>
      </c>
      <c r="M192" s="140">
        <f t="shared" si="8"/>
        <v>1.2799999999999998E-7</v>
      </c>
      <c r="N192" s="140">
        <f t="shared" si="9"/>
        <v>2.5599999999999996E-7</v>
      </c>
      <c r="O192" s="140">
        <f t="shared" si="10"/>
        <v>3.84E-7</v>
      </c>
      <c r="P192" s="140">
        <f t="shared" si="11"/>
        <v>5.1200000000000003E-7</v>
      </c>
      <c r="Q192" s="140">
        <f t="shared" si="12"/>
        <v>6.4000000000000012E-7</v>
      </c>
      <c r="R192" s="157">
        <f>IF(K192&lt;$B$25*DATA!$H$1037,DATA!$H$1037,IF(K192&gt;DATA!$H$1036*$B$25,DATA!$H$1036,1))</f>
        <v>0.8</v>
      </c>
      <c r="S192" s="156">
        <f t="shared" si="13"/>
        <v>9.9999999999999995E-8</v>
      </c>
      <c r="U192" s="140">
        <f t="shared" si="14"/>
        <v>1.2800000000000001E-5</v>
      </c>
      <c r="V192">
        <v>1.28</v>
      </c>
      <c r="W192" s="140">
        <f t="shared" si="15"/>
        <v>1.2799999999999998E-7</v>
      </c>
      <c r="X192" s="140">
        <f t="shared" si="16"/>
        <v>2.5599999999999996E-7</v>
      </c>
      <c r="Y192" s="140">
        <f t="shared" si="17"/>
        <v>3.84E-7</v>
      </c>
      <c r="Z192" s="140">
        <f t="shared" si="18"/>
        <v>5.1200000000000003E-7</v>
      </c>
      <c r="AA192" s="140">
        <f t="shared" si="19"/>
        <v>6.4000000000000012E-7</v>
      </c>
      <c r="AB192" s="157">
        <f>IF(U192&lt;$B$41*DATA!$H$1037,DATA!$H$1037,IF(U192&gt;DATA!$H$1036*$B$41,DATA!$H$1036,1))</f>
        <v>0.8</v>
      </c>
      <c r="AC192" s="156">
        <f t="shared" si="20"/>
        <v>9.9999999999999995E-8</v>
      </c>
      <c r="AE192" s="140">
        <f t="shared" si="21"/>
        <v>1.2800000000000001E-5</v>
      </c>
      <c r="AF192">
        <v>1.28</v>
      </c>
      <c r="AG192" s="140">
        <f t="shared" si="22"/>
        <v>1.2799999999999998E-7</v>
      </c>
      <c r="AH192" s="140">
        <f t="shared" si="23"/>
        <v>2.5599999999999996E-7</v>
      </c>
      <c r="AI192" s="140">
        <f t="shared" si="24"/>
        <v>3.84E-7</v>
      </c>
      <c r="AJ192" s="140">
        <f t="shared" si="25"/>
        <v>5.1200000000000003E-7</v>
      </c>
      <c r="AK192" s="140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27"/>
        <v>9.9999999999999995E-8</v>
      </c>
      <c r="AO192" s="140">
        <f t="shared" si="28"/>
        <v>1.2800000000000001E-5</v>
      </c>
      <c r="AP192">
        <v>1.28</v>
      </c>
      <c r="AQ192" s="140">
        <f t="shared" si="29"/>
        <v>1.2799999999999998E-7</v>
      </c>
      <c r="AR192" s="140">
        <f t="shared" si="30"/>
        <v>2.5599999999999996E-7</v>
      </c>
      <c r="AS192" s="140">
        <f t="shared" si="31"/>
        <v>3.84E-7</v>
      </c>
      <c r="AT192" s="140">
        <f t="shared" si="32"/>
        <v>5.1200000000000003E-7</v>
      </c>
      <c r="AU192" s="140">
        <f t="shared" si="33"/>
        <v>6.4000000000000012E-7</v>
      </c>
      <c r="AV192" s="157">
        <f>IF(AO192&lt;$B$73*DATA!$H$1037,DATA!$H$1037,IF(AO192&gt;DATA!$H$1036*$B$73,DATA!$H$1036,1))</f>
        <v>1.2</v>
      </c>
      <c r="AW192" s="156">
        <f t="shared" si="34"/>
        <v>9.9999999999999995E-8</v>
      </c>
      <c r="AY192" s="140">
        <f t="shared" si="35"/>
        <v>1.2800000000000001E-5</v>
      </c>
      <c r="AZ192">
        <v>1.28</v>
      </c>
      <c r="BA192" s="140">
        <f t="shared" si="36"/>
        <v>1.2799999999999998E-7</v>
      </c>
      <c r="BB192" s="140">
        <f t="shared" si="37"/>
        <v>2.5599999999999996E-7</v>
      </c>
      <c r="BC192" s="140">
        <f t="shared" si="38"/>
        <v>3.84E-7</v>
      </c>
      <c r="BD192" s="140">
        <f t="shared" si="39"/>
        <v>5.1200000000000003E-7</v>
      </c>
      <c r="BE192" s="140">
        <f t="shared" si="40"/>
        <v>6.4000000000000012E-7</v>
      </c>
      <c r="BF192" s="157">
        <f>IF(AY192&lt;$B$89*DATA!$H$1037,DATA!$H$1037,IF(AY192&gt;DATA!$H$1036*$B$89,DATA!$H$1036,1))</f>
        <v>1.2</v>
      </c>
      <c r="BG192" s="156">
        <f t="shared" si="41"/>
        <v>9.9999999999999995E-8</v>
      </c>
      <c r="BI192" s="140">
        <f t="shared" si="42"/>
        <v>1.2800000000000001E-5</v>
      </c>
      <c r="BJ192">
        <v>1.28</v>
      </c>
      <c r="BK192" s="140">
        <f t="shared" si="43"/>
        <v>1.2799999999999998E-7</v>
      </c>
      <c r="BL192" s="140">
        <f t="shared" si="44"/>
        <v>2.5599999999999996E-7</v>
      </c>
      <c r="BM192" s="140">
        <f t="shared" si="45"/>
        <v>3.84E-7</v>
      </c>
      <c r="BN192" s="140">
        <f t="shared" si="46"/>
        <v>5.1200000000000003E-7</v>
      </c>
      <c r="BO192" s="140">
        <f t="shared" si="47"/>
        <v>6.4000000000000012E-7</v>
      </c>
      <c r="BP192" s="157">
        <f>IF(BI192&lt;$B$105*DATA!$H$1037,DATA!$H$1037,IF(BI192&gt;DATA!$H$1036*$B$105,DATA!$H$1036,1))</f>
        <v>1.2</v>
      </c>
      <c r="BQ192" s="156">
        <f t="shared" si="48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49"/>
        <v>1.2999999999999997E-7</v>
      </c>
      <c r="D193" s="140">
        <f t="shared" si="49"/>
        <v>2.6E-7</v>
      </c>
      <c r="E193" s="140">
        <f t="shared" si="49"/>
        <v>3.9000000000000002E-7</v>
      </c>
      <c r="F193" s="140">
        <f t="shared" si="49"/>
        <v>5.2E-7</v>
      </c>
      <c r="G193" s="140">
        <f t="shared" si="49"/>
        <v>6.5000000000000013E-7</v>
      </c>
      <c r="H193" s="157">
        <f>IF(A193&lt;$B$9*DATA!$H$1037,DATA!$H$1037,IF(A193&gt;DATA!$H$1036*$B$9,DATA!$H$1036,1))</f>
        <v>0.8</v>
      </c>
      <c r="I193" s="156">
        <f t="shared" si="6"/>
        <v>9.9999999999999995E-8</v>
      </c>
      <c r="K193" s="140">
        <f t="shared" si="7"/>
        <v>1.3000000000000001E-5</v>
      </c>
      <c r="L193">
        <v>1.3</v>
      </c>
      <c r="M193" s="140">
        <f t="shared" si="8"/>
        <v>1.2999999999999997E-7</v>
      </c>
      <c r="N193" s="140">
        <f t="shared" si="9"/>
        <v>2.6E-7</v>
      </c>
      <c r="O193" s="140">
        <f t="shared" si="10"/>
        <v>3.9000000000000002E-7</v>
      </c>
      <c r="P193" s="140">
        <f t="shared" si="11"/>
        <v>5.2E-7</v>
      </c>
      <c r="Q193" s="140">
        <f t="shared" si="12"/>
        <v>6.5000000000000013E-7</v>
      </c>
      <c r="R193" s="157">
        <f>IF(K193&lt;$B$25*DATA!$H$1037,DATA!$H$1037,IF(K193&gt;DATA!$H$1036*$B$25,DATA!$H$1036,1))</f>
        <v>0.8</v>
      </c>
      <c r="S193" s="156">
        <f t="shared" si="13"/>
        <v>9.9999999999999995E-8</v>
      </c>
      <c r="U193" s="140">
        <f t="shared" si="14"/>
        <v>1.3000000000000001E-5</v>
      </c>
      <c r="V193">
        <v>1.3</v>
      </c>
      <c r="W193" s="140">
        <f t="shared" si="15"/>
        <v>1.2999999999999997E-7</v>
      </c>
      <c r="X193" s="140">
        <f t="shared" si="16"/>
        <v>2.6E-7</v>
      </c>
      <c r="Y193" s="140">
        <f t="shared" si="17"/>
        <v>3.9000000000000002E-7</v>
      </c>
      <c r="Z193" s="140">
        <f t="shared" si="18"/>
        <v>5.2E-7</v>
      </c>
      <c r="AA193" s="140">
        <f t="shared" si="19"/>
        <v>6.5000000000000013E-7</v>
      </c>
      <c r="AB193" s="157">
        <f>IF(U193&lt;$B$41*DATA!$H$1037,DATA!$H$1037,IF(U193&gt;DATA!$H$1036*$B$41,DATA!$H$1036,1))</f>
        <v>0.8</v>
      </c>
      <c r="AC193" s="156">
        <f t="shared" si="20"/>
        <v>9.9999999999999995E-8</v>
      </c>
      <c r="AE193" s="140">
        <f t="shared" si="21"/>
        <v>1.3000000000000001E-5</v>
      </c>
      <c r="AF193">
        <v>1.3</v>
      </c>
      <c r="AG193" s="140">
        <f t="shared" si="22"/>
        <v>1.2999999999999997E-7</v>
      </c>
      <c r="AH193" s="140">
        <f t="shared" si="23"/>
        <v>2.6E-7</v>
      </c>
      <c r="AI193" s="140">
        <f t="shared" si="24"/>
        <v>3.9000000000000002E-7</v>
      </c>
      <c r="AJ193" s="140">
        <f t="shared" si="25"/>
        <v>5.2E-7</v>
      </c>
      <c r="AK193" s="140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27"/>
        <v>9.9999999999999995E-8</v>
      </c>
      <c r="AO193" s="140">
        <f t="shared" si="28"/>
        <v>1.3000000000000001E-5</v>
      </c>
      <c r="AP193">
        <v>1.3</v>
      </c>
      <c r="AQ193" s="140">
        <f t="shared" si="29"/>
        <v>1.2999999999999997E-7</v>
      </c>
      <c r="AR193" s="140">
        <f t="shared" si="30"/>
        <v>2.6E-7</v>
      </c>
      <c r="AS193" s="140">
        <f t="shared" si="31"/>
        <v>3.9000000000000002E-7</v>
      </c>
      <c r="AT193" s="140">
        <f t="shared" si="32"/>
        <v>5.2E-7</v>
      </c>
      <c r="AU193" s="140">
        <f t="shared" si="33"/>
        <v>6.5000000000000013E-7</v>
      </c>
      <c r="AV193" s="157">
        <f>IF(AO193&lt;$B$73*DATA!$H$1037,DATA!$H$1037,IF(AO193&gt;DATA!$H$1036*$B$73,DATA!$H$1036,1))</f>
        <v>1.2</v>
      </c>
      <c r="AW193" s="156">
        <f t="shared" si="34"/>
        <v>9.9999999999999995E-8</v>
      </c>
      <c r="AY193" s="140">
        <f t="shared" si="35"/>
        <v>1.3000000000000001E-5</v>
      </c>
      <c r="AZ193">
        <v>1.3</v>
      </c>
      <c r="BA193" s="140">
        <f t="shared" si="36"/>
        <v>1.2999999999999997E-7</v>
      </c>
      <c r="BB193" s="140">
        <f t="shared" si="37"/>
        <v>2.6E-7</v>
      </c>
      <c r="BC193" s="140">
        <f t="shared" si="38"/>
        <v>3.9000000000000002E-7</v>
      </c>
      <c r="BD193" s="140">
        <f t="shared" si="39"/>
        <v>5.2E-7</v>
      </c>
      <c r="BE193" s="140">
        <f t="shared" si="40"/>
        <v>6.5000000000000013E-7</v>
      </c>
      <c r="BF193" s="157">
        <f>IF(AY193&lt;$B$89*DATA!$H$1037,DATA!$H$1037,IF(AY193&gt;DATA!$H$1036*$B$89,DATA!$H$1036,1))</f>
        <v>1.2</v>
      </c>
      <c r="BG193" s="156">
        <f t="shared" si="41"/>
        <v>9.9999999999999995E-8</v>
      </c>
      <c r="BI193" s="140">
        <f t="shared" si="42"/>
        <v>1.3000000000000001E-5</v>
      </c>
      <c r="BJ193">
        <v>1.3</v>
      </c>
      <c r="BK193" s="140">
        <f t="shared" si="43"/>
        <v>1.2999999999999997E-7</v>
      </c>
      <c r="BL193" s="140">
        <f t="shared" si="44"/>
        <v>2.6E-7</v>
      </c>
      <c r="BM193" s="140">
        <f t="shared" si="45"/>
        <v>3.9000000000000002E-7</v>
      </c>
      <c r="BN193" s="140">
        <f t="shared" si="46"/>
        <v>5.2E-7</v>
      </c>
      <c r="BO193" s="140">
        <f t="shared" si="47"/>
        <v>6.5000000000000013E-7</v>
      </c>
      <c r="BP193" s="157">
        <f>IF(BI193&lt;$B$105*DATA!$H$1037,DATA!$H$1037,IF(BI193&gt;DATA!$H$1036*$B$105,DATA!$H$1036,1))</f>
        <v>1.2</v>
      </c>
      <c r="BQ193" s="156">
        <f t="shared" si="48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49"/>
        <v>1.3199999999999999E-7</v>
      </c>
      <c r="D194" s="140">
        <f t="shared" si="49"/>
        <v>2.6399999999999998E-7</v>
      </c>
      <c r="E194" s="140">
        <f t="shared" si="49"/>
        <v>3.9600000000000005E-7</v>
      </c>
      <c r="F194" s="140">
        <f t="shared" si="49"/>
        <v>5.2800000000000007E-7</v>
      </c>
      <c r="G194" s="140">
        <f t="shared" si="49"/>
        <v>6.6000000000000014E-7</v>
      </c>
      <c r="H194" s="157">
        <f>IF(A194&lt;$B$9*DATA!$H$1037,DATA!$H$1037,IF(A194&gt;DATA!$H$1036*$B$9,DATA!$H$1036,1))</f>
        <v>0.8</v>
      </c>
      <c r="I194" s="156">
        <f t="shared" si="6"/>
        <v>9.9999999999999995E-8</v>
      </c>
      <c r="K194" s="140">
        <f t="shared" si="7"/>
        <v>1.3200000000000002E-5</v>
      </c>
      <c r="L194">
        <v>1.32</v>
      </c>
      <c r="M194" s="140">
        <f t="shared" si="8"/>
        <v>1.3199999999999999E-7</v>
      </c>
      <c r="N194" s="140">
        <f t="shared" si="9"/>
        <v>2.6399999999999998E-7</v>
      </c>
      <c r="O194" s="140">
        <f t="shared" si="10"/>
        <v>3.9600000000000005E-7</v>
      </c>
      <c r="P194" s="140">
        <f t="shared" si="11"/>
        <v>5.2800000000000007E-7</v>
      </c>
      <c r="Q194" s="140">
        <f t="shared" si="12"/>
        <v>6.6000000000000014E-7</v>
      </c>
      <c r="R194" s="157">
        <f>IF(K194&lt;$B$25*DATA!$H$1037,DATA!$H$1037,IF(K194&gt;DATA!$H$1036*$B$25,DATA!$H$1036,1))</f>
        <v>0.8</v>
      </c>
      <c r="S194" s="156">
        <f t="shared" si="13"/>
        <v>9.9999999999999995E-8</v>
      </c>
      <c r="U194" s="140">
        <f t="shared" si="14"/>
        <v>1.3200000000000002E-5</v>
      </c>
      <c r="V194">
        <v>1.32</v>
      </c>
      <c r="W194" s="140">
        <f t="shared" si="15"/>
        <v>1.3199999999999999E-7</v>
      </c>
      <c r="X194" s="140">
        <f t="shared" si="16"/>
        <v>2.6399999999999998E-7</v>
      </c>
      <c r="Y194" s="140">
        <f t="shared" si="17"/>
        <v>3.9600000000000005E-7</v>
      </c>
      <c r="Z194" s="140">
        <f t="shared" si="18"/>
        <v>5.2800000000000007E-7</v>
      </c>
      <c r="AA194" s="140">
        <f t="shared" si="19"/>
        <v>6.6000000000000014E-7</v>
      </c>
      <c r="AB194" s="157">
        <f>IF(U194&lt;$B$41*DATA!$H$1037,DATA!$H$1037,IF(U194&gt;DATA!$H$1036*$B$41,DATA!$H$1036,1))</f>
        <v>0.8</v>
      </c>
      <c r="AC194" s="156">
        <f t="shared" si="20"/>
        <v>9.9999999999999995E-8</v>
      </c>
      <c r="AE194" s="140">
        <f t="shared" si="21"/>
        <v>1.3200000000000002E-5</v>
      </c>
      <c r="AF194">
        <v>1.32</v>
      </c>
      <c r="AG194" s="140">
        <f t="shared" si="22"/>
        <v>1.3199999999999999E-7</v>
      </c>
      <c r="AH194" s="140">
        <f t="shared" si="23"/>
        <v>2.6399999999999998E-7</v>
      </c>
      <c r="AI194" s="140">
        <f t="shared" si="24"/>
        <v>3.9600000000000005E-7</v>
      </c>
      <c r="AJ194" s="140">
        <f t="shared" si="25"/>
        <v>5.2800000000000007E-7</v>
      </c>
      <c r="AK194" s="140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27"/>
        <v>9.9999999999999995E-8</v>
      </c>
      <c r="AO194" s="140">
        <f t="shared" si="28"/>
        <v>1.3200000000000002E-5</v>
      </c>
      <c r="AP194">
        <v>1.32</v>
      </c>
      <c r="AQ194" s="140">
        <f t="shared" si="29"/>
        <v>1.3199999999999999E-7</v>
      </c>
      <c r="AR194" s="140">
        <f t="shared" si="30"/>
        <v>2.6399999999999998E-7</v>
      </c>
      <c r="AS194" s="140">
        <f t="shared" si="31"/>
        <v>3.9600000000000005E-7</v>
      </c>
      <c r="AT194" s="140">
        <f t="shared" si="32"/>
        <v>5.2800000000000007E-7</v>
      </c>
      <c r="AU194" s="140">
        <f t="shared" si="33"/>
        <v>6.6000000000000014E-7</v>
      </c>
      <c r="AV194" s="157">
        <f>IF(AO194&lt;$B$73*DATA!$H$1037,DATA!$H$1037,IF(AO194&gt;DATA!$H$1036*$B$73,DATA!$H$1036,1))</f>
        <v>1.2</v>
      </c>
      <c r="AW194" s="156">
        <f t="shared" si="34"/>
        <v>9.9999999999999995E-8</v>
      </c>
      <c r="AY194" s="140">
        <f t="shared" si="35"/>
        <v>1.3200000000000002E-5</v>
      </c>
      <c r="AZ194">
        <v>1.32</v>
      </c>
      <c r="BA194" s="140">
        <f t="shared" si="36"/>
        <v>1.3199999999999999E-7</v>
      </c>
      <c r="BB194" s="140">
        <f t="shared" si="37"/>
        <v>2.6399999999999998E-7</v>
      </c>
      <c r="BC194" s="140">
        <f t="shared" si="38"/>
        <v>3.9600000000000005E-7</v>
      </c>
      <c r="BD194" s="140">
        <f t="shared" si="39"/>
        <v>5.2800000000000007E-7</v>
      </c>
      <c r="BE194" s="140">
        <f t="shared" si="40"/>
        <v>6.6000000000000014E-7</v>
      </c>
      <c r="BF194" s="157">
        <f>IF(AY194&lt;$B$89*DATA!$H$1037,DATA!$H$1037,IF(AY194&gt;DATA!$H$1036*$B$89,DATA!$H$1036,1))</f>
        <v>1.2</v>
      </c>
      <c r="BG194" s="156">
        <f t="shared" si="41"/>
        <v>9.9999999999999995E-8</v>
      </c>
      <c r="BI194" s="140">
        <f t="shared" si="42"/>
        <v>1.3200000000000002E-5</v>
      </c>
      <c r="BJ194">
        <v>1.32</v>
      </c>
      <c r="BK194" s="140">
        <f t="shared" si="43"/>
        <v>1.3199999999999999E-7</v>
      </c>
      <c r="BL194" s="140">
        <f t="shared" si="44"/>
        <v>2.6399999999999998E-7</v>
      </c>
      <c r="BM194" s="140">
        <f t="shared" si="45"/>
        <v>3.9600000000000005E-7</v>
      </c>
      <c r="BN194" s="140">
        <f t="shared" si="46"/>
        <v>5.2800000000000007E-7</v>
      </c>
      <c r="BO194" s="140">
        <f t="shared" si="47"/>
        <v>6.6000000000000014E-7</v>
      </c>
      <c r="BP194" s="157">
        <f>IF(BI194&lt;$B$105*DATA!$H$1037,DATA!$H$1037,IF(BI194&gt;DATA!$H$1036*$B$105,DATA!$H$1036,1))</f>
        <v>1.2</v>
      </c>
      <c r="BQ194" s="156">
        <f t="shared" si="48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49"/>
        <v>1.3399999999999998E-7</v>
      </c>
      <c r="D195" s="140">
        <f t="shared" si="49"/>
        <v>2.6800000000000002E-7</v>
      </c>
      <c r="E195" s="140">
        <f t="shared" si="49"/>
        <v>4.0200000000000003E-7</v>
      </c>
      <c r="F195" s="140">
        <f t="shared" si="49"/>
        <v>5.3600000000000014E-7</v>
      </c>
      <c r="G195" s="140">
        <f t="shared" si="49"/>
        <v>6.7000000000000015E-7</v>
      </c>
      <c r="H195" s="157">
        <f>IF(A195&lt;$B$9*DATA!$H$1037,DATA!$H$1037,IF(A195&gt;DATA!$H$1036*$B$9,DATA!$H$1036,1))</f>
        <v>0.8</v>
      </c>
      <c r="I195" s="156">
        <f t="shared" si="6"/>
        <v>9.9999999999999995E-8</v>
      </c>
      <c r="K195" s="140">
        <f t="shared" si="7"/>
        <v>1.3400000000000002E-5</v>
      </c>
      <c r="L195">
        <v>1.34</v>
      </c>
      <c r="M195" s="140">
        <f t="shared" si="8"/>
        <v>1.3399999999999998E-7</v>
      </c>
      <c r="N195" s="140">
        <f t="shared" si="9"/>
        <v>2.6800000000000002E-7</v>
      </c>
      <c r="O195" s="140">
        <f t="shared" si="10"/>
        <v>4.0200000000000003E-7</v>
      </c>
      <c r="P195" s="140">
        <f t="shared" si="11"/>
        <v>5.3600000000000014E-7</v>
      </c>
      <c r="Q195" s="140">
        <f t="shared" si="12"/>
        <v>6.7000000000000015E-7</v>
      </c>
      <c r="R195" s="157">
        <f>IF(K195&lt;$B$25*DATA!$H$1037,DATA!$H$1037,IF(K195&gt;DATA!$H$1036*$B$25,DATA!$H$1036,1))</f>
        <v>0.8</v>
      </c>
      <c r="S195" s="156">
        <f t="shared" si="13"/>
        <v>9.9999999999999995E-8</v>
      </c>
      <c r="U195" s="140">
        <f t="shared" si="14"/>
        <v>1.3400000000000002E-5</v>
      </c>
      <c r="V195">
        <v>1.34</v>
      </c>
      <c r="W195" s="140">
        <f t="shared" si="15"/>
        <v>1.3399999999999998E-7</v>
      </c>
      <c r="X195" s="140">
        <f t="shared" si="16"/>
        <v>2.6800000000000002E-7</v>
      </c>
      <c r="Y195" s="140">
        <f t="shared" si="17"/>
        <v>4.0200000000000003E-7</v>
      </c>
      <c r="Z195" s="140">
        <f t="shared" si="18"/>
        <v>5.3600000000000014E-7</v>
      </c>
      <c r="AA195" s="140">
        <f t="shared" si="19"/>
        <v>6.7000000000000015E-7</v>
      </c>
      <c r="AB195" s="157">
        <f>IF(U195&lt;$B$41*DATA!$H$1037,DATA!$H$1037,IF(U195&gt;DATA!$H$1036*$B$41,DATA!$H$1036,1))</f>
        <v>0.8</v>
      </c>
      <c r="AC195" s="156">
        <f t="shared" si="20"/>
        <v>9.9999999999999995E-8</v>
      </c>
      <c r="AE195" s="140">
        <f t="shared" si="21"/>
        <v>1.3400000000000002E-5</v>
      </c>
      <c r="AF195">
        <v>1.34</v>
      </c>
      <c r="AG195" s="140">
        <f t="shared" si="22"/>
        <v>1.3399999999999998E-7</v>
      </c>
      <c r="AH195" s="140">
        <f t="shared" si="23"/>
        <v>2.6800000000000002E-7</v>
      </c>
      <c r="AI195" s="140">
        <f t="shared" si="24"/>
        <v>4.0200000000000003E-7</v>
      </c>
      <c r="AJ195" s="140">
        <f t="shared" si="25"/>
        <v>5.3600000000000014E-7</v>
      </c>
      <c r="AK195" s="140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27"/>
        <v>9.9999999999999995E-8</v>
      </c>
      <c r="AO195" s="140">
        <f t="shared" si="28"/>
        <v>1.3400000000000002E-5</v>
      </c>
      <c r="AP195">
        <v>1.34</v>
      </c>
      <c r="AQ195" s="140">
        <f t="shared" si="29"/>
        <v>1.3399999999999998E-7</v>
      </c>
      <c r="AR195" s="140">
        <f t="shared" si="30"/>
        <v>2.6800000000000002E-7</v>
      </c>
      <c r="AS195" s="140">
        <f t="shared" si="31"/>
        <v>4.0200000000000003E-7</v>
      </c>
      <c r="AT195" s="140">
        <f t="shared" si="32"/>
        <v>5.3600000000000014E-7</v>
      </c>
      <c r="AU195" s="140">
        <f t="shared" si="33"/>
        <v>6.7000000000000015E-7</v>
      </c>
      <c r="AV195" s="157">
        <f>IF(AO195&lt;$B$73*DATA!$H$1037,DATA!$H$1037,IF(AO195&gt;DATA!$H$1036*$B$73,DATA!$H$1036,1))</f>
        <v>1.2</v>
      </c>
      <c r="AW195" s="156">
        <f t="shared" si="34"/>
        <v>9.9999999999999995E-8</v>
      </c>
      <c r="AY195" s="140">
        <f t="shared" si="35"/>
        <v>1.3400000000000002E-5</v>
      </c>
      <c r="AZ195">
        <v>1.34</v>
      </c>
      <c r="BA195" s="140">
        <f t="shared" si="36"/>
        <v>1.3399999999999998E-7</v>
      </c>
      <c r="BB195" s="140">
        <f t="shared" si="37"/>
        <v>2.6800000000000002E-7</v>
      </c>
      <c r="BC195" s="140">
        <f t="shared" si="38"/>
        <v>4.0200000000000003E-7</v>
      </c>
      <c r="BD195" s="140">
        <f t="shared" si="39"/>
        <v>5.3600000000000014E-7</v>
      </c>
      <c r="BE195" s="140">
        <f t="shared" si="40"/>
        <v>6.7000000000000015E-7</v>
      </c>
      <c r="BF195" s="157">
        <f>IF(AY195&lt;$B$89*DATA!$H$1037,DATA!$H$1037,IF(AY195&gt;DATA!$H$1036*$B$89,DATA!$H$1036,1))</f>
        <v>1.2</v>
      </c>
      <c r="BG195" s="156">
        <f t="shared" si="41"/>
        <v>9.9999999999999995E-8</v>
      </c>
      <c r="BI195" s="140">
        <f t="shared" si="42"/>
        <v>1.3400000000000002E-5</v>
      </c>
      <c r="BJ195">
        <v>1.34</v>
      </c>
      <c r="BK195" s="140">
        <f t="shared" si="43"/>
        <v>1.3399999999999998E-7</v>
      </c>
      <c r="BL195" s="140">
        <f t="shared" si="44"/>
        <v>2.6800000000000002E-7</v>
      </c>
      <c r="BM195" s="140">
        <f t="shared" si="45"/>
        <v>4.0200000000000003E-7</v>
      </c>
      <c r="BN195" s="140">
        <f t="shared" si="46"/>
        <v>5.3600000000000014E-7</v>
      </c>
      <c r="BO195" s="140">
        <f t="shared" si="47"/>
        <v>6.7000000000000015E-7</v>
      </c>
      <c r="BP195" s="157">
        <f>IF(BI195&lt;$B$105*DATA!$H$1037,DATA!$H$1037,IF(BI195&gt;DATA!$H$1036*$B$105,DATA!$H$1036,1))</f>
        <v>1.2</v>
      </c>
      <c r="BQ195" s="156">
        <f t="shared" si="48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49"/>
        <v>1.3599999999999997E-7</v>
      </c>
      <c r="D196" s="140">
        <f t="shared" si="49"/>
        <v>2.72E-7</v>
      </c>
      <c r="E196" s="140">
        <f t="shared" si="49"/>
        <v>4.0800000000000005E-7</v>
      </c>
      <c r="F196" s="140">
        <f t="shared" si="49"/>
        <v>5.4400000000000011E-7</v>
      </c>
      <c r="G196" s="140">
        <f t="shared" si="49"/>
        <v>6.8000000000000016E-7</v>
      </c>
      <c r="H196" s="157">
        <f>IF(A196&lt;$B$9*DATA!$H$1037,DATA!$H$1037,IF(A196&gt;DATA!$H$1036*$B$9,DATA!$H$1036,1))</f>
        <v>0.8</v>
      </c>
      <c r="I196" s="156">
        <f t="shared" si="6"/>
        <v>9.9999999999999995E-8</v>
      </c>
      <c r="K196" s="140">
        <f t="shared" si="7"/>
        <v>1.3600000000000002E-5</v>
      </c>
      <c r="L196">
        <v>1.36</v>
      </c>
      <c r="M196" s="140">
        <f t="shared" si="8"/>
        <v>1.3599999999999997E-7</v>
      </c>
      <c r="N196" s="140">
        <f t="shared" si="9"/>
        <v>2.72E-7</v>
      </c>
      <c r="O196" s="140">
        <f t="shared" si="10"/>
        <v>4.0800000000000005E-7</v>
      </c>
      <c r="P196" s="140">
        <f t="shared" si="11"/>
        <v>5.4400000000000011E-7</v>
      </c>
      <c r="Q196" s="140">
        <f t="shared" si="12"/>
        <v>6.8000000000000016E-7</v>
      </c>
      <c r="R196" s="157">
        <f>IF(K196&lt;$B$25*DATA!$H$1037,DATA!$H$1037,IF(K196&gt;DATA!$H$1036*$B$25,DATA!$H$1036,1))</f>
        <v>0.8</v>
      </c>
      <c r="S196" s="156">
        <f t="shared" si="13"/>
        <v>9.9999999999999995E-8</v>
      </c>
      <c r="U196" s="140">
        <f t="shared" si="14"/>
        <v>1.3600000000000002E-5</v>
      </c>
      <c r="V196">
        <v>1.36</v>
      </c>
      <c r="W196" s="140">
        <f t="shared" si="15"/>
        <v>1.3599999999999997E-7</v>
      </c>
      <c r="X196" s="140">
        <f t="shared" si="16"/>
        <v>2.72E-7</v>
      </c>
      <c r="Y196" s="140">
        <f t="shared" si="17"/>
        <v>4.0800000000000005E-7</v>
      </c>
      <c r="Z196" s="140">
        <f t="shared" si="18"/>
        <v>5.4400000000000011E-7</v>
      </c>
      <c r="AA196" s="140">
        <f t="shared" si="19"/>
        <v>6.8000000000000016E-7</v>
      </c>
      <c r="AB196" s="157">
        <f>IF(U196&lt;$B$41*DATA!$H$1037,DATA!$H$1037,IF(U196&gt;DATA!$H$1036*$B$41,DATA!$H$1036,1))</f>
        <v>0.8</v>
      </c>
      <c r="AC196" s="156">
        <f t="shared" si="20"/>
        <v>9.9999999999999995E-8</v>
      </c>
      <c r="AE196" s="140">
        <f t="shared" si="21"/>
        <v>1.3600000000000002E-5</v>
      </c>
      <c r="AF196">
        <v>1.36</v>
      </c>
      <c r="AG196" s="140">
        <f t="shared" si="22"/>
        <v>1.3599999999999997E-7</v>
      </c>
      <c r="AH196" s="140">
        <f t="shared" si="23"/>
        <v>2.72E-7</v>
      </c>
      <c r="AI196" s="140">
        <f t="shared" si="24"/>
        <v>4.0800000000000005E-7</v>
      </c>
      <c r="AJ196" s="140">
        <f t="shared" si="25"/>
        <v>5.4400000000000011E-7</v>
      </c>
      <c r="AK196" s="140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27"/>
        <v>9.9999999999999995E-8</v>
      </c>
      <c r="AO196" s="140">
        <f t="shared" si="28"/>
        <v>1.3600000000000002E-5</v>
      </c>
      <c r="AP196">
        <v>1.36</v>
      </c>
      <c r="AQ196" s="140">
        <f t="shared" si="29"/>
        <v>1.3599999999999997E-7</v>
      </c>
      <c r="AR196" s="140">
        <f t="shared" si="30"/>
        <v>2.72E-7</v>
      </c>
      <c r="AS196" s="140">
        <f t="shared" si="31"/>
        <v>4.0800000000000005E-7</v>
      </c>
      <c r="AT196" s="140">
        <f t="shared" si="32"/>
        <v>5.4400000000000011E-7</v>
      </c>
      <c r="AU196" s="140">
        <f t="shared" si="33"/>
        <v>6.8000000000000016E-7</v>
      </c>
      <c r="AV196" s="157">
        <f>IF(AO196&lt;$B$73*DATA!$H$1037,DATA!$H$1037,IF(AO196&gt;DATA!$H$1036*$B$73,DATA!$H$1036,1))</f>
        <v>1.2</v>
      </c>
      <c r="AW196" s="156">
        <f t="shared" si="34"/>
        <v>9.9999999999999995E-8</v>
      </c>
      <c r="AY196" s="140">
        <f t="shared" si="35"/>
        <v>1.3600000000000002E-5</v>
      </c>
      <c r="AZ196">
        <v>1.36</v>
      </c>
      <c r="BA196" s="140">
        <f t="shared" si="36"/>
        <v>1.3599999999999997E-7</v>
      </c>
      <c r="BB196" s="140">
        <f t="shared" si="37"/>
        <v>2.72E-7</v>
      </c>
      <c r="BC196" s="140">
        <f t="shared" si="38"/>
        <v>4.0800000000000005E-7</v>
      </c>
      <c r="BD196" s="140">
        <f t="shared" si="39"/>
        <v>5.4400000000000011E-7</v>
      </c>
      <c r="BE196" s="140">
        <f t="shared" si="40"/>
        <v>6.8000000000000016E-7</v>
      </c>
      <c r="BF196" s="157">
        <f>IF(AY196&lt;$B$89*DATA!$H$1037,DATA!$H$1037,IF(AY196&gt;DATA!$H$1036*$B$89,DATA!$H$1036,1))</f>
        <v>1.2</v>
      </c>
      <c r="BG196" s="156">
        <f t="shared" si="41"/>
        <v>9.9999999999999995E-8</v>
      </c>
      <c r="BI196" s="140">
        <f t="shared" si="42"/>
        <v>1.3600000000000002E-5</v>
      </c>
      <c r="BJ196">
        <v>1.36</v>
      </c>
      <c r="BK196" s="140">
        <f t="shared" si="43"/>
        <v>1.3599999999999997E-7</v>
      </c>
      <c r="BL196" s="140">
        <f t="shared" si="44"/>
        <v>2.72E-7</v>
      </c>
      <c r="BM196" s="140">
        <f t="shared" si="45"/>
        <v>4.0800000000000005E-7</v>
      </c>
      <c r="BN196" s="140">
        <f t="shared" si="46"/>
        <v>5.4400000000000011E-7</v>
      </c>
      <c r="BO196" s="140">
        <f t="shared" si="47"/>
        <v>6.8000000000000016E-7</v>
      </c>
      <c r="BP196" s="157">
        <f>IF(BI196&lt;$B$105*DATA!$H$1037,DATA!$H$1037,IF(BI196&gt;DATA!$H$1036*$B$105,DATA!$H$1036,1))</f>
        <v>1.2</v>
      </c>
      <c r="BQ196" s="156">
        <f t="shared" si="48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49"/>
        <v>1.3799999999999997E-7</v>
      </c>
      <c r="D197" s="140">
        <f t="shared" si="49"/>
        <v>2.7599999999999998E-7</v>
      </c>
      <c r="E197" s="140">
        <f t="shared" si="49"/>
        <v>4.1399999999999997E-7</v>
      </c>
      <c r="F197" s="140">
        <f t="shared" si="49"/>
        <v>5.5199999999999997E-7</v>
      </c>
      <c r="G197" s="140">
        <f t="shared" si="49"/>
        <v>6.9000000000000006E-7</v>
      </c>
      <c r="H197" s="157">
        <f>IF(A197&lt;$B$9*DATA!$H$1037,DATA!$H$1037,IF(A197&gt;DATA!$H$1036*$B$9,DATA!$H$1036,1))</f>
        <v>0.8</v>
      </c>
      <c r="I197" s="156">
        <f t="shared" si="6"/>
        <v>9.9999999999999995E-8</v>
      </c>
      <c r="K197" s="140">
        <f t="shared" si="7"/>
        <v>1.38E-5</v>
      </c>
      <c r="L197">
        <v>1.38</v>
      </c>
      <c r="M197" s="140">
        <f t="shared" si="8"/>
        <v>1.3799999999999997E-7</v>
      </c>
      <c r="N197" s="140">
        <f t="shared" si="9"/>
        <v>2.7599999999999998E-7</v>
      </c>
      <c r="O197" s="140">
        <f t="shared" si="10"/>
        <v>4.1399999999999997E-7</v>
      </c>
      <c r="P197" s="140">
        <f t="shared" si="11"/>
        <v>5.5199999999999997E-7</v>
      </c>
      <c r="Q197" s="140">
        <f t="shared" si="12"/>
        <v>6.9000000000000006E-7</v>
      </c>
      <c r="R197" s="157">
        <f>IF(K197&lt;$B$25*DATA!$H$1037,DATA!$H$1037,IF(K197&gt;DATA!$H$1036*$B$25,DATA!$H$1036,1))</f>
        <v>0.8</v>
      </c>
      <c r="S197" s="156">
        <f t="shared" si="13"/>
        <v>9.9999999999999995E-8</v>
      </c>
      <c r="U197" s="140">
        <f t="shared" si="14"/>
        <v>1.38E-5</v>
      </c>
      <c r="V197">
        <v>1.38</v>
      </c>
      <c r="W197" s="140">
        <f t="shared" si="15"/>
        <v>1.3799999999999997E-7</v>
      </c>
      <c r="X197" s="140">
        <f t="shared" si="16"/>
        <v>2.7599999999999998E-7</v>
      </c>
      <c r="Y197" s="140">
        <f t="shared" si="17"/>
        <v>4.1399999999999997E-7</v>
      </c>
      <c r="Z197" s="140">
        <f t="shared" si="18"/>
        <v>5.5199999999999997E-7</v>
      </c>
      <c r="AA197" s="140">
        <f t="shared" si="19"/>
        <v>6.9000000000000006E-7</v>
      </c>
      <c r="AB197" s="157">
        <f>IF(U197&lt;$B$41*DATA!$H$1037,DATA!$H$1037,IF(U197&gt;DATA!$H$1036*$B$41,DATA!$H$1036,1))</f>
        <v>0.8</v>
      </c>
      <c r="AC197" s="156">
        <f t="shared" si="20"/>
        <v>9.9999999999999995E-8</v>
      </c>
      <c r="AE197" s="140">
        <f t="shared" si="21"/>
        <v>1.38E-5</v>
      </c>
      <c r="AF197">
        <v>1.38</v>
      </c>
      <c r="AG197" s="140">
        <f t="shared" si="22"/>
        <v>1.3799999999999997E-7</v>
      </c>
      <c r="AH197" s="140">
        <f t="shared" si="23"/>
        <v>2.7599999999999998E-7</v>
      </c>
      <c r="AI197" s="140">
        <f t="shared" si="24"/>
        <v>4.1399999999999997E-7</v>
      </c>
      <c r="AJ197" s="140">
        <f t="shared" si="25"/>
        <v>5.5199999999999997E-7</v>
      </c>
      <c r="AK197" s="140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27"/>
        <v>9.9999999999999995E-8</v>
      </c>
      <c r="AO197" s="140">
        <f t="shared" si="28"/>
        <v>1.38E-5</v>
      </c>
      <c r="AP197">
        <v>1.38</v>
      </c>
      <c r="AQ197" s="140">
        <f t="shared" si="29"/>
        <v>1.3799999999999997E-7</v>
      </c>
      <c r="AR197" s="140">
        <f t="shared" si="30"/>
        <v>2.7599999999999998E-7</v>
      </c>
      <c r="AS197" s="140">
        <f t="shared" si="31"/>
        <v>4.1399999999999997E-7</v>
      </c>
      <c r="AT197" s="140">
        <f t="shared" si="32"/>
        <v>5.5199999999999997E-7</v>
      </c>
      <c r="AU197" s="140">
        <f t="shared" si="33"/>
        <v>6.9000000000000006E-7</v>
      </c>
      <c r="AV197" s="157">
        <f>IF(AO197&lt;$B$73*DATA!$H$1037,DATA!$H$1037,IF(AO197&gt;DATA!$H$1036*$B$73,DATA!$H$1036,1))</f>
        <v>1.2</v>
      </c>
      <c r="AW197" s="156">
        <f t="shared" si="34"/>
        <v>9.9999999999999995E-8</v>
      </c>
      <c r="AY197" s="140">
        <f t="shared" si="35"/>
        <v>1.38E-5</v>
      </c>
      <c r="AZ197">
        <v>1.38</v>
      </c>
      <c r="BA197" s="140">
        <f t="shared" si="36"/>
        <v>1.3799999999999997E-7</v>
      </c>
      <c r="BB197" s="140">
        <f t="shared" si="37"/>
        <v>2.7599999999999998E-7</v>
      </c>
      <c r="BC197" s="140">
        <f t="shared" si="38"/>
        <v>4.1399999999999997E-7</v>
      </c>
      <c r="BD197" s="140">
        <f t="shared" si="39"/>
        <v>5.5199999999999997E-7</v>
      </c>
      <c r="BE197" s="140">
        <f t="shared" si="40"/>
        <v>6.9000000000000006E-7</v>
      </c>
      <c r="BF197" s="157">
        <f>IF(AY197&lt;$B$89*DATA!$H$1037,DATA!$H$1037,IF(AY197&gt;DATA!$H$1036*$B$89,DATA!$H$1036,1))</f>
        <v>1.2</v>
      </c>
      <c r="BG197" s="156">
        <f t="shared" si="41"/>
        <v>9.9999999999999995E-8</v>
      </c>
      <c r="BI197" s="140">
        <f t="shared" si="42"/>
        <v>1.38E-5</v>
      </c>
      <c r="BJ197">
        <v>1.38</v>
      </c>
      <c r="BK197" s="140">
        <f t="shared" si="43"/>
        <v>1.3799999999999997E-7</v>
      </c>
      <c r="BL197" s="140">
        <f t="shared" si="44"/>
        <v>2.7599999999999998E-7</v>
      </c>
      <c r="BM197" s="140">
        <f t="shared" si="45"/>
        <v>4.1399999999999997E-7</v>
      </c>
      <c r="BN197" s="140">
        <f t="shared" si="46"/>
        <v>5.5199999999999997E-7</v>
      </c>
      <c r="BO197" s="140">
        <f t="shared" si="47"/>
        <v>6.9000000000000006E-7</v>
      </c>
      <c r="BP197" s="157">
        <f>IF(BI197&lt;$B$105*DATA!$H$1037,DATA!$H$1037,IF(BI197&gt;DATA!$H$1036*$B$105,DATA!$H$1036,1))</f>
        <v>1.2</v>
      </c>
      <c r="BQ197" s="156">
        <f t="shared" si="48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49"/>
        <v>1.3999999999999996E-7</v>
      </c>
      <c r="D198" s="140">
        <f t="shared" si="49"/>
        <v>2.7999999999999997E-7</v>
      </c>
      <c r="E198" s="140">
        <f t="shared" si="49"/>
        <v>4.2E-7</v>
      </c>
      <c r="F198" s="140">
        <f t="shared" si="49"/>
        <v>5.6000000000000004E-7</v>
      </c>
      <c r="G198" s="140">
        <f t="shared" si="49"/>
        <v>7.0000000000000007E-7</v>
      </c>
      <c r="H198" s="157">
        <f>IF(A198&lt;$B$9*DATA!$H$1037,DATA!$H$1037,IF(A198&gt;DATA!$H$1036*$B$9,DATA!$H$1036,1))</f>
        <v>0.8</v>
      </c>
      <c r="I198" s="156">
        <f t="shared" si="6"/>
        <v>9.9999999999999995E-8</v>
      </c>
      <c r="K198" s="140">
        <f t="shared" si="7"/>
        <v>1.4E-5</v>
      </c>
      <c r="L198">
        <v>1.4</v>
      </c>
      <c r="M198" s="140">
        <f t="shared" si="8"/>
        <v>1.3999999999999996E-7</v>
      </c>
      <c r="N198" s="140">
        <f t="shared" si="9"/>
        <v>2.7999999999999997E-7</v>
      </c>
      <c r="O198" s="140">
        <f t="shared" si="10"/>
        <v>4.2E-7</v>
      </c>
      <c r="P198" s="140">
        <f t="shared" si="11"/>
        <v>5.6000000000000004E-7</v>
      </c>
      <c r="Q198" s="140">
        <f t="shared" si="12"/>
        <v>7.0000000000000007E-7</v>
      </c>
      <c r="R198" s="157">
        <f>IF(K198&lt;$B$25*DATA!$H$1037,DATA!$H$1037,IF(K198&gt;DATA!$H$1036*$B$25,DATA!$H$1036,1))</f>
        <v>0.8</v>
      </c>
      <c r="S198" s="156">
        <f t="shared" si="13"/>
        <v>9.9999999999999995E-8</v>
      </c>
      <c r="U198" s="140">
        <f t="shared" si="14"/>
        <v>1.4E-5</v>
      </c>
      <c r="V198">
        <v>1.4</v>
      </c>
      <c r="W198" s="140">
        <f t="shared" si="15"/>
        <v>1.3999999999999996E-7</v>
      </c>
      <c r="X198" s="140">
        <f t="shared" si="16"/>
        <v>2.7999999999999997E-7</v>
      </c>
      <c r="Y198" s="140">
        <f t="shared" si="17"/>
        <v>4.2E-7</v>
      </c>
      <c r="Z198" s="140">
        <f t="shared" si="18"/>
        <v>5.6000000000000004E-7</v>
      </c>
      <c r="AA198" s="140">
        <f t="shared" si="19"/>
        <v>7.0000000000000007E-7</v>
      </c>
      <c r="AB198" s="157">
        <f>IF(U198&lt;$B$41*DATA!$H$1037,DATA!$H$1037,IF(U198&gt;DATA!$H$1036*$B$41,DATA!$H$1036,1))</f>
        <v>0.8</v>
      </c>
      <c r="AC198" s="156">
        <f t="shared" si="20"/>
        <v>9.9999999999999995E-8</v>
      </c>
      <c r="AE198" s="140">
        <f t="shared" si="21"/>
        <v>1.4E-5</v>
      </c>
      <c r="AF198">
        <v>1.4</v>
      </c>
      <c r="AG198" s="140">
        <f t="shared" si="22"/>
        <v>1.3999999999999996E-7</v>
      </c>
      <c r="AH198" s="140">
        <f t="shared" si="23"/>
        <v>2.7999999999999997E-7</v>
      </c>
      <c r="AI198" s="140">
        <f t="shared" si="24"/>
        <v>4.2E-7</v>
      </c>
      <c r="AJ198" s="140">
        <f t="shared" si="25"/>
        <v>5.6000000000000004E-7</v>
      </c>
      <c r="AK198" s="140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27"/>
        <v>9.9999999999999995E-8</v>
      </c>
      <c r="AO198" s="140">
        <f t="shared" si="28"/>
        <v>1.4E-5</v>
      </c>
      <c r="AP198">
        <v>1.4</v>
      </c>
      <c r="AQ198" s="140">
        <f t="shared" si="29"/>
        <v>1.3999999999999996E-7</v>
      </c>
      <c r="AR198" s="140">
        <f t="shared" si="30"/>
        <v>2.7999999999999997E-7</v>
      </c>
      <c r="AS198" s="140">
        <f t="shared" si="31"/>
        <v>4.2E-7</v>
      </c>
      <c r="AT198" s="140">
        <f t="shared" si="32"/>
        <v>5.6000000000000004E-7</v>
      </c>
      <c r="AU198" s="140">
        <f t="shared" si="33"/>
        <v>7.0000000000000007E-7</v>
      </c>
      <c r="AV198" s="157">
        <f>IF(AO198&lt;$B$73*DATA!$H$1037,DATA!$H$1037,IF(AO198&gt;DATA!$H$1036*$B$73,DATA!$H$1036,1))</f>
        <v>1.2</v>
      </c>
      <c r="AW198" s="156">
        <f t="shared" si="34"/>
        <v>9.9999999999999995E-8</v>
      </c>
      <c r="AY198" s="140">
        <f t="shared" si="35"/>
        <v>1.4E-5</v>
      </c>
      <c r="AZ198">
        <v>1.4</v>
      </c>
      <c r="BA198" s="140">
        <f t="shared" si="36"/>
        <v>1.3999999999999996E-7</v>
      </c>
      <c r="BB198" s="140">
        <f t="shared" si="37"/>
        <v>2.7999999999999997E-7</v>
      </c>
      <c r="BC198" s="140">
        <f t="shared" si="38"/>
        <v>4.2E-7</v>
      </c>
      <c r="BD198" s="140">
        <f t="shared" si="39"/>
        <v>5.6000000000000004E-7</v>
      </c>
      <c r="BE198" s="140">
        <f t="shared" si="40"/>
        <v>7.0000000000000007E-7</v>
      </c>
      <c r="BF198" s="157">
        <f>IF(AY198&lt;$B$89*DATA!$H$1037,DATA!$H$1037,IF(AY198&gt;DATA!$H$1036*$B$89,DATA!$H$1036,1))</f>
        <v>1.2</v>
      </c>
      <c r="BG198" s="156">
        <f t="shared" si="41"/>
        <v>9.9999999999999995E-8</v>
      </c>
      <c r="BI198" s="140">
        <f t="shared" si="42"/>
        <v>1.4E-5</v>
      </c>
      <c r="BJ198">
        <v>1.4</v>
      </c>
      <c r="BK198" s="140">
        <f t="shared" si="43"/>
        <v>1.3999999999999996E-7</v>
      </c>
      <c r="BL198" s="140">
        <f t="shared" si="44"/>
        <v>2.7999999999999997E-7</v>
      </c>
      <c r="BM198" s="140">
        <f t="shared" si="45"/>
        <v>4.2E-7</v>
      </c>
      <c r="BN198" s="140">
        <f t="shared" si="46"/>
        <v>5.6000000000000004E-7</v>
      </c>
      <c r="BO198" s="140">
        <f t="shared" si="47"/>
        <v>7.0000000000000007E-7</v>
      </c>
      <c r="BP198" s="157">
        <f>IF(BI198&lt;$B$105*DATA!$H$1037,DATA!$H$1037,IF(BI198&gt;DATA!$H$1036*$B$105,DATA!$H$1036,1))</f>
        <v>1.2</v>
      </c>
      <c r="BQ198" s="156">
        <f t="shared" si="48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49"/>
        <v>1.4199999999999997E-7</v>
      </c>
      <c r="D199" s="140">
        <f t="shared" si="49"/>
        <v>2.84E-7</v>
      </c>
      <c r="E199" s="140">
        <f t="shared" si="49"/>
        <v>4.2600000000000003E-7</v>
      </c>
      <c r="F199" s="140">
        <f t="shared" si="49"/>
        <v>5.6800000000000011E-7</v>
      </c>
      <c r="G199" s="140">
        <f t="shared" si="49"/>
        <v>7.1000000000000008E-7</v>
      </c>
      <c r="H199" s="157">
        <f>IF(A199&lt;$B$9*DATA!$H$1037,DATA!$H$1037,IF(A199&gt;DATA!$H$1036*$B$9,DATA!$H$1036,1))</f>
        <v>0.8</v>
      </c>
      <c r="I199" s="156">
        <f t="shared" si="6"/>
        <v>9.9999999999999995E-8</v>
      </c>
      <c r="K199" s="140">
        <f t="shared" si="7"/>
        <v>1.4200000000000001E-5</v>
      </c>
      <c r="L199">
        <v>1.42</v>
      </c>
      <c r="M199" s="140">
        <f t="shared" si="8"/>
        <v>1.4199999999999997E-7</v>
      </c>
      <c r="N199" s="140">
        <f t="shared" si="9"/>
        <v>2.84E-7</v>
      </c>
      <c r="O199" s="140">
        <f t="shared" si="10"/>
        <v>4.2600000000000003E-7</v>
      </c>
      <c r="P199" s="140">
        <f t="shared" si="11"/>
        <v>5.6800000000000011E-7</v>
      </c>
      <c r="Q199" s="140">
        <f t="shared" si="12"/>
        <v>7.1000000000000008E-7</v>
      </c>
      <c r="R199" s="157">
        <f>IF(K199&lt;$B$25*DATA!$H$1037,DATA!$H$1037,IF(K199&gt;DATA!$H$1036*$B$25,DATA!$H$1036,1))</f>
        <v>0.8</v>
      </c>
      <c r="S199" s="156">
        <f t="shared" si="13"/>
        <v>9.9999999999999995E-8</v>
      </c>
      <c r="U199" s="140">
        <f t="shared" si="14"/>
        <v>1.4200000000000001E-5</v>
      </c>
      <c r="V199">
        <v>1.42</v>
      </c>
      <c r="W199" s="140">
        <f t="shared" si="15"/>
        <v>1.4199999999999997E-7</v>
      </c>
      <c r="X199" s="140">
        <f t="shared" si="16"/>
        <v>2.84E-7</v>
      </c>
      <c r="Y199" s="140">
        <f t="shared" si="17"/>
        <v>4.2600000000000003E-7</v>
      </c>
      <c r="Z199" s="140">
        <f t="shared" si="18"/>
        <v>5.6800000000000011E-7</v>
      </c>
      <c r="AA199" s="140">
        <f t="shared" si="19"/>
        <v>7.1000000000000008E-7</v>
      </c>
      <c r="AB199" s="157">
        <f>IF(U199&lt;$B$41*DATA!$H$1037,DATA!$H$1037,IF(U199&gt;DATA!$H$1036*$B$41,DATA!$H$1036,1))</f>
        <v>0.8</v>
      </c>
      <c r="AC199" s="156">
        <f t="shared" si="20"/>
        <v>9.9999999999999995E-8</v>
      </c>
      <c r="AE199" s="140">
        <f t="shared" si="21"/>
        <v>1.4200000000000001E-5</v>
      </c>
      <c r="AF199">
        <v>1.42</v>
      </c>
      <c r="AG199" s="140">
        <f t="shared" si="22"/>
        <v>1.4199999999999997E-7</v>
      </c>
      <c r="AH199" s="140">
        <f t="shared" si="23"/>
        <v>2.84E-7</v>
      </c>
      <c r="AI199" s="140">
        <f t="shared" si="24"/>
        <v>4.2600000000000003E-7</v>
      </c>
      <c r="AJ199" s="140">
        <f t="shared" si="25"/>
        <v>5.6800000000000011E-7</v>
      </c>
      <c r="AK199" s="140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27"/>
        <v>9.9999999999999995E-8</v>
      </c>
      <c r="AO199" s="140">
        <f t="shared" si="28"/>
        <v>1.4200000000000001E-5</v>
      </c>
      <c r="AP199">
        <v>1.42</v>
      </c>
      <c r="AQ199" s="140">
        <f t="shared" si="29"/>
        <v>1.4199999999999997E-7</v>
      </c>
      <c r="AR199" s="140">
        <f t="shared" si="30"/>
        <v>2.84E-7</v>
      </c>
      <c r="AS199" s="140">
        <f t="shared" si="31"/>
        <v>4.2600000000000003E-7</v>
      </c>
      <c r="AT199" s="140">
        <f t="shared" si="32"/>
        <v>5.6800000000000011E-7</v>
      </c>
      <c r="AU199" s="140">
        <f t="shared" si="33"/>
        <v>7.1000000000000008E-7</v>
      </c>
      <c r="AV199" s="157">
        <f>IF(AO199&lt;$B$73*DATA!$H$1037,DATA!$H$1037,IF(AO199&gt;DATA!$H$1036*$B$73,DATA!$H$1036,1))</f>
        <v>1.2</v>
      </c>
      <c r="AW199" s="156">
        <f t="shared" si="34"/>
        <v>9.9999999999999995E-8</v>
      </c>
      <c r="AY199" s="140">
        <f t="shared" si="35"/>
        <v>1.4200000000000001E-5</v>
      </c>
      <c r="AZ199">
        <v>1.42</v>
      </c>
      <c r="BA199" s="140">
        <f t="shared" si="36"/>
        <v>1.4199999999999997E-7</v>
      </c>
      <c r="BB199" s="140">
        <f t="shared" si="37"/>
        <v>2.84E-7</v>
      </c>
      <c r="BC199" s="140">
        <f t="shared" si="38"/>
        <v>4.2600000000000003E-7</v>
      </c>
      <c r="BD199" s="140">
        <f t="shared" si="39"/>
        <v>5.6800000000000011E-7</v>
      </c>
      <c r="BE199" s="140">
        <f t="shared" si="40"/>
        <v>7.1000000000000008E-7</v>
      </c>
      <c r="BF199" s="157">
        <f>IF(AY199&lt;$B$89*DATA!$H$1037,DATA!$H$1037,IF(AY199&gt;DATA!$H$1036*$B$89,DATA!$H$1036,1))</f>
        <v>1.2</v>
      </c>
      <c r="BG199" s="156">
        <f t="shared" si="41"/>
        <v>9.9999999999999995E-8</v>
      </c>
      <c r="BI199" s="140">
        <f t="shared" si="42"/>
        <v>1.4200000000000001E-5</v>
      </c>
      <c r="BJ199">
        <v>1.42</v>
      </c>
      <c r="BK199" s="140">
        <f t="shared" si="43"/>
        <v>1.4199999999999997E-7</v>
      </c>
      <c r="BL199" s="140">
        <f t="shared" si="44"/>
        <v>2.84E-7</v>
      </c>
      <c r="BM199" s="140">
        <f t="shared" si="45"/>
        <v>4.2600000000000003E-7</v>
      </c>
      <c r="BN199" s="140">
        <f t="shared" si="46"/>
        <v>5.6800000000000011E-7</v>
      </c>
      <c r="BO199" s="140">
        <f t="shared" si="47"/>
        <v>7.1000000000000008E-7</v>
      </c>
      <c r="BP199" s="157">
        <f>IF(BI199&lt;$B$105*DATA!$H$1037,DATA!$H$1037,IF(BI199&gt;DATA!$H$1036*$B$105,DATA!$H$1036,1))</f>
        <v>1.2</v>
      </c>
      <c r="BQ199" s="156">
        <f t="shared" si="48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49"/>
        <v>1.4399999999999997E-7</v>
      </c>
      <c r="D200" s="140">
        <f t="shared" si="49"/>
        <v>2.8799999999999998E-7</v>
      </c>
      <c r="E200" s="140">
        <f t="shared" si="49"/>
        <v>4.32E-7</v>
      </c>
      <c r="F200" s="140">
        <f t="shared" si="49"/>
        <v>5.7600000000000008E-7</v>
      </c>
      <c r="G200" s="140">
        <f t="shared" si="49"/>
        <v>7.2000000000000009E-7</v>
      </c>
      <c r="H200" s="157">
        <f>IF(A200&lt;$B$9*DATA!$H$1037,DATA!$H$1037,IF(A200&gt;DATA!$H$1036*$B$9,DATA!$H$1036,1))</f>
        <v>0.8</v>
      </c>
      <c r="I200" s="156">
        <f t="shared" si="6"/>
        <v>9.9999999999999995E-8</v>
      </c>
      <c r="K200" s="140">
        <f t="shared" si="7"/>
        <v>1.4400000000000001E-5</v>
      </c>
      <c r="L200">
        <v>1.44</v>
      </c>
      <c r="M200" s="140">
        <f t="shared" si="8"/>
        <v>1.4399999999999997E-7</v>
      </c>
      <c r="N200" s="140">
        <f t="shared" si="9"/>
        <v>2.8799999999999998E-7</v>
      </c>
      <c r="O200" s="140">
        <f t="shared" si="10"/>
        <v>4.32E-7</v>
      </c>
      <c r="P200" s="140">
        <f t="shared" si="11"/>
        <v>5.7600000000000008E-7</v>
      </c>
      <c r="Q200" s="140">
        <f t="shared" si="12"/>
        <v>7.2000000000000009E-7</v>
      </c>
      <c r="R200" s="157">
        <f>IF(K200&lt;$B$25*DATA!$H$1037,DATA!$H$1037,IF(K200&gt;DATA!$H$1036*$B$25,DATA!$H$1036,1))</f>
        <v>0.8</v>
      </c>
      <c r="S200" s="156">
        <f t="shared" si="13"/>
        <v>9.9999999999999995E-8</v>
      </c>
      <c r="U200" s="140">
        <f t="shared" si="14"/>
        <v>1.4400000000000001E-5</v>
      </c>
      <c r="V200">
        <v>1.44</v>
      </c>
      <c r="W200" s="140">
        <f t="shared" si="15"/>
        <v>1.4399999999999997E-7</v>
      </c>
      <c r="X200" s="140">
        <f t="shared" si="16"/>
        <v>2.8799999999999998E-7</v>
      </c>
      <c r="Y200" s="140">
        <f t="shared" si="17"/>
        <v>4.32E-7</v>
      </c>
      <c r="Z200" s="140">
        <f t="shared" si="18"/>
        <v>5.7600000000000008E-7</v>
      </c>
      <c r="AA200" s="140">
        <f t="shared" si="19"/>
        <v>7.2000000000000009E-7</v>
      </c>
      <c r="AB200" s="157">
        <f>IF(U200&lt;$B$41*DATA!$H$1037,DATA!$H$1037,IF(U200&gt;DATA!$H$1036*$B$41,DATA!$H$1036,1))</f>
        <v>0.8</v>
      </c>
      <c r="AC200" s="156">
        <f t="shared" si="20"/>
        <v>9.9999999999999995E-8</v>
      </c>
      <c r="AE200" s="140">
        <f t="shared" si="21"/>
        <v>1.4400000000000001E-5</v>
      </c>
      <c r="AF200">
        <v>1.44</v>
      </c>
      <c r="AG200" s="140">
        <f t="shared" si="22"/>
        <v>1.4399999999999997E-7</v>
      </c>
      <c r="AH200" s="140">
        <f t="shared" si="23"/>
        <v>2.8799999999999998E-7</v>
      </c>
      <c r="AI200" s="140">
        <f t="shared" si="24"/>
        <v>4.32E-7</v>
      </c>
      <c r="AJ200" s="140">
        <f t="shared" si="25"/>
        <v>5.7600000000000008E-7</v>
      </c>
      <c r="AK200" s="140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27"/>
        <v>9.9999999999999995E-8</v>
      </c>
      <c r="AO200" s="140">
        <f t="shared" si="28"/>
        <v>1.4400000000000001E-5</v>
      </c>
      <c r="AP200">
        <v>1.44</v>
      </c>
      <c r="AQ200" s="140">
        <f t="shared" si="29"/>
        <v>1.4399999999999997E-7</v>
      </c>
      <c r="AR200" s="140">
        <f t="shared" si="30"/>
        <v>2.8799999999999998E-7</v>
      </c>
      <c r="AS200" s="140">
        <f t="shared" si="31"/>
        <v>4.32E-7</v>
      </c>
      <c r="AT200" s="140">
        <f t="shared" si="32"/>
        <v>5.7600000000000008E-7</v>
      </c>
      <c r="AU200" s="140">
        <f t="shared" si="33"/>
        <v>7.2000000000000009E-7</v>
      </c>
      <c r="AV200" s="157">
        <f>IF(AO200&lt;$B$73*DATA!$H$1037,DATA!$H$1037,IF(AO200&gt;DATA!$H$1036*$B$73,DATA!$H$1036,1))</f>
        <v>1.2</v>
      </c>
      <c r="AW200" s="156">
        <f t="shared" si="34"/>
        <v>9.9999999999999995E-8</v>
      </c>
      <c r="AY200" s="140">
        <f t="shared" si="35"/>
        <v>1.4400000000000001E-5</v>
      </c>
      <c r="AZ200">
        <v>1.44</v>
      </c>
      <c r="BA200" s="140">
        <f t="shared" si="36"/>
        <v>1.4399999999999997E-7</v>
      </c>
      <c r="BB200" s="140">
        <f t="shared" si="37"/>
        <v>2.8799999999999998E-7</v>
      </c>
      <c r="BC200" s="140">
        <f t="shared" si="38"/>
        <v>4.32E-7</v>
      </c>
      <c r="BD200" s="140">
        <f t="shared" si="39"/>
        <v>5.7600000000000008E-7</v>
      </c>
      <c r="BE200" s="140">
        <f t="shared" si="40"/>
        <v>7.2000000000000009E-7</v>
      </c>
      <c r="BF200" s="157">
        <f>IF(AY200&lt;$B$89*DATA!$H$1037,DATA!$H$1037,IF(AY200&gt;DATA!$H$1036*$B$89,DATA!$H$1036,1))</f>
        <v>1.2</v>
      </c>
      <c r="BG200" s="156">
        <f t="shared" si="41"/>
        <v>9.9999999999999995E-8</v>
      </c>
      <c r="BI200" s="140">
        <f t="shared" si="42"/>
        <v>1.4400000000000001E-5</v>
      </c>
      <c r="BJ200">
        <v>1.44</v>
      </c>
      <c r="BK200" s="140">
        <f t="shared" si="43"/>
        <v>1.4399999999999997E-7</v>
      </c>
      <c r="BL200" s="140">
        <f t="shared" si="44"/>
        <v>2.8799999999999998E-7</v>
      </c>
      <c r="BM200" s="140">
        <f t="shared" si="45"/>
        <v>4.32E-7</v>
      </c>
      <c r="BN200" s="140">
        <f t="shared" si="46"/>
        <v>5.7600000000000008E-7</v>
      </c>
      <c r="BO200" s="140">
        <f t="shared" si="47"/>
        <v>7.2000000000000009E-7</v>
      </c>
      <c r="BP200" s="157">
        <f>IF(BI200&lt;$B$105*DATA!$H$1037,DATA!$H$1037,IF(BI200&gt;DATA!$H$1036*$B$105,DATA!$H$1036,1))</f>
        <v>1.2</v>
      </c>
      <c r="BQ200" s="156">
        <f t="shared" si="48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49"/>
        <v>1.4599999999999996E-7</v>
      </c>
      <c r="D201" s="140">
        <f t="shared" si="49"/>
        <v>2.9199999999999997E-7</v>
      </c>
      <c r="E201" s="140">
        <f t="shared" si="49"/>
        <v>4.3800000000000003E-7</v>
      </c>
      <c r="F201" s="140">
        <f t="shared" si="49"/>
        <v>5.8400000000000004E-7</v>
      </c>
      <c r="G201" s="140">
        <f t="shared" si="49"/>
        <v>7.300000000000001E-7</v>
      </c>
      <c r="H201" s="157">
        <f>IF(A201&lt;$B$9*DATA!$H$1037,DATA!$H$1037,IF(A201&gt;DATA!$H$1036*$B$9,DATA!$H$1036,1))</f>
        <v>0.8</v>
      </c>
      <c r="I201" s="156">
        <f t="shared" si="6"/>
        <v>9.9999999999999995E-8</v>
      </c>
      <c r="K201" s="140">
        <f t="shared" si="7"/>
        <v>1.4600000000000001E-5</v>
      </c>
      <c r="L201">
        <v>1.46</v>
      </c>
      <c r="M201" s="140">
        <f t="shared" si="8"/>
        <v>1.4599999999999996E-7</v>
      </c>
      <c r="N201" s="140">
        <f t="shared" si="9"/>
        <v>2.9199999999999997E-7</v>
      </c>
      <c r="O201" s="140">
        <f t="shared" si="10"/>
        <v>4.3800000000000003E-7</v>
      </c>
      <c r="P201" s="140">
        <f t="shared" si="11"/>
        <v>5.8400000000000004E-7</v>
      </c>
      <c r="Q201" s="140">
        <f t="shared" si="12"/>
        <v>7.300000000000001E-7</v>
      </c>
      <c r="R201" s="157">
        <f>IF(K201&lt;$B$25*DATA!$H$1037,DATA!$H$1037,IF(K201&gt;DATA!$H$1036*$B$25,DATA!$H$1036,1))</f>
        <v>0.8</v>
      </c>
      <c r="S201" s="156">
        <f t="shared" si="13"/>
        <v>9.9999999999999995E-8</v>
      </c>
      <c r="U201" s="140">
        <f t="shared" si="14"/>
        <v>1.4600000000000001E-5</v>
      </c>
      <c r="V201">
        <v>1.46</v>
      </c>
      <c r="W201" s="140">
        <f t="shared" si="15"/>
        <v>1.4599999999999996E-7</v>
      </c>
      <c r="X201" s="140">
        <f t="shared" si="16"/>
        <v>2.9199999999999997E-7</v>
      </c>
      <c r="Y201" s="140">
        <f t="shared" si="17"/>
        <v>4.3800000000000003E-7</v>
      </c>
      <c r="Z201" s="140">
        <f t="shared" si="18"/>
        <v>5.8400000000000004E-7</v>
      </c>
      <c r="AA201" s="140">
        <f t="shared" si="19"/>
        <v>7.300000000000001E-7</v>
      </c>
      <c r="AB201" s="157">
        <f>IF(U201&lt;$B$41*DATA!$H$1037,DATA!$H$1037,IF(U201&gt;DATA!$H$1036*$B$41,DATA!$H$1036,1))</f>
        <v>0.8</v>
      </c>
      <c r="AC201" s="156">
        <f t="shared" si="20"/>
        <v>9.9999999999999995E-8</v>
      </c>
      <c r="AE201" s="140">
        <f t="shared" si="21"/>
        <v>1.4600000000000001E-5</v>
      </c>
      <c r="AF201">
        <v>1.46</v>
      </c>
      <c r="AG201" s="140">
        <f t="shared" si="22"/>
        <v>1.4599999999999996E-7</v>
      </c>
      <c r="AH201" s="140">
        <f t="shared" si="23"/>
        <v>2.9199999999999997E-7</v>
      </c>
      <c r="AI201" s="140">
        <f t="shared" si="24"/>
        <v>4.3800000000000003E-7</v>
      </c>
      <c r="AJ201" s="140">
        <f t="shared" si="25"/>
        <v>5.8400000000000004E-7</v>
      </c>
      <c r="AK201" s="140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27"/>
        <v>9.9999999999999995E-8</v>
      </c>
      <c r="AO201" s="140">
        <f t="shared" si="28"/>
        <v>1.4600000000000001E-5</v>
      </c>
      <c r="AP201">
        <v>1.46</v>
      </c>
      <c r="AQ201" s="140">
        <f t="shared" si="29"/>
        <v>1.4599999999999996E-7</v>
      </c>
      <c r="AR201" s="140">
        <f t="shared" si="30"/>
        <v>2.9199999999999997E-7</v>
      </c>
      <c r="AS201" s="140">
        <f t="shared" si="31"/>
        <v>4.3800000000000003E-7</v>
      </c>
      <c r="AT201" s="140">
        <f t="shared" si="32"/>
        <v>5.8400000000000004E-7</v>
      </c>
      <c r="AU201" s="140">
        <f t="shared" si="33"/>
        <v>7.300000000000001E-7</v>
      </c>
      <c r="AV201" s="157">
        <f>IF(AO201&lt;$B$73*DATA!$H$1037,DATA!$H$1037,IF(AO201&gt;DATA!$H$1036*$B$73,DATA!$H$1036,1))</f>
        <v>1.2</v>
      </c>
      <c r="AW201" s="156">
        <f t="shared" si="34"/>
        <v>9.9999999999999995E-8</v>
      </c>
      <c r="AY201" s="140">
        <f t="shared" si="35"/>
        <v>1.4600000000000001E-5</v>
      </c>
      <c r="AZ201">
        <v>1.46</v>
      </c>
      <c r="BA201" s="140">
        <f t="shared" si="36"/>
        <v>1.4599999999999996E-7</v>
      </c>
      <c r="BB201" s="140">
        <f t="shared" si="37"/>
        <v>2.9199999999999997E-7</v>
      </c>
      <c r="BC201" s="140">
        <f t="shared" si="38"/>
        <v>4.3800000000000003E-7</v>
      </c>
      <c r="BD201" s="140">
        <f t="shared" si="39"/>
        <v>5.8400000000000004E-7</v>
      </c>
      <c r="BE201" s="140">
        <f t="shared" si="40"/>
        <v>7.300000000000001E-7</v>
      </c>
      <c r="BF201" s="157">
        <f>IF(AY201&lt;$B$89*DATA!$H$1037,DATA!$H$1037,IF(AY201&gt;DATA!$H$1036*$B$89,DATA!$H$1036,1))</f>
        <v>1.2</v>
      </c>
      <c r="BG201" s="156">
        <f t="shared" si="41"/>
        <v>9.9999999999999995E-8</v>
      </c>
      <c r="BI201" s="140">
        <f t="shared" si="42"/>
        <v>1.4600000000000001E-5</v>
      </c>
      <c r="BJ201">
        <v>1.46</v>
      </c>
      <c r="BK201" s="140">
        <f t="shared" si="43"/>
        <v>1.4599999999999996E-7</v>
      </c>
      <c r="BL201" s="140">
        <f t="shared" si="44"/>
        <v>2.9199999999999997E-7</v>
      </c>
      <c r="BM201" s="140">
        <f t="shared" si="45"/>
        <v>4.3800000000000003E-7</v>
      </c>
      <c r="BN201" s="140">
        <f t="shared" si="46"/>
        <v>5.8400000000000004E-7</v>
      </c>
      <c r="BO201" s="140">
        <f t="shared" si="47"/>
        <v>7.300000000000001E-7</v>
      </c>
      <c r="BP201" s="157">
        <f>IF(BI201&lt;$B$105*DATA!$H$1037,DATA!$H$1037,IF(BI201&gt;DATA!$H$1036*$B$105,DATA!$H$1036,1))</f>
        <v>1.2</v>
      </c>
      <c r="BQ201" s="156">
        <f t="shared" si="48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49"/>
        <v>1.4799999999999995E-7</v>
      </c>
      <c r="D202" s="140">
        <f t="shared" si="49"/>
        <v>2.9599999999999995E-7</v>
      </c>
      <c r="E202" s="140">
        <f t="shared" si="49"/>
        <v>4.4400000000000001E-7</v>
      </c>
      <c r="F202" s="140">
        <f t="shared" si="49"/>
        <v>5.9200000000000001E-7</v>
      </c>
      <c r="G202" s="140">
        <f t="shared" si="49"/>
        <v>7.4000000000000011E-7</v>
      </c>
      <c r="H202" s="157">
        <f>IF(A202&lt;$B$9*DATA!$H$1037,DATA!$H$1037,IF(A202&gt;DATA!$H$1036*$B$9,DATA!$H$1036,1))</f>
        <v>0.8</v>
      </c>
      <c r="I202" s="156">
        <f t="shared" si="6"/>
        <v>9.9999999999999995E-8</v>
      </c>
      <c r="K202" s="140">
        <f t="shared" si="7"/>
        <v>1.4800000000000001E-5</v>
      </c>
      <c r="L202">
        <v>1.48</v>
      </c>
      <c r="M202" s="140">
        <f t="shared" si="8"/>
        <v>1.4799999999999995E-7</v>
      </c>
      <c r="N202" s="140">
        <f t="shared" si="9"/>
        <v>2.9599999999999995E-7</v>
      </c>
      <c r="O202" s="140">
        <f t="shared" si="10"/>
        <v>4.4400000000000001E-7</v>
      </c>
      <c r="P202" s="140">
        <f t="shared" si="11"/>
        <v>5.9200000000000001E-7</v>
      </c>
      <c r="Q202" s="140">
        <f t="shared" si="12"/>
        <v>7.4000000000000011E-7</v>
      </c>
      <c r="R202" s="157">
        <f>IF(K202&lt;$B$25*DATA!$H$1037,DATA!$H$1037,IF(K202&gt;DATA!$H$1036*$B$25,DATA!$H$1036,1))</f>
        <v>0.8</v>
      </c>
      <c r="S202" s="156">
        <f t="shared" si="13"/>
        <v>9.9999999999999995E-8</v>
      </c>
      <c r="U202" s="140">
        <f t="shared" si="14"/>
        <v>1.4800000000000001E-5</v>
      </c>
      <c r="V202">
        <v>1.48</v>
      </c>
      <c r="W202" s="140">
        <f t="shared" si="15"/>
        <v>1.4799999999999995E-7</v>
      </c>
      <c r="X202" s="140">
        <f t="shared" si="16"/>
        <v>2.9599999999999995E-7</v>
      </c>
      <c r="Y202" s="140">
        <f t="shared" si="17"/>
        <v>4.4400000000000001E-7</v>
      </c>
      <c r="Z202" s="140">
        <f t="shared" si="18"/>
        <v>5.9200000000000001E-7</v>
      </c>
      <c r="AA202" s="140">
        <f t="shared" si="19"/>
        <v>7.4000000000000011E-7</v>
      </c>
      <c r="AB202" s="157">
        <f>IF(U202&lt;$B$41*DATA!$H$1037,DATA!$H$1037,IF(U202&gt;DATA!$H$1036*$B$41,DATA!$H$1036,1))</f>
        <v>0.8</v>
      </c>
      <c r="AC202" s="156">
        <f t="shared" si="20"/>
        <v>9.9999999999999995E-8</v>
      </c>
      <c r="AE202" s="140">
        <f t="shared" si="21"/>
        <v>1.4800000000000001E-5</v>
      </c>
      <c r="AF202">
        <v>1.48</v>
      </c>
      <c r="AG202" s="140">
        <f t="shared" si="22"/>
        <v>1.4799999999999995E-7</v>
      </c>
      <c r="AH202" s="140">
        <f t="shared" si="23"/>
        <v>2.9599999999999995E-7</v>
      </c>
      <c r="AI202" s="140">
        <f t="shared" si="24"/>
        <v>4.4400000000000001E-7</v>
      </c>
      <c r="AJ202" s="140">
        <f t="shared" si="25"/>
        <v>5.9200000000000001E-7</v>
      </c>
      <c r="AK202" s="140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27"/>
        <v>9.9999999999999995E-8</v>
      </c>
      <c r="AO202" s="140">
        <f t="shared" si="28"/>
        <v>1.4800000000000001E-5</v>
      </c>
      <c r="AP202">
        <v>1.48</v>
      </c>
      <c r="AQ202" s="140">
        <f t="shared" si="29"/>
        <v>1.4799999999999995E-7</v>
      </c>
      <c r="AR202" s="140">
        <f t="shared" si="30"/>
        <v>2.9599999999999995E-7</v>
      </c>
      <c r="AS202" s="140">
        <f t="shared" si="31"/>
        <v>4.4400000000000001E-7</v>
      </c>
      <c r="AT202" s="140">
        <f t="shared" si="32"/>
        <v>5.9200000000000001E-7</v>
      </c>
      <c r="AU202" s="140">
        <f t="shared" si="33"/>
        <v>7.4000000000000011E-7</v>
      </c>
      <c r="AV202" s="157">
        <f>IF(AO202&lt;$B$73*DATA!$H$1037,DATA!$H$1037,IF(AO202&gt;DATA!$H$1036*$B$73,DATA!$H$1036,1))</f>
        <v>1.2</v>
      </c>
      <c r="AW202" s="156">
        <f t="shared" si="34"/>
        <v>9.9999999999999995E-8</v>
      </c>
      <c r="AY202" s="140">
        <f t="shared" si="35"/>
        <v>1.4800000000000001E-5</v>
      </c>
      <c r="AZ202">
        <v>1.48</v>
      </c>
      <c r="BA202" s="140">
        <f t="shared" si="36"/>
        <v>1.4799999999999995E-7</v>
      </c>
      <c r="BB202" s="140">
        <f t="shared" si="37"/>
        <v>2.9599999999999995E-7</v>
      </c>
      <c r="BC202" s="140">
        <f t="shared" si="38"/>
        <v>4.4400000000000001E-7</v>
      </c>
      <c r="BD202" s="140">
        <f t="shared" si="39"/>
        <v>5.9200000000000001E-7</v>
      </c>
      <c r="BE202" s="140">
        <f t="shared" si="40"/>
        <v>7.4000000000000011E-7</v>
      </c>
      <c r="BF202" s="157">
        <f>IF(AY202&lt;$B$89*DATA!$H$1037,DATA!$H$1037,IF(AY202&gt;DATA!$H$1036*$B$89,DATA!$H$1036,1))</f>
        <v>1.2</v>
      </c>
      <c r="BG202" s="156">
        <f t="shared" si="41"/>
        <v>9.9999999999999995E-8</v>
      </c>
      <c r="BI202" s="140">
        <f t="shared" si="42"/>
        <v>1.4800000000000001E-5</v>
      </c>
      <c r="BJ202">
        <v>1.48</v>
      </c>
      <c r="BK202" s="140">
        <f t="shared" si="43"/>
        <v>1.4799999999999995E-7</v>
      </c>
      <c r="BL202" s="140">
        <f t="shared" si="44"/>
        <v>2.9599999999999995E-7</v>
      </c>
      <c r="BM202" s="140">
        <f t="shared" si="45"/>
        <v>4.4400000000000001E-7</v>
      </c>
      <c r="BN202" s="140">
        <f t="shared" si="46"/>
        <v>5.9200000000000001E-7</v>
      </c>
      <c r="BO202" s="140">
        <f t="shared" si="47"/>
        <v>7.4000000000000011E-7</v>
      </c>
      <c r="BP202" s="157">
        <f>IF(BI202&lt;$B$105*DATA!$H$1037,DATA!$H$1037,IF(BI202&gt;DATA!$H$1036*$B$105,DATA!$H$1036,1))</f>
        <v>1.2</v>
      </c>
      <c r="BQ202" s="156">
        <f t="shared" si="48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49"/>
        <v>1.4999999999999997E-7</v>
      </c>
      <c r="D203" s="140">
        <f t="shared" si="49"/>
        <v>2.9999999999999999E-7</v>
      </c>
      <c r="E203" s="140">
        <f t="shared" si="49"/>
        <v>4.5000000000000003E-7</v>
      </c>
      <c r="F203" s="140">
        <f t="shared" si="49"/>
        <v>6.0000000000000008E-7</v>
      </c>
      <c r="G203" s="140">
        <f t="shared" si="49"/>
        <v>7.5000000000000012E-7</v>
      </c>
      <c r="H203" s="157">
        <f>IF(A203&lt;$B$9*DATA!$H$1037,DATA!$H$1037,IF(A203&gt;DATA!$H$1036*$B$9,DATA!$H$1036,1))</f>
        <v>0.8</v>
      </c>
      <c r="I203" s="156">
        <f t="shared" si="6"/>
        <v>9.9999999999999995E-8</v>
      </c>
      <c r="K203" s="140">
        <f t="shared" si="7"/>
        <v>1.5000000000000002E-5</v>
      </c>
      <c r="L203">
        <v>1.5</v>
      </c>
      <c r="M203" s="140">
        <f t="shared" si="8"/>
        <v>1.4999999999999997E-7</v>
      </c>
      <c r="N203" s="140">
        <f t="shared" si="9"/>
        <v>2.9999999999999999E-7</v>
      </c>
      <c r="O203" s="140">
        <f t="shared" si="10"/>
        <v>4.5000000000000003E-7</v>
      </c>
      <c r="P203" s="140">
        <f t="shared" si="11"/>
        <v>6.0000000000000008E-7</v>
      </c>
      <c r="Q203" s="140">
        <f t="shared" si="12"/>
        <v>7.5000000000000012E-7</v>
      </c>
      <c r="R203" s="157">
        <f>IF(K203&lt;$B$25*DATA!$H$1037,DATA!$H$1037,IF(K203&gt;DATA!$H$1036*$B$25,DATA!$H$1036,1))</f>
        <v>0.8</v>
      </c>
      <c r="S203" s="156">
        <f t="shared" si="13"/>
        <v>9.9999999999999995E-8</v>
      </c>
      <c r="U203" s="140">
        <f t="shared" si="14"/>
        <v>1.5000000000000002E-5</v>
      </c>
      <c r="V203">
        <v>1.5</v>
      </c>
      <c r="W203" s="140">
        <f t="shared" si="15"/>
        <v>1.4999999999999997E-7</v>
      </c>
      <c r="X203" s="140">
        <f t="shared" si="16"/>
        <v>2.9999999999999999E-7</v>
      </c>
      <c r="Y203" s="140">
        <f t="shared" si="17"/>
        <v>4.5000000000000003E-7</v>
      </c>
      <c r="Z203" s="140">
        <f t="shared" si="18"/>
        <v>6.0000000000000008E-7</v>
      </c>
      <c r="AA203" s="140">
        <f t="shared" si="19"/>
        <v>7.5000000000000012E-7</v>
      </c>
      <c r="AB203" s="157">
        <f>IF(U203&lt;$B$41*DATA!$H$1037,DATA!$H$1037,IF(U203&gt;DATA!$H$1036*$B$41,DATA!$H$1036,1))</f>
        <v>0.8</v>
      </c>
      <c r="AC203" s="156">
        <f t="shared" si="20"/>
        <v>9.9999999999999995E-8</v>
      </c>
      <c r="AE203" s="140">
        <f t="shared" si="21"/>
        <v>1.5000000000000002E-5</v>
      </c>
      <c r="AF203">
        <v>1.5</v>
      </c>
      <c r="AG203" s="140">
        <f t="shared" si="22"/>
        <v>1.4999999999999997E-7</v>
      </c>
      <c r="AH203" s="140">
        <f t="shared" si="23"/>
        <v>2.9999999999999999E-7</v>
      </c>
      <c r="AI203" s="140">
        <f t="shared" si="24"/>
        <v>4.5000000000000003E-7</v>
      </c>
      <c r="AJ203" s="140">
        <f t="shared" si="25"/>
        <v>6.0000000000000008E-7</v>
      </c>
      <c r="AK203" s="140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27"/>
        <v>9.9999999999999995E-8</v>
      </c>
      <c r="AO203" s="140">
        <f t="shared" si="28"/>
        <v>1.5000000000000002E-5</v>
      </c>
      <c r="AP203">
        <v>1.5</v>
      </c>
      <c r="AQ203" s="140">
        <f t="shared" si="29"/>
        <v>1.4999999999999997E-7</v>
      </c>
      <c r="AR203" s="140">
        <f t="shared" si="30"/>
        <v>2.9999999999999999E-7</v>
      </c>
      <c r="AS203" s="140">
        <f t="shared" si="31"/>
        <v>4.5000000000000003E-7</v>
      </c>
      <c r="AT203" s="140">
        <f t="shared" si="32"/>
        <v>6.0000000000000008E-7</v>
      </c>
      <c r="AU203" s="140">
        <f t="shared" si="33"/>
        <v>7.5000000000000012E-7</v>
      </c>
      <c r="AV203" s="157">
        <f>IF(AO203&lt;$B$73*DATA!$H$1037,DATA!$H$1037,IF(AO203&gt;DATA!$H$1036*$B$73,DATA!$H$1036,1))</f>
        <v>1.2</v>
      </c>
      <c r="AW203" s="156">
        <f t="shared" si="34"/>
        <v>9.9999999999999995E-8</v>
      </c>
      <c r="AY203" s="140">
        <f t="shared" si="35"/>
        <v>1.5000000000000002E-5</v>
      </c>
      <c r="AZ203">
        <v>1.5</v>
      </c>
      <c r="BA203" s="140">
        <f t="shared" si="36"/>
        <v>1.4999999999999997E-7</v>
      </c>
      <c r="BB203" s="140">
        <f t="shared" si="37"/>
        <v>2.9999999999999999E-7</v>
      </c>
      <c r="BC203" s="140">
        <f t="shared" si="38"/>
        <v>4.5000000000000003E-7</v>
      </c>
      <c r="BD203" s="140">
        <f t="shared" si="39"/>
        <v>6.0000000000000008E-7</v>
      </c>
      <c r="BE203" s="140">
        <f t="shared" si="40"/>
        <v>7.5000000000000012E-7</v>
      </c>
      <c r="BF203" s="157">
        <f>IF(AY203&lt;$B$89*DATA!$H$1037,DATA!$H$1037,IF(AY203&gt;DATA!$H$1036*$B$89,DATA!$H$1036,1))</f>
        <v>1.2</v>
      </c>
      <c r="BG203" s="156">
        <f t="shared" si="41"/>
        <v>9.9999999999999995E-8</v>
      </c>
      <c r="BI203" s="140">
        <f t="shared" si="42"/>
        <v>1.5000000000000002E-5</v>
      </c>
      <c r="BJ203">
        <v>1.5</v>
      </c>
      <c r="BK203" s="140">
        <f t="shared" si="43"/>
        <v>1.4999999999999997E-7</v>
      </c>
      <c r="BL203" s="140">
        <f t="shared" si="44"/>
        <v>2.9999999999999999E-7</v>
      </c>
      <c r="BM203" s="140">
        <f t="shared" si="45"/>
        <v>4.5000000000000003E-7</v>
      </c>
      <c r="BN203" s="140">
        <f t="shared" si="46"/>
        <v>6.0000000000000008E-7</v>
      </c>
      <c r="BO203" s="140">
        <f t="shared" si="47"/>
        <v>7.5000000000000012E-7</v>
      </c>
      <c r="BP203" s="157">
        <f>IF(BI203&lt;$B$105*DATA!$H$1037,DATA!$H$1037,IF(BI203&gt;DATA!$H$1036*$B$105,DATA!$H$1036,1))</f>
        <v>1.2</v>
      </c>
      <c r="BQ203" s="156">
        <f t="shared" si="48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49"/>
        <v>1.5199999999999996E-7</v>
      </c>
      <c r="D204" s="140">
        <f t="shared" si="49"/>
        <v>3.0399999999999997E-7</v>
      </c>
      <c r="E204" s="140">
        <f t="shared" si="49"/>
        <v>4.5600000000000006E-7</v>
      </c>
      <c r="F204" s="140">
        <f t="shared" si="49"/>
        <v>6.0800000000000004E-7</v>
      </c>
      <c r="G204" s="140">
        <f t="shared" si="49"/>
        <v>7.6000000000000014E-7</v>
      </c>
      <c r="H204" s="157">
        <f>IF(A204&lt;$B$9*DATA!$H$1037,DATA!$H$1037,IF(A204&gt;DATA!$H$1036*$B$9,DATA!$H$1036,1))</f>
        <v>0.8</v>
      </c>
      <c r="I204" s="156">
        <f t="shared" si="6"/>
        <v>9.9999999999999995E-8</v>
      </c>
      <c r="K204" s="140">
        <f t="shared" si="7"/>
        <v>1.5200000000000002E-5</v>
      </c>
      <c r="L204">
        <v>1.52</v>
      </c>
      <c r="M204" s="140">
        <f t="shared" si="8"/>
        <v>1.5199999999999996E-7</v>
      </c>
      <c r="N204" s="140">
        <f t="shared" si="9"/>
        <v>3.0399999999999997E-7</v>
      </c>
      <c r="O204" s="140">
        <f t="shared" si="10"/>
        <v>4.5600000000000006E-7</v>
      </c>
      <c r="P204" s="140">
        <f t="shared" si="11"/>
        <v>6.0800000000000004E-7</v>
      </c>
      <c r="Q204" s="140">
        <f t="shared" si="12"/>
        <v>7.6000000000000014E-7</v>
      </c>
      <c r="R204" s="157">
        <f>IF(K204&lt;$B$25*DATA!$H$1037,DATA!$H$1037,IF(K204&gt;DATA!$H$1036*$B$25,DATA!$H$1036,1))</f>
        <v>0.8</v>
      </c>
      <c r="S204" s="156">
        <f t="shared" si="13"/>
        <v>9.9999999999999995E-8</v>
      </c>
      <c r="U204" s="140">
        <f t="shared" si="14"/>
        <v>1.5200000000000002E-5</v>
      </c>
      <c r="V204">
        <v>1.52</v>
      </c>
      <c r="W204" s="140">
        <f t="shared" si="15"/>
        <v>1.5199999999999996E-7</v>
      </c>
      <c r="X204" s="140">
        <f t="shared" si="16"/>
        <v>3.0399999999999997E-7</v>
      </c>
      <c r="Y204" s="140">
        <f t="shared" si="17"/>
        <v>4.5600000000000006E-7</v>
      </c>
      <c r="Z204" s="140">
        <f t="shared" si="18"/>
        <v>6.0800000000000004E-7</v>
      </c>
      <c r="AA204" s="140">
        <f t="shared" si="19"/>
        <v>7.6000000000000014E-7</v>
      </c>
      <c r="AB204" s="157">
        <f>IF(U204&lt;$B$41*DATA!$H$1037,DATA!$H$1037,IF(U204&gt;DATA!$H$1036*$B$41,DATA!$H$1036,1))</f>
        <v>0.8</v>
      </c>
      <c r="AC204" s="156">
        <f t="shared" si="20"/>
        <v>9.9999999999999995E-8</v>
      </c>
      <c r="AE204" s="140">
        <f t="shared" si="21"/>
        <v>1.5200000000000002E-5</v>
      </c>
      <c r="AF204">
        <v>1.52</v>
      </c>
      <c r="AG204" s="140">
        <f t="shared" si="22"/>
        <v>1.5199999999999996E-7</v>
      </c>
      <c r="AH204" s="140">
        <f t="shared" si="23"/>
        <v>3.0399999999999997E-7</v>
      </c>
      <c r="AI204" s="140">
        <f t="shared" si="24"/>
        <v>4.5600000000000006E-7</v>
      </c>
      <c r="AJ204" s="140">
        <f t="shared" si="25"/>
        <v>6.0800000000000004E-7</v>
      </c>
      <c r="AK204" s="140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27"/>
        <v>9.9999999999999995E-8</v>
      </c>
      <c r="AO204" s="140">
        <f t="shared" si="28"/>
        <v>1.5200000000000002E-5</v>
      </c>
      <c r="AP204">
        <v>1.52</v>
      </c>
      <c r="AQ204" s="140">
        <f t="shared" si="29"/>
        <v>1.5199999999999996E-7</v>
      </c>
      <c r="AR204" s="140">
        <f t="shared" si="30"/>
        <v>3.0399999999999997E-7</v>
      </c>
      <c r="AS204" s="140">
        <f t="shared" si="31"/>
        <v>4.5600000000000006E-7</v>
      </c>
      <c r="AT204" s="140">
        <f t="shared" si="32"/>
        <v>6.0800000000000004E-7</v>
      </c>
      <c r="AU204" s="140">
        <f t="shared" si="33"/>
        <v>7.6000000000000014E-7</v>
      </c>
      <c r="AV204" s="157">
        <f>IF(AO204&lt;$B$73*DATA!$H$1037,DATA!$H$1037,IF(AO204&gt;DATA!$H$1036*$B$73,DATA!$H$1036,1))</f>
        <v>1.2</v>
      </c>
      <c r="AW204" s="156">
        <f t="shared" si="34"/>
        <v>9.9999999999999995E-8</v>
      </c>
      <c r="AY204" s="140">
        <f t="shared" si="35"/>
        <v>1.5200000000000002E-5</v>
      </c>
      <c r="AZ204">
        <v>1.52</v>
      </c>
      <c r="BA204" s="140">
        <f t="shared" si="36"/>
        <v>1.5199999999999996E-7</v>
      </c>
      <c r="BB204" s="140">
        <f t="shared" si="37"/>
        <v>3.0399999999999997E-7</v>
      </c>
      <c r="BC204" s="140">
        <f t="shared" si="38"/>
        <v>4.5600000000000006E-7</v>
      </c>
      <c r="BD204" s="140">
        <f t="shared" si="39"/>
        <v>6.0800000000000004E-7</v>
      </c>
      <c r="BE204" s="140">
        <f t="shared" si="40"/>
        <v>7.6000000000000014E-7</v>
      </c>
      <c r="BF204" s="157">
        <f>IF(AY204&lt;$B$89*DATA!$H$1037,DATA!$H$1037,IF(AY204&gt;DATA!$H$1036*$B$89,DATA!$H$1036,1))</f>
        <v>1.2</v>
      </c>
      <c r="BG204" s="156">
        <f t="shared" si="41"/>
        <v>9.9999999999999995E-8</v>
      </c>
      <c r="BI204" s="140">
        <f t="shared" si="42"/>
        <v>1.5200000000000002E-5</v>
      </c>
      <c r="BJ204">
        <v>1.52</v>
      </c>
      <c r="BK204" s="140">
        <f t="shared" si="43"/>
        <v>1.5199999999999996E-7</v>
      </c>
      <c r="BL204" s="140">
        <f t="shared" si="44"/>
        <v>3.0399999999999997E-7</v>
      </c>
      <c r="BM204" s="140">
        <f t="shared" si="45"/>
        <v>4.5600000000000006E-7</v>
      </c>
      <c r="BN204" s="140">
        <f t="shared" si="46"/>
        <v>6.0800000000000004E-7</v>
      </c>
      <c r="BO204" s="140">
        <f t="shared" si="47"/>
        <v>7.6000000000000014E-7</v>
      </c>
      <c r="BP204" s="157">
        <f>IF(BI204&lt;$B$105*DATA!$H$1037,DATA!$H$1037,IF(BI204&gt;DATA!$H$1036*$B$105,DATA!$H$1036,1))</f>
        <v>1.2</v>
      </c>
      <c r="BQ204" s="156">
        <f t="shared" si="48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49"/>
        <v>1.5399999999999998E-7</v>
      </c>
      <c r="D205" s="140">
        <f t="shared" si="49"/>
        <v>3.0800000000000001E-7</v>
      </c>
      <c r="E205" s="140">
        <f t="shared" si="49"/>
        <v>4.6200000000000003E-7</v>
      </c>
      <c r="F205" s="140">
        <f t="shared" si="49"/>
        <v>6.1600000000000012E-7</v>
      </c>
      <c r="G205" s="140">
        <f t="shared" si="49"/>
        <v>7.7000000000000015E-7</v>
      </c>
      <c r="H205" s="157">
        <f>IF(A205&lt;$B$9*DATA!$H$1037,DATA!$H$1037,IF(A205&gt;DATA!$H$1036*$B$9,DATA!$H$1036,1))</f>
        <v>0.8</v>
      </c>
      <c r="I205" s="156">
        <f t="shared" si="6"/>
        <v>9.9999999999999995E-8</v>
      </c>
      <c r="K205" s="140">
        <f t="shared" si="7"/>
        <v>1.5400000000000002E-5</v>
      </c>
      <c r="L205">
        <v>1.54</v>
      </c>
      <c r="M205" s="140">
        <f t="shared" si="8"/>
        <v>1.5399999999999998E-7</v>
      </c>
      <c r="N205" s="140">
        <f t="shared" si="9"/>
        <v>3.0800000000000001E-7</v>
      </c>
      <c r="O205" s="140">
        <f t="shared" si="10"/>
        <v>4.6200000000000003E-7</v>
      </c>
      <c r="P205" s="140">
        <f t="shared" si="11"/>
        <v>6.1600000000000012E-7</v>
      </c>
      <c r="Q205" s="140">
        <f t="shared" si="12"/>
        <v>7.7000000000000015E-7</v>
      </c>
      <c r="R205" s="157">
        <f>IF(K205&lt;$B$25*DATA!$H$1037,DATA!$H$1037,IF(K205&gt;DATA!$H$1036*$B$25,DATA!$H$1036,1))</f>
        <v>0.8</v>
      </c>
      <c r="S205" s="156">
        <f t="shared" si="13"/>
        <v>9.9999999999999995E-8</v>
      </c>
      <c r="U205" s="140">
        <f t="shared" si="14"/>
        <v>1.5400000000000002E-5</v>
      </c>
      <c r="V205">
        <v>1.54</v>
      </c>
      <c r="W205" s="140">
        <f t="shared" si="15"/>
        <v>1.5399999999999998E-7</v>
      </c>
      <c r="X205" s="140">
        <f t="shared" si="16"/>
        <v>3.0800000000000001E-7</v>
      </c>
      <c r="Y205" s="140">
        <f t="shared" si="17"/>
        <v>4.6200000000000003E-7</v>
      </c>
      <c r="Z205" s="140">
        <f t="shared" si="18"/>
        <v>6.1600000000000012E-7</v>
      </c>
      <c r="AA205" s="140">
        <f t="shared" si="19"/>
        <v>7.7000000000000015E-7</v>
      </c>
      <c r="AB205" s="157">
        <f>IF(U205&lt;$B$41*DATA!$H$1037,DATA!$H$1037,IF(U205&gt;DATA!$H$1036*$B$41,DATA!$H$1036,1))</f>
        <v>0.8</v>
      </c>
      <c r="AC205" s="156">
        <f t="shared" si="20"/>
        <v>9.9999999999999995E-8</v>
      </c>
      <c r="AE205" s="140">
        <f t="shared" si="21"/>
        <v>1.5400000000000002E-5</v>
      </c>
      <c r="AF205">
        <v>1.54</v>
      </c>
      <c r="AG205" s="140">
        <f t="shared" si="22"/>
        <v>1.5399999999999998E-7</v>
      </c>
      <c r="AH205" s="140">
        <f t="shared" si="23"/>
        <v>3.0800000000000001E-7</v>
      </c>
      <c r="AI205" s="140">
        <f t="shared" si="24"/>
        <v>4.6200000000000003E-7</v>
      </c>
      <c r="AJ205" s="140">
        <f t="shared" si="25"/>
        <v>6.1600000000000012E-7</v>
      </c>
      <c r="AK205" s="140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27"/>
        <v>9.9999999999999995E-8</v>
      </c>
      <c r="AO205" s="140">
        <f t="shared" si="28"/>
        <v>1.5400000000000002E-5</v>
      </c>
      <c r="AP205">
        <v>1.54</v>
      </c>
      <c r="AQ205" s="140">
        <f t="shared" si="29"/>
        <v>1.5399999999999998E-7</v>
      </c>
      <c r="AR205" s="140">
        <f t="shared" si="30"/>
        <v>3.0800000000000001E-7</v>
      </c>
      <c r="AS205" s="140">
        <f t="shared" si="31"/>
        <v>4.6200000000000003E-7</v>
      </c>
      <c r="AT205" s="140">
        <f t="shared" si="32"/>
        <v>6.1600000000000012E-7</v>
      </c>
      <c r="AU205" s="140">
        <f t="shared" si="33"/>
        <v>7.7000000000000015E-7</v>
      </c>
      <c r="AV205" s="157">
        <f>IF(AO205&lt;$B$73*DATA!$H$1037,DATA!$H$1037,IF(AO205&gt;DATA!$H$1036*$B$73,DATA!$H$1036,1))</f>
        <v>1.2</v>
      </c>
      <c r="AW205" s="156">
        <f t="shared" si="34"/>
        <v>9.9999999999999995E-8</v>
      </c>
      <c r="AY205" s="140">
        <f t="shared" si="35"/>
        <v>1.5400000000000002E-5</v>
      </c>
      <c r="AZ205">
        <v>1.54</v>
      </c>
      <c r="BA205" s="140">
        <f t="shared" si="36"/>
        <v>1.5399999999999998E-7</v>
      </c>
      <c r="BB205" s="140">
        <f t="shared" si="37"/>
        <v>3.0800000000000001E-7</v>
      </c>
      <c r="BC205" s="140">
        <f t="shared" si="38"/>
        <v>4.6200000000000003E-7</v>
      </c>
      <c r="BD205" s="140">
        <f t="shared" si="39"/>
        <v>6.1600000000000012E-7</v>
      </c>
      <c r="BE205" s="140">
        <f t="shared" si="40"/>
        <v>7.7000000000000015E-7</v>
      </c>
      <c r="BF205" s="157">
        <f>IF(AY205&lt;$B$89*DATA!$H$1037,DATA!$H$1037,IF(AY205&gt;DATA!$H$1036*$B$89,DATA!$H$1036,1))</f>
        <v>1.2</v>
      </c>
      <c r="BG205" s="156">
        <f t="shared" si="41"/>
        <v>9.9999999999999995E-8</v>
      </c>
      <c r="BI205" s="140">
        <f t="shared" si="42"/>
        <v>1.5400000000000002E-5</v>
      </c>
      <c r="BJ205">
        <v>1.54</v>
      </c>
      <c r="BK205" s="140">
        <f t="shared" si="43"/>
        <v>1.5399999999999998E-7</v>
      </c>
      <c r="BL205" s="140">
        <f t="shared" si="44"/>
        <v>3.0800000000000001E-7</v>
      </c>
      <c r="BM205" s="140">
        <f t="shared" si="45"/>
        <v>4.6200000000000003E-7</v>
      </c>
      <c r="BN205" s="140">
        <f t="shared" si="46"/>
        <v>6.1600000000000012E-7</v>
      </c>
      <c r="BO205" s="140">
        <f t="shared" si="47"/>
        <v>7.7000000000000015E-7</v>
      </c>
      <c r="BP205" s="157">
        <f>IF(BI205&lt;$B$105*DATA!$H$1037,DATA!$H$1037,IF(BI205&gt;DATA!$H$1036*$B$105,DATA!$H$1036,1))</f>
        <v>1.2</v>
      </c>
      <c r="BQ205" s="156">
        <f t="shared" si="48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49"/>
        <v>1.5599999999999997E-7</v>
      </c>
      <c r="D206" s="140">
        <f t="shared" si="49"/>
        <v>3.1200000000000004E-7</v>
      </c>
      <c r="E206" s="140">
        <f t="shared" si="49"/>
        <v>4.6800000000000006E-7</v>
      </c>
      <c r="F206" s="140">
        <f t="shared" si="49"/>
        <v>6.2400000000000019E-7</v>
      </c>
      <c r="G206" s="140">
        <f t="shared" si="49"/>
        <v>7.8000000000000016E-7</v>
      </c>
      <c r="H206" s="157">
        <f>IF(A206&lt;$B$9*DATA!$H$1037,DATA!$H$1037,IF(A206&gt;DATA!$H$1036*$B$9,DATA!$H$1036,1))</f>
        <v>0.8</v>
      </c>
      <c r="I206" s="156">
        <f t="shared" si="6"/>
        <v>9.9999999999999995E-8</v>
      </c>
      <c r="K206" s="140">
        <f t="shared" si="7"/>
        <v>1.5600000000000003E-5</v>
      </c>
      <c r="L206">
        <v>1.56</v>
      </c>
      <c r="M206" s="140">
        <f t="shared" si="8"/>
        <v>1.5599999999999997E-7</v>
      </c>
      <c r="N206" s="140">
        <f t="shared" si="9"/>
        <v>3.1200000000000004E-7</v>
      </c>
      <c r="O206" s="140">
        <f t="shared" si="10"/>
        <v>4.6800000000000006E-7</v>
      </c>
      <c r="P206" s="140">
        <f t="shared" si="11"/>
        <v>6.2400000000000019E-7</v>
      </c>
      <c r="Q206" s="140">
        <f t="shared" si="12"/>
        <v>7.8000000000000016E-7</v>
      </c>
      <c r="R206" s="157">
        <f>IF(K206&lt;$B$25*DATA!$H$1037,DATA!$H$1037,IF(K206&gt;DATA!$H$1036*$B$25,DATA!$H$1036,1))</f>
        <v>0.8</v>
      </c>
      <c r="S206" s="156">
        <f t="shared" si="13"/>
        <v>9.9999999999999995E-8</v>
      </c>
      <c r="U206" s="140">
        <f t="shared" si="14"/>
        <v>1.5600000000000003E-5</v>
      </c>
      <c r="V206">
        <v>1.56</v>
      </c>
      <c r="W206" s="140">
        <f t="shared" si="15"/>
        <v>1.5599999999999997E-7</v>
      </c>
      <c r="X206" s="140">
        <f t="shared" si="16"/>
        <v>3.1200000000000004E-7</v>
      </c>
      <c r="Y206" s="140">
        <f t="shared" si="17"/>
        <v>4.6800000000000006E-7</v>
      </c>
      <c r="Z206" s="140">
        <f t="shared" si="18"/>
        <v>6.2400000000000019E-7</v>
      </c>
      <c r="AA206" s="140">
        <f t="shared" si="19"/>
        <v>7.8000000000000016E-7</v>
      </c>
      <c r="AB206" s="157">
        <f>IF(U206&lt;$B$41*DATA!$H$1037,DATA!$H$1037,IF(U206&gt;DATA!$H$1036*$B$41,DATA!$H$1036,1))</f>
        <v>0.8</v>
      </c>
      <c r="AC206" s="156">
        <f t="shared" si="20"/>
        <v>9.9999999999999995E-8</v>
      </c>
      <c r="AE206" s="140">
        <f t="shared" si="21"/>
        <v>1.5600000000000003E-5</v>
      </c>
      <c r="AF206">
        <v>1.56</v>
      </c>
      <c r="AG206" s="140">
        <f t="shared" si="22"/>
        <v>1.5599999999999997E-7</v>
      </c>
      <c r="AH206" s="140">
        <f t="shared" si="23"/>
        <v>3.1200000000000004E-7</v>
      </c>
      <c r="AI206" s="140">
        <f t="shared" si="24"/>
        <v>4.6800000000000006E-7</v>
      </c>
      <c r="AJ206" s="140">
        <f t="shared" si="25"/>
        <v>6.2400000000000019E-7</v>
      </c>
      <c r="AK206" s="140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27"/>
        <v>9.9999999999999995E-8</v>
      </c>
      <c r="AO206" s="140">
        <f t="shared" si="28"/>
        <v>1.5600000000000003E-5</v>
      </c>
      <c r="AP206">
        <v>1.56</v>
      </c>
      <c r="AQ206" s="140">
        <f t="shared" si="29"/>
        <v>1.5599999999999997E-7</v>
      </c>
      <c r="AR206" s="140">
        <f t="shared" si="30"/>
        <v>3.1200000000000004E-7</v>
      </c>
      <c r="AS206" s="140">
        <f t="shared" si="31"/>
        <v>4.6800000000000006E-7</v>
      </c>
      <c r="AT206" s="140">
        <f t="shared" si="32"/>
        <v>6.2400000000000019E-7</v>
      </c>
      <c r="AU206" s="140">
        <f t="shared" si="33"/>
        <v>7.8000000000000016E-7</v>
      </c>
      <c r="AV206" s="157">
        <f>IF(AO206&lt;$B$73*DATA!$H$1037,DATA!$H$1037,IF(AO206&gt;DATA!$H$1036*$B$73,DATA!$H$1036,1))</f>
        <v>1.2</v>
      </c>
      <c r="AW206" s="156">
        <f t="shared" si="34"/>
        <v>9.9999999999999995E-8</v>
      </c>
      <c r="AY206" s="140">
        <f t="shared" si="35"/>
        <v>1.5600000000000003E-5</v>
      </c>
      <c r="AZ206">
        <v>1.56</v>
      </c>
      <c r="BA206" s="140">
        <f t="shared" si="36"/>
        <v>1.5599999999999997E-7</v>
      </c>
      <c r="BB206" s="140">
        <f t="shared" si="37"/>
        <v>3.1200000000000004E-7</v>
      </c>
      <c r="BC206" s="140">
        <f t="shared" si="38"/>
        <v>4.6800000000000006E-7</v>
      </c>
      <c r="BD206" s="140">
        <f t="shared" si="39"/>
        <v>6.2400000000000019E-7</v>
      </c>
      <c r="BE206" s="140">
        <f t="shared" si="40"/>
        <v>7.8000000000000016E-7</v>
      </c>
      <c r="BF206" s="157">
        <f>IF(AY206&lt;$B$89*DATA!$H$1037,DATA!$H$1037,IF(AY206&gt;DATA!$H$1036*$B$89,DATA!$H$1036,1))</f>
        <v>1.2</v>
      </c>
      <c r="BG206" s="156">
        <f t="shared" si="41"/>
        <v>9.9999999999999995E-8</v>
      </c>
      <c r="BI206" s="140">
        <f t="shared" si="42"/>
        <v>1.5600000000000003E-5</v>
      </c>
      <c r="BJ206">
        <v>1.56</v>
      </c>
      <c r="BK206" s="140">
        <f t="shared" si="43"/>
        <v>1.5599999999999997E-7</v>
      </c>
      <c r="BL206" s="140">
        <f t="shared" si="44"/>
        <v>3.1200000000000004E-7</v>
      </c>
      <c r="BM206" s="140">
        <f t="shared" si="45"/>
        <v>4.6800000000000006E-7</v>
      </c>
      <c r="BN206" s="140">
        <f t="shared" si="46"/>
        <v>6.2400000000000019E-7</v>
      </c>
      <c r="BO206" s="140">
        <f t="shared" si="47"/>
        <v>7.8000000000000016E-7</v>
      </c>
      <c r="BP206" s="157">
        <f>IF(BI206&lt;$B$105*DATA!$H$1037,DATA!$H$1037,IF(BI206&gt;DATA!$H$1036*$B$105,DATA!$H$1036,1))</f>
        <v>1.2</v>
      </c>
      <c r="BQ206" s="156">
        <f t="shared" si="48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si="49"/>
        <v>1.5799999999999996E-7</v>
      </c>
      <c r="D207" s="140">
        <f t="shared" si="49"/>
        <v>3.1599999999999997E-7</v>
      </c>
      <c r="E207" s="140">
        <f t="shared" si="49"/>
        <v>4.7400000000000004E-7</v>
      </c>
      <c r="F207" s="140">
        <f t="shared" si="49"/>
        <v>6.3200000000000005E-7</v>
      </c>
      <c r="G207" s="140">
        <f t="shared" si="49"/>
        <v>7.9000000000000006E-7</v>
      </c>
      <c r="H207" s="157">
        <f>IF(A207&lt;$B$9*DATA!$H$1037,DATA!$H$1037,IF(A207&gt;DATA!$H$1036*$B$9,DATA!$H$1036,1))</f>
        <v>0.8</v>
      </c>
      <c r="I207" s="156">
        <f t="shared" si="6"/>
        <v>9.9999999999999995E-8</v>
      </c>
      <c r="K207" s="140">
        <f t="shared" si="7"/>
        <v>1.5800000000000001E-5</v>
      </c>
      <c r="L207">
        <v>1.58</v>
      </c>
      <c r="M207" s="140">
        <f t="shared" si="8"/>
        <v>1.5799999999999996E-7</v>
      </c>
      <c r="N207" s="140">
        <f t="shared" si="9"/>
        <v>3.1599999999999997E-7</v>
      </c>
      <c r="O207" s="140">
        <f t="shared" si="10"/>
        <v>4.7400000000000004E-7</v>
      </c>
      <c r="P207" s="140">
        <f t="shared" si="11"/>
        <v>6.3200000000000005E-7</v>
      </c>
      <c r="Q207" s="140">
        <f t="shared" si="12"/>
        <v>7.9000000000000006E-7</v>
      </c>
      <c r="R207" s="157">
        <f>IF(K207&lt;$B$25*DATA!$H$1037,DATA!$H$1037,IF(K207&gt;DATA!$H$1036*$B$25,DATA!$H$1036,1))</f>
        <v>0.8</v>
      </c>
      <c r="S207" s="156">
        <f t="shared" si="13"/>
        <v>9.9999999999999995E-8</v>
      </c>
      <c r="U207" s="140">
        <f t="shared" si="14"/>
        <v>1.5800000000000001E-5</v>
      </c>
      <c r="V207">
        <v>1.58</v>
      </c>
      <c r="W207" s="140">
        <f t="shared" si="15"/>
        <v>1.5799999999999996E-7</v>
      </c>
      <c r="X207" s="140">
        <f t="shared" si="16"/>
        <v>3.1599999999999997E-7</v>
      </c>
      <c r="Y207" s="140">
        <f t="shared" si="17"/>
        <v>4.7400000000000004E-7</v>
      </c>
      <c r="Z207" s="140">
        <f t="shared" si="18"/>
        <v>6.3200000000000005E-7</v>
      </c>
      <c r="AA207" s="140">
        <f t="shared" si="19"/>
        <v>7.9000000000000006E-7</v>
      </c>
      <c r="AB207" s="157">
        <f>IF(U207&lt;$B$41*DATA!$H$1037,DATA!$H$1037,IF(U207&gt;DATA!$H$1036*$B$41,DATA!$H$1036,1))</f>
        <v>0.8</v>
      </c>
      <c r="AC207" s="156">
        <f t="shared" si="20"/>
        <v>9.9999999999999995E-8</v>
      </c>
      <c r="AE207" s="140">
        <f t="shared" si="21"/>
        <v>1.5800000000000001E-5</v>
      </c>
      <c r="AF207">
        <v>1.58</v>
      </c>
      <c r="AG207" s="140">
        <f t="shared" si="22"/>
        <v>1.5799999999999996E-7</v>
      </c>
      <c r="AH207" s="140">
        <f t="shared" si="23"/>
        <v>3.1599999999999997E-7</v>
      </c>
      <c r="AI207" s="140">
        <f t="shared" si="24"/>
        <v>4.7400000000000004E-7</v>
      </c>
      <c r="AJ207" s="140">
        <f t="shared" si="25"/>
        <v>6.3200000000000005E-7</v>
      </c>
      <c r="AK207" s="140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si="27"/>
        <v>9.9999999999999995E-8</v>
      </c>
      <c r="AO207" s="140">
        <f t="shared" si="28"/>
        <v>1.5800000000000001E-5</v>
      </c>
      <c r="AP207">
        <v>1.58</v>
      </c>
      <c r="AQ207" s="140">
        <f t="shared" si="29"/>
        <v>1.5799999999999996E-7</v>
      </c>
      <c r="AR207" s="140">
        <f t="shared" si="30"/>
        <v>3.1599999999999997E-7</v>
      </c>
      <c r="AS207" s="140">
        <f t="shared" si="31"/>
        <v>4.7400000000000004E-7</v>
      </c>
      <c r="AT207" s="140">
        <f t="shared" si="32"/>
        <v>6.3200000000000005E-7</v>
      </c>
      <c r="AU207" s="140">
        <f t="shared" si="33"/>
        <v>7.9000000000000006E-7</v>
      </c>
      <c r="AV207" s="157">
        <f>IF(AO207&lt;$B$73*DATA!$H$1037,DATA!$H$1037,IF(AO207&gt;DATA!$H$1036*$B$73,DATA!$H$1036,1))</f>
        <v>1.2</v>
      </c>
      <c r="AW207" s="156">
        <f t="shared" si="34"/>
        <v>9.9999999999999995E-8</v>
      </c>
      <c r="AY207" s="140">
        <f t="shared" si="35"/>
        <v>1.5800000000000001E-5</v>
      </c>
      <c r="AZ207">
        <v>1.58</v>
      </c>
      <c r="BA207" s="140">
        <f t="shared" si="36"/>
        <v>1.5799999999999996E-7</v>
      </c>
      <c r="BB207" s="140">
        <f t="shared" si="37"/>
        <v>3.1599999999999997E-7</v>
      </c>
      <c r="BC207" s="140">
        <f t="shared" si="38"/>
        <v>4.7400000000000004E-7</v>
      </c>
      <c r="BD207" s="140">
        <f t="shared" si="39"/>
        <v>6.3200000000000005E-7</v>
      </c>
      <c r="BE207" s="140">
        <f t="shared" si="40"/>
        <v>7.9000000000000006E-7</v>
      </c>
      <c r="BF207" s="157">
        <f>IF(AY207&lt;$B$89*DATA!$H$1037,DATA!$H$1037,IF(AY207&gt;DATA!$H$1036*$B$89,DATA!$H$1036,1))</f>
        <v>1.2</v>
      </c>
      <c r="BG207" s="156">
        <f t="shared" si="41"/>
        <v>9.9999999999999995E-8</v>
      </c>
      <c r="BI207" s="140">
        <f t="shared" si="42"/>
        <v>1.5800000000000001E-5</v>
      </c>
      <c r="BJ207">
        <v>1.58</v>
      </c>
      <c r="BK207" s="140">
        <f t="shared" si="43"/>
        <v>1.5799999999999996E-7</v>
      </c>
      <c r="BL207" s="140">
        <f t="shared" si="44"/>
        <v>3.1599999999999997E-7</v>
      </c>
      <c r="BM207" s="140">
        <f t="shared" si="45"/>
        <v>4.7400000000000004E-7</v>
      </c>
      <c r="BN207" s="140">
        <f t="shared" si="46"/>
        <v>6.3200000000000005E-7</v>
      </c>
      <c r="BO207" s="140">
        <f t="shared" si="47"/>
        <v>7.9000000000000006E-7</v>
      </c>
      <c r="BP207" s="157">
        <f>IF(BI207&lt;$B$105*DATA!$H$1037,DATA!$H$1037,IF(BI207&gt;DATA!$H$1036*$B$105,DATA!$H$1036,1))</f>
        <v>1.2</v>
      </c>
      <c r="BQ207" s="156">
        <f t="shared" si="48"/>
        <v>9.9999999999999995E-8</v>
      </c>
    </row>
    <row r="208" spans="1:69">
      <c r="A208" s="140">
        <f t="shared" ref="A208:A271" si="50">B208*B$136</f>
        <v>1.6000000000000003E-5</v>
      </c>
      <c r="B208">
        <v>1.6</v>
      </c>
      <c r="C208" s="140">
        <f t="shared" ref="C208:G239" si="51">C$142*$A208</f>
        <v>1.5999999999999998E-7</v>
      </c>
      <c r="D208" s="140">
        <f t="shared" si="51"/>
        <v>3.2000000000000001E-7</v>
      </c>
      <c r="E208" s="140">
        <f t="shared" si="51"/>
        <v>4.8000000000000006E-7</v>
      </c>
      <c r="F208" s="140">
        <f t="shared" si="51"/>
        <v>6.4000000000000012E-7</v>
      </c>
      <c r="G208" s="140">
        <f t="shared" si="51"/>
        <v>8.0000000000000018E-7</v>
      </c>
      <c r="H208" s="157">
        <f>IF(A208&lt;$B$9*DATA!$H$1037,DATA!$H$1037,IF(A208&gt;DATA!$H$1036*$B$9,DATA!$H$1036,1))</f>
        <v>0.8</v>
      </c>
      <c r="I208" s="156">
        <f t="shared" ref="I208:I271" si="52">IF(OR(B$134=0,B$133=0),0.0000001,IF(H208=1,B$134,A208*((B$134*B$138)/(H208*B$133)+0.023*LOG10(H208*B$133/A208))/B$138))</f>
        <v>9.9999999999999995E-8</v>
      </c>
      <c r="K208" s="140">
        <f t="shared" ref="K208:K271" si="53">L208*L$136</f>
        <v>1.6000000000000003E-5</v>
      </c>
      <c r="L208">
        <v>1.6</v>
      </c>
      <c r="M208" s="140">
        <f t="shared" ref="M208:M271" si="54">M$142*K208</f>
        <v>1.5999999999999998E-7</v>
      </c>
      <c r="N208" s="140">
        <f t="shared" ref="N208:N271" si="55">N$142*K208</f>
        <v>3.2000000000000001E-7</v>
      </c>
      <c r="O208" s="140">
        <f t="shared" ref="O208:O271" si="56">O$142*K208</f>
        <v>4.8000000000000006E-7</v>
      </c>
      <c r="P208" s="140">
        <f t="shared" ref="P208:P271" si="57">P$142*$K208</f>
        <v>6.4000000000000012E-7</v>
      </c>
      <c r="Q208" s="140">
        <f t="shared" ref="Q208:Q271" si="58">Q$142*K208</f>
        <v>8.0000000000000018E-7</v>
      </c>
      <c r="R208" s="157">
        <f>IF(K208&lt;$B$25*DATA!$H$1037,DATA!$H$1037,IF(K208&gt;DATA!$H$1036*$B$25,DATA!$H$1036,1))</f>
        <v>0.8</v>
      </c>
      <c r="S208" s="156">
        <f t="shared" ref="S208:S271" si="59">IF(OR(L$134=0,L$133=0),0.0000001,IF(R208=1,L$134,K208*((L$134*L$138)/(R208*L$133)+0.023*LOG10(R208*L$133/K208))/L$138))</f>
        <v>9.9999999999999995E-8</v>
      </c>
      <c r="U208" s="140">
        <f t="shared" ref="U208:U271" si="60">V208*V$136</f>
        <v>1.6000000000000003E-5</v>
      </c>
      <c r="V208">
        <v>1.6</v>
      </c>
      <c r="W208" s="140">
        <f t="shared" ref="W208:W271" si="61">W$142*U208</f>
        <v>1.5999999999999998E-7</v>
      </c>
      <c r="X208" s="140">
        <f t="shared" ref="X208:X271" si="62">X$142*U208</f>
        <v>3.2000000000000001E-7</v>
      </c>
      <c r="Y208" s="140">
        <f t="shared" ref="Y208:Y271" si="63">Y$142*U208</f>
        <v>4.8000000000000006E-7</v>
      </c>
      <c r="Z208" s="140">
        <f t="shared" ref="Z208:Z271" si="64">Z$142*U208</f>
        <v>6.4000000000000012E-7</v>
      </c>
      <c r="AA208" s="140">
        <f t="shared" ref="AA208:AA271" si="65">AA$142*U208</f>
        <v>8.0000000000000018E-7</v>
      </c>
      <c r="AB208" s="157">
        <f>IF(U208&lt;$B$41*DATA!$H$1037,DATA!$H$1037,IF(U208&gt;DATA!$H$1036*$B$41,DATA!$H$1036,1))</f>
        <v>0.8</v>
      </c>
      <c r="AC208" s="156">
        <f t="shared" ref="AC208:AC271" si="66">IF(OR(V$134=0,V$133=0),0.0000001,IF(AB208=1,V$134,U208*((V$134*V$138)/(AB208*V$133)+0.023*LOG10(AB208*V$133/U208))/V$138))</f>
        <v>9.9999999999999995E-8</v>
      </c>
      <c r="AE208" s="140">
        <f t="shared" ref="AE208:AE271" si="67">AF208*AF$136</f>
        <v>1.6000000000000003E-5</v>
      </c>
      <c r="AF208">
        <v>1.6</v>
      </c>
      <c r="AG208" s="140">
        <f t="shared" ref="AG208:AG271" si="68">AG$142*AE208</f>
        <v>1.5999999999999998E-7</v>
      </c>
      <c r="AH208" s="140">
        <f t="shared" ref="AH208:AH271" si="69">AH$142*AE208</f>
        <v>3.2000000000000001E-7</v>
      </c>
      <c r="AI208" s="140">
        <f t="shared" ref="AI208:AI271" si="70">AI$142*AE208</f>
        <v>4.8000000000000006E-7</v>
      </c>
      <c r="AJ208" s="140">
        <f t="shared" ref="AJ208:AJ271" si="71">AJ$142*AE208</f>
        <v>6.4000000000000012E-7</v>
      </c>
      <c r="AK208" s="140">
        <f t="shared" ref="AK208:AK271" si="72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ref="AM208:AM271" si="73">IF(OR(AF$134=0,AF$133=0),0.0000001,IF(AL208=1,AF$134,AE208*((AF$134*AF$138)/(AL208*AF$133)+0.023*LOG10(AL208*AF$133/AE208))/AF$138))</f>
        <v>9.9999999999999995E-8</v>
      </c>
      <c r="AO208" s="140">
        <f t="shared" ref="AO208:AO271" si="74">AP208*AP$136</f>
        <v>1.6000000000000003E-5</v>
      </c>
      <c r="AP208">
        <v>1.6</v>
      </c>
      <c r="AQ208" s="140">
        <f t="shared" ref="AQ208:AQ271" si="75">AQ$142*AO208</f>
        <v>1.5999999999999998E-7</v>
      </c>
      <c r="AR208" s="140">
        <f t="shared" ref="AR208:AR271" si="76">AR$142*AO208</f>
        <v>3.2000000000000001E-7</v>
      </c>
      <c r="AS208" s="140">
        <f t="shared" ref="AS208:AS271" si="77">AS$142*AO208</f>
        <v>4.8000000000000006E-7</v>
      </c>
      <c r="AT208" s="140">
        <f t="shared" ref="AT208:AT271" si="78">AT$142*AO208</f>
        <v>6.4000000000000012E-7</v>
      </c>
      <c r="AU208" s="140">
        <f t="shared" ref="AU208:AU271" si="79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0">IF(OR(AP$134=0,AP$133=0),0.0000001,IF(AV208=1,AP$134,AO208*((AP$134*AP$138)/(AV208*AP$133)+0.023*LOG10(AV208*AP$133/AO208))/AP$138))</f>
        <v>9.9999999999999995E-8</v>
      </c>
      <c r="AY208" s="140">
        <f t="shared" ref="AY208:AY271" si="81">AZ208*AZ$136</f>
        <v>1.6000000000000003E-5</v>
      </c>
      <c r="AZ208">
        <v>1.6</v>
      </c>
      <c r="BA208" s="140">
        <f t="shared" ref="BA208:BA271" si="82">BA$142*AY208</f>
        <v>1.5999999999999998E-7</v>
      </c>
      <c r="BB208" s="140">
        <f t="shared" ref="BB208:BB271" si="83">BB$142*AY208</f>
        <v>3.2000000000000001E-7</v>
      </c>
      <c r="BC208" s="140">
        <f t="shared" ref="BC208:BC271" si="84">BC$142*AY208</f>
        <v>4.8000000000000006E-7</v>
      </c>
      <c r="BD208" s="140">
        <f t="shared" ref="BD208:BD271" si="85">BD$142*AY208</f>
        <v>6.4000000000000012E-7</v>
      </c>
      <c r="BE208" s="140">
        <f t="shared" ref="BE208:BE271" si="86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87">IF(OR(AZ$134=0,AZ$133=0),0.0000001,IF(BF208=1,AZ$134,AY208*((AZ$134*AZ$138)/(BF208*AZ$133)+0.023*LOG10(BF208*AZ$133/AY208))/AZ$138))</f>
        <v>9.9999999999999995E-8</v>
      </c>
      <c r="BI208" s="140">
        <f t="shared" ref="BI208:BI271" si="88">BJ208*BJ$136</f>
        <v>1.6000000000000003E-5</v>
      </c>
      <c r="BJ208">
        <v>1.6</v>
      </c>
      <c r="BK208" s="140">
        <f t="shared" ref="BK208:BK271" si="89">BK$142*BI208</f>
        <v>1.5999999999999998E-7</v>
      </c>
      <c r="BL208" s="140">
        <f t="shared" ref="BL208:BL271" si="90">BL$142*BI208</f>
        <v>3.2000000000000001E-7</v>
      </c>
      <c r="BM208" s="140">
        <f t="shared" ref="BM208:BM271" si="91">BM$142*BI208</f>
        <v>4.8000000000000006E-7</v>
      </c>
      <c r="BN208" s="140">
        <f t="shared" ref="BN208:BN271" si="92">BN$142*$BI208</f>
        <v>6.4000000000000012E-7</v>
      </c>
      <c r="BO208" s="140">
        <f t="shared" ref="BO208:BO271" si="93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4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0"/>
        <v>1.6200000000000001E-5</v>
      </c>
      <c r="B209">
        <v>1.62</v>
      </c>
      <c r="C209" s="140">
        <f t="shared" si="51"/>
        <v>1.6199999999999994E-7</v>
      </c>
      <c r="D209" s="140">
        <f t="shared" si="51"/>
        <v>3.2399999999999999E-7</v>
      </c>
      <c r="E209" s="140">
        <f t="shared" si="51"/>
        <v>4.8599999999999998E-7</v>
      </c>
      <c r="F209" s="140">
        <f t="shared" si="51"/>
        <v>6.4800000000000009E-7</v>
      </c>
      <c r="G209" s="140">
        <f t="shared" si="51"/>
        <v>8.1000000000000008E-7</v>
      </c>
      <c r="H209" s="157">
        <f>IF(A209&lt;$B$9*DATA!$H$1037,DATA!$H$1037,IF(A209&gt;DATA!$H$1036*$B$9,DATA!$H$1036,1))</f>
        <v>0.8</v>
      </c>
      <c r="I209" s="156">
        <f t="shared" si="52"/>
        <v>9.9999999999999995E-8</v>
      </c>
      <c r="K209" s="140">
        <f t="shared" si="53"/>
        <v>1.6200000000000001E-5</v>
      </c>
      <c r="L209">
        <v>1.62</v>
      </c>
      <c r="M209" s="140">
        <f t="shared" si="54"/>
        <v>1.6199999999999994E-7</v>
      </c>
      <c r="N209" s="140">
        <f t="shared" si="55"/>
        <v>3.2399999999999999E-7</v>
      </c>
      <c r="O209" s="140">
        <f t="shared" si="56"/>
        <v>4.8599999999999998E-7</v>
      </c>
      <c r="P209" s="140">
        <f t="shared" si="57"/>
        <v>6.4800000000000009E-7</v>
      </c>
      <c r="Q209" s="140">
        <f t="shared" si="58"/>
        <v>8.1000000000000008E-7</v>
      </c>
      <c r="R209" s="157">
        <f>IF(K209&lt;$B$25*DATA!$H$1037,DATA!$H$1037,IF(K209&gt;DATA!$H$1036*$B$25,DATA!$H$1036,1))</f>
        <v>0.8</v>
      </c>
      <c r="S209" s="156">
        <f t="shared" si="59"/>
        <v>9.9999999999999995E-8</v>
      </c>
      <c r="U209" s="140">
        <f t="shared" si="60"/>
        <v>1.6200000000000001E-5</v>
      </c>
      <c r="V209">
        <v>1.62</v>
      </c>
      <c r="W209" s="140">
        <f t="shared" si="61"/>
        <v>1.6199999999999994E-7</v>
      </c>
      <c r="X209" s="140">
        <f t="shared" si="62"/>
        <v>3.2399999999999999E-7</v>
      </c>
      <c r="Y209" s="140">
        <f t="shared" si="63"/>
        <v>4.8599999999999998E-7</v>
      </c>
      <c r="Z209" s="140">
        <f t="shared" si="64"/>
        <v>6.4800000000000009E-7</v>
      </c>
      <c r="AA209" s="140">
        <f t="shared" si="65"/>
        <v>8.1000000000000008E-7</v>
      </c>
      <c r="AB209" s="157">
        <f>IF(U209&lt;$B$41*DATA!$H$1037,DATA!$H$1037,IF(U209&gt;DATA!$H$1036*$B$41,DATA!$H$1036,1))</f>
        <v>0.8</v>
      </c>
      <c r="AC209" s="156">
        <f t="shared" si="66"/>
        <v>9.9999999999999995E-8</v>
      </c>
      <c r="AE209" s="140">
        <f t="shared" si="67"/>
        <v>1.6200000000000001E-5</v>
      </c>
      <c r="AF209">
        <v>1.62</v>
      </c>
      <c r="AG209" s="140">
        <f t="shared" si="68"/>
        <v>1.6199999999999994E-7</v>
      </c>
      <c r="AH209" s="140">
        <f t="shared" si="69"/>
        <v>3.2399999999999999E-7</v>
      </c>
      <c r="AI209" s="140">
        <f t="shared" si="70"/>
        <v>4.8599999999999998E-7</v>
      </c>
      <c r="AJ209" s="140">
        <f t="shared" si="71"/>
        <v>6.4800000000000009E-7</v>
      </c>
      <c r="AK209" s="140">
        <f t="shared" si="72"/>
        <v>8.1000000000000008E-7</v>
      </c>
      <c r="AL209" s="157">
        <f>IF(AE209&lt;$B$57*DATA!$H$1037,DATA!$H$1037,IF(AE209&gt;DATA!$H$1036*$B$57,DATA!$H$1036,1))</f>
        <v>1.2</v>
      </c>
      <c r="AM209" s="156">
        <f t="shared" si="73"/>
        <v>9.9999999999999995E-8</v>
      </c>
      <c r="AO209" s="140">
        <f t="shared" si="74"/>
        <v>1.6200000000000001E-5</v>
      </c>
      <c r="AP209">
        <v>1.62</v>
      </c>
      <c r="AQ209" s="140">
        <f t="shared" si="75"/>
        <v>1.6199999999999994E-7</v>
      </c>
      <c r="AR209" s="140">
        <f t="shared" si="76"/>
        <v>3.2399999999999999E-7</v>
      </c>
      <c r="AS209" s="140">
        <f t="shared" si="77"/>
        <v>4.8599999999999998E-7</v>
      </c>
      <c r="AT209" s="140">
        <f t="shared" si="78"/>
        <v>6.4800000000000009E-7</v>
      </c>
      <c r="AU209" s="140">
        <f t="shared" si="79"/>
        <v>8.1000000000000008E-7</v>
      </c>
      <c r="AV209" s="157">
        <f>IF(AO209&lt;$B$73*DATA!$H$1037,DATA!$H$1037,IF(AO209&gt;DATA!$H$1036*$B$73,DATA!$H$1036,1))</f>
        <v>1.2</v>
      </c>
      <c r="AW209" s="156">
        <f t="shared" si="80"/>
        <v>9.9999999999999995E-8</v>
      </c>
      <c r="AY209" s="140">
        <f t="shared" si="81"/>
        <v>1.6200000000000001E-5</v>
      </c>
      <c r="AZ209">
        <v>1.62</v>
      </c>
      <c r="BA209" s="140">
        <f t="shared" si="82"/>
        <v>1.6199999999999994E-7</v>
      </c>
      <c r="BB209" s="140">
        <f t="shared" si="83"/>
        <v>3.2399999999999999E-7</v>
      </c>
      <c r="BC209" s="140">
        <f t="shared" si="84"/>
        <v>4.8599999999999998E-7</v>
      </c>
      <c r="BD209" s="140">
        <f t="shared" si="85"/>
        <v>6.4800000000000009E-7</v>
      </c>
      <c r="BE209" s="140">
        <f t="shared" si="86"/>
        <v>8.1000000000000008E-7</v>
      </c>
      <c r="BF209" s="157">
        <f>IF(AY209&lt;$B$89*DATA!$H$1037,DATA!$H$1037,IF(AY209&gt;DATA!$H$1036*$B$89,DATA!$H$1036,1))</f>
        <v>1.2</v>
      </c>
      <c r="BG209" s="156">
        <f t="shared" si="87"/>
        <v>9.9999999999999995E-8</v>
      </c>
      <c r="BI209" s="140">
        <f t="shared" si="88"/>
        <v>1.6200000000000001E-5</v>
      </c>
      <c r="BJ209">
        <v>1.62</v>
      </c>
      <c r="BK209" s="140">
        <f t="shared" si="89"/>
        <v>1.6199999999999994E-7</v>
      </c>
      <c r="BL209" s="140">
        <f t="shared" si="90"/>
        <v>3.2399999999999999E-7</v>
      </c>
      <c r="BM209" s="140">
        <f t="shared" si="91"/>
        <v>4.8599999999999998E-7</v>
      </c>
      <c r="BN209" s="140">
        <f t="shared" si="92"/>
        <v>6.4800000000000009E-7</v>
      </c>
      <c r="BO209" s="140">
        <f t="shared" si="93"/>
        <v>8.1000000000000008E-7</v>
      </c>
      <c r="BP209" s="157">
        <f>IF(BI209&lt;$B$105*DATA!$H$1037,DATA!$H$1037,IF(BI209&gt;DATA!$H$1036*$B$105,DATA!$H$1036,1))</f>
        <v>1.2</v>
      </c>
      <c r="BQ209" s="156">
        <f t="shared" si="94"/>
        <v>9.9999999999999995E-8</v>
      </c>
    </row>
    <row r="210" spans="1:69">
      <c r="A210" s="140">
        <f t="shared" si="50"/>
        <v>1.6399999999999999E-5</v>
      </c>
      <c r="B210">
        <v>1.64</v>
      </c>
      <c r="C210" s="140">
        <f t="shared" si="51"/>
        <v>1.6399999999999993E-7</v>
      </c>
      <c r="D210" s="140">
        <f t="shared" si="51"/>
        <v>3.2799999999999992E-7</v>
      </c>
      <c r="E210" s="140">
        <f t="shared" si="51"/>
        <v>4.9199999999999991E-7</v>
      </c>
      <c r="F210" s="140">
        <f t="shared" si="51"/>
        <v>6.5599999999999994E-7</v>
      </c>
      <c r="G210" s="140">
        <f t="shared" si="51"/>
        <v>8.1999999999999998E-7</v>
      </c>
      <c r="H210" s="157">
        <f>IF(A210&lt;$B$9*DATA!$H$1037,DATA!$H$1037,IF(A210&gt;DATA!$H$1036*$B$9,DATA!$H$1036,1))</f>
        <v>0.8</v>
      </c>
      <c r="I210" s="156">
        <f t="shared" si="52"/>
        <v>9.9999999999999995E-8</v>
      </c>
      <c r="K210" s="140">
        <f t="shared" si="53"/>
        <v>1.6399999999999999E-5</v>
      </c>
      <c r="L210">
        <v>1.64</v>
      </c>
      <c r="M210" s="140">
        <f t="shared" si="54"/>
        <v>1.6399999999999993E-7</v>
      </c>
      <c r="N210" s="140">
        <f t="shared" si="55"/>
        <v>3.2799999999999992E-7</v>
      </c>
      <c r="O210" s="140">
        <f t="shared" si="56"/>
        <v>4.9199999999999991E-7</v>
      </c>
      <c r="P210" s="140">
        <f t="shared" si="57"/>
        <v>6.5599999999999994E-7</v>
      </c>
      <c r="Q210" s="140">
        <f t="shared" si="58"/>
        <v>8.1999999999999998E-7</v>
      </c>
      <c r="R210" s="157">
        <f>IF(K210&lt;$B$25*DATA!$H$1037,DATA!$H$1037,IF(K210&gt;DATA!$H$1036*$B$25,DATA!$H$1036,1))</f>
        <v>0.8</v>
      </c>
      <c r="S210" s="156">
        <f t="shared" si="59"/>
        <v>9.9999999999999995E-8</v>
      </c>
      <c r="U210" s="140">
        <f t="shared" si="60"/>
        <v>1.6399999999999999E-5</v>
      </c>
      <c r="V210">
        <v>1.64</v>
      </c>
      <c r="W210" s="140">
        <f t="shared" si="61"/>
        <v>1.6399999999999993E-7</v>
      </c>
      <c r="X210" s="140">
        <f t="shared" si="62"/>
        <v>3.2799999999999992E-7</v>
      </c>
      <c r="Y210" s="140">
        <f t="shared" si="63"/>
        <v>4.9199999999999991E-7</v>
      </c>
      <c r="Z210" s="140">
        <f t="shared" si="64"/>
        <v>6.5599999999999994E-7</v>
      </c>
      <c r="AA210" s="140">
        <f t="shared" si="65"/>
        <v>8.1999999999999998E-7</v>
      </c>
      <c r="AB210" s="157">
        <f>IF(U210&lt;$B$41*DATA!$H$1037,DATA!$H$1037,IF(U210&gt;DATA!$H$1036*$B$41,DATA!$H$1036,1))</f>
        <v>0.8</v>
      </c>
      <c r="AC210" s="156">
        <f t="shared" si="66"/>
        <v>9.9999999999999995E-8</v>
      </c>
      <c r="AE210" s="140">
        <f t="shared" si="67"/>
        <v>1.6399999999999999E-5</v>
      </c>
      <c r="AF210">
        <v>1.64</v>
      </c>
      <c r="AG210" s="140">
        <f t="shared" si="68"/>
        <v>1.6399999999999993E-7</v>
      </c>
      <c r="AH210" s="140">
        <f t="shared" si="69"/>
        <v>3.2799999999999992E-7</v>
      </c>
      <c r="AI210" s="140">
        <f t="shared" si="70"/>
        <v>4.9199999999999991E-7</v>
      </c>
      <c r="AJ210" s="140">
        <f t="shared" si="71"/>
        <v>6.5599999999999994E-7</v>
      </c>
      <c r="AK210" s="140">
        <f t="shared" si="72"/>
        <v>8.1999999999999998E-7</v>
      </c>
      <c r="AL210" s="157">
        <f>IF(AE210&lt;$B$57*DATA!$H$1037,DATA!$H$1037,IF(AE210&gt;DATA!$H$1036*$B$57,DATA!$H$1036,1))</f>
        <v>1.2</v>
      </c>
      <c r="AM210" s="156">
        <f t="shared" si="73"/>
        <v>9.9999999999999995E-8</v>
      </c>
      <c r="AO210" s="140">
        <f t="shared" si="74"/>
        <v>1.6399999999999999E-5</v>
      </c>
      <c r="AP210">
        <v>1.64</v>
      </c>
      <c r="AQ210" s="140">
        <f t="shared" si="75"/>
        <v>1.6399999999999993E-7</v>
      </c>
      <c r="AR210" s="140">
        <f t="shared" si="76"/>
        <v>3.2799999999999992E-7</v>
      </c>
      <c r="AS210" s="140">
        <f t="shared" si="77"/>
        <v>4.9199999999999991E-7</v>
      </c>
      <c r="AT210" s="140">
        <f t="shared" si="78"/>
        <v>6.5599999999999994E-7</v>
      </c>
      <c r="AU210" s="140">
        <f t="shared" si="79"/>
        <v>8.1999999999999998E-7</v>
      </c>
      <c r="AV210" s="157">
        <f>IF(AO210&lt;$B$73*DATA!$H$1037,DATA!$H$1037,IF(AO210&gt;DATA!$H$1036*$B$73,DATA!$H$1036,1))</f>
        <v>1.2</v>
      </c>
      <c r="AW210" s="156">
        <f t="shared" si="80"/>
        <v>9.9999999999999995E-8</v>
      </c>
      <c r="AY210" s="140">
        <f t="shared" si="81"/>
        <v>1.6399999999999999E-5</v>
      </c>
      <c r="AZ210">
        <v>1.64</v>
      </c>
      <c r="BA210" s="140">
        <f t="shared" si="82"/>
        <v>1.6399999999999993E-7</v>
      </c>
      <c r="BB210" s="140">
        <f t="shared" si="83"/>
        <v>3.2799999999999992E-7</v>
      </c>
      <c r="BC210" s="140">
        <f t="shared" si="84"/>
        <v>4.9199999999999991E-7</v>
      </c>
      <c r="BD210" s="140">
        <f t="shared" si="85"/>
        <v>6.5599999999999994E-7</v>
      </c>
      <c r="BE210" s="140">
        <f t="shared" si="86"/>
        <v>8.1999999999999998E-7</v>
      </c>
      <c r="BF210" s="157">
        <f>IF(AY210&lt;$B$89*DATA!$H$1037,DATA!$H$1037,IF(AY210&gt;DATA!$H$1036*$B$89,DATA!$H$1036,1))</f>
        <v>1.2</v>
      </c>
      <c r="BG210" s="156">
        <f t="shared" si="87"/>
        <v>9.9999999999999995E-8</v>
      </c>
      <c r="BI210" s="140">
        <f t="shared" si="88"/>
        <v>1.6399999999999999E-5</v>
      </c>
      <c r="BJ210">
        <v>1.64</v>
      </c>
      <c r="BK210" s="140">
        <f t="shared" si="89"/>
        <v>1.6399999999999993E-7</v>
      </c>
      <c r="BL210" s="140">
        <f t="shared" si="90"/>
        <v>3.2799999999999992E-7</v>
      </c>
      <c r="BM210" s="140">
        <f t="shared" si="91"/>
        <v>4.9199999999999991E-7</v>
      </c>
      <c r="BN210" s="140">
        <f t="shared" si="92"/>
        <v>6.5599999999999994E-7</v>
      </c>
      <c r="BO210" s="140">
        <f t="shared" si="93"/>
        <v>8.1999999999999998E-7</v>
      </c>
      <c r="BP210" s="157">
        <f>IF(BI210&lt;$B$105*DATA!$H$1037,DATA!$H$1037,IF(BI210&gt;DATA!$H$1036*$B$105,DATA!$H$1036,1))</f>
        <v>1.2</v>
      </c>
      <c r="BQ210" s="156">
        <f t="shared" si="94"/>
        <v>9.9999999999999995E-8</v>
      </c>
    </row>
    <row r="211" spans="1:69">
      <c r="A211" s="140">
        <f t="shared" si="50"/>
        <v>1.66E-5</v>
      </c>
      <c r="B211">
        <v>1.66</v>
      </c>
      <c r="C211" s="140">
        <f t="shared" si="51"/>
        <v>1.6599999999999995E-7</v>
      </c>
      <c r="D211" s="140">
        <f t="shared" si="51"/>
        <v>3.3199999999999996E-7</v>
      </c>
      <c r="E211" s="140">
        <f t="shared" si="51"/>
        <v>4.9800000000000004E-7</v>
      </c>
      <c r="F211" s="140">
        <f t="shared" si="51"/>
        <v>6.6400000000000002E-7</v>
      </c>
      <c r="G211" s="140">
        <f t="shared" si="51"/>
        <v>8.300000000000001E-7</v>
      </c>
      <c r="H211" s="157">
        <f>IF(A211&lt;$B$9*DATA!$H$1037,DATA!$H$1037,IF(A211&gt;DATA!$H$1036*$B$9,DATA!$H$1036,1))</f>
        <v>0.8</v>
      </c>
      <c r="I211" s="156">
        <f t="shared" si="52"/>
        <v>9.9999999999999995E-8</v>
      </c>
      <c r="K211" s="140">
        <f t="shared" si="53"/>
        <v>1.66E-5</v>
      </c>
      <c r="L211">
        <v>1.66</v>
      </c>
      <c r="M211" s="140">
        <f t="shared" si="54"/>
        <v>1.6599999999999995E-7</v>
      </c>
      <c r="N211" s="140">
        <f t="shared" si="55"/>
        <v>3.3199999999999996E-7</v>
      </c>
      <c r="O211" s="140">
        <f t="shared" si="56"/>
        <v>4.9800000000000004E-7</v>
      </c>
      <c r="P211" s="140">
        <f t="shared" si="57"/>
        <v>6.6400000000000002E-7</v>
      </c>
      <c r="Q211" s="140">
        <f t="shared" si="58"/>
        <v>8.300000000000001E-7</v>
      </c>
      <c r="R211" s="157">
        <f>IF(K211&lt;$B$25*DATA!$H$1037,DATA!$H$1037,IF(K211&gt;DATA!$H$1036*$B$25,DATA!$H$1036,1))</f>
        <v>0.8</v>
      </c>
      <c r="S211" s="156">
        <f t="shared" si="59"/>
        <v>9.9999999999999995E-8</v>
      </c>
      <c r="U211" s="140">
        <f t="shared" si="60"/>
        <v>1.66E-5</v>
      </c>
      <c r="V211">
        <v>1.66</v>
      </c>
      <c r="W211" s="140">
        <f t="shared" si="61"/>
        <v>1.6599999999999995E-7</v>
      </c>
      <c r="X211" s="140">
        <f t="shared" si="62"/>
        <v>3.3199999999999996E-7</v>
      </c>
      <c r="Y211" s="140">
        <f t="shared" si="63"/>
        <v>4.9800000000000004E-7</v>
      </c>
      <c r="Z211" s="140">
        <f t="shared" si="64"/>
        <v>6.6400000000000002E-7</v>
      </c>
      <c r="AA211" s="140">
        <f t="shared" si="65"/>
        <v>8.300000000000001E-7</v>
      </c>
      <c r="AB211" s="157">
        <f>IF(U211&lt;$B$41*DATA!$H$1037,DATA!$H$1037,IF(U211&gt;DATA!$H$1036*$B$41,DATA!$H$1036,1))</f>
        <v>0.8</v>
      </c>
      <c r="AC211" s="156">
        <f t="shared" si="66"/>
        <v>9.9999999999999995E-8</v>
      </c>
      <c r="AE211" s="140">
        <f t="shared" si="67"/>
        <v>1.66E-5</v>
      </c>
      <c r="AF211">
        <v>1.66</v>
      </c>
      <c r="AG211" s="140">
        <f t="shared" si="68"/>
        <v>1.6599999999999995E-7</v>
      </c>
      <c r="AH211" s="140">
        <f t="shared" si="69"/>
        <v>3.3199999999999996E-7</v>
      </c>
      <c r="AI211" s="140">
        <f t="shared" si="70"/>
        <v>4.9800000000000004E-7</v>
      </c>
      <c r="AJ211" s="140">
        <f t="shared" si="71"/>
        <v>6.6400000000000002E-7</v>
      </c>
      <c r="AK211" s="140">
        <f t="shared" si="72"/>
        <v>8.300000000000001E-7</v>
      </c>
      <c r="AL211" s="157">
        <f>IF(AE211&lt;$B$57*DATA!$H$1037,DATA!$H$1037,IF(AE211&gt;DATA!$H$1036*$B$57,DATA!$H$1036,1))</f>
        <v>1.2</v>
      </c>
      <c r="AM211" s="156">
        <f t="shared" si="73"/>
        <v>9.9999999999999995E-8</v>
      </c>
      <c r="AO211" s="140">
        <f t="shared" si="74"/>
        <v>1.66E-5</v>
      </c>
      <c r="AP211">
        <v>1.66</v>
      </c>
      <c r="AQ211" s="140">
        <f t="shared" si="75"/>
        <v>1.6599999999999995E-7</v>
      </c>
      <c r="AR211" s="140">
        <f t="shared" si="76"/>
        <v>3.3199999999999996E-7</v>
      </c>
      <c r="AS211" s="140">
        <f t="shared" si="77"/>
        <v>4.9800000000000004E-7</v>
      </c>
      <c r="AT211" s="140">
        <f t="shared" si="78"/>
        <v>6.6400000000000002E-7</v>
      </c>
      <c r="AU211" s="140">
        <f t="shared" si="79"/>
        <v>8.300000000000001E-7</v>
      </c>
      <c r="AV211" s="157">
        <f>IF(AO211&lt;$B$73*DATA!$H$1037,DATA!$H$1037,IF(AO211&gt;DATA!$H$1036*$B$73,DATA!$H$1036,1))</f>
        <v>1.2</v>
      </c>
      <c r="AW211" s="156">
        <f t="shared" si="80"/>
        <v>9.9999999999999995E-8</v>
      </c>
      <c r="AY211" s="140">
        <f t="shared" si="81"/>
        <v>1.66E-5</v>
      </c>
      <c r="AZ211">
        <v>1.66</v>
      </c>
      <c r="BA211" s="140">
        <f t="shared" si="82"/>
        <v>1.6599999999999995E-7</v>
      </c>
      <c r="BB211" s="140">
        <f t="shared" si="83"/>
        <v>3.3199999999999996E-7</v>
      </c>
      <c r="BC211" s="140">
        <f t="shared" si="84"/>
        <v>4.9800000000000004E-7</v>
      </c>
      <c r="BD211" s="140">
        <f t="shared" si="85"/>
        <v>6.6400000000000002E-7</v>
      </c>
      <c r="BE211" s="140">
        <f t="shared" si="86"/>
        <v>8.300000000000001E-7</v>
      </c>
      <c r="BF211" s="157">
        <f>IF(AY211&lt;$B$89*DATA!$H$1037,DATA!$H$1037,IF(AY211&gt;DATA!$H$1036*$B$89,DATA!$H$1036,1))</f>
        <v>1.2</v>
      </c>
      <c r="BG211" s="156">
        <f t="shared" si="87"/>
        <v>9.9999999999999995E-8</v>
      </c>
      <c r="BI211" s="140">
        <f t="shared" si="88"/>
        <v>1.66E-5</v>
      </c>
      <c r="BJ211">
        <v>1.66</v>
      </c>
      <c r="BK211" s="140">
        <f t="shared" si="89"/>
        <v>1.6599999999999995E-7</v>
      </c>
      <c r="BL211" s="140">
        <f t="shared" si="90"/>
        <v>3.3199999999999996E-7</v>
      </c>
      <c r="BM211" s="140">
        <f t="shared" si="91"/>
        <v>4.9800000000000004E-7</v>
      </c>
      <c r="BN211" s="140">
        <f t="shared" si="92"/>
        <v>6.6400000000000002E-7</v>
      </c>
      <c r="BO211" s="140">
        <f t="shared" si="93"/>
        <v>8.300000000000001E-7</v>
      </c>
      <c r="BP211" s="157">
        <f>IF(BI211&lt;$B$105*DATA!$H$1037,DATA!$H$1037,IF(BI211&gt;DATA!$H$1036*$B$105,DATA!$H$1036,1))</f>
        <v>1.2</v>
      </c>
      <c r="BQ211" s="156">
        <f t="shared" si="94"/>
        <v>9.9999999999999995E-8</v>
      </c>
    </row>
    <row r="212" spans="1:69">
      <c r="A212" s="140">
        <f t="shared" si="50"/>
        <v>1.6800000000000002E-5</v>
      </c>
      <c r="B212">
        <v>1.68</v>
      </c>
      <c r="C212" s="140">
        <f t="shared" si="51"/>
        <v>1.6799999999999997E-7</v>
      </c>
      <c r="D212" s="140">
        <f t="shared" si="51"/>
        <v>3.3599999999999999E-7</v>
      </c>
      <c r="E212" s="140">
        <f t="shared" si="51"/>
        <v>5.0400000000000007E-7</v>
      </c>
      <c r="F212" s="140">
        <f t="shared" si="51"/>
        <v>6.7200000000000009E-7</v>
      </c>
      <c r="G212" s="140">
        <f t="shared" si="51"/>
        <v>8.4000000000000011E-7</v>
      </c>
      <c r="H212" s="157">
        <f>IF(A212&lt;$B$9*DATA!$H$1037,DATA!$H$1037,IF(A212&gt;DATA!$H$1036*$B$9,DATA!$H$1036,1))</f>
        <v>0.8</v>
      </c>
      <c r="I212" s="156">
        <f t="shared" si="52"/>
        <v>9.9999999999999995E-8</v>
      </c>
      <c r="K212" s="140">
        <f t="shared" si="53"/>
        <v>1.6800000000000002E-5</v>
      </c>
      <c r="L212">
        <v>1.68</v>
      </c>
      <c r="M212" s="140">
        <f t="shared" si="54"/>
        <v>1.6799999999999997E-7</v>
      </c>
      <c r="N212" s="140">
        <f t="shared" si="55"/>
        <v>3.3599999999999999E-7</v>
      </c>
      <c r="O212" s="140">
        <f t="shared" si="56"/>
        <v>5.0400000000000007E-7</v>
      </c>
      <c r="P212" s="140">
        <f t="shared" si="57"/>
        <v>6.7200000000000009E-7</v>
      </c>
      <c r="Q212" s="140">
        <f t="shared" si="58"/>
        <v>8.4000000000000011E-7</v>
      </c>
      <c r="R212" s="157">
        <f>IF(K212&lt;$B$25*DATA!$H$1037,DATA!$H$1037,IF(K212&gt;DATA!$H$1036*$B$25,DATA!$H$1036,1))</f>
        <v>0.8</v>
      </c>
      <c r="S212" s="156">
        <f t="shared" si="59"/>
        <v>9.9999999999999995E-8</v>
      </c>
      <c r="U212" s="140">
        <f t="shared" si="60"/>
        <v>1.6800000000000002E-5</v>
      </c>
      <c r="V212">
        <v>1.68</v>
      </c>
      <c r="W212" s="140">
        <f t="shared" si="61"/>
        <v>1.6799999999999997E-7</v>
      </c>
      <c r="X212" s="140">
        <f t="shared" si="62"/>
        <v>3.3599999999999999E-7</v>
      </c>
      <c r="Y212" s="140">
        <f t="shared" si="63"/>
        <v>5.0400000000000007E-7</v>
      </c>
      <c r="Z212" s="140">
        <f t="shared" si="64"/>
        <v>6.7200000000000009E-7</v>
      </c>
      <c r="AA212" s="140">
        <f t="shared" si="65"/>
        <v>8.4000000000000011E-7</v>
      </c>
      <c r="AB212" s="157">
        <f>IF(U212&lt;$B$41*DATA!$H$1037,DATA!$H$1037,IF(U212&gt;DATA!$H$1036*$B$41,DATA!$H$1036,1))</f>
        <v>0.8</v>
      </c>
      <c r="AC212" s="156">
        <f t="shared" si="66"/>
        <v>9.9999999999999995E-8</v>
      </c>
      <c r="AE212" s="140">
        <f t="shared" si="67"/>
        <v>1.6800000000000002E-5</v>
      </c>
      <c r="AF212">
        <v>1.68</v>
      </c>
      <c r="AG212" s="140">
        <f t="shared" si="68"/>
        <v>1.6799999999999997E-7</v>
      </c>
      <c r="AH212" s="140">
        <f t="shared" si="69"/>
        <v>3.3599999999999999E-7</v>
      </c>
      <c r="AI212" s="140">
        <f t="shared" si="70"/>
        <v>5.0400000000000007E-7</v>
      </c>
      <c r="AJ212" s="140">
        <f t="shared" si="71"/>
        <v>6.7200000000000009E-7</v>
      </c>
      <c r="AK212" s="140">
        <f t="shared" si="72"/>
        <v>8.4000000000000011E-7</v>
      </c>
      <c r="AL212" s="157">
        <f>IF(AE212&lt;$B$57*DATA!$H$1037,DATA!$H$1037,IF(AE212&gt;DATA!$H$1036*$B$57,DATA!$H$1036,1))</f>
        <v>1.2</v>
      </c>
      <c r="AM212" s="156">
        <f t="shared" si="73"/>
        <v>9.9999999999999995E-8</v>
      </c>
      <c r="AO212" s="140">
        <f t="shared" si="74"/>
        <v>1.6800000000000002E-5</v>
      </c>
      <c r="AP212">
        <v>1.68</v>
      </c>
      <c r="AQ212" s="140">
        <f t="shared" si="75"/>
        <v>1.6799999999999997E-7</v>
      </c>
      <c r="AR212" s="140">
        <f t="shared" si="76"/>
        <v>3.3599999999999999E-7</v>
      </c>
      <c r="AS212" s="140">
        <f t="shared" si="77"/>
        <v>5.0400000000000007E-7</v>
      </c>
      <c r="AT212" s="140">
        <f t="shared" si="78"/>
        <v>6.7200000000000009E-7</v>
      </c>
      <c r="AU212" s="140">
        <f t="shared" si="79"/>
        <v>8.4000000000000011E-7</v>
      </c>
      <c r="AV212" s="157">
        <f>IF(AO212&lt;$B$73*DATA!$H$1037,DATA!$H$1037,IF(AO212&gt;DATA!$H$1036*$B$73,DATA!$H$1036,1))</f>
        <v>1.2</v>
      </c>
      <c r="AW212" s="156">
        <f t="shared" si="80"/>
        <v>9.9999999999999995E-8</v>
      </c>
      <c r="AY212" s="140">
        <f t="shared" si="81"/>
        <v>1.6800000000000002E-5</v>
      </c>
      <c r="AZ212">
        <v>1.68</v>
      </c>
      <c r="BA212" s="140">
        <f t="shared" si="82"/>
        <v>1.6799999999999997E-7</v>
      </c>
      <c r="BB212" s="140">
        <f t="shared" si="83"/>
        <v>3.3599999999999999E-7</v>
      </c>
      <c r="BC212" s="140">
        <f t="shared" si="84"/>
        <v>5.0400000000000007E-7</v>
      </c>
      <c r="BD212" s="140">
        <f t="shared" si="85"/>
        <v>6.7200000000000009E-7</v>
      </c>
      <c r="BE212" s="140">
        <f t="shared" si="86"/>
        <v>8.4000000000000011E-7</v>
      </c>
      <c r="BF212" s="157">
        <f>IF(AY212&lt;$B$89*DATA!$H$1037,DATA!$H$1037,IF(AY212&gt;DATA!$H$1036*$B$89,DATA!$H$1036,1))</f>
        <v>1.2</v>
      </c>
      <c r="BG212" s="156">
        <f t="shared" si="87"/>
        <v>9.9999999999999995E-8</v>
      </c>
      <c r="BI212" s="140">
        <f t="shared" si="88"/>
        <v>1.6800000000000002E-5</v>
      </c>
      <c r="BJ212">
        <v>1.68</v>
      </c>
      <c r="BK212" s="140">
        <f t="shared" si="89"/>
        <v>1.6799999999999997E-7</v>
      </c>
      <c r="BL212" s="140">
        <f t="shared" si="90"/>
        <v>3.3599999999999999E-7</v>
      </c>
      <c r="BM212" s="140">
        <f t="shared" si="91"/>
        <v>5.0400000000000007E-7</v>
      </c>
      <c r="BN212" s="140">
        <f t="shared" si="92"/>
        <v>6.7200000000000009E-7</v>
      </c>
      <c r="BO212" s="140">
        <f t="shared" si="93"/>
        <v>8.4000000000000011E-7</v>
      </c>
      <c r="BP212" s="157">
        <f>IF(BI212&lt;$B$105*DATA!$H$1037,DATA!$H$1037,IF(BI212&gt;DATA!$H$1036*$B$105,DATA!$H$1036,1))</f>
        <v>1.2</v>
      </c>
      <c r="BQ212" s="156">
        <f t="shared" si="94"/>
        <v>9.9999999999999995E-8</v>
      </c>
    </row>
    <row r="213" spans="1:69">
      <c r="A213" s="140">
        <f t="shared" si="50"/>
        <v>1.7E-5</v>
      </c>
      <c r="B213">
        <v>1.7</v>
      </c>
      <c r="C213" s="140">
        <f t="shared" si="51"/>
        <v>1.6999999999999993E-7</v>
      </c>
      <c r="D213" s="140">
        <f t="shared" si="51"/>
        <v>3.3999999999999992E-7</v>
      </c>
      <c r="E213" s="140">
        <f t="shared" si="51"/>
        <v>5.0999999999999999E-7</v>
      </c>
      <c r="F213" s="140">
        <f t="shared" si="51"/>
        <v>6.8000000000000005E-7</v>
      </c>
      <c r="G213" s="140">
        <f t="shared" si="51"/>
        <v>8.5000000000000001E-7</v>
      </c>
      <c r="H213" s="157">
        <f>IF(A213&lt;$B$9*DATA!$H$1037,DATA!$H$1037,IF(A213&gt;DATA!$H$1036*$B$9,DATA!$H$1036,1))</f>
        <v>0.8</v>
      </c>
      <c r="I213" s="156">
        <f t="shared" si="52"/>
        <v>9.9999999999999995E-8</v>
      </c>
      <c r="K213" s="140">
        <f t="shared" si="53"/>
        <v>1.7E-5</v>
      </c>
      <c r="L213">
        <v>1.7</v>
      </c>
      <c r="M213" s="140">
        <f t="shared" si="54"/>
        <v>1.6999999999999993E-7</v>
      </c>
      <c r="N213" s="140">
        <f t="shared" si="55"/>
        <v>3.3999999999999992E-7</v>
      </c>
      <c r="O213" s="140">
        <f t="shared" si="56"/>
        <v>5.0999999999999999E-7</v>
      </c>
      <c r="P213" s="140">
        <f t="shared" si="57"/>
        <v>6.8000000000000005E-7</v>
      </c>
      <c r="Q213" s="140">
        <f t="shared" si="58"/>
        <v>8.5000000000000001E-7</v>
      </c>
      <c r="R213" s="157">
        <f>IF(K213&lt;$B$25*DATA!$H$1037,DATA!$H$1037,IF(K213&gt;DATA!$H$1036*$B$25,DATA!$H$1036,1))</f>
        <v>0.8</v>
      </c>
      <c r="S213" s="156">
        <f t="shared" si="59"/>
        <v>9.9999999999999995E-8</v>
      </c>
      <c r="U213" s="140">
        <f t="shared" si="60"/>
        <v>1.7E-5</v>
      </c>
      <c r="V213">
        <v>1.7</v>
      </c>
      <c r="W213" s="140">
        <f t="shared" si="61"/>
        <v>1.6999999999999993E-7</v>
      </c>
      <c r="X213" s="140">
        <f t="shared" si="62"/>
        <v>3.3999999999999992E-7</v>
      </c>
      <c r="Y213" s="140">
        <f t="shared" si="63"/>
        <v>5.0999999999999999E-7</v>
      </c>
      <c r="Z213" s="140">
        <f t="shared" si="64"/>
        <v>6.8000000000000005E-7</v>
      </c>
      <c r="AA213" s="140">
        <f t="shared" si="65"/>
        <v>8.5000000000000001E-7</v>
      </c>
      <c r="AB213" s="157">
        <f>IF(U213&lt;$B$41*DATA!$H$1037,DATA!$H$1037,IF(U213&gt;DATA!$H$1036*$B$41,DATA!$H$1036,1))</f>
        <v>0.8</v>
      </c>
      <c r="AC213" s="156">
        <f t="shared" si="66"/>
        <v>9.9999999999999995E-8</v>
      </c>
      <c r="AE213" s="140">
        <f t="shared" si="67"/>
        <v>1.7E-5</v>
      </c>
      <c r="AF213">
        <v>1.7</v>
      </c>
      <c r="AG213" s="140">
        <f t="shared" si="68"/>
        <v>1.6999999999999993E-7</v>
      </c>
      <c r="AH213" s="140">
        <f t="shared" si="69"/>
        <v>3.3999999999999992E-7</v>
      </c>
      <c r="AI213" s="140">
        <f t="shared" si="70"/>
        <v>5.0999999999999999E-7</v>
      </c>
      <c r="AJ213" s="140">
        <f t="shared" si="71"/>
        <v>6.8000000000000005E-7</v>
      </c>
      <c r="AK213" s="140">
        <f t="shared" si="72"/>
        <v>8.5000000000000001E-7</v>
      </c>
      <c r="AL213" s="157">
        <f>IF(AE213&lt;$B$57*DATA!$H$1037,DATA!$H$1037,IF(AE213&gt;DATA!$H$1036*$B$57,DATA!$H$1036,1))</f>
        <v>1.2</v>
      </c>
      <c r="AM213" s="156">
        <f t="shared" si="73"/>
        <v>9.9999999999999995E-8</v>
      </c>
      <c r="AO213" s="140">
        <f t="shared" si="74"/>
        <v>1.7E-5</v>
      </c>
      <c r="AP213">
        <v>1.7</v>
      </c>
      <c r="AQ213" s="140">
        <f t="shared" si="75"/>
        <v>1.6999999999999993E-7</v>
      </c>
      <c r="AR213" s="140">
        <f t="shared" si="76"/>
        <v>3.3999999999999992E-7</v>
      </c>
      <c r="AS213" s="140">
        <f t="shared" si="77"/>
        <v>5.0999999999999999E-7</v>
      </c>
      <c r="AT213" s="140">
        <f t="shared" si="78"/>
        <v>6.8000000000000005E-7</v>
      </c>
      <c r="AU213" s="140">
        <f t="shared" si="79"/>
        <v>8.5000000000000001E-7</v>
      </c>
      <c r="AV213" s="157">
        <f>IF(AO213&lt;$B$73*DATA!$H$1037,DATA!$H$1037,IF(AO213&gt;DATA!$H$1036*$B$73,DATA!$H$1036,1))</f>
        <v>1.2</v>
      </c>
      <c r="AW213" s="156">
        <f t="shared" si="80"/>
        <v>9.9999999999999995E-8</v>
      </c>
      <c r="AY213" s="140">
        <f t="shared" si="81"/>
        <v>1.7E-5</v>
      </c>
      <c r="AZ213">
        <v>1.7</v>
      </c>
      <c r="BA213" s="140">
        <f t="shared" si="82"/>
        <v>1.6999999999999993E-7</v>
      </c>
      <c r="BB213" s="140">
        <f t="shared" si="83"/>
        <v>3.3999999999999992E-7</v>
      </c>
      <c r="BC213" s="140">
        <f t="shared" si="84"/>
        <v>5.0999999999999999E-7</v>
      </c>
      <c r="BD213" s="140">
        <f t="shared" si="85"/>
        <v>6.8000000000000005E-7</v>
      </c>
      <c r="BE213" s="140">
        <f t="shared" si="86"/>
        <v>8.5000000000000001E-7</v>
      </c>
      <c r="BF213" s="157">
        <f>IF(AY213&lt;$B$89*DATA!$H$1037,DATA!$H$1037,IF(AY213&gt;DATA!$H$1036*$B$89,DATA!$H$1036,1))</f>
        <v>1.2</v>
      </c>
      <c r="BG213" s="156">
        <f t="shared" si="87"/>
        <v>9.9999999999999995E-8</v>
      </c>
      <c r="BI213" s="140">
        <f t="shared" si="88"/>
        <v>1.7E-5</v>
      </c>
      <c r="BJ213">
        <v>1.7</v>
      </c>
      <c r="BK213" s="140">
        <f t="shared" si="89"/>
        <v>1.6999999999999993E-7</v>
      </c>
      <c r="BL213" s="140">
        <f t="shared" si="90"/>
        <v>3.3999999999999992E-7</v>
      </c>
      <c r="BM213" s="140">
        <f t="shared" si="91"/>
        <v>5.0999999999999999E-7</v>
      </c>
      <c r="BN213" s="140">
        <f t="shared" si="92"/>
        <v>6.8000000000000005E-7</v>
      </c>
      <c r="BO213" s="140">
        <f t="shared" si="93"/>
        <v>8.5000000000000001E-7</v>
      </c>
      <c r="BP213" s="157">
        <f>IF(BI213&lt;$B$105*DATA!$H$1037,DATA!$H$1037,IF(BI213&gt;DATA!$H$1036*$B$105,DATA!$H$1036,1))</f>
        <v>1.2</v>
      </c>
      <c r="BQ213" s="156">
        <f t="shared" si="94"/>
        <v>9.9999999999999995E-8</v>
      </c>
    </row>
    <row r="214" spans="1:69">
      <c r="A214" s="140">
        <f t="shared" si="50"/>
        <v>1.7200000000000001E-5</v>
      </c>
      <c r="B214">
        <v>1.72</v>
      </c>
      <c r="C214" s="140">
        <f t="shared" si="51"/>
        <v>1.7199999999999995E-7</v>
      </c>
      <c r="D214" s="140">
        <f t="shared" si="51"/>
        <v>3.4399999999999996E-7</v>
      </c>
      <c r="E214" s="140">
        <f t="shared" si="51"/>
        <v>5.1600000000000001E-7</v>
      </c>
      <c r="F214" s="140">
        <f t="shared" si="51"/>
        <v>6.8800000000000002E-7</v>
      </c>
      <c r="G214" s="140">
        <f t="shared" si="51"/>
        <v>8.6000000000000013E-7</v>
      </c>
      <c r="H214" s="157">
        <f>IF(A214&lt;$B$9*DATA!$H$1037,DATA!$H$1037,IF(A214&gt;DATA!$H$1036*$B$9,DATA!$H$1036,1))</f>
        <v>0.8</v>
      </c>
      <c r="I214" s="156">
        <f t="shared" si="52"/>
        <v>9.9999999999999995E-8</v>
      </c>
      <c r="K214" s="140">
        <f t="shared" si="53"/>
        <v>1.7200000000000001E-5</v>
      </c>
      <c r="L214">
        <v>1.72</v>
      </c>
      <c r="M214" s="140">
        <f t="shared" si="54"/>
        <v>1.7199999999999995E-7</v>
      </c>
      <c r="N214" s="140">
        <f t="shared" si="55"/>
        <v>3.4399999999999996E-7</v>
      </c>
      <c r="O214" s="140">
        <f t="shared" si="56"/>
        <v>5.1600000000000001E-7</v>
      </c>
      <c r="P214" s="140">
        <f t="shared" si="57"/>
        <v>6.8800000000000002E-7</v>
      </c>
      <c r="Q214" s="140">
        <f t="shared" si="58"/>
        <v>8.6000000000000013E-7</v>
      </c>
      <c r="R214" s="157">
        <f>IF(K214&lt;$B$25*DATA!$H$1037,DATA!$H$1037,IF(K214&gt;DATA!$H$1036*$B$25,DATA!$H$1036,1))</f>
        <v>0.8</v>
      </c>
      <c r="S214" s="156">
        <f t="shared" si="59"/>
        <v>9.9999999999999995E-8</v>
      </c>
      <c r="U214" s="140">
        <f t="shared" si="60"/>
        <v>1.7200000000000001E-5</v>
      </c>
      <c r="V214">
        <v>1.72</v>
      </c>
      <c r="W214" s="140">
        <f t="shared" si="61"/>
        <v>1.7199999999999995E-7</v>
      </c>
      <c r="X214" s="140">
        <f t="shared" si="62"/>
        <v>3.4399999999999996E-7</v>
      </c>
      <c r="Y214" s="140">
        <f t="shared" si="63"/>
        <v>5.1600000000000001E-7</v>
      </c>
      <c r="Z214" s="140">
        <f t="shared" si="64"/>
        <v>6.8800000000000002E-7</v>
      </c>
      <c r="AA214" s="140">
        <f t="shared" si="65"/>
        <v>8.6000000000000013E-7</v>
      </c>
      <c r="AB214" s="157">
        <f>IF(U214&lt;$B$41*DATA!$H$1037,DATA!$H$1037,IF(U214&gt;DATA!$H$1036*$B$41,DATA!$H$1036,1))</f>
        <v>0.8</v>
      </c>
      <c r="AC214" s="156">
        <f t="shared" si="66"/>
        <v>9.9999999999999995E-8</v>
      </c>
      <c r="AE214" s="140">
        <f t="shared" si="67"/>
        <v>1.7200000000000001E-5</v>
      </c>
      <c r="AF214">
        <v>1.72</v>
      </c>
      <c r="AG214" s="140">
        <f t="shared" si="68"/>
        <v>1.7199999999999995E-7</v>
      </c>
      <c r="AH214" s="140">
        <f t="shared" si="69"/>
        <v>3.4399999999999996E-7</v>
      </c>
      <c r="AI214" s="140">
        <f t="shared" si="70"/>
        <v>5.1600000000000001E-7</v>
      </c>
      <c r="AJ214" s="140">
        <f t="shared" si="71"/>
        <v>6.8800000000000002E-7</v>
      </c>
      <c r="AK214" s="140">
        <f t="shared" si="72"/>
        <v>8.6000000000000013E-7</v>
      </c>
      <c r="AL214" s="157">
        <f>IF(AE214&lt;$B$57*DATA!$H$1037,DATA!$H$1037,IF(AE214&gt;DATA!$H$1036*$B$57,DATA!$H$1036,1))</f>
        <v>1.2</v>
      </c>
      <c r="AM214" s="156">
        <f t="shared" si="73"/>
        <v>9.9999999999999995E-8</v>
      </c>
      <c r="AO214" s="140">
        <f t="shared" si="74"/>
        <v>1.7200000000000001E-5</v>
      </c>
      <c r="AP214">
        <v>1.72</v>
      </c>
      <c r="AQ214" s="140">
        <f t="shared" si="75"/>
        <v>1.7199999999999995E-7</v>
      </c>
      <c r="AR214" s="140">
        <f t="shared" si="76"/>
        <v>3.4399999999999996E-7</v>
      </c>
      <c r="AS214" s="140">
        <f t="shared" si="77"/>
        <v>5.1600000000000001E-7</v>
      </c>
      <c r="AT214" s="140">
        <f t="shared" si="78"/>
        <v>6.8800000000000002E-7</v>
      </c>
      <c r="AU214" s="140">
        <f t="shared" si="79"/>
        <v>8.6000000000000013E-7</v>
      </c>
      <c r="AV214" s="157">
        <f>IF(AO214&lt;$B$73*DATA!$H$1037,DATA!$H$1037,IF(AO214&gt;DATA!$H$1036*$B$73,DATA!$H$1036,1))</f>
        <v>1.2</v>
      </c>
      <c r="AW214" s="156">
        <f t="shared" si="80"/>
        <v>9.9999999999999995E-8</v>
      </c>
      <c r="AY214" s="140">
        <f t="shared" si="81"/>
        <v>1.7200000000000001E-5</v>
      </c>
      <c r="AZ214">
        <v>1.72</v>
      </c>
      <c r="BA214" s="140">
        <f t="shared" si="82"/>
        <v>1.7199999999999995E-7</v>
      </c>
      <c r="BB214" s="140">
        <f t="shared" si="83"/>
        <v>3.4399999999999996E-7</v>
      </c>
      <c r="BC214" s="140">
        <f t="shared" si="84"/>
        <v>5.1600000000000001E-7</v>
      </c>
      <c r="BD214" s="140">
        <f t="shared" si="85"/>
        <v>6.8800000000000002E-7</v>
      </c>
      <c r="BE214" s="140">
        <f t="shared" si="86"/>
        <v>8.6000000000000013E-7</v>
      </c>
      <c r="BF214" s="157">
        <f>IF(AY214&lt;$B$89*DATA!$H$1037,DATA!$H$1037,IF(AY214&gt;DATA!$H$1036*$B$89,DATA!$H$1036,1))</f>
        <v>1.2</v>
      </c>
      <c r="BG214" s="156">
        <f t="shared" si="87"/>
        <v>9.9999999999999995E-8</v>
      </c>
      <c r="BI214" s="140">
        <f t="shared" si="88"/>
        <v>1.7200000000000001E-5</v>
      </c>
      <c r="BJ214">
        <v>1.72</v>
      </c>
      <c r="BK214" s="140">
        <f t="shared" si="89"/>
        <v>1.7199999999999995E-7</v>
      </c>
      <c r="BL214" s="140">
        <f t="shared" si="90"/>
        <v>3.4399999999999996E-7</v>
      </c>
      <c r="BM214" s="140">
        <f t="shared" si="91"/>
        <v>5.1600000000000001E-7</v>
      </c>
      <c r="BN214" s="140">
        <f t="shared" si="92"/>
        <v>6.8800000000000002E-7</v>
      </c>
      <c r="BO214" s="140">
        <f t="shared" si="93"/>
        <v>8.6000000000000013E-7</v>
      </c>
      <c r="BP214" s="157">
        <f>IF(BI214&lt;$B$105*DATA!$H$1037,DATA!$H$1037,IF(BI214&gt;DATA!$H$1036*$B$105,DATA!$H$1036,1))</f>
        <v>1.2</v>
      </c>
      <c r="BQ214" s="156">
        <f t="shared" si="94"/>
        <v>9.9999999999999995E-8</v>
      </c>
    </row>
    <row r="215" spans="1:69">
      <c r="A215" s="140">
        <f t="shared" si="50"/>
        <v>1.7400000000000003E-5</v>
      </c>
      <c r="B215">
        <v>1.74</v>
      </c>
      <c r="C215" s="140">
        <f t="shared" si="51"/>
        <v>1.7399999999999997E-7</v>
      </c>
      <c r="D215" s="140">
        <f t="shared" si="51"/>
        <v>3.4799999999999999E-7</v>
      </c>
      <c r="E215" s="140">
        <f t="shared" si="51"/>
        <v>5.2200000000000004E-7</v>
      </c>
      <c r="F215" s="140">
        <f t="shared" si="51"/>
        <v>6.9600000000000009E-7</v>
      </c>
      <c r="G215" s="140">
        <f t="shared" si="51"/>
        <v>8.7000000000000014E-7</v>
      </c>
      <c r="H215" s="157">
        <f>IF(A215&lt;$B$9*DATA!$H$1037,DATA!$H$1037,IF(A215&gt;DATA!$H$1036*$B$9,DATA!$H$1036,1))</f>
        <v>0.8</v>
      </c>
      <c r="I215" s="156">
        <f t="shared" si="52"/>
        <v>9.9999999999999995E-8</v>
      </c>
      <c r="K215" s="140">
        <f t="shared" si="53"/>
        <v>1.7400000000000003E-5</v>
      </c>
      <c r="L215">
        <v>1.74</v>
      </c>
      <c r="M215" s="140">
        <f t="shared" si="54"/>
        <v>1.7399999999999997E-7</v>
      </c>
      <c r="N215" s="140">
        <f t="shared" si="55"/>
        <v>3.4799999999999999E-7</v>
      </c>
      <c r="O215" s="140">
        <f t="shared" si="56"/>
        <v>5.2200000000000004E-7</v>
      </c>
      <c r="P215" s="140">
        <f t="shared" si="57"/>
        <v>6.9600000000000009E-7</v>
      </c>
      <c r="Q215" s="140">
        <f t="shared" si="58"/>
        <v>8.7000000000000014E-7</v>
      </c>
      <c r="R215" s="157">
        <f>IF(K215&lt;$B$25*DATA!$H$1037,DATA!$H$1037,IF(K215&gt;DATA!$H$1036*$B$25,DATA!$H$1036,1))</f>
        <v>0.8</v>
      </c>
      <c r="S215" s="156">
        <f t="shared" si="59"/>
        <v>9.9999999999999995E-8</v>
      </c>
      <c r="U215" s="140">
        <f t="shared" si="60"/>
        <v>1.7400000000000003E-5</v>
      </c>
      <c r="V215">
        <v>1.74</v>
      </c>
      <c r="W215" s="140">
        <f t="shared" si="61"/>
        <v>1.7399999999999997E-7</v>
      </c>
      <c r="X215" s="140">
        <f t="shared" si="62"/>
        <v>3.4799999999999999E-7</v>
      </c>
      <c r="Y215" s="140">
        <f t="shared" si="63"/>
        <v>5.2200000000000004E-7</v>
      </c>
      <c r="Z215" s="140">
        <f t="shared" si="64"/>
        <v>6.9600000000000009E-7</v>
      </c>
      <c r="AA215" s="140">
        <f t="shared" si="65"/>
        <v>8.7000000000000014E-7</v>
      </c>
      <c r="AB215" s="157">
        <f>IF(U215&lt;$B$41*DATA!$H$1037,DATA!$H$1037,IF(U215&gt;DATA!$H$1036*$B$41,DATA!$H$1036,1))</f>
        <v>0.8</v>
      </c>
      <c r="AC215" s="156">
        <f t="shared" si="66"/>
        <v>9.9999999999999995E-8</v>
      </c>
      <c r="AE215" s="140">
        <f t="shared" si="67"/>
        <v>1.7400000000000003E-5</v>
      </c>
      <c r="AF215">
        <v>1.74</v>
      </c>
      <c r="AG215" s="140">
        <f t="shared" si="68"/>
        <v>1.7399999999999997E-7</v>
      </c>
      <c r="AH215" s="140">
        <f t="shared" si="69"/>
        <v>3.4799999999999999E-7</v>
      </c>
      <c r="AI215" s="140">
        <f t="shared" si="70"/>
        <v>5.2200000000000004E-7</v>
      </c>
      <c r="AJ215" s="140">
        <f t="shared" si="71"/>
        <v>6.9600000000000009E-7</v>
      </c>
      <c r="AK215" s="140">
        <f t="shared" si="72"/>
        <v>8.7000000000000014E-7</v>
      </c>
      <c r="AL215" s="157">
        <f>IF(AE215&lt;$B$57*DATA!$H$1037,DATA!$H$1037,IF(AE215&gt;DATA!$H$1036*$B$57,DATA!$H$1036,1))</f>
        <v>1.2</v>
      </c>
      <c r="AM215" s="156">
        <f t="shared" si="73"/>
        <v>9.9999999999999995E-8</v>
      </c>
      <c r="AO215" s="140">
        <f t="shared" si="74"/>
        <v>1.7400000000000003E-5</v>
      </c>
      <c r="AP215">
        <v>1.74</v>
      </c>
      <c r="AQ215" s="140">
        <f t="shared" si="75"/>
        <v>1.7399999999999997E-7</v>
      </c>
      <c r="AR215" s="140">
        <f t="shared" si="76"/>
        <v>3.4799999999999999E-7</v>
      </c>
      <c r="AS215" s="140">
        <f t="shared" si="77"/>
        <v>5.2200000000000004E-7</v>
      </c>
      <c r="AT215" s="140">
        <f t="shared" si="78"/>
        <v>6.9600000000000009E-7</v>
      </c>
      <c r="AU215" s="140">
        <f t="shared" si="79"/>
        <v>8.7000000000000014E-7</v>
      </c>
      <c r="AV215" s="157">
        <f>IF(AO215&lt;$B$73*DATA!$H$1037,DATA!$H$1037,IF(AO215&gt;DATA!$H$1036*$B$73,DATA!$H$1036,1))</f>
        <v>1.2</v>
      </c>
      <c r="AW215" s="156">
        <f t="shared" si="80"/>
        <v>9.9999999999999995E-8</v>
      </c>
      <c r="AY215" s="140">
        <f t="shared" si="81"/>
        <v>1.7400000000000003E-5</v>
      </c>
      <c r="AZ215">
        <v>1.74</v>
      </c>
      <c r="BA215" s="140">
        <f t="shared" si="82"/>
        <v>1.7399999999999997E-7</v>
      </c>
      <c r="BB215" s="140">
        <f t="shared" si="83"/>
        <v>3.4799999999999999E-7</v>
      </c>
      <c r="BC215" s="140">
        <f t="shared" si="84"/>
        <v>5.2200000000000004E-7</v>
      </c>
      <c r="BD215" s="140">
        <f t="shared" si="85"/>
        <v>6.9600000000000009E-7</v>
      </c>
      <c r="BE215" s="140">
        <f t="shared" si="86"/>
        <v>8.7000000000000014E-7</v>
      </c>
      <c r="BF215" s="157">
        <f>IF(AY215&lt;$B$89*DATA!$H$1037,DATA!$H$1037,IF(AY215&gt;DATA!$H$1036*$B$89,DATA!$H$1036,1))</f>
        <v>1.2</v>
      </c>
      <c r="BG215" s="156">
        <f t="shared" si="87"/>
        <v>9.9999999999999995E-8</v>
      </c>
      <c r="BI215" s="140">
        <f t="shared" si="88"/>
        <v>1.7400000000000003E-5</v>
      </c>
      <c r="BJ215">
        <v>1.74</v>
      </c>
      <c r="BK215" s="140">
        <f t="shared" si="89"/>
        <v>1.7399999999999997E-7</v>
      </c>
      <c r="BL215" s="140">
        <f t="shared" si="90"/>
        <v>3.4799999999999999E-7</v>
      </c>
      <c r="BM215" s="140">
        <f t="shared" si="91"/>
        <v>5.2200000000000004E-7</v>
      </c>
      <c r="BN215" s="140">
        <f t="shared" si="92"/>
        <v>6.9600000000000009E-7</v>
      </c>
      <c r="BO215" s="140">
        <f t="shared" si="93"/>
        <v>8.7000000000000014E-7</v>
      </c>
      <c r="BP215" s="157">
        <f>IF(BI215&lt;$B$105*DATA!$H$1037,DATA!$H$1037,IF(BI215&gt;DATA!$H$1036*$B$105,DATA!$H$1036,1))</f>
        <v>1.2</v>
      </c>
      <c r="BQ215" s="156">
        <f t="shared" si="94"/>
        <v>9.9999999999999995E-8</v>
      </c>
    </row>
    <row r="216" spans="1:69">
      <c r="A216" s="140">
        <f t="shared" si="50"/>
        <v>1.7600000000000001E-5</v>
      </c>
      <c r="B216">
        <v>1.76</v>
      </c>
      <c r="C216" s="140">
        <f t="shared" si="51"/>
        <v>1.7599999999999996E-7</v>
      </c>
      <c r="D216" s="140">
        <f t="shared" si="51"/>
        <v>3.5199999999999998E-7</v>
      </c>
      <c r="E216" s="140">
        <f t="shared" si="51"/>
        <v>5.2799999999999996E-7</v>
      </c>
      <c r="F216" s="140">
        <f t="shared" si="51"/>
        <v>7.0400000000000006E-7</v>
      </c>
      <c r="G216" s="140">
        <f t="shared" si="51"/>
        <v>8.8000000000000004E-7</v>
      </c>
      <c r="H216" s="157">
        <f>IF(A216&lt;$B$9*DATA!$H$1037,DATA!$H$1037,IF(A216&gt;DATA!$H$1036*$B$9,DATA!$H$1036,1))</f>
        <v>0.8</v>
      </c>
      <c r="I216" s="156">
        <f t="shared" si="52"/>
        <v>9.9999999999999995E-8</v>
      </c>
      <c r="K216" s="140">
        <f t="shared" si="53"/>
        <v>1.7600000000000001E-5</v>
      </c>
      <c r="L216">
        <v>1.76</v>
      </c>
      <c r="M216" s="140">
        <f t="shared" si="54"/>
        <v>1.7599999999999996E-7</v>
      </c>
      <c r="N216" s="140">
        <f t="shared" si="55"/>
        <v>3.5199999999999998E-7</v>
      </c>
      <c r="O216" s="140">
        <f t="shared" si="56"/>
        <v>5.2799999999999996E-7</v>
      </c>
      <c r="P216" s="140">
        <f t="shared" si="57"/>
        <v>7.0400000000000006E-7</v>
      </c>
      <c r="Q216" s="140">
        <f t="shared" si="58"/>
        <v>8.8000000000000004E-7</v>
      </c>
      <c r="R216" s="157">
        <f>IF(K216&lt;$B$25*DATA!$H$1037,DATA!$H$1037,IF(K216&gt;DATA!$H$1036*$B$25,DATA!$H$1036,1))</f>
        <v>0.8</v>
      </c>
      <c r="S216" s="156">
        <f t="shared" si="59"/>
        <v>9.9999999999999995E-8</v>
      </c>
      <c r="U216" s="140">
        <f t="shared" si="60"/>
        <v>1.7600000000000001E-5</v>
      </c>
      <c r="V216">
        <v>1.76</v>
      </c>
      <c r="W216" s="140">
        <f t="shared" si="61"/>
        <v>1.7599999999999996E-7</v>
      </c>
      <c r="X216" s="140">
        <f t="shared" si="62"/>
        <v>3.5199999999999998E-7</v>
      </c>
      <c r="Y216" s="140">
        <f t="shared" si="63"/>
        <v>5.2799999999999996E-7</v>
      </c>
      <c r="Z216" s="140">
        <f t="shared" si="64"/>
        <v>7.0400000000000006E-7</v>
      </c>
      <c r="AA216" s="140">
        <f t="shared" si="65"/>
        <v>8.8000000000000004E-7</v>
      </c>
      <c r="AB216" s="157">
        <f>IF(U216&lt;$B$41*DATA!$H$1037,DATA!$H$1037,IF(U216&gt;DATA!$H$1036*$B$41,DATA!$H$1036,1))</f>
        <v>0.8</v>
      </c>
      <c r="AC216" s="156">
        <f t="shared" si="66"/>
        <v>9.9999999999999995E-8</v>
      </c>
      <c r="AE216" s="140">
        <f t="shared" si="67"/>
        <v>1.7600000000000001E-5</v>
      </c>
      <c r="AF216">
        <v>1.76</v>
      </c>
      <c r="AG216" s="140">
        <f t="shared" si="68"/>
        <v>1.7599999999999996E-7</v>
      </c>
      <c r="AH216" s="140">
        <f t="shared" si="69"/>
        <v>3.5199999999999998E-7</v>
      </c>
      <c r="AI216" s="140">
        <f t="shared" si="70"/>
        <v>5.2799999999999996E-7</v>
      </c>
      <c r="AJ216" s="140">
        <f t="shared" si="71"/>
        <v>7.0400000000000006E-7</v>
      </c>
      <c r="AK216" s="140">
        <f t="shared" si="72"/>
        <v>8.8000000000000004E-7</v>
      </c>
      <c r="AL216" s="157">
        <f>IF(AE216&lt;$B$57*DATA!$H$1037,DATA!$H$1037,IF(AE216&gt;DATA!$H$1036*$B$57,DATA!$H$1036,1))</f>
        <v>1.2</v>
      </c>
      <c r="AM216" s="156">
        <f t="shared" si="73"/>
        <v>9.9999999999999995E-8</v>
      </c>
      <c r="AO216" s="140">
        <f t="shared" si="74"/>
        <v>1.7600000000000001E-5</v>
      </c>
      <c r="AP216">
        <v>1.76</v>
      </c>
      <c r="AQ216" s="140">
        <f t="shared" si="75"/>
        <v>1.7599999999999996E-7</v>
      </c>
      <c r="AR216" s="140">
        <f t="shared" si="76"/>
        <v>3.5199999999999998E-7</v>
      </c>
      <c r="AS216" s="140">
        <f t="shared" si="77"/>
        <v>5.2799999999999996E-7</v>
      </c>
      <c r="AT216" s="140">
        <f t="shared" si="78"/>
        <v>7.0400000000000006E-7</v>
      </c>
      <c r="AU216" s="140">
        <f t="shared" si="79"/>
        <v>8.8000000000000004E-7</v>
      </c>
      <c r="AV216" s="157">
        <f>IF(AO216&lt;$B$73*DATA!$H$1037,DATA!$H$1037,IF(AO216&gt;DATA!$H$1036*$B$73,DATA!$H$1036,1))</f>
        <v>1.2</v>
      </c>
      <c r="AW216" s="156">
        <f t="shared" si="80"/>
        <v>9.9999999999999995E-8</v>
      </c>
      <c r="AY216" s="140">
        <f t="shared" si="81"/>
        <v>1.7600000000000001E-5</v>
      </c>
      <c r="AZ216">
        <v>1.76</v>
      </c>
      <c r="BA216" s="140">
        <f t="shared" si="82"/>
        <v>1.7599999999999996E-7</v>
      </c>
      <c r="BB216" s="140">
        <f t="shared" si="83"/>
        <v>3.5199999999999998E-7</v>
      </c>
      <c r="BC216" s="140">
        <f t="shared" si="84"/>
        <v>5.2799999999999996E-7</v>
      </c>
      <c r="BD216" s="140">
        <f t="shared" si="85"/>
        <v>7.0400000000000006E-7</v>
      </c>
      <c r="BE216" s="140">
        <f t="shared" si="86"/>
        <v>8.8000000000000004E-7</v>
      </c>
      <c r="BF216" s="157">
        <f>IF(AY216&lt;$B$89*DATA!$H$1037,DATA!$H$1037,IF(AY216&gt;DATA!$H$1036*$B$89,DATA!$H$1036,1))</f>
        <v>1.2</v>
      </c>
      <c r="BG216" s="156">
        <f t="shared" si="87"/>
        <v>9.9999999999999995E-8</v>
      </c>
      <c r="BI216" s="140">
        <f t="shared" si="88"/>
        <v>1.7600000000000001E-5</v>
      </c>
      <c r="BJ216">
        <v>1.76</v>
      </c>
      <c r="BK216" s="140">
        <f t="shared" si="89"/>
        <v>1.7599999999999996E-7</v>
      </c>
      <c r="BL216" s="140">
        <f t="shared" si="90"/>
        <v>3.5199999999999998E-7</v>
      </c>
      <c r="BM216" s="140">
        <f t="shared" si="91"/>
        <v>5.2799999999999996E-7</v>
      </c>
      <c r="BN216" s="140">
        <f t="shared" si="92"/>
        <v>7.0400000000000006E-7</v>
      </c>
      <c r="BO216" s="140">
        <f t="shared" si="93"/>
        <v>8.8000000000000004E-7</v>
      </c>
      <c r="BP216" s="157">
        <f>IF(BI216&lt;$B$105*DATA!$H$1037,DATA!$H$1037,IF(BI216&gt;DATA!$H$1036*$B$105,DATA!$H$1036,1))</f>
        <v>1.2</v>
      </c>
      <c r="BQ216" s="156">
        <f t="shared" si="94"/>
        <v>9.9999999999999995E-8</v>
      </c>
    </row>
    <row r="217" spans="1:69">
      <c r="A217" s="140">
        <f t="shared" si="50"/>
        <v>1.7800000000000002E-5</v>
      </c>
      <c r="B217">
        <v>1.78</v>
      </c>
      <c r="C217" s="140">
        <f t="shared" si="51"/>
        <v>1.7799999999999995E-7</v>
      </c>
      <c r="D217" s="140">
        <f t="shared" si="51"/>
        <v>3.5600000000000001E-7</v>
      </c>
      <c r="E217" s="140">
        <f t="shared" si="51"/>
        <v>5.340000000000001E-7</v>
      </c>
      <c r="F217" s="140">
        <f t="shared" si="51"/>
        <v>7.1200000000000013E-7</v>
      </c>
      <c r="G217" s="140">
        <f t="shared" si="51"/>
        <v>8.9000000000000016E-7</v>
      </c>
      <c r="H217" s="157">
        <f>IF(A217&lt;$B$9*DATA!$H$1037,DATA!$H$1037,IF(A217&gt;DATA!$H$1036*$B$9,DATA!$H$1036,1))</f>
        <v>0.8</v>
      </c>
      <c r="I217" s="156">
        <f t="shared" si="52"/>
        <v>9.9999999999999995E-8</v>
      </c>
      <c r="K217" s="140">
        <f t="shared" si="53"/>
        <v>1.7800000000000002E-5</v>
      </c>
      <c r="L217">
        <v>1.78</v>
      </c>
      <c r="M217" s="140">
        <f t="shared" si="54"/>
        <v>1.7799999999999995E-7</v>
      </c>
      <c r="N217" s="140">
        <f t="shared" si="55"/>
        <v>3.5600000000000001E-7</v>
      </c>
      <c r="O217" s="140">
        <f t="shared" si="56"/>
        <v>5.340000000000001E-7</v>
      </c>
      <c r="P217" s="140">
        <f t="shared" si="57"/>
        <v>7.1200000000000013E-7</v>
      </c>
      <c r="Q217" s="140">
        <f t="shared" si="58"/>
        <v>8.9000000000000016E-7</v>
      </c>
      <c r="R217" s="157">
        <f>IF(K217&lt;$B$25*DATA!$H$1037,DATA!$H$1037,IF(K217&gt;DATA!$H$1036*$B$25,DATA!$H$1036,1))</f>
        <v>0.8</v>
      </c>
      <c r="S217" s="156">
        <f t="shared" si="59"/>
        <v>9.9999999999999995E-8</v>
      </c>
      <c r="U217" s="140">
        <f t="shared" si="60"/>
        <v>1.7800000000000002E-5</v>
      </c>
      <c r="V217">
        <v>1.78</v>
      </c>
      <c r="W217" s="140">
        <f t="shared" si="61"/>
        <v>1.7799999999999995E-7</v>
      </c>
      <c r="X217" s="140">
        <f t="shared" si="62"/>
        <v>3.5600000000000001E-7</v>
      </c>
      <c r="Y217" s="140">
        <f t="shared" si="63"/>
        <v>5.340000000000001E-7</v>
      </c>
      <c r="Z217" s="140">
        <f t="shared" si="64"/>
        <v>7.1200000000000013E-7</v>
      </c>
      <c r="AA217" s="140">
        <f t="shared" si="65"/>
        <v>8.9000000000000016E-7</v>
      </c>
      <c r="AB217" s="157">
        <f>IF(U217&lt;$B$41*DATA!$H$1037,DATA!$H$1037,IF(U217&gt;DATA!$H$1036*$B$41,DATA!$H$1036,1))</f>
        <v>0.8</v>
      </c>
      <c r="AC217" s="156">
        <f t="shared" si="66"/>
        <v>9.9999999999999995E-8</v>
      </c>
      <c r="AE217" s="140">
        <f t="shared" si="67"/>
        <v>1.7800000000000002E-5</v>
      </c>
      <c r="AF217">
        <v>1.78</v>
      </c>
      <c r="AG217" s="140">
        <f t="shared" si="68"/>
        <v>1.7799999999999995E-7</v>
      </c>
      <c r="AH217" s="140">
        <f t="shared" si="69"/>
        <v>3.5600000000000001E-7</v>
      </c>
      <c r="AI217" s="140">
        <f t="shared" si="70"/>
        <v>5.340000000000001E-7</v>
      </c>
      <c r="AJ217" s="140">
        <f t="shared" si="71"/>
        <v>7.1200000000000013E-7</v>
      </c>
      <c r="AK217" s="140">
        <f t="shared" si="72"/>
        <v>8.9000000000000016E-7</v>
      </c>
      <c r="AL217" s="157">
        <f>IF(AE217&lt;$B$57*DATA!$H$1037,DATA!$H$1037,IF(AE217&gt;DATA!$H$1036*$B$57,DATA!$H$1036,1))</f>
        <v>1.2</v>
      </c>
      <c r="AM217" s="156">
        <f t="shared" si="73"/>
        <v>9.9999999999999995E-8</v>
      </c>
      <c r="AO217" s="140">
        <f t="shared" si="74"/>
        <v>1.7800000000000002E-5</v>
      </c>
      <c r="AP217">
        <v>1.78</v>
      </c>
      <c r="AQ217" s="140">
        <f t="shared" si="75"/>
        <v>1.7799999999999995E-7</v>
      </c>
      <c r="AR217" s="140">
        <f t="shared" si="76"/>
        <v>3.5600000000000001E-7</v>
      </c>
      <c r="AS217" s="140">
        <f t="shared" si="77"/>
        <v>5.340000000000001E-7</v>
      </c>
      <c r="AT217" s="140">
        <f t="shared" si="78"/>
        <v>7.1200000000000013E-7</v>
      </c>
      <c r="AU217" s="140">
        <f t="shared" si="79"/>
        <v>8.9000000000000016E-7</v>
      </c>
      <c r="AV217" s="157">
        <f>IF(AO217&lt;$B$73*DATA!$H$1037,DATA!$H$1037,IF(AO217&gt;DATA!$H$1036*$B$73,DATA!$H$1036,1))</f>
        <v>1.2</v>
      </c>
      <c r="AW217" s="156">
        <f t="shared" si="80"/>
        <v>9.9999999999999995E-8</v>
      </c>
      <c r="AY217" s="140">
        <f t="shared" si="81"/>
        <v>1.7800000000000002E-5</v>
      </c>
      <c r="AZ217">
        <v>1.78</v>
      </c>
      <c r="BA217" s="140">
        <f t="shared" si="82"/>
        <v>1.7799999999999995E-7</v>
      </c>
      <c r="BB217" s="140">
        <f t="shared" si="83"/>
        <v>3.5600000000000001E-7</v>
      </c>
      <c r="BC217" s="140">
        <f t="shared" si="84"/>
        <v>5.340000000000001E-7</v>
      </c>
      <c r="BD217" s="140">
        <f t="shared" si="85"/>
        <v>7.1200000000000013E-7</v>
      </c>
      <c r="BE217" s="140">
        <f t="shared" si="86"/>
        <v>8.9000000000000016E-7</v>
      </c>
      <c r="BF217" s="157">
        <f>IF(AY217&lt;$B$89*DATA!$H$1037,DATA!$H$1037,IF(AY217&gt;DATA!$H$1036*$B$89,DATA!$H$1036,1))</f>
        <v>1.2</v>
      </c>
      <c r="BG217" s="156">
        <f t="shared" si="87"/>
        <v>9.9999999999999995E-8</v>
      </c>
      <c r="BI217" s="140">
        <f t="shared" si="88"/>
        <v>1.7800000000000002E-5</v>
      </c>
      <c r="BJ217">
        <v>1.78</v>
      </c>
      <c r="BK217" s="140">
        <f t="shared" si="89"/>
        <v>1.7799999999999995E-7</v>
      </c>
      <c r="BL217" s="140">
        <f t="shared" si="90"/>
        <v>3.5600000000000001E-7</v>
      </c>
      <c r="BM217" s="140">
        <f t="shared" si="91"/>
        <v>5.340000000000001E-7</v>
      </c>
      <c r="BN217" s="140">
        <f t="shared" si="92"/>
        <v>7.1200000000000013E-7</v>
      </c>
      <c r="BO217" s="140">
        <f t="shared" si="93"/>
        <v>8.9000000000000016E-7</v>
      </c>
      <c r="BP217" s="157">
        <f>IF(BI217&lt;$B$105*DATA!$H$1037,DATA!$H$1037,IF(BI217&gt;DATA!$H$1036*$B$105,DATA!$H$1036,1))</f>
        <v>1.2</v>
      </c>
      <c r="BQ217" s="156">
        <f t="shared" si="94"/>
        <v>9.9999999999999995E-8</v>
      </c>
    </row>
    <row r="218" spans="1:69">
      <c r="A218" s="140">
        <f t="shared" si="50"/>
        <v>1.8E-5</v>
      </c>
      <c r="B218">
        <v>1.8</v>
      </c>
      <c r="C218" s="140">
        <f t="shared" si="51"/>
        <v>1.7999999999999994E-7</v>
      </c>
      <c r="D218" s="140">
        <f t="shared" si="51"/>
        <v>3.5999999999999994E-7</v>
      </c>
      <c r="E218" s="140">
        <f t="shared" si="51"/>
        <v>5.4000000000000002E-7</v>
      </c>
      <c r="F218" s="140">
        <f t="shared" si="51"/>
        <v>7.1999999999999999E-7</v>
      </c>
      <c r="G218" s="140">
        <f t="shared" si="51"/>
        <v>9.0000000000000007E-7</v>
      </c>
      <c r="H218" s="157">
        <f>IF(A218&lt;$B$9*DATA!$H$1037,DATA!$H$1037,IF(A218&gt;DATA!$H$1036*$B$9,DATA!$H$1036,1))</f>
        <v>0.8</v>
      </c>
      <c r="I218" s="156">
        <f t="shared" si="52"/>
        <v>9.9999999999999995E-8</v>
      </c>
      <c r="K218" s="140">
        <f t="shared" si="53"/>
        <v>1.8E-5</v>
      </c>
      <c r="L218">
        <v>1.8</v>
      </c>
      <c r="M218" s="140">
        <f t="shared" si="54"/>
        <v>1.7999999999999994E-7</v>
      </c>
      <c r="N218" s="140">
        <f t="shared" si="55"/>
        <v>3.5999999999999994E-7</v>
      </c>
      <c r="O218" s="140">
        <f t="shared" si="56"/>
        <v>5.4000000000000002E-7</v>
      </c>
      <c r="P218" s="140">
        <f t="shared" si="57"/>
        <v>7.1999999999999999E-7</v>
      </c>
      <c r="Q218" s="140">
        <f t="shared" si="58"/>
        <v>9.0000000000000007E-7</v>
      </c>
      <c r="R218" s="157">
        <f>IF(K218&lt;$B$25*DATA!$H$1037,DATA!$H$1037,IF(K218&gt;DATA!$H$1036*$B$25,DATA!$H$1036,1))</f>
        <v>0.8</v>
      </c>
      <c r="S218" s="156">
        <f t="shared" si="59"/>
        <v>9.9999999999999995E-8</v>
      </c>
      <c r="U218" s="140">
        <f t="shared" si="60"/>
        <v>1.8E-5</v>
      </c>
      <c r="V218">
        <v>1.8</v>
      </c>
      <c r="W218" s="140">
        <f t="shared" si="61"/>
        <v>1.7999999999999994E-7</v>
      </c>
      <c r="X218" s="140">
        <f t="shared" si="62"/>
        <v>3.5999999999999994E-7</v>
      </c>
      <c r="Y218" s="140">
        <f t="shared" si="63"/>
        <v>5.4000000000000002E-7</v>
      </c>
      <c r="Z218" s="140">
        <f t="shared" si="64"/>
        <v>7.1999999999999999E-7</v>
      </c>
      <c r="AA218" s="140">
        <f t="shared" si="65"/>
        <v>9.0000000000000007E-7</v>
      </c>
      <c r="AB218" s="157">
        <f>IF(U218&lt;$B$41*DATA!$H$1037,DATA!$H$1037,IF(U218&gt;DATA!$H$1036*$B$41,DATA!$H$1036,1))</f>
        <v>0.8</v>
      </c>
      <c r="AC218" s="156">
        <f t="shared" si="66"/>
        <v>9.9999999999999995E-8</v>
      </c>
      <c r="AE218" s="140">
        <f t="shared" si="67"/>
        <v>1.8E-5</v>
      </c>
      <c r="AF218">
        <v>1.8</v>
      </c>
      <c r="AG218" s="140">
        <f t="shared" si="68"/>
        <v>1.7999999999999994E-7</v>
      </c>
      <c r="AH218" s="140">
        <f t="shared" si="69"/>
        <v>3.5999999999999994E-7</v>
      </c>
      <c r="AI218" s="140">
        <f t="shared" si="70"/>
        <v>5.4000000000000002E-7</v>
      </c>
      <c r="AJ218" s="140">
        <f t="shared" si="71"/>
        <v>7.1999999999999999E-7</v>
      </c>
      <c r="AK218" s="140">
        <f t="shared" si="72"/>
        <v>9.0000000000000007E-7</v>
      </c>
      <c r="AL218" s="157">
        <f>IF(AE218&lt;$B$57*DATA!$H$1037,DATA!$H$1037,IF(AE218&gt;DATA!$H$1036*$B$57,DATA!$H$1036,1))</f>
        <v>1.2</v>
      </c>
      <c r="AM218" s="156">
        <f t="shared" si="73"/>
        <v>9.9999999999999995E-8</v>
      </c>
      <c r="AO218" s="140">
        <f t="shared" si="74"/>
        <v>1.8E-5</v>
      </c>
      <c r="AP218">
        <v>1.8</v>
      </c>
      <c r="AQ218" s="140">
        <f t="shared" si="75"/>
        <v>1.7999999999999994E-7</v>
      </c>
      <c r="AR218" s="140">
        <f t="shared" si="76"/>
        <v>3.5999999999999994E-7</v>
      </c>
      <c r="AS218" s="140">
        <f t="shared" si="77"/>
        <v>5.4000000000000002E-7</v>
      </c>
      <c r="AT218" s="140">
        <f t="shared" si="78"/>
        <v>7.1999999999999999E-7</v>
      </c>
      <c r="AU218" s="140">
        <f t="shared" si="79"/>
        <v>9.0000000000000007E-7</v>
      </c>
      <c r="AV218" s="157">
        <f>IF(AO218&lt;$B$73*DATA!$H$1037,DATA!$H$1037,IF(AO218&gt;DATA!$H$1036*$B$73,DATA!$H$1036,1))</f>
        <v>1.2</v>
      </c>
      <c r="AW218" s="156">
        <f t="shared" si="80"/>
        <v>9.9999999999999995E-8</v>
      </c>
      <c r="AY218" s="140">
        <f t="shared" si="81"/>
        <v>1.8E-5</v>
      </c>
      <c r="AZ218">
        <v>1.8</v>
      </c>
      <c r="BA218" s="140">
        <f t="shared" si="82"/>
        <v>1.7999999999999994E-7</v>
      </c>
      <c r="BB218" s="140">
        <f t="shared" si="83"/>
        <v>3.5999999999999994E-7</v>
      </c>
      <c r="BC218" s="140">
        <f t="shared" si="84"/>
        <v>5.4000000000000002E-7</v>
      </c>
      <c r="BD218" s="140">
        <f t="shared" si="85"/>
        <v>7.1999999999999999E-7</v>
      </c>
      <c r="BE218" s="140">
        <f t="shared" si="86"/>
        <v>9.0000000000000007E-7</v>
      </c>
      <c r="BF218" s="157">
        <f>IF(AY218&lt;$B$89*DATA!$H$1037,DATA!$H$1037,IF(AY218&gt;DATA!$H$1036*$B$89,DATA!$H$1036,1))</f>
        <v>1.2</v>
      </c>
      <c r="BG218" s="156">
        <f t="shared" si="87"/>
        <v>9.9999999999999995E-8</v>
      </c>
      <c r="BI218" s="140">
        <f t="shared" si="88"/>
        <v>1.8E-5</v>
      </c>
      <c r="BJ218">
        <v>1.8</v>
      </c>
      <c r="BK218" s="140">
        <f t="shared" si="89"/>
        <v>1.7999999999999994E-7</v>
      </c>
      <c r="BL218" s="140">
        <f t="shared" si="90"/>
        <v>3.5999999999999994E-7</v>
      </c>
      <c r="BM218" s="140">
        <f t="shared" si="91"/>
        <v>5.4000000000000002E-7</v>
      </c>
      <c r="BN218" s="140">
        <f t="shared" si="92"/>
        <v>7.1999999999999999E-7</v>
      </c>
      <c r="BO218" s="140">
        <f t="shared" si="93"/>
        <v>9.0000000000000007E-7</v>
      </c>
      <c r="BP218" s="157">
        <f>IF(BI218&lt;$B$105*DATA!$H$1037,DATA!$H$1037,IF(BI218&gt;DATA!$H$1036*$B$105,DATA!$H$1036,1))</f>
        <v>1.2</v>
      </c>
      <c r="BQ218" s="156">
        <f t="shared" si="94"/>
        <v>9.9999999999999995E-8</v>
      </c>
    </row>
    <row r="219" spans="1:69">
      <c r="A219" s="140">
        <f t="shared" si="50"/>
        <v>1.8200000000000002E-5</v>
      </c>
      <c r="B219">
        <v>1.82</v>
      </c>
      <c r="C219" s="140">
        <f t="shared" si="51"/>
        <v>1.8199999999999996E-7</v>
      </c>
      <c r="D219" s="140">
        <f t="shared" si="51"/>
        <v>3.6399999999999998E-7</v>
      </c>
      <c r="E219" s="140">
        <f t="shared" si="51"/>
        <v>5.4600000000000005E-7</v>
      </c>
      <c r="F219" s="140">
        <f t="shared" si="51"/>
        <v>7.2800000000000006E-7</v>
      </c>
      <c r="G219" s="140">
        <f t="shared" si="51"/>
        <v>9.1000000000000018E-7</v>
      </c>
      <c r="H219" s="157">
        <f>IF(A219&lt;$B$9*DATA!$H$1037,DATA!$H$1037,IF(A219&gt;DATA!$H$1036*$B$9,DATA!$H$1036,1))</f>
        <v>0.8</v>
      </c>
      <c r="I219" s="156">
        <f t="shared" si="52"/>
        <v>9.9999999999999995E-8</v>
      </c>
      <c r="K219" s="140">
        <f t="shared" si="53"/>
        <v>1.8200000000000002E-5</v>
      </c>
      <c r="L219">
        <v>1.82</v>
      </c>
      <c r="M219" s="140">
        <f t="shared" si="54"/>
        <v>1.8199999999999996E-7</v>
      </c>
      <c r="N219" s="140">
        <f t="shared" si="55"/>
        <v>3.6399999999999998E-7</v>
      </c>
      <c r="O219" s="140">
        <f t="shared" si="56"/>
        <v>5.4600000000000005E-7</v>
      </c>
      <c r="P219" s="140">
        <f t="shared" si="57"/>
        <v>7.2800000000000006E-7</v>
      </c>
      <c r="Q219" s="140">
        <f t="shared" si="58"/>
        <v>9.1000000000000018E-7</v>
      </c>
      <c r="R219" s="157">
        <f>IF(K219&lt;$B$25*DATA!$H$1037,DATA!$H$1037,IF(K219&gt;DATA!$H$1036*$B$25,DATA!$H$1036,1))</f>
        <v>0.8</v>
      </c>
      <c r="S219" s="156">
        <f t="shared" si="59"/>
        <v>9.9999999999999995E-8</v>
      </c>
      <c r="U219" s="140">
        <f t="shared" si="60"/>
        <v>1.8200000000000002E-5</v>
      </c>
      <c r="V219">
        <v>1.82</v>
      </c>
      <c r="W219" s="140">
        <f t="shared" si="61"/>
        <v>1.8199999999999996E-7</v>
      </c>
      <c r="X219" s="140">
        <f t="shared" si="62"/>
        <v>3.6399999999999998E-7</v>
      </c>
      <c r="Y219" s="140">
        <f t="shared" si="63"/>
        <v>5.4600000000000005E-7</v>
      </c>
      <c r="Z219" s="140">
        <f t="shared" si="64"/>
        <v>7.2800000000000006E-7</v>
      </c>
      <c r="AA219" s="140">
        <f t="shared" si="65"/>
        <v>9.1000000000000018E-7</v>
      </c>
      <c r="AB219" s="157">
        <f>IF(U219&lt;$B$41*DATA!$H$1037,DATA!$H$1037,IF(U219&gt;DATA!$H$1036*$B$41,DATA!$H$1036,1))</f>
        <v>0.8</v>
      </c>
      <c r="AC219" s="156">
        <f t="shared" si="66"/>
        <v>9.9999999999999995E-8</v>
      </c>
      <c r="AE219" s="140">
        <f t="shared" si="67"/>
        <v>1.8200000000000002E-5</v>
      </c>
      <c r="AF219">
        <v>1.82</v>
      </c>
      <c r="AG219" s="140">
        <f t="shared" si="68"/>
        <v>1.8199999999999996E-7</v>
      </c>
      <c r="AH219" s="140">
        <f t="shared" si="69"/>
        <v>3.6399999999999998E-7</v>
      </c>
      <c r="AI219" s="140">
        <f t="shared" si="70"/>
        <v>5.4600000000000005E-7</v>
      </c>
      <c r="AJ219" s="140">
        <f t="shared" si="71"/>
        <v>7.2800000000000006E-7</v>
      </c>
      <c r="AK219" s="140">
        <f t="shared" si="72"/>
        <v>9.1000000000000018E-7</v>
      </c>
      <c r="AL219" s="157">
        <f>IF(AE219&lt;$B$57*DATA!$H$1037,DATA!$H$1037,IF(AE219&gt;DATA!$H$1036*$B$57,DATA!$H$1036,1))</f>
        <v>1.2</v>
      </c>
      <c r="AM219" s="156">
        <f t="shared" si="73"/>
        <v>9.9999999999999995E-8</v>
      </c>
      <c r="AO219" s="140">
        <f t="shared" si="74"/>
        <v>1.8200000000000002E-5</v>
      </c>
      <c r="AP219">
        <v>1.82</v>
      </c>
      <c r="AQ219" s="140">
        <f t="shared" si="75"/>
        <v>1.8199999999999996E-7</v>
      </c>
      <c r="AR219" s="140">
        <f t="shared" si="76"/>
        <v>3.6399999999999998E-7</v>
      </c>
      <c r="AS219" s="140">
        <f t="shared" si="77"/>
        <v>5.4600000000000005E-7</v>
      </c>
      <c r="AT219" s="140">
        <f t="shared" si="78"/>
        <v>7.2800000000000006E-7</v>
      </c>
      <c r="AU219" s="140">
        <f t="shared" si="79"/>
        <v>9.1000000000000018E-7</v>
      </c>
      <c r="AV219" s="157">
        <f>IF(AO219&lt;$B$73*DATA!$H$1037,DATA!$H$1037,IF(AO219&gt;DATA!$H$1036*$B$73,DATA!$H$1036,1))</f>
        <v>1.2</v>
      </c>
      <c r="AW219" s="156">
        <f t="shared" si="80"/>
        <v>9.9999999999999995E-8</v>
      </c>
      <c r="AY219" s="140">
        <f t="shared" si="81"/>
        <v>1.8200000000000002E-5</v>
      </c>
      <c r="AZ219">
        <v>1.82</v>
      </c>
      <c r="BA219" s="140">
        <f t="shared" si="82"/>
        <v>1.8199999999999996E-7</v>
      </c>
      <c r="BB219" s="140">
        <f t="shared" si="83"/>
        <v>3.6399999999999998E-7</v>
      </c>
      <c r="BC219" s="140">
        <f t="shared" si="84"/>
        <v>5.4600000000000005E-7</v>
      </c>
      <c r="BD219" s="140">
        <f t="shared" si="85"/>
        <v>7.2800000000000006E-7</v>
      </c>
      <c r="BE219" s="140">
        <f t="shared" si="86"/>
        <v>9.1000000000000018E-7</v>
      </c>
      <c r="BF219" s="157">
        <f>IF(AY219&lt;$B$89*DATA!$H$1037,DATA!$H$1037,IF(AY219&gt;DATA!$H$1036*$B$89,DATA!$H$1036,1))</f>
        <v>1.2</v>
      </c>
      <c r="BG219" s="156">
        <f t="shared" si="87"/>
        <v>9.9999999999999995E-8</v>
      </c>
      <c r="BI219" s="140">
        <f t="shared" si="88"/>
        <v>1.8200000000000002E-5</v>
      </c>
      <c r="BJ219">
        <v>1.82</v>
      </c>
      <c r="BK219" s="140">
        <f t="shared" si="89"/>
        <v>1.8199999999999996E-7</v>
      </c>
      <c r="BL219" s="140">
        <f t="shared" si="90"/>
        <v>3.6399999999999998E-7</v>
      </c>
      <c r="BM219" s="140">
        <f t="shared" si="91"/>
        <v>5.4600000000000005E-7</v>
      </c>
      <c r="BN219" s="140">
        <f t="shared" si="92"/>
        <v>7.2800000000000006E-7</v>
      </c>
      <c r="BO219" s="140">
        <f t="shared" si="93"/>
        <v>9.1000000000000018E-7</v>
      </c>
      <c r="BP219" s="157">
        <f>IF(BI219&lt;$B$105*DATA!$H$1037,DATA!$H$1037,IF(BI219&gt;DATA!$H$1036*$B$105,DATA!$H$1036,1))</f>
        <v>1.2</v>
      </c>
      <c r="BQ219" s="156">
        <f t="shared" si="94"/>
        <v>9.9999999999999995E-8</v>
      </c>
    </row>
    <row r="220" spans="1:69">
      <c r="A220" s="140">
        <f t="shared" si="50"/>
        <v>1.8400000000000003E-5</v>
      </c>
      <c r="B220">
        <v>1.84</v>
      </c>
      <c r="C220" s="140">
        <f t="shared" si="51"/>
        <v>1.8399999999999998E-7</v>
      </c>
      <c r="D220" s="140">
        <f t="shared" si="51"/>
        <v>3.6800000000000001E-7</v>
      </c>
      <c r="E220" s="140">
        <f t="shared" si="51"/>
        <v>5.5200000000000007E-7</v>
      </c>
      <c r="F220" s="140">
        <f t="shared" si="51"/>
        <v>7.3600000000000013E-7</v>
      </c>
      <c r="G220" s="140">
        <f t="shared" si="51"/>
        <v>9.2000000000000019E-7</v>
      </c>
      <c r="H220" s="157">
        <f>IF(A220&lt;$B$9*DATA!$H$1037,DATA!$H$1037,IF(A220&gt;DATA!$H$1036*$B$9,DATA!$H$1036,1))</f>
        <v>0.8</v>
      </c>
      <c r="I220" s="156">
        <f t="shared" si="52"/>
        <v>9.9999999999999995E-8</v>
      </c>
      <c r="K220" s="140">
        <f t="shared" si="53"/>
        <v>1.8400000000000003E-5</v>
      </c>
      <c r="L220">
        <v>1.84</v>
      </c>
      <c r="M220" s="140">
        <f t="shared" si="54"/>
        <v>1.8399999999999998E-7</v>
      </c>
      <c r="N220" s="140">
        <f t="shared" si="55"/>
        <v>3.6800000000000001E-7</v>
      </c>
      <c r="O220" s="140">
        <f t="shared" si="56"/>
        <v>5.5200000000000007E-7</v>
      </c>
      <c r="P220" s="140">
        <f t="shared" si="57"/>
        <v>7.3600000000000013E-7</v>
      </c>
      <c r="Q220" s="140">
        <f t="shared" si="58"/>
        <v>9.2000000000000019E-7</v>
      </c>
      <c r="R220" s="157">
        <f>IF(K220&lt;$B$25*DATA!$H$1037,DATA!$H$1037,IF(K220&gt;DATA!$H$1036*$B$25,DATA!$H$1036,1))</f>
        <v>0.8</v>
      </c>
      <c r="S220" s="156">
        <f t="shared" si="59"/>
        <v>9.9999999999999995E-8</v>
      </c>
      <c r="U220" s="140">
        <f t="shared" si="60"/>
        <v>1.8400000000000003E-5</v>
      </c>
      <c r="V220">
        <v>1.84</v>
      </c>
      <c r="W220" s="140">
        <f t="shared" si="61"/>
        <v>1.8399999999999998E-7</v>
      </c>
      <c r="X220" s="140">
        <f t="shared" si="62"/>
        <v>3.6800000000000001E-7</v>
      </c>
      <c r="Y220" s="140">
        <f t="shared" si="63"/>
        <v>5.5200000000000007E-7</v>
      </c>
      <c r="Z220" s="140">
        <f t="shared" si="64"/>
        <v>7.3600000000000013E-7</v>
      </c>
      <c r="AA220" s="140">
        <f t="shared" si="65"/>
        <v>9.2000000000000019E-7</v>
      </c>
      <c r="AB220" s="157">
        <f>IF(U220&lt;$B$41*DATA!$H$1037,DATA!$H$1037,IF(U220&gt;DATA!$H$1036*$B$41,DATA!$H$1036,1))</f>
        <v>0.8</v>
      </c>
      <c r="AC220" s="156">
        <f t="shared" si="66"/>
        <v>9.9999999999999995E-8</v>
      </c>
      <c r="AE220" s="140">
        <f t="shared" si="67"/>
        <v>1.8400000000000003E-5</v>
      </c>
      <c r="AF220">
        <v>1.84</v>
      </c>
      <c r="AG220" s="140">
        <f t="shared" si="68"/>
        <v>1.8399999999999998E-7</v>
      </c>
      <c r="AH220" s="140">
        <f t="shared" si="69"/>
        <v>3.6800000000000001E-7</v>
      </c>
      <c r="AI220" s="140">
        <f t="shared" si="70"/>
        <v>5.5200000000000007E-7</v>
      </c>
      <c r="AJ220" s="140">
        <f t="shared" si="71"/>
        <v>7.3600000000000013E-7</v>
      </c>
      <c r="AK220" s="140">
        <f t="shared" si="72"/>
        <v>9.2000000000000019E-7</v>
      </c>
      <c r="AL220" s="157">
        <f>IF(AE220&lt;$B$57*DATA!$H$1037,DATA!$H$1037,IF(AE220&gt;DATA!$H$1036*$B$57,DATA!$H$1036,1))</f>
        <v>1.2</v>
      </c>
      <c r="AM220" s="156">
        <f t="shared" si="73"/>
        <v>9.9999999999999995E-8</v>
      </c>
      <c r="AO220" s="140">
        <f t="shared" si="74"/>
        <v>1.8400000000000003E-5</v>
      </c>
      <c r="AP220">
        <v>1.84</v>
      </c>
      <c r="AQ220" s="140">
        <f t="shared" si="75"/>
        <v>1.8399999999999998E-7</v>
      </c>
      <c r="AR220" s="140">
        <f t="shared" si="76"/>
        <v>3.6800000000000001E-7</v>
      </c>
      <c r="AS220" s="140">
        <f t="shared" si="77"/>
        <v>5.5200000000000007E-7</v>
      </c>
      <c r="AT220" s="140">
        <f t="shared" si="78"/>
        <v>7.3600000000000013E-7</v>
      </c>
      <c r="AU220" s="140">
        <f t="shared" si="79"/>
        <v>9.2000000000000019E-7</v>
      </c>
      <c r="AV220" s="157">
        <f>IF(AO220&lt;$B$73*DATA!$H$1037,DATA!$H$1037,IF(AO220&gt;DATA!$H$1036*$B$73,DATA!$H$1036,1))</f>
        <v>1.2</v>
      </c>
      <c r="AW220" s="156">
        <f t="shared" si="80"/>
        <v>9.9999999999999995E-8</v>
      </c>
      <c r="AY220" s="140">
        <f t="shared" si="81"/>
        <v>1.8400000000000003E-5</v>
      </c>
      <c r="AZ220">
        <v>1.84</v>
      </c>
      <c r="BA220" s="140">
        <f t="shared" si="82"/>
        <v>1.8399999999999998E-7</v>
      </c>
      <c r="BB220" s="140">
        <f t="shared" si="83"/>
        <v>3.6800000000000001E-7</v>
      </c>
      <c r="BC220" s="140">
        <f t="shared" si="84"/>
        <v>5.5200000000000007E-7</v>
      </c>
      <c r="BD220" s="140">
        <f t="shared" si="85"/>
        <v>7.3600000000000013E-7</v>
      </c>
      <c r="BE220" s="140">
        <f t="shared" si="86"/>
        <v>9.2000000000000019E-7</v>
      </c>
      <c r="BF220" s="157">
        <f>IF(AY220&lt;$B$89*DATA!$H$1037,DATA!$H$1037,IF(AY220&gt;DATA!$H$1036*$B$89,DATA!$H$1036,1))</f>
        <v>1.2</v>
      </c>
      <c r="BG220" s="156">
        <f t="shared" si="87"/>
        <v>9.9999999999999995E-8</v>
      </c>
      <c r="BI220" s="140">
        <f t="shared" si="88"/>
        <v>1.8400000000000003E-5</v>
      </c>
      <c r="BJ220">
        <v>1.84</v>
      </c>
      <c r="BK220" s="140">
        <f t="shared" si="89"/>
        <v>1.8399999999999998E-7</v>
      </c>
      <c r="BL220" s="140">
        <f t="shared" si="90"/>
        <v>3.6800000000000001E-7</v>
      </c>
      <c r="BM220" s="140">
        <f t="shared" si="91"/>
        <v>5.5200000000000007E-7</v>
      </c>
      <c r="BN220" s="140">
        <f t="shared" si="92"/>
        <v>7.3600000000000013E-7</v>
      </c>
      <c r="BO220" s="140">
        <f t="shared" si="93"/>
        <v>9.2000000000000019E-7</v>
      </c>
      <c r="BP220" s="157">
        <f>IF(BI220&lt;$B$105*DATA!$H$1037,DATA!$H$1037,IF(BI220&gt;DATA!$H$1036*$B$105,DATA!$H$1036,1))</f>
        <v>1.2</v>
      </c>
      <c r="BQ220" s="156">
        <f t="shared" si="94"/>
        <v>9.9999999999999995E-8</v>
      </c>
    </row>
    <row r="221" spans="1:69">
      <c r="A221" s="140">
        <f t="shared" si="50"/>
        <v>1.8600000000000001E-5</v>
      </c>
      <c r="B221">
        <v>1.86</v>
      </c>
      <c r="C221" s="140">
        <f t="shared" si="51"/>
        <v>1.8599999999999994E-7</v>
      </c>
      <c r="D221" s="140">
        <f t="shared" si="51"/>
        <v>3.72E-7</v>
      </c>
      <c r="E221" s="140">
        <f t="shared" si="51"/>
        <v>5.5799999999999999E-7</v>
      </c>
      <c r="F221" s="140">
        <f t="shared" si="51"/>
        <v>7.440000000000001E-7</v>
      </c>
      <c r="G221" s="140">
        <f t="shared" si="51"/>
        <v>9.300000000000001E-7</v>
      </c>
      <c r="H221" s="157">
        <f>IF(A221&lt;$B$9*DATA!$H$1037,DATA!$H$1037,IF(A221&gt;DATA!$H$1036*$B$9,DATA!$H$1036,1))</f>
        <v>0.8</v>
      </c>
      <c r="I221" s="156">
        <f t="shared" si="52"/>
        <v>9.9999999999999995E-8</v>
      </c>
      <c r="K221" s="140">
        <f t="shared" si="53"/>
        <v>1.8600000000000001E-5</v>
      </c>
      <c r="L221">
        <v>1.86</v>
      </c>
      <c r="M221" s="140">
        <f t="shared" si="54"/>
        <v>1.8599999999999994E-7</v>
      </c>
      <c r="N221" s="140">
        <f t="shared" si="55"/>
        <v>3.72E-7</v>
      </c>
      <c r="O221" s="140">
        <f t="shared" si="56"/>
        <v>5.5799999999999999E-7</v>
      </c>
      <c r="P221" s="140">
        <f t="shared" si="57"/>
        <v>7.440000000000001E-7</v>
      </c>
      <c r="Q221" s="140">
        <f t="shared" si="58"/>
        <v>9.300000000000001E-7</v>
      </c>
      <c r="R221" s="157">
        <f>IF(K221&lt;$B$25*DATA!$H$1037,DATA!$H$1037,IF(K221&gt;DATA!$H$1036*$B$25,DATA!$H$1036,1))</f>
        <v>0.8</v>
      </c>
      <c r="S221" s="156">
        <f t="shared" si="59"/>
        <v>9.9999999999999995E-8</v>
      </c>
      <c r="U221" s="140">
        <f t="shared" si="60"/>
        <v>1.8600000000000001E-5</v>
      </c>
      <c r="V221">
        <v>1.86</v>
      </c>
      <c r="W221" s="140">
        <f t="shared" si="61"/>
        <v>1.8599999999999994E-7</v>
      </c>
      <c r="X221" s="140">
        <f t="shared" si="62"/>
        <v>3.72E-7</v>
      </c>
      <c r="Y221" s="140">
        <f t="shared" si="63"/>
        <v>5.5799999999999999E-7</v>
      </c>
      <c r="Z221" s="140">
        <f t="shared" si="64"/>
        <v>7.440000000000001E-7</v>
      </c>
      <c r="AA221" s="140">
        <f t="shared" si="65"/>
        <v>9.300000000000001E-7</v>
      </c>
      <c r="AB221" s="157">
        <f>IF(U221&lt;$B$41*DATA!$H$1037,DATA!$H$1037,IF(U221&gt;DATA!$H$1036*$B$41,DATA!$H$1036,1))</f>
        <v>0.8</v>
      </c>
      <c r="AC221" s="156">
        <f t="shared" si="66"/>
        <v>9.9999999999999995E-8</v>
      </c>
      <c r="AE221" s="140">
        <f t="shared" si="67"/>
        <v>1.8600000000000001E-5</v>
      </c>
      <c r="AF221">
        <v>1.86</v>
      </c>
      <c r="AG221" s="140">
        <f t="shared" si="68"/>
        <v>1.8599999999999994E-7</v>
      </c>
      <c r="AH221" s="140">
        <f t="shared" si="69"/>
        <v>3.72E-7</v>
      </c>
      <c r="AI221" s="140">
        <f t="shared" si="70"/>
        <v>5.5799999999999999E-7</v>
      </c>
      <c r="AJ221" s="140">
        <f t="shared" si="71"/>
        <v>7.440000000000001E-7</v>
      </c>
      <c r="AK221" s="140">
        <f t="shared" si="72"/>
        <v>9.300000000000001E-7</v>
      </c>
      <c r="AL221" s="157">
        <f>IF(AE221&lt;$B$57*DATA!$H$1037,DATA!$H$1037,IF(AE221&gt;DATA!$H$1036*$B$57,DATA!$H$1036,1))</f>
        <v>1.2</v>
      </c>
      <c r="AM221" s="156">
        <f t="shared" si="73"/>
        <v>9.9999999999999995E-8</v>
      </c>
      <c r="AO221" s="140">
        <f t="shared" si="74"/>
        <v>1.8600000000000001E-5</v>
      </c>
      <c r="AP221">
        <v>1.86</v>
      </c>
      <c r="AQ221" s="140">
        <f t="shared" si="75"/>
        <v>1.8599999999999994E-7</v>
      </c>
      <c r="AR221" s="140">
        <f t="shared" si="76"/>
        <v>3.72E-7</v>
      </c>
      <c r="AS221" s="140">
        <f t="shared" si="77"/>
        <v>5.5799999999999999E-7</v>
      </c>
      <c r="AT221" s="140">
        <f t="shared" si="78"/>
        <v>7.440000000000001E-7</v>
      </c>
      <c r="AU221" s="140">
        <f t="shared" si="79"/>
        <v>9.300000000000001E-7</v>
      </c>
      <c r="AV221" s="157">
        <f>IF(AO221&lt;$B$73*DATA!$H$1037,DATA!$H$1037,IF(AO221&gt;DATA!$H$1036*$B$73,DATA!$H$1036,1))</f>
        <v>1.2</v>
      </c>
      <c r="AW221" s="156">
        <f t="shared" si="80"/>
        <v>9.9999999999999995E-8</v>
      </c>
      <c r="AY221" s="140">
        <f t="shared" si="81"/>
        <v>1.8600000000000001E-5</v>
      </c>
      <c r="AZ221">
        <v>1.86</v>
      </c>
      <c r="BA221" s="140">
        <f t="shared" si="82"/>
        <v>1.8599999999999994E-7</v>
      </c>
      <c r="BB221" s="140">
        <f t="shared" si="83"/>
        <v>3.72E-7</v>
      </c>
      <c r="BC221" s="140">
        <f t="shared" si="84"/>
        <v>5.5799999999999999E-7</v>
      </c>
      <c r="BD221" s="140">
        <f t="shared" si="85"/>
        <v>7.440000000000001E-7</v>
      </c>
      <c r="BE221" s="140">
        <f t="shared" si="86"/>
        <v>9.300000000000001E-7</v>
      </c>
      <c r="BF221" s="157">
        <f>IF(AY221&lt;$B$89*DATA!$H$1037,DATA!$H$1037,IF(AY221&gt;DATA!$H$1036*$B$89,DATA!$H$1036,1))</f>
        <v>1.2</v>
      </c>
      <c r="BG221" s="156">
        <f t="shared" si="87"/>
        <v>9.9999999999999995E-8</v>
      </c>
      <c r="BI221" s="140">
        <f t="shared" si="88"/>
        <v>1.8600000000000001E-5</v>
      </c>
      <c r="BJ221">
        <v>1.86</v>
      </c>
      <c r="BK221" s="140">
        <f t="shared" si="89"/>
        <v>1.8599999999999994E-7</v>
      </c>
      <c r="BL221" s="140">
        <f t="shared" si="90"/>
        <v>3.72E-7</v>
      </c>
      <c r="BM221" s="140">
        <f t="shared" si="91"/>
        <v>5.5799999999999999E-7</v>
      </c>
      <c r="BN221" s="140">
        <f t="shared" si="92"/>
        <v>7.440000000000001E-7</v>
      </c>
      <c r="BO221" s="140">
        <f t="shared" si="93"/>
        <v>9.300000000000001E-7</v>
      </c>
      <c r="BP221" s="157">
        <f>IF(BI221&lt;$B$105*DATA!$H$1037,DATA!$H$1037,IF(BI221&gt;DATA!$H$1036*$B$105,DATA!$H$1036,1))</f>
        <v>1.2</v>
      </c>
      <c r="BQ221" s="156">
        <f t="shared" si="94"/>
        <v>9.9999999999999995E-8</v>
      </c>
    </row>
    <row r="222" spans="1:69">
      <c r="A222" s="140">
        <f t="shared" si="50"/>
        <v>1.88E-5</v>
      </c>
      <c r="B222">
        <v>1.88</v>
      </c>
      <c r="C222" s="140">
        <f t="shared" si="51"/>
        <v>1.8799999999999994E-7</v>
      </c>
      <c r="D222" s="140">
        <f t="shared" si="51"/>
        <v>3.7599999999999993E-7</v>
      </c>
      <c r="E222" s="140">
        <f t="shared" si="51"/>
        <v>5.6399999999999992E-7</v>
      </c>
      <c r="F222" s="140">
        <f t="shared" si="51"/>
        <v>7.5199999999999996E-7</v>
      </c>
      <c r="G222" s="140">
        <f t="shared" si="51"/>
        <v>9.4E-7</v>
      </c>
      <c r="H222" s="157">
        <f>IF(A222&lt;$B$9*DATA!$H$1037,DATA!$H$1037,IF(A222&gt;DATA!$H$1036*$B$9,DATA!$H$1036,1))</f>
        <v>0.8</v>
      </c>
      <c r="I222" s="156">
        <f t="shared" si="52"/>
        <v>9.9999999999999995E-8</v>
      </c>
      <c r="K222" s="140">
        <f t="shared" si="53"/>
        <v>1.88E-5</v>
      </c>
      <c r="L222">
        <v>1.88</v>
      </c>
      <c r="M222" s="140">
        <f t="shared" si="54"/>
        <v>1.8799999999999994E-7</v>
      </c>
      <c r="N222" s="140">
        <f t="shared" si="55"/>
        <v>3.7599999999999993E-7</v>
      </c>
      <c r="O222" s="140">
        <f t="shared" si="56"/>
        <v>5.6399999999999992E-7</v>
      </c>
      <c r="P222" s="140">
        <f t="shared" si="57"/>
        <v>7.5199999999999996E-7</v>
      </c>
      <c r="Q222" s="140">
        <f t="shared" si="58"/>
        <v>9.4E-7</v>
      </c>
      <c r="R222" s="157">
        <f>IF(K222&lt;$B$25*DATA!$H$1037,DATA!$H$1037,IF(K222&gt;DATA!$H$1036*$B$25,DATA!$H$1036,1))</f>
        <v>0.8</v>
      </c>
      <c r="S222" s="156">
        <f t="shared" si="59"/>
        <v>9.9999999999999995E-8</v>
      </c>
      <c r="U222" s="140">
        <f t="shared" si="60"/>
        <v>1.88E-5</v>
      </c>
      <c r="V222">
        <v>1.88</v>
      </c>
      <c r="W222" s="140">
        <f t="shared" si="61"/>
        <v>1.8799999999999994E-7</v>
      </c>
      <c r="X222" s="140">
        <f t="shared" si="62"/>
        <v>3.7599999999999993E-7</v>
      </c>
      <c r="Y222" s="140">
        <f t="shared" si="63"/>
        <v>5.6399999999999992E-7</v>
      </c>
      <c r="Z222" s="140">
        <f t="shared" si="64"/>
        <v>7.5199999999999996E-7</v>
      </c>
      <c r="AA222" s="140">
        <f t="shared" si="65"/>
        <v>9.4E-7</v>
      </c>
      <c r="AB222" s="157">
        <f>IF(U222&lt;$B$41*DATA!$H$1037,DATA!$H$1037,IF(U222&gt;DATA!$H$1036*$B$41,DATA!$H$1036,1))</f>
        <v>0.8</v>
      </c>
      <c r="AC222" s="156">
        <f t="shared" si="66"/>
        <v>9.9999999999999995E-8</v>
      </c>
      <c r="AE222" s="140">
        <f t="shared" si="67"/>
        <v>1.88E-5</v>
      </c>
      <c r="AF222">
        <v>1.88</v>
      </c>
      <c r="AG222" s="140">
        <f t="shared" si="68"/>
        <v>1.8799999999999994E-7</v>
      </c>
      <c r="AH222" s="140">
        <f t="shared" si="69"/>
        <v>3.7599999999999993E-7</v>
      </c>
      <c r="AI222" s="140">
        <f t="shared" si="70"/>
        <v>5.6399999999999992E-7</v>
      </c>
      <c r="AJ222" s="140">
        <f t="shared" si="71"/>
        <v>7.5199999999999996E-7</v>
      </c>
      <c r="AK222" s="140">
        <f t="shared" si="72"/>
        <v>9.4E-7</v>
      </c>
      <c r="AL222" s="157">
        <f>IF(AE222&lt;$B$57*DATA!$H$1037,DATA!$H$1037,IF(AE222&gt;DATA!$H$1036*$B$57,DATA!$H$1036,1))</f>
        <v>1.2</v>
      </c>
      <c r="AM222" s="156">
        <f t="shared" si="73"/>
        <v>9.9999999999999995E-8</v>
      </c>
      <c r="AO222" s="140">
        <f t="shared" si="74"/>
        <v>1.88E-5</v>
      </c>
      <c r="AP222">
        <v>1.88</v>
      </c>
      <c r="AQ222" s="140">
        <f t="shared" si="75"/>
        <v>1.8799999999999994E-7</v>
      </c>
      <c r="AR222" s="140">
        <f t="shared" si="76"/>
        <v>3.7599999999999993E-7</v>
      </c>
      <c r="AS222" s="140">
        <f t="shared" si="77"/>
        <v>5.6399999999999992E-7</v>
      </c>
      <c r="AT222" s="140">
        <f t="shared" si="78"/>
        <v>7.5199999999999996E-7</v>
      </c>
      <c r="AU222" s="140">
        <f t="shared" si="79"/>
        <v>9.4E-7</v>
      </c>
      <c r="AV222" s="157">
        <f>IF(AO222&lt;$B$73*DATA!$H$1037,DATA!$H$1037,IF(AO222&gt;DATA!$H$1036*$B$73,DATA!$H$1036,1))</f>
        <v>1.2</v>
      </c>
      <c r="AW222" s="156">
        <f t="shared" si="80"/>
        <v>9.9999999999999995E-8</v>
      </c>
      <c r="AY222" s="140">
        <f t="shared" si="81"/>
        <v>1.88E-5</v>
      </c>
      <c r="AZ222">
        <v>1.88</v>
      </c>
      <c r="BA222" s="140">
        <f t="shared" si="82"/>
        <v>1.8799999999999994E-7</v>
      </c>
      <c r="BB222" s="140">
        <f t="shared" si="83"/>
        <v>3.7599999999999993E-7</v>
      </c>
      <c r="BC222" s="140">
        <f t="shared" si="84"/>
        <v>5.6399999999999992E-7</v>
      </c>
      <c r="BD222" s="140">
        <f t="shared" si="85"/>
        <v>7.5199999999999996E-7</v>
      </c>
      <c r="BE222" s="140">
        <f t="shared" si="86"/>
        <v>9.4E-7</v>
      </c>
      <c r="BF222" s="157">
        <f>IF(AY222&lt;$B$89*DATA!$H$1037,DATA!$H$1037,IF(AY222&gt;DATA!$H$1036*$B$89,DATA!$H$1036,1))</f>
        <v>1.2</v>
      </c>
      <c r="BG222" s="156">
        <f t="shared" si="87"/>
        <v>9.9999999999999995E-8</v>
      </c>
      <c r="BI222" s="140">
        <f t="shared" si="88"/>
        <v>1.88E-5</v>
      </c>
      <c r="BJ222">
        <v>1.88</v>
      </c>
      <c r="BK222" s="140">
        <f t="shared" si="89"/>
        <v>1.8799999999999994E-7</v>
      </c>
      <c r="BL222" s="140">
        <f t="shared" si="90"/>
        <v>3.7599999999999993E-7</v>
      </c>
      <c r="BM222" s="140">
        <f t="shared" si="91"/>
        <v>5.6399999999999992E-7</v>
      </c>
      <c r="BN222" s="140">
        <f t="shared" si="92"/>
        <v>7.5199999999999996E-7</v>
      </c>
      <c r="BO222" s="140">
        <f t="shared" si="93"/>
        <v>9.4E-7</v>
      </c>
      <c r="BP222" s="157">
        <f>IF(BI222&lt;$B$105*DATA!$H$1037,DATA!$H$1037,IF(BI222&gt;DATA!$H$1036*$B$105,DATA!$H$1036,1))</f>
        <v>1.2</v>
      </c>
      <c r="BQ222" s="156">
        <f t="shared" si="94"/>
        <v>9.9999999999999995E-8</v>
      </c>
    </row>
    <row r="223" spans="1:69">
      <c r="A223" s="140">
        <f t="shared" si="50"/>
        <v>1.9000000000000001E-5</v>
      </c>
      <c r="B223">
        <v>1.9</v>
      </c>
      <c r="C223" s="140">
        <f t="shared" si="51"/>
        <v>1.8999999999999995E-7</v>
      </c>
      <c r="D223" s="140">
        <f t="shared" si="51"/>
        <v>3.7999999999999996E-7</v>
      </c>
      <c r="E223" s="140">
        <f t="shared" si="51"/>
        <v>5.7000000000000005E-7</v>
      </c>
      <c r="F223" s="140">
        <f t="shared" si="51"/>
        <v>7.6000000000000003E-7</v>
      </c>
      <c r="G223" s="140">
        <f t="shared" si="51"/>
        <v>9.5000000000000012E-7</v>
      </c>
      <c r="H223" s="157">
        <f>IF(A223&lt;$B$9*DATA!$H$1037,DATA!$H$1037,IF(A223&gt;DATA!$H$1036*$B$9,DATA!$H$1036,1))</f>
        <v>0.8</v>
      </c>
      <c r="I223" s="156">
        <f t="shared" si="52"/>
        <v>9.9999999999999995E-8</v>
      </c>
      <c r="K223" s="140">
        <f t="shared" si="53"/>
        <v>1.9000000000000001E-5</v>
      </c>
      <c r="L223">
        <v>1.9</v>
      </c>
      <c r="M223" s="140">
        <f t="shared" si="54"/>
        <v>1.8999999999999995E-7</v>
      </c>
      <c r="N223" s="140">
        <f t="shared" si="55"/>
        <v>3.7999999999999996E-7</v>
      </c>
      <c r="O223" s="140">
        <f t="shared" si="56"/>
        <v>5.7000000000000005E-7</v>
      </c>
      <c r="P223" s="140">
        <f t="shared" si="57"/>
        <v>7.6000000000000003E-7</v>
      </c>
      <c r="Q223" s="140">
        <f t="shared" si="58"/>
        <v>9.5000000000000012E-7</v>
      </c>
      <c r="R223" s="157">
        <f>IF(K223&lt;$B$25*DATA!$H$1037,DATA!$H$1037,IF(K223&gt;DATA!$H$1036*$B$25,DATA!$H$1036,1))</f>
        <v>0.8</v>
      </c>
      <c r="S223" s="156">
        <f t="shared" si="59"/>
        <v>9.9999999999999995E-8</v>
      </c>
      <c r="U223" s="140">
        <f t="shared" si="60"/>
        <v>1.9000000000000001E-5</v>
      </c>
      <c r="V223">
        <v>1.9</v>
      </c>
      <c r="W223" s="140">
        <f t="shared" si="61"/>
        <v>1.8999999999999995E-7</v>
      </c>
      <c r="X223" s="140">
        <f t="shared" si="62"/>
        <v>3.7999999999999996E-7</v>
      </c>
      <c r="Y223" s="140">
        <f t="shared" si="63"/>
        <v>5.7000000000000005E-7</v>
      </c>
      <c r="Z223" s="140">
        <f t="shared" si="64"/>
        <v>7.6000000000000003E-7</v>
      </c>
      <c r="AA223" s="140">
        <f t="shared" si="65"/>
        <v>9.5000000000000012E-7</v>
      </c>
      <c r="AB223" s="157">
        <f>IF(U223&lt;$B$41*DATA!$H$1037,DATA!$H$1037,IF(U223&gt;DATA!$H$1036*$B$41,DATA!$H$1036,1))</f>
        <v>0.8</v>
      </c>
      <c r="AC223" s="156">
        <f t="shared" si="66"/>
        <v>9.9999999999999995E-8</v>
      </c>
      <c r="AE223" s="140">
        <f t="shared" si="67"/>
        <v>1.9000000000000001E-5</v>
      </c>
      <c r="AF223">
        <v>1.9</v>
      </c>
      <c r="AG223" s="140">
        <f t="shared" si="68"/>
        <v>1.8999999999999995E-7</v>
      </c>
      <c r="AH223" s="140">
        <f t="shared" si="69"/>
        <v>3.7999999999999996E-7</v>
      </c>
      <c r="AI223" s="140">
        <f t="shared" si="70"/>
        <v>5.7000000000000005E-7</v>
      </c>
      <c r="AJ223" s="140">
        <f t="shared" si="71"/>
        <v>7.6000000000000003E-7</v>
      </c>
      <c r="AK223" s="140">
        <f t="shared" si="72"/>
        <v>9.5000000000000012E-7</v>
      </c>
      <c r="AL223" s="157">
        <f>IF(AE223&lt;$B$57*DATA!$H$1037,DATA!$H$1037,IF(AE223&gt;DATA!$H$1036*$B$57,DATA!$H$1036,1))</f>
        <v>1.2</v>
      </c>
      <c r="AM223" s="156">
        <f t="shared" si="73"/>
        <v>9.9999999999999995E-8</v>
      </c>
      <c r="AO223" s="140">
        <f t="shared" si="74"/>
        <v>1.9000000000000001E-5</v>
      </c>
      <c r="AP223">
        <v>1.9</v>
      </c>
      <c r="AQ223" s="140">
        <f t="shared" si="75"/>
        <v>1.8999999999999995E-7</v>
      </c>
      <c r="AR223" s="140">
        <f t="shared" si="76"/>
        <v>3.7999999999999996E-7</v>
      </c>
      <c r="AS223" s="140">
        <f t="shared" si="77"/>
        <v>5.7000000000000005E-7</v>
      </c>
      <c r="AT223" s="140">
        <f t="shared" si="78"/>
        <v>7.6000000000000003E-7</v>
      </c>
      <c r="AU223" s="140">
        <f t="shared" si="79"/>
        <v>9.5000000000000012E-7</v>
      </c>
      <c r="AV223" s="157">
        <f>IF(AO223&lt;$B$73*DATA!$H$1037,DATA!$H$1037,IF(AO223&gt;DATA!$H$1036*$B$73,DATA!$H$1036,1))</f>
        <v>1.2</v>
      </c>
      <c r="AW223" s="156">
        <f t="shared" si="80"/>
        <v>9.9999999999999995E-8</v>
      </c>
      <c r="AY223" s="140">
        <f t="shared" si="81"/>
        <v>1.9000000000000001E-5</v>
      </c>
      <c r="AZ223">
        <v>1.9</v>
      </c>
      <c r="BA223" s="140">
        <f t="shared" si="82"/>
        <v>1.8999999999999995E-7</v>
      </c>
      <c r="BB223" s="140">
        <f t="shared" si="83"/>
        <v>3.7999999999999996E-7</v>
      </c>
      <c r="BC223" s="140">
        <f t="shared" si="84"/>
        <v>5.7000000000000005E-7</v>
      </c>
      <c r="BD223" s="140">
        <f t="shared" si="85"/>
        <v>7.6000000000000003E-7</v>
      </c>
      <c r="BE223" s="140">
        <f t="shared" si="86"/>
        <v>9.5000000000000012E-7</v>
      </c>
      <c r="BF223" s="157">
        <f>IF(AY223&lt;$B$89*DATA!$H$1037,DATA!$H$1037,IF(AY223&gt;DATA!$H$1036*$B$89,DATA!$H$1036,1))</f>
        <v>1.2</v>
      </c>
      <c r="BG223" s="156">
        <f t="shared" si="87"/>
        <v>9.9999999999999995E-8</v>
      </c>
      <c r="BI223" s="140">
        <f t="shared" si="88"/>
        <v>1.9000000000000001E-5</v>
      </c>
      <c r="BJ223">
        <v>1.9</v>
      </c>
      <c r="BK223" s="140">
        <f t="shared" si="89"/>
        <v>1.8999999999999995E-7</v>
      </c>
      <c r="BL223" s="140">
        <f t="shared" si="90"/>
        <v>3.7999999999999996E-7</v>
      </c>
      <c r="BM223" s="140">
        <f t="shared" si="91"/>
        <v>5.7000000000000005E-7</v>
      </c>
      <c r="BN223" s="140">
        <f t="shared" si="92"/>
        <v>7.6000000000000003E-7</v>
      </c>
      <c r="BO223" s="140">
        <f t="shared" si="93"/>
        <v>9.5000000000000012E-7</v>
      </c>
      <c r="BP223" s="157">
        <f>IF(BI223&lt;$B$105*DATA!$H$1037,DATA!$H$1037,IF(BI223&gt;DATA!$H$1036*$B$105,DATA!$H$1036,1))</f>
        <v>1.2</v>
      </c>
      <c r="BQ223" s="156">
        <f t="shared" si="94"/>
        <v>9.9999999999999995E-8</v>
      </c>
    </row>
    <row r="224" spans="1:69">
      <c r="A224" s="140">
        <f t="shared" si="50"/>
        <v>1.9200000000000003E-5</v>
      </c>
      <c r="B224">
        <v>1.92</v>
      </c>
      <c r="C224" s="140">
        <f t="shared" si="51"/>
        <v>1.9199999999999997E-7</v>
      </c>
      <c r="D224" s="140">
        <f t="shared" si="51"/>
        <v>3.84E-7</v>
      </c>
      <c r="E224" s="140">
        <f t="shared" si="51"/>
        <v>5.7600000000000008E-7</v>
      </c>
      <c r="F224" s="140">
        <f t="shared" si="51"/>
        <v>7.680000000000001E-7</v>
      </c>
      <c r="G224" s="140">
        <f t="shared" si="51"/>
        <v>9.6000000000000013E-7</v>
      </c>
      <c r="H224" s="157">
        <f>IF(A224&lt;$B$9*DATA!$H$1037,DATA!$H$1037,IF(A224&gt;DATA!$H$1036*$B$9,DATA!$H$1036,1))</f>
        <v>0.8</v>
      </c>
      <c r="I224" s="156">
        <f t="shared" si="52"/>
        <v>9.9999999999999995E-8</v>
      </c>
      <c r="K224" s="140">
        <f t="shared" si="53"/>
        <v>1.9200000000000003E-5</v>
      </c>
      <c r="L224">
        <v>1.92</v>
      </c>
      <c r="M224" s="140">
        <f t="shared" si="54"/>
        <v>1.9199999999999997E-7</v>
      </c>
      <c r="N224" s="140">
        <f t="shared" si="55"/>
        <v>3.84E-7</v>
      </c>
      <c r="O224" s="140">
        <f t="shared" si="56"/>
        <v>5.7600000000000008E-7</v>
      </c>
      <c r="P224" s="140">
        <f t="shared" si="57"/>
        <v>7.680000000000001E-7</v>
      </c>
      <c r="Q224" s="140">
        <f t="shared" si="58"/>
        <v>9.6000000000000013E-7</v>
      </c>
      <c r="R224" s="157">
        <f>IF(K224&lt;$B$25*DATA!$H$1037,DATA!$H$1037,IF(K224&gt;DATA!$H$1036*$B$25,DATA!$H$1036,1))</f>
        <v>0.8</v>
      </c>
      <c r="S224" s="156">
        <f t="shared" si="59"/>
        <v>9.9999999999999995E-8</v>
      </c>
      <c r="U224" s="140">
        <f t="shared" si="60"/>
        <v>1.9200000000000003E-5</v>
      </c>
      <c r="V224">
        <v>1.92</v>
      </c>
      <c r="W224" s="140">
        <f t="shared" si="61"/>
        <v>1.9199999999999997E-7</v>
      </c>
      <c r="X224" s="140">
        <f t="shared" si="62"/>
        <v>3.84E-7</v>
      </c>
      <c r="Y224" s="140">
        <f t="shared" si="63"/>
        <v>5.7600000000000008E-7</v>
      </c>
      <c r="Z224" s="140">
        <f t="shared" si="64"/>
        <v>7.680000000000001E-7</v>
      </c>
      <c r="AA224" s="140">
        <f t="shared" si="65"/>
        <v>9.6000000000000013E-7</v>
      </c>
      <c r="AB224" s="157">
        <f>IF(U224&lt;$B$41*DATA!$H$1037,DATA!$H$1037,IF(U224&gt;DATA!$H$1036*$B$41,DATA!$H$1036,1))</f>
        <v>0.8</v>
      </c>
      <c r="AC224" s="156">
        <f t="shared" si="66"/>
        <v>9.9999999999999995E-8</v>
      </c>
      <c r="AE224" s="140">
        <f t="shared" si="67"/>
        <v>1.9200000000000003E-5</v>
      </c>
      <c r="AF224">
        <v>1.92</v>
      </c>
      <c r="AG224" s="140">
        <f t="shared" si="68"/>
        <v>1.9199999999999997E-7</v>
      </c>
      <c r="AH224" s="140">
        <f t="shared" si="69"/>
        <v>3.84E-7</v>
      </c>
      <c r="AI224" s="140">
        <f t="shared" si="70"/>
        <v>5.7600000000000008E-7</v>
      </c>
      <c r="AJ224" s="140">
        <f t="shared" si="71"/>
        <v>7.680000000000001E-7</v>
      </c>
      <c r="AK224" s="140">
        <f t="shared" si="72"/>
        <v>9.6000000000000013E-7</v>
      </c>
      <c r="AL224" s="157">
        <f>IF(AE224&lt;$B$57*DATA!$H$1037,DATA!$H$1037,IF(AE224&gt;DATA!$H$1036*$B$57,DATA!$H$1036,1))</f>
        <v>1.2</v>
      </c>
      <c r="AM224" s="156">
        <f t="shared" si="73"/>
        <v>9.9999999999999995E-8</v>
      </c>
      <c r="AO224" s="140">
        <f t="shared" si="74"/>
        <v>1.9200000000000003E-5</v>
      </c>
      <c r="AP224">
        <v>1.92</v>
      </c>
      <c r="AQ224" s="140">
        <f t="shared" si="75"/>
        <v>1.9199999999999997E-7</v>
      </c>
      <c r="AR224" s="140">
        <f t="shared" si="76"/>
        <v>3.84E-7</v>
      </c>
      <c r="AS224" s="140">
        <f t="shared" si="77"/>
        <v>5.7600000000000008E-7</v>
      </c>
      <c r="AT224" s="140">
        <f t="shared" si="78"/>
        <v>7.680000000000001E-7</v>
      </c>
      <c r="AU224" s="140">
        <f t="shared" si="79"/>
        <v>9.6000000000000013E-7</v>
      </c>
      <c r="AV224" s="157">
        <f>IF(AO224&lt;$B$73*DATA!$H$1037,DATA!$H$1037,IF(AO224&gt;DATA!$H$1036*$B$73,DATA!$H$1036,1))</f>
        <v>1.2</v>
      </c>
      <c r="AW224" s="156">
        <f t="shared" si="80"/>
        <v>9.9999999999999995E-8</v>
      </c>
      <c r="AY224" s="140">
        <f t="shared" si="81"/>
        <v>1.9200000000000003E-5</v>
      </c>
      <c r="AZ224">
        <v>1.92</v>
      </c>
      <c r="BA224" s="140">
        <f t="shared" si="82"/>
        <v>1.9199999999999997E-7</v>
      </c>
      <c r="BB224" s="140">
        <f t="shared" si="83"/>
        <v>3.84E-7</v>
      </c>
      <c r="BC224" s="140">
        <f t="shared" si="84"/>
        <v>5.7600000000000008E-7</v>
      </c>
      <c r="BD224" s="140">
        <f t="shared" si="85"/>
        <v>7.680000000000001E-7</v>
      </c>
      <c r="BE224" s="140">
        <f t="shared" si="86"/>
        <v>9.6000000000000013E-7</v>
      </c>
      <c r="BF224" s="157">
        <f>IF(AY224&lt;$B$89*DATA!$H$1037,DATA!$H$1037,IF(AY224&gt;DATA!$H$1036*$B$89,DATA!$H$1036,1))</f>
        <v>1.2</v>
      </c>
      <c r="BG224" s="156">
        <f t="shared" si="87"/>
        <v>9.9999999999999995E-8</v>
      </c>
      <c r="BI224" s="140">
        <f t="shared" si="88"/>
        <v>1.9200000000000003E-5</v>
      </c>
      <c r="BJ224">
        <v>1.92</v>
      </c>
      <c r="BK224" s="140">
        <f t="shared" si="89"/>
        <v>1.9199999999999997E-7</v>
      </c>
      <c r="BL224" s="140">
        <f t="shared" si="90"/>
        <v>3.84E-7</v>
      </c>
      <c r="BM224" s="140">
        <f t="shared" si="91"/>
        <v>5.7600000000000008E-7</v>
      </c>
      <c r="BN224" s="140">
        <f t="shared" si="92"/>
        <v>7.680000000000001E-7</v>
      </c>
      <c r="BO224" s="140">
        <f t="shared" si="93"/>
        <v>9.6000000000000013E-7</v>
      </c>
      <c r="BP224" s="157">
        <f>IF(BI224&lt;$B$105*DATA!$H$1037,DATA!$H$1037,IF(BI224&gt;DATA!$H$1036*$B$105,DATA!$H$1036,1))</f>
        <v>1.2</v>
      </c>
      <c r="BQ224" s="156">
        <f t="shared" si="94"/>
        <v>9.9999999999999995E-8</v>
      </c>
    </row>
    <row r="225" spans="1:69">
      <c r="A225" s="140">
        <f t="shared" si="50"/>
        <v>1.9400000000000001E-5</v>
      </c>
      <c r="B225">
        <v>1.94</v>
      </c>
      <c r="C225" s="140">
        <f t="shared" si="51"/>
        <v>1.9399999999999994E-7</v>
      </c>
      <c r="D225" s="140">
        <f t="shared" si="51"/>
        <v>3.8799999999999993E-7</v>
      </c>
      <c r="E225" s="140">
        <f t="shared" si="51"/>
        <v>5.82E-7</v>
      </c>
      <c r="F225" s="140">
        <f t="shared" si="51"/>
        <v>7.7600000000000007E-7</v>
      </c>
      <c r="G225" s="140">
        <f t="shared" si="51"/>
        <v>9.7000000000000003E-7</v>
      </c>
      <c r="H225" s="157">
        <f>IF(A225&lt;$B$9*DATA!$H$1037,DATA!$H$1037,IF(A225&gt;DATA!$H$1036*$B$9,DATA!$H$1036,1))</f>
        <v>0.8</v>
      </c>
      <c r="I225" s="156">
        <f t="shared" si="52"/>
        <v>9.9999999999999995E-8</v>
      </c>
      <c r="K225" s="140">
        <f t="shared" si="53"/>
        <v>1.9400000000000001E-5</v>
      </c>
      <c r="L225">
        <v>1.94</v>
      </c>
      <c r="M225" s="140">
        <f t="shared" si="54"/>
        <v>1.9399999999999994E-7</v>
      </c>
      <c r="N225" s="140">
        <f t="shared" si="55"/>
        <v>3.8799999999999993E-7</v>
      </c>
      <c r="O225" s="140">
        <f t="shared" si="56"/>
        <v>5.82E-7</v>
      </c>
      <c r="P225" s="140">
        <f t="shared" si="57"/>
        <v>7.7600000000000007E-7</v>
      </c>
      <c r="Q225" s="140">
        <f t="shared" si="58"/>
        <v>9.7000000000000003E-7</v>
      </c>
      <c r="R225" s="157">
        <f>IF(K225&lt;$B$25*DATA!$H$1037,DATA!$H$1037,IF(K225&gt;DATA!$H$1036*$B$25,DATA!$H$1036,1))</f>
        <v>0.8</v>
      </c>
      <c r="S225" s="156">
        <f t="shared" si="59"/>
        <v>9.9999999999999995E-8</v>
      </c>
      <c r="U225" s="140">
        <f t="shared" si="60"/>
        <v>1.9400000000000001E-5</v>
      </c>
      <c r="V225">
        <v>1.94</v>
      </c>
      <c r="W225" s="140">
        <f t="shared" si="61"/>
        <v>1.9399999999999994E-7</v>
      </c>
      <c r="X225" s="140">
        <f t="shared" si="62"/>
        <v>3.8799999999999993E-7</v>
      </c>
      <c r="Y225" s="140">
        <f t="shared" si="63"/>
        <v>5.82E-7</v>
      </c>
      <c r="Z225" s="140">
        <f t="shared" si="64"/>
        <v>7.7600000000000007E-7</v>
      </c>
      <c r="AA225" s="140">
        <f t="shared" si="65"/>
        <v>9.7000000000000003E-7</v>
      </c>
      <c r="AB225" s="157">
        <f>IF(U225&lt;$B$41*DATA!$H$1037,DATA!$H$1037,IF(U225&gt;DATA!$H$1036*$B$41,DATA!$H$1036,1))</f>
        <v>0.8</v>
      </c>
      <c r="AC225" s="156">
        <f t="shared" si="66"/>
        <v>9.9999999999999995E-8</v>
      </c>
      <c r="AE225" s="140">
        <f t="shared" si="67"/>
        <v>1.9400000000000001E-5</v>
      </c>
      <c r="AF225">
        <v>1.94</v>
      </c>
      <c r="AG225" s="140">
        <f t="shared" si="68"/>
        <v>1.9399999999999994E-7</v>
      </c>
      <c r="AH225" s="140">
        <f t="shared" si="69"/>
        <v>3.8799999999999993E-7</v>
      </c>
      <c r="AI225" s="140">
        <f t="shared" si="70"/>
        <v>5.82E-7</v>
      </c>
      <c r="AJ225" s="140">
        <f t="shared" si="71"/>
        <v>7.7600000000000007E-7</v>
      </c>
      <c r="AK225" s="140">
        <f t="shared" si="72"/>
        <v>9.7000000000000003E-7</v>
      </c>
      <c r="AL225" s="157">
        <f>IF(AE225&lt;$B$57*DATA!$H$1037,DATA!$H$1037,IF(AE225&gt;DATA!$H$1036*$B$57,DATA!$H$1036,1))</f>
        <v>1.2</v>
      </c>
      <c r="AM225" s="156">
        <f t="shared" si="73"/>
        <v>9.9999999999999995E-8</v>
      </c>
      <c r="AO225" s="140">
        <f t="shared" si="74"/>
        <v>1.9400000000000001E-5</v>
      </c>
      <c r="AP225">
        <v>1.94</v>
      </c>
      <c r="AQ225" s="140">
        <f t="shared" si="75"/>
        <v>1.9399999999999994E-7</v>
      </c>
      <c r="AR225" s="140">
        <f t="shared" si="76"/>
        <v>3.8799999999999993E-7</v>
      </c>
      <c r="AS225" s="140">
        <f t="shared" si="77"/>
        <v>5.82E-7</v>
      </c>
      <c r="AT225" s="140">
        <f t="shared" si="78"/>
        <v>7.7600000000000007E-7</v>
      </c>
      <c r="AU225" s="140">
        <f t="shared" si="79"/>
        <v>9.7000000000000003E-7</v>
      </c>
      <c r="AV225" s="157">
        <f>IF(AO225&lt;$B$73*DATA!$H$1037,DATA!$H$1037,IF(AO225&gt;DATA!$H$1036*$B$73,DATA!$H$1036,1))</f>
        <v>1.2</v>
      </c>
      <c r="AW225" s="156">
        <f t="shared" si="80"/>
        <v>9.9999999999999995E-8</v>
      </c>
      <c r="AY225" s="140">
        <f t="shared" si="81"/>
        <v>1.9400000000000001E-5</v>
      </c>
      <c r="AZ225">
        <v>1.94</v>
      </c>
      <c r="BA225" s="140">
        <f t="shared" si="82"/>
        <v>1.9399999999999994E-7</v>
      </c>
      <c r="BB225" s="140">
        <f t="shared" si="83"/>
        <v>3.8799999999999993E-7</v>
      </c>
      <c r="BC225" s="140">
        <f t="shared" si="84"/>
        <v>5.82E-7</v>
      </c>
      <c r="BD225" s="140">
        <f t="shared" si="85"/>
        <v>7.7600000000000007E-7</v>
      </c>
      <c r="BE225" s="140">
        <f t="shared" si="86"/>
        <v>9.7000000000000003E-7</v>
      </c>
      <c r="BF225" s="157">
        <f>IF(AY225&lt;$B$89*DATA!$H$1037,DATA!$H$1037,IF(AY225&gt;DATA!$H$1036*$B$89,DATA!$H$1036,1))</f>
        <v>1.2</v>
      </c>
      <c r="BG225" s="156">
        <f t="shared" si="87"/>
        <v>9.9999999999999995E-8</v>
      </c>
      <c r="BI225" s="140">
        <f t="shared" si="88"/>
        <v>1.9400000000000001E-5</v>
      </c>
      <c r="BJ225">
        <v>1.94</v>
      </c>
      <c r="BK225" s="140">
        <f t="shared" si="89"/>
        <v>1.9399999999999994E-7</v>
      </c>
      <c r="BL225" s="140">
        <f t="shared" si="90"/>
        <v>3.8799999999999993E-7</v>
      </c>
      <c r="BM225" s="140">
        <f t="shared" si="91"/>
        <v>5.82E-7</v>
      </c>
      <c r="BN225" s="140">
        <f t="shared" si="92"/>
        <v>7.7600000000000007E-7</v>
      </c>
      <c r="BO225" s="140">
        <f t="shared" si="93"/>
        <v>9.7000000000000003E-7</v>
      </c>
      <c r="BP225" s="157">
        <f>IF(BI225&lt;$B$105*DATA!$H$1037,DATA!$H$1037,IF(BI225&gt;DATA!$H$1036*$B$105,DATA!$H$1036,1))</f>
        <v>1.2</v>
      </c>
      <c r="BQ225" s="156">
        <f t="shared" si="94"/>
        <v>9.9999999999999995E-8</v>
      </c>
    </row>
    <row r="226" spans="1:69">
      <c r="A226" s="140">
        <f t="shared" si="50"/>
        <v>1.9600000000000002E-5</v>
      </c>
      <c r="B226">
        <v>1.96</v>
      </c>
      <c r="C226" s="140">
        <f t="shared" si="51"/>
        <v>1.9599999999999996E-7</v>
      </c>
      <c r="D226" s="140">
        <f t="shared" si="51"/>
        <v>3.9199999999999996E-7</v>
      </c>
      <c r="E226" s="140">
        <f t="shared" si="51"/>
        <v>5.8800000000000002E-7</v>
      </c>
      <c r="F226" s="140">
        <f t="shared" si="51"/>
        <v>7.8400000000000014E-7</v>
      </c>
      <c r="G226" s="140">
        <f t="shared" si="51"/>
        <v>9.8000000000000015E-7</v>
      </c>
      <c r="H226" s="157">
        <f>IF(A226&lt;$B$9*DATA!$H$1037,DATA!$H$1037,IF(A226&gt;DATA!$H$1036*$B$9,DATA!$H$1036,1))</f>
        <v>0.8</v>
      </c>
      <c r="I226" s="156">
        <f t="shared" si="52"/>
        <v>9.9999999999999995E-8</v>
      </c>
      <c r="K226" s="140">
        <f t="shared" si="53"/>
        <v>1.9600000000000002E-5</v>
      </c>
      <c r="L226">
        <v>1.96</v>
      </c>
      <c r="M226" s="140">
        <f t="shared" si="54"/>
        <v>1.9599999999999996E-7</v>
      </c>
      <c r="N226" s="140">
        <f t="shared" si="55"/>
        <v>3.9199999999999996E-7</v>
      </c>
      <c r="O226" s="140">
        <f t="shared" si="56"/>
        <v>5.8800000000000002E-7</v>
      </c>
      <c r="P226" s="140">
        <f t="shared" si="57"/>
        <v>7.8400000000000014E-7</v>
      </c>
      <c r="Q226" s="140">
        <f t="shared" si="58"/>
        <v>9.8000000000000015E-7</v>
      </c>
      <c r="R226" s="157">
        <f>IF(K226&lt;$B$25*DATA!$H$1037,DATA!$H$1037,IF(K226&gt;DATA!$H$1036*$B$25,DATA!$H$1036,1))</f>
        <v>0.8</v>
      </c>
      <c r="S226" s="156">
        <f t="shared" si="59"/>
        <v>9.9999999999999995E-8</v>
      </c>
      <c r="U226" s="140">
        <f t="shared" si="60"/>
        <v>1.9600000000000002E-5</v>
      </c>
      <c r="V226">
        <v>1.96</v>
      </c>
      <c r="W226" s="140">
        <f t="shared" si="61"/>
        <v>1.9599999999999996E-7</v>
      </c>
      <c r="X226" s="140">
        <f t="shared" si="62"/>
        <v>3.9199999999999996E-7</v>
      </c>
      <c r="Y226" s="140">
        <f t="shared" si="63"/>
        <v>5.8800000000000002E-7</v>
      </c>
      <c r="Z226" s="140">
        <f t="shared" si="64"/>
        <v>7.8400000000000014E-7</v>
      </c>
      <c r="AA226" s="140">
        <f t="shared" si="65"/>
        <v>9.8000000000000015E-7</v>
      </c>
      <c r="AB226" s="157">
        <f>IF(U226&lt;$B$41*DATA!$H$1037,DATA!$H$1037,IF(U226&gt;DATA!$H$1036*$B$41,DATA!$H$1036,1))</f>
        <v>0.8</v>
      </c>
      <c r="AC226" s="156">
        <f t="shared" si="66"/>
        <v>9.9999999999999995E-8</v>
      </c>
      <c r="AE226" s="140">
        <f t="shared" si="67"/>
        <v>1.9600000000000002E-5</v>
      </c>
      <c r="AF226">
        <v>1.96</v>
      </c>
      <c r="AG226" s="140">
        <f t="shared" si="68"/>
        <v>1.9599999999999996E-7</v>
      </c>
      <c r="AH226" s="140">
        <f t="shared" si="69"/>
        <v>3.9199999999999996E-7</v>
      </c>
      <c r="AI226" s="140">
        <f t="shared" si="70"/>
        <v>5.8800000000000002E-7</v>
      </c>
      <c r="AJ226" s="140">
        <f t="shared" si="71"/>
        <v>7.8400000000000014E-7</v>
      </c>
      <c r="AK226" s="140">
        <f t="shared" si="72"/>
        <v>9.8000000000000015E-7</v>
      </c>
      <c r="AL226" s="157">
        <f>IF(AE226&lt;$B$57*DATA!$H$1037,DATA!$H$1037,IF(AE226&gt;DATA!$H$1036*$B$57,DATA!$H$1036,1))</f>
        <v>1.2</v>
      </c>
      <c r="AM226" s="156">
        <f t="shared" si="73"/>
        <v>9.9999999999999995E-8</v>
      </c>
      <c r="AO226" s="140">
        <f t="shared" si="74"/>
        <v>1.9600000000000002E-5</v>
      </c>
      <c r="AP226">
        <v>1.96</v>
      </c>
      <c r="AQ226" s="140">
        <f t="shared" si="75"/>
        <v>1.9599999999999996E-7</v>
      </c>
      <c r="AR226" s="140">
        <f t="shared" si="76"/>
        <v>3.9199999999999996E-7</v>
      </c>
      <c r="AS226" s="140">
        <f t="shared" si="77"/>
        <v>5.8800000000000002E-7</v>
      </c>
      <c r="AT226" s="140">
        <f t="shared" si="78"/>
        <v>7.8400000000000014E-7</v>
      </c>
      <c r="AU226" s="140">
        <f t="shared" si="79"/>
        <v>9.8000000000000015E-7</v>
      </c>
      <c r="AV226" s="157">
        <f>IF(AO226&lt;$B$73*DATA!$H$1037,DATA!$H$1037,IF(AO226&gt;DATA!$H$1036*$B$73,DATA!$H$1036,1))</f>
        <v>1.2</v>
      </c>
      <c r="AW226" s="156">
        <f t="shared" si="80"/>
        <v>9.9999999999999995E-8</v>
      </c>
      <c r="AY226" s="140">
        <f t="shared" si="81"/>
        <v>1.9600000000000002E-5</v>
      </c>
      <c r="AZ226">
        <v>1.96</v>
      </c>
      <c r="BA226" s="140">
        <f t="shared" si="82"/>
        <v>1.9599999999999996E-7</v>
      </c>
      <c r="BB226" s="140">
        <f t="shared" si="83"/>
        <v>3.9199999999999996E-7</v>
      </c>
      <c r="BC226" s="140">
        <f t="shared" si="84"/>
        <v>5.8800000000000002E-7</v>
      </c>
      <c r="BD226" s="140">
        <f t="shared" si="85"/>
        <v>7.8400000000000014E-7</v>
      </c>
      <c r="BE226" s="140">
        <f t="shared" si="86"/>
        <v>9.8000000000000015E-7</v>
      </c>
      <c r="BF226" s="157">
        <f>IF(AY226&lt;$B$89*DATA!$H$1037,DATA!$H$1037,IF(AY226&gt;DATA!$H$1036*$B$89,DATA!$H$1036,1))</f>
        <v>1.2</v>
      </c>
      <c r="BG226" s="156">
        <f t="shared" si="87"/>
        <v>9.9999999999999995E-8</v>
      </c>
      <c r="BI226" s="140">
        <f t="shared" si="88"/>
        <v>1.9600000000000002E-5</v>
      </c>
      <c r="BJ226">
        <v>1.96</v>
      </c>
      <c r="BK226" s="140">
        <f t="shared" si="89"/>
        <v>1.9599999999999996E-7</v>
      </c>
      <c r="BL226" s="140">
        <f t="shared" si="90"/>
        <v>3.9199999999999996E-7</v>
      </c>
      <c r="BM226" s="140">
        <f t="shared" si="91"/>
        <v>5.8800000000000002E-7</v>
      </c>
      <c r="BN226" s="140">
        <f t="shared" si="92"/>
        <v>7.8400000000000014E-7</v>
      </c>
      <c r="BO226" s="140">
        <f t="shared" si="93"/>
        <v>9.8000000000000015E-7</v>
      </c>
      <c r="BP226" s="157">
        <f>IF(BI226&lt;$B$105*DATA!$H$1037,DATA!$H$1037,IF(BI226&gt;DATA!$H$1036*$B$105,DATA!$H$1036,1))</f>
        <v>1.2</v>
      </c>
      <c r="BQ226" s="156">
        <f t="shared" si="94"/>
        <v>9.9999999999999995E-8</v>
      </c>
    </row>
    <row r="227" spans="1:69">
      <c r="A227" s="140">
        <f t="shared" si="50"/>
        <v>1.98E-5</v>
      </c>
      <c r="B227">
        <v>1.98</v>
      </c>
      <c r="C227" s="140">
        <f t="shared" si="51"/>
        <v>1.9799999999999995E-7</v>
      </c>
      <c r="D227" s="140">
        <f t="shared" si="51"/>
        <v>3.9599999999999995E-7</v>
      </c>
      <c r="E227" s="140">
        <f t="shared" si="51"/>
        <v>5.9399999999999995E-7</v>
      </c>
      <c r="F227" s="140">
        <f t="shared" si="51"/>
        <v>7.92E-7</v>
      </c>
      <c r="G227" s="140">
        <f t="shared" si="51"/>
        <v>9.9000000000000005E-7</v>
      </c>
      <c r="H227" s="157">
        <f>IF(A227&lt;$B$9*DATA!$H$1037,DATA!$H$1037,IF(A227&gt;DATA!$H$1036*$B$9,DATA!$H$1036,1))</f>
        <v>0.8</v>
      </c>
      <c r="I227" s="156">
        <f t="shared" si="52"/>
        <v>9.9999999999999995E-8</v>
      </c>
      <c r="K227" s="140">
        <f t="shared" si="53"/>
        <v>1.98E-5</v>
      </c>
      <c r="L227">
        <v>1.98</v>
      </c>
      <c r="M227" s="140">
        <f t="shared" si="54"/>
        <v>1.9799999999999995E-7</v>
      </c>
      <c r="N227" s="140">
        <f t="shared" si="55"/>
        <v>3.9599999999999995E-7</v>
      </c>
      <c r="O227" s="140">
        <f t="shared" si="56"/>
        <v>5.9399999999999995E-7</v>
      </c>
      <c r="P227" s="140">
        <f t="shared" si="57"/>
        <v>7.92E-7</v>
      </c>
      <c r="Q227" s="140">
        <f t="shared" si="58"/>
        <v>9.9000000000000005E-7</v>
      </c>
      <c r="R227" s="157">
        <f>IF(K227&lt;$B$25*DATA!$H$1037,DATA!$H$1037,IF(K227&gt;DATA!$H$1036*$B$25,DATA!$H$1036,1))</f>
        <v>0.8</v>
      </c>
      <c r="S227" s="156">
        <f t="shared" si="59"/>
        <v>9.9999999999999995E-8</v>
      </c>
      <c r="U227" s="140">
        <f t="shared" si="60"/>
        <v>1.98E-5</v>
      </c>
      <c r="V227">
        <v>1.98</v>
      </c>
      <c r="W227" s="140">
        <f t="shared" si="61"/>
        <v>1.9799999999999995E-7</v>
      </c>
      <c r="X227" s="140">
        <f t="shared" si="62"/>
        <v>3.9599999999999995E-7</v>
      </c>
      <c r="Y227" s="140">
        <f t="shared" si="63"/>
        <v>5.9399999999999995E-7</v>
      </c>
      <c r="Z227" s="140">
        <f t="shared" si="64"/>
        <v>7.92E-7</v>
      </c>
      <c r="AA227" s="140">
        <f t="shared" si="65"/>
        <v>9.9000000000000005E-7</v>
      </c>
      <c r="AB227" s="157">
        <f>IF(U227&lt;$B$41*DATA!$H$1037,DATA!$H$1037,IF(U227&gt;DATA!$H$1036*$B$41,DATA!$H$1036,1))</f>
        <v>0.8</v>
      </c>
      <c r="AC227" s="156">
        <f t="shared" si="66"/>
        <v>9.9999999999999995E-8</v>
      </c>
      <c r="AE227" s="140">
        <f t="shared" si="67"/>
        <v>1.98E-5</v>
      </c>
      <c r="AF227">
        <v>1.98</v>
      </c>
      <c r="AG227" s="140">
        <f t="shared" si="68"/>
        <v>1.9799999999999995E-7</v>
      </c>
      <c r="AH227" s="140">
        <f t="shared" si="69"/>
        <v>3.9599999999999995E-7</v>
      </c>
      <c r="AI227" s="140">
        <f t="shared" si="70"/>
        <v>5.9399999999999995E-7</v>
      </c>
      <c r="AJ227" s="140">
        <f t="shared" si="71"/>
        <v>7.92E-7</v>
      </c>
      <c r="AK227" s="140">
        <f t="shared" si="72"/>
        <v>9.9000000000000005E-7</v>
      </c>
      <c r="AL227" s="157">
        <f>IF(AE227&lt;$B$57*DATA!$H$1037,DATA!$H$1037,IF(AE227&gt;DATA!$H$1036*$B$57,DATA!$H$1036,1))</f>
        <v>1.2</v>
      </c>
      <c r="AM227" s="156">
        <f t="shared" si="73"/>
        <v>9.9999999999999995E-8</v>
      </c>
      <c r="AO227" s="140">
        <f t="shared" si="74"/>
        <v>1.98E-5</v>
      </c>
      <c r="AP227">
        <v>1.98</v>
      </c>
      <c r="AQ227" s="140">
        <f t="shared" si="75"/>
        <v>1.9799999999999995E-7</v>
      </c>
      <c r="AR227" s="140">
        <f t="shared" si="76"/>
        <v>3.9599999999999995E-7</v>
      </c>
      <c r="AS227" s="140">
        <f t="shared" si="77"/>
        <v>5.9399999999999995E-7</v>
      </c>
      <c r="AT227" s="140">
        <f t="shared" si="78"/>
        <v>7.92E-7</v>
      </c>
      <c r="AU227" s="140">
        <f t="shared" si="79"/>
        <v>9.9000000000000005E-7</v>
      </c>
      <c r="AV227" s="157">
        <f>IF(AO227&lt;$B$73*DATA!$H$1037,DATA!$H$1037,IF(AO227&gt;DATA!$H$1036*$B$73,DATA!$H$1036,1))</f>
        <v>1.2</v>
      </c>
      <c r="AW227" s="156">
        <f t="shared" si="80"/>
        <v>9.9999999999999995E-8</v>
      </c>
      <c r="AY227" s="140">
        <f t="shared" si="81"/>
        <v>1.98E-5</v>
      </c>
      <c r="AZ227">
        <v>1.98</v>
      </c>
      <c r="BA227" s="140">
        <f t="shared" si="82"/>
        <v>1.9799999999999995E-7</v>
      </c>
      <c r="BB227" s="140">
        <f t="shared" si="83"/>
        <v>3.9599999999999995E-7</v>
      </c>
      <c r="BC227" s="140">
        <f t="shared" si="84"/>
        <v>5.9399999999999995E-7</v>
      </c>
      <c r="BD227" s="140">
        <f t="shared" si="85"/>
        <v>7.92E-7</v>
      </c>
      <c r="BE227" s="140">
        <f t="shared" si="86"/>
        <v>9.9000000000000005E-7</v>
      </c>
      <c r="BF227" s="157">
        <f>IF(AY227&lt;$B$89*DATA!$H$1037,DATA!$H$1037,IF(AY227&gt;DATA!$H$1036*$B$89,DATA!$H$1036,1))</f>
        <v>1.2</v>
      </c>
      <c r="BG227" s="156">
        <f t="shared" si="87"/>
        <v>9.9999999999999995E-8</v>
      </c>
      <c r="BI227" s="140">
        <f t="shared" si="88"/>
        <v>1.98E-5</v>
      </c>
      <c r="BJ227">
        <v>1.98</v>
      </c>
      <c r="BK227" s="140">
        <f t="shared" si="89"/>
        <v>1.9799999999999995E-7</v>
      </c>
      <c r="BL227" s="140">
        <f t="shared" si="90"/>
        <v>3.9599999999999995E-7</v>
      </c>
      <c r="BM227" s="140">
        <f t="shared" si="91"/>
        <v>5.9399999999999995E-7</v>
      </c>
      <c r="BN227" s="140">
        <f t="shared" si="92"/>
        <v>7.92E-7</v>
      </c>
      <c r="BO227" s="140">
        <f t="shared" si="93"/>
        <v>9.9000000000000005E-7</v>
      </c>
      <c r="BP227" s="157">
        <f>IF(BI227&lt;$B$105*DATA!$H$1037,DATA!$H$1037,IF(BI227&gt;DATA!$H$1036*$B$105,DATA!$H$1036,1))</f>
        <v>1.2</v>
      </c>
      <c r="BQ227" s="156">
        <f t="shared" si="94"/>
        <v>9.9999999999999995E-8</v>
      </c>
    </row>
    <row r="228" spans="1:69">
      <c r="A228" s="140">
        <f t="shared" si="50"/>
        <v>2.0000000000000002E-5</v>
      </c>
      <c r="B228">
        <v>2</v>
      </c>
      <c r="C228" s="140">
        <f t="shared" si="51"/>
        <v>1.9999999999999994E-7</v>
      </c>
      <c r="D228" s="140">
        <f t="shared" si="51"/>
        <v>3.9999999999999998E-7</v>
      </c>
      <c r="E228" s="140">
        <f t="shared" si="51"/>
        <v>6.0000000000000008E-7</v>
      </c>
      <c r="F228" s="140">
        <f t="shared" si="51"/>
        <v>8.0000000000000007E-7</v>
      </c>
      <c r="G228" s="140">
        <f t="shared" si="51"/>
        <v>1.0000000000000002E-6</v>
      </c>
      <c r="H228" s="157">
        <f>IF(A228&lt;$B$9*DATA!$H$1037,DATA!$H$1037,IF(A228&gt;DATA!$H$1036*$B$9,DATA!$H$1036,1))</f>
        <v>0.8</v>
      </c>
      <c r="I228" s="156">
        <f t="shared" si="52"/>
        <v>9.9999999999999995E-8</v>
      </c>
      <c r="K228" s="140">
        <f t="shared" si="53"/>
        <v>2.0000000000000002E-5</v>
      </c>
      <c r="L228">
        <v>2</v>
      </c>
      <c r="M228" s="140">
        <f t="shared" si="54"/>
        <v>1.9999999999999994E-7</v>
      </c>
      <c r="N228" s="140">
        <f t="shared" si="55"/>
        <v>3.9999999999999998E-7</v>
      </c>
      <c r="O228" s="140">
        <f t="shared" si="56"/>
        <v>6.0000000000000008E-7</v>
      </c>
      <c r="P228" s="140">
        <f t="shared" si="57"/>
        <v>8.0000000000000007E-7</v>
      </c>
      <c r="Q228" s="140">
        <f t="shared" si="58"/>
        <v>1.0000000000000002E-6</v>
      </c>
      <c r="R228" s="157">
        <f>IF(K228&lt;$B$25*DATA!$H$1037,DATA!$H$1037,IF(K228&gt;DATA!$H$1036*$B$25,DATA!$H$1036,1))</f>
        <v>0.8</v>
      </c>
      <c r="S228" s="156">
        <f t="shared" si="59"/>
        <v>9.9999999999999995E-8</v>
      </c>
      <c r="U228" s="140">
        <f t="shared" si="60"/>
        <v>2.0000000000000002E-5</v>
      </c>
      <c r="V228">
        <v>2</v>
      </c>
      <c r="W228" s="140">
        <f t="shared" si="61"/>
        <v>1.9999999999999994E-7</v>
      </c>
      <c r="X228" s="140">
        <f t="shared" si="62"/>
        <v>3.9999999999999998E-7</v>
      </c>
      <c r="Y228" s="140">
        <f t="shared" si="63"/>
        <v>6.0000000000000008E-7</v>
      </c>
      <c r="Z228" s="140">
        <f t="shared" si="64"/>
        <v>8.0000000000000007E-7</v>
      </c>
      <c r="AA228" s="140">
        <f t="shared" si="65"/>
        <v>1.0000000000000002E-6</v>
      </c>
      <c r="AB228" s="157">
        <f>IF(U228&lt;$B$41*DATA!$H$1037,DATA!$H$1037,IF(U228&gt;DATA!$H$1036*$B$41,DATA!$H$1036,1))</f>
        <v>0.8</v>
      </c>
      <c r="AC228" s="156">
        <f t="shared" si="66"/>
        <v>9.9999999999999995E-8</v>
      </c>
      <c r="AE228" s="140">
        <f t="shared" si="67"/>
        <v>2.0000000000000002E-5</v>
      </c>
      <c r="AF228">
        <v>2</v>
      </c>
      <c r="AG228" s="140">
        <f t="shared" si="68"/>
        <v>1.9999999999999994E-7</v>
      </c>
      <c r="AH228" s="140">
        <f t="shared" si="69"/>
        <v>3.9999999999999998E-7</v>
      </c>
      <c r="AI228" s="140">
        <f t="shared" si="70"/>
        <v>6.0000000000000008E-7</v>
      </c>
      <c r="AJ228" s="140">
        <f t="shared" si="71"/>
        <v>8.0000000000000007E-7</v>
      </c>
      <c r="AK228" s="140">
        <f t="shared" si="72"/>
        <v>1.0000000000000002E-6</v>
      </c>
      <c r="AL228" s="157">
        <f>IF(AE228&lt;$B$57*DATA!$H$1037,DATA!$H$1037,IF(AE228&gt;DATA!$H$1036*$B$57,DATA!$H$1036,1))</f>
        <v>1.2</v>
      </c>
      <c r="AM228" s="156">
        <f t="shared" si="73"/>
        <v>9.9999999999999995E-8</v>
      </c>
      <c r="AO228" s="140">
        <f t="shared" si="74"/>
        <v>2.0000000000000002E-5</v>
      </c>
      <c r="AP228">
        <v>2</v>
      </c>
      <c r="AQ228" s="140">
        <f t="shared" si="75"/>
        <v>1.9999999999999994E-7</v>
      </c>
      <c r="AR228" s="140">
        <f t="shared" si="76"/>
        <v>3.9999999999999998E-7</v>
      </c>
      <c r="AS228" s="140">
        <f t="shared" si="77"/>
        <v>6.0000000000000008E-7</v>
      </c>
      <c r="AT228" s="140">
        <f t="shared" si="78"/>
        <v>8.0000000000000007E-7</v>
      </c>
      <c r="AU228" s="140">
        <f t="shared" si="79"/>
        <v>1.0000000000000002E-6</v>
      </c>
      <c r="AV228" s="157">
        <f>IF(AO228&lt;$B$73*DATA!$H$1037,DATA!$H$1037,IF(AO228&gt;DATA!$H$1036*$B$73,DATA!$H$1036,1))</f>
        <v>1.2</v>
      </c>
      <c r="AW228" s="156">
        <f t="shared" si="80"/>
        <v>9.9999999999999995E-8</v>
      </c>
      <c r="AY228" s="140">
        <f t="shared" si="81"/>
        <v>2.0000000000000002E-5</v>
      </c>
      <c r="AZ228">
        <v>2</v>
      </c>
      <c r="BA228" s="140">
        <f t="shared" si="82"/>
        <v>1.9999999999999994E-7</v>
      </c>
      <c r="BB228" s="140">
        <f t="shared" si="83"/>
        <v>3.9999999999999998E-7</v>
      </c>
      <c r="BC228" s="140">
        <f t="shared" si="84"/>
        <v>6.0000000000000008E-7</v>
      </c>
      <c r="BD228" s="140">
        <f t="shared" si="85"/>
        <v>8.0000000000000007E-7</v>
      </c>
      <c r="BE228" s="140">
        <f t="shared" si="86"/>
        <v>1.0000000000000002E-6</v>
      </c>
      <c r="BF228" s="157">
        <f>IF(AY228&lt;$B$89*DATA!$H$1037,DATA!$H$1037,IF(AY228&gt;DATA!$H$1036*$B$89,DATA!$H$1036,1))</f>
        <v>1.2</v>
      </c>
      <c r="BG228" s="156">
        <f t="shared" si="87"/>
        <v>9.9999999999999995E-8</v>
      </c>
      <c r="BI228" s="140">
        <f t="shared" si="88"/>
        <v>2.0000000000000002E-5</v>
      </c>
      <c r="BJ228">
        <v>2</v>
      </c>
      <c r="BK228" s="140">
        <f t="shared" si="89"/>
        <v>1.9999999999999994E-7</v>
      </c>
      <c r="BL228" s="140">
        <f t="shared" si="90"/>
        <v>3.9999999999999998E-7</v>
      </c>
      <c r="BM228" s="140">
        <f t="shared" si="91"/>
        <v>6.0000000000000008E-7</v>
      </c>
      <c r="BN228" s="140">
        <f t="shared" si="92"/>
        <v>8.0000000000000007E-7</v>
      </c>
      <c r="BO228" s="140">
        <f t="shared" si="93"/>
        <v>1.0000000000000002E-6</v>
      </c>
      <c r="BP228" s="157">
        <f>IF(BI228&lt;$B$105*DATA!$H$1037,DATA!$H$1037,IF(BI228&gt;DATA!$H$1036*$B$105,DATA!$H$1036,1))</f>
        <v>1.2</v>
      </c>
      <c r="BQ228" s="156">
        <f t="shared" si="94"/>
        <v>9.9999999999999995E-8</v>
      </c>
    </row>
    <row r="229" spans="1:69">
      <c r="A229" s="140">
        <f t="shared" si="50"/>
        <v>2.0200000000000003E-5</v>
      </c>
      <c r="B229">
        <v>2.02</v>
      </c>
      <c r="C229" s="140">
        <f t="shared" si="51"/>
        <v>2.0199999999999996E-7</v>
      </c>
      <c r="D229" s="140">
        <f t="shared" si="51"/>
        <v>4.0400000000000002E-7</v>
      </c>
      <c r="E229" s="140">
        <f t="shared" si="51"/>
        <v>6.0600000000000011E-7</v>
      </c>
      <c r="F229" s="140">
        <f t="shared" si="51"/>
        <v>8.0800000000000014E-7</v>
      </c>
      <c r="G229" s="140">
        <f t="shared" si="51"/>
        <v>1.0100000000000003E-6</v>
      </c>
      <c r="H229" s="157">
        <f>IF(A229&lt;$B$9*DATA!$H$1037,DATA!$H$1037,IF(A229&gt;DATA!$H$1036*$B$9,DATA!$H$1036,1))</f>
        <v>0.8</v>
      </c>
      <c r="I229" s="156">
        <f t="shared" si="52"/>
        <v>9.9999999999999995E-8</v>
      </c>
      <c r="K229" s="140">
        <f t="shared" si="53"/>
        <v>2.0200000000000003E-5</v>
      </c>
      <c r="L229">
        <v>2.02</v>
      </c>
      <c r="M229" s="140">
        <f t="shared" si="54"/>
        <v>2.0199999999999996E-7</v>
      </c>
      <c r="N229" s="140">
        <f t="shared" si="55"/>
        <v>4.0400000000000002E-7</v>
      </c>
      <c r="O229" s="140">
        <f t="shared" si="56"/>
        <v>6.0600000000000011E-7</v>
      </c>
      <c r="P229" s="140">
        <f t="shared" si="57"/>
        <v>8.0800000000000014E-7</v>
      </c>
      <c r="Q229" s="140">
        <f t="shared" si="58"/>
        <v>1.0100000000000003E-6</v>
      </c>
      <c r="R229" s="157">
        <f>IF(K229&lt;$B$25*DATA!$H$1037,DATA!$H$1037,IF(K229&gt;DATA!$H$1036*$B$25,DATA!$H$1036,1))</f>
        <v>0.8</v>
      </c>
      <c r="S229" s="156">
        <f t="shared" si="59"/>
        <v>9.9999999999999995E-8</v>
      </c>
      <c r="U229" s="140">
        <f t="shared" si="60"/>
        <v>2.0200000000000003E-5</v>
      </c>
      <c r="V229">
        <v>2.02</v>
      </c>
      <c r="W229" s="140">
        <f t="shared" si="61"/>
        <v>2.0199999999999996E-7</v>
      </c>
      <c r="X229" s="140">
        <f t="shared" si="62"/>
        <v>4.0400000000000002E-7</v>
      </c>
      <c r="Y229" s="140">
        <f t="shared" si="63"/>
        <v>6.0600000000000011E-7</v>
      </c>
      <c r="Z229" s="140">
        <f t="shared" si="64"/>
        <v>8.0800000000000014E-7</v>
      </c>
      <c r="AA229" s="140">
        <f t="shared" si="65"/>
        <v>1.0100000000000003E-6</v>
      </c>
      <c r="AB229" s="157">
        <f>IF(U229&lt;$B$41*DATA!$H$1037,DATA!$H$1037,IF(U229&gt;DATA!$H$1036*$B$41,DATA!$H$1036,1))</f>
        <v>0.8</v>
      </c>
      <c r="AC229" s="156">
        <f t="shared" si="66"/>
        <v>9.9999999999999995E-8</v>
      </c>
      <c r="AE229" s="140">
        <f t="shared" si="67"/>
        <v>2.0200000000000003E-5</v>
      </c>
      <c r="AF229">
        <v>2.02</v>
      </c>
      <c r="AG229" s="140">
        <f t="shared" si="68"/>
        <v>2.0199999999999996E-7</v>
      </c>
      <c r="AH229" s="140">
        <f t="shared" si="69"/>
        <v>4.0400000000000002E-7</v>
      </c>
      <c r="AI229" s="140">
        <f t="shared" si="70"/>
        <v>6.0600000000000011E-7</v>
      </c>
      <c r="AJ229" s="140">
        <f t="shared" si="71"/>
        <v>8.0800000000000014E-7</v>
      </c>
      <c r="AK229" s="140">
        <f t="shared" si="72"/>
        <v>1.0100000000000003E-6</v>
      </c>
      <c r="AL229" s="157">
        <f>IF(AE229&lt;$B$57*DATA!$H$1037,DATA!$H$1037,IF(AE229&gt;DATA!$H$1036*$B$57,DATA!$H$1036,1))</f>
        <v>1.2</v>
      </c>
      <c r="AM229" s="156">
        <f t="shared" si="73"/>
        <v>9.9999999999999995E-8</v>
      </c>
      <c r="AO229" s="140">
        <f t="shared" si="74"/>
        <v>2.0200000000000003E-5</v>
      </c>
      <c r="AP229">
        <v>2.02</v>
      </c>
      <c r="AQ229" s="140">
        <f t="shared" si="75"/>
        <v>2.0199999999999996E-7</v>
      </c>
      <c r="AR229" s="140">
        <f t="shared" si="76"/>
        <v>4.0400000000000002E-7</v>
      </c>
      <c r="AS229" s="140">
        <f t="shared" si="77"/>
        <v>6.0600000000000011E-7</v>
      </c>
      <c r="AT229" s="140">
        <f t="shared" si="78"/>
        <v>8.0800000000000014E-7</v>
      </c>
      <c r="AU229" s="140">
        <f t="shared" si="79"/>
        <v>1.0100000000000003E-6</v>
      </c>
      <c r="AV229" s="157">
        <f>IF(AO229&lt;$B$73*DATA!$H$1037,DATA!$H$1037,IF(AO229&gt;DATA!$H$1036*$B$73,DATA!$H$1036,1))</f>
        <v>1.2</v>
      </c>
      <c r="AW229" s="156">
        <f t="shared" si="80"/>
        <v>9.9999999999999995E-8</v>
      </c>
      <c r="AY229" s="140">
        <f t="shared" si="81"/>
        <v>2.0200000000000003E-5</v>
      </c>
      <c r="AZ229">
        <v>2.02</v>
      </c>
      <c r="BA229" s="140">
        <f t="shared" si="82"/>
        <v>2.0199999999999996E-7</v>
      </c>
      <c r="BB229" s="140">
        <f t="shared" si="83"/>
        <v>4.0400000000000002E-7</v>
      </c>
      <c r="BC229" s="140">
        <f t="shared" si="84"/>
        <v>6.0600000000000011E-7</v>
      </c>
      <c r="BD229" s="140">
        <f t="shared" si="85"/>
        <v>8.0800000000000014E-7</v>
      </c>
      <c r="BE229" s="140">
        <f t="shared" si="86"/>
        <v>1.0100000000000003E-6</v>
      </c>
      <c r="BF229" s="157">
        <f>IF(AY229&lt;$B$89*DATA!$H$1037,DATA!$H$1037,IF(AY229&gt;DATA!$H$1036*$B$89,DATA!$H$1036,1))</f>
        <v>1.2</v>
      </c>
      <c r="BG229" s="156">
        <f t="shared" si="87"/>
        <v>9.9999999999999995E-8</v>
      </c>
      <c r="BI229" s="140">
        <f t="shared" si="88"/>
        <v>2.0200000000000003E-5</v>
      </c>
      <c r="BJ229">
        <v>2.02</v>
      </c>
      <c r="BK229" s="140">
        <f t="shared" si="89"/>
        <v>2.0199999999999996E-7</v>
      </c>
      <c r="BL229" s="140">
        <f t="shared" si="90"/>
        <v>4.0400000000000002E-7</v>
      </c>
      <c r="BM229" s="140">
        <f t="shared" si="91"/>
        <v>6.0600000000000011E-7</v>
      </c>
      <c r="BN229" s="140">
        <f t="shared" si="92"/>
        <v>8.0800000000000014E-7</v>
      </c>
      <c r="BO229" s="140">
        <f t="shared" si="93"/>
        <v>1.0100000000000003E-6</v>
      </c>
      <c r="BP229" s="157">
        <f>IF(BI229&lt;$B$105*DATA!$H$1037,DATA!$H$1037,IF(BI229&gt;DATA!$H$1036*$B$105,DATA!$H$1036,1))</f>
        <v>1.2</v>
      </c>
      <c r="BQ229" s="156">
        <f t="shared" si="94"/>
        <v>9.9999999999999995E-8</v>
      </c>
    </row>
    <row r="230" spans="1:69">
      <c r="A230" s="140">
        <f t="shared" si="50"/>
        <v>2.0400000000000001E-5</v>
      </c>
      <c r="B230">
        <v>2.04</v>
      </c>
      <c r="C230" s="140">
        <f t="shared" si="51"/>
        <v>2.0399999999999995E-7</v>
      </c>
      <c r="D230" s="140">
        <f t="shared" si="51"/>
        <v>4.0799999999999995E-7</v>
      </c>
      <c r="E230" s="140">
        <f t="shared" si="51"/>
        <v>6.1200000000000003E-7</v>
      </c>
      <c r="F230" s="140">
        <f t="shared" si="51"/>
        <v>8.1600000000000011E-7</v>
      </c>
      <c r="G230" s="140">
        <f t="shared" si="51"/>
        <v>1.0200000000000002E-6</v>
      </c>
      <c r="H230" s="157">
        <f>IF(A230&lt;$B$9*DATA!$H$1037,DATA!$H$1037,IF(A230&gt;DATA!$H$1036*$B$9,DATA!$H$1036,1))</f>
        <v>0.8</v>
      </c>
      <c r="I230" s="156">
        <f t="shared" si="52"/>
        <v>9.9999999999999995E-8</v>
      </c>
      <c r="K230" s="140">
        <f t="shared" si="53"/>
        <v>2.0400000000000001E-5</v>
      </c>
      <c r="L230">
        <v>2.04</v>
      </c>
      <c r="M230" s="140">
        <f t="shared" si="54"/>
        <v>2.0399999999999995E-7</v>
      </c>
      <c r="N230" s="140">
        <f t="shared" si="55"/>
        <v>4.0799999999999995E-7</v>
      </c>
      <c r="O230" s="140">
        <f t="shared" si="56"/>
        <v>6.1200000000000003E-7</v>
      </c>
      <c r="P230" s="140">
        <f t="shared" si="57"/>
        <v>8.1600000000000011E-7</v>
      </c>
      <c r="Q230" s="140">
        <f t="shared" si="58"/>
        <v>1.0200000000000002E-6</v>
      </c>
      <c r="R230" s="157">
        <f>IF(K230&lt;$B$25*DATA!$H$1037,DATA!$H$1037,IF(K230&gt;DATA!$H$1036*$B$25,DATA!$H$1036,1))</f>
        <v>0.8</v>
      </c>
      <c r="S230" s="156">
        <f t="shared" si="59"/>
        <v>9.9999999999999995E-8</v>
      </c>
      <c r="U230" s="140">
        <f t="shared" si="60"/>
        <v>2.0400000000000001E-5</v>
      </c>
      <c r="V230">
        <v>2.04</v>
      </c>
      <c r="W230" s="140">
        <f t="shared" si="61"/>
        <v>2.0399999999999995E-7</v>
      </c>
      <c r="X230" s="140">
        <f t="shared" si="62"/>
        <v>4.0799999999999995E-7</v>
      </c>
      <c r="Y230" s="140">
        <f t="shared" si="63"/>
        <v>6.1200000000000003E-7</v>
      </c>
      <c r="Z230" s="140">
        <f t="shared" si="64"/>
        <v>8.1600000000000011E-7</v>
      </c>
      <c r="AA230" s="140">
        <f t="shared" si="65"/>
        <v>1.0200000000000002E-6</v>
      </c>
      <c r="AB230" s="157">
        <f>IF(U230&lt;$B$41*DATA!$H$1037,DATA!$H$1037,IF(U230&gt;DATA!$H$1036*$B$41,DATA!$H$1036,1))</f>
        <v>0.8</v>
      </c>
      <c r="AC230" s="156">
        <f t="shared" si="66"/>
        <v>9.9999999999999995E-8</v>
      </c>
      <c r="AE230" s="140">
        <f t="shared" si="67"/>
        <v>2.0400000000000001E-5</v>
      </c>
      <c r="AF230">
        <v>2.04</v>
      </c>
      <c r="AG230" s="140">
        <f t="shared" si="68"/>
        <v>2.0399999999999995E-7</v>
      </c>
      <c r="AH230" s="140">
        <f t="shared" si="69"/>
        <v>4.0799999999999995E-7</v>
      </c>
      <c r="AI230" s="140">
        <f t="shared" si="70"/>
        <v>6.1200000000000003E-7</v>
      </c>
      <c r="AJ230" s="140">
        <f t="shared" si="71"/>
        <v>8.1600000000000011E-7</v>
      </c>
      <c r="AK230" s="140">
        <f t="shared" si="72"/>
        <v>1.0200000000000002E-6</v>
      </c>
      <c r="AL230" s="157">
        <f>IF(AE230&lt;$B$57*DATA!$H$1037,DATA!$H$1037,IF(AE230&gt;DATA!$H$1036*$B$57,DATA!$H$1036,1))</f>
        <v>1.2</v>
      </c>
      <c r="AM230" s="156">
        <f t="shared" si="73"/>
        <v>9.9999999999999995E-8</v>
      </c>
      <c r="AO230" s="140">
        <f t="shared" si="74"/>
        <v>2.0400000000000001E-5</v>
      </c>
      <c r="AP230">
        <v>2.04</v>
      </c>
      <c r="AQ230" s="140">
        <f t="shared" si="75"/>
        <v>2.0399999999999995E-7</v>
      </c>
      <c r="AR230" s="140">
        <f t="shared" si="76"/>
        <v>4.0799999999999995E-7</v>
      </c>
      <c r="AS230" s="140">
        <f t="shared" si="77"/>
        <v>6.1200000000000003E-7</v>
      </c>
      <c r="AT230" s="140">
        <f t="shared" si="78"/>
        <v>8.1600000000000011E-7</v>
      </c>
      <c r="AU230" s="140">
        <f t="shared" si="79"/>
        <v>1.0200000000000002E-6</v>
      </c>
      <c r="AV230" s="157">
        <f>IF(AO230&lt;$B$73*DATA!$H$1037,DATA!$H$1037,IF(AO230&gt;DATA!$H$1036*$B$73,DATA!$H$1036,1))</f>
        <v>1.2</v>
      </c>
      <c r="AW230" s="156">
        <f t="shared" si="80"/>
        <v>9.9999999999999995E-8</v>
      </c>
      <c r="AY230" s="140">
        <f t="shared" si="81"/>
        <v>2.0400000000000001E-5</v>
      </c>
      <c r="AZ230">
        <v>2.04</v>
      </c>
      <c r="BA230" s="140">
        <f t="shared" si="82"/>
        <v>2.0399999999999995E-7</v>
      </c>
      <c r="BB230" s="140">
        <f t="shared" si="83"/>
        <v>4.0799999999999995E-7</v>
      </c>
      <c r="BC230" s="140">
        <f t="shared" si="84"/>
        <v>6.1200000000000003E-7</v>
      </c>
      <c r="BD230" s="140">
        <f t="shared" si="85"/>
        <v>8.1600000000000011E-7</v>
      </c>
      <c r="BE230" s="140">
        <f t="shared" si="86"/>
        <v>1.0200000000000002E-6</v>
      </c>
      <c r="BF230" s="157">
        <f>IF(AY230&lt;$B$89*DATA!$H$1037,DATA!$H$1037,IF(AY230&gt;DATA!$H$1036*$B$89,DATA!$H$1036,1))</f>
        <v>1.2</v>
      </c>
      <c r="BG230" s="156">
        <f t="shared" si="87"/>
        <v>9.9999999999999995E-8</v>
      </c>
      <c r="BI230" s="140">
        <f t="shared" si="88"/>
        <v>2.0400000000000001E-5</v>
      </c>
      <c r="BJ230">
        <v>2.04</v>
      </c>
      <c r="BK230" s="140">
        <f t="shared" si="89"/>
        <v>2.0399999999999995E-7</v>
      </c>
      <c r="BL230" s="140">
        <f t="shared" si="90"/>
        <v>4.0799999999999995E-7</v>
      </c>
      <c r="BM230" s="140">
        <f t="shared" si="91"/>
        <v>6.1200000000000003E-7</v>
      </c>
      <c r="BN230" s="140">
        <f t="shared" si="92"/>
        <v>8.1600000000000011E-7</v>
      </c>
      <c r="BO230" s="140">
        <f t="shared" si="93"/>
        <v>1.0200000000000002E-6</v>
      </c>
      <c r="BP230" s="157">
        <f>IF(BI230&lt;$B$105*DATA!$H$1037,DATA!$H$1037,IF(BI230&gt;DATA!$H$1036*$B$105,DATA!$H$1036,1))</f>
        <v>1.2</v>
      </c>
      <c r="BQ230" s="156">
        <f t="shared" si="94"/>
        <v>9.9999999999999995E-8</v>
      </c>
    </row>
    <row r="231" spans="1:69">
      <c r="A231" s="140">
        <f t="shared" si="50"/>
        <v>2.0600000000000003E-5</v>
      </c>
      <c r="B231">
        <v>2.06</v>
      </c>
      <c r="C231" s="140">
        <f t="shared" si="51"/>
        <v>2.0599999999999997E-7</v>
      </c>
      <c r="D231" s="140">
        <f t="shared" si="51"/>
        <v>4.1199999999999998E-7</v>
      </c>
      <c r="E231" s="140">
        <f t="shared" si="51"/>
        <v>6.1800000000000005E-7</v>
      </c>
      <c r="F231" s="140">
        <f t="shared" si="51"/>
        <v>8.2400000000000007E-7</v>
      </c>
      <c r="G231" s="140">
        <f t="shared" si="51"/>
        <v>1.0300000000000001E-6</v>
      </c>
      <c r="H231" s="157">
        <f>IF(A231&lt;$B$9*DATA!$H$1037,DATA!$H$1037,IF(A231&gt;DATA!$H$1036*$B$9,DATA!$H$1036,1))</f>
        <v>0.8</v>
      </c>
      <c r="I231" s="156">
        <f t="shared" si="52"/>
        <v>9.9999999999999995E-8</v>
      </c>
      <c r="K231" s="140">
        <f t="shared" si="53"/>
        <v>2.0600000000000003E-5</v>
      </c>
      <c r="L231">
        <v>2.06</v>
      </c>
      <c r="M231" s="140">
        <f t="shared" si="54"/>
        <v>2.0599999999999997E-7</v>
      </c>
      <c r="N231" s="140">
        <f t="shared" si="55"/>
        <v>4.1199999999999998E-7</v>
      </c>
      <c r="O231" s="140">
        <f t="shared" si="56"/>
        <v>6.1800000000000005E-7</v>
      </c>
      <c r="P231" s="140">
        <f t="shared" si="57"/>
        <v>8.2400000000000007E-7</v>
      </c>
      <c r="Q231" s="140">
        <f t="shared" si="58"/>
        <v>1.0300000000000001E-6</v>
      </c>
      <c r="R231" s="157">
        <f>IF(K231&lt;$B$25*DATA!$H$1037,DATA!$H$1037,IF(K231&gt;DATA!$H$1036*$B$25,DATA!$H$1036,1))</f>
        <v>0.8</v>
      </c>
      <c r="S231" s="156">
        <f t="shared" si="59"/>
        <v>9.9999999999999995E-8</v>
      </c>
      <c r="U231" s="140">
        <f t="shared" si="60"/>
        <v>2.0600000000000003E-5</v>
      </c>
      <c r="V231">
        <v>2.06</v>
      </c>
      <c r="W231" s="140">
        <f t="shared" si="61"/>
        <v>2.0599999999999997E-7</v>
      </c>
      <c r="X231" s="140">
        <f t="shared" si="62"/>
        <v>4.1199999999999998E-7</v>
      </c>
      <c r="Y231" s="140">
        <f t="shared" si="63"/>
        <v>6.1800000000000005E-7</v>
      </c>
      <c r="Z231" s="140">
        <f t="shared" si="64"/>
        <v>8.2400000000000007E-7</v>
      </c>
      <c r="AA231" s="140">
        <f t="shared" si="65"/>
        <v>1.0300000000000001E-6</v>
      </c>
      <c r="AB231" s="157">
        <f>IF(U231&lt;$B$41*DATA!$H$1037,DATA!$H$1037,IF(U231&gt;DATA!$H$1036*$B$41,DATA!$H$1036,1))</f>
        <v>0.8</v>
      </c>
      <c r="AC231" s="156">
        <f t="shared" si="66"/>
        <v>9.9999999999999995E-8</v>
      </c>
      <c r="AE231" s="140">
        <f t="shared" si="67"/>
        <v>2.0600000000000003E-5</v>
      </c>
      <c r="AF231">
        <v>2.06</v>
      </c>
      <c r="AG231" s="140">
        <f t="shared" si="68"/>
        <v>2.0599999999999997E-7</v>
      </c>
      <c r="AH231" s="140">
        <f t="shared" si="69"/>
        <v>4.1199999999999998E-7</v>
      </c>
      <c r="AI231" s="140">
        <f t="shared" si="70"/>
        <v>6.1800000000000005E-7</v>
      </c>
      <c r="AJ231" s="140">
        <f t="shared" si="71"/>
        <v>8.2400000000000007E-7</v>
      </c>
      <c r="AK231" s="140">
        <f t="shared" si="72"/>
        <v>1.0300000000000001E-6</v>
      </c>
      <c r="AL231" s="157">
        <f>IF(AE231&lt;$B$57*DATA!$H$1037,DATA!$H$1037,IF(AE231&gt;DATA!$H$1036*$B$57,DATA!$H$1036,1))</f>
        <v>1.2</v>
      </c>
      <c r="AM231" s="156">
        <f t="shared" si="73"/>
        <v>9.9999999999999995E-8</v>
      </c>
      <c r="AO231" s="140">
        <f t="shared" si="74"/>
        <v>2.0600000000000003E-5</v>
      </c>
      <c r="AP231">
        <v>2.06</v>
      </c>
      <c r="AQ231" s="140">
        <f t="shared" si="75"/>
        <v>2.0599999999999997E-7</v>
      </c>
      <c r="AR231" s="140">
        <f t="shared" si="76"/>
        <v>4.1199999999999998E-7</v>
      </c>
      <c r="AS231" s="140">
        <f t="shared" si="77"/>
        <v>6.1800000000000005E-7</v>
      </c>
      <c r="AT231" s="140">
        <f t="shared" si="78"/>
        <v>8.2400000000000007E-7</v>
      </c>
      <c r="AU231" s="140">
        <f t="shared" si="79"/>
        <v>1.0300000000000001E-6</v>
      </c>
      <c r="AV231" s="157">
        <f>IF(AO231&lt;$B$73*DATA!$H$1037,DATA!$H$1037,IF(AO231&gt;DATA!$H$1036*$B$73,DATA!$H$1036,1))</f>
        <v>1.2</v>
      </c>
      <c r="AW231" s="156">
        <f t="shared" si="80"/>
        <v>9.9999999999999995E-8</v>
      </c>
      <c r="AY231" s="140">
        <f t="shared" si="81"/>
        <v>2.0600000000000003E-5</v>
      </c>
      <c r="AZ231">
        <v>2.06</v>
      </c>
      <c r="BA231" s="140">
        <f t="shared" si="82"/>
        <v>2.0599999999999997E-7</v>
      </c>
      <c r="BB231" s="140">
        <f t="shared" si="83"/>
        <v>4.1199999999999998E-7</v>
      </c>
      <c r="BC231" s="140">
        <f t="shared" si="84"/>
        <v>6.1800000000000005E-7</v>
      </c>
      <c r="BD231" s="140">
        <f t="shared" si="85"/>
        <v>8.2400000000000007E-7</v>
      </c>
      <c r="BE231" s="140">
        <f t="shared" si="86"/>
        <v>1.0300000000000001E-6</v>
      </c>
      <c r="BF231" s="157">
        <f>IF(AY231&lt;$B$89*DATA!$H$1037,DATA!$H$1037,IF(AY231&gt;DATA!$H$1036*$B$89,DATA!$H$1036,1))</f>
        <v>1.2</v>
      </c>
      <c r="BG231" s="156">
        <f t="shared" si="87"/>
        <v>9.9999999999999995E-8</v>
      </c>
      <c r="BI231" s="140">
        <f t="shared" si="88"/>
        <v>2.0600000000000003E-5</v>
      </c>
      <c r="BJ231">
        <v>2.06</v>
      </c>
      <c r="BK231" s="140">
        <f t="shared" si="89"/>
        <v>2.0599999999999997E-7</v>
      </c>
      <c r="BL231" s="140">
        <f t="shared" si="90"/>
        <v>4.1199999999999998E-7</v>
      </c>
      <c r="BM231" s="140">
        <f t="shared" si="91"/>
        <v>6.1800000000000005E-7</v>
      </c>
      <c r="BN231" s="140">
        <f t="shared" si="92"/>
        <v>8.2400000000000007E-7</v>
      </c>
      <c r="BO231" s="140">
        <f t="shared" si="93"/>
        <v>1.0300000000000001E-6</v>
      </c>
      <c r="BP231" s="157">
        <f>IF(BI231&lt;$B$105*DATA!$H$1037,DATA!$H$1037,IF(BI231&gt;DATA!$H$1036*$B$105,DATA!$H$1036,1))</f>
        <v>1.2</v>
      </c>
      <c r="BQ231" s="156">
        <f t="shared" si="94"/>
        <v>9.9999999999999995E-8</v>
      </c>
    </row>
    <row r="232" spans="1:69">
      <c r="A232" s="140">
        <f t="shared" si="50"/>
        <v>2.0800000000000001E-5</v>
      </c>
      <c r="B232">
        <v>2.08</v>
      </c>
      <c r="C232" s="140">
        <f t="shared" si="51"/>
        <v>2.0799999999999993E-7</v>
      </c>
      <c r="D232" s="140">
        <f t="shared" si="51"/>
        <v>4.1599999999999997E-7</v>
      </c>
      <c r="E232" s="140">
        <f t="shared" si="51"/>
        <v>6.2399999999999998E-7</v>
      </c>
      <c r="F232" s="140">
        <f t="shared" si="51"/>
        <v>8.3200000000000004E-7</v>
      </c>
      <c r="G232" s="140">
        <f t="shared" si="51"/>
        <v>1.04E-6</v>
      </c>
      <c r="H232" s="157">
        <f>IF(A232&lt;$B$9*DATA!$H$1037,DATA!$H$1037,IF(A232&gt;DATA!$H$1036*$B$9,DATA!$H$1036,1))</f>
        <v>0.8</v>
      </c>
      <c r="I232" s="156">
        <f t="shared" si="52"/>
        <v>9.9999999999999995E-8</v>
      </c>
      <c r="K232" s="140">
        <f t="shared" si="53"/>
        <v>2.0800000000000001E-5</v>
      </c>
      <c r="L232">
        <v>2.08</v>
      </c>
      <c r="M232" s="140">
        <f t="shared" si="54"/>
        <v>2.0799999999999993E-7</v>
      </c>
      <c r="N232" s="140">
        <f t="shared" si="55"/>
        <v>4.1599999999999997E-7</v>
      </c>
      <c r="O232" s="140">
        <f t="shared" si="56"/>
        <v>6.2399999999999998E-7</v>
      </c>
      <c r="P232" s="140">
        <f t="shared" si="57"/>
        <v>8.3200000000000004E-7</v>
      </c>
      <c r="Q232" s="140">
        <f t="shared" si="58"/>
        <v>1.04E-6</v>
      </c>
      <c r="R232" s="157">
        <f>IF(K232&lt;$B$25*DATA!$H$1037,DATA!$H$1037,IF(K232&gt;DATA!$H$1036*$B$25,DATA!$H$1036,1))</f>
        <v>0.8</v>
      </c>
      <c r="S232" s="156">
        <f t="shared" si="59"/>
        <v>9.9999999999999995E-8</v>
      </c>
      <c r="U232" s="140">
        <f t="shared" si="60"/>
        <v>2.0800000000000001E-5</v>
      </c>
      <c r="V232">
        <v>2.08</v>
      </c>
      <c r="W232" s="140">
        <f t="shared" si="61"/>
        <v>2.0799999999999993E-7</v>
      </c>
      <c r="X232" s="140">
        <f t="shared" si="62"/>
        <v>4.1599999999999997E-7</v>
      </c>
      <c r="Y232" s="140">
        <f t="shared" si="63"/>
        <v>6.2399999999999998E-7</v>
      </c>
      <c r="Z232" s="140">
        <f t="shared" si="64"/>
        <v>8.3200000000000004E-7</v>
      </c>
      <c r="AA232" s="140">
        <f t="shared" si="65"/>
        <v>1.04E-6</v>
      </c>
      <c r="AB232" s="157">
        <f>IF(U232&lt;$B$41*DATA!$H$1037,DATA!$H$1037,IF(U232&gt;DATA!$H$1036*$B$41,DATA!$H$1036,1))</f>
        <v>0.8</v>
      </c>
      <c r="AC232" s="156">
        <f t="shared" si="66"/>
        <v>9.9999999999999995E-8</v>
      </c>
      <c r="AE232" s="140">
        <f t="shared" si="67"/>
        <v>2.0800000000000001E-5</v>
      </c>
      <c r="AF232">
        <v>2.08</v>
      </c>
      <c r="AG232" s="140">
        <f t="shared" si="68"/>
        <v>2.0799999999999993E-7</v>
      </c>
      <c r="AH232" s="140">
        <f t="shared" si="69"/>
        <v>4.1599999999999997E-7</v>
      </c>
      <c r="AI232" s="140">
        <f t="shared" si="70"/>
        <v>6.2399999999999998E-7</v>
      </c>
      <c r="AJ232" s="140">
        <f t="shared" si="71"/>
        <v>8.3200000000000004E-7</v>
      </c>
      <c r="AK232" s="140">
        <f t="shared" si="72"/>
        <v>1.04E-6</v>
      </c>
      <c r="AL232" s="157">
        <f>IF(AE232&lt;$B$57*DATA!$H$1037,DATA!$H$1037,IF(AE232&gt;DATA!$H$1036*$B$57,DATA!$H$1036,1))</f>
        <v>1.2</v>
      </c>
      <c r="AM232" s="156">
        <f t="shared" si="73"/>
        <v>9.9999999999999995E-8</v>
      </c>
      <c r="AO232" s="140">
        <f t="shared" si="74"/>
        <v>2.0800000000000001E-5</v>
      </c>
      <c r="AP232">
        <v>2.08</v>
      </c>
      <c r="AQ232" s="140">
        <f t="shared" si="75"/>
        <v>2.0799999999999993E-7</v>
      </c>
      <c r="AR232" s="140">
        <f t="shared" si="76"/>
        <v>4.1599999999999997E-7</v>
      </c>
      <c r="AS232" s="140">
        <f t="shared" si="77"/>
        <v>6.2399999999999998E-7</v>
      </c>
      <c r="AT232" s="140">
        <f t="shared" si="78"/>
        <v>8.3200000000000004E-7</v>
      </c>
      <c r="AU232" s="140">
        <f t="shared" si="79"/>
        <v>1.04E-6</v>
      </c>
      <c r="AV232" s="157">
        <f>IF(AO232&lt;$B$73*DATA!$H$1037,DATA!$H$1037,IF(AO232&gt;DATA!$H$1036*$B$73,DATA!$H$1036,1))</f>
        <v>1.2</v>
      </c>
      <c r="AW232" s="156">
        <f t="shared" si="80"/>
        <v>9.9999999999999995E-8</v>
      </c>
      <c r="AY232" s="140">
        <f t="shared" si="81"/>
        <v>2.0800000000000001E-5</v>
      </c>
      <c r="AZ232">
        <v>2.08</v>
      </c>
      <c r="BA232" s="140">
        <f t="shared" si="82"/>
        <v>2.0799999999999993E-7</v>
      </c>
      <c r="BB232" s="140">
        <f t="shared" si="83"/>
        <v>4.1599999999999997E-7</v>
      </c>
      <c r="BC232" s="140">
        <f t="shared" si="84"/>
        <v>6.2399999999999998E-7</v>
      </c>
      <c r="BD232" s="140">
        <f t="shared" si="85"/>
        <v>8.3200000000000004E-7</v>
      </c>
      <c r="BE232" s="140">
        <f t="shared" si="86"/>
        <v>1.04E-6</v>
      </c>
      <c r="BF232" s="157">
        <f>IF(AY232&lt;$B$89*DATA!$H$1037,DATA!$H$1037,IF(AY232&gt;DATA!$H$1036*$B$89,DATA!$H$1036,1))</f>
        <v>1.2</v>
      </c>
      <c r="BG232" s="156">
        <f t="shared" si="87"/>
        <v>9.9999999999999995E-8</v>
      </c>
      <c r="BI232" s="140">
        <f t="shared" si="88"/>
        <v>2.0800000000000001E-5</v>
      </c>
      <c r="BJ232">
        <v>2.08</v>
      </c>
      <c r="BK232" s="140">
        <f t="shared" si="89"/>
        <v>2.0799999999999993E-7</v>
      </c>
      <c r="BL232" s="140">
        <f t="shared" si="90"/>
        <v>4.1599999999999997E-7</v>
      </c>
      <c r="BM232" s="140">
        <f t="shared" si="91"/>
        <v>6.2399999999999998E-7</v>
      </c>
      <c r="BN232" s="140">
        <f t="shared" si="92"/>
        <v>8.3200000000000004E-7</v>
      </c>
      <c r="BO232" s="140">
        <f t="shared" si="93"/>
        <v>1.04E-6</v>
      </c>
      <c r="BP232" s="157">
        <f>IF(BI232&lt;$B$105*DATA!$H$1037,DATA!$H$1037,IF(BI232&gt;DATA!$H$1036*$B$105,DATA!$H$1036,1))</f>
        <v>1.2</v>
      </c>
      <c r="BQ232" s="156">
        <f t="shared" si="94"/>
        <v>9.9999999999999995E-8</v>
      </c>
    </row>
    <row r="233" spans="1:69">
      <c r="A233" s="140">
        <f t="shared" si="50"/>
        <v>2.1000000000000002E-5</v>
      </c>
      <c r="B233">
        <v>2.1</v>
      </c>
      <c r="C233" s="140">
        <f t="shared" si="51"/>
        <v>2.0999999999999995E-7</v>
      </c>
      <c r="D233" s="140">
        <f t="shared" si="51"/>
        <v>4.2E-7</v>
      </c>
      <c r="E233" s="140">
        <f t="shared" si="51"/>
        <v>6.3E-7</v>
      </c>
      <c r="F233" s="140">
        <f t="shared" si="51"/>
        <v>8.4000000000000011E-7</v>
      </c>
      <c r="G233" s="140">
        <f t="shared" si="51"/>
        <v>1.0500000000000001E-6</v>
      </c>
      <c r="H233" s="157">
        <f>IF(A233&lt;$B$9*DATA!$H$1037,DATA!$H$1037,IF(A233&gt;DATA!$H$1036*$B$9,DATA!$H$1036,1))</f>
        <v>0.8</v>
      </c>
      <c r="I233" s="156">
        <f t="shared" si="52"/>
        <v>9.9999999999999995E-8</v>
      </c>
      <c r="K233" s="140">
        <f t="shared" si="53"/>
        <v>2.1000000000000002E-5</v>
      </c>
      <c r="L233">
        <v>2.1</v>
      </c>
      <c r="M233" s="140">
        <f t="shared" si="54"/>
        <v>2.0999999999999995E-7</v>
      </c>
      <c r="N233" s="140">
        <f t="shared" si="55"/>
        <v>4.2E-7</v>
      </c>
      <c r="O233" s="140">
        <f t="shared" si="56"/>
        <v>6.3E-7</v>
      </c>
      <c r="P233" s="140">
        <f t="shared" si="57"/>
        <v>8.4000000000000011E-7</v>
      </c>
      <c r="Q233" s="140">
        <f t="shared" si="58"/>
        <v>1.0500000000000001E-6</v>
      </c>
      <c r="R233" s="157">
        <f>IF(K233&lt;$B$25*DATA!$H$1037,DATA!$H$1037,IF(K233&gt;DATA!$H$1036*$B$25,DATA!$H$1036,1))</f>
        <v>0.8</v>
      </c>
      <c r="S233" s="156">
        <f t="shared" si="59"/>
        <v>9.9999999999999995E-8</v>
      </c>
      <c r="U233" s="140">
        <f t="shared" si="60"/>
        <v>2.1000000000000002E-5</v>
      </c>
      <c r="V233">
        <v>2.1</v>
      </c>
      <c r="W233" s="140">
        <f t="shared" si="61"/>
        <v>2.0999999999999995E-7</v>
      </c>
      <c r="X233" s="140">
        <f t="shared" si="62"/>
        <v>4.2E-7</v>
      </c>
      <c r="Y233" s="140">
        <f t="shared" si="63"/>
        <v>6.3E-7</v>
      </c>
      <c r="Z233" s="140">
        <f t="shared" si="64"/>
        <v>8.4000000000000011E-7</v>
      </c>
      <c r="AA233" s="140">
        <f t="shared" si="65"/>
        <v>1.0500000000000001E-6</v>
      </c>
      <c r="AB233" s="157">
        <f>IF(U233&lt;$B$41*DATA!$H$1037,DATA!$H$1037,IF(U233&gt;DATA!$H$1036*$B$41,DATA!$H$1036,1))</f>
        <v>0.8</v>
      </c>
      <c r="AC233" s="156">
        <f t="shared" si="66"/>
        <v>9.9999999999999995E-8</v>
      </c>
      <c r="AE233" s="140">
        <f t="shared" si="67"/>
        <v>2.1000000000000002E-5</v>
      </c>
      <c r="AF233">
        <v>2.1</v>
      </c>
      <c r="AG233" s="140">
        <f t="shared" si="68"/>
        <v>2.0999999999999995E-7</v>
      </c>
      <c r="AH233" s="140">
        <f t="shared" si="69"/>
        <v>4.2E-7</v>
      </c>
      <c r="AI233" s="140">
        <f t="shared" si="70"/>
        <v>6.3E-7</v>
      </c>
      <c r="AJ233" s="140">
        <f t="shared" si="71"/>
        <v>8.4000000000000011E-7</v>
      </c>
      <c r="AK233" s="140">
        <f t="shared" si="72"/>
        <v>1.0500000000000001E-6</v>
      </c>
      <c r="AL233" s="157">
        <f>IF(AE233&lt;$B$57*DATA!$H$1037,DATA!$H$1037,IF(AE233&gt;DATA!$H$1036*$B$57,DATA!$H$1036,1))</f>
        <v>1.2</v>
      </c>
      <c r="AM233" s="156">
        <f t="shared" si="73"/>
        <v>9.9999999999999995E-8</v>
      </c>
      <c r="AO233" s="140">
        <f t="shared" si="74"/>
        <v>2.1000000000000002E-5</v>
      </c>
      <c r="AP233">
        <v>2.1</v>
      </c>
      <c r="AQ233" s="140">
        <f t="shared" si="75"/>
        <v>2.0999999999999995E-7</v>
      </c>
      <c r="AR233" s="140">
        <f t="shared" si="76"/>
        <v>4.2E-7</v>
      </c>
      <c r="AS233" s="140">
        <f t="shared" si="77"/>
        <v>6.3E-7</v>
      </c>
      <c r="AT233" s="140">
        <f t="shared" si="78"/>
        <v>8.4000000000000011E-7</v>
      </c>
      <c r="AU233" s="140">
        <f t="shared" si="79"/>
        <v>1.0500000000000001E-6</v>
      </c>
      <c r="AV233" s="157">
        <f>IF(AO233&lt;$B$73*DATA!$H$1037,DATA!$H$1037,IF(AO233&gt;DATA!$H$1036*$B$73,DATA!$H$1036,1))</f>
        <v>1.2</v>
      </c>
      <c r="AW233" s="156">
        <f t="shared" si="80"/>
        <v>9.9999999999999995E-8</v>
      </c>
      <c r="AY233" s="140">
        <f t="shared" si="81"/>
        <v>2.1000000000000002E-5</v>
      </c>
      <c r="AZ233">
        <v>2.1</v>
      </c>
      <c r="BA233" s="140">
        <f t="shared" si="82"/>
        <v>2.0999999999999995E-7</v>
      </c>
      <c r="BB233" s="140">
        <f t="shared" si="83"/>
        <v>4.2E-7</v>
      </c>
      <c r="BC233" s="140">
        <f t="shared" si="84"/>
        <v>6.3E-7</v>
      </c>
      <c r="BD233" s="140">
        <f t="shared" si="85"/>
        <v>8.4000000000000011E-7</v>
      </c>
      <c r="BE233" s="140">
        <f t="shared" si="86"/>
        <v>1.0500000000000001E-6</v>
      </c>
      <c r="BF233" s="157">
        <f>IF(AY233&lt;$B$89*DATA!$H$1037,DATA!$H$1037,IF(AY233&gt;DATA!$H$1036*$B$89,DATA!$H$1036,1))</f>
        <v>1.2</v>
      </c>
      <c r="BG233" s="156">
        <f t="shared" si="87"/>
        <v>9.9999999999999995E-8</v>
      </c>
      <c r="BI233" s="140">
        <f t="shared" si="88"/>
        <v>2.1000000000000002E-5</v>
      </c>
      <c r="BJ233">
        <v>2.1</v>
      </c>
      <c r="BK233" s="140">
        <f t="shared" si="89"/>
        <v>2.0999999999999995E-7</v>
      </c>
      <c r="BL233" s="140">
        <f t="shared" si="90"/>
        <v>4.2E-7</v>
      </c>
      <c r="BM233" s="140">
        <f t="shared" si="91"/>
        <v>6.3E-7</v>
      </c>
      <c r="BN233" s="140">
        <f t="shared" si="92"/>
        <v>8.4000000000000011E-7</v>
      </c>
      <c r="BO233" s="140">
        <f t="shared" si="93"/>
        <v>1.0500000000000001E-6</v>
      </c>
      <c r="BP233" s="157">
        <f>IF(BI233&lt;$B$105*DATA!$H$1037,DATA!$H$1037,IF(BI233&gt;DATA!$H$1036*$B$105,DATA!$H$1036,1))</f>
        <v>1.2</v>
      </c>
      <c r="BQ233" s="156">
        <f t="shared" si="94"/>
        <v>9.9999999999999995E-8</v>
      </c>
    </row>
    <row r="234" spans="1:69">
      <c r="A234" s="140">
        <f t="shared" si="50"/>
        <v>2.1200000000000004E-5</v>
      </c>
      <c r="B234">
        <v>2.12</v>
      </c>
      <c r="C234" s="140">
        <f t="shared" si="51"/>
        <v>2.1199999999999997E-7</v>
      </c>
      <c r="D234" s="140">
        <f t="shared" si="51"/>
        <v>4.2399999999999999E-7</v>
      </c>
      <c r="E234" s="140">
        <f t="shared" si="51"/>
        <v>6.3600000000000014E-7</v>
      </c>
      <c r="F234" s="140">
        <f t="shared" si="51"/>
        <v>8.4800000000000018E-7</v>
      </c>
      <c r="G234" s="140">
        <f t="shared" si="51"/>
        <v>1.0600000000000002E-6</v>
      </c>
      <c r="H234" s="157">
        <f>IF(A234&lt;$B$9*DATA!$H$1037,DATA!$H$1037,IF(A234&gt;DATA!$H$1036*$B$9,DATA!$H$1036,1))</f>
        <v>0.8</v>
      </c>
      <c r="I234" s="156">
        <f t="shared" si="52"/>
        <v>9.9999999999999995E-8</v>
      </c>
      <c r="K234" s="140">
        <f t="shared" si="53"/>
        <v>2.1200000000000004E-5</v>
      </c>
      <c r="L234">
        <v>2.12</v>
      </c>
      <c r="M234" s="140">
        <f t="shared" si="54"/>
        <v>2.1199999999999997E-7</v>
      </c>
      <c r="N234" s="140">
        <f t="shared" si="55"/>
        <v>4.2399999999999999E-7</v>
      </c>
      <c r="O234" s="140">
        <f t="shared" si="56"/>
        <v>6.3600000000000014E-7</v>
      </c>
      <c r="P234" s="140">
        <f t="shared" si="57"/>
        <v>8.4800000000000018E-7</v>
      </c>
      <c r="Q234" s="140">
        <f t="shared" si="58"/>
        <v>1.0600000000000002E-6</v>
      </c>
      <c r="R234" s="157">
        <f>IF(K234&lt;$B$25*DATA!$H$1037,DATA!$H$1037,IF(K234&gt;DATA!$H$1036*$B$25,DATA!$H$1036,1))</f>
        <v>0.8</v>
      </c>
      <c r="S234" s="156">
        <f t="shared" si="59"/>
        <v>9.9999999999999995E-8</v>
      </c>
      <c r="U234" s="140">
        <f t="shared" si="60"/>
        <v>2.1200000000000004E-5</v>
      </c>
      <c r="V234">
        <v>2.12</v>
      </c>
      <c r="W234" s="140">
        <f t="shared" si="61"/>
        <v>2.1199999999999997E-7</v>
      </c>
      <c r="X234" s="140">
        <f t="shared" si="62"/>
        <v>4.2399999999999999E-7</v>
      </c>
      <c r="Y234" s="140">
        <f t="shared" si="63"/>
        <v>6.3600000000000014E-7</v>
      </c>
      <c r="Z234" s="140">
        <f t="shared" si="64"/>
        <v>8.4800000000000018E-7</v>
      </c>
      <c r="AA234" s="140">
        <f t="shared" si="65"/>
        <v>1.0600000000000002E-6</v>
      </c>
      <c r="AB234" s="157">
        <f>IF(U234&lt;$B$41*DATA!$H$1037,DATA!$H$1037,IF(U234&gt;DATA!$H$1036*$B$41,DATA!$H$1036,1))</f>
        <v>0.8</v>
      </c>
      <c r="AC234" s="156">
        <f t="shared" si="66"/>
        <v>9.9999999999999995E-8</v>
      </c>
      <c r="AE234" s="140">
        <f t="shared" si="67"/>
        <v>2.1200000000000004E-5</v>
      </c>
      <c r="AF234">
        <v>2.12</v>
      </c>
      <c r="AG234" s="140">
        <f t="shared" si="68"/>
        <v>2.1199999999999997E-7</v>
      </c>
      <c r="AH234" s="140">
        <f t="shared" si="69"/>
        <v>4.2399999999999999E-7</v>
      </c>
      <c r="AI234" s="140">
        <f t="shared" si="70"/>
        <v>6.3600000000000014E-7</v>
      </c>
      <c r="AJ234" s="140">
        <f t="shared" si="71"/>
        <v>8.4800000000000018E-7</v>
      </c>
      <c r="AK234" s="140">
        <f t="shared" si="72"/>
        <v>1.0600000000000002E-6</v>
      </c>
      <c r="AL234" s="157">
        <f>IF(AE234&lt;$B$57*DATA!$H$1037,DATA!$H$1037,IF(AE234&gt;DATA!$H$1036*$B$57,DATA!$H$1036,1))</f>
        <v>1.2</v>
      </c>
      <c r="AM234" s="156">
        <f t="shared" si="73"/>
        <v>9.9999999999999995E-8</v>
      </c>
      <c r="AO234" s="140">
        <f t="shared" si="74"/>
        <v>2.1200000000000004E-5</v>
      </c>
      <c r="AP234">
        <v>2.12</v>
      </c>
      <c r="AQ234" s="140">
        <f t="shared" si="75"/>
        <v>2.1199999999999997E-7</v>
      </c>
      <c r="AR234" s="140">
        <f t="shared" si="76"/>
        <v>4.2399999999999999E-7</v>
      </c>
      <c r="AS234" s="140">
        <f t="shared" si="77"/>
        <v>6.3600000000000014E-7</v>
      </c>
      <c r="AT234" s="140">
        <f t="shared" si="78"/>
        <v>8.4800000000000018E-7</v>
      </c>
      <c r="AU234" s="140">
        <f t="shared" si="79"/>
        <v>1.0600000000000002E-6</v>
      </c>
      <c r="AV234" s="157">
        <f>IF(AO234&lt;$B$73*DATA!$H$1037,DATA!$H$1037,IF(AO234&gt;DATA!$H$1036*$B$73,DATA!$H$1036,1))</f>
        <v>1.2</v>
      </c>
      <c r="AW234" s="156">
        <f t="shared" si="80"/>
        <v>9.9999999999999995E-8</v>
      </c>
      <c r="AY234" s="140">
        <f t="shared" si="81"/>
        <v>2.1200000000000004E-5</v>
      </c>
      <c r="AZ234">
        <v>2.12</v>
      </c>
      <c r="BA234" s="140">
        <f t="shared" si="82"/>
        <v>2.1199999999999997E-7</v>
      </c>
      <c r="BB234" s="140">
        <f t="shared" si="83"/>
        <v>4.2399999999999999E-7</v>
      </c>
      <c r="BC234" s="140">
        <f t="shared" si="84"/>
        <v>6.3600000000000014E-7</v>
      </c>
      <c r="BD234" s="140">
        <f t="shared" si="85"/>
        <v>8.4800000000000018E-7</v>
      </c>
      <c r="BE234" s="140">
        <f t="shared" si="86"/>
        <v>1.0600000000000002E-6</v>
      </c>
      <c r="BF234" s="157">
        <f>IF(AY234&lt;$B$89*DATA!$H$1037,DATA!$H$1037,IF(AY234&gt;DATA!$H$1036*$B$89,DATA!$H$1036,1))</f>
        <v>1.2</v>
      </c>
      <c r="BG234" s="156">
        <f t="shared" si="87"/>
        <v>9.9999999999999995E-8</v>
      </c>
      <c r="BI234" s="140">
        <f t="shared" si="88"/>
        <v>2.1200000000000004E-5</v>
      </c>
      <c r="BJ234">
        <v>2.12</v>
      </c>
      <c r="BK234" s="140">
        <f t="shared" si="89"/>
        <v>2.1199999999999997E-7</v>
      </c>
      <c r="BL234" s="140">
        <f t="shared" si="90"/>
        <v>4.2399999999999999E-7</v>
      </c>
      <c r="BM234" s="140">
        <f t="shared" si="91"/>
        <v>6.3600000000000014E-7</v>
      </c>
      <c r="BN234" s="140">
        <f t="shared" si="92"/>
        <v>8.4800000000000018E-7</v>
      </c>
      <c r="BO234" s="140">
        <f t="shared" si="93"/>
        <v>1.0600000000000002E-6</v>
      </c>
      <c r="BP234" s="157">
        <f>IF(BI234&lt;$B$105*DATA!$H$1037,DATA!$H$1037,IF(BI234&gt;DATA!$H$1036*$B$105,DATA!$H$1036,1))</f>
        <v>1.2</v>
      </c>
      <c r="BQ234" s="156">
        <f t="shared" si="94"/>
        <v>9.9999999999999995E-8</v>
      </c>
    </row>
    <row r="235" spans="1:69">
      <c r="A235" s="140">
        <f t="shared" si="50"/>
        <v>2.1400000000000002E-5</v>
      </c>
      <c r="B235">
        <v>2.14</v>
      </c>
      <c r="C235" s="140">
        <f t="shared" si="51"/>
        <v>2.1399999999999996E-7</v>
      </c>
      <c r="D235" s="140">
        <f t="shared" si="51"/>
        <v>4.2799999999999997E-7</v>
      </c>
      <c r="E235" s="140">
        <f t="shared" si="51"/>
        <v>6.4200000000000006E-7</v>
      </c>
      <c r="F235" s="140">
        <f t="shared" si="51"/>
        <v>8.5600000000000004E-7</v>
      </c>
      <c r="G235" s="140">
        <f t="shared" si="51"/>
        <v>1.0700000000000001E-6</v>
      </c>
      <c r="H235" s="157">
        <f>IF(A235&lt;$B$9*DATA!$H$1037,DATA!$H$1037,IF(A235&gt;DATA!$H$1036*$B$9,DATA!$H$1036,1))</f>
        <v>0.8</v>
      </c>
      <c r="I235" s="156">
        <f t="shared" si="52"/>
        <v>9.9999999999999995E-8</v>
      </c>
      <c r="K235" s="140">
        <f t="shared" si="53"/>
        <v>2.1400000000000002E-5</v>
      </c>
      <c r="L235">
        <v>2.14</v>
      </c>
      <c r="M235" s="140">
        <f t="shared" si="54"/>
        <v>2.1399999999999996E-7</v>
      </c>
      <c r="N235" s="140">
        <f t="shared" si="55"/>
        <v>4.2799999999999997E-7</v>
      </c>
      <c r="O235" s="140">
        <f t="shared" si="56"/>
        <v>6.4200000000000006E-7</v>
      </c>
      <c r="P235" s="140">
        <f t="shared" si="57"/>
        <v>8.5600000000000004E-7</v>
      </c>
      <c r="Q235" s="140">
        <f t="shared" si="58"/>
        <v>1.0700000000000001E-6</v>
      </c>
      <c r="R235" s="157">
        <f>IF(K235&lt;$B$25*DATA!$H$1037,DATA!$H$1037,IF(K235&gt;DATA!$H$1036*$B$25,DATA!$H$1036,1))</f>
        <v>0.8</v>
      </c>
      <c r="S235" s="156">
        <f t="shared" si="59"/>
        <v>9.9999999999999995E-8</v>
      </c>
      <c r="U235" s="140">
        <f t="shared" si="60"/>
        <v>2.1400000000000002E-5</v>
      </c>
      <c r="V235">
        <v>2.14</v>
      </c>
      <c r="W235" s="140">
        <f t="shared" si="61"/>
        <v>2.1399999999999996E-7</v>
      </c>
      <c r="X235" s="140">
        <f t="shared" si="62"/>
        <v>4.2799999999999997E-7</v>
      </c>
      <c r="Y235" s="140">
        <f t="shared" si="63"/>
        <v>6.4200000000000006E-7</v>
      </c>
      <c r="Z235" s="140">
        <f t="shared" si="64"/>
        <v>8.5600000000000004E-7</v>
      </c>
      <c r="AA235" s="140">
        <f t="shared" si="65"/>
        <v>1.0700000000000001E-6</v>
      </c>
      <c r="AB235" s="157">
        <f>IF(U235&lt;$B$41*DATA!$H$1037,DATA!$H$1037,IF(U235&gt;DATA!$H$1036*$B$41,DATA!$H$1036,1))</f>
        <v>0.8</v>
      </c>
      <c r="AC235" s="156">
        <f t="shared" si="66"/>
        <v>9.9999999999999995E-8</v>
      </c>
      <c r="AE235" s="140">
        <f t="shared" si="67"/>
        <v>2.1400000000000002E-5</v>
      </c>
      <c r="AF235">
        <v>2.14</v>
      </c>
      <c r="AG235" s="140">
        <f t="shared" si="68"/>
        <v>2.1399999999999996E-7</v>
      </c>
      <c r="AH235" s="140">
        <f t="shared" si="69"/>
        <v>4.2799999999999997E-7</v>
      </c>
      <c r="AI235" s="140">
        <f t="shared" si="70"/>
        <v>6.4200000000000006E-7</v>
      </c>
      <c r="AJ235" s="140">
        <f t="shared" si="71"/>
        <v>8.5600000000000004E-7</v>
      </c>
      <c r="AK235" s="140">
        <f t="shared" si="72"/>
        <v>1.0700000000000001E-6</v>
      </c>
      <c r="AL235" s="157">
        <f>IF(AE235&lt;$B$57*DATA!$H$1037,DATA!$H$1037,IF(AE235&gt;DATA!$H$1036*$B$57,DATA!$H$1036,1))</f>
        <v>1.2</v>
      </c>
      <c r="AM235" s="156">
        <f t="shared" si="73"/>
        <v>9.9999999999999995E-8</v>
      </c>
      <c r="AO235" s="140">
        <f t="shared" si="74"/>
        <v>2.1400000000000002E-5</v>
      </c>
      <c r="AP235">
        <v>2.14</v>
      </c>
      <c r="AQ235" s="140">
        <f t="shared" si="75"/>
        <v>2.1399999999999996E-7</v>
      </c>
      <c r="AR235" s="140">
        <f t="shared" si="76"/>
        <v>4.2799999999999997E-7</v>
      </c>
      <c r="AS235" s="140">
        <f t="shared" si="77"/>
        <v>6.4200000000000006E-7</v>
      </c>
      <c r="AT235" s="140">
        <f t="shared" si="78"/>
        <v>8.5600000000000004E-7</v>
      </c>
      <c r="AU235" s="140">
        <f t="shared" si="79"/>
        <v>1.0700000000000001E-6</v>
      </c>
      <c r="AV235" s="157">
        <f>IF(AO235&lt;$B$73*DATA!$H$1037,DATA!$H$1037,IF(AO235&gt;DATA!$H$1036*$B$73,DATA!$H$1036,1))</f>
        <v>1.2</v>
      </c>
      <c r="AW235" s="156">
        <f t="shared" si="80"/>
        <v>9.9999999999999995E-8</v>
      </c>
      <c r="AY235" s="140">
        <f t="shared" si="81"/>
        <v>2.1400000000000002E-5</v>
      </c>
      <c r="AZ235">
        <v>2.14</v>
      </c>
      <c r="BA235" s="140">
        <f t="shared" si="82"/>
        <v>2.1399999999999996E-7</v>
      </c>
      <c r="BB235" s="140">
        <f t="shared" si="83"/>
        <v>4.2799999999999997E-7</v>
      </c>
      <c r="BC235" s="140">
        <f t="shared" si="84"/>
        <v>6.4200000000000006E-7</v>
      </c>
      <c r="BD235" s="140">
        <f t="shared" si="85"/>
        <v>8.5600000000000004E-7</v>
      </c>
      <c r="BE235" s="140">
        <f t="shared" si="86"/>
        <v>1.0700000000000001E-6</v>
      </c>
      <c r="BF235" s="157">
        <f>IF(AY235&lt;$B$89*DATA!$H$1037,DATA!$H$1037,IF(AY235&gt;DATA!$H$1036*$B$89,DATA!$H$1036,1))</f>
        <v>1.2</v>
      </c>
      <c r="BG235" s="156">
        <f t="shared" si="87"/>
        <v>9.9999999999999995E-8</v>
      </c>
      <c r="BI235" s="140">
        <f t="shared" si="88"/>
        <v>2.1400000000000002E-5</v>
      </c>
      <c r="BJ235">
        <v>2.14</v>
      </c>
      <c r="BK235" s="140">
        <f t="shared" si="89"/>
        <v>2.1399999999999996E-7</v>
      </c>
      <c r="BL235" s="140">
        <f t="shared" si="90"/>
        <v>4.2799999999999997E-7</v>
      </c>
      <c r="BM235" s="140">
        <f t="shared" si="91"/>
        <v>6.4200000000000006E-7</v>
      </c>
      <c r="BN235" s="140">
        <f t="shared" si="92"/>
        <v>8.5600000000000004E-7</v>
      </c>
      <c r="BO235" s="140">
        <f t="shared" si="93"/>
        <v>1.0700000000000001E-6</v>
      </c>
      <c r="BP235" s="157">
        <f>IF(BI235&lt;$B$105*DATA!$H$1037,DATA!$H$1037,IF(BI235&gt;DATA!$H$1036*$B$105,DATA!$H$1036,1))</f>
        <v>1.2</v>
      </c>
      <c r="BQ235" s="156">
        <f t="shared" si="94"/>
        <v>9.9999999999999995E-8</v>
      </c>
    </row>
    <row r="236" spans="1:69">
      <c r="A236" s="140">
        <f t="shared" si="50"/>
        <v>2.1600000000000003E-5</v>
      </c>
      <c r="B236">
        <v>2.16</v>
      </c>
      <c r="C236" s="140">
        <f t="shared" si="51"/>
        <v>2.1599999999999995E-7</v>
      </c>
      <c r="D236" s="140">
        <f t="shared" si="51"/>
        <v>4.32E-7</v>
      </c>
      <c r="E236" s="140">
        <f t="shared" si="51"/>
        <v>6.4800000000000009E-7</v>
      </c>
      <c r="F236" s="140">
        <f t="shared" si="51"/>
        <v>8.6400000000000011E-7</v>
      </c>
      <c r="G236" s="140">
        <f t="shared" si="51"/>
        <v>1.0800000000000002E-6</v>
      </c>
      <c r="H236" s="157">
        <f>IF(A236&lt;$B$9*DATA!$H$1037,DATA!$H$1037,IF(A236&gt;DATA!$H$1036*$B$9,DATA!$H$1036,1))</f>
        <v>0.8</v>
      </c>
      <c r="I236" s="156">
        <f t="shared" si="52"/>
        <v>9.9999999999999995E-8</v>
      </c>
      <c r="K236" s="140">
        <f t="shared" si="53"/>
        <v>2.1600000000000003E-5</v>
      </c>
      <c r="L236">
        <v>2.16</v>
      </c>
      <c r="M236" s="140">
        <f t="shared" si="54"/>
        <v>2.1599999999999995E-7</v>
      </c>
      <c r="N236" s="140">
        <f t="shared" si="55"/>
        <v>4.32E-7</v>
      </c>
      <c r="O236" s="140">
        <f t="shared" si="56"/>
        <v>6.4800000000000009E-7</v>
      </c>
      <c r="P236" s="140">
        <f t="shared" si="57"/>
        <v>8.6400000000000011E-7</v>
      </c>
      <c r="Q236" s="140">
        <f t="shared" si="58"/>
        <v>1.0800000000000002E-6</v>
      </c>
      <c r="R236" s="157">
        <f>IF(K236&lt;$B$25*DATA!$H$1037,DATA!$H$1037,IF(K236&gt;DATA!$H$1036*$B$25,DATA!$H$1036,1))</f>
        <v>0.8</v>
      </c>
      <c r="S236" s="156">
        <f t="shared" si="59"/>
        <v>9.9999999999999995E-8</v>
      </c>
      <c r="U236" s="140">
        <f t="shared" si="60"/>
        <v>2.1600000000000003E-5</v>
      </c>
      <c r="V236">
        <v>2.16</v>
      </c>
      <c r="W236" s="140">
        <f t="shared" si="61"/>
        <v>2.1599999999999995E-7</v>
      </c>
      <c r="X236" s="140">
        <f t="shared" si="62"/>
        <v>4.32E-7</v>
      </c>
      <c r="Y236" s="140">
        <f t="shared" si="63"/>
        <v>6.4800000000000009E-7</v>
      </c>
      <c r="Z236" s="140">
        <f t="shared" si="64"/>
        <v>8.6400000000000011E-7</v>
      </c>
      <c r="AA236" s="140">
        <f t="shared" si="65"/>
        <v>1.0800000000000002E-6</v>
      </c>
      <c r="AB236" s="157">
        <f>IF(U236&lt;$B$41*DATA!$H$1037,DATA!$H$1037,IF(U236&gt;DATA!$H$1036*$B$41,DATA!$H$1036,1))</f>
        <v>0.8</v>
      </c>
      <c r="AC236" s="156">
        <f t="shared" si="66"/>
        <v>9.9999999999999995E-8</v>
      </c>
      <c r="AE236" s="140">
        <f t="shared" si="67"/>
        <v>2.1600000000000003E-5</v>
      </c>
      <c r="AF236">
        <v>2.16</v>
      </c>
      <c r="AG236" s="140">
        <f t="shared" si="68"/>
        <v>2.1599999999999995E-7</v>
      </c>
      <c r="AH236" s="140">
        <f t="shared" si="69"/>
        <v>4.32E-7</v>
      </c>
      <c r="AI236" s="140">
        <f t="shared" si="70"/>
        <v>6.4800000000000009E-7</v>
      </c>
      <c r="AJ236" s="140">
        <f t="shared" si="71"/>
        <v>8.6400000000000011E-7</v>
      </c>
      <c r="AK236" s="140">
        <f t="shared" si="72"/>
        <v>1.0800000000000002E-6</v>
      </c>
      <c r="AL236" s="157">
        <f>IF(AE236&lt;$B$57*DATA!$H$1037,DATA!$H$1037,IF(AE236&gt;DATA!$H$1036*$B$57,DATA!$H$1036,1))</f>
        <v>1.2</v>
      </c>
      <c r="AM236" s="156">
        <f t="shared" si="73"/>
        <v>9.9999999999999995E-8</v>
      </c>
      <c r="AO236" s="140">
        <f t="shared" si="74"/>
        <v>2.1600000000000003E-5</v>
      </c>
      <c r="AP236">
        <v>2.16</v>
      </c>
      <c r="AQ236" s="140">
        <f t="shared" si="75"/>
        <v>2.1599999999999995E-7</v>
      </c>
      <c r="AR236" s="140">
        <f t="shared" si="76"/>
        <v>4.32E-7</v>
      </c>
      <c r="AS236" s="140">
        <f t="shared" si="77"/>
        <v>6.4800000000000009E-7</v>
      </c>
      <c r="AT236" s="140">
        <f t="shared" si="78"/>
        <v>8.6400000000000011E-7</v>
      </c>
      <c r="AU236" s="140">
        <f t="shared" si="79"/>
        <v>1.0800000000000002E-6</v>
      </c>
      <c r="AV236" s="157">
        <f>IF(AO236&lt;$B$73*DATA!$H$1037,DATA!$H$1037,IF(AO236&gt;DATA!$H$1036*$B$73,DATA!$H$1036,1))</f>
        <v>1.2</v>
      </c>
      <c r="AW236" s="156">
        <f t="shared" si="80"/>
        <v>9.9999999999999995E-8</v>
      </c>
      <c r="AY236" s="140">
        <f t="shared" si="81"/>
        <v>2.1600000000000003E-5</v>
      </c>
      <c r="AZ236">
        <v>2.16</v>
      </c>
      <c r="BA236" s="140">
        <f t="shared" si="82"/>
        <v>2.1599999999999995E-7</v>
      </c>
      <c r="BB236" s="140">
        <f t="shared" si="83"/>
        <v>4.32E-7</v>
      </c>
      <c r="BC236" s="140">
        <f t="shared" si="84"/>
        <v>6.4800000000000009E-7</v>
      </c>
      <c r="BD236" s="140">
        <f t="shared" si="85"/>
        <v>8.6400000000000011E-7</v>
      </c>
      <c r="BE236" s="140">
        <f t="shared" si="86"/>
        <v>1.0800000000000002E-6</v>
      </c>
      <c r="BF236" s="157">
        <f>IF(AY236&lt;$B$89*DATA!$H$1037,DATA!$H$1037,IF(AY236&gt;DATA!$H$1036*$B$89,DATA!$H$1036,1))</f>
        <v>1.2</v>
      </c>
      <c r="BG236" s="156">
        <f t="shared" si="87"/>
        <v>9.9999999999999995E-8</v>
      </c>
      <c r="BI236" s="140">
        <f t="shared" si="88"/>
        <v>2.1600000000000003E-5</v>
      </c>
      <c r="BJ236">
        <v>2.16</v>
      </c>
      <c r="BK236" s="140">
        <f t="shared" si="89"/>
        <v>2.1599999999999995E-7</v>
      </c>
      <c r="BL236" s="140">
        <f t="shared" si="90"/>
        <v>4.32E-7</v>
      </c>
      <c r="BM236" s="140">
        <f t="shared" si="91"/>
        <v>6.4800000000000009E-7</v>
      </c>
      <c r="BN236" s="140">
        <f t="shared" si="92"/>
        <v>8.6400000000000011E-7</v>
      </c>
      <c r="BO236" s="140">
        <f t="shared" si="93"/>
        <v>1.0800000000000002E-6</v>
      </c>
      <c r="BP236" s="157">
        <f>IF(BI236&lt;$B$105*DATA!$H$1037,DATA!$H$1037,IF(BI236&gt;DATA!$H$1036*$B$105,DATA!$H$1036,1))</f>
        <v>1.2</v>
      </c>
      <c r="BQ236" s="156">
        <f t="shared" si="94"/>
        <v>9.9999999999999995E-8</v>
      </c>
    </row>
    <row r="237" spans="1:69">
      <c r="A237" s="140">
        <f t="shared" si="50"/>
        <v>2.1800000000000005E-5</v>
      </c>
      <c r="B237">
        <v>2.1800000000000002</v>
      </c>
      <c r="C237" s="140">
        <f t="shared" si="51"/>
        <v>2.1799999999999997E-7</v>
      </c>
      <c r="D237" s="140">
        <f t="shared" si="51"/>
        <v>4.3600000000000004E-7</v>
      </c>
      <c r="E237" s="140">
        <f t="shared" si="51"/>
        <v>6.5400000000000011E-7</v>
      </c>
      <c r="F237" s="140">
        <f t="shared" si="51"/>
        <v>8.7200000000000019E-7</v>
      </c>
      <c r="G237" s="140">
        <f t="shared" si="51"/>
        <v>1.0900000000000004E-6</v>
      </c>
      <c r="H237" s="157">
        <f>IF(A237&lt;$B$9*DATA!$H$1037,DATA!$H$1037,IF(A237&gt;DATA!$H$1036*$B$9,DATA!$H$1036,1))</f>
        <v>0.8</v>
      </c>
      <c r="I237" s="156">
        <f t="shared" si="52"/>
        <v>9.9999999999999995E-8</v>
      </c>
      <c r="K237" s="140">
        <f t="shared" si="53"/>
        <v>2.1800000000000005E-5</v>
      </c>
      <c r="L237">
        <v>2.1800000000000002</v>
      </c>
      <c r="M237" s="140">
        <f t="shared" si="54"/>
        <v>2.1799999999999997E-7</v>
      </c>
      <c r="N237" s="140">
        <f t="shared" si="55"/>
        <v>4.3600000000000004E-7</v>
      </c>
      <c r="O237" s="140">
        <f t="shared" si="56"/>
        <v>6.5400000000000011E-7</v>
      </c>
      <c r="P237" s="140">
        <f t="shared" si="57"/>
        <v>8.7200000000000019E-7</v>
      </c>
      <c r="Q237" s="140">
        <f t="shared" si="58"/>
        <v>1.0900000000000004E-6</v>
      </c>
      <c r="R237" s="157">
        <f>IF(K237&lt;$B$25*DATA!$H$1037,DATA!$H$1037,IF(K237&gt;DATA!$H$1036*$B$25,DATA!$H$1036,1))</f>
        <v>0.8</v>
      </c>
      <c r="S237" s="156">
        <f t="shared" si="59"/>
        <v>9.9999999999999995E-8</v>
      </c>
      <c r="U237" s="140">
        <f t="shared" si="60"/>
        <v>2.1800000000000005E-5</v>
      </c>
      <c r="V237">
        <v>2.1800000000000002</v>
      </c>
      <c r="W237" s="140">
        <f t="shared" si="61"/>
        <v>2.1799999999999997E-7</v>
      </c>
      <c r="X237" s="140">
        <f t="shared" si="62"/>
        <v>4.3600000000000004E-7</v>
      </c>
      <c r="Y237" s="140">
        <f t="shared" si="63"/>
        <v>6.5400000000000011E-7</v>
      </c>
      <c r="Z237" s="140">
        <f t="shared" si="64"/>
        <v>8.7200000000000019E-7</v>
      </c>
      <c r="AA237" s="140">
        <f t="shared" si="65"/>
        <v>1.0900000000000004E-6</v>
      </c>
      <c r="AB237" s="157">
        <f>IF(U237&lt;$B$41*DATA!$H$1037,DATA!$H$1037,IF(U237&gt;DATA!$H$1036*$B$41,DATA!$H$1036,1))</f>
        <v>0.8</v>
      </c>
      <c r="AC237" s="156">
        <f t="shared" si="66"/>
        <v>9.9999999999999995E-8</v>
      </c>
      <c r="AE237" s="140">
        <f t="shared" si="67"/>
        <v>2.1800000000000005E-5</v>
      </c>
      <c r="AF237">
        <v>2.1800000000000002</v>
      </c>
      <c r="AG237" s="140">
        <f t="shared" si="68"/>
        <v>2.1799999999999997E-7</v>
      </c>
      <c r="AH237" s="140">
        <f t="shared" si="69"/>
        <v>4.3600000000000004E-7</v>
      </c>
      <c r="AI237" s="140">
        <f t="shared" si="70"/>
        <v>6.5400000000000011E-7</v>
      </c>
      <c r="AJ237" s="140">
        <f t="shared" si="71"/>
        <v>8.7200000000000019E-7</v>
      </c>
      <c r="AK237" s="140">
        <f t="shared" si="72"/>
        <v>1.0900000000000004E-6</v>
      </c>
      <c r="AL237" s="157">
        <f>IF(AE237&lt;$B$57*DATA!$H$1037,DATA!$H$1037,IF(AE237&gt;DATA!$H$1036*$B$57,DATA!$H$1036,1))</f>
        <v>1.2</v>
      </c>
      <c r="AM237" s="156">
        <f t="shared" si="73"/>
        <v>9.9999999999999995E-8</v>
      </c>
      <c r="AO237" s="140">
        <f t="shared" si="74"/>
        <v>2.1800000000000005E-5</v>
      </c>
      <c r="AP237">
        <v>2.1800000000000002</v>
      </c>
      <c r="AQ237" s="140">
        <f t="shared" si="75"/>
        <v>2.1799999999999997E-7</v>
      </c>
      <c r="AR237" s="140">
        <f t="shared" si="76"/>
        <v>4.3600000000000004E-7</v>
      </c>
      <c r="AS237" s="140">
        <f t="shared" si="77"/>
        <v>6.5400000000000011E-7</v>
      </c>
      <c r="AT237" s="140">
        <f t="shared" si="78"/>
        <v>8.7200000000000019E-7</v>
      </c>
      <c r="AU237" s="140">
        <f t="shared" si="79"/>
        <v>1.0900000000000004E-6</v>
      </c>
      <c r="AV237" s="157">
        <f>IF(AO237&lt;$B$73*DATA!$H$1037,DATA!$H$1037,IF(AO237&gt;DATA!$H$1036*$B$73,DATA!$H$1036,1))</f>
        <v>1.2</v>
      </c>
      <c r="AW237" s="156">
        <f t="shared" si="80"/>
        <v>9.9999999999999995E-8</v>
      </c>
      <c r="AY237" s="140">
        <f t="shared" si="81"/>
        <v>2.1800000000000005E-5</v>
      </c>
      <c r="AZ237">
        <v>2.1800000000000002</v>
      </c>
      <c r="BA237" s="140">
        <f t="shared" si="82"/>
        <v>2.1799999999999997E-7</v>
      </c>
      <c r="BB237" s="140">
        <f t="shared" si="83"/>
        <v>4.3600000000000004E-7</v>
      </c>
      <c r="BC237" s="140">
        <f t="shared" si="84"/>
        <v>6.5400000000000011E-7</v>
      </c>
      <c r="BD237" s="140">
        <f t="shared" si="85"/>
        <v>8.7200000000000019E-7</v>
      </c>
      <c r="BE237" s="140">
        <f t="shared" si="86"/>
        <v>1.0900000000000004E-6</v>
      </c>
      <c r="BF237" s="157">
        <f>IF(AY237&lt;$B$89*DATA!$H$1037,DATA!$H$1037,IF(AY237&gt;DATA!$H$1036*$B$89,DATA!$H$1036,1))</f>
        <v>1.2</v>
      </c>
      <c r="BG237" s="156">
        <f t="shared" si="87"/>
        <v>9.9999999999999995E-8</v>
      </c>
      <c r="BI237" s="140">
        <f t="shared" si="88"/>
        <v>2.1800000000000005E-5</v>
      </c>
      <c r="BJ237">
        <v>2.1800000000000002</v>
      </c>
      <c r="BK237" s="140">
        <f t="shared" si="89"/>
        <v>2.1799999999999997E-7</v>
      </c>
      <c r="BL237" s="140">
        <f t="shared" si="90"/>
        <v>4.3600000000000004E-7</v>
      </c>
      <c r="BM237" s="140">
        <f t="shared" si="91"/>
        <v>6.5400000000000011E-7</v>
      </c>
      <c r="BN237" s="140">
        <f t="shared" si="92"/>
        <v>8.7200000000000019E-7</v>
      </c>
      <c r="BO237" s="140">
        <f t="shared" si="93"/>
        <v>1.0900000000000004E-6</v>
      </c>
      <c r="BP237" s="157">
        <f>IF(BI237&lt;$B$105*DATA!$H$1037,DATA!$H$1037,IF(BI237&gt;DATA!$H$1036*$B$105,DATA!$H$1036,1))</f>
        <v>1.2</v>
      </c>
      <c r="BQ237" s="156">
        <f t="shared" si="94"/>
        <v>9.9999999999999995E-8</v>
      </c>
    </row>
    <row r="238" spans="1:69">
      <c r="A238" s="140">
        <f t="shared" si="50"/>
        <v>2.2000000000000003E-5</v>
      </c>
      <c r="B238">
        <v>2.2000000000000002</v>
      </c>
      <c r="C238" s="140">
        <f t="shared" si="51"/>
        <v>2.1999999999999996E-7</v>
      </c>
      <c r="D238" s="140">
        <f t="shared" si="51"/>
        <v>4.3999999999999997E-7</v>
      </c>
      <c r="E238" s="140">
        <f t="shared" si="51"/>
        <v>6.6000000000000003E-7</v>
      </c>
      <c r="F238" s="140">
        <f t="shared" si="51"/>
        <v>8.8000000000000015E-7</v>
      </c>
      <c r="G238" s="140">
        <f t="shared" si="51"/>
        <v>1.1000000000000003E-6</v>
      </c>
      <c r="H238" s="157">
        <f>IF(A238&lt;$B$9*DATA!$H$1037,DATA!$H$1037,IF(A238&gt;DATA!$H$1036*$B$9,DATA!$H$1036,1))</f>
        <v>0.8</v>
      </c>
      <c r="I238" s="156">
        <f t="shared" si="52"/>
        <v>9.9999999999999995E-8</v>
      </c>
      <c r="K238" s="140">
        <f t="shared" si="53"/>
        <v>2.2000000000000003E-5</v>
      </c>
      <c r="L238">
        <v>2.2000000000000002</v>
      </c>
      <c r="M238" s="140">
        <f t="shared" si="54"/>
        <v>2.1999999999999996E-7</v>
      </c>
      <c r="N238" s="140">
        <f t="shared" si="55"/>
        <v>4.3999999999999997E-7</v>
      </c>
      <c r="O238" s="140">
        <f t="shared" si="56"/>
        <v>6.6000000000000003E-7</v>
      </c>
      <c r="P238" s="140">
        <f t="shared" si="57"/>
        <v>8.8000000000000015E-7</v>
      </c>
      <c r="Q238" s="140">
        <f t="shared" si="58"/>
        <v>1.1000000000000003E-6</v>
      </c>
      <c r="R238" s="157">
        <f>IF(K238&lt;$B$25*DATA!$H$1037,DATA!$H$1037,IF(K238&gt;DATA!$H$1036*$B$25,DATA!$H$1036,1))</f>
        <v>0.8</v>
      </c>
      <c r="S238" s="156">
        <f t="shared" si="59"/>
        <v>9.9999999999999995E-8</v>
      </c>
      <c r="U238" s="140">
        <f t="shared" si="60"/>
        <v>2.2000000000000003E-5</v>
      </c>
      <c r="V238">
        <v>2.2000000000000002</v>
      </c>
      <c r="W238" s="140">
        <f t="shared" si="61"/>
        <v>2.1999999999999996E-7</v>
      </c>
      <c r="X238" s="140">
        <f t="shared" si="62"/>
        <v>4.3999999999999997E-7</v>
      </c>
      <c r="Y238" s="140">
        <f t="shared" si="63"/>
        <v>6.6000000000000003E-7</v>
      </c>
      <c r="Z238" s="140">
        <f t="shared" si="64"/>
        <v>8.8000000000000015E-7</v>
      </c>
      <c r="AA238" s="140">
        <f t="shared" si="65"/>
        <v>1.1000000000000003E-6</v>
      </c>
      <c r="AB238" s="157">
        <f>IF(U238&lt;$B$41*DATA!$H$1037,DATA!$H$1037,IF(U238&gt;DATA!$H$1036*$B$41,DATA!$H$1036,1))</f>
        <v>0.8</v>
      </c>
      <c r="AC238" s="156">
        <f t="shared" si="66"/>
        <v>9.9999999999999995E-8</v>
      </c>
      <c r="AE238" s="140">
        <f t="shared" si="67"/>
        <v>2.2000000000000003E-5</v>
      </c>
      <c r="AF238">
        <v>2.2000000000000002</v>
      </c>
      <c r="AG238" s="140">
        <f t="shared" si="68"/>
        <v>2.1999999999999996E-7</v>
      </c>
      <c r="AH238" s="140">
        <f t="shared" si="69"/>
        <v>4.3999999999999997E-7</v>
      </c>
      <c r="AI238" s="140">
        <f t="shared" si="70"/>
        <v>6.6000000000000003E-7</v>
      </c>
      <c r="AJ238" s="140">
        <f t="shared" si="71"/>
        <v>8.8000000000000015E-7</v>
      </c>
      <c r="AK238" s="140">
        <f t="shared" si="72"/>
        <v>1.1000000000000003E-6</v>
      </c>
      <c r="AL238" s="157">
        <f>IF(AE238&lt;$B$57*DATA!$H$1037,DATA!$H$1037,IF(AE238&gt;DATA!$H$1036*$B$57,DATA!$H$1036,1))</f>
        <v>1.2</v>
      </c>
      <c r="AM238" s="156">
        <f t="shared" si="73"/>
        <v>9.9999999999999995E-8</v>
      </c>
      <c r="AO238" s="140">
        <f t="shared" si="74"/>
        <v>2.2000000000000003E-5</v>
      </c>
      <c r="AP238">
        <v>2.2000000000000002</v>
      </c>
      <c r="AQ238" s="140">
        <f t="shared" si="75"/>
        <v>2.1999999999999996E-7</v>
      </c>
      <c r="AR238" s="140">
        <f t="shared" si="76"/>
        <v>4.3999999999999997E-7</v>
      </c>
      <c r="AS238" s="140">
        <f t="shared" si="77"/>
        <v>6.6000000000000003E-7</v>
      </c>
      <c r="AT238" s="140">
        <f t="shared" si="78"/>
        <v>8.8000000000000015E-7</v>
      </c>
      <c r="AU238" s="140">
        <f t="shared" si="79"/>
        <v>1.1000000000000003E-6</v>
      </c>
      <c r="AV238" s="157">
        <f>IF(AO238&lt;$B$73*DATA!$H$1037,DATA!$H$1037,IF(AO238&gt;DATA!$H$1036*$B$73,DATA!$H$1036,1))</f>
        <v>1.2</v>
      </c>
      <c r="AW238" s="156">
        <f t="shared" si="80"/>
        <v>9.9999999999999995E-8</v>
      </c>
      <c r="AY238" s="140">
        <f t="shared" si="81"/>
        <v>2.2000000000000003E-5</v>
      </c>
      <c r="AZ238">
        <v>2.2000000000000002</v>
      </c>
      <c r="BA238" s="140">
        <f t="shared" si="82"/>
        <v>2.1999999999999996E-7</v>
      </c>
      <c r="BB238" s="140">
        <f t="shared" si="83"/>
        <v>4.3999999999999997E-7</v>
      </c>
      <c r="BC238" s="140">
        <f t="shared" si="84"/>
        <v>6.6000000000000003E-7</v>
      </c>
      <c r="BD238" s="140">
        <f t="shared" si="85"/>
        <v>8.8000000000000015E-7</v>
      </c>
      <c r="BE238" s="140">
        <f t="shared" si="86"/>
        <v>1.1000000000000003E-6</v>
      </c>
      <c r="BF238" s="157">
        <f>IF(AY238&lt;$B$89*DATA!$H$1037,DATA!$H$1037,IF(AY238&gt;DATA!$H$1036*$B$89,DATA!$H$1036,1))</f>
        <v>1.2</v>
      </c>
      <c r="BG238" s="156">
        <f t="shared" si="87"/>
        <v>9.9999999999999995E-8</v>
      </c>
      <c r="BI238" s="140">
        <f t="shared" si="88"/>
        <v>2.2000000000000003E-5</v>
      </c>
      <c r="BJ238">
        <v>2.2000000000000002</v>
      </c>
      <c r="BK238" s="140">
        <f t="shared" si="89"/>
        <v>2.1999999999999996E-7</v>
      </c>
      <c r="BL238" s="140">
        <f t="shared" si="90"/>
        <v>4.3999999999999997E-7</v>
      </c>
      <c r="BM238" s="140">
        <f t="shared" si="91"/>
        <v>6.6000000000000003E-7</v>
      </c>
      <c r="BN238" s="140">
        <f t="shared" si="92"/>
        <v>8.8000000000000015E-7</v>
      </c>
      <c r="BO238" s="140">
        <f t="shared" si="93"/>
        <v>1.1000000000000003E-6</v>
      </c>
      <c r="BP238" s="157">
        <f>IF(BI238&lt;$B$105*DATA!$H$1037,DATA!$H$1037,IF(BI238&gt;DATA!$H$1036*$B$105,DATA!$H$1036,1))</f>
        <v>1.2</v>
      </c>
      <c r="BQ238" s="156">
        <f t="shared" si="94"/>
        <v>9.9999999999999995E-8</v>
      </c>
    </row>
    <row r="239" spans="1:69">
      <c r="A239" s="140">
        <f t="shared" si="50"/>
        <v>2.2200000000000004E-5</v>
      </c>
      <c r="B239">
        <v>2.2200000000000002</v>
      </c>
      <c r="C239" s="140">
        <f t="shared" si="51"/>
        <v>2.2199999999999998E-7</v>
      </c>
      <c r="D239" s="140">
        <f t="shared" si="51"/>
        <v>4.4400000000000001E-7</v>
      </c>
      <c r="E239" s="140">
        <f t="shared" si="51"/>
        <v>6.6600000000000006E-7</v>
      </c>
      <c r="F239" s="140">
        <f t="shared" si="51"/>
        <v>8.8800000000000022E-7</v>
      </c>
      <c r="G239" s="140">
        <f t="shared" si="51"/>
        <v>1.1100000000000002E-6</v>
      </c>
      <c r="H239" s="157">
        <f>IF(A239&lt;$B$9*DATA!$H$1037,DATA!$H$1037,IF(A239&gt;DATA!$H$1036*$B$9,DATA!$H$1036,1))</f>
        <v>0.8</v>
      </c>
      <c r="I239" s="156">
        <f t="shared" si="52"/>
        <v>9.9999999999999995E-8</v>
      </c>
      <c r="K239" s="140">
        <f t="shared" si="53"/>
        <v>2.2200000000000004E-5</v>
      </c>
      <c r="L239">
        <v>2.2200000000000002</v>
      </c>
      <c r="M239" s="140">
        <f t="shared" si="54"/>
        <v>2.2199999999999998E-7</v>
      </c>
      <c r="N239" s="140">
        <f t="shared" si="55"/>
        <v>4.4400000000000001E-7</v>
      </c>
      <c r="O239" s="140">
        <f t="shared" si="56"/>
        <v>6.6600000000000006E-7</v>
      </c>
      <c r="P239" s="140">
        <f t="shared" si="57"/>
        <v>8.8800000000000022E-7</v>
      </c>
      <c r="Q239" s="140">
        <f t="shared" si="58"/>
        <v>1.1100000000000002E-6</v>
      </c>
      <c r="R239" s="157">
        <f>IF(K239&lt;$B$25*DATA!$H$1037,DATA!$H$1037,IF(K239&gt;DATA!$H$1036*$B$25,DATA!$H$1036,1))</f>
        <v>0.8</v>
      </c>
      <c r="S239" s="156">
        <f t="shared" si="59"/>
        <v>9.9999999999999995E-8</v>
      </c>
      <c r="U239" s="140">
        <f t="shared" si="60"/>
        <v>2.2200000000000004E-5</v>
      </c>
      <c r="V239">
        <v>2.2200000000000002</v>
      </c>
      <c r="W239" s="140">
        <f t="shared" si="61"/>
        <v>2.2199999999999998E-7</v>
      </c>
      <c r="X239" s="140">
        <f t="shared" si="62"/>
        <v>4.4400000000000001E-7</v>
      </c>
      <c r="Y239" s="140">
        <f t="shared" si="63"/>
        <v>6.6600000000000006E-7</v>
      </c>
      <c r="Z239" s="140">
        <f t="shared" si="64"/>
        <v>8.8800000000000022E-7</v>
      </c>
      <c r="AA239" s="140">
        <f t="shared" si="65"/>
        <v>1.1100000000000002E-6</v>
      </c>
      <c r="AB239" s="157">
        <f>IF(U239&lt;$B$41*DATA!$H$1037,DATA!$H$1037,IF(U239&gt;DATA!$H$1036*$B$41,DATA!$H$1036,1))</f>
        <v>0.8</v>
      </c>
      <c r="AC239" s="156">
        <f t="shared" si="66"/>
        <v>9.9999999999999995E-8</v>
      </c>
      <c r="AE239" s="140">
        <f t="shared" si="67"/>
        <v>2.2200000000000004E-5</v>
      </c>
      <c r="AF239">
        <v>2.2200000000000002</v>
      </c>
      <c r="AG239" s="140">
        <f t="shared" si="68"/>
        <v>2.2199999999999998E-7</v>
      </c>
      <c r="AH239" s="140">
        <f t="shared" si="69"/>
        <v>4.4400000000000001E-7</v>
      </c>
      <c r="AI239" s="140">
        <f t="shared" si="70"/>
        <v>6.6600000000000006E-7</v>
      </c>
      <c r="AJ239" s="140">
        <f t="shared" si="71"/>
        <v>8.8800000000000022E-7</v>
      </c>
      <c r="AK239" s="140">
        <f t="shared" si="72"/>
        <v>1.1100000000000002E-6</v>
      </c>
      <c r="AL239" s="157">
        <f>IF(AE239&lt;$B$57*DATA!$H$1037,DATA!$H$1037,IF(AE239&gt;DATA!$H$1036*$B$57,DATA!$H$1036,1))</f>
        <v>1.2</v>
      </c>
      <c r="AM239" s="156">
        <f t="shared" si="73"/>
        <v>9.9999999999999995E-8</v>
      </c>
      <c r="AO239" s="140">
        <f t="shared" si="74"/>
        <v>2.2200000000000004E-5</v>
      </c>
      <c r="AP239">
        <v>2.2200000000000002</v>
      </c>
      <c r="AQ239" s="140">
        <f t="shared" si="75"/>
        <v>2.2199999999999998E-7</v>
      </c>
      <c r="AR239" s="140">
        <f t="shared" si="76"/>
        <v>4.4400000000000001E-7</v>
      </c>
      <c r="AS239" s="140">
        <f t="shared" si="77"/>
        <v>6.6600000000000006E-7</v>
      </c>
      <c r="AT239" s="140">
        <f t="shared" si="78"/>
        <v>8.8800000000000022E-7</v>
      </c>
      <c r="AU239" s="140">
        <f t="shared" si="79"/>
        <v>1.1100000000000002E-6</v>
      </c>
      <c r="AV239" s="157">
        <f>IF(AO239&lt;$B$73*DATA!$H$1037,DATA!$H$1037,IF(AO239&gt;DATA!$H$1036*$B$73,DATA!$H$1036,1))</f>
        <v>1.2</v>
      </c>
      <c r="AW239" s="156">
        <f t="shared" si="80"/>
        <v>9.9999999999999995E-8</v>
      </c>
      <c r="AY239" s="140">
        <f t="shared" si="81"/>
        <v>2.2200000000000004E-5</v>
      </c>
      <c r="AZ239">
        <v>2.2200000000000002</v>
      </c>
      <c r="BA239" s="140">
        <f t="shared" si="82"/>
        <v>2.2199999999999998E-7</v>
      </c>
      <c r="BB239" s="140">
        <f t="shared" si="83"/>
        <v>4.4400000000000001E-7</v>
      </c>
      <c r="BC239" s="140">
        <f t="shared" si="84"/>
        <v>6.6600000000000006E-7</v>
      </c>
      <c r="BD239" s="140">
        <f t="shared" si="85"/>
        <v>8.8800000000000022E-7</v>
      </c>
      <c r="BE239" s="140">
        <f t="shared" si="86"/>
        <v>1.1100000000000002E-6</v>
      </c>
      <c r="BF239" s="157">
        <f>IF(AY239&lt;$B$89*DATA!$H$1037,DATA!$H$1037,IF(AY239&gt;DATA!$H$1036*$B$89,DATA!$H$1036,1))</f>
        <v>1.2</v>
      </c>
      <c r="BG239" s="156">
        <f t="shared" si="87"/>
        <v>9.9999999999999995E-8</v>
      </c>
      <c r="BI239" s="140">
        <f t="shared" si="88"/>
        <v>2.2200000000000004E-5</v>
      </c>
      <c r="BJ239">
        <v>2.2200000000000002</v>
      </c>
      <c r="BK239" s="140">
        <f t="shared" si="89"/>
        <v>2.2199999999999998E-7</v>
      </c>
      <c r="BL239" s="140">
        <f t="shared" si="90"/>
        <v>4.4400000000000001E-7</v>
      </c>
      <c r="BM239" s="140">
        <f t="shared" si="91"/>
        <v>6.6600000000000006E-7</v>
      </c>
      <c r="BN239" s="140">
        <f t="shared" si="92"/>
        <v>8.8800000000000022E-7</v>
      </c>
      <c r="BO239" s="140">
        <f t="shared" si="93"/>
        <v>1.1100000000000002E-6</v>
      </c>
      <c r="BP239" s="157">
        <f>IF(BI239&lt;$B$105*DATA!$H$1037,DATA!$H$1037,IF(BI239&gt;DATA!$H$1036*$B$105,DATA!$H$1036,1))</f>
        <v>1.2</v>
      </c>
      <c r="BQ239" s="156">
        <f t="shared" si="94"/>
        <v>9.9999999999999995E-8</v>
      </c>
    </row>
    <row r="240" spans="1:69">
      <c r="A240" s="140">
        <f t="shared" si="50"/>
        <v>2.2400000000000002E-5</v>
      </c>
      <c r="B240">
        <v>2.2400000000000002</v>
      </c>
      <c r="C240" s="140">
        <f t="shared" ref="C240:G271" si="95">C$142*$A240</f>
        <v>2.2399999999999994E-7</v>
      </c>
      <c r="D240" s="140">
        <f t="shared" si="95"/>
        <v>4.4799999999999999E-7</v>
      </c>
      <c r="E240" s="140">
        <f t="shared" si="95"/>
        <v>6.7200000000000009E-7</v>
      </c>
      <c r="F240" s="140">
        <f t="shared" si="95"/>
        <v>8.9600000000000008E-7</v>
      </c>
      <c r="G240" s="140">
        <f t="shared" si="95"/>
        <v>1.1200000000000001E-6</v>
      </c>
      <c r="H240" s="157">
        <f>IF(A240&lt;$B$9*DATA!$H$1037,DATA!$H$1037,IF(A240&gt;DATA!$H$1036*$B$9,DATA!$H$1036,1))</f>
        <v>0.8</v>
      </c>
      <c r="I240" s="156">
        <f t="shared" si="52"/>
        <v>9.9999999999999995E-8</v>
      </c>
      <c r="K240" s="140">
        <f t="shared" si="53"/>
        <v>2.2400000000000002E-5</v>
      </c>
      <c r="L240">
        <v>2.2400000000000002</v>
      </c>
      <c r="M240" s="140">
        <f t="shared" si="54"/>
        <v>2.2399999999999994E-7</v>
      </c>
      <c r="N240" s="140">
        <f t="shared" si="55"/>
        <v>4.4799999999999999E-7</v>
      </c>
      <c r="O240" s="140">
        <f t="shared" si="56"/>
        <v>6.7200000000000009E-7</v>
      </c>
      <c r="P240" s="140">
        <f t="shared" si="57"/>
        <v>8.9600000000000008E-7</v>
      </c>
      <c r="Q240" s="140">
        <f t="shared" si="58"/>
        <v>1.1200000000000001E-6</v>
      </c>
      <c r="R240" s="157">
        <f>IF(K240&lt;$B$25*DATA!$H$1037,DATA!$H$1037,IF(K240&gt;DATA!$H$1036*$B$25,DATA!$H$1036,1))</f>
        <v>0.8</v>
      </c>
      <c r="S240" s="156">
        <f t="shared" si="59"/>
        <v>9.9999999999999995E-8</v>
      </c>
      <c r="U240" s="140">
        <f t="shared" si="60"/>
        <v>2.2400000000000002E-5</v>
      </c>
      <c r="V240">
        <v>2.2400000000000002</v>
      </c>
      <c r="W240" s="140">
        <f t="shared" si="61"/>
        <v>2.2399999999999994E-7</v>
      </c>
      <c r="X240" s="140">
        <f t="shared" si="62"/>
        <v>4.4799999999999999E-7</v>
      </c>
      <c r="Y240" s="140">
        <f t="shared" si="63"/>
        <v>6.7200000000000009E-7</v>
      </c>
      <c r="Z240" s="140">
        <f t="shared" si="64"/>
        <v>8.9600000000000008E-7</v>
      </c>
      <c r="AA240" s="140">
        <f t="shared" si="65"/>
        <v>1.1200000000000001E-6</v>
      </c>
      <c r="AB240" s="157">
        <f>IF(U240&lt;$B$41*DATA!$H$1037,DATA!$H$1037,IF(U240&gt;DATA!$H$1036*$B$41,DATA!$H$1036,1))</f>
        <v>0.8</v>
      </c>
      <c r="AC240" s="156">
        <f t="shared" si="66"/>
        <v>9.9999999999999995E-8</v>
      </c>
      <c r="AE240" s="140">
        <f t="shared" si="67"/>
        <v>2.2400000000000002E-5</v>
      </c>
      <c r="AF240">
        <v>2.2400000000000002</v>
      </c>
      <c r="AG240" s="140">
        <f t="shared" si="68"/>
        <v>2.2399999999999994E-7</v>
      </c>
      <c r="AH240" s="140">
        <f t="shared" si="69"/>
        <v>4.4799999999999999E-7</v>
      </c>
      <c r="AI240" s="140">
        <f t="shared" si="70"/>
        <v>6.7200000000000009E-7</v>
      </c>
      <c r="AJ240" s="140">
        <f t="shared" si="71"/>
        <v>8.9600000000000008E-7</v>
      </c>
      <c r="AK240" s="140">
        <f t="shared" si="72"/>
        <v>1.1200000000000001E-6</v>
      </c>
      <c r="AL240" s="157">
        <f>IF(AE240&lt;$B$57*DATA!$H$1037,DATA!$H$1037,IF(AE240&gt;DATA!$H$1036*$B$57,DATA!$H$1036,1))</f>
        <v>1.2</v>
      </c>
      <c r="AM240" s="156">
        <f t="shared" si="73"/>
        <v>9.9999999999999995E-8</v>
      </c>
      <c r="AO240" s="140">
        <f t="shared" si="74"/>
        <v>2.2400000000000002E-5</v>
      </c>
      <c r="AP240">
        <v>2.2400000000000002</v>
      </c>
      <c r="AQ240" s="140">
        <f t="shared" si="75"/>
        <v>2.2399999999999994E-7</v>
      </c>
      <c r="AR240" s="140">
        <f t="shared" si="76"/>
        <v>4.4799999999999999E-7</v>
      </c>
      <c r="AS240" s="140">
        <f t="shared" si="77"/>
        <v>6.7200000000000009E-7</v>
      </c>
      <c r="AT240" s="140">
        <f t="shared" si="78"/>
        <v>8.9600000000000008E-7</v>
      </c>
      <c r="AU240" s="140">
        <f t="shared" si="79"/>
        <v>1.1200000000000001E-6</v>
      </c>
      <c r="AV240" s="157">
        <f>IF(AO240&lt;$B$73*DATA!$H$1037,DATA!$H$1037,IF(AO240&gt;DATA!$H$1036*$B$73,DATA!$H$1036,1))</f>
        <v>1.2</v>
      </c>
      <c r="AW240" s="156">
        <f t="shared" si="80"/>
        <v>9.9999999999999995E-8</v>
      </c>
      <c r="AY240" s="140">
        <f t="shared" si="81"/>
        <v>2.2400000000000002E-5</v>
      </c>
      <c r="AZ240">
        <v>2.2400000000000002</v>
      </c>
      <c r="BA240" s="140">
        <f t="shared" si="82"/>
        <v>2.2399999999999994E-7</v>
      </c>
      <c r="BB240" s="140">
        <f t="shared" si="83"/>
        <v>4.4799999999999999E-7</v>
      </c>
      <c r="BC240" s="140">
        <f t="shared" si="84"/>
        <v>6.7200000000000009E-7</v>
      </c>
      <c r="BD240" s="140">
        <f t="shared" si="85"/>
        <v>8.9600000000000008E-7</v>
      </c>
      <c r="BE240" s="140">
        <f t="shared" si="86"/>
        <v>1.1200000000000001E-6</v>
      </c>
      <c r="BF240" s="157">
        <f>IF(AY240&lt;$B$89*DATA!$H$1037,DATA!$H$1037,IF(AY240&gt;DATA!$H$1036*$B$89,DATA!$H$1036,1))</f>
        <v>1.2</v>
      </c>
      <c r="BG240" s="156">
        <f t="shared" si="87"/>
        <v>9.9999999999999995E-8</v>
      </c>
      <c r="BI240" s="140">
        <f t="shared" si="88"/>
        <v>2.2400000000000002E-5</v>
      </c>
      <c r="BJ240">
        <v>2.2400000000000002</v>
      </c>
      <c r="BK240" s="140">
        <f t="shared" si="89"/>
        <v>2.2399999999999994E-7</v>
      </c>
      <c r="BL240" s="140">
        <f t="shared" si="90"/>
        <v>4.4799999999999999E-7</v>
      </c>
      <c r="BM240" s="140">
        <f t="shared" si="91"/>
        <v>6.7200000000000009E-7</v>
      </c>
      <c r="BN240" s="140">
        <f t="shared" si="92"/>
        <v>8.9600000000000008E-7</v>
      </c>
      <c r="BO240" s="140">
        <f t="shared" si="93"/>
        <v>1.1200000000000001E-6</v>
      </c>
      <c r="BP240" s="157">
        <f>IF(BI240&lt;$B$105*DATA!$H$1037,DATA!$H$1037,IF(BI240&gt;DATA!$H$1036*$B$105,DATA!$H$1036,1))</f>
        <v>1.2</v>
      </c>
      <c r="BQ240" s="156">
        <f t="shared" si="94"/>
        <v>9.9999999999999995E-8</v>
      </c>
    </row>
    <row r="241" spans="1:69">
      <c r="A241" s="140">
        <f t="shared" si="50"/>
        <v>2.26E-5</v>
      </c>
      <c r="B241">
        <v>2.2599999999999998</v>
      </c>
      <c r="C241" s="140">
        <f t="shared" si="95"/>
        <v>2.2599999999999993E-7</v>
      </c>
      <c r="D241" s="140">
        <f t="shared" si="95"/>
        <v>4.5199999999999992E-7</v>
      </c>
      <c r="E241" s="140">
        <f t="shared" si="95"/>
        <v>6.7800000000000001E-7</v>
      </c>
      <c r="F241" s="140">
        <f t="shared" si="95"/>
        <v>9.0400000000000005E-7</v>
      </c>
      <c r="G241" s="140">
        <f t="shared" si="95"/>
        <v>1.13E-6</v>
      </c>
      <c r="H241" s="157">
        <f>IF(A241&lt;$B$9*DATA!$H$1037,DATA!$H$1037,IF(A241&gt;DATA!$H$1036*$B$9,DATA!$H$1036,1))</f>
        <v>0.8</v>
      </c>
      <c r="I241" s="156">
        <f t="shared" si="52"/>
        <v>9.9999999999999995E-8</v>
      </c>
      <c r="K241" s="140">
        <f t="shared" si="53"/>
        <v>2.26E-5</v>
      </c>
      <c r="L241">
        <v>2.2599999999999998</v>
      </c>
      <c r="M241" s="140">
        <f t="shared" si="54"/>
        <v>2.2599999999999993E-7</v>
      </c>
      <c r="N241" s="140">
        <f t="shared" si="55"/>
        <v>4.5199999999999992E-7</v>
      </c>
      <c r="O241" s="140">
        <f t="shared" si="56"/>
        <v>6.7800000000000001E-7</v>
      </c>
      <c r="P241" s="140">
        <f t="shared" si="57"/>
        <v>9.0400000000000005E-7</v>
      </c>
      <c r="Q241" s="140">
        <f t="shared" si="58"/>
        <v>1.13E-6</v>
      </c>
      <c r="R241" s="157">
        <f>IF(K241&lt;$B$25*DATA!$H$1037,DATA!$H$1037,IF(K241&gt;DATA!$H$1036*$B$25,DATA!$H$1036,1))</f>
        <v>0.8</v>
      </c>
      <c r="S241" s="156">
        <f t="shared" si="59"/>
        <v>9.9999999999999995E-8</v>
      </c>
      <c r="U241" s="140">
        <f t="shared" si="60"/>
        <v>2.26E-5</v>
      </c>
      <c r="V241">
        <v>2.2599999999999998</v>
      </c>
      <c r="W241" s="140">
        <f t="shared" si="61"/>
        <v>2.2599999999999993E-7</v>
      </c>
      <c r="X241" s="140">
        <f t="shared" si="62"/>
        <v>4.5199999999999992E-7</v>
      </c>
      <c r="Y241" s="140">
        <f t="shared" si="63"/>
        <v>6.7800000000000001E-7</v>
      </c>
      <c r="Z241" s="140">
        <f t="shared" si="64"/>
        <v>9.0400000000000005E-7</v>
      </c>
      <c r="AA241" s="140">
        <f t="shared" si="65"/>
        <v>1.13E-6</v>
      </c>
      <c r="AB241" s="157">
        <f>IF(U241&lt;$B$41*DATA!$H$1037,DATA!$H$1037,IF(U241&gt;DATA!$H$1036*$B$41,DATA!$H$1036,1))</f>
        <v>0.8</v>
      </c>
      <c r="AC241" s="156">
        <f t="shared" si="66"/>
        <v>9.9999999999999995E-8</v>
      </c>
      <c r="AE241" s="140">
        <f t="shared" si="67"/>
        <v>2.26E-5</v>
      </c>
      <c r="AF241">
        <v>2.2599999999999998</v>
      </c>
      <c r="AG241" s="140">
        <f t="shared" si="68"/>
        <v>2.2599999999999993E-7</v>
      </c>
      <c r="AH241" s="140">
        <f t="shared" si="69"/>
        <v>4.5199999999999992E-7</v>
      </c>
      <c r="AI241" s="140">
        <f t="shared" si="70"/>
        <v>6.7800000000000001E-7</v>
      </c>
      <c r="AJ241" s="140">
        <f t="shared" si="71"/>
        <v>9.0400000000000005E-7</v>
      </c>
      <c r="AK241" s="140">
        <f t="shared" si="72"/>
        <v>1.13E-6</v>
      </c>
      <c r="AL241" s="157">
        <f>IF(AE241&lt;$B$57*DATA!$H$1037,DATA!$H$1037,IF(AE241&gt;DATA!$H$1036*$B$57,DATA!$H$1036,1))</f>
        <v>1.2</v>
      </c>
      <c r="AM241" s="156">
        <f t="shared" si="73"/>
        <v>9.9999999999999995E-8</v>
      </c>
      <c r="AO241" s="140">
        <f t="shared" si="74"/>
        <v>2.26E-5</v>
      </c>
      <c r="AP241">
        <v>2.2599999999999998</v>
      </c>
      <c r="AQ241" s="140">
        <f t="shared" si="75"/>
        <v>2.2599999999999993E-7</v>
      </c>
      <c r="AR241" s="140">
        <f t="shared" si="76"/>
        <v>4.5199999999999992E-7</v>
      </c>
      <c r="AS241" s="140">
        <f t="shared" si="77"/>
        <v>6.7800000000000001E-7</v>
      </c>
      <c r="AT241" s="140">
        <f t="shared" si="78"/>
        <v>9.0400000000000005E-7</v>
      </c>
      <c r="AU241" s="140">
        <f t="shared" si="79"/>
        <v>1.13E-6</v>
      </c>
      <c r="AV241" s="157">
        <f>IF(AO241&lt;$B$73*DATA!$H$1037,DATA!$H$1037,IF(AO241&gt;DATA!$H$1036*$B$73,DATA!$H$1036,1))</f>
        <v>1.2</v>
      </c>
      <c r="AW241" s="156">
        <f t="shared" si="80"/>
        <v>9.9999999999999995E-8</v>
      </c>
      <c r="AY241" s="140">
        <f t="shared" si="81"/>
        <v>2.26E-5</v>
      </c>
      <c r="AZ241">
        <v>2.2599999999999998</v>
      </c>
      <c r="BA241" s="140">
        <f t="shared" si="82"/>
        <v>2.2599999999999993E-7</v>
      </c>
      <c r="BB241" s="140">
        <f t="shared" si="83"/>
        <v>4.5199999999999992E-7</v>
      </c>
      <c r="BC241" s="140">
        <f t="shared" si="84"/>
        <v>6.7800000000000001E-7</v>
      </c>
      <c r="BD241" s="140">
        <f t="shared" si="85"/>
        <v>9.0400000000000005E-7</v>
      </c>
      <c r="BE241" s="140">
        <f t="shared" si="86"/>
        <v>1.13E-6</v>
      </c>
      <c r="BF241" s="157">
        <f>IF(AY241&lt;$B$89*DATA!$H$1037,DATA!$H$1037,IF(AY241&gt;DATA!$H$1036*$B$89,DATA!$H$1036,1))</f>
        <v>1.2</v>
      </c>
      <c r="BG241" s="156">
        <f t="shared" si="87"/>
        <v>9.9999999999999995E-8</v>
      </c>
      <c r="BI241" s="140">
        <f t="shared" si="88"/>
        <v>2.26E-5</v>
      </c>
      <c r="BJ241">
        <v>2.2599999999999998</v>
      </c>
      <c r="BK241" s="140">
        <f t="shared" si="89"/>
        <v>2.2599999999999993E-7</v>
      </c>
      <c r="BL241" s="140">
        <f t="shared" si="90"/>
        <v>4.5199999999999992E-7</v>
      </c>
      <c r="BM241" s="140">
        <f t="shared" si="91"/>
        <v>6.7800000000000001E-7</v>
      </c>
      <c r="BN241" s="140">
        <f t="shared" si="92"/>
        <v>9.0400000000000005E-7</v>
      </c>
      <c r="BO241" s="140">
        <f t="shared" si="93"/>
        <v>1.13E-6</v>
      </c>
      <c r="BP241" s="157">
        <f>IF(BI241&lt;$B$105*DATA!$H$1037,DATA!$H$1037,IF(BI241&gt;DATA!$H$1036*$B$105,DATA!$H$1036,1))</f>
        <v>1.2</v>
      </c>
      <c r="BQ241" s="156">
        <f t="shared" si="94"/>
        <v>9.9999999999999995E-8</v>
      </c>
    </row>
    <row r="242" spans="1:69">
      <c r="A242" s="140">
        <f t="shared" si="50"/>
        <v>2.2799999999999999E-5</v>
      </c>
      <c r="B242">
        <v>2.2799999999999998</v>
      </c>
      <c r="C242" s="140">
        <f t="shared" si="95"/>
        <v>2.2799999999999992E-7</v>
      </c>
      <c r="D242" s="140">
        <f t="shared" si="95"/>
        <v>4.559999999999999E-7</v>
      </c>
      <c r="E242" s="140">
        <f t="shared" si="95"/>
        <v>6.8399999999999993E-7</v>
      </c>
      <c r="F242" s="140">
        <f t="shared" si="95"/>
        <v>9.1199999999999991E-7</v>
      </c>
      <c r="G242" s="140">
        <f t="shared" si="95"/>
        <v>1.1399999999999999E-6</v>
      </c>
      <c r="H242" s="157">
        <f>IF(A242&lt;$B$9*DATA!$H$1037,DATA!$H$1037,IF(A242&gt;DATA!$H$1036*$B$9,DATA!$H$1036,1))</f>
        <v>0.8</v>
      </c>
      <c r="I242" s="156">
        <f t="shared" si="52"/>
        <v>9.9999999999999995E-8</v>
      </c>
      <c r="K242" s="140">
        <f t="shared" si="53"/>
        <v>2.2799999999999999E-5</v>
      </c>
      <c r="L242">
        <v>2.2799999999999998</v>
      </c>
      <c r="M242" s="140">
        <f t="shared" si="54"/>
        <v>2.2799999999999992E-7</v>
      </c>
      <c r="N242" s="140">
        <f t="shared" si="55"/>
        <v>4.559999999999999E-7</v>
      </c>
      <c r="O242" s="140">
        <f t="shared" si="56"/>
        <v>6.8399999999999993E-7</v>
      </c>
      <c r="P242" s="140">
        <f t="shared" si="57"/>
        <v>9.1199999999999991E-7</v>
      </c>
      <c r="Q242" s="140">
        <f t="shared" si="58"/>
        <v>1.1399999999999999E-6</v>
      </c>
      <c r="R242" s="157">
        <f>IF(K242&lt;$B$25*DATA!$H$1037,DATA!$H$1037,IF(K242&gt;DATA!$H$1036*$B$25,DATA!$H$1036,1))</f>
        <v>0.8</v>
      </c>
      <c r="S242" s="156">
        <f t="shared" si="59"/>
        <v>9.9999999999999995E-8</v>
      </c>
      <c r="U242" s="140">
        <f t="shared" si="60"/>
        <v>2.2799999999999999E-5</v>
      </c>
      <c r="V242">
        <v>2.2799999999999998</v>
      </c>
      <c r="W242" s="140">
        <f t="shared" si="61"/>
        <v>2.2799999999999992E-7</v>
      </c>
      <c r="X242" s="140">
        <f t="shared" si="62"/>
        <v>4.559999999999999E-7</v>
      </c>
      <c r="Y242" s="140">
        <f t="shared" si="63"/>
        <v>6.8399999999999993E-7</v>
      </c>
      <c r="Z242" s="140">
        <f t="shared" si="64"/>
        <v>9.1199999999999991E-7</v>
      </c>
      <c r="AA242" s="140">
        <f t="shared" si="65"/>
        <v>1.1399999999999999E-6</v>
      </c>
      <c r="AB242" s="157">
        <f>IF(U242&lt;$B$41*DATA!$H$1037,DATA!$H$1037,IF(U242&gt;DATA!$H$1036*$B$41,DATA!$H$1036,1))</f>
        <v>0.8</v>
      </c>
      <c r="AC242" s="156">
        <f t="shared" si="66"/>
        <v>9.9999999999999995E-8</v>
      </c>
      <c r="AE242" s="140">
        <f t="shared" si="67"/>
        <v>2.2799999999999999E-5</v>
      </c>
      <c r="AF242">
        <v>2.2799999999999998</v>
      </c>
      <c r="AG242" s="140">
        <f t="shared" si="68"/>
        <v>2.2799999999999992E-7</v>
      </c>
      <c r="AH242" s="140">
        <f t="shared" si="69"/>
        <v>4.559999999999999E-7</v>
      </c>
      <c r="AI242" s="140">
        <f t="shared" si="70"/>
        <v>6.8399999999999993E-7</v>
      </c>
      <c r="AJ242" s="140">
        <f t="shared" si="71"/>
        <v>9.1199999999999991E-7</v>
      </c>
      <c r="AK242" s="140">
        <f t="shared" si="72"/>
        <v>1.1399999999999999E-6</v>
      </c>
      <c r="AL242" s="157">
        <f>IF(AE242&lt;$B$57*DATA!$H$1037,DATA!$H$1037,IF(AE242&gt;DATA!$H$1036*$B$57,DATA!$H$1036,1))</f>
        <v>1.2</v>
      </c>
      <c r="AM242" s="156">
        <f t="shared" si="73"/>
        <v>9.9999999999999995E-8</v>
      </c>
      <c r="AO242" s="140">
        <f t="shared" si="74"/>
        <v>2.2799999999999999E-5</v>
      </c>
      <c r="AP242">
        <v>2.2799999999999998</v>
      </c>
      <c r="AQ242" s="140">
        <f t="shared" si="75"/>
        <v>2.2799999999999992E-7</v>
      </c>
      <c r="AR242" s="140">
        <f t="shared" si="76"/>
        <v>4.559999999999999E-7</v>
      </c>
      <c r="AS242" s="140">
        <f t="shared" si="77"/>
        <v>6.8399999999999993E-7</v>
      </c>
      <c r="AT242" s="140">
        <f t="shared" si="78"/>
        <v>9.1199999999999991E-7</v>
      </c>
      <c r="AU242" s="140">
        <f t="shared" si="79"/>
        <v>1.1399999999999999E-6</v>
      </c>
      <c r="AV242" s="157">
        <f>IF(AO242&lt;$B$73*DATA!$H$1037,DATA!$H$1037,IF(AO242&gt;DATA!$H$1036*$B$73,DATA!$H$1036,1))</f>
        <v>1.2</v>
      </c>
      <c r="AW242" s="156">
        <f t="shared" si="80"/>
        <v>9.9999999999999995E-8</v>
      </c>
      <c r="AY242" s="140">
        <f t="shared" si="81"/>
        <v>2.2799999999999999E-5</v>
      </c>
      <c r="AZ242">
        <v>2.2799999999999998</v>
      </c>
      <c r="BA242" s="140">
        <f t="shared" si="82"/>
        <v>2.2799999999999992E-7</v>
      </c>
      <c r="BB242" s="140">
        <f t="shared" si="83"/>
        <v>4.559999999999999E-7</v>
      </c>
      <c r="BC242" s="140">
        <f t="shared" si="84"/>
        <v>6.8399999999999993E-7</v>
      </c>
      <c r="BD242" s="140">
        <f t="shared" si="85"/>
        <v>9.1199999999999991E-7</v>
      </c>
      <c r="BE242" s="140">
        <f t="shared" si="86"/>
        <v>1.1399999999999999E-6</v>
      </c>
      <c r="BF242" s="157">
        <f>IF(AY242&lt;$B$89*DATA!$H$1037,DATA!$H$1037,IF(AY242&gt;DATA!$H$1036*$B$89,DATA!$H$1036,1))</f>
        <v>1.2</v>
      </c>
      <c r="BG242" s="156">
        <f t="shared" si="87"/>
        <v>9.9999999999999995E-8</v>
      </c>
      <c r="BI242" s="140">
        <f t="shared" si="88"/>
        <v>2.2799999999999999E-5</v>
      </c>
      <c r="BJ242">
        <v>2.2799999999999998</v>
      </c>
      <c r="BK242" s="140">
        <f t="shared" si="89"/>
        <v>2.2799999999999992E-7</v>
      </c>
      <c r="BL242" s="140">
        <f t="shared" si="90"/>
        <v>4.559999999999999E-7</v>
      </c>
      <c r="BM242" s="140">
        <f t="shared" si="91"/>
        <v>6.8399999999999993E-7</v>
      </c>
      <c r="BN242" s="140">
        <f t="shared" si="92"/>
        <v>9.1199999999999991E-7</v>
      </c>
      <c r="BO242" s="140">
        <f t="shared" si="93"/>
        <v>1.1399999999999999E-6</v>
      </c>
      <c r="BP242" s="157">
        <f>IF(BI242&lt;$B$105*DATA!$H$1037,DATA!$H$1037,IF(BI242&gt;DATA!$H$1036*$B$105,DATA!$H$1036,1))</f>
        <v>1.2</v>
      </c>
      <c r="BQ242" s="156">
        <f t="shared" si="94"/>
        <v>9.9999999999999995E-8</v>
      </c>
    </row>
    <row r="243" spans="1:69">
      <c r="A243" s="140">
        <f t="shared" si="50"/>
        <v>2.3E-5</v>
      </c>
      <c r="B243">
        <v>2.2999999999999998</v>
      </c>
      <c r="C243" s="140">
        <f t="shared" si="95"/>
        <v>2.2999999999999992E-7</v>
      </c>
      <c r="D243" s="140">
        <f t="shared" si="95"/>
        <v>4.5999999999999994E-7</v>
      </c>
      <c r="E243" s="140">
        <f t="shared" si="95"/>
        <v>6.8999999999999996E-7</v>
      </c>
      <c r="F243" s="140">
        <f t="shared" si="95"/>
        <v>9.1999999999999998E-7</v>
      </c>
      <c r="G243" s="140">
        <f t="shared" si="95"/>
        <v>1.15E-6</v>
      </c>
      <c r="H243" s="157">
        <f>IF(A243&lt;$B$9*DATA!$H$1037,DATA!$H$1037,IF(A243&gt;DATA!$H$1036*$B$9,DATA!$H$1036,1))</f>
        <v>0.8</v>
      </c>
      <c r="I243" s="156">
        <f t="shared" si="52"/>
        <v>9.9999999999999995E-8</v>
      </c>
      <c r="K243" s="140">
        <f t="shared" si="53"/>
        <v>2.3E-5</v>
      </c>
      <c r="L243">
        <v>2.2999999999999998</v>
      </c>
      <c r="M243" s="140">
        <f t="shared" si="54"/>
        <v>2.2999999999999992E-7</v>
      </c>
      <c r="N243" s="140">
        <f t="shared" si="55"/>
        <v>4.5999999999999994E-7</v>
      </c>
      <c r="O243" s="140">
        <f t="shared" si="56"/>
        <v>6.8999999999999996E-7</v>
      </c>
      <c r="P243" s="140">
        <f t="shared" si="57"/>
        <v>9.1999999999999998E-7</v>
      </c>
      <c r="Q243" s="140">
        <f t="shared" si="58"/>
        <v>1.15E-6</v>
      </c>
      <c r="R243" s="157">
        <f>IF(K243&lt;$B$25*DATA!$H$1037,DATA!$H$1037,IF(K243&gt;DATA!$H$1036*$B$25,DATA!$H$1036,1))</f>
        <v>0.8</v>
      </c>
      <c r="S243" s="156">
        <f t="shared" si="59"/>
        <v>9.9999999999999995E-8</v>
      </c>
      <c r="U243" s="140">
        <f t="shared" si="60"/>
        <v>2.3E-5</v>
      </c>
      <c r="V243">
        <v>2.2999999999999998</v>
      </c>
      <c r="W243" s="140">
        <f t="shared" si="61"/>
        <v>2.2999999999999992E-7</v>
      </c>
      <c r="X243" s="140">
        <f t="shared" si="62"/>
        <v>4.5999999999999994E-7</v>
      </c>
      <c r="Y243" s="140">
        <f t="shared" si="63"/>
        <v>6.8999999999999996E-7</v>
      </c>
      <c r="Z243" s="140">
        <f t="shared" si="64"/>
        <v>9.1999999999999998E-7</v>
      </c>
      <c r="AA243" s="140">
        <f t="shared" si="65"/>
        <v>1.15E-6</v>
      </c>
      <c r="AB243" s="157">
        <f>IF(U243&lt;$B$41*DATA!$H$1037,DATA!$H$1037,IF(U243&gt;DATA!$H$1036*$B$41,DATA!$H$1036,1))</f>
        <v>0.8</v>
      </c>
      <c r="AC243" s="156">
        <f t="shared" si="66"/>
        <v>9.9999999999999995E-8</v>
      </c>
      <c r="AE243" s="140">
        <f t="shared" si="67"/>
        <v>2.3E-5</v>
      </c>
      <c r="AF243">
        <v>2.2999999999999998</v>
      </c>
      <c r="AG243" s="140">
        <f t="shared" si="68"/>
        <v>2.2999999999999992E-7</v>
      </c>
      <c r="AH243" s="140">
        <f t="shared" si="69"/>
        <v>4.5999999999999994E-7</v>
      </c>
      <c r="AI243" s="140">
        <f t="shared" si="70"/>
        <v>6.8999999999999996E-7</v>
      </c>
      <c r="AJ243" s="140">
        <f t="shared" si="71"/>
        <v>9.1999999999999998E-7</v>
      </c>
      <c r="AK243" s="140">
        <f t="shared" si="72"/>
        <v>1.15E-6</v>
      </c>
      <c r="AL243" s="157">
        <f>IF(AE243&lt;$B$57*DATA!$H$1037,DATA!$H$1037,IF(AE243&gt;DATA!$H$1036*$B$57,DATA!$H$1036,1))</f>
        <v>1.2</v>
      </c>
      <c r="AM243" s="156">
        <f t="shared" si="73"/>
        <v>9.9999999999999995E-8</v>
      </c>
      <c r="AO243" s="140">
        <f t="shared" si="74"/>
        <v>2.3E-5</v>
      </c>
      <c r="AP243">
        <v>2.2999999999999998</v>
      </c>
      <c r="AQ243" s="140">
        <f t="shared" si="75"/>
        <v>2.2999999999999992E-7</v>
      </c>
      <c r="AR243" s="140">
        <f t="shared" si="76"/>
        <v>4.5999999999999994E-7</v>
      </c>
      <c r="AS243" s="140">
        <f t="shared" si="77"/>
        <v>6.8999999999999996E-7</v>
      </c>
      <c r="AT243" s="140">
        <f t="shared" si="78"/>
        <v>9.1999999999999998E-7</v>
      </c>
      <c r="AU243" s="140">
        <f t="shared" si="79"/>
        <v>1.15E-6</v>
      </c>
      <c r="AV243" s="157">
        <f>IF(AO243&lt;$B$73*DATA!$H$1037,DATA!$H$1037,IF(AO243&gt;DATA!$H$1036*$B$73,DATA!$H$1036,1))</f>
        <v>1.2</v>
      </c>
      <c r="AW243" s="156">
        <f t="shared" si="80"/>
        <v>9.9999999999999995E-8</v>
      </c>
      <c r="AY243" s="140">
        <f t="shared" si="81"/>
        <v>2.3E-5</v>
      </c>
      <c r="AZ243">
        <v>2.2999999999999998</v>
      </c>
      <c r="BA243" s="140">
        <f t="shared" si="82"/>
        <v>2.2999999999999992E-7</v>
      </c>
      <c r="BB243" s="140">
        <f t="shared" si="83"/>
        <v>4.5999999999999994E-7</v>
      </c>
      <c r="BC243" s="140">
        <f t="shared" si="84"/>
        <v>6.8999999999999996E-7</v>
      </c>
      <c r="BD243" s="140">
        <f t="shared" si="85"/>
        <v>9.1999999999999998E-7</v>
      </c>
      <c r="BE243" s="140">
        <f t="shared" si="86"/>
        <v>1.15E-6</v>
      </c>
      <c r="BF243" s="157">
        <f>IF(AY243&lt;$B$89*DATA!$H$1037,DATA!$H$1037,IF(AY243&gt;DATA!$H$1036*$B$89,DATA!$H$1036,1))</f>
        <v>1.2</v>
      </c>
      <c r="BG243" s="156">
        <f t="shared" si="87"/>
        <v>9.9999999999999995E-8</v>
      </c>
      <c r="BI243" s="140">
        <f t="shared" si="88"/>
        <v>2.3E-5</v>
      </c>
      <c r="BJ243">
        <v>2.2999999999999998</v>
      </c>
      <c r="BK243" s="140">
        <f t="shared" si="89"/>
        <v>2.2999999999999992E-7</v>
      </c>
      <c r="BL243" s="140">
        <f t="shared" si="90"/>
        <v>4.5999999999999994E-7</v>
      </c>
      <c r="BM243" s="140">
        <f t="shared" si="91"/>
        <v>6.8999999999999996E-7</v>
      </c>
      <c r="BN243" s="140">
        <f t="shared" si="92"/>
        <v>9.1999999999999998E-7</v>
      </c>
      <c r="BO243" s="140">
        <f t="shared" si="93"/>
        <v>1.15E-6</v>
      </c>
      <c r="BP243" s="157">
        <f>IF(BI243&lt;$B$105*DATA!$H$1037,DATA!$H$1037,IF(BI243&gt;DATA!$H$1036*$B$105,DATA!$H$1036,1))</f>
        <v>1.2</v>
      </c>
      <c r="BQ243" s="156">
        <f t="shared" si="94"/>
        <v>9.9999999999999995E-8</v>
      </c>
    </row>
    <row r="244" spans="1:69">
      <c r="A244" s="140">
        <f t="shared" si="50"/>
        <v>2.3200000000000001E-5</v>
      </c>
      <c r="B244">
        <v>2.3199999999999998</v>
      </c>
      <c r="C244" s="140">
        <f t="shared" si="95"/>
        <v>2.3199999999999993E-7</v>
      </c>
      <c r="D244" s="140">
        <f t="shared" si="95"/>
        <v>4.6399999999999997E-7</v>
      </c>
      <c r="E244" s="140">
        <f t="shared" si="95"/>
        <v>6.9599999999999999E-7</v>
      </c>
      <c r="F244" s="140">
        <f t="shared" si="95"/>
        <v>9.2800000000000005E-7</v>
      </c>
      <c r="G244" s="140">
        <f t="shared" si="95"/>
        <v>1.1600000000000001E-6</v>
      </c>
      <c r="H244" s="157">
        <f>IF(A244&lt;$B$9*DATA!$H$1037,DATA!$H$1037,IF(A244&gt;DATA!$H$1036*$B$9,DATA!$H$1036,1))</f>
        <v>0.8</v>
      </c>
      <c r="I244" s="156">
        <f t="shared" si="52"/>
        <v>9.9999999999999995E-8</v>
      </c>
      <c r="K244" s="140">
        <f t="shared" si="53"/>
        <v>2.3200000000000001E-5</v>
      </c>
      <c r="L244">
        <v>2.3199999999999998</v>
      </c>
      <c r="M244" s="140">
        <f t="shared" si="54"/>
        <v>2.3199999999999993E-7</v>
      </c>
      <c r="N244" s="140">
        <f t="shared" si="55"/>
        <v>4.6399999999999997E-7</v>
      </c>
      <c r="O244" s="140">
        <f t="shared" si="56"/>
        <v>6.9599999999999999E-7</v>
      </c>
      <c r="P244" s="140">
        <f t="shared" si="57"/>
        <v>9.2800000000000005E-7</v>
      </c>
      <c r="Q244" s="140">
        <f t="shared" si="58"/>
        <v>1.1600000000000001E-6</v>
      </c>
      <c r="R244" s="157">
        <f>IF(K244&lt;$B$25*DATA!$H$1037,DATA!$H$1037,IF(K244&gt;DATA!$H$1036*$B$25,DATA!$H$1036,1))</f>
        <v>0.8</v>
      </c>
      <c r="S244" s="156">
        <f t="shared" si="59"/>
        <v>9.9999999999999995E-8</v>
      </c>
      <c r="U244" s="140">
        <f t="shared" si="60"/>
        <v>2.3200000000000001E-5</v>
      </c>
      <c r="V244">
        <v>2.3199999999999998</v>
      </c>
      <c r="W244" s="140">
        <f t="shared" si="61"/>
        <v>2.3199999999999993E-7</v>
      </c>
      <c r="X244" s="140">
        <f t="shared" si="62"/>
        <v>4.6399999999999997E-7</v>
      </c>
      <c r="Y244" s="140">
        <f t="shared" si="63"/>
        <v>6.9599999999999999E-7</v>
      </c>
      <c r="Z244" s="140">
        <f t="shared" si="64"/>
        <v>9.2800000000000005E-7</v>
      </c>
      <c r="AA244" s="140">
        <f t="shared" si="65"/>
        <v>1.1600000000000001E-6</v>
      </c>
      <c r="AB244" s="157">
        <f>IF(U244&lt;$B$41*DATA!$H$1037,DATA!$H$1037,IF(U244&gt;DATA!$H$1036*$B$41,DATA!$H$1036,1))</f>
        <v>0.8</v>
      </c>
      <c r="AC244" s="156">
        <f t="shared" si="66"/>
        <v>9.9999999999999995E-8</v>
      </c>
      <c r="AE244" s="140">
        <f t="shared" si="67"/>
        <v>2.3200000000000001E-5</v>
      </c>
      <c r="AF244">
        <v>2.3199999999999998</v>
      </c>
      <c r="AG244" s="140">
        <f t="shared" si="68"/>
        <v>2.3199999999999993E-7</v>
      </c>
      <c r="AH244" s="140">
        <f t="shared" si="69"/>
        <v>4.6399999999999997E-7</v>
      </c>
      <c r="AI244" s="140">
        <f t="shared" si="70"/>
        <v>6.9599999999999999E-7</v>
      </c>
      <c r="AJ244" s="140">
        <f t="shared" si="71"/>
        <v>9.2800000000000005E-7</v>
      </c>
      <c r="AK244" s="140">
        <f t="shared" si="72"/>
        <v>1.1600000000000001E-6</v>
      </c>
      <c r="AL244" s="157">
        <f>IF(AE244&lt;$B$57*DATA!$H$1037,DATA!$H$1037,IF(AE244&gt;DATA!$H$1036*$B$57,DATA!$H$1036,1))</f>
        <v>1.2</v>
      </c>
      <c r="AM244" s="156">
        <f t="shared" si="73"/>
        <v>9.9999999999999995E-8</v>
      </c>
      <c r="AO244" s="140">
        <f t="shared" si="74"/>
        <v>2.3200000000000001E-5</v>
      </c>
      <c r="AP244">
        <v>2.3199999999999998</v>
      </c>
      <c r="AQ244" s="140">
        <f t="shared" si="75"/>
        <v>2.3199999999999993E-7</v>
      </c>
      <c r="AR244" s="140">
        <f t="shared" si="76"/>
        <v>4.6399999999999997E-7</v>
      </c>
      <c r="AS244" s="140">
        <f t="shared" si="77"/>
        <v>6.9599999999999999E-7</v>
      </c>
      <c r="AT244" s="140">
        <f t="shared" si="78"/>
        <v>9.2800000000000005E-7</v>
      </c>
      <c r="AU244" s="140">
        <f t="shared" si="79"/>
        <v>1.1600000000000001E-6</v>
      </c>
      <c r="AV244" s="157">
        <f>IF(AO244&lt;$B$73*DATA!$H$1037,DATA!$H$1037,IF(AO244&gt;DATA!$H$1036*$B$73,DATA!$H$1036,1))</f>
        <v>1.2</v>
      </c>
      <c r="AW244" s="156">
        <f t="shared" si="80"/>
        <v>9.9999999999999995E-8</v>
      </c>
      <c r="AY244" s="140">
        <f t="shared" si="81"/>
        <v>2.3200000000000001E-5</v>
      </c>
      <c r="AZ244">
        <v>2.3199999999999998</v>
      </c>
      <c r="BA244" s="140">
        <f t="shared" si="82"/>
        <v>2.3199999999999993E-7</v>
      </c>
      <c r="BB244" s="140">
        <f t="shared" si="83"/>
        <v>4.6399999999999997E-7</v>
      </c>
      <c r="BC244" s="140">
        <f t="shared" si="84"/>
        <v>6.9599999999999999E-7</v>
      </c>
      <c r="BD244" s="140">
        <f t="shared" si="85"/>
        <v>9.2800000000000005E-7</v>
      </c>
      <c r="BE244" s="140">
        <f t="shared" si="86"/>
        <v>1.1600000000000001E-6</v>
      </c>
      <c r="BF244" s="157">
        <f>IF(AY244&lt;$B$89*DATA!$H$1037,DATA!$H$1037,IF(AY244&gt;DATA!$H$1036*$B$89,DATA!$H$1036,1))</f>
        <v>1.2</v>
      </c>
      <c r="BG244" s="156">
        <f t="shared" si="87"/>
        <v>9.9999999999999995E-8</v>
      </c>
      <c r="BI244" s="140">
        <f t="shared" si="88"/>
        <v>2.3200000000000001E-5</v>
      </c>
      <c r="BJ244">
        <v>2.3199999999999998</v>
      </c>
      <c r="BK244" s="140">
        <f t="shared" si="89"/>
        <v>2.3199999999999993E-7</v>
      </c>
      <c r="BL244" s="140">
        <f t="shared" si="90"/>
        <v>4.6399999999999997E-7</v>
      </c>
      <c r="BM244" s="140">
        <f t="shared" si="91"/>
        <v>6.9599999999999999E-7</v>
      </c>
      <c r="BN244" s="140">
        <f t="shared" si="92"/>
        <v>9.2800000000000005E-7</v>
      </c>
      <c r="BO244" s="140">
        <f t="shared" si="93"/>
        <v>1.1600000000000001E-6</v>
      </c>
      <c r="BP244" s="157">
        <f>IF(BI244&lt;$B$105*DATA!$H$1037,DATA!$H$1037,IF(BI244&gt;DATA!$H$1036*$B$105,DATA!$H$1036,1))</f>
        <v>1.2</v>
      </c>
      <c r="BQ244" s="156">
        <f t="shared" si="94"/>
        <v>9.9999999999999995E-8</v>
      </c>
    </row>
    <row r="245" spans="1:69">
      <c r="A245" s="140">
        <f t="shared" si="50"/>
        <v>2.34E-5</v>
      </c>
      <c r="B245">
        <v>2.34</v>
      </c>
      <c r="C245" s="140">
        <f t="shared" si="95"/>
        <v>2.3399999999999992E-7</v>
      </c>
      <c r="D245" s="140">
        <f t="shared" si="95"/>
        <v>4.679999999999999E-7</v>
      </c>
      <c r="E245" s="140">
        <f t="shared" si="95"/>
        <v>7.0200000000000001E-7</v>
      </c>
      <c r="F245" s="140">
        <f t="shared" si="95"/>
        <v>9.3600000000000002E-7</v>
      </c>
      <c r="G245" s="140">
        <f t="shared" si="95"/>
        <v>1.17E-6</v>
      </c>
      <c r="H245" s="157">
        <f>IF(A245&lt;$B$9*DATA!$H$1037,DATA!$H$1037,IF(A245&gt;DATA!$H$1036*$B$9,DATA!$H$1036,1))</f>
        <v>0.8</v>
      </c>
      <c r="I245" s="156">
        <f t="shared" si="52"/>
        <v>9.9999999999999995E-8</v>
      </c>
      <c r="K245" s="140">
        <f t="shared" si="53"/>
        <v>2.34E-5</v>
      </c>
      <c r="L245">
        <v>2.34</v>
      </c>
      <c r="M245" s="140">
        <f t="shared" si="54"/>
        <v>2.3399999999999992E-7</v>
      </c>
      <c r="N245" s="140">
        <f t="shared" si="55"/>
        <v>4.679999999999999E-7</v>
      </c>
      <c r="O245" s="140">
        <f t="shared" si="56"/>
        <v>7.0200000000000001E-7</v>
      </c>
      <c r="P245" s="140">
        <f t="shared" si="57"/>
        <v>9.3600000000000002E-7</v>
      </c>
      <c r="Q245" s="140">
        <f t="shared" si="58"/>
        <v>1.17E-6</v>
      </c>
      <c r="R245" s="157">
        <f>IF(K245&lt;$B$25*DATA!$H$1037,DATA!$H$1037,IF(K245&gt;DATA!$H$1036*$B$25,DATA!$H$1036,1))</f>
        <v>0.8</v>
      </c>
      <c r="S245" s="156">
        <f t="shared" si="59"/>
        <v>9.9999999999999995E-8</v>
      </c>
      <c r="U245" s="140">
        <f t="shared" si="60"/>
        <v>2.34E-5</v>
      </c>
      <c r="V245">
        <v>2.34</v>
      </c>
      <c r="W245" s="140">
        <f t="shared" si="61"/>
        <v>2.3399999999999992E-7</v>
      </c>
      <c r="X245" s="140">
        <f t="shared" si="62"/>
        <v>4.679999999999999E-7</v>
      </c>
      <c r="Y245" s="140">
        <f t="shared" si="63"/>
        <v>7.0200000000000001E-7</v>
      </c>
      <c r="Z245" s="140">
        <f t="shared" si="64"/>
        <v>9.3600000000000002E-7</v>
      </c>
      <c r="AA245" s="140">
        <f t="shared" si="65"/>
        <v>1.17E-6</v>
      </c>
      <c r="AB245" s="157">
        <f>IF(U245&lt;$B$41*DATA!$H$1037,DATA!$H$1037,IF(U245&gt;DATA!$H$1036*$B$41,DATA!$H$1036,1))</f>
        <v>0.8</v>
      </c>
      <c r="AC245" s="156">
        <f t="shared" si="66"/>
        <v>9.9999999999999995E-8</v>
      </c>
      <c r="AE245" s="140">
        <f t="shared" si="67"/>
        <v>2.34E-5</v>
      </c>
      <c r="AF245">
        <v>2.34</v>
      </c>
      <c r="AG245" s="140">
        <f t="shared" si="68"/>
        <v>2.3399999999999992E-7</v>
      </c>
      <c r="AH245" s="140">
        <f t="shared" si="69"/>
        <v>4.679999999999999E-7</v>
      </c>
      <c r="AI245" s="140">
        <f t="shared" si="70"/>
        <v>7.0200000000000001E-7</v>
      </c>
      <c r="AJ245" s="140">
        <f t="shared" si="71"/>
        <v>9.3600000000000002E-7</v>
      </c>
      <c r="AK245" s="140">
        <f t="shared" si="72"/>
        <v>1.17E-6</v>
      </c>
      <c r="AL245" s="157">
        <f>IF(AE245&lt;$B$57*DATA!$H$1037,DATA!$H$1037,IF(AE245&gt;DATA!$H$1036*$B$57,DATA!$H$1036,1))</f>
        <v>1.2</v>
      </c>
      <c r="AM245" s="156">
        <f t="shared" si="73"/>
        <v>9.9999999999999995E-8</v>
      </c>
      <c r="AO245" s="140">
        <f t="shared" si="74"/>
        <v>2.34E-5</v>
      </c>
      <c r="AP245">
        <v>2.34</v>
      </c>
      <c r="AQ245" s="140">
        <f t="shared" si="75"/>
        <v>2.3399999999999992E-7</v>
      </c>
      <c r="AR245" s="140">
        <f t="shared" si="76"/>
        <v>4.679999999999999E-7</v>
      </c>
      <c r="AS245" s="140">
        <f t="shared" si="77"/>
        <v>7.0200000000000001E-7</v>
      </c>
      <c r="AT245" s="140">
        <f t="shared" si="78"/>
        <v>9.3600000000000002E-7</v>
      </c>
      <c r="AU245" s="140">
        <f t="shared" si="79"/>
        <v>1.17E-6</v>
      </c>
      <c r="AV245" s="157">
        <f>IF(AO245&lt;$B$73*DATA!$H$1037,DATA!$H$1037,IF(AO245&gt;DATA!$H$1036*$B$73,DATA!$H$1036,1))</f>
        <v>1.2</v>
      </c>
      <c r="AW245" s="156">
        <f t="shared" si="80"/>
        <v>9.9999999999999995E-8</v>
      </c>
      <c r="AY245" s="140">
        <f t="shared" si="81"/>
        <v>2.34E-5</v>
      </c>
      <c r="AZ245">
        <v>2.34</v>
      </c>
      <c r="BA245" s="140">
        <f t="shared" si="82"/>
        <v>2.3399999999999992E-7</v>
      </c>
      <c r="BB245" s="140">
        <f t="shared" si="83"/>
        <v>4.679999999999999E-7</v>
      </c>
      <c r="BC245" s="140">
        <f t="shared" si="84"/>
        <v>7.0200000000000001E-7</v>
      </c>
      <c r="BD245" s="140">
        <f t="shared" si="85"/>
        <v>9.3600000000000002E-7</v>
      </c>
      <c r="BE245" s="140">
        <f t="shared" si="86"/>
        <v>1.17E-6</v>
      </c>
      <c r="BF245" s="157">
        <f>IF(AY245&lt;$B$89*DATA!$H$1037,DATA!$H$1037,IF(AY245&gt;DATA!$H$1036*$B$89,DATA!$H$1036,1))</f>
        <v>1.2</v>
      </c>
      <c r="BG245" s="156">
        <f t="shared" si="87"/>
        <v>9.9999999999999995E-8</v>
      </c>
      <c r="BI245" s="140">
        <f t="shared" si="88"/>
        <v>2.34E-5</v>
      </c>
      <c r="BJ245">
        <v>2.34</v>
      </c>
      <c r="BK245" s="140">
        <f t="shared" si="89"/>
        <v>2.3399999999999992E-7</v>
      </c>
      <c r="BL245" s="140">
        <f t="shared" si="90"/>
        <v>4.679999999999999E-7</v>
      </c>
      <c r="BM245" s="140">
        <f t="shared" si="91"/>
        <v>7.0200000000000001E-7</v>
      </c>
      <c r="BN245" s="140">
        <f t="shared" si="92"/>
        <v>9.3600000000000002E-7</v>
      </c>
      <c r="BO245" s="140">
        <f t="shared" si="93"/>
        <v>1.17E-6</v>
      </c>
      <c r="BP245" s="157">
        <f>IF(BI245&lt;$B$105*DATA!$H$1037,DATA!$H$1037,IF(BI245&gt;DATA!$H$1036*$B$105,DATA!$H$1036,1))</f>
        <v>1.2</v>
      </c>
      <c r="BQ245" s="156">
        <f t="shared" si="94"/>
        <v>9.9999999999999995E-8</v>
      </c>
    </row>
    <row r="246" spans="1:69">
      <c r="A246" s="140">
        <f t="shared" si="50"/>
        <v>2.3600000000000001E-5</v>
      </c>
      <c r="B246">
        <v>2.36</v>
      </c>
      <c r="C246" s="140">
        <f t="shared" si="95"/>
        <v>2.3599999999999994E-7</v>
      </c>
      <c r="D246" s="140">
        <f t="shared" si="95"/>
        <v>4.7199999999999994E-7</v>
      </c>
      <c r="E246" s="140">
        <f t="shared" si="95"/>
        <v>7.0800000000000004E-7</v>
      </c>
      <c r="F246" s="140">
        <f t="shared" si="95"/>
        <v>9.4400000000000009E-7</v>
      </c>
      <c r="G246" s="140">
        <f t="shared" si="95"/>
        <v>1.1800000000000001E-6</v>
      </c>
      <c r="H246" s="157">
        <f>IF(A246&lt;$B$9*DATA!$H$1037,DATA!$H$1037,IF(A246&gt;DATA!$H$1036*$B$9,DATA!$H$1036,1))</f>
        <v>0.8</v>
      </c>
      <c r="I246" s="156">
        <f t="shared" si="52"/>
        <v>9.9999999999999995E-8</v>
      </c>
      <c r="K246" s="140">
        <f t="shared" si="53"/>
        <v>2.3600000000000001E-5</v>
      </c>
      <c r="L246">
        <v>2.36</v>
      </c>
      <c r="M246" s="140">
        <f t="shared" si="54"/>
        <v>2.3599999999999994E-7</v>
      </c>
      <c r="N246" s="140">
        <f t="shared" si="55"/>
        <v>4.7199999999999994E-7</v>
      </c>
      <c r="O246" s="140">
        <f t="shared" si="56"/>
        <v>7.0800000000000004E-7</v>
      </c>
      <c r="P246" s="140">
        <f t="shared" si="57"/>
        <v>9.4400000000000009E-7</v>
      </c>
      <c r="Q246" s="140">
        <f t="shared" si="58"/>
        <v>1.1800000000000001E-6</v>
      </c>
      <c r="R246" s="157">
        <f>IF(K246&lt;$B$25*DATA!$H$1037,DATA!$H$1037,IF(K246&gt;DATA!$H$1036*$B$25,DATA!$H$1036,1))</f>
        <v>0.8</v>
      </c>
      <c r="S246" s="156">
        <f t="shared" si="59"/>
        <v>9.9999999999999995E-8</v>
      </c>
      <c r="U246" s="140">
        <f t="shared" si="60"/>
        <v>2.3600000000000001E-5</v>
      </c>
      <c r="V246">
        <v>2.36</v>
      </c>
      <c r="W246" s="140">
        <f t="shared" si="61"/>
        <v>2.3599999999999994E-7</v>
      </c>
      <c r="X246" s="140">
        <f t="shared" si="62"/>
        <v>4.7199999999999994E-7</v>
      </c>
      <c r="Y246" s="140">
        <f t="shared" si="63"/>
        <v>7.0800000000000004E-7</v>
      </c>
      <c r="Z246" s="140">
        <f t="shared" si="64"/>
        <v>9.4400000000000009E-7</v>
      </c>
      <c r="AA246" s="140">
        <f t="shared" si="65"/>
        <v>1.1800000000000001E-6</v>
      </c>
      <c r="AB246" s="157">
        <f>IF(U246&lt;$B$41*DATA!$H$1037,DATA!$H$1037,IF(U246&gt;DATA!$H$1036*$B$41,DATA!$H$1036,1))</f>
        <v>0.8</v>
      </c>
      <c r="AC246" s="156">
        <f t="shared" si="66"/>
        <v>9.9999999999999995E-8</v>
      </c>
      <c r="AE246" s="140">
        <f t="shared" si="67"/>
        <v>2.3600000000000001E-5</v>
      </c>
      <c r="AF246">
        <v>2.36</v>
      </c>
      <c r="AG246" s="140">
        <f t="shared" si="68"/>
        <v>2.3599999999999994E-7</v>
      </c>
      <c r="AH246" s="140">
        <f t="shared" si="69"/>
        <v>4.7199999999999994E-7</v>
      </c>
      <c r="AI246" s="140">
        <f t="shared" si="70"/>
        <v>7.0800000000000004E-7</v>
      </c>
      <c r="AJ246" s="140">
        <f t="shared" si="71"/>
        <v>9.4400000000000009E-7</v>
      </c>
      <c r="AK246" s="140">
        <f t="shared" si="72"/>
        <v>1.1800000000000001E-6</v>
      </c>
      <c r="AL246" s="157">
        <f>IF(AE246&lt;$B$57*DATA!$H$1037,DATA!$H$1037,IF(AE246&gt;DATA!$H$1036*$B$57,DATA!$H$1036,1))</f>
        <v>1.2</v>
      </c>
      <c r="AM246" s="156">
        <f t="shared" si="73"/>
        <v>9.9999999999999995E-8</v>
      </c>
      <c r="AO246" s="140">
        <f t="shared" si="74"/>
        <v>2.3600000000000001E-5</v>
      </c>
      <c r="AP246">
        <v>2.36</v>
      </c>
      <c r="AQ246" s="140">
        <f t="shared" si="75"/>
        <v>2.3599999999999994E-7</v>
      </c>
      <c r="AR246" s="140">
        <f t="shared" si="76"/>
        <v>4.7199999999999994E-7</v>
      </c>
      <c r="AS246" s="140">
        <f t="shared" si="77"/>
        <v>7.0800000000000004E-7</v>
      </c>
      <c r="AT246" s="140">
        <f t="shared" si="78"/>
        <v>9.4400000000000009E-7</v>
      </c>
      <c r="AU246" s="140">
        <f t="shared" si="79"/>
        <v>1.1800000000000001E-6</v>
      </c>
      <c r="AV246" s="157">
        <f>IF(AO246&lt;$B$73*DATA!$H$1037,DATA!$H$1037,IF(AO246&gt;DATA!$H$1036*$B$73,DATA!$H$1036,1))</f>
        <v>1.2</v>
      </c>
      <c r="AW246" s="156">
        <f t="shared" si="80"/>
        <v>9.9999999999999995E-8</v>
      </c>
      <c r="AY246" s="140">
        <f t="shared" si="81"/>
        <v>2.3600000000000001E-5</v>
      </c>
      <c r="AZ246">
        <v>2.36</v>
      </c>
      <c r="BA246" s="140">
        <f t="shared" si="82"/>
        <v>2.3599999999999994E-7</v>
      </c>
      <c r="BB246" s="140">
        <f t="shared" si="83"/>
        <v>4.7199999999999994E-7</v>
      </c>
      <c r="BC246" s="140">
        <f t="shared" si="84"/>
        <v>7.0800000000000004E-7</v>
      </c>
      <c r="BD246" s="140">
        <f t="shared" si="85"/>
        <v>9.4400000000000009E-7</v>
      </c>
      <c r="BE246" s="140">
        <f t="shared" si="86"/>
        <v>1.1800000000000001E-6</v>
      </c>
      <c r="BF246" s="157">
        <f>IF(AY246&lt;$B$89*DATA!$H$1037,DATA!$H$1037,IF(AY246&gt;DATA!$H$1036*$B$89,DATA!$H$1036,1))</f>
        <v>1.2</v>
      </c>
      <c r="BG246" s="156">
        <f t="shared" si="87"/>
        <v>9.9999999999999995E-8</v>
      </c>
      <c r="BI246" s="140">
        <f t="shared" si="88"/>
        <v>2.3600000000000001E-5</v>
      </c>
      <c r="BJ246">
        <v>2.36</v>
      </c>
      <c r="BK246" s="140">
        <f t="shared" si="89"/>
        <v>2.3599999999999994E-7</v>
      </c>
      <c r="BL246" s="140">
        <f t="shared" si="90"/>
        <v>4.7199999999999994E-7</v>
      </c>
      <c r="BM246" s="140">
        <f t="shared" si="91"/>
        <v>7.0800000000000004E-7</v>
      </c>
      <c r="BN246" s="140">
        <f t="shared" si="92"/>
        <v>9.4400000000000009E-7</v>
      </c>
      <c r="BO246" s="140">
        <f t="shared" si="93"/>
        <v>1.1800000000000001E-6</v>
      </c>
      <c r="BP246" s="157">
        <f>IF(BI246&lt;$B$105*DATA!$H$1037,DATA!$H$1037,IF(BI246&gt;DATA!$H$1036*$B$105,DATA!$H$1036,1))</f>
        <v>1.2</v>
      </c>
      <c r="BQ246" s="156">
        <f t="shared" si="94"/>
        <v>9.9999999999999995E-8</v>
      </c>
    </row>
    <row r="247" spans="1:69">
      <c r="A247" s="140">
        <f t="shared" si="50"/>
        <v>2.3800000000000003E-5</v>
      </c>
      <c r="B247">
        <v>2.38</v>
      </c>
      <c r="C247" s="140">
        <f t="shared" si="95"/>
        <v>2.3799999999999996E-7</v>
      </c>
      <c r="D247" s="140">
        <f t="shared" si="95"/>
        <v>4.7599999999999997E-7</v>
      </c>
      <c r="E247" s="140">
        <f t="shared" si="95"/>
        <v>7.1400000000000007E-7</v>
      </c>
      <c r="F247" s="140">
        <f t="shared" si="95"/>
        <v>9.5200000000000016E-7</v>
      </c>
      <c r="G247" s="140">
        <f t="shared" si="95"/>
        <v>1.1900000000000003E-6</v>
      </c>
      <c r="H247" s="157">
        <f>IF(A247&lt;$B$9*DATA!$H$1037,DATA!$H$1037,IF(A247&gt;DATA!$H$1036*$B$9,DATA!$H$1036,1))</f>
        <v>0.8</v>
      </c>
      <c r="I247" s="156">
        <f t="shared" si="52"/>
        <v>9.9999999999999995E-8</v>
      </c>
      <c r="K247" s="140">
        <f t="shared" si="53"/>
        <v>2.3800000000000003E-5</v>
      </c>
      <c r="L247">
        <v>2.38</v>
      </c>
      <c r="M247" s="140">
        <f t="shared" si="54"/>
        <v>2.3799999999999996E-7</v>
      </c>
      <c r="N247" s="140">
        <f t="shared" si="55"/>
        <v>4.7599999999999997E-7</v>
      </c>
      <c r="O247" s="140">
        <f t="shared" si="56"/>
        <v>7.1400000000000007E-7</v>
      </c>
      <c r="P247" s="140">
        <f t="shared" si="57"/>
        <v>9.5200000000000016E-7</v>
      </c>
      <c r="Q247" s="140">
        <f t="shared" si="58"/>
        <v>1.1900000000000003E-6</v>
      </c>
      <c r="R247" s="157">
        <f>IF(K247&lt;$B$25*DATA!$H$1037,DATA!$H$1037,IF(K247&gt;DATA!$H$1036*$B$25,DATA!$H$1036,1))</f>
        <v>0.8</v>
      </c>
      <c r="S247" s="156">
        <f t="shared" si="59"/>
        <v>9.9999999999999995E-8</v>
      </c>
      <c r="U247" s="140">
        <f t="shared" si="60"/>
        <v>2.3800000000000003E-5</v>
      </c>
      <c r="V247">
        <v>2.38</v>
      </c>
      <c r="W247" s="140">
        <f t="shared" si="61"/>
        <v>2.3799999999999996E-7</v>
      </c>
      <c r="X247" s="140">
        <f t="shared" si="62"/>
        <v>4.7599999999999997E-7</v>
      </c>
      <c r="Y247" s="140">
        <f t="shared" si="63"/>
        <v>7.1400000000000007E-7</v>
      </c>
      <c r="Z247" s="140">
        <f t="shared" si="64"/>
        <v>9.5200000000000016E-7</v>
      </c>
      <c r="AA247" s="140">
        <f t="shared" si="65"/>
        <v>1.1900000000000003E-6</v>
      </c>
      <c r="AB247" s="157">
        <f>IF(U247&lt;$B$41*DATA!$H$1037,DATA!$H$1037,IF(U247&gt;DATA!$H$1036*$B$41,DATA!$H$1036,1))</f>
        <v>0.8</v>
      </c>
      <c r="AC247" s="156">
        <f t="shared" si="66"/>
        <v>9.9999999999999995E-8</v>
      </c>
      <c r="AE247" s="140">
        <f t="shared" si="67"/>
        <v>2.3800000000000003E-5</v>
      </c>
      <c r="AF247">
        <v>2.38</v>
      </c>
      <c r="AG247" s="140">
        <f t="shared" si="68"/>
        <v>2.3799999999999996E-7</v>
      </c>
      <c r="AH247" s="140">
        <f t="shared" si="69"/>
        <v>4.7599999999999997E-7</v>
      </c>
      <c r="AI247" s="140">
        <f t="shared" si="70"/>
        <v>7.1400000000000007E-7</v>
      </c>
      <c r="AJ247" s="140">
        <f t="shared" si="71"/>
        <v>9.5200000000000016E-7</v>
      </c>
      <c r="AK247" s="140">
        <f t="shared" si="72"/>
        <v>1.1900000000000003E-6</v>
      </c>
      <c r="AL247" s="157">
        <f>IF(AE247&lt;$B$57*DATA!$H$1037,DATA!$H$1037,IF(AE247&gt;DATA!$H$1036*$B$57,DATA!$H$1036,1))</f>
        <v>1.2</v>
      </c>
      <c r="AM247" s="156">
        <f t="shared" si="73"/>
        <v>9.9999999999999995E-8</v>
      </c>
      <c r="AO247" s="140">
        <f t="shared" si="74"/>
        <v>2.3800000000000003E-5</v>
      </c>
      <c r="AP247">
        <v>2.38</v>
      </c>
      <c r="AQ247" s="140">
        <f t="shared" si="75"/>
        <v>2.3799999999999996E-7</v>
      </c>
      <c r="AR247" s="140">
        <f t="shared" si="76"/>
        <v>4.7599999999999997E-7</v>
      </c>
      <c r="AS247" s="140">
        <f t="shared" si="77"/>
        <v>7.1400000000000007E-7</v>
      </c>
      <c r="AT247" s="140">
        <f t="shared" si="78"/>
        <v>9.5200000000000016E-7</v>
      </c>
      <c r="AU247" s="140">
        <f t="shared" si="79"/>
        <v>1.1900000000000003E-6</v>
      </c>
      <c r="AV247" s="157">
        <f>IF(AO247&lt;$B$73*DATA!$H$1037,DATA!$H$1037,IF(AO247&gt;DATA!$H$1036*$B$73,DATA!$H$1036,1))</f>
        <v>1.2</v>
      </c>
      <c r="AW247" s="156">
        <f t="shared" si="80"/>
        <v>9.9999999999999995E-8</v>
      </c>
      <c r="AY247" s="140">
        <f t="shared" si="81"/>
        <v>2.3800000000000003E-5</v>
      </c>
      <c r="AZ247">
        <v>2.38</v>
      </c>
      <c r="BA247" s="140">
        <f t="shared" si="82"/>
        <v>2.3799999999999996E-7</v>
      </c>
      <c r="BB247" s="140">
        <f t="shared" si="83"/>
        <v>4.7599999999999997E-7</v>
      </c>
      <c r="BC247" s="140">
        <f t="shared" si="84"/>
        <v>7.1400000000000007E-7</v>
      </c>
      <c r="BD247" s="140">
        <f t="shared" si="85"/>
        <v>9.5200000000000016E-7</v>
      </c>
      <c r="BE247" s="140">
        <f t="shared" si="86"/>
        <v>1.1900000000000003E-6</v>
      </c>
      <c r="BF247" s="157">
        <f>IF(AY247&lt;$B$89*DATA!$H$1037,DATA!$H$1037,IF(AY247&gt;DATA!$H$1036*$B$89,DATA!$H$1036,1))</f>
        <v>1.2</v>
      </c>
      <c r="BG247" s="156">
        <f t="shared" si="87"/>
        <v>9.9999999999999995E-8</v>
      </c>
      <c r="BI247" s="140">
        <f t="shared" si="88"/>
        <v>2.3800000000000003E-5</v>
      </c>
      <c r="BJ247">
        <v>2.38</v>
      </c>
      <c r="BK247" s="140">
        <f t="shared" si="89"/>
        <v>2.3799999999999996E-7</v>
      </c>
      <c r="BL247" s="140">
        <f t="shared" si="90"/>
        <v>4.7599999999999997E-7</v>
      </c>
      <c r="BM247" s="140">
        <f t="shared" si="91"/>
        <v>7.1400000000000007E-7</v>
      </c>
      <c r="BN247" s="140">
        <f t="shared" si="92"/>
        <v>9.5200000000000016E-7</v>
      </c>
      <c r="BO247" s="140">
        <f t="shared" si="93"/>
        <v>1.1900000000000003E-6</v>
      </c>
      <c r="BP247" s="157">
        <f>IF(BI247&lt;$B$105*DATA!$H$1037,DATA!$H$1037,IF(BI247&gt;DATA!$H$1036*$B$105,DATA!$H$1036,1))</f>
        <v>1.2</v>
      </c>
      <c r="BQ247" s="156">
        <f t="shared" si="94"/>
        <v>9.9999999999999995E-8</v>
      </c>
    </row>
    <row r="248" spans="1:69">
      <c r="A248" s="140">
        <f t="shared" si="50"/>
        <v>2.4000000000000001E-5</v>
      </c>
      <c r="B248">
        <v>2.4</v>
      </c>
      <c r="C248" s="140">
        <f t="shared" si="95"/>
        <v>2.3999999999999993E-7</v>
      </c>
      <c r="D248" s="140">
        <f t="shared" si="95"/>
        <v>4.7999999999999996E-7</v>
      </c>
      <c r="E248" s="140">
        <f t="shared" si="95"/>
        <v>7.1999999999999999E-7</v>
      </c>
      <c r="F248" s="140">
        <f t="shared" si="95"/>
        <v>9.6000000000000013E-7</v>
      </c>
      <c r="G248" s="140">
        <f t="shared" si="95"/>
        <v>1.2000000000000002E-6</v>
      </c>
      <c r="H248" s="157">
        <f>IF(A248&lt;$B$9*DATA!$H$1037,DATA!$H$1037,IF(A248&gt;DATA!$H$1036*$B$9,DATA!$H$1036,1))</f>
        <v>0.8</v>
      </c>
      <c r="I248" s="156">
        <f t="shared" si="52"/>
        <v>9.9999999999999995E-8</v>
      </c>
      <c r="K248" s="140">
        <f t="shared" si="53"/>
        <v>2.4000000000000001E-5</v>
      </c>
      <c r="L248">
        <v>2.4</v>
      </c>
      <c r="M248" s="140">
        <f t="shared" si="54"/>
        <v>2.3999999999999993E-7</v>
      </c>
      <c r="N248" s="140">
        <f t="shared" si="55"/>
        <v>4.7999999999999996E-7</v>
      </c>
      <c r="O248" s="140">
        <f t="shared" si="56"/>
        <v>7.1999999999999999E-7</v>
      </c>
      <c r="P248" s="140">
        <f t="shared" si="57"/>
        <v>9.6000000000000013E-7</v>
      </c>
      <c r="Q248" s="140">
        <f t="shared" si="58"/>
        <v>1.2000000000000002E-6</v>
      </c>
      <c r="R248" s="157">
        <f>IF(K248&lt;$B$25*DATA!$H$1037,DATA!$H$1037,IF(K248&gt;DATA!$H$1036*$B$25,DATA!$H$1036,1))</f>
        <v>0.8</v>
      </c>
      <c r="S248" s="156">
        <f t="shared" si="59"/>
        <v>9.9999999999999995E-8</v>
      </c>
      <c r="U248" s="140">
        <f t="shared" si="60"/>
        <v>2.4000000000000001E-5</v>
      </c>
      <c r="V248">
        <v>2.4</v>
      </c>
      <c r="W248" s="140">
        <f t="shared" si="61"/>
        <v>2.3999999999999993E-7</v>
      </c>
      <c r="X248" s="140">
        <f t="shared" si="62"/>
        <v>4.7999999999999996E-7</v>
      </c>
      <c r="Y248" s="140">
        <f t="shared" si="63"/>
        <v>7.1999999999999999E-7</v>
      </c>
      <c r="Z248" s="140">
        <f t="shared" si="64"/>
        <v>9.6000000000000013E-7</v>
      </c>
      <c r="AA248" s="140">
        <f t="shared" si="65"/>
        <v>1.2000000000000002E-6</v>
      </c>
      <c r="AB248" s="157">
        <f>IF(U248&lt;$B$41*DATA!$H$1037,DATA!$H$1037,IF(U248&gt;DATA!$H$1036*$B$41,DATA!$H$1036,1))</f>
        <v>0.8</v>
      </c>
      <c r="AC248" s="156">
        <f t="shared" si="66"/>
        <v>9.9999999999999995E-8</v>
      </c>
      <c r="AE248" s="140">
        <f t="shared" si="67"/>
        <v>2.4000000000000001E-5</v>
      </c>
      <c r="AF248">
        <v>2.4</v>
      </c>
      <c r="AG248" s="140">
        <f t="shared" si="68"/>
        <v>2.3999999999999993E-7</v>
      </c>
      <c r="AH248" s="140">
        <f t="shared" si="69"/>
        <v>4.7999999999999996E-7</v>
      </c>
      <c r="AI248" s="140">
        <f t="shared" si="70"/>
        <v>7.1999999999999999E-7</v>
      </c>
      <c r="AJ248" s="140">
        <f t="shared" si="71"/>
        <v>9.6000000000000013E-7</v>
      </c>
      <c r="AK248" s="140">
        <f t="shared" si="72"/>
        <v>1.2000000000000002E-6</v>
      </c>
      <c r="AL248" s="157">
        <f>IF(AE248&lt;$B$57*DATA!$H$1037,DATA!$H$1037,IF(AE248&gt;DATA!$H$1036*$B$57,DATA!$H$1036,1))</f>
        <v>1.2</v>
      </c>
      <c r="AM248" s="156">
        <f t="shared" si="73"/>
        <v>9.9999999999999995E-8</v>
      </c>
      <c r="AO248" s="140">
        <f t="shared" si="74"/>
        <v>2.4000000000000001E-5</v>
      </c>
      <c r="AP248">
        <v>2.4</v>
      </c>
      <c r="AQ248" s="140">
        <f t="shared" si="75"/>
        <v>2.3999999999999993E-7</v>
      </c>
      <c r="AR248" s="140">
        <f t="shared" si="76"/>
        <v>4.7999999999999996E-7</v>
      </c>
      <c r="AS248" s="140">
        <f t="shared" si="77"/>
        <v>7.1999999999999999E-7</v>
      </c>
      <c r="AT248" s="140">
        <f t="shared" si="78"/>
        <v>9.6000000000000013E-7</v>
      </c>
      <c r="AU248" s="140">
        <f t="shared" si="79"/>
        <v>1.2000000000000002E-6</v>
      </c>
      <c r="AV248" s="157">
        <f>IF(AO248&lt;$B$73*DATA!$H$1037,DATA!$H$1037,IF(AO248&gt;DATA!$H$1036*$B$73,DATA!$H$1036,1))</f>
        <v>1.2</v>
      </c>
      <c r="AW248" s="156">
        <f t="shared" si="80"/>
        <v>9.9999999999999995E-8</v>
      </c>
      <c r="AY248" s="140">
        <f t="shared" si="81"/>
        <v>2.4000000000000001E-5</v>
      </c>
      <c r="AZ248">
        <v>2.4</v>
      </c>
      <c r="BA248" s="140">
        <f t="shared" si="82"/>
        <v>2.3999999999999993E-7</v>
      </c>
      <c r="BB248" s="140">
        <f t="shared" si="83"/>
        <v>4.7999999999999996E-7</v>
      </c>
      <c r="BC248" s="140">
        <f t="shared" si="84"/>
        <v>7.1999999999999999E-7</v>
      </c>
      <c r="BD248" s="140">
        <f t="shared" si="85"/>
        <v>9.6000000000000013E-7</v>
      </c>
      <c r="BE248" s="140">
        <f t="shared" si="86"/>
        <v>1.2000000000000002E-6</v>
      </c>
      <c r="BF248" s="157">
        <f>IF(AY248&lt;$B$89*DATA!$H$1037,DATA!$H$1037,IF(AY248&gt;DATA!$H$1036*$B$89,DATA!$H$1036,1))</f>
        <v>1.2</v>
      </c>
      <c r="BG248" s="156">
        <f t="shared" si="87"/>
        <v>9.9999999999999995E-8</v>
      </c>
      <c r="BI248" s="140">
        <f t="shared" si="88"/>
        <v>2.4000000000000001E-5</v>
      </c>
      <c r="BJ248">
        <v>2.4</v>
      </c>
      <c r="BK248" s="140">
        <f t="shared" si="89"/>
        <v>2.3999999999999993E-7</v>
      </c>
      <c r="BL248" s="140">
        <f t="shared" si="90"/>
        <v>4.7999999999999996E-7</v>
      </c>
      <c r="BM248" s="140">
        <f t="shared" si="91"/>
        <v>7.1999999999999999E-7</v>
      </c>
      <c r="BN248" s="140">
        <f t="shared" si="92"/>
        <v>9.6000000000000013E-7</v>
      </c>
      <c r="BO248" s="140">
        <f t="shared" si="93"/>
        <v>1.2000000000000002E-6</v>
      </c>
      <c r="BP248" s="157">
        <f>IF(BI248&lt;$B$105*DATA!$H$1037,DATA!$H$1037,IF(BI248&gt;DATA!$H$1036*$B$105,DATA!$H$1036,1))</f>
        <v>1.2</v>
      </c>
      <c r="BQ248" s="156">
        <f t="shared" si="94"/>
        <v>9.9999999999999995E-8</v>
      </c>
    </row>
    <row r="249" spans="1:69">
      <c r="A249" s="140">
        <f t="shared" si="50"/>
        <v>2.4200000000000002E-5</v>
      </c>
      <c r="B249">
        <v>2.42</v>
      </c>
      <c r="C249" s="140">
        <f t="shared" si="95"/>
        <v>2.4199999999999992E-7</v>
      </c>
      <c r="D249" s="140">
        <f t="shared" si="95"/>
        <v>4.8399999999999994E-7</v>
      </c>
      <c r="E249" s="140">
        <f t="shared" si="95"/>
        <v>7.2600000000000002E-7</v>
      </c>
      <c r="F249" s="140">
        <f t="shared" si="95"/>
        <v>9.6800000000000009E-7</v>
      </c>
      <c r="G249" s="140">
        <f t="shared" si="95"/>
        <v>1.2100000000000003E-6</v>
      </c>
      <c r="H249" s="157">
        <f>IF(A249&lt;$B$9*DATA!$H$1037,DATA!$H$1037,IF(A249&gt;DATA!$H$1036*$B$9,DATA!$H$1036,1))</f>
        <v>0.8</v>
      </c>
      <c r="I249" s="156">
        <f t="shared" si="52"/>
        <v>9.9999999999999995E-8</v>
      </c>
      <c r="K249" s="140">
        <f t="shared" si="53"/>
        <v>2.4200000000000002E-5</v>
      </c>
      <c r="L249">
        <v>2.42</v>
      </c>
      <c r="M249" s="140">
        <f t="shared" si="54"/>
        <v>2.4199999999999992E-7</v>
      </c>
      <c r="N249" s="140">
        <f t="shared" si="55"/>
        <v>4.8399999999999994E-7</v>
      </c>
      <c r="O249" s="140">
        <f t="shared" si="56"/>
        <v>7.2600000000000002E-7</v>
      </c>
      <c r="P249" s="140">
        <f t="shared" si="57"/>
        <v>9.6800000000000009E-7</v>
      </c>
      <c r="Q249" s="140">
        <f t="shared" si="58"/>
        <v>1.2100000000000003E-6</v>
      </c>
      <c r="R249" s="157">
        <f>IF(K249&lt;$B$25*DATA!$H$1037,DATA!$H$1037,IF(K249&gt;DATA!$H$1036*$B$25,DATA!$H$1036,1))</f>
        <v>0.8</v>
      </c>
      <c r="S249" s="156">
        <f t="shared" si="59"/>
        <v>9.9999999999999995E-8</v>
      </c>
      <c r="U249" s="140">
        <f t="shared" si="60"/>
        <v>2.4200000000000002E-5</v>
      </c>
      <c r="V249">
        <v>2.42</v>
      </c>
      <c r="W249" s="140">
        <f t="shared" si="61"/>
        <v>2.4199999999999992E-7</v>
      </c>
      <c r="X249" s="140">
        <f t="shared" si="62"/>
        <v>4.8399999999999994E-7</v>
      </c>
      <c r="Y249" s="140">
        <f t="shared" si="63"/>
        <v>7.2600000000000002E-7</v>
      </c>
      <c r="Z249" s="140">
        <f t="shared" si="64"/>
        <v>9.6800000000000009E-7</v>
      </c>
      <c r="AA249" s="140">
        <f t="shared" si="65"/>
        <v>1.2100000000000003E-6</v>
      </c>
      <c r="AB249" s="157">
        <f>IF(U249&lt;$B$41*DATA!$H$1037,DATA!$H$1037,IF(U249&gt;DATA!$H$1036*$B$41,DATA!$H$1036,1))</f>
        <v>0.8</v>
      </c>
      <c r="AC249" s="156">
        <f t="shared" si="66"/>
        <v>9.9999999999999995E-8</v>
      </c>
      <c r="AE249" s="140">
        <f t="shared" si="67"/>
        <v>2.4200000000000002E-5</v>
      </c>
      <c r="AF249">
        <v>2.42</v>
      </c>
      <c r="AG249" s="140">
        <f t="shared" si="68"/>
        <v>2.4199999999999992E-7</v>
      </c>
      <c r="AH249" s="140">
        <f t="shared" si="69"/>
        <v>4.8399999999999994E-7</v>
      </c>
      <c r="AI249" s="140">
        <f t="shared" si="70"/>
        <v>7.2600000000000002E-7</v>
      </c>
      <c r="AJ249" s="140">
        <f t="shared" si="71"/>
        <v>9.6800000000000009E-7</v>
      </c>
      <c r="AK249" s="140">
        <f t="shared" si="72"/>
        <v>1.2100000000000003E-6</v>
      </c>
      <c r="AL249" s="157">
        <f>IF(AE249&lt;$B$57*DATA!$H$1037,DATA!$H$1037,IF(AE249&gt;DATA!$H$1036*$B$57,DATA!$H$1036,1))</f>
        <v>1.2</v>
      </c>
      <c r="AM249" s="156">
        <f t="shared" si="73"/>
        <v>9.9999999999999995E-8</v>
      </c>
      <c r="AO249" s="140">
        <f t="shared" si="74"/>
        <v>2.4200000000000002E-5</v>
      </c>
      <c r="AP249">
        <v>2.42</v>
      </c>
      <c r="AQ249" s="140">
        <f t="shared" si="75"/>
        <v>2.4199999999999992E-7</v>
      </c>
      <c r="AR249" s="140">
        <f t="shared" si="76"/>
        <v>4.8399999999999994E-7</v>
      </c>
      <c r="AS249" s="140">
        <f t="shared" si="77"/>
        <v>7.2600000000000002E-7</v>
      </c>
      <c r="AT249" s="140">
        <f t="shared" si="78"/>
        <v>9.6800000000000009E-7</v>
      </c>
      <c r="AU249" s="140">
        <f t="shared" si="79"/>
        <v>1.2100000000000003E-6</v>
      </c>
      <c r="AV249" s="157">
        <f>IF(AO249&lt;$B$73*DATA!$H$1037,DATA!$H$1037,IF(AO249&gt;DATA!$H$1036*$B$73,DATA!$H$1036,1))</f>
        <v>1.2</v>
      </c>
      <c r="AW249" s="156">
        <f t="shared" si="80"/>
        <v>9.9999999999999995E-8</v>
      </c>
      <c r="AY249" s="140">
        <f t="shared" si="81"/>
        <v>2.4200000000000002E-5</v>
      </c>
      <c r="AZ249">
        <v>2.42</v>
      </c>
      <c r="BA249" s="140">
        <f t="shared" si="82"/>
        <v>2.4199999999999992E-7</v>
      </c>
      <c r="BB249" s="140">
        <f t="shared" si="83"/>
        <v>4.8399999999999994E-7</v>
      </c>
      <c r="BC249" s="140">
        <f t="shared" si="84"/>
        <v>7.2600000000000002E-7</v>
      </c>
      <c r="BD249" s="140">
        <f t="shared" si="85"/>
        <v>9.6800000000000009E-7</v>
      </c>
      <c r="BE249" s="140">
        <f t="shared" si="86"/>
        <v>1.2100000000000003E-6</v>
      </c>
      <c r="BF249" s="157">
        <f>IF(AY249&lt;$B$89*DATA!$H$1037,DATA!$H$1037,IF(AY249&gt;DATA!$H$1036*$B$89,DATA!$H$1036,1))</f>
        <v>1.2</v>
      </c>
      <c r="BG249" s="156">
        <f t="shared" si="87"/>
        <v>9.9999999999999995E-8</v>
      </c>
      <c r="BI249" s="140">
        <f t="shared" si="88"/>
        <v>2.4200000000000002E-5</v>
      </c>
      <c r="BJ249">
        <v>2.42</v>
      </c>
      <c r="BK249" s="140">
        <f t="shared" si="89"/>
        <v>2.4199999999999992E-7</v>
      </c>
      <c r="BL249" s="140">
        <f t="shared" si="90"/>
        <v>4.8399999999999994E-7</v>
      </c>
      <c r="BM249" s="140">
        <f t="shared" si="91"/>
        <v>7.2600000000000002E-7</v>
      </c>
      <c r="BN249" s="140">
        <f t="shared" si="92"/>
        <v>9.6800000000000009E-7</v>
      </c>
      <c r="BO249" s="140">
        <f t="shared" si="93"/>
        <v>1.2100000000000003E-6</v>
      </c>
      <c r="BP249" s="157">
        <f>IF(BI249&lt;$B$105*DATA!$H$1037,DATA!$H$1037,IF(BI249&gt;DATA!$H$1036*$B$105,DATA!$H$1036,1))</f>
        <v>1.2</v>
      </c>
      <c r="BQ249" s="156">
        <f t="shared" si="94"/>
        <v>9.9999999999999995E-8</v>
      </c>
    </row>
    <row r="250" spans="1:69">
      <c r="A250" s="140">
        <f t="shared" si="50"/>
        <v>2.44E-5</v>
      </c>
      <c r="B250">
        <v>2.44</v>
      </c>
      <c r="C250" s="140">
        <f t="shared" si="95"/>
        <v>2.4399999999999991E-7</v>
      </c>
      <c r="D250" s="140">
        <f t="shared" si="95"/>
        <v>4.8799999999999992E-7</v>
      </c>
      <c r="E250" s="140">
        <f t="shared" si="95"/>
        <v>7.3199999999999994E-7</v>
      </c>
      <c r="F250" s="140">
        <f t="shared" si="95"/>
        <v>9.7600000000000006E-7</v>
      </c>
      <c r="G250" s="140">
        <f t="shared" si="95"/>
        <v>1.2200000000000002E-6</v>
      </c>
      <c r="H250" s="157">
        <f>IF(A250&lt;$B$9*DATA!$H$1037,DATA!$H$1037,IF(A250&gt;DATA!$H$1036*$B$9,DATA!$H$1036,1))</f>
        <v>0.8</v>
      </c>
      <c r="I250" s="156">
        <f t="shared" si="52"/>
        <v>9.9999999999999995E-8</v>
      </c>
      <c r="K250" s="140">
        <f t="shared" si="53"/>
        <v>2.44E-5</v>
      </c>
      <c r="L250">
        <v>2.44</v>
      </c>
      <c r="M250" s="140">
        <f t="shared" si="54"/>
        <v>2.4399999999999991E-7</v>
      </c>
      <c r="N250" s="140">
        <f t="shared" si="55"/>
        <v>4.8799999999999992E-7</v>
      </c>
      <c r="O250" s="140">
        <f t="shared" si="56"/>
        <v>7.3199999999999994E-7</v>
      </c>
      <c r="P250" s="140">
        <f t="shared" si="57"/>
        <v>9.7600000000000006E-7</v>
      </c>
      <c r="Q250" s="140">
        <f t="shared" si="58"/>
        <v>1.2200000000000002E-6</v>
      </c>
      <c r="R250" s="157">
        <f>IF(K250&lt;$B$25*DATA!$H$1037,DATA!$H$1037,IF(K250&gt;DATA!$H$1036*$B$25,DATA!$H$1036,1))</f>
        <v>0.8</v>
      </c>
      <c r="S250" s="156">
        <f t="shared" si="59"/>
        <v>9.9999999999999995E-8</v>
      </c>
      <c r="U250" s="140">
        <f t="shared" si="60"/>
        <v>2.44E-5</v>
      </c>
      <c r="V250">
        <v>2.44</v>
      </c>
      <c r="W250" s="140">
        <f t="shared" si="61"/>
        <v>2.4399999999999991E-7</v>
      </c>
      <c r="X250" s="140">
        <f t="shared" si="62"/>
        <v>4.8799999999999992E-7</v>
      </c>
      <c r="Y250" s="140">
        <f t="shared" si="63"/>
        <v>7.3199999999999994E-7</v>
      </c>
      <c r="Z250" s="140">
        <f t="shared" si="64"/>
        <v>9.7600000000000006E-7</v>
      </c>
      <c r="AA250" s="140">
        <f t="shared" si="65"/>
        <v>1.2200000000000002E-6</v>
      </c>
      <c r="AB250" s="157">
        <f>IF(U250&lt;$B$41*DATA!$H$1037,DATA!$H$1037,IF(U250&gt;DATA!$H$1036*$B$41,DATA!$H$1036,1))</f>
        <v>0.8</v>
      </c>
      <c r="AC250" s="156">
        <f t="shared" si="66"/>
        <v>9.9999999999999995E-8</v>
      </c>
      <c r="AE250" s="140">
        <f t="shared" si="67"/>
        <v>2.44E-5</v>
      </c>
      <c r="AF250">
        <v>2.44</v>
      </c>
      <c r="AG250" s="140">
        <f t="shared" si="68"/>
        <v>2.4399999999999991E-7</v>
      </c>
      <c r="AH250" s="140">
        <f t="shared" si="69"/>
        <v>4.8799999999999992E-7</v>
      </c>
      <c r="AI250" s="140">
        <f t="shared" si="70"/>
        <v>7.3199999999999994E-7</v>
      </c>
      <c r="AJ250" s="140">
        <f t="shared" si="71"/>
        <v>9.7600000000000006E-7</v>
      </c>
      <c r="AK250" s="140">
        <f t="shared" si="72"/>
        <v>1.2200000000000002E-6</v>
      </c>
      <c r="AL250" s="157">
        <f>IF(AE250&lt;$B$57*DATA!$H$1037,DATA!$H$1037,IF(AE250&gt;DATA!$H$1036*$B$57,DATA!$H$1036,1))</f>
        <v>1.2</v>
      </c>
      <c r="AM250" s="156">
        <f t="shared" si="73"/>
        <v>9.9999999999999995E-8</v>
      </c>
      <c r="AO250" s="140">
        <f t="shared" si="74"/>
        <v>2.44E-5</v>
      </c>
      <c r="AP250">
        <v>2.44</v>
      </c>
      <c r="AQ250" s="140">
        <f t="shared" si="75"/>
        <v>2.4399999999999991E-7</v>
      </c>
      <c r="AR250" s="140">
        <f t="shared" si="76"/>
        <v>4.8799999999999992E-7</v>
      </c>
      <c r="AS250" s="140">
        <f t="shared" si="77"/>
        <v>7.3199999999999994E-7</v>
      </c>
      <c r="AT250" s="140">
        <f t="shared" si="78"/>
        <v>9.7600000000000006E-7</v>
      </c>
      <c r="AU250" s="140">
        <f t="shared" si="79"/>
        <v>1.2200000000000002E-6</v>
      </c>
      <c r="AV250" s="157">
        <f>IF(AO250&lt;$B$73*DATA!$H$1037,DATA!$H$1037,IF(AO250&gt;DATA!$H$1036*$B$73,DATA!$H$1036,1))</f>
        <v>1.2</v>
      </c>
      <c r="AW250" s="156">
        <f t="shared" si="80"/>
        <v>9.9999999999999995E-8</v>
      </c>
      <c r="AY250" s="140">
        <f t="shared" si="81"/>
        <v>2.44E-5</v>
      </c>
      <c r="AZ250">
        <v>2.44</v>
      </c>
      <c r="BA250" s="140">
        <f t="shared" si="82"/>
        <v>2.4399999999999991E-7</v>
      </c>
      <c r="BB250" s="140">
        <f t="shared" si="83"/>
        <v>4.8799999999999992E-7</v>
      </c>
      <c r="BC250" s="140">
        <f t="shared" si="84"/>
        <v>7.3199999999999994E-7</v>
      </c>
      <c r="BD250" s="140">
        <f t="shared" si="85"/>
        <v>9.7600000000000006E-7</v>
      </c>
      <c r="BE250" s="140">
        <f t="shared" si="86"/>
        <v>1.2200000000000002E-6</v>
      </c>
      <c r="BF250" s="157">
        <f>IF(AY250&lt;$B$89*DATA!$H$1037,DATA!$H$1037,IF(AY250&gt;DATA!$H$1036*$B$89,DATA!$H$1036,1))</f>
        <v>1.2</v>
      </c>
      <c r="BG250" s="156">
        <f t="shared" si="87"/>
        <v>9.9999999999999995E-8</v>
      </c>
      <c r="BI250" s="140">
        <f t="shared" si="88"/>
        <v>2.44E-5</v>
      </c>
      <c r="BJ250">
        <v>2.44</v>
      </c>
      <c r="BK250" s="140">
        <f t="shared" si="89"/>
        <v>2.4399999999999991E-7</v>
      </c>
      <c r="BL250" s="140">
        <f t="shared" si="90"/>
        <v>4.8799999999999992E-7</v>
      </c>
      <c r="BM250" s="140">
        <f t="shared" si="91"/>
        <v>7.3199999999999994E-7</v>
      </c>
      <c r="BN250" s="140">
        <f t="shared" si="92"/>
        <v>9.7600000000000006E-7</v>
      </c>
      <c r="BO250" s="140">
        <f t="shared" si="93"/>
        <v>1.2200000000000002E-6</v>
      </c>
      <c r="BP250" s="157">
        <f>IF(BI250&lt;$B$105*DATA!$H$1037,DATA!$H$1037,IF(BI250&gt;DATA!$H$1036*$B$105,DATA!$H$1036,1))</f>
        <v>1.2</v>
      </c>
      <c r="BQ250" s="156">
        <f t="shared" si="94"/>
        <v>9.9999999999999995E-8</v>
      </c>
    </row>
    <row r="251" spans="1:69">
      <c r="A251" s="140">
        <f t="shared" si="50"/>
        <v>2.4600000000000002E-5</v>
      </c>
      <c r="B251">
        <v>2.46</v>
      </c>
      <c r="C251" s="140">
        <f t="shared" si="95"/>
        <v>2.4599999999999995E-7</v>
      </c>
      <c r="D251" s="140">
        <f t="shared" si="95"/>
        <v>4.9199999999999991E-7</v>
      </c>
      <c r="E251" s="140">
        <f t="shared" si="95"/>
        <v>7.3800000000000007E-7</v>
      </c>
      <c r="F251" s="140">
        <f t="shared" si="95"/>
        <v>9.8400000000000002E-7</v>
      </c>
      <c r="G251" s="140">
        <f t="shared" si="95"/>
        <v>1.2300000000000001E-6</v>
      </c>
      <c r="H251" s="157">
        <f>IF(A251&lt;$B$9*DATA!$H$1037,DATA!$H$1037,IF(A251&gt;DATA!$H$1036*$B$9,DATA!$H$1036,1))</f>
        <v>0.8</v>
      </c>
      <c r="I251" s="156">
        <f t="shared" si="52"/>
        <v>9.9999999999999995E-8</v>
      </c>
      <c r="K251" s="140">
        <f t="shared" si="53"/>
        <v>2.4600000000000002E-5</v>
      </c>
      <c r="L251">
        <v>2.46</v>
      </c>
      <c r="M251" s="140">
        <f t="shared" si="54"/>
        <v>2.4599999999999995E-7</v>
      </c>
      <c r="N251" s="140">
        <f t="shared" si="55"/>
        <v>4.9199999999999991E-7</v>
      </c>
      <c r="O251" s="140">
        <f t="shared" si="56"/>
        <v>7.3800000000000007E-7</v>
      </c>
      <c r="P251" s="140">
        <f t="shared" si="57"/>
        <v>9.8400000000000002E-7</v>
      </c>
      <c r="Q251" s="140">
        <f t="shared" si="58"/>
        <v>1.2300000000000001E-6</v>
      </c>
      <c r="R251" s="157">
        <f>IF(K251&lt;$B$25*DATA!$H$1037,DATA!$H$1037,IF(K251&gt;DATA!$H$1036*$B$25,DATA!$H$1036,1))</f>
        <v>0.8</v>
      </c>
      <c r="S251" s="156">
        <f t="shared" si="59"/>
        <v>9.9999999999999995E-8</v>
      </c>
      <c r="U251" s="140">
        <f t="shared" si="60"/>
        <v>2.4600000000000002E-5</v>
      </c>
      <c r="V251">
        <v>2.46</v>
      </c>
      <c r="W251" s="140">
        <f t="shared" si="61"/>
        <v>2.4599999999999995E-7</v>
      </c>
      <c r="X251" s="140">
        <f t="shared" si="62"/>
        <v>4.9199999999999991E-7</v>
      </c>
      <c r="Y251" s="140">
        <f t="shared" si="63"/>
        <v>7.3800000000000007E-7</v>
      </c>
      <c r="Z251" s="140">
        <f t="shared" si="64"/>
        <v>9.8400000000000002E-7</v>
      </c>
      <c r="AA251" s="140">
        <f t="shared" si="65"/>
        <v>1.2300000000000001E-6</v>
      </c>
      <c r="AB251" s="157">
        <f>IF(U251&lt;$B$41*DATA!$H$1037,DATA!$H$1037,IF(U251&gt;DATA!$H$1036*$B$41,DATA!$H$1036,1))</f>
        <v>0.8</v>
      </c>
      <c r="AC251" s="156">
        <f t="shared" si="66"/>
        <v>9.9999999999999995E-8</v>
      </c>
      <c r="AE251" s="140">
        <f t="shared" si="67"/>
        <v>2.4600000000000002E-5</v>
      </c>
      <c r="AF251">
        <v>2.46</v>
      </c>
      <c r="AG251" s="140">
        <f t="shared" si="68"/>
        <v>2.4599999999999995E-7</v>
      </c>
      <c r="AH251" s="140">
        <f t="shared" si="69"/>
        <v>4.9199999999999991E-7</v>
      </c>
      <c r="AI251" s="140">
        <f t="shared" si="70"/>
        <v>7.3800000000000007E-7</v>
      </c>
      <c r="AJ251" s="140">
        <f t="shared" si="71"/>
        <v>9.8400000000000002E-7</v>
      </c>
      <c r="AK251" s="140">
        <f t="shared" si="72"/>
        <v>1.2300000000000001E-6</v>
      </c>
      <c r="AL251" s="157">
        <f>IF(AE251&lt;$B$57*DATA!$H$1037,DATA!$H$1037,IF(AE251&gt;DATA!$H$1036*$B$57,DATA!$H$1036,1))</f>
        <v>1.2</v>
      </c>
      <c r="AM251" s="156">
        <f t="shared" si="73"/>
        <v>9.9999999999999995E-8</v>
      </c>
      <c r="AO251" s="140">
        <f t="shared" si="74"/>
        <v>2.4600000000000002E-5</v>
      </c>
      <c r="AP251">
        <v>2.46</v>
      </c>
      <c r="AQ251" s="140">
        <f t="shared" si="75"/>
        <v>2.4599999999999995E-7</v>
      </c>
      <c r="AR251" s="140">
        <f t="shared" si="76"/>
        <v>4.9199999999999991E-7</v>
      </c>
      <c r="AS251" s="140">
        <f t="shared" si="77"/>
        <v>7.3800000000000007E-7</v>
      </c>
      <c r="AT251" s="140">
        <f t="shared" si="78"/>
        <v>9.8400000000000002E-7</v>
      </c>
      <c r="AU251" s="140">
        <f t="shared" si="79"/>
        <v>1.2300000000000001E-6</v>
      </c>
      <c r="AV251" s="157">
        <f>IF(AO251&lt;$B$73*DATA!$H$1037,DATA!$H$1037,IF(AO251&gt;DATA!$H$1036*$B$73,DATA!$H$1036,1))</f>
        <v>1.2</v>
      </c>
      <c r="AW251" s="156">
        <f t="shared" si="80"/>
        <v>9.9999999999999995E-8</v>
      </c>
      <c r="AY251" s="140">
        <f t="shared" si="81"/>
        <v>2.4600000000000002E-5</v>
      </c>
      <c r="AZ251">
        <v>2.46</v>
      </c>
      <c r="BA251" s="140">
        <f t="shared" si="82"/>
        <v>2.4599999999999995E-7</v>
      </c>
      <c r="BB251" s="140">
        <f t="shared" si="83"/>
        <v>4.9199999999999991E-7</v>
      </c>
      <c r="BC251" s="140">
        <f t="shared" si="84"/>
        <v>7.3800000000000007E-7</v>
      </c>
      <c r="BD251" s="140">
        <f t="shared" si="85"/>
        <v>9.8400000000000002E-7</v>
      </c>
      <c r="BE251" s="140">
        <f t="shared" si="86"/>
        <v>1.2300000000000001E-6</v>
      </c>
      <c r="BF251" s="157">
        <f>IF(AY251&lt;$B$89*DATA!$H$1037,DATA!$H$1037,IF(AY251&gt;DATA!$H$1036*$B$89,DATA!$H$1036,1))</f>
        <v>1.2</v>
      </c>
      <c r="BG251" s="156">
        <f t="shared" si="87"/>
        <v>9.9999999999999995E-8</v>
      </c>
      <c r="BI251" s="140">
        <f t="shared" si="88"/>
        <v>2.4600000000000002E-5</v>
      </c>
      <c r="BJ251">
        <v>2.46</v>
      </c>
      <c r="BK251" s="140">
        <f t="shared" si="89"/>
        <v>2.4599999999999995E-7</v>
      </c>
      <c r="BL251" s="140">
        <f t="shared" si="90"/>
        <v>4.9199999999999991E-7</v>
      </c>
      <c r="BM251" s="140">
        <f t="shared" si="91"/>
        <v>7.3800000000000007E-7</v>
      </c>
      <c r="BN251" s="140">
        <f t="shared" si="92"/>
        <v>9.8400000000000002E-7</v>
      </c>
      <c r="BO251" s="140">
        <f t="shared" si="93"/>
        <v>1.2300000000000001E-6</v>
      </c>
      <c r="BP251" s="157">
        <f>IF(BI251&lt;$B$105*DATA!$H$1037,DATA!$H$1037,IF(BI251&gt;DATA!$H$1036*$B$105,DATA!$H$1036,1))</f>
        <v>1.2</v>
      </c>
      <c r="BQ251" s="156">
        <f t="shared" si="94"/>
        <v>9.9999999999999995E-8</v>
      </c>
    </row>
    <row r="252" spans="1:69">
      <c r="A252" s="140">
        <f t="shared" si="50"/>
        <v>2.4800000000000003E-5</v>
      </c>
      <c r="B252">
        <v>2.48</v>
      </c>
      <c r="C252" s="140">
        <f t="shared" si="95"/>
        <v>2.4799999999999994E-7</v>
      </c>
      <c r="D252" s="140">
        <f t="shared" si="95"/>
        <v>4.9599999999999999E-7</v>
      </c>
      <c r="E252" s="140">
        <f t="shared" si="95"/>
        <v>7.440000000000001E-7</v>
      </c>
      <c r="F252" s="140">
        <f t="shared" si="95"/>
        <v>9.920000000000002E-7</v>
      </c>
      <c r="G252" s="140">
        <f t="shared" si="95"/>
        <v>1.2400000000000002E-6</v>
      </c>
      <c r="H252" s="157">
        <f>IF(A252&lt;$B$9*DATA!$H$1037,DATA!$H$1037,IF(A252&gt;DATA!$H$1036*$B$9,DATA!$H$1036,1))</f>
        <v>0.8</v>
      </c>
      <c r="I252" s="156">
        <f t="shared" si="52"/>
        <v>9.9999999999999995E-8</v>
      </c>
      <c r="K252" s="140">
        <f t="shared" si="53"/>
        <v>2.4800000000000003E-5</v>
      </c>
      <c r="L252">
        <v>2.48</v>
      </c>
      <c r="M252" s="140">
        <f t="shared" si="54"/>
        <v>2.4799999999999994E-7</v>
      </c>
      <c r="N252" s="140">
        <f t="shared" si="55"/>
        <v>4.9599999999999999E-7</v>
      </c>
      <c r="O252" s="140">
        <f t="shared" si="56"/>
        <v>7.440000000000001E-7</v>
      </c>
      <c r="P252" s="140">
        <f t="shared" si="57"/>
        <v>9.920000000000002E-7</v>
      </c>
      <c r="Q252" s="140">
        <f t="shared" si="58"/>
        <v>1.2400000000000002E-6</v>
      </c>
      <c r="R252" s="157">
        <f>IF(K252&lt;$B$25*DATA!$H$1037,DATA!$H$1037,IF(K252&gt;DATA!$H$1036*$B$25,DATA!$H$1036,1))</f>
        <v>0.8</v>
      </c>
      <c r="S252" s="156">
        <f t="shared" si="59"/>
        <v>9.9999999999999995E-8</v>
      </c>
      <c r="U252" s="140">
        <f t="shared" si="60"/>
        <v>2.4800000000000003E-5</v>
      </c>
      <c r="V252">
        <v>2.48</v>
      </c>
      <c r="W252" s="140">
        <f t="shared" si="61"/>
        <v>2.4799999999999994E-7</v>
      </c>
      <c r="X252" s="140">
        <f t="shared" si="62"/>
        <v>4.9599999999999999E-7</v>
      </c>
      <c r="Y252" s="140">
        <f t="shared" si="63"/>
        <v>7.440000000000001E-7</v>
      </c>
      <c r="Z252" s="140">
        <f t="shared" si="64"/>
        <v>9.920000000000002E-7</v>
      </c>
      <c r="AA252" s="140">
        <f t="shared" si="65"/>
        <v>1.2400000000000002E-6</v>
      </c>
      <c r="AB252" s="157">
        <f>IF(U252&lt;$B$41*DATA!$H$1037,DATA!$H$1037,IF(U252&gt;DATA!$H$1036*$B$41,DATA!$H$1036,1))</f>
        <v>0.8</v>
      </c>
      <c r="AC252" s="156">
        <f t="shared" si="66"/>
        <v>9.9999999999999995E-8</v>
      </c>
      <c r="AE252" s="140">
        <f t="shared" si="67"/>
        <v>2.4800000000000003E-5</v>
      </c>
      <c r="AF252">
        <v>2.48</v>
      </c>
      <c r="AG252" s="140">
        <f t="shared" si="68"/>
        <v>2.4799999999999994E-7</v>
      </c>
      <c r="AH252" s="140">
        <f t="shared" si="69"/>
        <v>4.9599999999999999E-7</v>
      </c>
      <c r="AI252" s="140">
        <f t="shared" si="70"/>
        <v>7.440000000000001E-7</v>
      </c>
      <c r="AJ252" s="140">
        <f t="shared" si="71"/>
        <v>9.920000000000002E-7</v>
      </c>
      <c r="AK252" s="140">
        <f t="shared" si="72"/>
        <v>1.2400000000000002E-6</v>
      </c>
      <c r="AL252" s="157">
        <f>IF(AE252&lt;$B$57*DATA!$H$1037,DATA!$H$1037,IF(AE252&gt;DATA!$H$1036*$B$57,DATA!$H$1036,1))</f>
        <v>1.2</v>
      </c>
      <c r="AM252" s="156">
        <f t="shared" si="73"/>
        <v>9.9999999999999995E-8</v>
      </c>
      <c r="AO252" s="140">
        <f t="shared" si="74"/>
        <v>2.4800000000000003E-5</v>
      </c>
      <c r="AP252">
        <v>2.48</v>
      </c>
      <c r="AQ252" s="140">
        <f t="shared" si="75"/>
        <v>2.4799999999999994E-7</v>
      </c>
      <c r="AR252" s="140">
        <f t="shared" si="76"/>
        <v>4.9599999999999999E-7</v>
      </c>
      <c r="AS252" s="140">
        <f t="shared" si="77"/>
        <v>7.440000000000001E-7</v>
      </c>
      <c r="AT252" s="140">
        <f t="shared" si="78"/>
        <v>9.920000000000002E-7</v>
      </c>
      <c r="AU252" s="140">
        <f t="shared" si="79"/>
        <v>1.2400000000000002E-6</v>
      </c>
      <c r="AV252" s="157">
        <f>IF(AO252&lt;$B$73*DATA!$H$1037,DATA!$H$1037,IF(AO252&gt;DATA!$H$1036*$B$73,DATA!$H$1036,1))</f>
        <v>1.2</v>
      </c>
      <c r="AW252" s="156">
        <f t="shared" si="80"/>
        <v>9.9999999999999995E-8</v>
      </c>
      <c r="AY252" s="140">
        <f t="shared" si="81"/>
        <v>2.4800000000000003E-5</v>
      </c>
      <c r="AZ252">
        <v>2.48</v>
      </c>
      <c r="BA252" s="140">
        <f t="shared" si="82"/>
        <v>2.4799999999999994E-7</v>
      </c>
      <c r="BB252" s="140">
        <f t="shared" si="83"/>
        <v>4.9599999999999999E-7</v>
      </c>
      <c r="BC252" s="140">
        <f t="shared" si="84"/>
        <v>7.440000000000001E-7</v>
      </c>
      <c r="BD252" s="140">
        <f t="shared" si="85"/>
        <v>9.920000000000002E-7</v>
      </c>
      <c r="BE252" s="140">
        <f t="shared" si="86"/>
        <v>1.2400000000000002E-6</v>
      </c>
      <c r="BF252" s="157">
        <f>IF(AY252&lt;$B$89*DATA!$H$1037,DATA!$H$1037,IF(AY252&gt;DATA!$H$1036*$B$89,DATA!$H$1036,1))</f>
        <v>1.2</v>
      </c>
      <c r="BG252" s="156">
        <f t="shared" si="87"/>
        <v>9.9999999999999995E-8</v>
      </c>
      <c r="BI252" s="140">
        <f t="shared" si="88"/>
        <v>2.4800000000000003E-5</v>
      </c>
      <c r="BJ252">
        <v>2.48</v>
      </c>
      <c r="BK252" s="140">
        <f t="shared" si="89"/>
        <v>2.4799999999999994E-7</v>
      </c>
      <c r="BL252" s="140">
        <f t="shared" si="90"/>
        <v>4.9599999999999999E-7</v>
      </c>
      <c r="BM252" s="140">
        <f t="shared" si="91"/>
        <v>7.440000000000001E-7</v>
      </c>
      <c r="BN252" s="140">
        <f t="shared" si="92"/>
        <v>9.920000000000002E-7</v>
      </c>
      <c r="BO252" s="140">
        <f t="shared" si="93"/>
        <v>1.2400000000000002E-6</v>
      </c>
      <c r="BP252" s="157">
        <f>IF(BI252&lt;$B$105*DATA!$H$1037,DATA!$H$1037,IF(BI252&gt;DATA!$H$1036*$B$105,DATA!$H$1036,1))</f>
        <v>1.2</v>
      </c>
      <c r="BQ252" s="156">
        <f t="shared" si="94"/>
        <v>9.9999999999999995E-8</v>
      </c>
    </row>
    <row r="253" spans="1:69">
      <c r="A253" s="140">
        <f t="shared" si="50"/>
        <v>2.5000000000000001E-5</v>
      </c>
      <c r="B253">
        <v>2.5</v>
      </c>
      <c r="C253" s="140">
        <f t="shared" si="95"/>
        <v>2.4999999999999994E-7</v>
      </c>
      <c r="D253" s="140">
        <f t="shared" si="95"/>
        <v>4.9999999999999998E-7</v>
      </c>
      <c r="E253" s="140">
        <f t="shared" si="95"/>
        <v>7.5000000000000002E-7</v>
      </c>
      <c r="F253" s="140">
        <f t="shared" si="95"/>
        <v>1.0000000000000002E-6</v>
      </c>
      <c r="G253" s="140">
        <f t="shared" si="95"/>
        <v>1.2500000000000001E-6</v>
      </c>
      <c r="H253" s="157">
        <f>IF(A253&lt;$B$9*DATA!$H$1037,DATA!$H$1037,IF(A253&gt;DATA!$H$1036*$B$9,DATA!$H$1036,1))</f>
        <v>0.8</v>
      </c>
      <c r="I253" s="156">
        <f t="shared" si="52"/>
        <v>9.9999999999999995E-8</v>
      </c>
      <c r="K253" s="140">
        <f t="shared" si="53"/>
        <v>2.5000000000000001E-5</v>
      </c>
      <c r="L253">
        <v>2.5</v>
      </c>
      <c r="M253" s="140">
        <f t="shared" si="54"/>
        <v>2.4999999999999994E-7</v>
      </c>
      <c r="N253" s="140">
        <f t="shared" si="55"/>
        <v>4.9999999999999998E-7</v>
      </c>
      <c r="O253" s="140">
        <f t="shared" si="56"/>
        <v>7.5000000000000002E-7</v>
      </c>
      <c r="P253" s="140">
        <f t="shared" si="57"/>
        <v>1.0000000000000002E-6</v>
      </c>
      <c r="Q253" s="140">
        <f t="shared" si="58"/>
        <v>1.2500000000000001E-6</v>
      </c>
      <c r="R253" s="157">
        <f>IF(K253&lt;$B$25*DATA!$H$1037,DATA!$H$1037,IF(K253&gt;DATA!$H$1036*$B$25,DATA!$H$1036,1))</f>
        <v>0.8</v>
      </c>
      <c r="S253" s="156">
        <f t="shared" si="59"/>
        <v>9.9999999999999995E-8</v>
      </c>
      <c r="U253" s="140">
        <f t="shared" si="60"/>
        <v>2.5000000000000001E-5</v>
      </c>
      <c r="V253">
        <v>2.5</v>
      </c>
      <c r="W253" s="140">
        <f t="shared" si="61"/>
        <v>2.4999999999999994E-7</v>
      </c>
      <c r="X253" s="140">
        <f t="shared" si="62"/>
        <v>4.9999999999999998E-7</v>
      </c>
      <c r="Y253" s="140">
        <f t="shared" si="63"/>
        <v>7.5000000000000002E-7</v>
      </c>
      <c r="Z253" s="140">
        <f t="shared" si="64"/>
        <v>1.0000000000000002E-6</v>
      </c>
      <c r="AA253" s="140">
        <f t="shared" si="65"/>
        <v>1.2500000000000001E-6</v>
      </c>
      <c r="AB253" s="157">
        <f>IF(U253&lt;$B$41*DATA!$H$1037,DATA!$H$1037,IF(U253&gt;DATA!$H$1036*$B$41,DATA!$H$1036,1))</f>
        <v>0.8</v>
      </c>
      <c r="AC253" s="156">
        <f t="shared" si="66"/>
        <v>9.9999999999999995E-8</v>
      </c>
      <c r="AE253" s="140">
        <f t="shared" si="67"/>
        <v>2.5000000000000001E-5</v>
      </c>
      <c r="AF253">
        <v>2.5</v>
      </c>
      <c r="AG253" s="140">
        <f t="shared" si="68"/>
        <v>2.4999999999999994E-7</v>
      </c>
      <c r="AH253" s="140">
        <f t="shared" si="69"/>
        <v>4.9999999999999998E-7</v>
      </c>
      <c r="AI253" s="140">
        <f t="shared" si="70"/>
        <v>7.5000000000000002E-7</v>
      </c>
      <c r="AJ253" s="140">
        <f t="shared" si="71"/>
        <v>1.0000000000000002E-6</v>
      </c>
      <c r="AK253" s="140">
        <f t="shared" si="72"/>
        <v>1.2500000000000001E-6</v>
      </c>
      <c r="AL253" s="157">
        <f>IF(AE253&lt;$B$57*DATA!$H$1037,DATA!$H$1037,IF(AE253&gt;DATA!$H$1036*$B$57,DATA!$H$1036,1))</f>
        <v>1.2</v>
      </c>
      <c r="AM253" s="156">
        <f t="shared" si="73"/>
        <v>9.9999999999999995E-8</v>
      </c>
      <c r="AO253" s="140">
        <f t="shared" si="74"/>
        <v>2.5000000000000001E-5</v>
      </c>
      <c r="AP253">
        <v>2.5</v>
      </c>
      <c r="AQ253" s="140">
        <f t="shared" si="75"/>
        <v>2.4999999999999994E-7</v>
      </c>
      <c r="AR253" s="140">
        <f t="shared" si="76"/>
        <v>4.9999999999999998E-7</v>
      </c>
      <c r="AS253" s="140">
        <f t="shared" si="77"/>
        <v>7.5000000000000002E-7</v>
      </c>
      <c r="AT253" s="140">
        <f t="shared" si="78"/>
        <v>1.0000000000000002E-6</v>
      </c>
      <c r="AU253" s="140">
        <f t="shared" si="79"/>
        <v>1.2500000000000001E-6</v>
      </c>
      <c r="AV253" s="157">
        <f>IF(AO253&lt;$B$73*DATA!$H$1037,DATA!$H$1037,IF(AO253&gt;DATA!$H$1036*$B$73,DATA!$H$1036,1))</f>
        <v>1.2</v>
      </c>
      <c r="AW253" s="156">
        <f t="shared" si="80"/>
        <v>9.9999999999999995E-8</v>
      </c>
      <c r="AY253" s="140">
        <f t="shared" si="81"/>
        <v>2.5000000000000001E-5</v>
      </c>
      <c r="AZ253">
        <v>2.5</v>
      </c>
      <c r="BA253" s="140">
        <f t="shared" si="82"/>
        <v>2.4999999999999994E-7</v>
      </c>
      <c r="BB253" s="140">
        <f t="shared" si="83"/>
        <v>4.9999999999999998E-7</v>
      </c>
      <c r="BC253" s="140">
        <f t="shared" si="84"/>
        <v>7.5000000000000002E-7</v>
      </c>
      <c r="BD253" s="140">
        <f t="shared" si="85"/>
        <v>1.0000000000000002E-6</v>
      </c>
      <c r="BE253" s="140">
        <f t="shared" si="86"/>
        <v>1.2500000000000001E-6</v>
      </c>
      <c r="BF253" s="157">
        <f>IF(AY253&lt;$B$89*DATA!$H$1037,DATA!$H$1037,IF(AY253&gt;DATA!$H$1036*$B$89,DATA!$H$1036,1))</f>
        <v>1.2</v>
      </c>
      <c r="BG253" s="156">
        <f t="shared" si="87"/>
        <v>9.9999999999999995E-8</v>
      </c>
      <c r="BI253" s="140">
        <f t="shared" si="88"/>
        <v>2.5000000000000001E-5</v>
      </c>
      <c r="BJ253">
        <v>2.5</v>
      </c>
      <c r="BK253" s="140">
        <f t="shared" si="89"/>
        <v>2.4999999999999994E-7</v>
      </c>
      <c r="BL253" s="140">
        <f t="shared" si="90"/>
        <v>4.9999999999999998E-7</v>
      </c>
      <c r="BM253" s="140">
        <f t="shared" si="91"/>
        <v>7.5000000000000002E-7</v>
      </c>
      <c r="BN253" s="140">
        <f t="shared" si="92"/>
        <v>1.0000000000000002E-6</v>
      </c>
      <c r="BO253" s="140">
        <f t="shared" si="93"/>
        <v>1.2500000000000001E-6</v>
      </c>
      <c r="BP253" s="157">
        <f>IF(BI253&lt;$B$105*DATA!$H$1037,DATA!$H$1037,IF(BI253&gt;DATA!$H$1036*$B$105,DATA!$H$1036,1))</f>
        <v>1.2</v>
      </c>
      <c r="BQ253" s="156">
        <f t="shared" si="94"/>
        <v>9.9999999999999995E-8</v>
      </c>
    </row>
    <row r="254" spans="1:69">
      <c r="A254" s="140">
        <f t="shared" si="50"/>
        <v>2.5200000000000003E-5</v>
      </c>
      <c r="B254">
        <v>2.52</v>
      </c>
      <c r="C254" s="140">
        <f t="shared" si="95"/>
        <v>2.5199999999999993E-7</v>
      </c>
      <c r="D254" s="140">
        <f t="shared" si="95"/>
        <v>5.0399999999999996E-7</v>
      </c>
      <c r="E254" s="140">
        <f t="shared" si="95"/>
        <v>7.5600000000000005E-7</v>
      </c>
      <c r="F254" s="140">
        <f t="shared" si="95"/>
        <v>1.0080000000000001E-6</v>
      </c>
      <c r="G254" s="140">
        <f t="shared" si="95"/>
        <v>1.2600000000000002E-6</v>
      </c>
      <c r="H254" s="157">
        <f>IF(A254&lt;$B$9*DATA!$H$1037,DATA!$H$1037,IF(A254&gt;DATA!$H$1036*$B$9,DATA!$H$1036,1))</f>
        <v>0.8</v>
      </c>
      <c r="I254" s="156">
        <f t="shared" si="52"/>
        <v>9.9999999999999995E-8</v>
      </c>
      <c r="K254" s="140">
        <f t="shared" si="53"/>
        <v>2.5200000000000003E-5</v>
      </c>
      <c r="L254">
        <v>2.52</v>
      </c>
      <c r="M254" s="140">
        <f t="shared" si="54"/>
        <v>2.5199999999999993E-7</v>
      </c>
      <c r="N254" s="140">
        <f t="shared" si="55"/>
        <v>5.0399999999999996E-7</v>
      </c>
      <c r="O254" s="140">
        <f t="shared" si="56"/>
        <v>7.5600000000000005E-7</v>
      </c>
      <c r="P254" s="140">
        <f t="shared" si="57"/>
        <v>1.0080000000000001E-6</v>
      </c>
      <c r="Q254" s="140">
        <f t="shared" si="58"/>
        <v>1.2600000000000002E-6</v>
      </c>
      <c r="R254" s="157">
        <f>IF(K254&lt;$B$25*DATA!$H$1037,DATA!$H$1037,IF(K254&gt;DATA!$H$1036*$B$25,DATA!$H$1036,1))</f>
        <v>0.8</v>
      </c>
      <c r="S254" s="156">
        <f t="shared" si="59"/>
        <v>9.9999999999999995E-8</v>
      </c>
      <c r="U254" s="140">
        <f t="shared" si="60"/>
        <v>2.5200000000000003E-5</v>
      </c>
      <c r="V254">
        <v>2.52</v>
      </c>
      <c r="W254" s="140">
        <f t="shared" si="61"/>
        <v>2.5199999999999993E-7</v>
      </c>
      <c r="X254" s="140">
        <f t="shared" si="62"/>
        <v>5.0399999999999996E-7</v>
      </c>
      <c r="Y254" s="140">
        <f t="shared" si="63"/>
        <v>7.5600000000000005E-7</v>
      </c>
      <c r="Z254" s="140">
        <f t="shared" si="64"/>
        <v>1.0080000000000001E-6</v>
      </c>
      <c r="AA254" s="140">
        <f t="shared" si="65"/>
        <v>1.2600000000000002E-6</v>
      </c>
      <c r="AB254" s="157">
        <f>IF(U254&lt;$B$41*DATA!$H$1037,DATA!$H$1037,IF(U254&gt;DATA!$H$1036*$B$41,DATA!$H$1036,1))</f>
        <v>0.8</v>
      </c>
      <c r="AC254" s="156">
        <f t="shared" si="66"/>
        <v>9.9999999999999995E-8</v>
      </c>
      <c r="AE254" s="140">
        <f t="shared" si="67"/>
        <v>2.5200000000000003E-5</v>
      </c>
      <c r="AF254">
        <v>2.52</v>
      </c>
      <c r="AG254" s="140">
        <f t="shared" si="68"/>
        <v>2.5199999999999993E-7</v>
      </c>
      <c r="AH254" s="140">
        <f t="shared" si="69"/>
        <v>5.0399999999999996E-7</v>
      </c>
      <c r="AI254" s="140">
        <f t="shared" si="70"/>
        <v>7.5600000000000005E-7</v>
      </c>
      <c r="AJ254" s="140">
        <f t="shared" si="71"/>
        <v>1.0080000000000001E-6</v>
      </c>
      <c r="AK254" s="140">
        <f t="shared" si="72"/>
        <v>1.2600000000000002E-6</v>
      </c>
      <c r="AL254" s="157">
        <f>IF(AE254&lt;$B$57*DATA!$H$1037,DATA!$H$1037,IF(AE254&gt;DATA!$H$1036*$B$57,DATA!$H$1036,1))</f>
        <v>1.2</v>
      </c>
      <c r="AM254" s="156">
        <f t="shared" si="73"/>
        <v>9.9999999999999995E-8</v>
      </c>
      <c r="AO254" s="140">
        <f t="shared" si="74"/>
        <v>2.5200000000000003E-5</v>
      </c>
      <c r="AP254">
        <v>2.52</v>
      </c>
      <c r="AQ254" s="140">
        <f t="shared" si="75"/>
        <v>2.5199999999999993E-7</v>
      </c>
      <c r="AR254" s="140">
        <f t="shared" si="76"/>
        <v>5.0399999999999996E-7</v>
      </c>
      <c r="AS254" s="140">
        <f t="shared" si="77"/>
        <v>7.5600000000000005E-7</v>
      </c>
      <c r="AT254" s="140">
        <f t="shared" si="78"/>
        <v>1.0080000000000001E-6</v>
      </c>
      <c r="AU254" s="140">
        <f t="shared" si="79"/>
        <v>1.2600000000000002E-6</v>
      </c>
      <c r="AV254" s="157">
        <f>IF(AO254&lt;$B$73*DATA!$H$1037,DATA!$H$1037,IF(AO254&gt;DATA!$H$1036*$B$73,DATA!$H$1036,1))</f>
        <v>1.2</v>
      </c>
      <c r="AW254" s="156">
        <f t="shared" si="80"/>
        <v>9.9999999999999995E-8</v>
      </c>
      <c r="AY254" s="140">
        <f t="shared" si="81"/>
        <v>2.5200000000000003E-5</v>
      </c>
      <c r="AZ254">
        <v>2.52</v>
      </c>
      <c r="BA254" s="140">
        <f t="shared" si="82"/>
        <v>2.5199999999999993E-7</v>
      </c>
      <c r="BB254" s="140">
        <f t="shared" si="83"/>
        <v>5.0399999999999996E-7</v>
      </c>
      <c r="BC254" s="140">
        <f t="shared" si="84"/>
        <v>7.5600000000000005E-7</v>
      </c>
      <c r="BD254" s="140">
        <f t="shared" si="85"/>
        <v>1.0080000000000001E-6</v>
      </c>
      <c r="BE254" s="140">
        <f t="shared" si="86"/>
        <v>1.2600000000000002E-6</v>
      </c>
      <c r="BF254" s="157">
        <f>IF(AY254&lt;$B$89*DATA!$H$1037,DATA!$H$1037,IF(AY254&gt;DATA!$H$1036*$B$89,DATA!$H$1036,1))</f>
        <v>1.2</v>
      </c>
      <c r="BG254" s="156">
        <f t="shared" si="87"/>
        <v>9.9999999999999995E-8</v>
      </c>
      <c r="BI254" s="140">
        <f t="shared" si="88"/>
        <v>2.5200000000000003E-5</v>
      </c>
      <c r="BJ254">
        <v>2.52</v>
      </c>
      <c r="BK254" s="140">
        <f t="shared" si="89"/>
        <v>2.5199999999999993E-7</v>
      </c>
      <c r="BL254" s="140">
        <f t="shared" si="90"/>
        <v>5.0399999999999996E-7</v>
      </c>
      <c r="BM254" s="140">
        <f t="shared" si="91"/>
        <v>7.5600000000000005E-7</v>
      </c>
      <c r="BN254" s="140">
        <f t="shared" si="92"/>
        <v>1.0080000000000001E-6</v>
      </c>
      <c r="BO254" s="140">
        <f t="shared" si="93"/>
        <v>1.2600000000000002E-6</v>
      </c>
      <c r="BP254" s="157">
        <f>IF(BI254&lt;$B$105*DATA!$H$1037,DATA!$H$1037,IF(BI254&gt;DATA!$H$1036*$B$105,DATA!$H$1036,1))</f>
        <v>1.2</v>
      </c>
      <c r="BQ254" s="156">
        <f t="shared" si="94"/>
        <v>9.9999999999999995E-8</v>
      </c>
    </row>
    <row r="255" spans="1:69">
      <c r="A255" s="140">
        <f t="shared" si="50"/>
        <v>2.5400000000000001E-5</v>
      </c>
      <c r="B255">
        <v>2.54</v>
      </c>
      <c r="C255" s="140">
        <f t="shared" si="95"/>
        <v>2.5399999999999992E-7</v>
      </c>
      <c r="D255" s="140">
        <f t="shared" si="95"/>
        <v>5.0799999999999994E-7</v>
      </c>
      <c r="E255" s="140">
        <f t="shared" si="95"/>
        <v>7.6199999999999997E-7</v>
      </c>
      <c r="F255" s="140">
        <f t="shared" si="95"/>
        <v>1.0160000000000001E-6</v>
      </c>
      <c r="G255" s="140">
        <f t="shared" si="95"/>
        <v>1.2700000000000001E-6</v>
      </c>
      <c r="H255" s="157">
        <f>IF(A255&lt;$B$9*DATA!$H$1037,DATA!$H$1037,IF(A255&gt;DATA!$H$1036*$B$9,DATA!$H$1036,1))</f>
        <v>0.8</v>
      </c>
      <c r="I255" s="156">
        <f t="shared" si="52"/>
        <v>9.9999999999999995E-8</v>
      </c>
      <c r="K255" s="140">
        <f t="shared" si="53"/>
        <v>2.5400000000000001E-5</v>
      </c>
      <c r="L255">
        <v>2.54</v>
      </c>
      <c r="M255" s="140">
        <f t="shared" si="54"/>
        <v>2.5399999999999992E-7</v>
      </c>
      <c r="N255" s="140">
        <f t="shared" si="55"/>
        <v>5.0799999999999994E-7</v>
      </c>
      <c r="O255" s="140">
        <f t="shared" si="56"/>
        <v>7.6199999999999997E-7</v>
      </c>
      <c r="P255" s="140">
        <f t="shared" si="57"/>
        <v>1.0160000000000001E-6</v>
      </c>
      <c r="Q255" s="140">
        <f t="shared" si="58"/>
        <v>1.2700000000000001E-6</v>
      </c>
      <c r="R255" s="157">
        <f>IF(K255&lt;$B$25*DATA!$H$1037,DATA!$H$1037,IF(K255&gt;DATA!$H$1036*$B$25,DATA!$H$1036,1))</f>
        <v>0.8</v>
      </c>
      <c r="S255" s="156">
        <f t="shared" si="59"/>
        <v>9.9999999999999995E-8</v>
      </c>
      <c r="U255" s="140">
        <f t="shared" si="60"/>
        <v>2.5400000000000001E-5</v>
      </c>
      <c r="V255">
        <v>2.54</v>
      </c>
      <c r="W255" s="140">
        <f t="shared" si="61"/>
        <v>2.5399999999999992E-7</v>
      </c>
      <c r="X255" s="140">
        <f t="shared" si="62"/>
        <v>5.0799999999999994E-7</v>
      </c>
      <c r="Y255" s="140">
        <f t="shared" si="63"/>
        <v>7.6199999999999997E-7</v>
      </c>
      <c r="Z255" s="140">
        <f t="shared" si="64"/>
        <v>1.0160000000000001E-6</v>
      </c>
      <c r="AA255" s="140">
        <f t="shared" si="65"/>
        <v>1.2700000000000001E-6</v>
      </c>
      <c r="AB255" s="157">
        <f>IF(U255&lt;$B$41*DATA!$H$1037,DATA!$H$1037,IF(U255&gt;DATA!$H$1036*$B$41,DATA!$H$1036,1))</f>
        <v>0.8</v>
      </c>
      <c r="AC255" s="156">
        <f t="shared" si="66"/>
        <v>9.9999999999999995E-8</v>
      </c>
      <c r="AE255" s="140">
        <f t="shared" si="67"/>
        <v>2.5400000000000001E-5</v>
      </c>
      <c r="AF255">
        <v>2.54</v>
      </c>
      <c r="AG255" s="140">
        <f t="shared" si="68"/>
        <v>2.5399999999999992E-7</v>
      </c>
      <c r="AH255" s="140">
        <f t="shared" si="69"/>
        <v>5.0799999999999994E-7</v>
      </c>
      <c r="AI255" s="140">
        <f t="shared" si="70"/>
        <v>7.6199999999999997E-7</v>
      </c>
      <c r="AJ255" s="140">
        <f t="shared" si="71"/>
        <v>1.0160000000000001E-6</v>
      </c>
      <c r="AK255" s="140">
        <f t="shared" si="72"/>
        <v>1.2700000000000001E-6</v>
      </c>
      <c r="AL255" s="157">
        <f>IF(AE255&lt;$B$57*DATA!$H$1037,DATA!$H$1037,IF(AE255&gt;DATA!$H$1036*$B$57,DATA!$H$1036,1))</f>
        <v>1.2</v>
      </c>
      <c r="AM255" s="156">
        <f t="shared" si="73"/>
        <v>9.9999999999999995E-8</v>
      </c>
      <c r="AO255" s="140">
        <f t="shared" si="74"/>
        <v>2.5400000000000001E-5</v>
      </c>
      <c r="AP255">
        <v>2.54</v>
      </c>
      <c r="AQ255" s="140">
        <f t="shared" si="75"/>
        <v>2.5399999999999992E-7</v>
      </c>
      <c r="AR255" s="140">
        <f t="shared" si="76"/>
        <v>5.0799999999999994E-7</v>
      </c>
      <c r="AS255" s="140">
        <f t="shared" si="77"/>
        <v>7.6199999999999997E-7</v>
      </c>
      <c r="AT255" s="140">
        <f t="shared" si="78"/>
        <v>1.0160000000000001E-6</v>
      </c>
      <c r="AU255" s="140">
        <f t="shared" si="79"/>
        <v>1.2700000000000001E-6</v>
      </c>
      <c r="AV255" s="157">
        <f>IF(AO255&lt;$B$73*DATA!$H$1037,DATA!$H$1037,IF(AO255&gt;DATA!$H$1036*$B$73,DATA!$H$1036,1))</f>
        <v>1.2</v>
      </c>
      <c r="AW255" s="156">
        <f t="shared" si="80"/>
        <v>9.9999999999999995E-8</v>
      </c>
      <c r="AY255" s="140">
        <f t="shared" si="81"/>
        <v>2.5400000000000001E-5</v>
      </c>
      <c r="AZ255">
        <v>2.54</v>
      </c>
      <c r="BA255" s="140">
        <f t="shared" si="82"/>
        <v>2.5399999999999992E-7</v>
      </c>
      <c r="BB255" s="140">
        <f t="shared" si="83"/>
        <v>5.0799999999999994E-7</v>
      </c>
      <c r="BC255" s="140">
        <f t="shared" si="84"/>
        <v>7.6199999999999997E-7</v>
      </c>
      <c r="BD255" s="140">
        <f t="shared" si="85"/>
        <v>1.0160000000000001E-6</v>
      </c>
      <c r="BE255" s="140">
        <f t="shared" si="86"/>
        <v>1.2700000000000001E-6</v>
      </c>
      <c r="BF255" s="157">
        <f>IF(AY255&lt;$B$89*DATA!$H$1037,DATA!$H$1037,IF(AY255&gt;DATA!$H$1036*$B$89,DATA!$H$1036,1))</f>
        <v>1.2</v>
      </c>
      <c r="BG255" s="156">
        <f t="shared" si="87"/>
        <v>9.9999999999999995E-8</v>
      </c>
      <c r="BI255" s="140">
        <f t="shared" si="88"/>
        <v>2.5400000000000001E-5</v>
      </c>
      <c r="BJ255">
        <v>2.54</v>
      </c>
      <c r="BK255" s="140">
        <f t="shared" si="89"/>
        <v>2.5399999999999992E-7</v>
      </c>
      <c r="BL255" s="140">
        <f t="shared" si="90"/>
        <v>5.0799999999999994E-7</v>
      </c>
      <c r="BM255" s="140">
        <f t="shared" si="91"/>
        <v>7.6199999999999997E-7</v>
      </c>
      <c r="BN255" s="140">
        <f t="shared" si="92"/>
        <v>1.0160000000000001E-6</v>
      </c>
      <c r="BO255" s="140">
        <f t="shared" si="93"/>
        <v>1.2700000000000001E-6</v>
      </c>
      <c r="BP255" s="157">
        <f>IF(BI255&lt;$B$105*DATA!$H$1037,DATA!$H$1037,IF(BI255&gt;DATA!$H$1036*$B$105,DATA!$H$1036,1))</f>
        <v>1.2</v>
      </c>
      <c r="BQ255" s="156">
        <f t="shared" si="94"/>
        <v>9.9999999999999995E-8</v>
      </c>
    </row>
    <row r="256" spans="1:69">
      <c r="A256" s="140">
        <f t="shared" si="50"/>
        <v>2.5600000000000002E-5</v>
      </c>
      <c r="B256">
        <v>2.56</v>
      </c>
      <c r="C256" s="140">
        <f t="shared" si="95"/>
        <v>2.5599999999999996E-7</v>
      </c>
      <c r="D256" s="140">
        <f t="shared" si="95"/>
        <v>5.1199999999999993E-7</v>
      </c>
      <c r="E256" s="140">
        <f t="shared" si="95"/>
        <v>7.6799999999999999E-7</v>
      </c>
      <c r="F256" s="140">
        <f t="shared" si="95"/>
        <v>1.0240000000000001E-6</v>
      </c>
      <c r="G256" s="140">
        <f t="shared" si="95"/>
        <v>1.2800000000000002E-6</v>
      </c>
      <c r="H256" s="157">
        <f>IF(A256&lt;$B$9*DATA!$H$1037,DATA!$H$1037,IF(A256&gt;DATA!$H$1036*$B$9,DATA!$H$1036,1))</f>
        <v>0.8</v>
      </c>
      <c r="I256" s="156">
        <f t="shared" si="52"/>
        <v>9.9999999999999995E-8</v>
      </c>
      <c r="K256" s="140">
        <f t="shared" si="53"/>
        <v>2.5600000000000002E-5</v>
      </c>
      <c r="L256">
        <v>2.56</v>
      </c>
      <c r="M256" s="140">
        <f t="shared" si="54"/>
        <v>2.5599999999999996E-7</v>
      </c>
      <c r="N256" s="140">
        <f t="shared" si="55"/>
        <v>5.1199999999999993E-7</v>
      </c>
      <c r="O256" s="140">
        <f t="shared" si="56"/>
        <v>7.6799999999999999E-7</v>
      </c>
      <c r="P256" s="140">
        <f t="shared" si="57"/>
        <v>1.0240000000000001E-6</v>
      </c>
      <c r="Q256" s="140">
        <f t="shared" si="58"/>
        <v>1.2800000000000002E-6</v>
      </c>
      <c r="R256" s="157">
        <f>IF(K256&lt;$B$25*DATA!$H$1037,DATA!$H$1037,IF(K256&gt;DATA!$H$1036*$B$25,DATA!$H$1036,1))</f>
        <v>0.8</v>
      </c>
      <c r="S256" s="156">
        <f t="shared" si="59"/>
        <v>9.9999999999999995E-8</v>
      </c>
      <c r="U256" s="140">
        <f t="shared" si="60"/>
        <v>2.5600000000000002E-5</v>
      </c>
      <c r="V256">
        <v>2.56</v>
      </c>
      <c r="W256" s="140">
        <f t="shared" si="61"/>
        <v>2.5599999999999996E-7</v>
      </c>
      <c r="X256" s="140">
        <f t="shared" si="62"/>
        <v>5.1199999999999993E-7</v>
      </c>
      <c r="Y256" s="140">
        <f t="shared" si="63"/>
        <v>7.6799999999999999E-7</v>
      </c>
      <c r="Z256" s="140">
        <f t="shared" si="64"/>
        <v>1.0240000000000001E-6</v>
      </c>
      <c r="AA256" s="140">
        <f t="shared" si="65"/>
        <v>1.2800000000000002E-6</v>
      </c>
      <c r="AB256" s="157">
        <f>IF(U256&lt;$B$41*DATA!$H$1037,DATA!$H$1037,IF(U256&gt;DATA!$H$1036*$B$41,DATA!$H$1036,1))</f>
        <v>0.8</v>
      </c>
      <c r="AC256" s="156">
        <f t="shared" si="66"/>
        <v>9.9999999999999995E-8</v>
      </c>
      <c r="AE256" s="140">
        <f t="shared" si="67"/>
        <v>2.5600000000000002E-5</v>
      </c>
      <c r="AF256">
        <v>2.56</v>
      </c>
      <c r="AG256" s="140">
        <f t="shared" si="68"/>
        <v>2.5599999999999996E-7</v>
      </c>
      <c r="AH256" s="140">
        <f t="shared" si="69"/>
        <v>5.1199999999999993E-7</v>
      </c>
      <c r="AI256" s="140">
        <f t="shared" si="70"/>
        <v>7.6799999999999999E-7</v>
      </c>
      <c r="AJ256" s="140">
        <f t="shared" si="71"/>
        <v>1.0240000000000001E-6</v>
      </c>
      <c r="AK256" s="140">
        <f t="shared" si="72"/>
        <v>1.2800000000000002E-6</v>
      </c>
      <c r="AL256" s="157">
        <f>IF(AE256&lt;$B$57*DATA!$H$1037,DATA!$H$1037,IF(AE256&gt;DATA!$H$1036*$B$57,DATA!$H$1036,1))</f>
        <v>1.2</v>
      </c>
      <c r="AM256" s="156">
        <f t="shared" si="73"/>
        <v>9.9999999999999995E-8</v>
      </c>
      <c r="AO256" s="140">
        <f t="shared" si="74"/>
        <v>2.5600000000000002E-5</v>
      </c>
      <c r="AP256">
        <v>2.56</v>
      </c>
      <c r="AQ256" s="140">
        <f t="shared" si="75"/>
        <v>2.5599999999999996E-7</v>
      </c>
      <c r="AR256" s="140">
        <f t="shared" si="76"/>
        <v>5.1199999999999993E-7</v>
      </c>
      <c r="AS256" s="140">
        <f t="shared" si="77"/>
        <v>7.6799999999999999E-7</v>
      </c>
      <c r="AT256" s="140">
        <f t="shared" si="78"/>
        <v>1.0240000000000001E-6</v>
      </c>
      <c r="AU256" s="140">
        <f t="shared" si="79"/>
        <v>1.2800000000000002E-6</v>
      </c>
      <c r="AV256" s="157">
        <f>IF(AO256&lt;$B$73*DATA!$H$1037,DATA!$H$1037,IF(AO256&gt;DATA!$H$1036*$B$73,DATA!$H$1036,1))</f>
        <v>1.2</v>
      </c>
      <c r="AW256" s="156">
        <f t="shared" si="80"/>
        <v>9.9999999999999995E-8</v>
      </c>
      <c r="AY256" s="140">
        <f t="shared" si="81"/>
        <v>2.5600000000000002E-5</v>
      </c>
      <c r="AZ256">
        <v>2.56</v>
      </c>
      <c r="BA256" s="140">
        <f t="shared" si="82"/>
        <v>2.5599999999999996E-7</v>
      </c>
      <c r="BB256" s="140">
        <f t="shared" si="83"/>
        <v>5.1199999999999993E-7</v>
      </c>
      <c r="BC256" s="140">
        <f t="shared" si="84"/>
        <v>7.6799999999999999E-7</v>
      </c>
      <c r="BD256" s="140">
        <f t="shared" si="85"/>
        <v>1.0240000000000001E-6</v>
      </c>
      <c r="BE256" s="140">
        <f t="shared" si="86"/>
        <v>1.2800000000000002E-6</v>
      </c>
      <c r="BF256" s="157">
        <f>IF(AY256&lt;$B$89*DATA!$H$1037,DATA!$H$1037,IF(AY256&gt;DATA!$H$1036*$B$89,DATA!$H$1036,1))</f>
        <v>1.2</v>
      </c>
      <c r="BG256" s="156">
        <f t="shared" si="87"/>
        <v>9.9999999999999995E-8</v>
      </c>
      <c r="BI256" s="140">
        <f t="shared" si="88"/>
        <v>2.5600000000000002E-5</v>
      </c>
      <c r="BJ256">
        <v>2.56</v>
      </c>
      <c r="BK256" s="140">
        <f t="shared" si="89"/>
        <v>2.5599999999999996E-7</v>
      </c>
      <c r="BL256" s="140">
        <f t="shared" si="90"/>
        <v>5.1199999999999993E-7</v>
      </c>
      <c r="BM256" s="140">
        <f t="shared" si="91"/>
        <v>7.6799999999999999E-7</v>
      </c>
      <c r="BN256" s="140">
        <f t="shared" si="92"/>
        <v>1.0240000000000001E-6</v>
      </c>
      <c r="BO256" s="140">
        <f t="shared" si="93"/>
        <v>1.2800000000000002E-6</v>
      </c>
      <c r="BP256" s="157">
        <f>IF(BI256&lt;$B$105*DATA!$H$1037,DATA!$H$1037,IF(BI256&gt;DATA!$H$1036*$B$105,DATA!$H$1036,1))</f>
        <v>1.2</v>
      </c>
      <c r="BQ256" s="156">
        <f t="shared" si="94"/>
        <v>9.9999999999999995E-8</v>
      </c>
    </row>
    <row r="257" spans="1:69">
      <c r="A257" s="140">
        <f t="shared" si="50"/>
        <v>2.5800000000000004E-5</v>
      </c>
      <c r="B257">
        <v>2.58</v>
      </c>
      <c r="C257" s="140">
        <f t="shared" si="95"/>
        <v>2.5799999999999995E-7</v>
      </c>
      <c r="D257" s="140">
        <f t="shared" si="95"/>
        <v>5.1600000000000001E-7</v>
      </c>
      <c r="E257" s="140">
        <f t="shared" si="95"/>
        <v>7.7400000000000013E-7</v>
      </c>
      <c r="F257" s="140">
        <f t="shared" si="95"/>
        <v>1.0320000000000002E-6</v>
      </c>
      <c r="G257" s="140">
        <f t="shared" si="95"/>
        <v>1.2900000000000004E-6</v>
      </c>
      <c r="H257" s="157">
        <f>IF(A257&lt;$B$9*DATA!$H$1037,DATA!$H$1037,IF(A257&gt;DATA!$H$1036*$B$9,DATA!$H$1036,1))</f>
        <v>0.8</v>
      </c>
      <c r="I257" s="156">
        <f t="shared" si="52"/>
        <v>9.9999999999999995E-8</v>
      </c>
      <c r="K257" s="140">
        <f t="shared" si="53"/>
        <v>2.5800000000000004E-5</v>
      </c>
      <c r="L257">
        <v>2.58</v>
      </c>
      <c r="M257" s="140">
        <f t="shared" si="54"/>
        <v>2.5799999999999995E-7</v>
      </c>
      <c r="N257" s="140">
        <f t="shared" si="55"/>
        <v>5.1600000000000001E-7</v>
      </c>
      <c r="O257" s="140">
        <f t="shared" si="56"/>
        <v>7.7400000000000013E-7</v>
      </c>
      <c r="P257" s="140">
        <f t="shared" si="57"/>
        <v>1.0320000000000002E-6</v>
      </c>
      <c r="Q257" s="140">
        <f t="shared" si="58"/>
        <v>1.2900000000000004E-6</v>
      </c>
      <c r="R257" s="157">
        <f>IF(K257&lt;$B$25*DATA!$H$1037,DATA!$H$1037,IF(K257&gt;DATA!$H$1036*$B$25,DATA!$H$1036,1))</f>
        <v>0.8</v>
      </c>
      <c r="S257" s="156">
        <f t="shared" si="59"/>
        <v>9.9999999999999995E-8</v>
      </c>
      <c r="U257" s="140">
        <f t="shared" si="60"/>
        <v>2.5800000000000004E-5</v>
      </c>
      <c r="V257">
        <v>2.58</v>
      </c>
      <c r="W257" s="140">
        <f t="shared" si="61"/>
        <v>2.5799999999999995E-7</v>
      </c>
      <c r="X257" s="140">
        <f t="shared" si="62"/>
        <v>5.1600000000000001E-7</v>
      </c>
      <c r="Y257" s="140">
        <f t="shared" si="63"/>
        <v>7.7400000000000013E-7</v>
      </c>
      <c r="Z257" s="140">
        <f t="shared" si="64"/>
        <v>1.0320000000000002E-6</v>
      </c>
      <c r="AA257" s="140">
        <f t="shared" si="65"/>
        <v>1.2900000000000004E-6</v>
      </c>
      <c r="AB257" s="157">
        <f>IF(U257&lt;$B$41*DATA!$H$1037,DATA!$H$1037,IF(U257&gt;DATA!$H$1036*$B$41,DATA!$H$1036,1))</f>
        <v>0.8</v>
      </c>
      <c r="AC257" s="156">
        <f t="shared" si="66"/>
        <v>9.9999999999999995E-8</v>
      </c>
      <c r="AE257" s="140">
        <f t="shared" si="67"/>
        <v>2.5800000000000004E-5</v>
      </c>
      <c r="AF257">
        <v>2.58</v>
      </c>
      <c r="AG257" s="140">
        <f t="shared" si="68"/>
        <v>2.5799999999999995E-7</v>
      </c>
      <c r="AH257" s="140">
        <f t="shared" si="69"/>
        <v>5.1600000000000001E-7</v>
      </c>
      <c r="AI257" s="140">
        <f t="shared" si="70"/>
        <v>7.7400000000000013E-7</v>
      </c>
      <c r="AJ257" s="140">
        <f t="shared" si="71"/>
        <v>1.0320000000000002E-6</v>
      </c>
      <c r="AK257" s="140">
        <f t="shared" si="72"/>
        <v>1.2900000000000004E-6</v>
      </c>
      <c r="AL257" s="157">
        <f>IF(AE257&lt;$B$57*DATA!$H$1037,DATA!$H$1037,IF(AE257&gt;DATA!$H$1036*$B$57,DATA!$H$1036,1))</f>
        <v>1.2</v>
      </c>
      <c r="AM257" s="156">
        <f t="shared" si="73"/>
        <v>9.9999999999999995E-8</v>
      </c>
      <c r="AO257" s="140">
        <f t="shared" si="74"/>
        <v>2.5800000000000004E-5</v>
      </c>
      <c r="AP257">
        <v>2.58</v>
      </c>
      <c r="AQ257" s="140">
        <f t="shared" si="75"/>
        <v>2.5799999999999995E-7</v>
      </c>
      <c r="AR257" s="140">
        <f t="shared" si="76"/>
        <v>5.1600000000000001E-7</v>
      </c>
      <c r="AS257" s="140">
        <f t="shared" si="77"/>
        <v>7.7400000000000013E-7</v>
      </c>
      <c r="AT257" s="140">
        <f t="shared" si="78"/>
        <v>1.0320000000000002E-6</v>
      </c>
      <c r="AU257" s="140">
        <f t="shared" si="79"/>
        <v>1.2900000000000004E-6</v>
      </c>
      <c r="AV257" s="157">
        <f>IF(AO257&lt;$B$73*DATA!$H$1037,DATA!$H$1037,IF(AO257&gt;DATA!$H$1036*$B$73,DATA!$H$1036,1))</f>
        <v>1.2</v>
      </c>
      <c r="AW257" s="156">
        <f t="shared" si="80"/>
        <v>9.9999999999999995E-8</v>
      </c>
      <c r="AY257" s="140">
        <f t="shared" si="81"/>
        <v>2.5800000000000004E-5</v>
      </c>
      <c r="AZ257">
        <v>2.58</v>
      </c>
      <c r="BA257" s="140">
        <f t="shared" si="82"/>
        <v>2.5799999999999995E-7</v>
      </c>
      <c r="BB257" s="140">
        <f t="shared" si="83"/>
        <v>5.1600000000000001E-7</v>
      </c>
      <c r="BC257" s="140">
        <f t="shared" si="84"/>
        <v>7.7400000000000013E-7</v>
      </c>
      <c r="BD257" s="140">
        <f t="shared" si="85"/>
        <v>1.0320000000000002E-6</v>
      </c>
      <c r="BE257" s="140">
        <f t="shared" si="86"/>
        <v>1.2900000000000004E-6</v>
      </c>
      <c r="BF257" s="157">
        <f>IF(AY257&lt;$B$89*DATA!$H$1037,DATA!$H$1037,IF(AY257&gt;DATA!$H$1036*$B$89,DATA!$H$1036,1))</f>
        <v>1.2</v>
      </c>
      <c r="BG257" s="156">
        <f t="shared" si="87"/>
        <v>9.9999999999999995E-8</v>
      </c>
      <c r="BI257" s="140">
        <f t="shared" si="88"/>
        <v>2.5800000000000004E-5</v>
      </c>
      <c r="BJ257">
        <v>2.58</v>
      </c>
      <c r="BK257" s="140">
        <f t="shared" si="89"/>
        <v>2.5799999999999995E-7</v>
      </c>
      <c r="BL257" s="140">
        <f t="shared" si="90"/>
        <v>5.1600000000000001E-7</v>
      </c>
      <c r="BM257" s="140">
        <f t="shared" si="91"/>
        <v>7.7400000000000013E-7</v>
      </c>
      <c r="BN257" s="140">
        <f t="shared" si="92"/>
        <v>1.0320000000000002E-6</v>
      </c>
      <c r="BO257" s="140">
        <f t="shared" si="93"/>
        <v>1.2900000000000004E-6</v>
      </c>
      <c r="BP257" s="157">
        <f>IF(BI257&lt;$B$105*DATA!$H$1037,DATA!$H$1037,IF(BI257&gt;DATA!$H$1036*$B$105,DATA!$H$1036,1))</f>
        <v>1.2</v>
      </c>
      <c r="BQ257" s="156">
        <f t="shared" si="94"/>
        <v>9.9999999999999995E-8</v>
      </c>
    </row>
    <row r="258" spans="1:69">
      <c r="A258" s="140">
        <f t="shared" si="50"/>
        <v>2.6000000000000002E-5</v>
      </c>
      <c r="B258">
        <v>2.6</v>
      </c>
      <c r="C258" s="140">
        <f t="shared" si="95"/>
        <v>2.5999999999999995E-7</v>
      </c>
      <c r="D258" s="140">
        <f t="shared" si="95"/>
        <v>5.2E-7</v>
      </c>
      <c r="E258" s="140">
        <f t="shared" si="95"/>
        <v>7.8000000000000005E-7</v>
      </c>
      <c r="F258" s="140">
        <f t="shared" si="95"/>
        <v>1.04E-6</v>
      </c>
      <c r="G258" s="140">
        <f t="shared" si="95"/>
        <v>1.3000000000000003E-6</v>
      </c>
      <c r="H258" s="157">
        <f>IF(A258&lt;$B$9*DATA!$H$1037,DATA!$H$1037,IF(A258&gt;DATA!$H$1036*$B$9,DATA!$H$1036,1))</f>
        <v>0.8</v>
      </c>
      <c r="I258" s="156">
        <f t="shared" si="52"/>
        <v>9.9999999999999995E-8</v>
      </c>
      <c r="K258" s="140">
        <f t="shared" si="53"/>
        <v>2.6000000000000002E-5</v>
      </c>
      <c r="L258">
        <v>2.6</v>
      </c>
      <c r="M258" s="140">
        <f t="shared" si="54"/>
        <v>2.5999999999999995E-7</v>
      </c>
      <c r="N258" s="140">
        <f t="shared" si="55"/>
        <v>5.2E-7</v>
      </c>
      <c r="O258" s="140">
        <f t="shared" si="56"/>
        <v>7.8000000000000005E-7</v>
      </c>
      <c r="P258" s="140">
        <f t="shared" si="57"/>
        <v>1.04E-6</v>
      </c>
      <c r="Q258" s="140">
        <f t="shared" si="58"/>
        <v>1.3000000000000003E-6</v>
      </c>
      <c r="R258" s="157">
        <f>IF(K258&lt;$B$25*DATA!$H$1037,DATA!$H$1037,IF(K258&gt;DATA!$H$1036*$B$25,DATA!$H$1036,1))</f>
        <v>0.8</v>
      </c>
      <c r="S258" s="156">
        <f t="shared" si="59"/>
        <v>9.9999999999999995E-8</v>
      </c>
      <c r="U258" s="140">
        <f t="shared" si="60"/>
        <v>2.6000000000000002E-5</v>
      </c>
      <c r="V258">
        <v>2.6</v>
      </c>
      <c r="W258" s="140">
        <f t="shared" si="61"/>
        <v>2.5999999999999995E-7</v>
      </c>
      <c r="X258" s="140">
        <f t="shared" si="62"/>
        <v>5.2E-7</v>
      </c>
      <c r="Y258" s="140">
        <f t="shared" si="63"/>
        <v>7.8000000000000005E-7</v>
      </c>
      <c r="Z258" s="140">
        <f t="shared" si="64"/>
        <v>1.04E-6</v>
      </c>
      <c r="AA258" s="140">
        <f t="shared" si="65"/>
        <v>1.3000000000000003E-6</v>
      </c>
      <c r="AB258" s="157">
        <f>IF(U258&lt;$B$41*DATA!$H$1037,DATA!$H$1037,IF(U258&gt;DATA!$H$1036*$B$41,DATA!$H$1036,1))</f>
        <v>0.8</v>
      </c>
      <c r="AC258" s="156">
        <f t="shared" si="66"/>
        <v>9.9999999999999995E-8</v>
      </c>
      <c r="AE258" s="140">
        <f t="shared" si="67"/>
        <v>2.6000000000000002E-5</v>
      </c>
      <c r="AF258">
        <v>2.6</v>
      </c>
      <c r="AG258" s="140">
        <f t="shared" si="68"/>
        <v>2.5999999999999995E-7</v>
      </c>
      <c r="AH258" s="140">
        <f t="shared" si="69"/>
        <v>5.2E-7</v>
      </c>
      <c r="AI258" s="140">
        <f t="shared" si="70"/>
        <v>7.8000000000000005E-7</v>
      </c>
      <c r="AJ258" s="140">
        <f t="shared" si="71"/>
        <v>1.04E-6</v>
      </c>
      <c r="AK258" s="140">
        <f t="shared" si="72"/>
        <v>1.3000000000000003E-6</v>
      </c>
      <c r="AL258" s="157">
        <f>IF(AE258&lt;$B$57*DATA!$H$1037,DATA!$H$1037,IF(AE258&gt;DATA!$H$1036*$B$57,DATA!$H$1036,1))</f>
        <v>1.2</v>
      </c>
      <c r="AM258" s="156">
        <f t="shared" si="73"/>
        <v>9.9999999999999995E-8</v>
      </c>
      <c r="AO258" s="140">
        <f t="shared" si="74"/>
        <v>2.6000000000000002E-5</v>
      </c>
      <c r="AP258">
        <v>2.6</v>
      </c>
      <c r="AQ258" s="140">
        <f t="shared" si="75"/>
        <v>2.5999999999999995E-7</v>
      </c>
      <c r="AR258" s="140">
        <f t="shared" si="76"/>
        <v>5.2E-7</v>
      </c>
      <c r="AS258" s="140">
        <f t="shared" si="77"/>
        <v>7.8000000000000005E-7</v>
      </c>
      <c r="AT258" s="140">
        <f t="shared" si="78"/>
        <v>1.04E-6</v>
      </c>
      <c r="AU258" s="140">
        <f t="shared" si="79"/>
        <v>1.3000000000000003E-6</v>
      </c>
      <c r="AV258" s="157">
        <f>IF(AO258&lt;$B$73*DATA!$H$1037,DATA!$H$1037,IF(AO258&gt;DATA!$H$1036*$B$73,DATA!$H$1036,1))</f>
        <v>1.2</v>
      </c>
      <c r="AW258" s="156">
        <f t="shared" si="80"/>
        <v>9.9999999999999995E-8</v>
      </c>
      <c r="AY258" s="140">
        <f t="shared" si="81"/>
        <v>2.6000000000000002E-5</v>
      </c>
      <c r="AZ258">
        <v>2.6</v>
      </c>
      <c r="BA258" s="140">
        <f t="shared" si="82"/>
        <v>2.5999999999999995E-7</v>
      </c>
      <c r="BB258" s="140">
        <f t="shared" si="83"/>
        <v>5.2E-7</v>
      </c>
      <c r="BC258" s="140">
        <f t="shared" si="84"/>
        <v>7.8000000000000005E-7</v>
      </c>
      <c r="BD258" s="140">
        <f t="shared" si="85"/>
        <v>1.04E-6</v>
      </c>
      <c r="BE258" s="140">
        <f t="shared" si="86"/>
        <v>1.3000000000000003E-6</v>
      </c>
      <c r="BF258" s="157">
        <f>IF(AY258&lt;$B$89*DATA!$H$1037,DATA!$H$1037,IF(AY258&gt;DATA!$H$1036*$B$89,DATA!$H$1036,1))</f>
        <v>1.2</v>
      </c>
      <c r="BG258" s="156">
        <f t="shared" si="87"/>
        <v>9.9999999999999995E-8</v>
      </c>
      <c r="BI258" s="140">
        <f t="shared" si="88"/>
        <v>2.6000000000000002E-5</v>
      </c>
      <c r="BJ258">
        <v>2.6</v>
      </c>
      <c r="BK258" s="140">
        <f t="shared" si="89"/>
        <v>2.5999999999999995E-7</v>
      </c>
      <c r="BL258" s="140">
        <f t="shared" si="90"/>
        <v>5.2E-7</v>
      </c>
      <c r="BM258" s="140">
        <f t="shared" si="91"/>
        <v>7.8000000000000005E-7</v>
      </c>
      <c r="BN258" s="140">
        <f t="shared" si="92"/>
        <v>1.04E-6</v>
      </c>
      <c r="BO258" s="140">
        <f t="shared" si="93"/>
        <v>1.3000000000000003E-6</v>
      </c>
      <c r="BP258" s="157">
        <f>IF(BI258&lt;$B$105*DATA!$H$1037,DATA!$H$1037,IF(BI258&gt;DATA!$H$1036*$B$105,DATA!$H$1036,1))</f>
        <v>1.2</v>
      </c>
      <c r="BQ258" s="156">
        <f t="shared" si="94"/>
        <v>9.9999999999999995E-8</v>
      </c>
    </row>
    <row r="259" spans="1:69">
      <c r="A259" s="140">
        <f t="shared" si="50"/>
        <v>2.6200000000000003E-5</v>
      </c>
      <c r="B259">
        <v>2.62</v>
      </c>
      <c r="C259" s="140">
        <f t="shared" si="95"/>
        <v>2.6199999999999994E-7</v>
      </c>
      <c r="D259" s="140">
        <f t="shared" si="95"/>
        <v>5.2399999999999998E-7</v>
      </c>
      <c r="E259" s="140">
        <f t="shared" si="95"/>
        <v>7.8600000000000008E-7</v>
      </c>
      <c r="F259" s="140">
        <f t="shared" si="95"/>
        <v>1.0480000000000002E-6</v>
      </c>
      <c r="G259" s="140">
        <f t="shared" si="95"/>
        <v>1.3100000000000002E-6</v>
      </c>
      <c r="H259" s="157">
        <f>IF(A259&lt;$B$9*DATA!$H$1037,DATA!$H$1037,IF(A259&gt;DATA!$H$1036*$B$9,DATA!$H$1036,1))</f>
        <v>0.8</v>
      </c>
      <c r="I259" s="156">
        <f t="shared" si="52"/>
        <v>9.9999999999999995E-8</v>
      </c>
      <c r="K259" s="140">
        <f t="shared" si="53"/>
        <v>2.6200000000000003E-5</v>
      </c>
      <c r="L259">
        <v>2.62</v>
      </c>
      <c r="M259" s="140">
        <f t="shared" si="54"/>
        <v>2.6199999999999994E-7</v>
      </c>
      <c r="N259" s="140">
        <f t="shared" si="55"/>
        <v>5.2399999999999998E-7</v>
      </c>
      <c r="O259" s="140">
        <f t="shared" si="56"/>
        <v>7.8600000000000008E-7</v>
      </c>
      <c r="P259" s="140">
        <f t="shared" si="57"/>
        <v>1.0480000000000002E-6</v>
      </c>
      <c r="Q259" s="140">
        <f t="shared" si="58"/>
        <v>1.3100000000000002E-6</v>
      </c>
      <c r="R259" s="157">
        <f>IF(K259&lt;$B$25*DATA!$H$1037,DATA!$H$1037,IF(K259&gt;DATA!$H$1036*$B$25,DATA!$H$1036,1))</f>
        <v>0.8</v>
      </c>
      <c r="S259" s="156">
        <f t="shared" si="59"/>
        <v>9.9999999999999995E-8</v>
      </c>
      <c r="U259" s="140">
        <f t="shared" si="60"/>
        <v>2.6200000000000003E-5</v>
      </c>
      <c r="V259">
        <v>2.62</v>
      </c>
      <c r="W259" s="140">
        <f t="shared" si="61"/>
        <v>2.6199999999999994E-7</v>
      </c>
      <c r="X259" s="140">
        <f t="shared" si="62"/>
        <v>5.2399999999999998E-7</v>
      </c>
      <c r="Y259" s="140">
        <f t="shared" si="63"/>
        <v>7.8600000000000008E-7</v>
      </c>
      <c r="Z259" s="140">
        <f t="shared" si="64"/>
        <v>1.0480000000000002E-6</v>
      </c>
      <c r="AA259" s="140">
        <f t="shared" si="65"/>
        <v>1.3100000000000002E-6</v>
      </c>
      <c r="AB259" s="157">
        <f>IF(U259&lt;$B$41*DATA!$H$1037,DATA!$H$1037,IF(U259&gt;DATA!$H$1036*$B$41,DATA!$H$1036,1))</f>
        <v>0.8</v>
      </c>
      <c r="AC259" s="156">
        <f t="shared" si="66"/>
        <v>9.9999999999999995E-8</v>
      </c>
      <c r="AE259" s="140">
        <f t="shared" si="67"/>
        <v>2.6200000000000003E-5</v>
      </c>
      <c r="AF259">
        <v>2.62</v>
      </c>
      <c r="AG259" s="140">
        <f t="shared" si="68"/>
        <v>2.6199999999999994E-7</v>
      </c>
      <c r="AH259" s="140">
        <f t="shared" si="69"/>
        <v>5.2399999999999998E-7</v>
      </c>
      <c r="AI259" s="140">
        <f t="shared" si="70"/>
        <v>7.8600000000000008E-7</v>
      </c>
      <c r="AJ259" s="140">
        <f t="shared" si="71"/>
        <v>1.0480000000000002E-6</v>
      </c>
      <c r="AK259" s="140">
        <f t="shared" si="72"/>
        <v>1.3100000000000002E-6</v>
      </c>
      <c r="AL259" s="157">
        <f>IF(AE259&lt;$B$57*DATA!$H$1037,DATA!$H$1037,IF(AE259&gt;DATA!$H$1036*$B$57,DATA!$H$1036,1))</f>
        <v>1.2</v>
      </c>
      <c r="AM259" s="156">
        <f t="shared" si="73"/>
        <v>9.9999999999999995E-8</v>
      </c>
      <c r="AO259" s="140">
        <f t="shared" si="74"/>
        <v>2.6200000000000003E-5</v>
      </c>
      <c r="AP259">
        <v>2.62</v>
      </c>
      <c r="AQ259" s="140">
        <f t="shared" si="75"/>
        <v>2.6199999999999994E-7</v>
      </c>
      <c r="AR259" s="140">
        <f t="shared" si="76"/>
        <v>5.2399999999999998E-7</v>
      </c>
      <c r="AS259" s="140">
        <f t="shared" si="77"/>
        <v>7.8600000000000008E-7</v>
      </c>
      <c r="AT259" s="140">
        <f t="shared" si="78"/>
        <v>1.0480000000000002E-6</v>
      </c>
      <c r="AU259" s="140">
        <f t="shared" si="79"/>
        <v>1.3100000000000002E-6</v>
      </c>
      <c r="AV259" s="157">
        <f>IF(AO259&lt;$B$73*DATA!$H$1037,DATA!$H$1037,IF(AO259&gt;DATA!$H$1036*$B$73,DATA!$H$1036,1))</f>
        <v>1.2</v>
      </c>
      <c r="AW259" s="156">
        <f t="shared" si="80"/>
        <v>9.9999999999999995E-8</v>
      </c>
      <c r="AY259" s="140">
        <f t="shared" si="81"/>
        <v>2.6200000000000003E-5</v>
      </c>
      <c r="AZ259">
        <v>2.62</v>
      </c>
      <c r="BA259" s="140">
        <f t="shared" si="82"/>
        <v>2.6199999999999994E-7</v>
      </c>
      <c r="BB259" s="140">
        <f t="shared" si="83"/>
        <v>5.2399999999999998E-7</v>
      </c>
      <c r="BC259" s="140">
        <f t="shared" si="84"/>
        <v>7.8600000000000008E-7</v>
      </c>
      <c r="BD259" s="140">
        <f t="shared" si="85"/>
        <v>1.0480000000000002E-6</v>
      </c>
      <c r="BE259" s="140">
        <f t="shared" si="86"/>
        <v>1.3100000000000002E-6</v>
      </c>
      <c r="BF259" s="157">
        <f>IF(AY259&lt;$B$89*DATA!$H$1037,DATA!$H$1037,IF(AY259&gt;DATA!$H$1036*$B$89,DATA!$H$1036,1))</f>
        <v>1.2</v>
      </c>
      <c r="BG259" s="156">
        <f t="shared" si="87"/>
        <v>9.9999999999999995E-8</v>
      </c>
      <c r="BI259" s="140">
        <f t="shared" si="88"/>
        <v>2.6200000000000003E-5</v>
      </c>
      <c r="BJ259">
        <v>2.62</v>
      </c>
      <c r="BK259" s="140">
        <f t="shared" si="89"/>
        <v>2.6199999999999994E-7</v>
      </c>
      <c r="BL259" s="140">
        <f t="shared" si="90"/>
        <v>5.2399999999999998E-7</v>
      </c>
      <c r="BM259" s="140">
        <f t="shared" si="91"/>
        <v>7.8600000000000008E-7</v>
      </c>
      <c r="BN259" s="140">
        <f t="shared" si="92"/>
        <v>1.0480000000000002E-6</v>
      </c>
      <c r="BO259" s="140">
        <f t="shared" si="93"/>
        <v>1.3100000000000002E-6</v>
      </c>
      <c r="BP259" s="157">
        <f>IF(BI259&lt;$B$105*DATA!$H$1037,DATA!$H$1037,IF(BI259&gt;DATA!$H$1036*$B$105,DATA!$H$1036,1))</f>
        <v>1.2</v>
      </c>
      <c r="BQ259" s="156">
        <f t="shared" si="94"/>
        <v>9.9999999999999995E-8</v>
      </c>
    </row>
    <row r="260" spans="1:69">
      <c r="A260" s="140">
        <f t="shared" si="50"/>
        <v>2.6400000000000005E-5</v>
      </c>
      <c r="B260">
        <v>2.64</v>
      </c>
      <c r="C260" s="140">
        <f t="shared" si="95"/>
        <v>2.6399999999999998E-7</v>
      </c>
      <c r="D260" s="140">
        <f t="shared" si="95"/>
        <v>5.2799999999999996E-7</v>
      </c>
      <c r="E260" s="140">
        <f t="shared" si="95"/>
        <v>7.920000000000001E-7</v>
      </c>
      <c r="F260" s="140">
        <f t="shared" si="95"/>
        <v>1.0560000000000001E-6</v>
      </c>
      <c r="G260" s="140">
        <f t="shared" si="95"/>
        <v>1.3200000000000003E-6</v>
      </c>
      <c r="H260" s="157">
        <f>IF(A260&lt;$B$9*DATA!$H$1037,DATA!$H$1037,IF(A260&gt;DATA!$H$1036*$B$9,DATA!$H$1036,1))</f>
        <v>0.8</v>
      </c>
      <c r="I260" s="156">
        <f t="shared" si="52"/>
        <v>9.9999999999999995E-8</v>
      </c>
      <c r="K260" s="140">
        <f t="shared" si="53"/>
        <v>2.6400000000000005E-5</v>
      </c>
      <c r="L260">
        <v>2.64</v>
      </c>
      <c r="M260" s="140">
        <f t="shared" si="54"/>
        <v>2.6399999999999998E-7</v>
      </c>
      <c r="N260" s="140">
        <f t="shared" si="55"/>
        <v>5.2799999999999996E-7</v>
      </c>
      <c r="O260" s="140">
        <f t="shared" si="56"/>
        <v>7.920000000000001E-7</v>
      </c>
      <c r="P260" s="140">
        <f t="shared" si="57"/>
        <v>1.0560000000000001E-6</v>
      </c>
      <c r="Q260" s="140">
        <f t="shared" si="58"/>
        <v>1.3200000000000003E-6</v>
      </c>
      <c r="R260" s="157">
        <f>IF(K260&lt;$B$25*DATA!$H$1037,DATA!$H$1037,IF(K260&gt;DATA!$H$1036*$B$25,DATA!$H$1036,1))</f>
        <v>0.8</v>
      </c>
      <c r="S260" s="156">
        <f t="shared" si="59"/>
        <v>9.9999999999999995E-8</v>
      </c>
      <c r="U260" s="140">
        <f t="shared" si="60"/>
        <v>2.6400000000000005E-5</v>
      </c>
      <c r="V260">
        <v>2.64</v>
      </c>
      <c r="W260" s="140">
        <f t="shared" si="61"/>
        <v>2.6399999999999998E-7</v>
      </c>
      <c r="X260" s="140">
        <f t="shared" si="62"/>
        <v>5.2799999999999996E-7</v>
      </c>
      <c r="Y260" s="140">
        <f t="shared" si="63"/>
        <v>7.920000000000001E-7</v>
      </c>
      <c r="Z260" s="140">
        <f t="shared" si="64"/>
        <v>1.0560000000000001E-6</v>
      </c>
      <c r="AA260" s="140">
        <f t="shared" si="65"/>
        <v>1.3200000000000003E-6</v>
      </c>
      <c r="AB260" s="157">
        <f>IF(U260&lt;$B$41*DATA!$H$1037,DATA!$H$1037,IF(U260&gt;DATA!$H$1036*$B$41,DATA!$H$1036,1))</f>
        <v>0.8</v>
      </c>
      <c r="AC260" s="156">
        <f t="shared" si="66"/>
        <v>9.9999999999999995E-8</v>
      </c>
      <c r="AE260" s="140">
        <f t="shared" si="67"/>
        <v>2.6400000000000005E-5</v>
      </c>
      <c r="AF260">
        <v>2.64</v>
      </c>
      <c r="AG260" s="140">
        <f t="shared" si="68"/>
        <v>2.6399999999999998E-7</v>
      </c>
      <c r="AH260" s="140">
        <f t="shared" si="69"/>
        <v>5.2799999999999996E-7</v>
      </c>
      <c r="AI260" s="140">
        <f t="shared" si="70"/>
        <v>7.920000000000001E-7</v>
      </c>
      <c r="AJ260" s="140">
        <f t="shared" si="71"/>
        <v>1.0560000000000001E-6</v>
      </c>
      <c r="AK260" s="140">
        <f t="shared" si="72"/>
        <v>1.3200000000000003E-6</v>
      </c>
      <c r="AL260" s="157">
        <f>IF(AE260&lt;$B$57*DATA!$H$1037,DATA!$H$1037,IF(AE260&gt;DATA!$H$1036*$B$57,DATA!$H$1036,1))</f>
        <v>1.2</v>
      </c>
      <c r="AM260" s="156">
        <f t="shared" si="73"/>
        <v>9.9999999999999995E-8</v>
      </c>
      <c r="AO260" s="140">
        <f t="shared" si="74"/>
        <v>2.6400000000000005E-5</v>
      </c>
      <c r="AP260">
        <v>2.64</v>
      </c>
      <c r="AQ260" s="140">
        <f t="shared" si="75"/>
        <v>2.6399999999999998E-7</v>
      </c>
      <c r="AR260" s="140">
        <f t="shared" si="76"/>
        <v>5.2799999999999996E-7</v>
      </c>
      <c r="AS260" s="140">
        <f t="shared" si="77"/>
        <v>7.920000000000001E-7</v>
      </c>
      <c r="AT260" s="140">
        <f t="shared" si="78"/>
        <v>1.0560000000000001E-6</v>
      </c>
      <c r="AU260" s="140">
        <f t="shared" si="79"/>
        <v>1.3200000000000003E-6</v>
      </c>
      <c r="AV260" s="157">
        <f>IF(AO260&lt;$B$73*DATA!$H$1037,DATA!$H$1037,IF(AO260&gt;DATA!$H$1036*$B$73,DATA!$H$1036,1))</f>
        <v>1.2</v>
      </c>
      <c r="AW260" s="156">
        <f t="shared" si="80"/>
        <v>9.9999999999999995E-8</v>
      </c>
      <c r="AY260" s="140">
        <f t="shared" si="81"/>
        <v>2.6400000000000005E-5</v>
      </c>
      <c r="AZ260">
        <v>2.64</v>
      </c>
      <c r="BA260" s="140">
        <f t="shared" si="82"/>
        <v>2.6399999999999998E-7</v>
      </c>
      <c r="BB260" s="140">
        <f t="shared" si="83"/>
        <v>5.2799999999999996E-7</v>
      </c>
      <c r="BC260" s="140">
        <f t="shared" si="84"/>
        <v>7.920000000000001E-7</v>
      </c>
      <c r="BD260" s="140">
        <f t="shared" si="85"/>
        <v>1.0560000000000001E-6</v>
      </c>
      <c r="BE260" s="140">
        <f t="shared" si="86"/>
        <v>1.3200000000000003E-6</v>
      </c>
      <c r="BF260" s="157">
        <f>IF(AY260&lt;$B$89*DATA!$H$1037,DATA!$H$1037,IF(AY260&gt;DATA!$H$1036*$B$89,DATA!$H$1036,1))</f>
        <v>1.2</v>
      </c>
      <c r="BG260" s="156">
        <f t="shared" si="87"/>
        <v>9.9999999999999995E-8</v>
      </c>
      <c r="BI260" s="140">
        <f t="shared" si="88"/>
        <v>2.6400000000000005E-5</v>
      </c>
      <c r="BJ260">
        <v>2.64</v>
      </c>
      <c r="BK260" s="140">
        <f t="shared" si="89"/>
        <v>2.6399999999999998E-7</v>
      </c>
      <c r="BL260" s="140">
        <f t="shared" si="90"/>
        <v>5.2799999999999996E-7</v>
      </c>
      <c r="BM260" s="140">
        <f t="shared" si="91"/>
        <v>7.920000000000001E-7</v>
      </c>
      <c r="BN260" s="140">
        <f t="shared" si="92"/>
        <v>1.0560000000000001E-6</v>
      </c>
      <c r="BO260" s="140">
        <f t="shared" si="93"/>
        <v>1.3200000000000003E-6</v>
      </c>
      <c r="BP260" s="157">
        <f>IF(BI260&lt;$B$105*DATA!$H$1037,DATA!$H$1037,IF(BI260&gt;DATA!$H$1036*$B$105,DATA!$H$1036,1))</f>
        <v>1.2</v>
      </c>
      <c r="BQ260" s="156">
        <f t="shared" si="94"/>
        <v>9.9999999999999995E-8</v>
      </c>
    </row>
    <row r="261" spans="1:69">
      <c r="A261" s="140">
        <f t="shared" si="50"/>
        <v>2.6600000000000003E-5</v>
      </c>
      <c r="B261">
        <v>2.66</v>
      </c>
      <c r="C261" s="140">
        <f t="shared" si="95"/>
        <v>2.6599999999999992E-7</v>
      </c>
      <c r="D261" s="140">
        <f t="shared" si="95"/>
        <v>5.3199999999999995E-7</v>
      </c>
      <c r="E261" s="140">
        <f t="shared" si="95"/>
        <v>7.9800000000000003E-7</v>
      </c>
      <c r="F261" s="140">
        <f t="shared" si="95"/>
        <v>1.0640000000000001E-6</v>
      </c>
      <c r="G261" s="140">
        <f t="shared" si="95"/>
        <v>1.3300000000000002E-6</v>
      </c>
      <c r="H261" s="157">
        <f>IF(A261&lt;$B$9*DATA!$H$1037,DATA!$H$1037,IF(A261&gt;DATA!$H$1036*$B$9,DATA!$H$1036,1))</f>
        <v>0.8</v>
      </c>
      <c r="I261" s="156">
        <f t="shared" si="52"/>
        <v>9.9999999999999995E-8</v>
      </c>
      <c r="K261" s="140">
        <f t="shared" si="53"/>
        <v>2.6600000000000003E-5</v>
      </c>
      <c r="L261">
        <v>2.66</v>
      </c>
      <c r="M261" s="140">
        <f t="shared" si="54"/>
        <v>2.6599999999999992E-7</v>
      </c>
      <c r="N261" s="140">
        <f t="shared" si="55"/>
        <v>5.3199999999999995E-7</v>
      </c>
      <c r="O261" s="140">
        <f t="shared" si="56"/>
        <v>7.9800000000000003E-7</v>
      </c>
      <c r="P261" s="140">
        <f t="shared" si="57"/>
        <v>1.0640000000000001E-6</v>
      </c>
      <c r="Q261" s="140">
        <f t="shared" si="58"/>
        <v>1.3300000000000002E-6</v>
      </c>
      <c r="R261" s="157">
        <f>IF(K261&lt;$B$25*DATA!$H$1037,DATA!$H$1037,IF(K261&gt;DATA!$H$1036*$B$25,DATA!$H$1036,1))</f>
        <v>0.8</v>
      </c>
      <c r="S261" s="156">
        <f t="shared" si="59"/>
        <v>9.9999999999999995E-8</v>
      </c>
      <c r="U261" s="140">
        <f t="shared" si="60"/>
        <v>2.6600000000000003E-5</v>
      </c>
      <c r="V261">
        <v>2.66</v>
      </c>
      <c r="W261" s="140">
        <f t="shared" si="61"/>
        <v>2.6599999999999992E-7</v>
      </c>
      <c r="X261" s="140">
        <f t="shared" si="62"/>
        <v>5.3199999999999995E-7</v>
      </c>
      <c r="Y261" s="140">
        <f t="shared" si="63"/>
        <v>7.9800000000000003E-7</v>
      </c>
      <c r="Z261" s="140">
        <f t="shared" si="64"/>
        <v>1.0640000000000001E-6</v>
      </c>
      <c r="AA261" s="140">
        <f t="shared" si="65"/>
        <v>1.3300000000000002E-6</v>
      </c>
      <c r="AB261" s="157">
        <f>IF(U261&lt;$B$41*DATA!$H$1037,DATA!$H$1037,IF(U261&gt;DATA!$H$1036*$B$41,DATA!$H$1036,1))</f>
        <v>0.8</v>
      </c>
      <c r="AC261" s="156">
        <f t="shared" si="66"/>
        <v>9.9999999999999995E-8</v>
      </c>
      <c r="AE261" s="140">
        <f t="shared" si="67"/>
        <v>2.6600000000000003E-5</v>
      </c>
      <c r="AF261">
        <v>2.66</v>
      </c>
      <c r="AG261" s="140">
        <f t="shared" si="68"/>
        <v>2.6599999999999992E-7</v>
      </c>
      <c r="AH261" s="140">
        <f t="shared" si="69"/>
        <v>5.3199999999999995E-7</v>
      </c>
      <c r="AI261" s="140">
        <f t="shared" si="70"/>
        <v>7.9800000000000003E-7</v>
      </c>
      <c r="AJ261" s="140">
        <f t="shared" si="71"/>
        <v>1.0640000000000001E-6</v>
      </c>
      <c r="AK261" s="140">
        <f t="shared" si="72"/>
        <v>1.3300000000000002E-6</v>
      </c>
      <c r="AL261" s="157">
        <f>IF(AE261&lt;$B$57*DATA!$H$1037,DATA!$H$1037,IF(AE261&gt;DATA!$H$1036*$B$57,DATA!$H$1036,1))</f>
        <v>1.2</v>
      </c>
      <c r="AM261" s="156">
        <f t="shared" si="73"/>
        <v>9.9999999999999995E-8</v>
      </c>
      <c r="AO261" s="140">
        <f t="shared" si="74"/>
        <v>2.6600000000000003E-5</v>
      </c>
      <c r="AP261">
        <v>2.66</v>
      </c>
      <c r="AQ261" s="140">
        <f t="shared" si="75"/>
        <v>2.6599999999999992E-7</v>
      </c>
      <c r="AR261" s="140">
        <f t="shared" si="76"/>
        <v>5.3199999999999995E-7</v>
      </c>
      <c r="AS261" s="140">
        <f t="shared" si="77"/>
        <v>7.9800000000000003E-7</v>
      </c>
      <c r="AT261" s="140">
        <f t="shared" si="78"/>
        <v>1.0640000000000001E-6</v>
      </c>
      <c r="AU261" s="140">
        <f t="shared" si="79"/>
        <v>1.3300000000000002E-6</v>
      </c>
      <c r="AV261" s="157">
        <f>IF(AO261&lt;$B$73*DATA!$H$1037,DATA!$H$1037,IF(AO261&gt;DATA!$H$1036*$B$73,DATA!$H$1036,1))</f>
        <v>1.2</v>
      </c>
      <c r="AW261" s="156">
        <f t="shared" si="80"/>
        <v>9.9999999999999995E-8</v>
      </c>
      <c r="AY261" s="140">
        <f t="shared" si="81"/>
        <v>2.6600000000000003E-5</v>
      </c>
      <c r="AZ261">
        <v>2.66</v>
      </c>
      <c r="BA261" s="140">
        <f t="shared" si="82"/>
        <v>2.6599999999999992E-7</v>
      </c>
      <c r="BB261" s="140">
        <f t="shared" si="83"/>
        <v>5.3199999999999995E-7</v>
      </c>
      <c r="BC261" s="140">
        <f t="shared" si="84"/>
        <v>7.9800000000000003E-7</v>
      </c>
      <c r="BD261" s="140">
        <f t="shared" si="85"/>
        <v>1.0640000000000001E-6</v>
      </c>
      <c r="BE261" s="140">
        <f t="shared" si="86"/>
        <v>1.3300000000000002E-6</v>
      </c>
      <c r="BF261" s="157">
        <f>IF(AY261&lt;$B$89*DATA!$H$1037,DATA!$H$1037,IF(AY261&gt;DATA!$H$1036*$B$89,DATA!$H$1036,1))</f>
        <v>1.2</v>
      </c>
      <c r="BG261" s="156">
        <f t="shared" si="87"/>
        <v>9.9999999999999995E-8</v>
      </c>
      <c r="BI261" s="140">
        <f t="shared" si="88"/>
        <v>2.6600000000000003E-5</v>
      </c>
      <c r="BJ261">
        <v>2.66</v>
      </c>
      <c r="BK261" s="140">
        <f t="shared" si="89"/>
        <v>2.6599999999999992E-7</v>
      </c>
      <c r="BL261" s="140">
        <f t="shared" si="90"/>
        <v>5.3199999999999995E-7</v>
      </c>
      <c r="BM261" s="140">
        <f t="shared" si="91"/>
        <v>7.9800000000000003E-7</v>
      </c>
      <c r="BN261" s="140">
        <f t="shared" si="92"/>
        <v>1.0640000000000001E-6</v>
      </c>
      <c r="BO261" s="140">
        <f t="shared" si="93"/>
        <v>1.3300000000000002E-6</v>
      </c>
      <c r="BP261" s="157">
        <f>IF(BI261&lt;$B$105*DATA!$H$1037,DATA!$H$1037,IF(BI261&gt;DATA!$H$1036*$B$105,DATA!$H$1036,1))</f>
        <v>1.2</v>
      </c>
      <c r="BQ261" s="156">
        <f t="shared" si="94"/>
        <v>9.9999999999999995E-8</v>
      </c>
    </row>
    <row r="262" spans="1:69">
      <c r="A262" s="140">
        <f t="shared" si="50"/>
        <v>2.6800000000000004E-5</v>
      </c>
      <c r="B262">
        <v>2.68</v>
      </c>
      <c r="C262" s="140">
        <f t="shared" si="95"/>
        <v>2.6799999999999996E-7</v>
      </c>
      <c r="D262" s="140">
        <f t="shared" si="95"/>
        <v>5.3600000000000004E-7</v>
      </c>
      <c r="E262" s="140">
        <f t="shared" si="95"/>
        <v>8.0400000000000005E-7</v>
      </c>
      <c r="F262" s="140">
        <f t="shared" si="95"/>
        <v>1.0720000000000003E-6</v>
      </c>
      <c r="G262" s="140">
        <f t="shared" si="95"/>
        <v>1.3400000000000003E-6</v>
      </c>
      <c r="H262" s="157">
        <f>IF(A262&lt;$B$9*DATA!$H$1037,DATA!$H$1037,IF(A262&gt;DATA!$H$1036*$B$9,DATA!$H$1036,1))</f>
        <v>0.8</v>
      </c>
      <c r="I262" s="156">
        <f t="shared" si="52"/>
        <v>9.9999999999999995E-8</v>
      </c>
      <c r="K262" s="140">
        <f t="shared" si="53"/>
        <v>2.6800000000000004E-5</v>
      </c>
      <c r="L262">
        <v>2.68</v>
      </c>
      <c r="M262" s="140">
        <f t="shared" si="54"/>
        <v>2.6799999999999996E-7</v>
      </c>
      <c r="N262" s="140">
        <f t="shared" si="55"/>
        <v>5.3600000000000004E-7</v>
      </c>
      <c r="O262" s="140">
        <f t="shared" si="56"/>
        <v>8.0400000000000005E-7</v>
      </c>
      <c r="P262" s="140">
        <f t="shared" si="57"/>
        <v>1.0720000000000003E-6</v>
      </c>
      <c r="Q262" s="140">
        <f t="shared" si="58"/>
        <v>1.3400000000000003E-6</v>
      </c>
      <c r="R262" s="157">
        <f>IF(K262&lt;$B$25*DATA!$H$1037,DATA!$H$1037,IF(K262&gt;DATA!$H$1036*$B$25,DATA!$H$1036,1))</f>
        <v>0.8</v>
      </c>
      <c r="S262" s="156">
        <f t="shared" si="59"/>
        <v>9.9999999999999995E-8</v>
      </c>
      <c r="U262" s="140">
        <f t="shared" si="60"/>
        <v>2.6800000000000004E-5</v>
      </c>
      <c r="V262">
        <v>2.68</v>
      </c>
      <c r="W262" s="140">
        <f t="shared" si="61"/>
        <v>2.6799999999999996E-7</v>
      </c>
      <c r="X262" s="140">
        <f t="shared" si="62"/>
        <v>5.3600000000000004E-7</v>
      </c>
      <c r="Y262" s="140">
        <f t="shared" si="63"/>
        <v>8.0400000000000005E-7</v>
      </c>
      <c r="Z262" s="140">
        <f t="shared" si="64"/>
        <v>1.0720000000000003E-6</v>
      </c>
      <c r="AA262" s="140">
        <f t="shared" si="65"/>
        <v>1.3400000000000003E-6</v>
      </c>
      <c r="AB262" s="157">
        <f>IF(U262&lt;$B$41*DATA!$H$1037,DATA!$H$1037,IF(U262&gt;DATA!$H$1036*$B$41,DATA!$H$1036,1))</f>
        <v>0.8</v>
      </c>
      <c r="AC262" s="156">
        <f t="shared" si="66"/>
        <v>9.9999999999999995E-8</v>
      </c>
      <c r="AE262" s="140">
        <f t="shared" si="67"/>
        <v>2.6800000000000004E-5</v>
      </c>
      <c r="AF262">
        <v>2.68</v>
      </c>
      <c r="AG262" s="140">
        <f t="shared" si="68"/>
        <v>2.6799999999999996E-7</v>
      </c>
      <c r="AH262" s="140">
        <f t="shared" si="69"/>
        <v>5.3600000000000004E-7</v>
      </c>
      <c r="AI262" s="140">
        <f t="shared" si="70"/>
        <v>8.0400000000000005E-7</v>
      </c>
      <c r="AJ262" s="140">
        <f t="shared" si="71"/>
        <v>1.0720000000000003E-6</v>
      </c>
      <c r="AK262" s="140">
        <f t="shared" si="72"/>
        <v>1.3400000000000003E-6</v>
      </c>
      <c r="AL262" s="157">
        <f>IF(AE262&lt;$B$57*DATA!$H$1037,DATA!$H$1037,IF(AE262&gt;DATA!$H$1036*$B$57,DATA!$H$1036,1))</f>
        <v>1.2</v>
      </c>
      <c r="AM262" s="156">
        <f t="shared" si="73"/>
        <v>9.9999999999999995E-8</v>
      </c>
      <c r="AO262" s="140">
        <f t="shared" si="74"/>
        <v>2.6800000000000004E-5</v>
      </c>
      <c r="AP262">
        <v>2.68</v>
      </c>
      <c r="AQ262" s="140">
        <f t="shared" si="75"/>
        <v>2.6799999999999996E-7</v>
      </c>
      <c r="AR262" s="140">
        <f t="shared" si="76"/>
        <v>5.3600000000000004E-7</v>
      </c>
      <c r="AS262" s="140">
        <f t="shared" si="77"/>
        <v>8.0400000000000005E-7</v>
      </c>
      <c r="AT262" s="140">
        <f t="shared" si="78"/>
        <v>1.0720000000000003E-6</v>
      </c>
      <c r="AU262" s="140">
        <f t="shared" si="79"/>
        <v>1.3400000000000003E-6</v>
      </c>
      <c r="AV262" s="157">
        <f>IF(AO262&lt;$B$73*DATA!$H$1037,DATA!$H$1037,IF(AO262&gt;DATA!$H$1036*$B$73,DATA!$H$1036,1))</f>
        <v>1.2</v>
      </c>
      <c r="AW262" s="156">
        <f t="shared" si="80"/>
        <v>9.9999999999999995E-8</v>
      </c>
      <c r="AY262" s="140">
        <f t="shared" si="81"/>
        <v>2.6800000000000004E-5</v>
      </c>
      <c r="AZ262">
        <v>2.68</v>
      </c>
      <c r="BA262" s="140">
        <f t="shared" si="82"/>
        <v>2.6799999999999996E-7</v>
      </c>
      <c r="BB262" s="140">
        <f t="shared" si="83"/>
        <v>5.3600000000000004E-7</v>
      </c>
      <c r="BC262" s="140">
        <f t="shared" si="84"/>
        <v>8.0400000000000005E-7</v>
      </c>
      <c r="BD262" s="140">
        <f t="shared" si="85"/>
        <v>1.0720000000000003E-6</v>
      </c>
      <c r="BE262" s="140">
        <f t="shared" si="86"/>
        <v>1.3400000000000003E-6</v>
      </c>
      <c r="BF262" s="157">
        <f>IF(AY262&lt;$B$89*DATA!$H$1037,DATA!$H$1037,IF(AY262&gt;DATA!$H$1036*$B$89,DATA!$H$1036,1))</f>
        <v>1.2</v>
      </c>
      <c r="BG262" s="156">
        <f t="shared" si="87"/>
        <v>9.9999999999999995E-8</v>
      </c>
      <c r="BI262" s="140">
        <f t="shared" si="88"/>
        <v>2.6800000000000004E-5</v>
      </c>
      <c r="BJ262">
        <v>2.68</v>
      </c>
      <c r="BK262" s="140">
        <f t="shared" si="89"/>
        <v>2.6799999999999996E-7</v>
      </c>
      <c r="BL262" s="140">
        <f t="shared" si="90"/>
        <v>5.3600000000000004E-7</v>
      </c>
      <c r="BM262" s="140">
        <f t="shared" si="91"/>
        <v>8.0400000000000005E-7</v>
      </c>
      <c r="BN262" s="140">
        <f t="shared" si="92"/>
        <v>1.0720000000000003E-6</v>
      </c>
      <c r="BO262" s="140">
        <f t="shared" si="93"/>
        <v>1.3400000000000003E-6</v>
      </c>
      <c r="BP262" s="157">
        <f>IF(BI262&lt;$B$105*DATA!$H$1037,DATA!$H$1037,IF(BI262&gt;DATA!$H$1036*$B$105,DATA!$H$1036,1))</f>
        <v>1.2</v>
      </c>
      <c r="BQ262" s="156">
        <f t="shared" si="94"/>
        <v>9.9999999999999995E-8</v>
      </c>
    </row>
    <row r="263" spans="1:69">
      <c r="A263" s="140">
        <f t="shared" si="50"/>
        <v>2.7000000000000002E-5</v>
      </c>
      <c r="B263">
        <v>2.7</v>
      </c>
      <c r="C263" s="140">
        <f t="shared" si="95"/>
        <v>2.6999999999999996E-7</v>
      </c>
      <c r="D263" s="140">
        <f t="shared" si="95"/>
        <v>5.4000000000000002E-7</v>
      </c>
      <c r="E263" s="140">
        <f t="shared" si="95"/>
        <v>8.1000000000000008E-7</v>
      </c>
      <c r="F263" s="140">
        <f t="shared" si="95"/>
        <v>1.08E-6</v>
      </c>
      <c r="G263" s="140">
        <f t="shared" si="95"/>
        <v>1.3500000000000002E-6</v>
      </c>
      <c r="H263" s="157">
        <f>IF(A263&lt;$B$9*DATA!$H$1037,DATA!$H$1037,IF(A263&gt;DATA!$H$1036*$B$9,DATA!$H$1036,1))</f>
        <v>0.8</v>
      </c>
      <c r="I263" s="156">
        <f t="shared" si="52"/>
        <v>9.9999999999999995E-8</v>
      </c>
      <c r="K263" s="140">
        <f t="shared" si="53"/>
        <v>2.7000000000000002E-5</v>
      </c>
      <c r="L263">
        <v>2.7</v>
      </c>
      <c r="M263" s="140">
        <f t="shared" si="54"/>
        <v>2.6999999999999996E-7</v>
      </c>
      <c r="N263" s="140">
        <f t="shared" si="55"/>
        <v>5.4000000000000002E-7</v>
      </c>
      <c r="O263" s="140">
        <f t="shared" si="56"/>
        <v>8.1000000000000008E-7</v>
      </c>
      <c r="P263" s="140">
        <f t="shared" si="57"/>
        <v>1.08E-6</v>
      </c>
      <c r="Q263" s="140">
        <f t="shared" si="58"/>
        <v>1.3500000000000002E-6</v>
      </c>
      <c r="R263" s="157">
        <f>IF(K263&lt;$B$25*DATA!$H$1037,DATA!$H$1037,IF(K263&gt;DATA!$H$1036*$B$25,DATA!$H$1036,1))</f>
        <v>0.8</v>
      </c>
      <c r="S263" s="156">
        <f t="shared" si="59"/>
        <v>9.9999999999999995E-8</v>
      </c>
      <c r="U263" s="140">
        <f t="shared" si="60"/>
        <v>2.7000000000000002E-5</v>
      </c>
      <c r="V263">
        <v>2.7</v>
      </c>
      <c r="W263" s="140">
        <f t="shared" si="61"/>
        <v>2.6999999999999996E-7</v>
      </c>
      <c r="X263" s="140">
        <f t="shared" si="62"/>
        <v>5.4000000000000002E-7</v>
      </c>
      <c r="Y263" s="140">
        <f t="shared" si="63"/>
        <v>8.1000000000000008E-7</v>
      </c>
      <c r="Z263" s="140">
        <f t="shared" si="64"/>
        <v>1.08E-6</v>
      </c>
      <c r="AA263" s="140">
        <f t="shared" si="65"/>
        <v>1.3500000000000002E-6</v>
      </c>
      <c r="AB263" s="157">
        <f>IF(U263&lt;$B$41*DATA!$H$1037,DATA!$H$1037,IF(U263&gt;DATA!$H$1036*$B$41,DATA!$H$1036,1))</f>
        <v>0.8</v>
      </c>
      <c r="AC263" s="156">
        <f t="shared" si="66"/>
        <v>9.9999999999999995E-8</v>
      </c>
      <c r="AE263" s="140">
        <f t="shared" si="67"/>
        <v>2.7000000000000002E-5</v>
      </c>
      <c r="AF263">
        <v>2.7</v>
      </c>
      <c r="AG263" s="140">
        <f t="shared" si="68"/>
        <v>2.6999999999999996E-7</v>
      </c>
      <c r="AH263" s="140">
        <f t="shared" si="69"/>
        <v>5.4000000000000002E-7</v>
      </c>
      <c r="AI263" s="140">
        <f t="shared" si="70"/>
        <v>8.1000000000000008E-7</v>
      </c>
      <c r="AJ263" s="140">
        <f t="shared" si="71"/>
        <v>1.08E-6</v>
      </c>
      <c r="AK263" s="140">
        <f t="shared" si="72"/>
        <v>1.3500000000000002E-6</v>
      </c>
      <c r="AL263" s="157">
        <f>IF(AE263&lt;$B$57*DATA!$H$1037,DATA!$H$1037,IF(AE263&gt;DATA!$H$1036*$B$57,DATA!$H$1036,1))</f>
        <v>1.2</v>
      </c>
      <c r="AM263" s="156">
        <f t="shared" si="73"/>
        <v>9.9999999999999995E-8</v>
      </c>
      <c r="AO263" s="140">
        <f t="shared" si="74"/>
        <v>2.7000000000000002E-5</v>
      </c>
      <c r="AP263">
        <v>2.7</v>
      </c>
      <c r="AQ263" s="140">
        <f t="shared" si="75"/>
        <v>2.6999999999999996E-7</v>
      </c>
      <c r="AR263" s="140">
        <f t="shared" si="76"/>
        <v>5.4000000000000002E-7</v>
      </c>
      <c r="AS263" s="140">
        <f t="shared" si="77"/>
        <v>8.1000000000000008E-7</v>
      </c>
      <c r="AT263" s="140">
        <f t="shared" si="78"/>
        <v>1.08E-6</v>
      </c>
      <c r="AU263" s="140">
        <f t="shared" si="79"/>
        <v>1.3500000000000002E-6</v>
      </c>
      <c r="AV263" s="157">
        <f>IF(AO263&lt;$B$73*DATA!$H$1037,DATA!$H$1037,IF(AO263&gt;DATA!$H$1036*$B$73,DATA!$H$1036,1))</f>
        <v>1.2</v>
      </c>
      <c r="AW263" s="156">
        <f t="shared" si="80"/>
        <v>9.9999999999999995E-8</v>
      </c>
      <c r="AY263" s="140">
        <f t="shared" si="81"/>
        <v>2.7000000000000002E-5</v>
      </c>
      <c r="AZ263">
        <v>2.7</v>
      </c>
      <c r="BA263" s="140">
        <f t="shared" si="82"/>
        <v>2.6999999999999996E-7</v>
      </c>
      <c r="BB263" s="140">
        <f t="shared" si="83"/>
        <v>5.4000000000000002E-7</v>
      </c>
      <c r="BC263" s="140">
        <f t="shared" si="84"/>
        <v>8.1000000000000008E-7</v>
      </c>
      <c r="BD263" s="140">
        <f t="shared" si="85"/>
        <v>1.08E-6</v>
      </c>
      <c r="BE263" s="140">
        <f t="shared" si="86"/>
        <v>1.3500000000000002E-6</v>
      </c>
      <c r="BF263" s="157">
        <f>IF(AY263&lt;$B$89*DATA!$H$1037,DATA!$H$1037,IF(AY263&gt;DATA!$H$1036*$B$89,DATA!$H$1036,1))</f>
        <v>1.2</v>
      </c>
      <c r="BG263" s="156">
        <f t="shared" si="87"/>
        <v>9.9999999999999995E-8</v>
      </c>
      <c r="BI263" s="140">
        <f t="shared" si="88"/>
        <v>2.7000000000000002E-5</v>
      </c>
      <c r="BJ263">
        <v>2.7</v>
      </c>
      <c r="BK263" s="140">
        <f t="shared" si="89"/>
        <v>2.6999999999999996E-7</v>
      </c>
      <c r="BL263" s="140">
        <f t="shared" si="90"/>
        <v>5.4000000000000002E-7</v>
      </c>
      <c r="BM263" s="140">
        <f t="shared" si="91"/>
        <v>8.1000000000000008E-7</v>
      </c>
      <c r="BN263" s="140">
        <f t="shared" si="92"/>
        <v>1.08E-6</v>
      </c>
      <c r="BO263" s="140">
        <f t="shared" si="93"/>
        <v>1.3500000000000002E-6</v>
      </c>
      <c r="BP263" s="157">
        <f>IF(BI263&lt;$B$105*DATA!$H$1037,DATA!$H$1037,IF(BI263&gt;DATA!$H$1036*$B$105,DATA!$H$1036,1))</f>
        <v>1.2</v>
      </c>
      <c r="BQ263" s="156">
        <f t="shared" si="94"/>
        <v>9.9999999999999995E-8</v>
      </c>
    </row>
    <row r="264" spans="1:69">
      <c r="A264" s="140">
        <f t="shared" si="50"/>
        <v>2.7200000000000004E-5</v>
      </c>
      <c r="B264">
        <v>2.72</v>
      </c>
      <c r="C264" s="140">
        <f t="shared" si="95"/>
        <v>2.7199999999999995E-7</v>
      </c>
      <c r="D264" s="140">
        <f t="shared" si="95"/>
        <v>5.44E-7</v>
      </c>
      <c r="E264" s="140">
        <f t="shared" si="95"/>
        <v>8.1600000000000011E-7</v>
      </c>
      <c r="F264" s="140">
        <f t="shared" si="95"/>
        <v>1.0880000000000002E-6</v>
      </c>
      <c r="G264" s="140">
        <f t="shared" si="95"/>
        <v>1.3600000000000003E-6</v>
      </c>
      <c r="H264" s="157">
        <f>IF(A264&lt;$B$9*DATA!$H$1037,DATA!$H$1037,IF(A264&gt;DATA!$H$1036*$B$9,DATA!$H$1036,1))</f>
        <v>0.8</v>
      </c>
      <c r="I264" s="156">
        <f t="shared" si="52"/>
        <v>9.9999999999999995E-8</v>
      </c>
      <c r="K264" s="140">
        <f t="shared" si="53"/>
        <v>2.7200000000000004E-5</v>
      </c>
      <c r="L264">
        <v>2.72</v>
      </c>
      <c r="M264" s="140">
        <f t="shared" si="54"/>
        <v>2.7199999999999995E-7</v>
      </c>
      <c r="N264" s="140">
        <f t="shared" si="55"/>
        <v>5.44E-7</v>
      </c>
      <c r="O264" s="140">
        <f t="shared" si="56"/>
        <v>8.1600000000000011E-7</v>
      </c>
      <c r="P264" s="140">
        <f t="shared" si="57"/>
        <v>1.0880000000000002E-6</v>
      </c>
      <c r="Q264" s="140">
        <f t="shared" si="58"/>
        <v>1.3600000000000003E-6</v>
      </c>
      <c r="R264" s="157">
        <f>IF(K264&lt;$B$25*DATA!$H$1037,DATA!$H$1037,IF(K264&gt;DATA!$H$1036*$B$25,DATA!$H$1036,1))</f>
        <v>0.8</v>
      </c>
      <c r="S264" s="156">
        <f t="shared" si="59"/>
        <v>9.9999999999999995E-8</v>
      </c>
      <c r="U264" s="140">
        <f t="shared" si="60"/>
        <v>2.7200000000000004E-5</v>
      </c>
      <c r="V264">
        <v>2.72</v>
      </c>
      <c r="W264" s="140">
        <f t="shared" si="61"/>
        <v>2.7199999999999995E-7</v>
      </c>
      <c r="X264" s="140">
        <f t="shared" si="62"/>
        <v>5.44E-7</v>
      </c>
      <c r="Y264" s="140">
        <f t="shared" si="63"/>
        <v>8.1600000000000011E-7</v>
      </c>
      <c r="Z264" s="140">
        <f t="shared" si="64"/>
        <v>1.0880000000000002E-6</v>
      </c>
      <c r="AA264" s="140">
        <f t="shared" si="65"/>
        <v>1.3600000000000003E-6</v>
      </c>
      <c r="AB264" s="157">
        <f>IF(U264&lt;$B$41*DATA!$H$1037,DATA!$H$1037,IF(U264&gt;DATA!$H$1036*$B$41,DATA!$H$1036,1))</f>
        <v>0.8</v>
      </c>
      <c r="AC264" s="156">
        <f t="shared" si="66"/>
        <v>9.9999999999999995E-8</v>
      </c>
      <c r="AE264" s="140">
        <f t="shared" si="67"/>
        <v>2.7200000000000004E-5</v>
      </c>
      <c r="AF264">
        <v>2.72</v>
      </c>
      <c r="AG264" s="140">
        <f t="shared" si="68"/>
        <v>2.7199999999999995E-7</v>
      </c>
      <c r="AH264" s="140">
        <f t="shared" si="69"/>
        <v>5.44E-7</v>
      </c>
      <c r="AI264" s="140">
        <f t="shared" si="70"/>
        <v>8.1600000000000011E-7</v>
      </c>
      <c r="AJ264" s="140">
        <f t="shared" si="71"/>
        <v>1.0880000000000002E-6</v>
      </c>
      <c r="AK264" s="140">
        <f t="shared" si="72"/>
        <v>1.3600000000000003E-6</v>
      </c>
      <c r="AL264" s="157">
        <f>IF(AE264&lt;$B$57*DATA!$H$1037,DATA!$H$1037,IF(AE264&gt;DATA!$H$1036*$B$57,DATA!$H$1036,1))</f>
        <v>1.2</v>
      </c>
      <c r="AM264" s="156">
        <f t="shared" si="73"/>
        <v>9.9999999999999995E-8</v>
      </c>
      <c r="AO264" s="140">
        <f t="shared" si="74"/>
        <v>2.7200000000000004E-5</v>
      </c>
      <c r="AP264">
        <v>2.72</v>
      </c>
      <c r="AQ264" s="140">
        <f t="shared" si="75"/>
        <v>2.7199999999999995E-7</v>
      </c>
      <c r="AR264" s="140">
        <f t="shared" si="76"/>
        <v>5.44E-7</v>
      </c>
      <c r="AS264" s="140">
        <f t="shared" si="77"/>
        <v>8.1600000000000011E-7</v>
      </c>
      <c r="AT264" s="140">
        <f t="shared" si="78"/>
        <v>1.0880000000000002E-6</v>
      </c>
      <c r="AU264" s="140">
        <f t="shared" si="79"/>
        <v>1.3600000000000003E-6</v>
      </c>
      <c r="AV264" s="157">
        <f>IF(AO264&lt;$B$73*DATA!$H$1037,DATA!$H$1037,IF(AO264&gt;DATA!$H$1036*$B$73,DATA!$H$1036,1))</f>
        <v>1.2</v>
      </c>
      <c r="AW264" s="156">
        <f t="shared" si="80"/>
        <v>9.9999999999999995E-8</v>
      </c>
      <c r="AY264" s="140">
        <f t="shared" si="81"/>
        <v>2.7200000000000004E-5</v>
      </c>
      <c r="AZ264">
        <v>2.72</v>
      </c>
      <c r="BA264" s="140">
        <f t="shared" si="82"/>
        <v>2.7199999999999995E-7</v>
      </c>
      <c r="BB264" s="140">
        <f t="shared" si="83"/>
        <v>5.44E-7</v>
      </c>
      <c r="BC264" s="140">
        <f t="shared" si="84"/>
        <v>8.1600000000000011E-7</v>
      </c>
      <c r="BD264" s="140">
        <f t="shared" si="85"/>
        <v>1.0880000000000002E-6</v>
      </c>
      <c r="BE264" s="140">
        <f t="shared" si="86"/>
        <v>1.3600000000000003E-6</v>
      </c>
      <c r="BF264" s="157">
        <f>IF(AY264&lt;$B$89*DATA!$H$1037,DATA!$H$1037,IF(AY264&gt;DATA!$H$1036*$B$89,DATA!$H$1036,1))</f>
        <v>1.2</v>
      </c>
      <c r="BG264" s="156">
        <f t="shared" si="87"/>
        <v>9.9999999999999995E-8</v>
      </c>
      <c r="BI264" s="140">
        <f t="shared" si="88"/>
        <v>2.7200000000000004E-5</v>
      </c>
      <c r="BJ264">
        <v>2.72</v>
      </c>
      <c r="BK264" s="140">
        <f t="shared" si="89"/>
        <v>2.7199999999999995E-7</v>
      </c>
      <c r="BL264" s="140">
        <f t="shared" si="90"/>
        <v>5.44E-7</v>
      </c>
      <c r="BM264" s="140">
        <f t="shared" si="91"/>
        <v>8.1600000000000011E-7</v>
      </c>
      <c r="BN264" s="140">
        <f t="shared" si="92"/>
        <v>1.0880000000000002E-6</v>
      </c>
      <c r="BO264" s="140">
        <f t="shared" si="93"/>
        <v>1.3600000000000003E-6</v>
      </c>
      <c r="BP264" s="157">
        <f>IF(BI264&lt;$B$105*DATA!$H$1037,DATA!$H$1037,IF(BI264&gt;DATA!$H$1036*$B$105,DATA!$H$1036,1))</f>
        <v>1.2</v>
      </c>
      <c r="BQ264" s="156">
        <f t="shared" si="94"/>
        <v>9.9999999999999995E-8</v>
      </c>
    </row>
    <row r="265" spans="1:69">
      <c r="A265" s="140">
        <f t="shared" si="50"/>
        <v>2.7400000000000005E-5</v>
      </c>
      <c r="B265">
        <v>2.74</v>
      </c>
      <c r="C265" s="140">
        <f t="shared" si="95"/>
        <v>2.7399999999999994E-7</v>
      </c>
      <c r="D265" s="140">
        <f t="shared" si="95"/>
        <v>5.4799999999999998E-7</v>
      </c>
      <c r="E265" s="140">
        <f t="shared" si="95"/>
        <v>8.2200000000000013E-7</v>
      </c>
      <c r="F265" s="140">
        <f t="shared" si="95"/>
        <v>1.0960000000000002E-6</v>
      </c>
      <c r="G265" s="140">
        <f t="shared" si="95"/>
        <v>1.3700000000000004E-6</v>
      </c>
      <c r="H265" s="157">
        <f>IF(A265&lt;$B$9*DATA!$H$1037,DATA!$H$1037,IF(A265&gt;DATA!$H$1036*$B$9,DATA!$H$1036,1))</f>
        <v>0.8</v>
      </c>
      <c r="I265" s="156">
        <f t="shared" si="52"/>
        <v>9.9999999999999995E-8</v>
      </c>
      <c r="K265" s="140">
        <f t="shared" si="53"/>
        <v>2.7400000000000005E-5</v>
      </c>
      <c r="L265">
        <v>2.74</v>
      </c>
      <c r="M265" s="140">
        <f t="shared" si="54"/>
        <v>2.7399999999999994E-7</v>
      </c>
      <c r="N265" s="140">
        <f t="shared" si="55"/>
        <v>5.4799999999999998E-7</v>
      </c>
      <c r="O265" s="140">
        <f t="shared" si="56"/>
        <v>8.2200000000000013E-7</v>
      </c>
      <c r="P265" s="140">
        <f t="shared" si="57"/>
        <v>1.0960000000000002E-6</v>
      </c>
      <c r="Q265" s="140">
        <f t="shared" si="58"/>
        <v>1.3700000000000004E-6</v>
      </c>
      <c r="R265" s="157">
        <f>IF(K265&lt;$B$25*DATA!$H$1037,DATA!$H$1037,IF(K265&gt;DATA!$H$1036*$B$25,DATA!$H$1036,1))</f>
        <v>0.8</v>
      </c>
      <c r="S265" s="156">
        <f t="shared" si="59"/>
        <v>9.9999999999999995E-8</v>
      </c>
      <c r="U265" s="140">
        <f t="shared" si="60"/>
        <v>2.7400000000000005E-5</v>
      </c>
      <c r="V265">
        <v>2.74</v>
      </c>
      <c r="W265" s="140">
        <f t="shared" si="61"/>
        <v>2.7399999999999994E-7</v>
      </c>
      <c r="X265" s="140">
        <f t="shared" si="62"/>
        <v>5.4799999999999998E-7</v>
      </c>
      <c r="Y265" s="140">
        <f t="shared" si="63"/>
        <v>8.2200000000000013E-7</v>
      </c>
      <c r="Z265" s="140">
        <f t="shared" si="64"/>
        <v>1.0960000000000002E-6</v>
      </c>
      <c r="AA265" s="140">
        <f t="shared" si="65"/>
        <v>1.3700000000000004E-6</v>
      </c>
      <c r="AB265" s="157">
        <f>IF(U265&lt;$B$41*DATA!$H$1037,DATA!$H$1037,IF(U265&gt;DATA!$H$1036*$B$41,DATA!$H$1036,1))</f>
        <v>0.8</v>
      </c>
      <c r="AC265" s="156">
        <f t="shared" si="66"/>
        <v>9.9999999999999995E-8</v>
      </c>
      <c r="AE265" s="140">
        <f t="shared" si="67"/>
        <v>2.7400000000000005E-5</v>
      </c>
      <c r="AF265">
        <v>2.74</v>
      </c>
      <c r="AG265" s="140">
        <f t="shared" si="68"/>
        <v>2.7399999999999994E-7</v>
      </c>
      <c r="AH265" s="140">
        <f t="shared" si="69"/>
        <v>5.4799999999999998E-7</v>
      </c>
      <c r="AI265" s="140">
        <f t="shared" si="70"/>
        <v>8.2200000000000013E-7</v>
      </c>
      <c r="AJ265" s="140">
        <f t="shared" si="71"/>
        <v>1.0960000000000002E-6</v>
      </c>
      <c r="AK265" s="140">
        <f t="shared" si="72"/>
        <v>1.3700000000000004E-6</v>
      </c>
      <c r="AL265" s="157">
        <f>IF(AE265&lt;$B$57*DATA!$H$1037,DATA!$H$1037,IF(AE265&gt;DATA!$H$1036*$B$57,DATA!$H$1036,1))</f>
        <v>1.2</v>
      </c>
      <c r="AM265" s="156">
        <f t="shared" si="73"/>
        <v>9.9999999999999995E-8</v>
      </c>
      <c r="AO265" s="140">
        <f t="shared" si="74"/>
        <v>2.7400000000000005E-5</v>
      </c>
      <c r="AP265">
        <v>2.74</v>
      </c>
      <c r="AQ265" s="140">
        <f t="shared" si="75"/>
        <v>2.7399999999999994E-7</v>
      </c>
      <c r="AR265" s="140">
        <f t="shared" si="76"/>
        <v>5.4799999999999998E-7</v>
      </c>
      <c r="AS265" s="140">
        <f t="shared" si="77"/>
        <v>8.2200000000000013E-7</v>
      </c>
      <c r="AT265" s="140">
        <f t="shared" si="78"/>
        <v>1.0960000000000002E-6</v>
      </c>
      <c r="AU265" s="140">
        <f t="shared" si="79"/>
        <v>1.3700000000000004E-6</v>
      </c>
      <c r="AV265" s="157">
        <f>IF(AO265&lt;$B$73*DATA!$H$1037,DATA!$H$1037,IF(AO265&gt;DATA!$H$1036*$B$73,DATA!$H$1036,1))</f>
        <v>1.2</v>
      </c>
      <c r="AW265" s="156">
        <f t="shared" si="80"/>
        <v>9.9999999999999995E-8</v>
      </c>
      <c r="AY265" s="140">
        <f t="shared" si="81"/>
        <v>2.7400000000000005E-5</v>
      </c>
      <c r="AZ265">
        <v>2.74</v>
      </c>
      <c r="BA265" s="140">
        <f t="shared" si="82"/>
        <v>2.7399999999999994E-7</v>
      </c>
      <c r="BB265" s="140">
        <f t="shared" si="83"/>
        <v>5.4799999999999998E-7</v>
      </c>
      <c r="BC265" s="140">
        <f t="shared" si="84"/>
        <v>8.2200000000000013E-7</v>
      </c>
      <c r="BD265" s="140">
        <f t="shared" si="85"/>
        <v>1.0960000000000002E-6</v>
      </c>
      <c r="BE265" s="140">
        <f t="shared" si="86"/>
        <v>1.3700000000000004E-6</v>
      </c>
      <c r="BF265" s="157">
        <f>IF(AY265&lt;$B$89*DATA!$H$1037,DATA!$H$1037,IF(AY265&gt;DATA!$H$1036*$B$89,DATA!$H$1036,1))</f>
        <v>1.2</v>
      </c>
      <c r="BG265" s="156">
        <f t="shared" si="87"/>
        <v>9.9999999999999995E-8</v>
      </c>
      <c r="BI265" s="140">
        <f t="shared" si="88"/>
        <v>2.7400000000000005E-5</v>
      </c>
      <c r="BJ265">
        <v>2.74</v>
      </c>
      <c r="BK265" s="140">
        <f t="shared" si="89"/>
        <v>2.7399999999999994E-7</v>
      </c>
      <c r="BL265" s="140">
        <f t="shared" si="90"/>
        <v>5.4799999999999998E-7</v>
      </c>
      <c r="BM265" s="140">
        <f t="shared" si="91"/>
        <v>8.2200000000000013E-7</v>
      </c>
      <c r="BN265" s="140">
        <f t="shared" si="92"/>
        <v>1.0960000000000002E-6</v>
      </c>
      <c r="BO265" s="140">
        <f t="shared" si="93"/>
        <v>1.3700000000000004E-6</v>
      </c>
      <c r="BP265" s="157">
        <f>IF(BI265&lt;$B$105*DATA!$H$1037,DATA!$H$1037,IF(BI265&gt;DATA!$H$1036*$B$105,DATA!$H$1036,1))</f>
        <v>1.2</v>
      </c>
      <c r="BQ265" s="156">
        <f t="shared" si="94"/>
        <v>9.9999999999999995E-8</v>
      </c>
    </row>
    <row r="266" spans="1:69">
      <c r="A266" s="140">
        <f t="shared" si="50"/>
        <v>2.76E-5</v>
      </c>
      <c r="B266">
        <v>2.76</v>
      </c>
      <c r="C266" s="140">
        <f t="shared" si="95"/>
        <v>2.7599999999999993E-7</v>
      </c>
      <c r="D266" s="140">
        <f t="shared" si="95"/>
        <v>5.5199999999999997E-7</v>
      </c>
      <c r="E266" s="140">
        <f t="shared" si="95"/>
        <v>8.2799999999999995E-7</v>
      </c>
      <c r="F266" s="140">
        <f t="shared" si="95"/>
        <v>1.1039999999999999E-6</v>
      </c>
      <c r="G266" s="140">
        <f t="shared" si="95"/>
        <v>1.3800000000000001E-6</v>
      </c>
      <c r="H266" s="157">
        <f>IF(A266&lt;$B$9*DATA!$H$1037,DATA!$H$1037,IF(A266&gt;DATA!$H$1036*$B$9,DATA!$H$1036,1))</f>
        <v>0.8</v>
      </c>
      <c r="I266" s="156">
        <f t="shared" si="52"/>
        <v>9.9999999999999995E-8</v>
      </c>
      <c r="K266" s="140">
        <f t="shared" si="53"/>
        <v>2.76E-5</v>
      </c>
      <c r="L266">
        <v>2.76</v>
      </c>
      <c r="M266" s="140">
        <f t="shared" si="54"/>
        <v>2.7599999999999993E-7</v>
      </c>
      <c r="N266" s="140">
        <f t="shared" si="55"/>
        <v>5.5199999999999997E-7</v>
      </c>
      <c r="O266" s="140">
        <f t="shared" si="56"/>
        <v>8.2799999999999995E-7</v>
      </c>
      <c r="P266" s="140">
        <f t="shared" si="57"/>
        <v>1.1039999999999999E-6</v>
      </c>
      <c r="Q266" s="140">
        <f t="shared" si="58"/>
        <v>1.3800000000000001E-6</v>
      </c>
      <c r="R266" s="157">
        <f>IF(K266&lt;$B$25*DATA!$H$1037,DATA!$H$1037,IF(K266&gt;DATA!$H$1036*$B$25,DATA!$H$1036,1))</f>
        <v>0.8</v>
      </c>
      <c r="S266" s="156">
        <f t="shared" si="59"/>
        <v>9.9999999999999995E-8</v>
      </c>
      <c r="U266" s="140">
        <f t="shared" si="60"/>
        <v>2.76E-5</v>
      </c>
      <c r="V266">
        <v>2.76</v>
      </c>
      <c r="W266" s="140">
        <f t="shared" si="61"/>
        <v>2.7599999999999993E-7</v>
      </c>
      <c r="X266" s="140">
        <f t="shared" si="62"/>
        <v>5.5199999999999997E-7</v>
      </c>
      <c r="Y266" s="140">
        <f t="shared" si="63"/>
        <v>8.2799999999999995E-7</v>
      </c>
      <c r="Z266" s="140">
        <f t="shared" si="64"/>
        <v>1.1039999999999999E-6</v>
      </c>
      <c r="AA266" s="140">
        <f t="shared" si="65"/>
        <v>1.3800000000000001E-6</v>
      </c>
      <c r="AB266" s="157">
        <f>IF(U266&lt;$B$41*DATA!$H$1037,DATA!$H$1037,IF(U266&gt;DATA!$H$1036*$B$41,DATA!$H$1036,1))</f>
        <v>0.8</v>
      </c>
      <c r="AC266" s="156">
        <f t="shared" si="66"/>
        <v>9.9999999999999995E-8</v>
      </c>
      <c r="AE266" s="140">
        <f t="shared" si="67"/>
        <v>2.76E-5</v>
      </c>
      <c r="AF266">
        <v>2.76</v>
      </c>
      <c r="AG266" s="140">
        <f t="shared" si="68"/>
        <v>2.7599999999999993E-7</v>
      </c>
      <c r="AH266" s="140">
        <f t="shared" si="69"/>
        <v>5.5199999999999997E-7</v>
      </c>
      <c r="AI266" s="140">
        <f t="shared" si="70"/>
        <v>8.2799999999999995E-7</v>
      </c>
      <c r="AJ266" s="140">
        <f t="shared" si="71"/>
        <v>1.1039999999999999E-6</v>
      </c>
      <c r="AK266" s="140">
        <f t="shared" si="72"/>
        <v>1.3800000000000001E-6</v>
      </c>
      <c r="AL266" s="157">
        <f>IF(AE266&lt;$B$57*DATA!$H$1037,DATA!$H$1037,IF(AE266&gt;DATA!$H$1036*$B$57,DATA!$H$1036,1))</f>
        <v>1.2</v>
      </c>
      <c r="AM266" s="156">
        <f t="shared" si="73"/>
        <v>9.9999999999999995E-8</v>
      </c>
      <c r="AO266" s="140">
        <f t="shared" si="74"/>
        <v>2.76E-5</v>
      </c>
      <c r="AP266">
        <v>2.76</v>
      </c>
      <c r="AQ266" s="140">
        <f t="shared" si="75"/>
        <v>2.7599999999999993E-7</v>
      </c>
      <c r="AR266" s="140">
        <f t="shared" si="76"/>
        <v>5.5199999999999997E-7</v>
      </c>
      <c r="AS266" s="140">
        <f t="shared" si="77"/>
        <v>8.2799999999999995E-7</v>
      </c>
      <c r="AT266" s="140">
        <f t="shared" si="78"/>
        <v>1.1039999999999999E-6</v>
      </c>
      <c r="AU266" s="140">
        <f t="shared" si="79"/>
        <v>1.3800000000000001E-6</v>
      </c>
      <c r="AV266" s="157">
        <f>IF(AO266&lt;$B$73*DATA!$H$1037,DATA!$H$1037,IF(AO266&gt;DATA!$H$1036*$B$73,DATA!$H$1036,1))</f>
        <v>1.2</v>
      </c>
      <c r="AW266" s="156">
        <f t="shared" si="80"/>
        <v>9.9999999999999995E-8</v>
      </c>
      <c r="AY266" s="140">
        <f t="shared" si="81"/>
        <v>2.76E-5</v>
      </c>
      <c r="AZ266">
        <v>2.76</v>
      </c>
      <c r="BA266" s="140">
        <f t="shared" si="82"/>
        <v>2.7599999999999993E-7</v>
      </c>
      <c r="BB266" s="140">
        <f t="shared" si="83"/>
        <v>5.5199999999999997E-7</v>
      </c>
      <c r="BC266" s="140">
        <f t="shared" si="84"/>
        <v>8.2799999999999995E-7</v>
      </c>
      <c r="BD266" s="140">
        <f t="shared" si="85"/>
        <v>1.1039999999999999E-6</v>
      </c>
      <c r="BE266" s="140">
        <f t="shared" si="86"/>
        <v>1.3800000000000001E-6</v>
      </c>
      <c r="BF266" s="157">
        <f>IF(AY266&lt;$B$89*DATA!$H$1037,DATA!$H$1037,IF(AY266&gt;DATA!$H$1036*$B$89,DATA!$H$1036,1))</f>
        <v>1.2</v>
      </c>
      <c r="BG266" s="156">
        <f t="shared" si="87"/>
        <v>9.9999999999999995E-8</v>
      </c>
      <c r="BI266" s="140">
        <f t="shared" si="88"/>
        <v>2.76E-5</v>
      </c>
      <c r="BJ266">
        <v>2.76</v>
      </c>
      <c r="BK266" s="140">
        <f t="shared" si="89"/>
        <v>2.7599999999999993E-7</v>
      </c>
      <c r="BL266" s="140">
        <f t="shared" si="90"/>
        <v>5.5199999999999997E-7</v>
      </c>
      <c r="BM266" s="140">
        <f t="shared" si="91"/>
        <v>8.2799999999999995E-7</v>
      </c>
      <c r="BN266" s="140">
        <f t="shared" si="92"/>
        <v>1.1039999999999999E-6</v>
      </c>
      <c r="BO266" s="140">
        <f t="shared" si="93"/>
        <v>1.3800000000000001E-6</v>
      </c>
      <c r="BP266" s="157">
        <f>IF(BI266&lt;$B$105*DATA!$H$1037,DATA!$H$1037,IF(BI266&gt;DATA!$H$1036*$B$105,DATA!$H$1036,1))</f>
        <v>1.2</v>
      </c>
      <c r="BQ266" s="156">
        <f t="shared" si="94"/>
        <v>9.9999999999999995E-8</v>
      </c>
    </row>
    <row r="267" spans="1:69">
      <c r="A267" s="140">
        <f t="shared" si="50"/>
        <v>2.7800000000000001E-5</v>
      </c>
      <c r="B267">
        <v>2.78</v>
      </c>
      <c r="C267" s="140">
        <f t="shared" si="95"/>
        <v>2.7799999999999992E-7</v>
      </c>
      <c r="D267" s="140">
        <f t="shared" si="95"/>
        <v>5.5599999999999995E-7</v>
      </c>
      <c r="E267" s="140">
        <f t="shared" si="95"/>
        <v>8.3399999999999998E-7</v>
      </c>
      <c r="F267" s="140">
        <f t="shared" si="95"/>
        <v>1.1120000000000001E-6</v>
      </c>
      <c r="G267" s="140">
        <f t="shared" si="95"/>
        <v>1.3900000000000002E-6</v>
      </c>
      <c r="H267" s="157">
        <f>IF(A267&lt;$B$9*DATA!$H$1037,DATA!$H$1037,IF(A267&gt;DATA!$H$1036*$B$9,DATA!$H$1036,1))</f>
        <v>0.8</v>
      </c>
      <c r="I267" s="156">
        <f t="shared" si="52"/>
        <v>9.9999999999999995E-8</v>
      </c>
      <c r="K267" s="140">
        <f t="shared" si="53"/>
        <v>2.7800000000000001E-5</v>
      </c>
      <c r="L267">
        <v>2.78</v>
      </c>
      <c r="M267" s="140">
        <f t="shared" si="54"/>
        <v>2.7799999999999992E-7</v>
      </c>
      <c r="N267" s="140">
        <f t="shared" si="55"/>
        <v>5.5599999999999995E-7</v>
      </c>
      <c r="O267" s="140">
        <f t="shared" si="56"/>
        <v>8.3399999999999998E-7</v>
      </c>
      <c r="P267" s="140">
        <f t="shared" si="57"/>
        <v>1.1120000000000001E-6</v>
      </c>
      <c r="Q267" s="140">
        <f t="shared" si="58"/>
        <v>1.3900000000000002E-6</v>
      </c>
      <c r="R267" s="157">
        <f>IF(K267&lt;$B$25*DATA!$H$1037,DATA!$H$1037,IF(K267&gt;DATA!$H$1036*$B$25,DATA!$H$1036,1))</f>
        <v>0.8</v>
      </c>
      <c r="S267" s="156">
        <f t="shared" si="59"/>
        <v>9.9999999999999995E-8</v>
      </c>
      <c r="U267" s="140">
        <f t="shared" si="60"/>
        <v>2.7800000000000001E-5</v>
      </c>
      <c r="V267">
        <v>2.78</v>
      </c>
      <c r="W267" s="140">
        <f t="shared" si="61"/>
        <v>2.7799999999999992E-7</v>
      </c>
      <c r="X267" s="140">
        <f t="shared" si="62"/>
        <v>5.5599999999999995E-7</v>
      </c>
      <c r="Y267" s="140">
        <f t="shared" si="63"/>
        <v>8.3399999999999998E-7</v>
      </c>
      <c r="Z267" s="140">
        <f t="shared" si="64"/>
        <v>1.1120000000000001E-6</v>
      </c>
      <c r="AA267" s="140">
        <f t="shared" si="65"/>
        <v>1.3900000000000002E-6</v>
      </c>
      <c r="AB267" s="157">
        <f>IF(U267&lt;$B$41*DATA!$H$1037,DATA!$H$1037,IF(U267&gt;DATA!$H$1036*$B$41,DATA!$H$1036,1))</f>
        <v>0.8</v>
      </c>
      <c r="AC267" s="156">
        <f t="shared" si="66"/>
        <v>9.9999999999999995E-8</v>
      </c>
      <c r="AE267" s="140">
        <f t="shared" si="67"/>
        <v>2.7800000000000001E-5</v>
      </c>
      <c r="AF267">
        <v>2.78</v>
      </c>
      <c r="AG267" s="140">
        <f t="shared" si="68"/>
        <v>2.7799999999999992E-7</v>
      </c>
      <c r="AH267" s="140">
        <f t="shared" si="69"/>
        <v>5.5599999999999995E-7</v>
      </c>
      <c r="AI267" s="140">
        <f t="shared" si="70"/>
        <v>8.3399999999999998E-7</v>
      </c>
      <c r="AJ267" s="140">
        <f t="shared" si="71"/>
        <v>1.1120000000000001E-6</v>
      </c>
      <c r="AK267" s="140">
        <f t="shared" si="72"/>
        <v>1.3900000000000002E-6</v>
      </c>
      <c r="AL267" s="157">
        <f>IF(AE267&lt;$B$57*DATA!$H$1037,DATA!$H$1037,IF(AE267&gt;DATA!$H$1036*$B$57,DATA!$H$1036,1))</f>
        <v>1.2</v>
      </c>
      <c r="AM267" s="156">
        <f t="shared" si="73"/>
        <v>9.9999999999999995E-8</v>
      </c>
      <c r="AO267" s="140">
        <f t="shared" si="74"/>
        <v>2.7800000000000001E-5</v>
      </c>
      <c r="AP267">
        <v>2.78</v>
      </c>
      <c r="AQ267" s="140">
        <f t="shared" si="75"/>
        <v>2.7799999999999992E-7</v>
      </c>
      <c r="AR267" s="140">
        <f t="shared" si="76"/>
        <v>5.5599999999999995E-7</v>
      </c>
      <c r="AS267" s="140">
        <f t="shared" si="77"/>
        <v>8.3399999999999998E-7</v>
      </c>
      <c r="AT267" s="140">
        <f t="shared" si="78"/>
        <v>1.1120000000000001E-6</v>
      </c>
      <c r="AU267" s="140">
        <f t="shared" si="79"/>
        <v>1.3900000000000002E-6</v>
      </c>
      <c r="AV267" s="157">
        <f>IF(AO267&lt;$B$73*DATA!$H$1037,DATA!$H$1037,IF(AO267&gt;DATA!$H$1036*$B$73,DATA!$H$1036,1))</f>
        <v>1.2</v>
      </c>
      <c r="AW267" s="156">
        <f t="shared" si="80"/>
        <v>9.9999999999999995E-8</v>
      </c>
      <c r="AY267" s="140">
        <f t="shared" si="81"/>
        <v>2.7800000000000001E-5</v>
      </c>
      <c r="AZ267">
        <v>2.78</v>
      </c>
      <c r="BA267" s="140">
        <f t="shared" si="82"/>
        <v>2.7799999999999992E-7</v>
      </c>
      <c r="BB267" s="140">
        <f t="shared" si="83"/>
        <v>5.5599999999999995E-7</v>
      </c>
      <c r="BC267" s="140">
        <f t="shared" si="84"/>
        <v>8.3399999999999998E-7</v>
      </c>
      <c r="BD267" s="140">
        <f t="shared" si="85"/>
        <v>1.1120000000000001E-6</v>
      </c>
      <c r="BE267" s="140">
        <f t="shared" si="86"/>
        <v>1.3900000000000002E-6</v>
      </c>
      <c r="BF267" s="157">
        <f>IF(AY267&lt;$B$89*DATA!$H$1037,DATA!$H$1037,IF(AY267&gt;DATA!$H$1036*$B$89,DATA!$H$1036,1))</f>
        <v>1.2</v>
      </c>
      <c r="BG267" s="156">
        <f t="shared" si="87"/>
        <v>9.9999999999999995E-8</v>
      </c>
      <c r="BI267" s="140">
        <f t="shared" si="88"/>
        <v>2.7800000000000001E-5</v>
      </c>
      <c r="BJ267">
        <v>2.78</v>
      </c>
      <c r="BK267" s="140">
        <f t="shared" si="89"/>
        <v>2.7799999999999992E-7</v>
      </c>
      <c r="BL267" s="140">
        <f t="shared" si="90"/>
        <v>5.5599999999999995E-7</v>
      </c>
      <c r="BM267" s="140">
        <f t="shared" si="91"/>
        <v>8.3399999999999998E-7</v>
      </c>
      <c r="BN267" s="140">
        <f t="shared" si="92"/>
        <v>1.1120000000000001E-6</v>
      </c>
      <c r="BO267" s="140">
        <f t="shared" si="93"/>
        <v>1.3900000000000002E-6</v>
      </c>
      <c r="BP267" s="157">
        <f>IF(BI267&lt;$B$105*DATA!$H$1037,DATA!$H$1037,IF(BI267&gt;DATA!$H$1036*$B$105,DATA!$H$1036,1))</f>
        <v>1.2</v>
      </c>
      <c r="BQ267" s="156">
        <f t="shared" si="94"/>
        <v>9.9999999999999995E-8</v>
      </c>
    </row>
    <row r="268" spans="1:69">
      <c r="A268" s="140">
        <f t="shared" si="50"/>
        <v>2.8E-5</v>
      </c>
      <c r="B268">
        <v>2.8</v>
      </c>
      <c r="C268" s="140">
        <f t="shared" si="95"/>
        <v>2.7999999999999991E-7</v>
      </c>
      <c r="D268" s="140">
        <f t="shared" si="95"/>
        <v>5.5999999999999993E-7</v>
      </c>
      <c r="E268" s="140">
        <f t="shared" si="95"/>
        <v>8.4E-7</v>
      </c>
      <c r="F268" s="140">
        <f t="shared" si="95"/>
        <v>1.1200000000000001E-6</v>
      </c>
      <c r="G268" s="140">
        <f t="shared" si="95"/>
        <v>1.4000000000000001E-6</v>
      </c>
      <c r="H268" s="157">
        <f>IF(A268&lt;$B$9*DATA!$H$1037,DATA!$H$1037,IF(A268&gt;DATA!$H$1036*$B$9,DATA!$H$1036,1))</f>
        <v>0.8</v>
      </c>
      <c r="I268" s="156">
        <f t="shared" si="52"/>
        <v>9.9999999999999995E-8</v>
      </c>
      <c r="K268" s="140">
        <f t="shared" si="53"/>
        <v>2.8E-5</v>
      </c>
      <c r="L268">
        <v>2.8</v>
      </c>
      <c r="M268" s="140">
        <f t="shared" si="54"/>
        <v>2.7999999999999991E-7</v>
      </c>
      <c r="N268" s="140">
        <f t="shared" si="55"/>
        <v>5.5999999999999993E-7</v>
      </c>
      <c r="O268" s="140">
        <f t="shared" si="56"/>
        <v>8.4E-7</v>
      </c>
      <c r="P268" s="140">
        <f t="shared" si="57"/>
        <v>1.1200000000000001E-6</v>
      </c>
      <c r="Q268" s="140">
        <f t="shared" si="58"/>
        <v>1.4000000000000001E-6</v>
      </c>
      <c r="R268" s="157">
        <f>IF(K268&lt;$B$25*DATA!$H$1037,DATA!$H$1037,IF(K268&gt;DATA!$H$1036*$B$25,DATA!$H$1036,1))</f>
        <v>0.8</v>
      </c>
      <c r="S268" s="156">
        <f t="shared" si="59"/>
        <v>9.9999999999999995E-8</v>
      </c>
      <c r="U268" s="140">
        <f t="shared" si="60"/>
        <v>2.8E-5</v>
      </c>
      <c r="V268">
        <v>2.8</v>
      </c>
      <c r="W268" s="140">
        <f t="shared" si="61"/>
        <v>2.7999999999999991E-7</v>
      </c>
      <c r="X268" s="140">
        <f t="shared" si="62"/>
        <v>5.5999999999999993E-7</v>
      </c>
      <c r="Y268" s="140">
        <f t="shared" si="63"/>
        <v>8.4E-7</v>
      </c>
      <c r="Z268" s="140">
        <f t="shared" si="64"/>
        <v>1.1200000000000001E-6</v>
      </c>
      <c r="AA268" s="140">
        <f t="shared" si="65"/>
        <v>1.4000000000000001E-6</v>
      </c>
      <c r="AB268" s="157">
        <f>IF(U268&lt;$B$41*DATA!$H$1037,DATA!$H$1037,IF(U268&gt;DATA!$H$1036*$B$41,DATA!$H$1036,1))</f>
        <v>0.8</v>
      </c>
      <c r="AC268" s="156">
        <f t="shared" si="66"/>
        <v>9.9999999999999995E-8</v>
      </c>
      <c r="AE268" s="140">
        <f t="shared" si="67"/>
        <v>2.8E-5</v>
      </c>
      <c r="AF268">
        <v>2.8</v>
      </c>
      <c r="AG268" s="140">
        <f t="shared" si="68"/>
        <v>2.7999999999999991E-7</v>
      </c>
      <c r="AH268" s="140">
        <f t="shared" si="69"/>
        <v>5.5999999999999993E-7</v>
      </c>
      <c r="AI268" s="140">
        <f t="shared" si="70"/>
        <v>8.4E-7</v>
      </c>
      <c r="AJ268" s="140">
        <f t="shared" si="71"/>
        <v>1.1200000000000001E-6</v>
      </c>
      <c r="AK268" s="140">
        <f t="shared" si="72"/>
        <v>1.4000000000000001E-6</v>
      </c>
      <c r="AL268" s="157">
        <f>IF(AE268&lt;$B$57*DATA!$H$1037,DATA!$H$1037,IF(AE268&gt;DATA!$H$1036*$B$57,DATA!$H$1036,1))</f>
        <v>1.2</v>
      </c>
      <c r="AM268" s="156">
        <f t="shared" si="73"/>
        <v>9.9999999999999995E-8</v>
      </c>
      <c r="AO268" s="140">
        <f t="shared" si="74"/>
        <v>2.8E-5</v>
      </c>
      <c r="AP268">
        <v>2.8</v>
      </c>
      <c r="AQ268" s="140">
        <f t="shared" si="75"/>
        <v>2.7999999999999991E-7</v>
      </c>
      <c r="AR268" s="140">
        <f t="shared" si="76"/>
        <v>5.5999999999999993E-7</v>
      </c>
      <c r="AS268" s="140">
        <f t="shared" si="77"/>
        <v>8.4E-7</v>
      </c>
      <c r="AT268" s="140">
        <f t="shared" si="78"/>
        <v>1.1200000000000001E-6</v>
      </c>
      <c r="AU268" s="140">
        <f t="shared" si="79"/>
        <v>1.4000000000000001E-6</v>
      </c>
      <c r="AV268" s="157">
        <f>IF(AO268&lt;$B$73*DATA!$H$1037,DATA!$H$1037,IF(AO268&gt;DATA!$H$1036*$B$73,DATA!$H$1036,1))</f>
        <v>1.2</v>
      </c>
      <c r="AW268" s="156">
        <f t="shared" si="80"/>
        <v>9.9999999999999995E-8</v>
      </c>
      <c r="AY268" s="140">
        <f t="shared" si="81"/>
        <v>2.8E-5</v>
      </c>
      <c r="AZ268">
        <v>2.8</v>
      </c>
      <c r="BA268" s="140">
        <f t="shared" si="82"/>
        <v>2.7999999999999991E-7</v>
      </c>
      <c r="BB268" s="140">
        <f t="shared" si="83"/>
        <v>5.5999999999999993E-7</v>
      </c>
      <c r="BC268" s="140">
        <f t="shared" si="84"/>
        <v>8.4E-7</v>
      </c>
      <c r="BD268" s="140">
        <f t="shared" si="85"/>
        <v>1.1200000000000001E-6</v>
      </c>
      <c r="BE268" s="140">
        <f t="shared" si="86"/>
        <v>1.4000000000000001E-6</v>
      </c>
      <c r="BF268" s="157">
        <f>IF(AY268&lt;$B$89*DATA!$H$1037,DATA!$H$1037,IF(AY268&gt;DATA!$H$1036*$B$89,DATA!$H$1036,1))</f>
        <v>1.2</v>
      </c>
      <c r="BG268" s="156">
        <f t="shared" si="87"/>
        <v>9.9999999999999995E-8</v>
      </c>
      <c r="BI268" s="140">
        <f t="shared" si="88"/>
        <v>2.8E-5</v>
      </c>
      <c r="BJ268">
        <v>2.8</v>
      </c>
      <c r="BK268" s="140">
        <f t="shared" si="89"/>
        <v>2.7999999999999991E-7</v>
      </c>
      <c r="BL268" s="140">
        <f t="shared" si="90"/>
        <v>5.5999999999999993E-7</v>
      </c>
      <c r="BM268" s="140">
        <f t="shared" si="91"/>
        <v>8.4E-7</v>
      </c>
      <c r="BN268" s="140">
        <f t="shared" si="92"/>
        <v>1.1200000000000001E-6</v>
      </c>
      <c r="BO268" s="140">
        <f t="shared" si="93"/>
        <v>1.4000000000000001E-6</v>
      </c>
      <c r="BP268" s="157">
        <f>IF(BI268&lt;$B$105*DATA!$H$1037,DATA!$H$1037,IF(BI268&gt;DATA!$H$1036*$B$105,DATA!$H$1036,1))</f>
        <v>1.2</v>
      </c>
      <c r="BQ268" s="156">
        <f t="shared" si="94"/>
        <v>9.9999999999999995E-8</v>
      </c>
    </row>
    <row r="269" spans="1:69">
      <c r="A269" s="140">
        <f t="shared" si="50"/>
        <v>2.8200000000000001E-5</v>
      </c>
      <c r="B269">
        <v>2.82</v>
      </c>
      <c r="C269" s="140">
        <f t="shared" si="95"/>
        <v>2.819999999999999E-7</v>
      </c>
      <c r="D269" s="140">
        <f t="shared" si="95"/>
        <v>5.6399999999999992E-7</v>
      </c>
      <c r="E269" s="140">
        <f t="shared" si="95"/>
        <v>8.4600000000000003E-7</v>
      </c>
      <c r="F269" s="140">
        <f t="shared" si="95"/>
        <v>1.128E-6</v>
      </c>
      <c r="G269" s="140">
        <f t="shared" si="95"/>
        <v>1.4100000000000001E-6</v>
      </c>
      <c r="H269" s="157">
        <f>IF(A269&lt;$B$9*DATA!$H$1037,DATA!$H$1037,IF(A269&gt;DATA!$H$1036*$B$9,DATA!$H$1036,1))</f>
        <v>0.8</v>
      </c>
      <c r="I269" s="156">
        <f t="shared" si="52"/>
        <v>9.9999999999999995E-8</v>
      </c>
      <c r="K269" s="140">
        <f t="shared" si="53"/>
        <v>2.8200000000000001E-5</v>
      </c>
      <c r="L269">
        <v>2.82</v>
      </c>
      <c r="M269" s="140">
        <f t="shared" si="54"/>
        <v>2.819999999999999E-7</v>
      </c>
      <c r="N269" s="140">
        <f t="shared" si="55"/>
        <v>5.6399999999999992E-7</v>
      </c>
      <c r="O269" s="140">
        <f t="shared" si="56"/>
        <v>8.4600000000000003E-7</v>
      </c>
      <c r="P269" s="140">
        <f t="shared" si="57"/>
        <v>1.128E-6</v>
      </c>
      <c r="Q269" s="140">
        <f t="shared" si="58"/>
        <v>1.4100000000000001E-6</v>
      </c>
      <c r="R269" s="157">
        <f>IF(K269&lt;$B$25*DATA!$H$1037,DATA!$H$1037,IF(K269&gt;DATA!$H$1036*$B$25,DATA!$H$1036,1))</f>
        <v>0.8</v>
      </c>
      <c r="S269" s="156">
        <f t="shared" si="59"/>
        <v>9.9999999999999995E-8</v>
      </c>
      <c r="U269" s="140">
        <f t="shared" si="60"/>
        <v>2.8200000000000001E-5</v>
      </c>
      <c r="V269">
        <v>2.82</v>
      </c>
      <c r="W269" s="140">
        <f t="shared" si="61"/>
        <v>2.819999999999999E-7</v>
      </c>
      <c r="X269" s="140">
        <f t="shared" si="62"/>
        <v>5.6399999999999992E-7</v>
      </c>
      <c r="Y269" s="140">
        <f t="shared" si="63"/>
        <v>8.4600000000000003E-7</v>
      </c>
      <c r="Z269" s="140">
        <f t="shared" si="64"/>
        <v>1.128E-6</v>
      </c>
      <c r="AA269" s="140">
        <f t="shared" si="65"/>
        <v>1.4100000000000001E-6</v>
      </c>
      <c r="AB269" s="157">
        <f>IF(U269&lt;$B$41*DATA!$H$1037,DATA!$H$1037,IF(U269&gt;DATA!$H$1036*$B$41,DATA!$H$1036,1))</f>
        <v>0.8</v>
      </c>
      <c r="AC269" s="156">
        <f t="shared" si="66"/>
        <v>9.9999999999999995E-8</v>
      </c>
      <c r="AE269" s="140">
        <f t="shared" si="67"/>
        <v>2.8200000000000001E-5</v>
      </c>
      <c r="AF269">
        <v>2.82</v>
      </c>
      <c r="AG269" s="140">
        <f t="shared" si="68"/>
        <v>2.819999999999999E-7</v>
      </c>
      <c r="AH269" s="140">
        <f t="shared" si="69"/>
        <v>5.6399999999999992E-7</v>
      </c>
      <c r="AI269" s="140">
        <f t="shared" si="70"/>
        <v>8.4600000000000003E-7</v>
      </c>
      <c r="AJ269" s="140">
        <f t="shared" si="71"/>
        <v>1.128E-6</v>
      </c>
      <c r="AK269" s="140">
        <f t="shared" si="72"/>
        <v>1.4100000000000001E-6</v>
      </c>
      <c r="AL269" s="157">
        <f>IF(AE269&lt;$B$57*DATA!$H$1037,DATA!$H$1037,IF(AE269&gt;DATA!$H$1036*$B$57,DATA!$H$1036,1))</f>
        <v>1.2</v>
      </c>
      <c r="AM269" s="156">
        <f t="shared" si="73"/>
        <v>9.9999999999999995E-8</v>
      </c>
      <c r="AO269" s="140">
        <f t="shared" si="74"/>
        <v>2.8200000000000001E-5</v>
      </c>
      <c r="AP269">
        <v>2.82</v>
      </c>
      <c r="AQ269" s="140">
        <f t="shared" si="75"/>
        <v>2.819999999999999E-7</v>
      </c>
      <c r="AR269" s="140">
        <f t="shared" si="76"/>
        <v>5.6399999999999992E-7</v>
      </c>
      <c r="AS269" s="140">
        <f t="shared" si="77"/>
        <v>8.4600000000000003E-7</v>
      </c>
      <c r="AT269" s="140">
        <f t="shared" si="78"/>
        <v>1.128E-6</v>
      </c>
      <c r="AU269" s="140">
        <f t="shared" si="79"/>
        <v>1.4100000000000001E-6</v>
      </c>
      <c r="AV269" s="157">
        <f>IF(AO269&lt;$B$73*DATA!$H$1037,DATA!$H$1037,IF(AO269&gt;DATA!$H$1036*$B$73,DATA!$H$1036,1))</f>
        <v>1.2</v>
      </c>
      <c r="AW269" s="156">
        <f t="shared" si="80"/>
        <v>9.9999999999999995E-8</v>
      </c>
      <c r="AY269" s="140">
        <f t="shared" si="81"/>
        <v>2.8200000000000001E-5</v>
      </c>
      <c r="AZ269">
        <v>2.82</v>
      </c>
      <c r="BA269" s="140">
        <f t="shared" si="82"/>
        <v>2.819999999999999E-7</v>
      </c>
      <c r="BB269" s="140">
        <f t="shared" si="83"/>
        <v>5.6399999999999992E-7</v>
      </c>
      <c r="BC269" s="140">
        <f t="shared" si="84"/>
        <v>8.4600000000000003E-7</v>
      </c>
      <c r="BD269" s="140">
        <f t="shared" si="85"/>
        <v>1.128E-6</v>
      </c>
      <c r="BE269" s="140">
        <f t="shared" si="86"/>
        <v>1.4100000000000001E-6</v>
      </c>
      <c r="BF269" s="157">
        <f>IF(AY269&lt;$B$89*DATA!$H$1037,DATA!$H$1037,IF(AY269&gt;DATA!$H$1036*$B$89,DATA!$H$1036,1))</f>
        <v>1.2</v>
      </c>
      <c r="BG269" s="156">
        <f t="shared" si="87"/>
        <v>9.9999999999999995E-8</v>
      </c>
      <c r="BI269" s="140">
        <f t="shared" si="88"/>
        <v>2.8200000000000001E-5</v>
      </c>
      <c r="BJ269">
        <v>2.82</v>
      </c>
      <c r="BK269" s="140">
        <f t="shared" si="89"/>
        <v>2.819999999999999E-7</v>
      </c>
      <c r="BL269" s="140">
        <f t="shared" si="90"/>
        <v>5.6399999999999992E-7</v>
      </c>
      <c r="BM269" s="140">
        <f t="shared" si="91"/>
        <v>8.4600000000000003E-7</v>
      </c>
      <c r="BN269" s="140">
        <f t="shared" si="92"/>
        <v>1.128E-6</v>
      </c>
      <c r="BO269" s="140">
        <f t="shared" si="93"/>
        <v>1.4100000000000001E-6</v>
      </c>
      <c r="BP269" s="157">
        <f>IF(BI269&lt;$B$105*DATA!$H$1037,DATA!$H$1037,IF(BI269&gt;DATA!$H$1036*$B$105,DATA!$H$1036,1))</f>
        <v>1.2</v>
      </c>
      <c r="BQ269" s="156">
        <f t="shared" si="94"/>
        <v>9.9999999999999995E-8</v>
      </c>
    </row>
    <row r="270" spans="1:69">
      <c r="A270" s="140">
        <f t="shared" si="50"/>
        <v>2.8400000000000003E-5</v>
      </c>
      <c r="B270">
        <v>2.84</v>
      </c>
      <c r="C270" s="140">
        <f t="shared" si="95"/>
        <v>2.8399999999999995E-7</v>
      </c>
      <c r="D270" s="140">
        <f t="shared" si="95"/>
        <v>5.68E-7</v>
      </c>
      <c r="E270" s="140">
        <f t="shared" si="95"/>
        <v>8.5200000000000006E-7</v>
      </c>
      <c r="F270" s="140">
        <f t="shared" si="95"/>
        <v>1.1360000000000002E-6</v>
      </c>
      <c r="G270" s="140">
        <f t="shared" si="95"/>
        <v>1.4200000000000002E-6</v>
      </c>
      <c r="H270" s="157">
        <f>IF(A270&lt;$B$9*DATA!$H$1037,DATA!$H$1037,IF(A270&gt;DATA!$H$1036*$B$9,DATA!$H$1036,1))</f>
        <v>0.8</v>
      </c>
      <c r="I270" s="156">
        <f t="shared" si="52"/>
        <v>9.9999999999999995E-8</v>
      </c>
      <c r="K270" s="140">
        <f t="shared" si="53"/>
        <v>2.8400000000000003E-5</v>
      </c>
      <c r="L270">
        <v>2.84</v>
      </c>
      <c r="M270" s="140">
        <f t="shared" si="54"/>
        <v>2.8399999999999995E-7</v>
      </c>
      <c r="N270" s="140">
        <f t="shared" si="55"/>
        <v>5.68E-7</v>
      </c>
      <c r="O270" s="140">
        <f t="shared" si="56"/>
        <v>8.5200000000000006E-7</v>
      </c>
      <c r="P270" s="140">
        <f t="shared" si="57"/>
        <v>1.1360000000000002E-6</v>
      </c>
      <c r="Q270" s="140">
        <f t="shared" si="58"/>
        <v>1.4200000000000002E-6</v>
      </c>
      <c r="R270" s="157">
        <f>IF(K270&lt;$B$25*DATA!$H$1037,DATA!$H$1037,IF(K270&gt;DATA!$H$1036*$B$25,DATA!$H$1036,1))</f>
        <v>0.8</v>
      </c>
      <c r="S270" s="156">
        <f t="shared" si="59"/>
        <v>9.9999999999999995E-8</v>
      </c>
      <c r="U270" s="140">
        <f t="shared" si="60"/>
        <v>2.8400000000000003E-5</v>
      </c>
      <c r="V270">
        <v>2.84</v>
      </c>
      <c r="W270" s="140">
        <f t="shared" si="61"/>
        <v>2.8399999999999995E-7</v>
      </c>
      <c r="X270" s="140">
        <f t="shared" si="62"/>
        <v>5.68E-7</v>
      </c>
      <c r="Y270" s="140">
        <f t="shared" si="63"/>
        <v>8.5200000000000006E-7</v>
      </c>
      <c r="Z270" s="140">
        <f t="shared" si="64"/>
        <v>1.1360000000000002E-6</v>
      </c>
      <c r="AA270" s="140">
        <f t="shared" si="65"/>
        <v>1.4200000000000002E-6</v>
      </c>
      <c r="AB270" s="157">
        <f>IF(U270&lt;$B$41*DATA!$H$1037,DATA!$H$1037,IF(U270&gt;DATA!$H$1036*$B$41,DATA!$H$1036,1))</f>
        <v>0.8</v>
      </c>
      <c r="AC270" s="156">
        <f t="shared" si="66"/>
        <v>9.9999999999999995E-8</v>
      </c>
      <c r="AE270" s="140">
        <f t="shared" si="67"/>
        <v>2.8400000000000003E-5</v>
      </c>
      <c r="AF270">
        <v>2.84</v>
      </c>
      <c r="AG270" s="140">
        <f t="shared" si="68"/>
        <v>2.8399999999999995E-7</v>
      </c>
      <c r="AH270" s="140">
        <f t="shared" si="69"/>
        <v>5.68E-7</v>
      </c>
      <c r="AI270" s="140">
        <f t="shared" si="70"/>
        <v>8.5200000000000006E-7</v>
      </c>
      <c r="AJ270" s="140">
        <f t="shared" si="71"/>
        <v>1.1360000000000002E-6</v>
      </c>
      <c r="AK270" s="140">
        <f t="shared" si="72"/>
        <v>1.4200000000000002E-6</v>
      </c>
      <c r="AL270" s="157">
        <f>IF(AE270&lt;$B$57*DATA!$H$1037,DATA!$H$1037,IF(AE270&gt;DATA!$H$1036*$B$57,DATA!$H$1036,1))</f>
        <v>1.2</v>
      </c>
      <c r="AM270" s="156">
        <f t="shared" si="73"/>
        <v>9.9999999999999995E-8</v>
      </c>
      <c r="AO270" s="140">
        <f t="shared" si="74"/>
        <v>2.8400000000000003E-5</v>
      </c>
      <c r="AP270">
        <v>2.84</v>
      </c>
      <c r="AQ270" s="140">
        <f t="shared" si="75"/>
        <v>2.8399999999999995E-7</v>
      </c>
      <c r="AR270" s="140">
        <f t="shared" si="76"/>
        <v>5.68E-7</v>
      </c>
      <c r="AS270" s="140">
        <f t="shared" si="77"/>
        <v>8.5200000000000006E-7</v>
      </c>
      <c r="AT270" s="140">
        <f t="shared" si="78"/>
        <v>1.1360000000000002E-6</v>
      </c>
      <c r="AU270" s="140">
        <f t="shared" si="79"/>
        <v>1.4200000000000002E-6</v>
      </c>
      <c r="AV270" s="157">
        <f>IF(AO270&lt;$B$73*DATA!$H$1037,DATA!$H$1037,IF(AO270&gt;DATA!$H$1036*$B$73,DATA!$H$1036,1))</f>
        <v>1.2</v>
      </c>
      <c r="AW270" s="156">
        <f t="shared" si="80"/>
        <v>9.9999999999999995E-8</v>
      </c>
      <c r="AY270" s="140">
        <f t="shared" si="81"/>
        <v>2.8400000000000003E-5</v>
      </c>
      <c r="AZ270">
        <v>2.84</v>
      </c>
      <c r="BA270" s="140">
        <f t="shared" si="82"/>
        <v>2.8399999999999995E-7</v>
      </c>
      <c r="BB270" s="140">
        <f t="shared" si="83"/>
        <v>5.68E-7</v>
      </c>
      <c r="BC270" s="140">
        <f t="shared" si="84"/>
        <v>8.5200000000000006E-7</v>
      </c>
      <c r="BD270" s="140">
        <f t="shared" si="85"/>
        <v>1.1360000000000002E-6</v>
      </c>
      <c r="BE270" s="140">
        <f t="shared" si="86"/>
        <v>1.4200000000000002E-6</v>
      </c>
      <c r="BF270" s="157">
        <f>IF(AY270&lt;$B$89*DATA!$H$1037,DATA!$H$1037,IF(AY270&gt;DATA!$H$1036*$B$89,DATA!$H$1036,1))</f>
        <v>1.2</v>
      </c>
      <c r="BG270" s="156">
        <f t="shared" si="87"/>
        <v>9.9999999999999995E-8</v>
      </c>
      <c r="BI270" s="140">
        <f t="shared" si="88"/>
        <v>2.8400000000000003E-5</v>
      </c>
      <c r="BJ270">
        <v>2.84</v>
      </c>
      <c r="BK270" s="140">
        <f t="shared" si="89"/>
        <v>2.8399999999999995E-7</v>
      </c>
      <c r="BL270" s="140">
        <f t="shared" si="90"/>
        <v>5.68E-7</v>
      </c>
      <c r="BM270" s="140">
        <f t="shared" si="91"/>
        <v>8.5200000000000006E-7</v>
      </c>
      <c r="BN270" s="140">
        <f t="shared" si="92"/>
        <v>1.1360000000000002E-6</v>
      </c>
      <c r="BO270" s="140">
        <f t="shared" si="93"/>
        <v>1.4200000000000002E-6</v>
      </c>
      <c r="BP270" s="157">
        <f>IF(BI270&lt;$B$105*DATA!$H$1037,DATA!$H$1037,IF(BI270&gt;DATA!$H$1036*$B$105,DATA!$H$1036,1))</f>
        <v>1.2</v>
      </c>
      <c r="BQ270" s="156">
        <f t="shared" si="94"/>
        <v>9.9999999999999995E-8</v>
      </c>
    </row>
    <row r="271" spans="1:69">
      <c r="A271" s="140">
        <f t="shared" si="50"/>
        <v>2.8600000000000001E-5</v>
      </c>
      <c r="B271">
        <v>2.86</v>
      </c>
      <c r="C271" s="140">
        <f t="shared" si="95"/>
        <v>2.8599999999999989E-7</v>
      </c>
      <c r="D271" s="140">
        <f t="shared" si="95"/>
        <v>5.7199999999999988E-7</v>
      </c>
      <c r="E271" s="140">
        <f t="shared" si="95"/>
        <v>8.5799999999999998E-7</v>
      </c>
      <c r="F271" s="140">
        <f t="shared" si="95"/>
        <v>1.144E-6</v>
      </c>
      <c r="G271" s="140">
        <f t="shared" si="95"/>
        <v>1.4300000000000001E-6</v>
      </c>
      <c r="H271" s="157">
        <f>IF(A271&lt;$B$9*DATA!$H$1037,DATA!$H$1037,IF(A271&gt;DATA!$H$1036*$B$9,DATA!$H$1036,1))</f>
        <v>0.8</v>
      </c>
      <c r="I271" s="156">
        <f t="shared" si="52"/>
        <v>9.9999999999999995E-8</v>
      </c>
      <c r="K271" s="140">
        <f t="shared" si="53"/>
        <v>2.8600000000000001E-5</v>
      </c>
      <c r="L271">
        <v>2.86</v>
      </c>
      <c r="M271" s="140">
        <f t="shared" si="54"/>
        <v>2.8599999999999989E-7</v>
      </c>
      <c r="N271" s="140">
        <f t="shared" si="55"/>
        <v>5.7199999999999988E-7</v>
      </c>
      <c r="O271" s="140">
        <f t="shared" si="56"/>
        <v>8.5799999999999998E-7</v>
      </c>
      <c r="P271" s="140">
        <f t="shared" si="57"/>
        <v>1.144E-6</v>
      </c>
      <c r="Q271" s="140">
        <f t="shared" si="58"/>
        <v>1.4300000000000001E-6</v>
      </c>
      <c r="R271" s="157">
        <f>IF(K271&lt;$B$25*DATA!$H$1037,DATA!$H$1037,IF(K271&gt;DATA!$H$1036*$B$25,DATA!$H$1036,1))</f>
        <v>0.8</v>
      </c>
      <c r="S271" s="156">
        <f t="shared" si="59"/>
        <v>9.9999999999999995E-8</v>
      </c>
      <c r="U271" s="140">
        <f t="shared" si="60"/>
        <v>2.8600000000000001E-5</v>
      </c>
      <c r="V271">
        <v>2.86</v>
      </c>
      <c r="W271" s="140">
        <f t="shared" si="61"/>
        <v>2.8599999999999989E-7</v>
      </c>
      <c r="X271" s="140">
        <f t="shared" si="62"/>
        <v>5.7199999999999988E-7</v>
      </c>
      <c r="Y271" s="140">
        <f t="shared" si="63"/>
        <v>8.5799999999999998E-7</v>
      </c>
      <c r="Z271" s="140">
        <f t="shared" si="64"/>
        <v>1.144E-6</v>
      </c>
      <c r="AA271" s="140">
        <f t="shared" si="65"/>
        <v>1.4300000000000001E-6</v>
      </c>
      <c r="AB271" s="157">
        <f>IF(U271&lt;$B$41*DATA!$H$1037,DATA!$H$1037,IF(U271&gt;DATA!$H$1036*$B$41,DATA!$H$1036,1))</f>
        <v>0.8</v>
      </c>
      <c r="AC271" s="156">
        <f t="shared" si="66"/>
        <v>9.9999999999999995E-8</v>
      </c>
      <c r="AE271" s="140">
        <f t="shared" si="67"/>
        <v>2.8600000000000001E-5</v>
      </c>
      <c r="AF271">
        <v>2.86</v>
      </c>
      <c r="AG271" s="140">
        <f t="shared" si="68"/>
        <v>2.8599999999999989E-7</v>
      </c>
      <c r="AH271" s="140">
        <f t="shared" si="69"/>
        <v>5.7199999999999988E-7</v>
      </c>
      <c r="AI271" s="140">
        <f t="shared" si="70"/>
        <v>8.5799999999999998E-7</v>
      </c>
      <c r="AJ271" s="140">
        <f t="shared" si="71"/>
        <v>1.144E-6</v>
      </c>
      <c r="AK271" s="140">
        <f t="shared" si="72"/>
        <v>1.4300000000000001E-6</v>
      </c>
      <c r="AL271" s="157">
        <f>IF(AE271&lt;$B$57*DATA!$H$1037,DATA!$H$1037,IF(AE271&gt;DATA!$H$1036*$B$57,DATA!$H$1036,1))</f>
        <v>1.2</v>
      </c>
      <c r="AM271" s="156">
        <f t="shared" si="73"/>
        <v>9.9999999999999995E-8</v>
      </c>
      <c r="AO271" s="140">
        <f t="shared" si="74"/>
        <v>2.8600000000000001E-5</v>
      </c>
      <c r="AP271">
        <v>2.86</v>
      </c>
      <c r="AQ271" s="140">
        <f t="shared" si="75"/>
        <v>2.8599999999999989E-7</v>
      </c>
      <c r="AR271" s="140">
        <f t="shared" si="76"/>
        <v>5.7199999999999988E-7</v>
      </c>
      <c r="AS271" s="140">
        <f t="shared" si="77"/>
        <v>8.5799999999999998E-7</v>
      </c>
      <c r="AT271" s="140">
        <f t="shared" si="78"/>
        <v>1.144E-6</v>
      </c>
      <c r="AU271" s="140">
        <f t="shared" si="79"/>
        <v>1.4300000000000001E-6</v>
      </c>
      <c r="AV271" s="157">
        <f>IF(AO271&lt;$B$73*DATA!$H$1037,DATA!$H$1037,IF(AO271&gt;DATA!$H$1036*$B$73,DATA!$H$1036,1))</f>
        <v>1.2</v>
      </c>
      <c r="AW271" s="156">
        <f t="shared" si="80"/>
        <v>9.9999999999999995E-8</v>
      </c>
      <c r="AY271" s="140">
        <f t="shared" si="81"/>
        <v>2.8600000000000001E-5</v>
      </c>
      <c r="AZ271">
        <v>2.86</v>
      </c>
      <c r="BA271" s="140">
        <f t="shared" si="82"/>
        <v>2.8599999999999989E-7</v>
      </c>
      <c r="BB271" s="140">
        <f t="shared" si="83"/>
        <v>5.7199999999999988E-7</v>
      </c>
      <c r="BC271" s="140">
        <f t="shared" si="84"/>
        <v>8.5799999999999998E-7</v>
      </c>
      <c r="BD271" s="140">
        <f t="shared" si="85"/>
        <v>1.144E-6</v>
      </c>
      <c r="BE271" s="140">
        <f t="shared" si="86"/>
        <v>1.4300000000000001E-6</v>
      </c>
      <c r="BF271" s="157">
        <f>IF(AY271&lt;$B$89*DATA!$H$1037,DATA!$H$1037,IF(AY271&gt;DATA!$H$1036*$B$89,DATA!$H$1036,1))</f>
        <v>1.2</v>
      </c>
      <c r="BG271" s="156">
        <f t="shared" si="87"/>
        <v>9.9999999999999995E-8</v>
      </c>
      <c r="BI271" s="140">
        <f t="shared" si="88"/>
        <v>2.8600000000000001E-5</v>
      </c>
      <c r="BJ271">
        <v>2.86</v>
      </c>
      <c r="BK271" s="140">
        <f t="shared" si="89"/>
        <v>2.8599999999999989E-7</v>
      </c>
      <c r="BL271" s="140">
        <f t="shared" si="90"/>
        <v>5.7199999999999988E-7</v>
      </c>
      <c r="BM271" s="140">
        <f t="shared" si="91"/>
        <v>8.5799999999999998E-7</v>
      </c>
      <c r="BN271" s="140">
        <f t="shared" si="92"/>
        <v>1.144E-6</v>
      </c>
      <c r="BO271" s="140">
        <f t="shared" si="93"/>
        <v>1.4300000000000001E-6</v>
      </c>
      <c r="BP271" s="157">
        <f>IF(BI271&lt;$B$105*DATA!$H$1037,DATA!$H$1037,IF(BI271&gt;DATA!$H$1036*$B$105,DATA!$H$1036,1))</f>
        <v>1.2</v>
      </c>
      <c r="BQ271" s="156">
        <f t="shared" si="94"/>
        <v>9.9999999999999995E-8</v>
      </c>
    </row>
    <row r="272" spans="1:69">
      <c r="A272" s="140">
        <f t="shared" ref="A272:A318" si="96">B272*B$136</f>
        <v>2.8800000000000002E-5</v>
      </c>
      <c r="B272">
        <v>2.88</v>
      </c>
      <c r="C272" s="140">
        <f t="shared" ref="C272:G318" si="97">C$142*$A272</f>
        <v>2.8799999999999993E-7</v>
      </c>
      <c r="D272" s="140">
        <f t="shared" si="97"/>
        <v>5.7599999999999997E-7</v>
      </c>
      <c r="E272" s="140">
        <f t="shared" si="97"/>
        <v>8.6400000000000001E-7</v>
      </c>
      <c r="F272" s="140">
        <f t="shared" si="97"/>
        <v>1.1520000000000002E-6</v>
      </c>
      <c r="G272" s="140">
        <f t="shared" si="97"/>
        <v>1.4400000000000002E-6</v>
      </c>
      <c r="H272" s="157">
        <f>IF(A272&lt;$B$9*DATA!$H$1037,DATA!$H$1037,IF(A272&gt;DATA!$H$1036*$B$9,DATA!$H$1036,1))</f>
        <v>0.8</v>
      </c>
      <c r="I272" s="156">
        <f t="shared" ref="I272:I318" si="98">IF(OR(B$134=0,B$133=0),0.0000001,IF(H272=1,B$134,A272*((B$134*B$138)/(H272*B$133)+0.023*LOG10(H272*B$133/A272))/B$138))</f>
        <v>9.9999999999999995E-8</v>
      </c>
      <c r="K272" s="140">
        <f t="shared" ref="K272:K318" si="99">L272*L$136</f>
        <v>2.8800000000000002E-5</v>
      </c>
      <c r="L272">
        <v>2.88</v>
      </c>
      <c r="M272" s="140">
        <f t="shared" ref="M272:M318" si="100">M$142*K272</f>
        <v>2.8799999999999993E-7</v>
      </c>
      <c r="N272" s="140">
        <f t="shared" ref="N272:N318" si="101">N$142*K272</f>
        <v>5.7599999999999997E-7</v>
      </c>
      <c r="O272" s="140">
        <f t="shared" ref="O272:O318" si="102">O$142*K272</f>
        <v>8.6400000000000001E-7</v>
      </c>
      <c r="P272" s="140">
        <f t="shared" ref="P272:P318" si="103">P$142*$K272</f>
        <v>1.1520000000000002E-6</v>
      </c>
      <c r="Q272" s="140">
        <f t="shared" ref="Q272:Q318" si="104">Q$142*K272</f>
        <v>1.4400000000000002E-6</v>
      </c>
      <c r="R272" s="157">
        <f>IF(K272&lt;$B$25*DATA!$H$1037,DATA!$H$1037,IF(K272&gt;DATA!$H$1036*$B$25,DATA!$H$1036,1))</f>
        <v>0.8</v>
      </c>
      <c r="S272" s="156">
        <f t="shared" ref="S272:S318" si="105">IF(OR(L$134=0,L$133=0),0.0000001,IF(R272=1,L$134,K272*((L$134*L$138)/(R272*L$133)+0.023*LOG10(R272*L$133/K272))/L$138))</f>
        <v>9.9999999999999995E-8</v>
      </c>
      <c r="U272" s="140">
        <f t="shared" ref="U272:U318" si="106">V272*V$136</f>
        <v>2.8800000000000002E-5</v>
      </c>
      <c r="V272">
        <v>2.88</v>
      </c>
      <c r="W272" s="140">
        <f t="shared" ref="W272:W318" si="107">W$142*U272</f>
        <v>2.8799999999999993E-7</v>
      </c>
      <c r="X272" s="140">
        <f t="shared" ref="X272:X318" si="108">X$142*U272</f>
        <v>5.7599999999999997E-7</v>
      </c>
      <c r="Y272" s="140">
        <f t="shared" ref="Y272:Y318" si="109">Y$142*U272</f>
        <v>8.6400000000000001E-7</v>
      </c>
      <c r="Z272" s="140">
        <f t="shared" ref="Z272:Z318" si="110">Z$142*U272</f>
        <v>1.1520000000000002E-6</v>
      </c>
      <c r="AA272" s="140">
        <f t="shared" ref="AA272:AA318" si="111">AA$142*U272</f>
        <v>1.4400000000000002E-6</v>
      </c>
      <c r="AB272" s="157">
        <f>IF(U272&lt;$B$41*DATA!$H$1037,DATA!$H$1037,IF(U272&gt;DATA!$H$1036*$B$41,DATA!$H$1036,1))</f>
        <v>0.8</v>
      </c>
      <c r="AC272" s="156">
        <f t="shared" ref="AC272:AC318" si="112">IF(OR(V$134=0,V$133=0),0.0000001,IF(AB272=1,V$134,U272*((V$134*V$138)/(AB272*V$133)+0.023*LOG10(AB272*V$133/U272))/V$138))</f>
        <v>9.9999999999999995E-8</v>
      </c>
      <c r="AE272" s="140">
        <f t="shared" ref="AE272:AE318" si="113">AF272*AF$136</f>
        <v>2.8800000000000002E-5</v>
      </c>
      <c r="AF272">
        <v>2.88</v>
      </c>
      <c r="AG272" s="140">
        <f t="shared" ref="AG272:AG318" si="114">AG$142*AE272</f>
        <v>2.8799999999999993E-7</v>
      </c>
      <c r="AH272" s="140">
        <f t="shared" ref="AH272:AH318" si="115">AH$142*AE272</f>
        <v>5.7599999999999997E-7</v>
      </c>
      <c r="AI272" s="140">
        <f t="shared" ref="AI272:AI318" si="116">AI$142*AE272</f>
        <v>8.6400000000000001E-7</v>
      </c>
      <c r="AJ272" s="140">
        <f t="shared" ref="AJ272:AJ318" si="117">AJ$142*AE272</f>
        <v>1.1520000000000002E-6</v>
      </c>
      <c r="AK272" s="140">
        <f t="shared" ref="AK272:AK318" si="118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ref="AM272:AM318" si="119">IF(OR(AF$134=0,AF$133=0),0.0000001,IF(AL272=1,AF$134,AE272*((AF$134*AF$138)/(AL272*AF$133)+0.023*LOG10(AL272*AF$133/AE272))/AF$138))</f>
        <v>9.9999999999999995E-8</v>
      </c>
      <c r="AO272" s="140">
        <f t="shared" ref="AO272:AO318" si="120">AP272*AP$136</f>
        <v>2.8800000000000002E-5</v>
      </c>
      <c r="AP272">
        <v>2.88</v>
      </c>
      <c r="AQ272" s="140">
        <f t="shared" ref="AQ272:AQ318" si="121">AQ$142*AO272</f>
        <v>2.8799999999999993E-7</v>
      </c>
      <c r="AR272" s="140">
        <f t="shared" ref="AR272:AR318" si="122">AR$142*AO272</f>
        <v>5.7599999999999997E-7</v>
      </c>
      <c r="AS272" s="140">
        <f t="shared" ref="AS272:AS318" si="123">AS$142*AO272</f>
        <v>8.6400000000000001E-7</v>
      </c>
      <c r="AT272" s="140">
        <f t="shared" ref="AT272:AT318" si="124">AT$142*AO272</f>
        <v>1.1520000000000002E-6</v>
      </c>
      <c r="AU272" s="140">
        <f t="shared" ref="AU272:AU318" si="125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26">IF(OR(AP$134=0,AP$133=0),0.0000001,IF(AV272=1,AP$134,AO272*((AP$134*AP$138)/(AV272*AP$133)+0.023*LOG10(AV272*AP$133/AO272))/AP$138))</f>
        <v>9.9999999999999995E-8</v>
      </c>
      <c r="AY272" s="140">
        <f t="shared" ref="AY272:AY318" si="127">AZ272*AZ$136</f>
        <v>2.8800000000000002E-5</v>
      </c>
      <c r="AZ272">
        <v>2.88</v>
      </c>
      <c r="BA272" s="140">
        <f t="shared" ref="BA272:BA318" si="128">BA$142*AY272</f>
        <v>2.8799999999999993E-7</v>
      </c>
      <c r="BB272" s="140">
        <f t="shared" ref="BB272:BB318" si="129">BB$142*AY272</f>
        <v>5.7599999999999997E-7</v>
      </c>
      <c r="BC272" s="140">
        <f t="shared" ref="BC272:BC318" si="130">BC$142*AY272</f>
        <v>8.6400000000000001E-7</v>
      </c>
      <c r="BD272" s="140">
        <f t="shared" ref="BD272:BD318" si="131">BD$142*AY272</f>
        <v>1.1520000000000002E-6</v>
      </c>
      <c r="BE272" s="140">
        <f t="shared" ref="BE272:BE318" si="132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33">IF(OR(AZ$134=0,AZ$133=0),0.0000001,IF(BF272=1,AZ$134,AY272*((AZ$134*AZ$138)/(BF272*AZ$133)+0.023*LOG10(BF272*AZ$133/AY272))/AZ$138))</f>
        <v>9.9999999999999995E-8</v>
      </c>
      <c r="BI272" s="140">
        <f t="shared" ref="BI272:BI318" si="134">BJ272*BJ$136</f>
        <v>2.8800000000000002E-5</v>
      </c>
      <c r="BJ272">
        <v>2.88</v>
      </c>
      <c r="BK272" s="140">
        <f t="shared" ref="BK272:BK318" si="135">BK$142*BI272</f>
        <v>2.8799999999999993E-7</v>
      </c>
      <c r="BL272" s="140">
        <f t="shared" ref="BL272:BL318" si="136">BL$142*BI272</f>
        <v>5.7599999999999997E-7</v>
      </c>
      <c r="BM272" s="140">
        <f t="shared" ref="BM272:BM318" si="137">BM$142*BI272</f>
        <v>8.6400000000000001E-7</v>
      </c>
      <c r="BN272" s="140">
        <f t="shared" ref="BN272:BN318" si="138">BN$142*$BI272</f>
        <v>1.1520000000000002E-6</v>
      </c>
      <c r="BO272" s="140">
        <f t="shared" ref="BO272:BO318" si="139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40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96"/>
        <v>2.9E-5</v>
      </c>
      <c r="B273">
        <v>2.9</v>
      </c>
      <c r="C273" s="140">
        <f t="shared" si="97"/>
        <v>2.8999999999999992E-7</v>
      </c>
      <c r="D273" s="140">
        <f t="shared" si="97"/>
        <v>5.7999999999999995E-7</v>
      </c>
      <c r="E273" s="140">
        <f t="shared" si="97"/>
        <v>8.6999999999999993E-7</v>
      </c>
      <c r="F273" s="140">
        <f t="shared" si="97"/>
        <v>1.1600000000000001E-6</v>
      </c>
      <c r="G273" s="140">
        <f t="shared" si="97"/>
        <v>1.4500000000000001E-6</v>
      </c>
      <c r="H273" s="157">
        <f>IF(A273&lt;$B$9*DATA!$H$1037,DATA!$H$1037,IF(A273&gt;DATA!$H$1036*$B$9,DATA!$H$1036,1))</f>
        <v>0.8</v>
      </c>
      <c r="I273" s="156">
        <f t="shared" si="98"/>
        <v>9.9999999999999995E-8</v>
      </c>
      <c r="K273" s="140">
        <f t="shared" si="99"/>
        <v>2.9E-5</v>
      </c>
      <c r="L273">
        <v>2.9</v>
      </c>
      <c r="M273" s="140">
        <f t="shared" si="100"/>
        <v>2.8999999999999992E-7</v>
      </c>
      <c r="N273" s="140">
        <f t="shared" si="101"/>
        <v>5.7999999999999995E-7</v>
      </c>
      <c r="O273" s="140">
        <f t="shared" si="102"/>
        <v>8.6999999999999993E-7</v>
      </c>
      <c r="P273" s="140">
        <f t="shared" si="103"/>
        <v>1.1600000000000001E-6</v>
      </c>
      <c r="Q273" s="140">
        <f t="shared" si="104"/>
        <v>1.4500000000000001E-6</v>
      </c>
      <c r="R273" s="157">
        <f>IF(K273&lt;$B$25*DATA!$H$1037,DATA!$H$1037,IF(K273&gt;DATA!$H$1036*$B$25,DATA!$H$1036,1))</f>
        <v>0.8</v>
      </c>
      <c r="S273" s="156">
        <f t="shared" si="105"/>
        <v>9.9999999999999995E-8</v>
      </c>
      <c r="U273" s="140">
        <f t="shared" si="106"/>
        <v>2.9E-5</v>
      </c>
      <c r="V273">
        <v>2.9</v>
      </c>
      <c r="W273" s="140">
        <f t="shared" si="107"/>
        <v>2.8999999999999992E-7</v>
      </c>
      <c r="X273" s="140">
        <f t="shared" si="108"/>
        <v>5.7999999999999995E-7</v>
      </c>
      <c r="Y273" s="140">
        <f t="shared" si="109"/>
        <v>8.6999999999999993E-7</v>
      </c>
      <c r="Z273" s="140">
        <f t="shared" si="110"/>
        <v>1.1600000000000001E-6</v>
      </c>
      <c r="AA273" s="140">
        <f t="shared" si="111"/>
        <v>1.4500000000000001E-6</v>
      </c>
      <c r="AB273" s="157">
        <f>IF(U273&lt;$B$41*DATA!$H$1037,DATA!$H$1037,IF(U273&gt;DATA!$H$1036*$B$41,DATA!$H$1036,1))</f>
        <v>0.8</v>
      </c>
      <c r="AC273" s="156">
        <f t="shared" si="112"/>
        <v>9.9999999999999995E-8</v>
      </c>
      <c r="AE273" s="140">
        <f t="shared" si="113"/>
        <v>2.9E-5</v>
      </c>
      <c r="AF273">
        <v>2.9</v>
      </c>
      <c r="AG273" s="140">
        <f t="shared" si="114"/>
        <v>2.8999999999999992E-7</v>
      </c>
      <c r="AH273" s="140">
        <f t="shared" si="115"/>
        <v>5.7999999999999995E-7</v>
      </c>
      <c r="AI273" s="140">
        <f t="shared" si="116"/>
        <v>8.6999999999999993E-7</v>
      </c>
      <c r="AJ273" s="140">
        <f t="shared" si="117"/>
        <v>1.1600000000000001E-6</v>
      </c>
      <c r="AK273" s="140">
        <f t="shared" si="118"/>
        <v>1.4500000000000001E-6</v>
      </c>
      <c r="AL273" s="157">
        <f>IF(AE273&lt;$B$57*DATA!$H$1037,DATA!$H$1037,IF(AE273&gt;DATA!$H$1036*$B$57,DATA!$H$1036,1))</f>
        <v>1.2</v>
      </c>
      <c r="AM273" s="156">
        <f t="shared" si="119"/>
        <v>9.9999999999999995E-8</v>
      </c>
      <c r="AO273" s="140">
        <f t="shared" si="120"/>
        <v>2.9E-5</v>
      </c>
      <c r="AP273">
        <v>2.9</v>
      </c>
      <c r="AQ273" s="140">
        <f t="shared" si="121"/>
        <v>2.8999999999999992E-7</v>
      </c>
      <c r="AR273" s="140">
        <f t="shared" si="122"/>
        <v>5.7999999999999995E-7</v>
      </c>
      <c r="AS273" s="140">
        <f t="shared" si="123"/>
        <v>8.6999999999999993E-7</v>
      </c>
      <c r="AT273" s="140">
        <f t="shared" si="124"/>
        <v>1.1600000000000001E-6</v>
      </c>
      <c r="AU273" s="140">
        <f t="shared" si="125"/>
        <v>1.4500000000000001E-6</v>
      </c>
      <c r="AV273" s="157">
        <f>IF(AO273&lt;$B$73*DATA!$H$1037,DATA!$H$1037,IF(AO273&gt;DATA!$H$1036*$B$73,DATA!$H$1036,1))</f>
        <v>1.2</v>
      </c>
      <c r="AW273" s="156">
        <f t="shared" si="126"/>
        <v>9.9999999999999995E-8</v>
      </c>
      <c r="AY273" s="140">
        <f t="shared" si="127"/>
        <v>2.9E-5</v>
      </c>
      <c r="AZ273">
        <v>2.9</v>
      </c>
      <c r="BA273" s="140">
        <f t="shared" si="128"/>
        <v>2.8999999999999992E-7</v>
      </c>
      <c r="BB273" s="140">
        <f t="shared" si="129"/>
        <v>5.7999999999999995E-7</v>
      </c>
      <c r="BC273" s="140">
        <f t="shared" si="130"/>
        <v>8.6999999999999993E-7</v>
      </c>
      <c r="BD273" s="140">
        <f t="shared" si="131"/>
        <v>1.1600000000000001E-6</v>
      </c>
      <c r="BE273" s="140">
        <f t="shared" si="132"/>
        <v>1.4500000000000001E-6</v>
      </c>
      <c r="BF273" s="157">
        <f>IF(AY273&lt;$B$89*DATA!$H$1037,DATA!$H$1037,IF(AY273&gt;DATA!$H$1036*$B$89,DATA!$H$1036,1))</f>
        <v>1.2</v>
      </c>
      <c r="BG273" s="156">
        <f t="shared" si="133"/>
        <v>9.9999999999999995E-8</v>
      </c>
      <c r="BI273" s="140">
        <f t="shared" si="134"/>
        <v>2.9E-5</v>
      </c>
      <c r="BJ273">
        <v>2.9</v>
      </c>
      <c r="BK273" s="140">
        <f t="shared" si="135"/>
        <v>2.8999999999999992E-7</v>
      </c>
      <c r="BL273" s="140">
        <f t="shared" si="136"/>
        <v>5.7999999999999995E-7</v>
      </c>
      <c r="BM273" s="140">
        <f t="shared" si="137"/>
        <v>8.6999999999999993E-7</v>
      </c>
      <c r="BN273" s="140">
        <f t="shared" si="138"/>
        <v>1.1600000000000001E-6</v>
      </c>
      <c r="BO273" s="140">
        <f t="shared" si="139"/>
        <v>1.4500000000000001E-6</v>
      </c>
      <c r="BP273" s="157">
        <f>IF(BI273&lt;$B$105*DATA!$H$1037,DATA!$H$1037,IF(BI273&gt;DATA!$H$1036*$B$105,DATA!$H$1036,1))</f>
        <v>1.2</v>
      </c>
      <c r="BQ273" s="156">
        <f t="shared" si="140"/>
        <v>9.9999999999999995E-8</v>
      </c>
    </row>
    <row r="274" spans="1:69">
      <c r="A274" s="140">
        <f t="shared" si="96"/>
        <v>2.9200000000000002E-5</v>
      </c>
      <c r="B274">
        <v>2.92</v>
      </c>
      <c r="C274" s="140">
        <f t="shared" si="97"/>
        <v>2.9199999999999991E-7</v>
      </c>
      <c r="D274" s="140">
        <f t="shared" si="97"/>
        <v>5.8399999999999994E-7</v>
      </c>
      <c r="E274" s="140">
        <f t="shared" si="97"/>
        <v>8.7600000000000006E-7</v>
      </c>
      <c r="F274" s="140">
        <f t="shared" si="97"/>
        <v>1.1680000000000001E-6</v>
      </c>
      <c r="G274" s="140">
        <f t="shared" si="97"/>
        <v>1.4600000000000002E-6</v>
      </c>
      <c r="H274" s="157">
        <f>IF(A274&lt;$B$9*DATA!$H$1037,DATA!$H$1037,IF(A274&gt;DATA!$H$1036*$B$9,DATA!$H$1036,1))</f>
        <v>0.8</v>
      </c>
      <c r="I274" s="156">
        <f t="shared" si="98"/>
        <v>9.9999999999999995E-8</v>
      </c>
      <c r="K274" s="140">
        <f t="shared" si="99"/>
        <v>2.9200000000000002E-5</v>
      </c>
      <c r="L274">
        <v>2.92</v>
      </c>
      <c r="M274" s="140">
        <f t="shared" si="100"/>
        <v>2.9199999999999991E-7</v>
      </c>
      <c r="N274" s="140">
        <f t="shared" si="101"/>
        <v>5.8399999999999994E-7</v>
      </c>
      <c r="O274" s="140">
        <f t="shared" si="102"/>
        <v>8.7600000000000006E-7</v>
      </c>
      <c r="P274" s="140">
        <f t="shared" si="103"/>
        <v>1.1680000000000001E-6</v>
      </c>
      <c r="Q274" s="140">
        <f t="shared" si="104"/>
        <v>1.4600000000000002E-6</v>
      </c>
      <c r="R274" s="157">
        <f>IF(K274&lt;$B$25*DATA!$H$1037,DATA!$H$1037,IF(K274&gt;DATA!$H$1036*$B$25,DATA!$H$1036,1))</f>
        <v>0.8</v>
      </c>
      <c r="S274" s="156">
        <f t="shared" si="105"/>
        <v>9.9999999999999995E-8</v>
      </c>
      <c r="U274" s="140">
        <f t="shared" si="106"/>
        <v>2.9200000000000002E-5</v>
      </c>
      <c r="V274">
        <v>2.92</v>
      </c>
      <c r="W274" s="140">
        <f t="shared" si="107"/>
        <v>2.9199999999999991E-7</v>
      </c>
      <c r="X274" s="140">
        <f t="shared" si="108"/>
        <v>5.8399999999999994E-7</v>
      </c>
      <c r="Y274" s="140">
        <f t="shared" si="109"/>
        <v>8.7600000000000006E-7</v>
      </c>
      <c r="Z274" s="140">
        <f t="shared" si="110"/>
        <v>1.1680000000000001E-6</v>
      </c>
      <c r="AA274" s="140">
        <f t="shared" si="111"/>
        <v>1.4600000000000002E-6</v>
      </c>
      <c r="AB274" s="157">
        <f>IF(U274&lt;$B$41*DATA!$H$1037,DATA!$H$1037,IF(U274&gt;DATA!$H$1036*$B$41,DATA!$H$1036,1))</f>
        <v>0.8</v>
      </c>
      <c r="AC274" s="156">
        <f t="shared" si="112"/>
        <v>9.9999999999999995E-8</v>
      </c>
      <c r="AE274" s="140">
        <f t="shared" si="113"/>
        <v>2.9200000000000002E-5</v>
      </c>
      <c r="AF274">
        <v>2.92</v>
      </c>
      <c r="AG274" s="140">
        <f t="shared" si="114"/>
        <v>2.9199999999999991E-7</v>
      </c>
      <c r="AH274" s="140">
        <f t="shared" si="115"/>
        <v>5.8399999999999994E-7</v>
      </c>
      <c r="AI274" s="140">
        <f t="shared" si="116"/>
        <v>8.7600000000000006E-7</v>
      </c>
      <c r="AJ274" s="140">
        <f t="shared" si="117"/>
        <v>1.1680000000000001E-6</v>
      </c>
      <c r="AK274" s="140">
        <f t="shared" si="118"/>
        <v>1.4600000000000002E-6</v>
      </c>
      <c r="AL274" s="157">
        <f>IF(AE274&lt;$B$57*DATA!$H$1037,DATA!$H$1037,IF(AE274&gt;DATA!$H$1036*$B$57,DATA!$H$1036,1))</f>
        <v>1.2</v>
      </c>
      <c r="AM274" s="156">
        <f t="shared" si="119"/>
        <v>9.9999999999999995E-8</v>
      </c>
      <c r="AO274" s="140">
        <f t="shared" si="120"/>
        <v>2.9200000000000002E-5</v>
      </c>
      <c r="AP274">
        <v>2.92</v>
      </c>
      <c r="AQ274" s="140">
        <f t="shared" si="121"/>
        <v>2.9199999999999991E-7</v>
      </c>
      <c r="AR274" s="140">
        <f t="shared" si="122"/>
        <v>5.8399999999999994E-7</v>
      </c>
      <c r="AS274" s="140">
        <f t="shared" si="123"/>
        <v>8.7600000000000006E-7</v>
      </c>
      <c r="AT274" s="140">
        <f t="shared" si="124"/>
        <v>1.1680000000000001E-6</v>
      </c>
      <c r="AU274" s="140">
        <f t="shared" si="125"/>
        <v>1.4600000000000002E-6</v>
      </c>
      <c r="AV274" s="157">
        <f>IF(AO274&lt;$B$73*DATA!$H$1037,DATA!$H$1037,IF(AO274&gt;DATA!$H$1036*$B$73,DATA!$H$1036,1))</f>
        <v>1.2</v>
      </c>
      <c r="AW274" s="156">
        <f t="shared" si="126"/>
        <v>9.9999999999999995E-8</v>
      </c>
      <c r="AY274" s="140">
        <f t="shared" si="127"/>
        <v>2.9200000000000002E-5</v>
      </c>
      <c r="AZ274">
        <v>2.92</v>
      </c>
      <c r="BA274" s="140">
        <f t="shared" si="128"/>
        <v>2.9199999999999991E-7</v>
      </c>
      <c r="BB274" s="140">
        <f t="shared" si="129"/>
        <v>5.8399999999999994E-7</v>
      </c>
      <c r="BC274" s="140">
        <f t="shared" si="130"/>
        <v>8.7600000000000006E-7</v>
      </c>
      <c r="BD274" s="140">
        <f t="shared" si="131"/>
        <v>1.1680000000000001E-6</v>
      </c>
      <c r="BE274" s="140">
        <f t="shared" si="132"/>
        <v>1.4600000000000002E-6</v>
      </c>
      <c r="BF274" s="157">
        <f>IF(AY274&lt;$B$89*DATA!$H$1037,DATA!$H$1037,IF(AY274&gt;DATA!$H$1036*$B$89,DATA!$H$1036,1))</f>
        <v>1.2</v>
      </c>
      <c r="BG274" s="156">
        <f t="shared" si="133"/>
        <v>9.9999999999999995E-8</v>
      </c>
      <c r="BI274" s="140">
        <f t="shared" si="134"/>
        <v>2.9200000000000002E-5</v>
      </c>
      <c r="BJ274">
        <v>2.92</v>
      </c>
      <c r="BK274" s="140">
        <f t="shared" si="135"/>
        <v>2.9199999999999991E-7</v>
      </c>
      <c r="BL274" s="140">
        <f t="shared" si="136"/>
        <v>5.8399999999999994E-7</v>
      </c>
      <c r="BM274" s="140">
        <f t="shared" si="137"/>
        <v>8.7600000000000006E-7</v>
      </c>
      <c r="BN274" s="140">
        <f t="shared" si="138"/>
        <v>1.1680000000000001E-6</v>
      </c>
      <c r="BO274" s="140">
        <f t="shared" si="139"/>
        <v>1.4600000000000002E-6</v>
      </c>
      <c r="BP274" s="157">
        <f>IF(BI274&lt;$B$105*DATA!$H$1037,DATA!$H$1037,IF(BI274&gt;DATA!$H$1036*$B$105,DATA!$H$1036,1))</f>
        <v>1.2</v>
      </c>
      <c r="BQ274" s="156">
        <f t="shared" si="140"/>
        <v>9.9999999999999995E-8</v>
      </c>
    </row>
    <row r="275" spans="1:69">
      <c r="A275" s="140">
        <f t="shared" si="96"/>
        <v>2.9400000000000003E-5</v>
      </c>
      <c r="B275">
        <v>2.94</v>
      </c>
      <c r="C275" s="140">
        <f t="shared" si="97"/>
        <v>2.9399999999999996E-7</v>
      </c>
      <c r="D275" s="140">
        <f t="shared" si="97"/>
        <v>5.8800000000000002E-7</v>
      </c>
      <c r="E275" s="140">
        <f t="shared" si="97"/>
        <v>8.8200000000000009E-7</v>
      </c>
      <c r="F275" s="140">
        <f t="shared" si="97"/>
        <v>1.176E-6</v>
      </c>
      <c r="G275" s="140">
        <f t="shared" si="97"/>
        <v>1.4700000000000003E-6</v>
      </c>
      <c r="H275" s="157">
        <f>IF(A275&lt;$B$9*DATA!$H$1037,DATA!$H$1037,IF(A275&gt;DATA!$H$1036*$B$9,DATA!$H$1036,1))</f>
        <v>0.8</v>
      </c>
      <c r="I275" s="156">
        <f t="shared" si="98"/>
        <v>9.9999999999999995E-8</v>
      </c>
      <c r="K275" s="140">
        <f t="shared" si="99"/>
        <v>2.9400000000000003E-5</v>
      </c>
      <c r="L275">
        <v>2.94</v>
      </c>
      <c r="M275" s="140">
        <f t="shared" si="100"/>
        <v>2.9399999999999996E-7</v>
      </c>
      <c r="N275" s="140">
        <f t="shared" si="101"/>
        <v>5.8800000000000002E-7</v>
      </c>
      <c r="O275" s="140">
        <f t="shared" si="102"/>
        <v>8.8200000000000009E-7</v>
      </c>
      <c r="P275" s="140">
        <f t="shared" si="103"/>
        <v>1.176E-6</v>
      </c>
      <c r="Q275" s="140">
        <f t="shared" si="104"/>
        <v>1.4700000000000003E-6</v>
      </c>
      <c r="R275" s="157">
        <f>IF(K275&lt;$B$25*DATA!$H$1037,DATA!$H$1037,IF(K275&gt;DATA!$H$1036*$B$25,DATA!$H$1036,1))</f>
        <v>0.8</v>
      </c>
      <c r="S275" s="156">
        <f t="shared" si="105"/>
        <v>9.9999999999999995E-8</v>
      </c>
      <c r="U275" s="140">
        <f t="shared" si="106"/>
        <v>2.9400000000000003E-5</v>
      </c>
      <c r="V275">
        <v>2.94</v>
      </c>
      <c r="W275" s="140">
        <f t="shared" si="107"/>
        <v>2.9399999999999996E-7</v>
      </c>
      <c r="X275" s="140">
        <f t="shared" si="108"/>
        <v>5.8800000000000002E-7</v>
      </c>
      <c r="Y275" s="140">
        <f t="shared" si="109"/>
        <v>8.8200000000000009E-7</v>
      </c>
      <c r="Z275" s="140">
        <f t="shared" si="110"/>
        <v>1.176E-6</v>
      </c>
      <c r="AA275" s="140">
        <f t="shared" si="111"/>
        <v>1.4700000000000003E-6</v>
      </c>
      <c r="AB275" s="157">
        <f>IF(U275&lt;$B$41*DATA!$H$1037,DATA!$H$1037,IF(U275&gt;DATA!$H$1036*$B$41,DATA!$H$1036,1))</f>
        <v>0.8</v>
      </c>
      <c r="AC275" s="156">
        <f t="shared" si="112"/>
        <v>9.9999999999999995E-8</v>
      </c>
      <c r="AE275" s="140">
        <f t="shared" si="113"/>
        <v>2.9400000000000003E-5</v>
      </c>
      <c r="AF275">
        <v>2.94</v>
      </c>
      <c r="AG275" s="140">
        <f t="shared" si="114"/>
        <v>2.9399999999999996E-7</v>
      </c>
      <c r="AH275" s="140">
        <f t="shared" si="115"/>
        <v>5.8800000000000002E-7</v>
      </c>
      <c r="AI275" s="140">
        <f t="shared" si="116"/>
        <v>8.8200000000000009E-7</v>
      </c>
      <c r="AJ275" s="140">
        <f t="shared" si="117"/>
        <v>1.176E-6</v>
      </c>
      <c r="AK275" s="140">
        <f t="shared" si="118"/>
        <v>1.4700000000000003E-6</v>
      </c>
      <c r="AL275" s="157">
        <f>IF(AE275&lt;$B$57*DATA!$H$1037,DATA!$H$1037,IF(AE275&gt;DATA!$H$1036*$B$57,DATA!$H$1036,1))</f>
        <v>1.2</v>
      </c>
      <c r="AM275" s="156">
        <f t="shared" si="119"/>
        <v>9.9999999999999995E-8</v>
      </c>
      <c r="AO275" s="140">
        <f t="shared" si="120"/>
        <v>2.9400000000000003E-5</v>
      </c>
      <c r="AP275">
        <v>2.94</v>
      </c>
      <c r="AQ275" s="140">
        <f t="shared" si="121"/>
        <v>2.9399999999999996E-7</v>
      </c>
      <c r="AR275" s="140">
        <f t="shared" si="122"/>
        <v>5.8800000000000002E-7</v>
      </c>
      <c r="AS275" s="140">
        <f t="shared" si="123"/>
        <v>8.8200000000000009E-7</v>
      </c>
      <c r="AT275" s="140">
        <f t="shared" si="124"/>
        <v>1.176E-6</v>
      </c>
      <c r="AU275" s="140">
        <f t="shared" si="125"/>
        <v>1.4700000000000003E-6</v>
      </c>
      <c r="AV275" s="157">
        <f>IF(AO275&lt;$B$73*DATA!$H$1037,DATA!$H$1037,IF(AO275&gt;DATA!$H$1036*$B$73,DATA!$H$1036,1))</f>
        <v>1.2</v>
      </c>
      <c r="AW275" s="156">
        <f t="shared" si="126"/>
        <v>9.9999999999999995E-8</v>
      </c>
      <c r="AY275" s="140">
        <f t="shared" si="127"/>
        <v>2.9400000000000003E-5</v>
      </c>
      <c r="AZ275">
        <v>2.94</v>
      </c>
      <c r="BA275" s="140">
        <f t="shared" si="128"/>
        <v>2.9399999999999996E-7</v>
      </c>
      <c r="BB275" s="140">
        <f t="shared" si="129"/>
        <v>5.8800000000000002E-7</v>
      </c>
      <c r="BC275" s="140">
        <f t="shared" si="130"/>
        <v>8.8200000000000009E-7</v>
      </c>
      <c r="BD275" s="140">
        <f t="shared" si="131"/>
        <v>1.176E-6</v>
      </c>
      <c r="BE275" s="140">
        <f t="shared" si="132"/>
        <v>1.4700000000000003E-6</v>
      </c>
      <c r="BF275" s="157">
        <f>IF(AY275&lt;$B$89*DATA!$H$1037,DATA!$H$1037,IF(AY275&gt;DATA!$H$1036*$B$89,DATA!$H$1036,1))</f>
        <v>1.2</v>
      </c>
      <c r="BG275" s="156">
        <f t="shared" si="133"/>
        <v>9.9999999999999995E-8</v>
      </c>
      <c r="BI275" s="140">
        <f t="shared" si="134"/>
        <v>2.9400000000000003E-5</v>
      </c>
      <c r="BJ275">
        <v>2.94</v>
      </c>
      <c r="BK275" s="140">
        <f t="shared" si="135"/>
        <v>2.9399999999999996E-7</v>
      </c>
      <c r="BL275" s="140">
        <f t="shared" si="136"/>
        <v>5.8800000000000002E-7</v>
      </c>
      <c r="BM275" s="140">
        <f t="shared" si="137"/>
        <v>8.8200000000000009E-7</v>
      </c>
      <c r="BN275" s="140">
        <f t="shared" si="138"/>
        <v>1.176E-6</v>
      </c>
      <c r="BO275" s="140">
        <f t="shared" si="139"/>
        <v>1.4700000000000003E-6</v>
      </c>
      <c r="BP275" s="157">
        <f>IF(BI275&lt;$B$105*DATA!$H$1037,DATA!$H$1037,IF(BI275&gt;DATA!$H$1036*$B$105,DATA!$H$1036,1))</f>
        <v>1.2</v>
      </c>
      <c r="BQ275" s="156">
        <f t="shared" si="140"/>
        <v>9.9999999999999995E-8</v>
      </c>
    </row>
    <row r="276" spans="1:69">
      <c r="A276" s="140">
        <f t="shared" si="96"/>
        <v>2.9600000000000001E-5</v>
      </c>
      <c r="B276">
        <v>2.96</v>
      </c>
      <c r="C276" s="140">
        <f t="shared" si="97"/>
        <v>2.959999999999999E-7</v>
      </c>
      <c r="D276" s="140">
        <f t="shared" si="97"/>
        <v>5.919999999999999E-7</v>
      </c>
      <c r="E276" s="140">
        <f t="shared" si="97"/>
        <v>8.8800000000000001E-7</v>
      </c>
      <c r="F276" s="140">
        <f t="shared" si="97"/>
        <v>1.184E-6</v>
      </c>
      <c r="G276" s="140">
        <f t="shared" si="97"/>
        <v>1.4800000000000002E-6</v>
      </c>
      <c r="H276" s="157">
        <f>IF(A276&lt;$B$9*DATA!$H$1037,DATA!$H$1037,IF(A276&gt;DATA!$H$1036*$B$9,DATA!$H$1036,1))</f>
        <v>0.8</v>
      </c>
      <c r="I276" s="156">
        <f t="shared" si="98"/>
        <v>9.9999999999999995E-8</v>
      </c>
      <c r="K276" s="140">
        <f t="shared" si="99"/>
        <v>2.9600000000000001E-5</v>
      </c>
      <c r="L276">
        <v>2.96</v>
      </c>
      <c r="M276" s="140">
        <f t="shared" si="100"/>
        <v>2.959999999999999E-7</v>
      </c>
      <c r="N276" s="140">
        <f t="shared" si="101"/>
        <v>5.919999999999999E-7</v>
      </c>
      <c r="O276" s="140">
        <f t="shared" si="102"/>
        <v>8.8800000000000001E-7</v>
      </c>
      <c r="P276" s="140">
        <f t="shared" si="103"/>
        <v>1.184E-6</v>
      </c>
      <c r="Q276" s="140">
        <f t="shared" si="104"/>
        <v>1.4800000000000002E-6</v>
      </c>
      <c r="R276" s="157">
        <f>IF(K276&lt;$B$25*DATA!$H$1037,DATA!$H$1037,IF(K276&gt;DATA!$H$1036*$B$25,DATA!$H$1036,1))</f>
        <v>0.8</v>
      </c>
      <c r="S276" s="156">
        <f t="shared" si="105"/>
        <v>9.9999999999999995E-8</v>
      </c>
      <c r="U276" s="140">
        <f t="shared" si="106"/>
        <v>2.9600000000000001E-5</v>
      </c>
      <c r="V276">
        <v>2.96</v>
      </c>
      <c r="W276" s="140">
        <f t="shared" si="107"/>
        <v>2.959999999999999E-7</v>
      </c>
      <c r="X276" s="140">
        <f t="shared" si="108"/>
        <v>5.919999999999999E-7</v>
      </c>
      <c r="Y276" s="140">
        <f t="shared" si="109"/>
        <v>8.8800000000000001E-7</v>
      </c>
      <c r="Z276" s="140">
        <f t="shared" si="110"/>
        <v>1.184E-6</v>
      </c>
      <c r="AA276" s="140">
        <f t="shared" si="111"/>
        <v>1.4800000000000002E-6</v>
      </c>
      <c r="AB276" s="157">
        <f>IF(U276&lt;$B$41*DATA!$H$1037,DATA!$H$1037,IF(U276&gt;DATA!$H$1036*$B$41,DATA!$H$1036,1))</f>
        <v>0.8</v>
      </c>
      <c r="AC276" s="156">
        <f t="shared" si="112"/>
        <v>9.9999999999999995E-8</v>
      </c>
      <c r="AE276" s="140">
        <f t="shared" si="113"/>
        <v>2.9600000000000001E-5</v>
      </c>
      <c r="AF276">
        <v>2.96</v>
      </c>
      <c r="AG276" s="140">
        <f t="shared" si="114"/>
        <v>2.959999999999999E-7</v>
      </c>
      <c r="AH276" s="140">
        <f t="shared" si="115"/>
        <v>5.919999999999999E-7</v>
      </c>
      <c r="AI276" s="140">
        <f t="shared" si="116"/>
        <v>8.8800000000000001E-7</v>
      </c>
      <c r="AJ276" s="140">
        <f t="shared" si="117"/>
        <v>1.184E-6</v>
      </c>
      <c r="AK276" s="140">
        <f t="shared" si="118"/>
        <v>1.4800000000000002E-6</v>
      </c>
      <c r="AL276" s="157">
        <f>IF(AE276&lt;$B$57*DATA!$H$1037,DATA!$H$1037,IF(AE276&gt;DATA!$H$1036*$B$57,DATA!$H$1036,1))</f>
        <v>1.2</v>
      </c>
      <c r="AM276" s="156">
        <f t="shared" si="119"/>
        <v>9.9999999999999995E-8</v>
      </c>
      <c r="AO276" s="140">
        <f t="shared" si="120"/>
        <v>2.9600000000000001E-5</v>
      </c>
      <c r="AP276">
        <v>2.96</v>
      </c>
      <c r="AQ276" s="140">
        <f t="shared" si="121"/>
        <v>2.959999999999999E-7</v>
      </c>
      <c r="AR276" s="140">
        <f t="shared" si="122"/>
        <v>5.919999999999999E-7</v>
      </c>
      <c r="AS276" s="140">
        <f t="shared" si="123"/>
        <v>8.8800000000000001E-7</v>
      </c>
      <c r="AT276" s="140">
        <f t="shared" si="124"/>
        <v>1.184E-6</v>
      </c>
      <c r="AU276" s="140">
        <f t="shared" si="125"/>
        <v>1.4800000000000002E-6</v>
      </c>
      <c r="AV276" s="157">
        <f>IF(AO276&lt;$B$73*DATA!$H$1037,DATA!$H$1037,IF(AO276&gt;DATA!$H$1036*$B$73,DATA!$H$1036,1))</f>
        <v>1.2</v>
      </c>
      <c r="AW276" s="156">
        <f t="shared" si="126"/>
        <v>9.9999999999999995E-8</v>
      </c>
      <c r="AY276" s="140">
        <f t="shared" si="127"/>
        <v>2.9600000000000001E-5</v>
      </c>
      <c r="AZ276">
        <v>2.96</v>
      </c>
      <c r="BA276" s="140">
        <f t="shared" si="128"/>
        <v>2.959999999999999E-7</v>
      </c>
      <c r="BB276" s="140">
        <f t="shared" si="129"/>
        <v>5.919999999999999E-7</v>
      </c>
      <c r="BC276" s="140">
        <f t="shared" si="130"/>
        <v>8.8800000000000001E-7</v>
      </c>
      <c r="BD276" s="140">
        <f t="shared" si="131"/>
        <v>1.184E-6</v>
      </c>
      <c r="BE276" s="140">
        <f t="shared" si="132"/>
        <v>1.4800000000000002E-6</v>
      </c>
      <c r="BF276" s="157">
        <f>IF(AY276&lt;$B$89*DATA!$H$1037,DATA!$H$1037,IF(AY276&gt;DATA!$H$1036*$B$89,DATA!$H$1036,1))</f>
        <v>1.2</v>
      </c>
      <c r="BG276" s="156">
        <f t="shared" si="133"/>
        <v>9.9999999999999995E-8</v>
      </c>
      <c r="BI276" s="140">
        <f t="shared" si="134"/>
        <v>2.9600000000000001E-5</v>
      </c>
      <c r="BJ276">
        <v>2.96</v>
      </c>
      <c r="BK276" s="140">
        <f t="shared" si="135"/>
        <v>2.959999999999999E-7</v>
      </c>
      <c r="BL276" s="140">
        <f t="shared" si="136"/>
        <v>5.919999999999999E-7</v>
      </c>
      <c r="BM276" s="140">
        <f t="shared" si="137"/>
        <v>8.8800000000000001E-7</v>
      </c>
      <c r="BN276" s="140">
        <f t="shared" si="138"/>
        <v>1.184E-6</v>
      </c>
      <c r="BO276" s="140">
        <f t="shared" si="139"/>
        <v>1.4800000000000002E-6</v>
      </c>
      <c r="BP276" s="157">
        <f>IF(BI276&lt;$B$105*DATA!$H$1037,DATA!$H$1037,IF(BI276&gt;DATA!$H$1036*$B$105,DATA!$H$1036,1))</f>
        <v>1.2</v>
      </c>
      <c r="BQ276" s="156">
        <f t="shared" si="140"/>
        <v>9.9999999999999995E-8</v>
      </c>
    </row>
    <row r="277" spans="1:69">
      <c r="A277" s="140">
        <f t="shared" si="96"/>
        <v>2.9800000000000003E-5</v>
      </c>
      <c r="B277">
        <v>2.98</v>
      </c>
      <c r="C277" s="140">
        <f t="shared" si="97"/>
        <v>2.9799999999999994E-7</v>
      </c>
      <c r="D277" s="140">
        <f t="shared" si="97"/>
        <v>5.9599999999999999E-7</v>
      </c>
      <c r="E277" s="140">
        <f t="shared" si="97"/>
        <v>8.9400000000000004E-7</v>
      </c>
      <c r="F277" s="140">
        <f t="shared" si="97"/>
        <v>1.1920000000000002E-6</v>
      </c>
      <c r="G277" s="140">
        <f t="shared" si="97"/>
        <v>1.4900000000000001E-6</v>
      </c>
      <c r="H277" s="157">
        <f>IF(A277&lt;$B$9*DATA!$H$1037,DATA!$H$1037,IF(A277&gt;DATA!$H$1036*$B$9,DATA!$H$1036,1))</f>
        <v>0.8</v>
      </c>
      <c r="I277" s="156">
        <f t="shared" si="98"/>
        <v>9.9999999999999995E-8</v>
      </c>
      <c r="K277" s="140">
        <f t="shared" si="99"/>
        <v>2.9800000000000003E-5</v>
      </c>
      <c r="L277">
        <v>2.98</v>
      </c>
      <c r="M277" s="140">
        <f t="shared" si="100"/>
        <v>2.9799999999999994E-7</v>
      </c>
      <c r="N277" s="140">
        <f t="shared" si="101"/>
        <v>5.9599999999999999E-7</v>
      </c>
      <c r="O277" s="140">
        <f t="shared" si="102"/>
        <v>8.9400000000000004E-7</v>
      </c>
      <c r="P277" s="140">
        <f t="shared" si="103"/>
        <v>1.1920000000000002E-6</v>
      </c>
      <c r="Q277" s="140">
        <f t="shared" si="104"/>
        <v>1.4900000000000001E-6</v>
      </c>
      <c r="R277" s="157">
        <f>IF(K277&lt;$B$25*DATA!$H$1037,DATA!$H$1037,IF(K277&gt;DATA!$H$1036*$B$25,DATA!$H$1036,1))</f>
        <v>0.8</v>
      </c>
      <c r="S277" s="156">
        <f t="shared" si="105"/>
        <v>9.9999999999999995E-8</v>
      </c>
      <c r="U277" s="140">
        <f t="shared" si="106"/>
        <v>2.9800000000000003E-5</v>
      </c>
      <c r="V277">
        <v>2.98</v>
      </c>
      <c r="W277" s="140">
        <f t="shared" si="107"/>
        <v>2.9799999999999994E-7</v>
      </c>
      <c r="X277" s="140">
        <f t="shared" si="108"/>
        <v>5.9599999999999999E-7</v>
      </c>
      <c r="Y277" s="140">
        <f t="shared" si="109"/>
        <v>8.9400000000000004E-7</v>
      </c>
      <c r="Z277" s="140">
        <f t="shared" si="110"/>
        <v>1.1920000000000002E-6</v>
      </c>
      <c r="AA277" s="140">
        <f t="shared" si="111"/>
        <v>1.4900000000000001E-6</v>
      </c>
      <c r="AB277" s="157">
        <f>IF(U277&lt;$B$41*DATA!$H$1037,DATA!$H$1037,IF(U277&gt;DATA!$H$1036*$B$41,DATA!$H$1036,1))</f>
        <v>0.8</v>
      </c>
      <c r="AC277" s="156">
        <f t="shared" si="112"/>
        <v>9.9999999999999995E-8</v>
      </c>
      <c r="AE277" s="140">
        <f t="shared" si="113"/>
        <v>2.9800000000000003E-5</v>
      </c>
      <c r="AF277">
        <v>2.98</v>
      </c>
      <c r="AG277" s="140">
        <f t="shared" si="114"/>
        <v>2.9799999999999994E-7</v>
      </c>
      <c r="AH277" s="140">
        <f t="shared" si="115"/>
        <v>5.9599999999999999E-7</v>
      </c>
      <c r="AI277" s="140">
        <f t="shared" si="116"/>
        <v>8.9400000000000004E-7</v>
      </c>
      <c r="AJ277" s="140">
        <f t="shared" si="117"/>
        <v>1.1920000000000002E-6</v>
      </c>
      <c r="AK277" s="140">
        <f t="shared" si="118"/>
        <v>1.4900000000000001E-6</v>
      </c>
      <c r="AL277" s="157">
        <f>IF(AE277&lt;$B$57*DATA!$H$1037,DATA!$H$1037,IF(AE277&gt;DATA!$H$1036*$B$57,DATA!$H$1036,1))</f>
        <v>1.2</v>
      </c>
      <c r="AM277" s="156">
        <f t="shared" si="119"/>
        <v>9.9999999999999995E-8</v>
      </c>
      <c r="AO277" s="140">
        <f t="shared" si="120"/>
        <v>2.9800000000000003E-5</v>
      </c>
      <c r="AP277">
        <v>2.98</v>
      </c>
      <c r="AQ277" s="140">
        <f t="shared" si="121"/>
        <v>2.9799999999999994E-7</v>
      </c>
      <c r="AR277" s="140">
        <f t="shared" si="122"/>
        <v>5.9599999999999999E-7</v>
      </c>
      <c r="AS277" s="140">
        <f t="shared" si="123"/>
        <v>8.9400000000000004E-7</v>
      </c>
      <c r="AT277" s="140">
        <f t="shared" si="124"/>
        <v>1.1920000000000002E-6</v>
      </c>
      <c r="AU277" s="140">
        <f t="shared" si="125"/>
        <v>1.4900000000000001E-6</v>
      </c>
      <c r="AV277" s="157">
        <f>IF(AO277&lt;$B$73*DATA!$H$1037,DATA!$H$1037,IF(AO277&gt;DATA!$H$1036*$B$73,DATA!$H$1036,1))</f>
        <v>1.2</v>
      </c>
      <c r="AW277" s="156">
        <f t="shared" si="126"/>
        <v>9.9999999999999995E-8</v>
      </c>
      <c r="AY277" s="140">
        <f t="shared" si="127"/>
        <v>2.9800000000000003E-5</v>
      </c>
      <c r="AZ277">
        <v>2.98</v>
      </c>
      <c r="BA277" s="140">
        <f t="shared" si="128"/>
        <v>2.9799999999999994E-7</v>
      </c>
      <c r="BB277" s="140">
        <f t="shared" si="129"/>
        <v>5.9599999999999999E-7</v>
      </c>
      <c r="BC277" s="140">
        <f t="shared" si="130"/>
        <v>8.9400000000000004E-7</v>
      </c>
      <c r="BD277" s="140">
        <f t="shared" si="131"/>
        <v>1.1920000000000002E-6</v>
      </c>
      <c r="BE277" s="140">
        <f t="shared" si="132"/>
        <v>1.4900000000000001E-6</v>
      </c>
      <c r="BF277" s="157">
        <f>IF(AY277&lt;$B$89*DATA!$H$1037,DATA!$H$1037,IF(AY277&gt;DATA!$H$1036*$B$89,DATA!$H$1036,1))</f>
        <v>1.2</v>
      </c>
      <c r="BG277" s="156">
        <f t="shared" si="133"/>
        <v>9.9999999999999995E-8</v>
      </c>
      <c r="BI277" s="140">
        <f t="shared" si="134"/>
        <v>2.9800000000000003E-5</v>
      </c>
      <c r="BJ277">
        <v>2.98</v>
      </c>
      <c r="BK277" s="140">
        <f t="shared" si="135"/>
        <v>2.9799999999999994E-7</v>
      </c>
      <c r="BL277" s="140">
        <f t="shared" si="136"/>
        <v>5.9599999999999999E-7</v>
      </c>
      <c r="BM277" s="140">
        <f t="shared" si="137"/>
        <v>8.9400000000000004E-7</v>
      </c>
      <c r="BN277" s="140">
        <f t="shared" si="138"/>
        <v>1.1920000000000002E-6</v>
      </c>
      <c r="BO277" s="140">
        <f t="shared" si="139"/>
        <v>1.4900000000000001E-6</v>
      </c>
      <c r="BP277" s="157">
        <f>IF(BI277&lt;$B$105*DATA!$H$1037,DATA!$H$1037,IF(BI277&gt;DATA!$H$1036*$B$105,DATA!$H$1036,1))</f>
        <v>1.2</v>
      </c>
      <c r="BQ277" s="156">
        <f t="shared" si="140"/>
        <v>9.9999999999999995E-8</v>
      </c>
    </row>
    <row r="278" spans="1:69">
      <c r="A278" s="140">
        <f t="shared" si="96"/>
        <v>3.0000000000000004E-5</v>
      </c>
      <c r="B278">
        <v>3</v>
      </c>
      <c r="C278" s="140">
        <f t="shared" si="97"/>
        <v>2.9999999999999993E-7</v>
      </c>
      <c r="D278" s="140">
        <f t="shared" si="97"/>
        <v>5.9999999999999997E-7</v>
      </c>
      <c r="E278" s="140">
        <f t="shared" si="97"/>
        <v>9.0000000000000007E-7</v>
      </c>
      <c r="F278" s="140">
        <f t="shared" si="97"/>
        <v>1.2000000000000002E-6</v>
      </c>
      <c r="G278" s="140">
        <f t="shared" si="97"/>
        <v>1.5000000000000002E-6</v>
      </c>
      <c r="H278" s="157">
        <f>IF(A278&lt;$B$9*DATA!$H$1037,DATA!$H$1037,IF(A278&gt;DATA!$H$1036*$B$9,DATA!$H$1036,1))</f>
        <v>0.8</v>
      </c>
      <c r="I278" s="156">
        <f t="shared" si="98"/>
        <v>9.9999999999999995E-8</v>
      </c>
      <c r="K278" s="140">
        <f t="shared" si="99"/>
        <v>3.0000000000000004E-5</v>
      </c>
      <c r="L278">
        <v>3</v>
      </c>
      <c r="M278" s="140">
        <f t="shared" si="100"/>
        <v>2.9999999999999993E-7</v>
      </c>
      <c r="N278" s="140">
        <f t="shared" si="101"/>
        <v>5.9999999999999997E-7</v>
      </c>
      <c r="O278" s="140">
        <f t="shared" si="102"/>
        <v>9.0000000000000007E-7</v>
      </c>
      <c r="P278" s="140">
        <f t="shared" si="103"/>
        <v>1.2000000000000002E-6</v>
      </c>
      <c r="Q278" s="140">
        <f t="shared" si="104"/>
        <v>1.5000000000000002E-6</v>
      </c>
      <c r="R278" s="157">
        <f>IF(K278&lt;$B$25*DATA!$H$1037,DATA!$H$1037,IF(K278&gt;DATA!$H$1036*$B$25,DATA!$H$1036,1))</f>
        <v>0.8</v>
      </c>
      <c r="S278" s="156">
        <f t="shared" si="105"/>
        <v>9.9999999999999995E-8</v>
      </c>
      <c r="U278" s="140">
        <f t="shared" si="106"/>
        <v>3.0000000000000004E-5</v>
      </c>
      <c r="V278">
        <v>3</v>
      </c>
      <c r="W278" s="140">
        <f t="shared" si="107"/>
        <v>2.9999999999999993E-7</v>
      </c>
      <c r="X278" s="140">
        <f t="shared" si="108"/>
        <v>5.9999999999999997E-7</v>
      </c>
      <c r="Y278" s="140">
        <f t="shared" si="109"/>
        <v>9.0000000000000007E-7</v>
      </c>
      <c r="Z278" s="140">
        <f t="shared" si="110"/>
        <v>1.2000000000000002E-6</v>
      </c>
      <c r="AA278" s="140">
        <f t="shared" si="111"/>
        <v>1.5000000000000002E-6</v>
      </c>
      <c r="AB278" s="157">
        <f>IF(U278&lt;$B$41*DATA!$H$1037,DATA!$H$1037,IF(U278&gt;DATA!$H$1036*$B$41,DATA!$H$1036,1))</f>
        <v>0.8</v>
      </c>
      <c r="AC278" s="156">
        <f t="shared" si="112"/>
        <v>9.9999999999999995E-8</v>
      </c>
      <c r="AE278" s="140">
        <f t="shared" si="113"/>
        <v>3.0000000000000004E-5</v>
      </c>
      <c r="AF278">
        <v>3</v>
      </c>
      <c r="AG278" s="140">
        <f t="shared" si="114"/>
        <v>2.9999999999999993E-7</v>
      </c>
      <c r="AH278" s="140">
        <f t="shared" si="115"/>
        <v>5.9999999999999997E-7</v>
      </c>
      <c r="AI278" s="140">
        <f t="shared" si="116"/>
        <v>9.0000000000000007E-7</v>
      </c>
      <c r="AJ278" s="140">
        <f t="shared" si="117"/>
        <v>1.2000000000000002E-6</v>
      </c>
      <c r="AK278" s="140">
        <f t="shared" si="118"/>
        <v>1.5000000000000002E-6</v>
      </c>
      <c r="AL278" s="157">
        <f>IF(AE278&lt;$B$57*DATA!$H$1037,DATA!$H$1037,IF(AE278&gt;DATA!$H$1036*$B$57,DATA!$H$1036,1))</f>
        <v>1.2</v>
      </c>
      <c r="AM278" s="156">
        <f t="shared" si="119"/>
        <v>9.9999999999999995E-8</v>
      </c>
      <c r="AO278" s="140">
        <f t="shared" si="120"/>
        <v>3.0000000000000004E-5</v>
      </c>
      <c r="AP278">
        <v>3</v>
      </c>
      <c r="AQ278" s="140">
        <f t="shared" si="121"/>
        <v>2.9999999999999993E-7</v>
      </c>
      <c r="AR278" s="140">
        <f t="shared" si="122"/>
        <v>5.9999999999999997E-7</v>
      </c>
      <c r="AS278" s="140">
        <f t="shared" si="123"/>
        <v>9.0000000000000007E-7</v>
      </c>
      <c r="AT278" s="140">
        <f t="shared" si="124"/>
        <v>1.2000000000000002E-6</v>
      </c>
      <c r="AU278" s="140">
        <f t="shared" si="125"/>
        <v>1.5000000000000002E-6</v>
      </c>
      <c r="AV278" s="157">
        <f>IF(AO278&lt;$B$73*DATA!$H$1037,DATA!$H$1037,IF(AO278&gt;DATA!$H$1036*$B$73,DATA!$H$1036,1))</f>
        <v>1.2</v>
      </c>
      <c r="AW278" s="156">
        <f t="shared" si="126"/>
        <v>9.9999999999999995E-8</v>
      </c>
      <c r="AY278" s="140">
        <f t="shared" si="127"/>
        <v>3.0000000000000004E-5</v>
      </c>
      <c r="AZ278">
        <v>3</v>
      </c>
      <c r="BA278" s="140">
        <f t="shared" si="128"/>
        <v>2.9999999999999993E-7</v>
      </c>
      <c r="BB278" s="140">
        <f t="shared" si="129"/>
        <v>5.9999999999999997E-7</v>
      </c>
      <c r="BC278" s="140">
        <f t="shared" si="130"/>
        <v>9.0000000000000007E-7</v>
      </c>
      <c r="BD278" s="140">
        <f t="shared" si="131"/>
        <v>1.2000000000000002E-6</v>
      </c>
      <c r="BE278" s="140">
        <f t="shared" si="132"/>
        <v>1.5000000000000002E-6</v>
      </c>
      <c r="BF278" s="157">
        <f>IF(AY278&lt;$B$89*DATA!$H$1037,DATA!$H$1037,IF(AY278&gt;DATA!$H$1036*$B$89,DATA!$H$1036,1))</f>
        <v>1.2</v>
      </c>
      <c r="BG278" s="156">
        <f t="shared" si="133"/>
        <v>9.9999999999999995E-8</v>
      </c>
      <c r="BI278" s="140">
        <f t="shared" si="134"/>
        <v>3.0000000000000004E-5</v>
      </c>
      <c r="BJ278">
        <v>3</v>
      </c>
      <c r="BK278" s="140">
        <f t="shared" si="135"/>
        <v>2.9999999999999993E-7</v>
      </c>
      <c r="BL278" s="140">
        <f t="shared" si="136"/>
        <v>5.9999999999999997E-7</v>
      </c>
      <c r="BM278" s="140">
        <f t="shared" si="137"/>
        <v>9.0000000000000007E-7</v>
      </c>
      <c r="BN278" s="140">
        <f t="shared" si="138"/>
        <v>1.2000000000000002E-6</v>
      </c>
      <c r="BO278" s="140">
        <f t="shared" si="139"/>
        <v>1.5000000000000002E-6</v>
      </c>
      <c r="BP278" s="157">
        <f>IF(BI278&lt;$B$105*DATA!$H$1037,DATA!$H$1037,IF(BI278&gt;DATA!$H$1036*$B$105,DATA!$H$1036,1))</f>
        <v>1.2</v>
      </c>
      <c r="BQ278" s="156">
        <f t="shared" si="140"/>
        <v>9.9999999999999995E-8</v>
      </c>
    </row>
    <row r="279" spans="1:69">
      <c r="A279" s="140">
        <f t="shared" si="96"/>
        <v>3.0200000000000002E-5</v>
      </c>
      <c r="B279">
        <v>3.02</v>
      </c>
      <c r="C279" s="140">
        <f t="shared" si="97"/>
        <v>3.0199999999999992E-7</v>
      </c>
      <c r="D279" s="140">
        <f t="shared" si="97"/>
        <v>6.0399999999999996E-7</v>
      </c>
      <c r="E279" s="140">
        <f t="shared" si="97"/>
        <v>9.0599999999999999E-7</v>
      </c>
      <c r="F279" s="140">
        <f t="shared" si="97"/>
        <v>1.2080000000000001E-6</v>
      </c>
      <c r="G279" s="140">
        <f t="shared" si="97"/>
        <v>1.5100000000000002E-6</v>
      </c>
      <c r="H279" s="157">
        <f>IF(A279&lt;$B$9*DATA!$H$1037,DATA!$H$1037,IF(A279&gt;DATA!$H$1036*$B$9,DATA!$H$1036,1))</f>
        <v>0.8</v>
      </c>
      <c r="I279" s="156">
        <f t="shared" si="98"/>
        <v>9.9999999999999995E-8</v>
      </c>
      <c r="K279" s="140">
        <f t="shared" si="99"/>
        <v>3.0200000000000002E-5</v>
      </c>
      <c r="L279">
        <v>3.02</v>
      </c>
      <c r="M279" s="140">
        <f t="shared" si="100"/>
        <v>3.0199999999999992E-7</v>
      </c>
      <c r="N279" s="140">
        <f t="shared" si="101"/>
        <v>6.0399999999999996E-7</v>
      </c>
      <c r="O279" s="140">
        <f t="shared" si="102"/>
        <v>9.0599999999999999E-7</v>
      </c>
      <c r="P279" s="140">
        <f t="shared" si="103"/>
        <v>1.2080000000000001E-6</v>
      </c>
      <c r="Q279" s="140">
        <f t="shared" si="104"/>
        <v>1.5100000000000002E-6</v>
      </c>
      <c r="R279" s="157">
        <f>IF(K279&lt;$B$25*DATA!$H$1037,DATA!$H$1037,IF(K279&gt;DATA!$H$1036*$B$25,DATA!$H$1036,1))</f>
        <v>0.8</v>
      </c>
      <c r="S279" s="156">
        <f t="shared" si="105"/>
        <v>9.9999999999999995E-8</v>
      </c>
      <c r="U279" s="140">
        <f t="shared" si="106"/>
        <v>3.0200000000000002E-5</v>
      </c>
      <c r="V279">
        <v>3.02</v>
      </c>
      <c r="W279" s="140">
        <f t="shared" si="107"/>
        <v>3.0199999999999992E-7</v>
      </c>
      <c r="X279" s="140">
        <f t="shared" si="108"/>
        <v>6.0399999999999996E-7</v>
      </c>
      <c r="Y279" s="140">
        <f t="shared" si="109"/>
        <v>9.0599999999999999E-7</v>
      </c>
      <c r="Z279" s="140">
        <f t="shared" si="110"/>
        <v>1.2080000000000001E-6</v>
      </c>
      <c r="AA279" s="140">
        <f t="shared" si="111"/>
        <v>1.5100000000000002E-6</v>
      </c>
      <c r="AB279" s="157">
        <f>IF(U279&lt;$B$41*DATA!$H$1037,DATA!$H$1037,IF(U279&gt;DATA!$H$1036*$B$41,DATA!$H$1036,1))</f>
        <v>0.8</v>
      </c>
      <c r="AC279" s="156">
        <f t="shared" si="112"/>
        <v>9.9999999999999995E-8</v>
      </c>
      <c r="AE279" s="140">
        <f t="shared" si="113"/>
        <v>3.0200000000000002E-5</v>
      </c>
      <c r="AF279">
        <v>3.02</v>
      </c>
      <c r="AG279" s="140">
        <f t="shared" si="114"/>
        <v>3.0199999999999992E-7</v>
      </c>
      <c r="AH279" s="140">
        <f t="shared" si="115"/>
        <v>6.0399999999999996E-7</v>
      </c>
      <c r="AI279" s="140">
        <f t="shared" si="116"/>
        <v>9.0599999999999999E-7</v>
      </c>
      <c r="AJ279" s="140">
        <f t="shared" si="117"/>
        <v>1.2080000000000001E-6</v>
      </c>
      <c r="AK279" s="140">
        <f t="shared" si="118"/>
        <v>1.5100000000000002E-6</v>
      </c>
      <c r="AL279" s="157">
        <f>IF(AE279&lt;$B$57*DATA!$H$1037,DATA!$H$1037,IF(AE279&gt;DATA!$H$1036*$B$57,DATA!$H$1036,1))</f>
        <v>1.2</v>
      </c>
      <c r="AM279" s="156">
        <f t="shared" si="119"/>
        <v>9.9999999999999995E-8</v>
      </c>
      <c r="AO279" s="140">
        <f t="shared" si="120"/>
        <v>3.0200000000000002E-5</v>
      </c>
      <c r="AP279">
        <v>3.02</v>
      </c>
      <c r="AQ279" s="140">
        <f t="shared" si="121"/>
        <v>3.0199999999999992E-7</v>
      </c>
      <c r="AR279" s="140">
        <f t="shared" si="122"/>
        <v>6.0399999999999996E-7</v>
      </c>
      <c r="AS279" s="140">
        <f t="shared" si="123"/>
        <v>9.0599999999999999E-7</v>
      </c>
      <c r="AT279" s="140">
        <f t="shared" si="124"/>
        <v>1.2080000000000001E-6</v>
      </c>
      <c r="AU279" s="140">
        <f t="shared" si="125"/>
        <v>1.5100000000000002E-6</v>
      </c>
      <c r="AV279" s="157">
        <f>IF(AO279&lt;$B$73*DATA!$H$1037,DATA!$H$1037,IF(AO279&gt;DATA!$H$1036*$B$73,DATA!$H$1036,1))</f>
        <v>1.2</v>
      </c>
      <c r="AW279" s="156">
        <f t="shared" si="126"/>
        <v>9.9999999999999995E-8</v>
      </c>
      <c r="AY279" s="140">
        <f t="shared" si="127"/>
        <v>3.0200000000000002E-5</v>
      </c>
      <c r="AZ279">
        <v>3.02</v>
      </c>
      <c r="BA279" s="140">
        <f t="shared" si="128"/>
        <v>3.0199999999999992E-7</v>
      </c>
      <c r="BB279" s="140">
        <f t="shared" si="129"/>
        <v>6.0399999999999996E-7</v>
      </c>
      <c r="BC279" s="140">
        <f t="shared" si="130"/>
        <v>9.0599999999999999E-7</v>
      </c>
      <c r="BD279" s="140">
        <f t="shared" si="131"/>
        <v>1.2080000000000001E-6</v>
      </c>
      <c r="BE279" s="140">
        <f t="shared" si="132"/>
        <v>1.5100000000000002E-6</v>
      </c>
      <c r="BF279" s="157">
        <f>IF(AY279&lt;$B$89*DATA!$H$1037,DATA!$H$1037,IF(AY279&gt;DATA!$H$1036*$B$89,DATA!$H$1036,1))</f>
        <v>1.2</v>
      </c>
      <c r="BG279" s="156">
        <f t="shared" si="133"/>
        <v>9.9999999999999995E-8</v>
      </c>
      <c r="BI279" s="140">
        <f t="shared" si="134"/>
        <v>3.0200000000000002E-5</v>
      </c>
      <c r="BJ279">
        <v>3.02</v>
      </c>
      <c r="BK279" s="140">
        <f t="shared" si="135"/>
        <v>3.0199999999999992E-7</v>
      </c>
      <c r="BL279" s="140">
        <f t="shared" si="136"/>
        <v>6.0399999999999996E-7</v>
      </c>
      <c r="BM279" s="140">
        <f t="shared" si="137"/>
        <v>9.0599999999999999E-7</v>
      </c>
      <c r="BN279" s="140">
        <f t="shared" si="138"/>
        <v>1.2080000000000001E-6</v>
      </c>
      <c r="BO279" s="140">
        <f t="shared" si="139"/>
        <v>1.5100000000000002E-6</v>
      </c>
      <c r="BP279" s="157">
        <f>IF(BI279&lt;$B$105*DATA!$H$1037,DATA!$H$1037,IF(BI279&gt;DATA!$H$1036*$B$105,DATA!$H$1036,1))</f>
        <v>1.2</v>
      </c>
      <c r="BQ279" s="156">
        <f t="shared" si="140"/>
        <v>9.9999999999999995E-8</v>
      </c>
    </row>
    <row r="280" spans="1:69">
      <c r="A280" s="140">
        <f t="shared" si="96"/>
        <v>3.0400000000000004E-5</v>
      </c>
      <c r="B280">
        <v>3.04</v>
      </c>
      <c r="C280" s="140">
        <f t="shared" si="97"/>
        <v>3.0399999999999992E-7</v>
      </c>
      <c r="D280" s="140">
        <f t="shared" si="97"/>
        <v>6.0799999999999994E-7</v>
      </c>
      <c r="E280" s="140">
        <f t="shared" si="97"/>
        <v>9.1200000000000012E-7</v>
      </c>
      <c r="F280" s="140">
        <f t="shared" si="97"/>
        <v>1.2160000000000001E-6</v>
      </c>
      <c r="G280" s="140">
        <f t="shared" si="97"/>
        <v>1.5200000000000003E-6</v>
      </c>
      <c r="H280" s="157">
        <f>IF(A280&lt;$B$9*DATA!$H$1037,DATA!$H$1037,IF(A280&gt;DATA!$H$1036*$B$9,DATA!$H$1036,1))</f>
        <v>0.8</v>
      </c>
      <c r="I280" s="156">
        <f t="shared" si="98"/>
        <v>9.9999999999999995E-8</v>
      </c>
      <c r="K280" s="140">
        <f t="shared" si="99"/>
        <v>3.0400000000000004E-5</v>
      </c>
      <c r="L280">
        <v>3.04</v>
      </c>
      <c r="M280" s="140">
        <f t="shared" si="100"/>
        <v>3.0399999999999992E-7</v>
      </c>
      <c r="N280" s="140">
        <f t="shared" si="101"/>
        <v>6.0799999999999994E-7</v>
      </c>
      <c r="O280" s="140">
        <f t="shared" si="102"/>
        <v>9.1200000000000012E-7</v>
      </c>
      <c r="P280" s="140">
        <f t="shared" si="103"/>
        <v>1.2160000000000001E-6</v>
      </c>
      <c r="Q280" s="140">
        <f t="shared" si="104"/>
        <v>1.5200000000000003E-6</v>
      </c>
      <c r="R280" s="157">
        <f>IF(K280&lt;$B$25*DATA!$H$1037,DATA!$H$1037,IF(K280&gt;DATA!$H$1036*$B$25,DATA!$H$1036,1))</f>
        <v>0.8</v>
      </c>
      <c r="S280" s="156">
        <f t="shared" si="105"/>
        <v>9.9999999999999995E-8</v>
      </c>
      <c r="U280" s="140">
        <f t="shared" si="106"/>
        <v>3.0400000000000004E-5</v>
      </c>
      <c r="V280">
        <v>3.04</v>
      </c>
      <c r="W280" s="140">
        <f t="shared" si="107"/>
        <v>3.0399999999999992E-7</v>
      </c>
      <c r="X280" s="140">
        <f t="shared" si="108"/>
        <v>6.0799999999999994E-7</v>
      </c>
      <c r="Y280" s="140">
        <f t="shared" si="109"/>
        <v>9.1200000000000012E-7</v>
      </c>
      <c r="Z280" s="140">
        <f t="shared" si="110"/>
        <v>1.2160000000000001E-6</v>
      </c>
      <c r="AA280" s="140">
        <f t="shared" si="111"/>
        <v>1.5200000000000003E-6</v>
      </c>
      <c r="AB280" s="157">
        <f>IF(U280&lt;$B$41*DATA!$H$1037,DATA!$H$1037,IF(U280&gt;DATA!$H$1036*$B$41,DATA!$H$1036,1))</f>
        <v>0.8</v>
      </c>
      <c r="AC280" s="156">
        <f t="shared" si="112"/>
        <v>9.9999999999999995E-8</v>
      </c>
      <c r="AE280" s="140">
        <f t="shared" si="113"/>
        <v>3.0400000000000004E-5</v>
      </c>
      <c r="AF280">
        <v>3.04</v>
      </c>
      <c r="AG280" s="140">
        <f t="shared" si="114"/>
        <v>3.0399999999999992E-7</v>
      </c>
      <c r="AH280" s="140">
        <f t="shared" si="115"/>
        <v>6.0799999999999994E-7</v>
      </c>
      <c r="AI280" s="140">
        <f t="shared" si="116"/>
        <v>9.1200000000000012E-7</v>
      </c>
      <c r="AJ280" s="140">
        <f t="shared" si="117"/>
        <v>1.2160000000000001E-6</v>
      </c>
      <c r="AK280" s="140">
        <f t="shared" si="118"/>
        <v>1.5200000000000003E-6</v>
      </c>
      <c r="AL280" s="157">
        <f>IF(AE280&lt;$B$57*DATA!$H$1037,DATA!$H$1037,IF(AE280&gt;DATA!$H$1036*$B$57,DATA!$H$1036,1))</f>
        <v>1.2</v>
      </c>
      <c r="AM280" s="156">
        <f t="shared" si="119"/>
        <v>9.9999999999999995E-8</v>
      </c>
      <c r="AO280" s="140">
        <f t="shared" si="120"/>
        <v>3.0400000000000004E-5</v>
      </c>
      <c r="AP280">
        <v>3.04</v>
      </c>
      <c r="AQ280" s="140">
        <f t="shared" si="121"/>
        <v>3.0399999999999992E-7</v>
      </c>
      <c r="AR280" s="140">
        <f t="shared" si="122"/>
        <v>6.0799999999999994E-7</v>
      </c>
      <c r="AS280" s="140">
        <f t="shared" si="123"/>
        <v>9.1200000000000012E-7</v>
      </c>
      <c r="AT280" s="140">
        <f t="shared" si="124"/>
        <v>1.2160000000000001E-6</v>
      </c>
      <c r="AU280" s="140">
        <f t="shared" si="125"/>
        <v>1.5200000000000003E-6</v>
      </c>
      <c r="AV280" s="157">
        <f>IF(AO280&lt;$B$73*DATA!$H$1037,DATA!$H$1037,IF(AO280&gt;DATA!$H$1036*$B$73,DATA!$H$1036,1))</f>
        <v>1.2</v>
      </c>
      <c r="AW280" s="156">
        <f t="shared" si="126"/>
        <v>9.9999999999999995E-8</v>
      </c>
      <c r="AY280" s="140">
        <f t="shared" si="127"/>
        <v>3.0400000000000004E-5</v>
      </c>
      <c r="AZ280">
        <v>3.04</v>
      </c>
      <c r="BA280" s="140">
        <f t="shared" si="128"/>
        <v>3.0399999999999992E-7</v>
      </c>
      <c r="BB280" s="140">
        <f t="shared" si="129"/>
        <v>6.0799999999999994E-7</v>
      </c>
      <c r="BC280" s="140">
        <f t="shared" si="130"/>
        <v>9.1200000000000012E-7</v>
      </c>
      <c r="BD280" s="140">
        <f t="shared" si="131"/>
        <v>1.2160000000000001E-6</v>
      </c>
      <c r="BE280" s="140">
        <f t="shared" si="132"/>
        <v>1.5200000000000003E-6</v>
      </c>
      <c r="BF280" s="157">
        <f>IF(AY280&lt;$B$89*DATA!$H$1037,DATA!$H$1037,IF(AY280&gt;DATA!$H$1036*$B$89,DATA!$H$1036,1))</f>
        <v>1.2</v>
      </c>
      <c r="BG280" s="156">
        <f t="shared" si="133"/>
        <v>9.9999999999999995E-8</v>
      </c>
      <c r="BI280" s="140">
        <f t="shared" si="134"/>
        <v>3.0400000000000004E-5</v>
      </c>
      <c r="BJ280">
        <v>3.04</v>
      </c>
      <c r="BK280" s="140">
        <f t="shared" si="135"/>
        <v>3.0399999999999992E-7</v>
      </c>
      <c r="BL280" s="140">
        <f t="shared" si="136"/>
        <v>6.0799999999999994E-7</v>
      </c>
      <c r="BM280" s="140">
        <f t="shared" si="137"/>
        <v>9.1200000000000012E-7</v>
      </c>
      <c r="BN280" s="140">
        <f t="shared" si="138"/>
        <v>1.2160000000000001E-6</v>
      </c>
      <c r="BO280" s="140">
        <f t="shared" si="139"/>
        <v>1.5200000000000003E-6</v>
      </c>
      <c r="BP280" s="157">
        <f>IF(BI280&lt;$B$105*DATA!$H$1037,DATA!$H$1037,IF(BI280&gt;DATA!$H$1036*$B$105,DATA!$H$1036,1))</f>
        <v>1.2</v>
      </c>
      <c r="BQ280" s="156">
        <f t="shared" si="140"/>
        <v>9.9999999999999995E-8</v>
      </c>
    </row>
    <row r="281" spans="1:69">
      <c r="A281" s="140">
        <f t="shared" si="96"/>
        <v>3.0600000000000005E-5</v>
      </c>
      <c r="B281">
        <v>3.06</v>
      </c>
      <c r="C281" s="140">
        <f t="shared" si="97"/>
        <v>3.0599999999999996E-7</v>
      </c>
      <c r="D281" s="140">
        <f t="shared" si="97"/>
        <v>6.1200000000000003E-7</v>
      </c>
      <c r="E281" s="140">
        <f t="shared" si="97"/>
        <v>9.1800000000000015E-7</v>
      </c>
      <c r="F281" s="140">
        <f t="shared" si="97"/>
        <v>1.2240000000000003E-6</v>
      </c>
      <c r="G281" s="140">
        <f t="shared" si="97"/>
        <v>1.5300000000000004E-6</v>
      </c>
      <c r="H281" s="157">
        <f>IF(A281&lt;$B$9*DATA!$H$1037,DATA!$H$1037,IF(A281&gt;DATA!$H$1036*$B$9,DATA!$H$1036,1))</f>
        <v>0.8</v>
      </c>
      <c r="I281" s="156">
        <f t="shared" si="98"/>
        <v>9.9999999999999995E-8</v>
      </c>
      <c r="K281" s="140">
        <f t="shared" si="99"/>
        <v>3.0600000000000005E-5</v>
      </c>
      <c r="L281">
        <v>3.06</v>
      </c>
      <c r="M281" s="140">
        <f t="shared" si="100"/>
        <v>3.0599999999999996E-7</v>
      </c>
      <c r="N281" s="140">
        <f t="shared" si="101"/>
        <v>6.1200000000000003E-7</v>
      </c>
      <c r="O281" s="140">
        <f t="shared" si="102"/>
        <v>9.1800000000000015E-7</v>
      </c>
      <c r="P281" s="140">
        <f t="shared" si="103"/>
        <v>1.2240000000000003E-6</v>
      </c>
      <c r="Q281" s="140">
        <f t="shared" si="104"/>
        <v>1.5300000000000004E-6</v>
      </c>
      <c r="R281" s="157">
        <f>IF(K281&lt;$B$25*DATA!$H$1037,DATA!$H$1037,IF(K281&gt;DATA!$H$1036*$B$25,DATA!$H$1036,1))</f>
        <v>0.8</v>
      </c>
      <c r="S281" s="156">
        <f t="shared" si="105"/>
        <v>9.9999999999999995E-8</v>
      </c>
      <c r="U281" s="140">
        <f t="shared" si="106"/>
        <v>3.0600000000000005E-5</v>
      </c>
      <c r="V281">
        <v>3.06</v>
      </c>
      <c r="W281" s="140">
        <f t="shared" si="107"/>
        <v>3.0599999999999996E-7</v>
      </c>
      <c r="X281" s="140">
        <f t="shared" si="108"/>
        <v>6.1200000000000003E-7</v>
      </c>
      <c r="Y281" s="140">
        <f t="shared" si="109"/>
        <v>9.1800000000000015E-7</v>
      </c>
      <c r="Z281" s="140">
        <f t="shared" si="110"/>
        <v>1.2240000000000003E-6</v>
      </c>
      <c r="AA281" s="140">
        <f t="shared" si="111"/>
        <v>1.5300000000000004E-6</v>
      </c>
      <c r="AB281" s="157">
        <f>IF(U281&lt;$B$41*DATA!$H$1037,DATA!$H$1037,IF(U281&gt;DATA!$H$1036*$B$41,DATA!$H$1036,1))</f>
        <v>0.8</v>
      </c>
      <c r="AC281" s="156">
        <f t="shared" si="112"/>
        <v>9.9999999999999995E-8</v>
      </c>
      <c r="AE281" s="140">
        <f t="shared" si="113"/>
        <v>3.0600000000000005E-5</v>
      </c>
      <c r="AF281">
        <v>3.06</v>
      </c>
      <c r="AG281" s="140">
        <f t="shared" si="114"/>
        <v>3.0599999999999996E-7</v>
      </c>
      <c r="AH281" s="140">
        <f t="shared" si="115"/>
        <v>6.1200000000000003E-7</v>
      </c>
      <c r="AI281" s="140">
        <f t="shared" si="116"/>
        <v>9.1800000000000015E-7</v>
      </c>
      <c r="AJ281" s="140">
        <f t="shared" si="117"/>
        <v>1.2240000000000003E-6</v>
      </c>
      <c r="AK281" s="140">
        <f t="shared" si="118"/>
        <v>1.5300000000000004E-6</v>
      </c>
      <c r="AL281" s="157">
        <f>IF(AE281&lt;$B$57*DATA!$H$1037,DATA!$H$1037,IF(AE281&gt;DATA!$H$1036*$B$57,DATA!$H$1036,1))</f>
        <v>1.2</v>
      </c>
      <c r="AM281" s="156">
        <f t="shared" si="119"/>
        <v>9.9999999999999995E-8</v>
      </c>
      <c r="AO281" s="140">
        <f t="shared" si="120"/>
        <v>3.0600000000000005E-5</v>
      </c>
      <c r="AP281">
        <v>3.06</v>
      </c>
      <c r="AQ281" s="140">
        <f t="shared" si="121"/>
        <v>3.0599999999999996E-7</v>
      </c>
      <c r="AR281" s="140">
        <f t="shared" si="122"/>
        <v>6.1200000000000003E-7</v>
      </c>
      <c r="AS281" s="140">
        <f t="shared" si="123"/>
        <v>9.1800000000000015E-7</v>
      </c>
      <c r="AT281" s="140">
        <f t="shared" si="124"/>
        <v>1.2240000000000003E-6</v>
      </c>
      <c r="AU281" s="140">
        <f t="shared" si="125"/>
        <v>1.5300000000000004E-6</v>
      </c>
      <c r="AV281" s="157">
        <f>IF(AO281&lt;$B$73*DATA!$H$1037,DATA!$H$1037,IF(AO281&gt;DATA!$H$1036*$B$73,DATA!$H$1036,1))</f>
        <v>1.2</v>
      </c>
      <c r="AW281" s="156">
        <f t="shared" si="126"/>
        <v>9.9999999999999995E-8</v>
      </c>
      <c r="AY281" s="140">
        <f t="shared" si="127"/>
        <v>3.0600000000000005E-5</v>
      </c>
      <c r="AZ281">
        <v>3.06</v>
      </c>
      <c r="BA281" s="140">
        <f t="shared" si="128"/>
        <v>3.0599999999999996E-7</v>
      </c>
      <c r="BB281" s="140">
        <f t="shared" si="129"/>
        <v>6.1200000000000003E-7</v>
      </c>
      <c r="BC281" s="140">
        <f t="shared" si="130"/>
        <v>9.1800000000000015E-7</v>
      </c>
      <c r="BD281" s="140">
        <f t="shared" si="131"/>
        <v>1.2240000000000003E-6</v>
      </c>
      <c r="BE281" s="140">
        <f t="shared" si="132"/>
        <v>1.5300000000000004E-6</v>
      </c>
      <c r="BF281" s="157">
        <f>IF(AY281&lt;$B$89*DATA!$H$1037,DATA!$H$1037,IF(AY281&gt;DATA!$H$1036*$B$89,DATA!$H$1036,1))</f>
        <v>1.2</v>
      </c>
      <c r="BG281" s="156">
        <f t="shared" si="133"/>
        <v>9.9999999999999995E-8</v>
      </c>
      <c r="BI281" s="140">
        <f t="shared" si="134"/>
        <v>3.0600000000000005E-5</v>
      </c>
      <c r="BJ281">
        <v>3.06</v>
      </c>
      <c r="BK281" s="140">
        <f t="shared" si="135"/>
        <v>3.0599999999999996E-7</v>
      </c>
      <c r="BL281" s="140">
        <f t="shared" si="136"/>
        <v>6.1200000000000003E-7</v>
      </c>
      <c r="BM281" s="140">
        <f t="shared" si="137"/>
        <v>9.1800000000000015E-7</v>
      </c>
      <c r="BN281" s="140">
        <f t="shared" si="138"/>
        <v>1.2240000000000003E-6</v>
      </c>
      <c r="BO281" s="140">
        <f t="shared" si="139"/>
        <v>1.5300000000000004E-6</v>
      </c>
      <c r="BP281" s="157">
        <f>IF(BI281&lt;$B$105*DATA!$H$1037,DATA!$H$1037,IF(BI281&gt;DATA!$H$1036*$B$105,DATA!$H$1036,1))</f>
        <v>1.2</v>
      </c>
      <c r="BQ281" s="156">
        <f t="shared" si="140"/>
        <v>9.9999999999999995E-8</v>
      </c>
    </row>
    <row r="282" spans="1:69">
      <c r="A282" s="140">
        <f t="shared" si="96"/>
        <v>3.0800000000000003E-5</v>
      </c>
      <c r="B282">
        <v>3.08</v>
      </c>
      <c r="C282" s="140">
        <f t="shared" si="97"/>
        <v>3.0799999999999995E-7</v>
      </c>
      <c r="D282" s="140">
        <f t="shared" si="97"/>
        <v>6.1600000000000001E-7</v>
      </c>
      <c r="E282" s="140">
        <f t="shared" si="97"/>
        <v>9.2400000000000007E-7</v>
      </c>
      <c r="F282" s="140">
        <f t="shared" si="97"/>
        <v>1.2320000000000002E-6</v>
      </c>
      <c r="G282" s="140">
        <f t="shared" si="97"/>
        <v>1.5400000000000003E-6</v>
      </c>
      <c r="H282" s="157">
        <f>IF(A282&lt;$B$9*DATA!$H$1037,DATA!$H$1037,IF(A282&gt;DATA!$H$1036*$B$9,DATA!$H$1036,1))</f>
        <v>0.8</v>
      </c>
      <c r="I282" s="156">
        <f t="shared" si="98"/>
        <v>9.9999999999999995E-8</v>
      </c>
      <c r="K282" s="140">
        <f t="shared" si="99"/>
        <v>3.0800000000000003E-5</v>
      </c>
      <c r="L282">
        <v>3.08</v>
      </c>
      <c r="M282" s="140">
        <f t="shared" si="100"/>
        <v>3.0799999999999995E-7</v>
      </c>
      <c r="N282" s="140">
        <f t="shared" si="101"/>
        <v>6.1600000000000001E-7</v>
      </c>
      <c r="O282" s="140">
        <f t="shared" si="102"/>
        <v>9.2400000000000007E-7</v>
      </c>
      <c r="P282" s="140">
        <f t="shared" si="103"/>
        <v>1.2320000000000002E-6</v>
      </c>
      <c r="Q282" s="140">
        <f t="shared" si="104"/>
        <v>1.5400000000000003E-6</v>
      </c>
      <c r="R282" s="157">
        <f>IF(K282&lt;$B$25*DATA!$H$1037,DATA!$H$1037,IF(K282&gt;DATA!$H$1036*$B$25,DATA!$H$1036,1))</f>
        <v>0.8</v>
      </c>
      <c r="S282" s="156">
        <f t="shared" si="105"/>
        <v>9.9999999999999995E-8</v>
      </c>
      <c r="U282" s="140">
        <f t="shared" si="106"/>
        <v>3.0800000000000003E-5</v>
      </c>
      <c r="V282">
        <v>3.08</v>
      </c>
      <c r="W282" s="140">
        <f t="shared" si="107"/>
        <v>3.0799999999999995E-7</v>
      </c>
      <c r="X282" s="140">
        <f t="shared" si="108"/>
        <v>6.1600000000000001E-7</v>
      </c>
      <c r="Y282" s="140">
        <f t="shared" si="109"/>
        <v>9.2400000000000007E-7</v>
      </c>
      <c r="Z282" s="140">
        <f t="shared" si="110"/>
        <v>1.2320000000000002E-6</v>
      </c>
      <c r="AA282" s="140">
        <f t="shared" si="111"/>
        <v>1.5400000000000003E-6</v>
      </c>
      <c r="AB282" s="157">
        <f>IF(U282&lt;$B$41*DATA!$H$1037,DATA!$H$1037,IF(U282&gt;DATA!$H$1036*$B$41,DATA!$H$1036,1))</f>
        <v>0.8</v>
      </c>
      <c r="AC282" s="156">
        <f t="shared" si="112"/>
        <v>9.9999999999999995E-8</v>
      </c>
      <c r="AE282" s="140">
        <f t="shared" si="113"/>
        <v>3.0800000000000003E-5</v>
      </c>
      <c r="AF282">
        <v>3.08</v>
      </c>
      <c r="AG282" s="140">
        <f t="shared" si="114"/>
        <v>3.0799999999999995E-7</v>
      </c>
      <c r="AH282" s="140">
        <f t="shared" si="115"/>
        <v>6.1600000000000001E-7</v>
      </c>
      <c r="AI282" s="140">
        <f t="shared" si="116"/>
        <v>9.2400000000000007E-7</v>
      </c>
      <c r="AJ282" s="140">
        <f t="shared" si="117"/>
        <v>1.2320000000000002E-6</v>
      </c>
      <c r="AK282" s="140">
        <f t="shared" si="118"/>
        <v>1.5400000000000003E-6</v>
      </c>
      <c r="AL282" s="157">
        <f>IF(AE282&lt;$B$57*DATA!$H$1037,DATA!$H$1037,IF(AE282&gt;DATA!$H$1036*$B$57,DATA!$H$1036,1))</f>
        <v>1.2</v>
      </c>
      <c r="AM282" s="156">
        <f t="shared" si="119"/>
        <v>9.9999999999999995E-8</v>
      </c>
      <c r="AO282" s="140">
        <f t="shared" si="120"/>
        <v>3.0800000000000003E-5</v>
      </c>
      <c r="AP282">
        <v>3.08</v>
      </c>
      <c r="AQ282" s="140">
        <f t="shared" si="121"/>
        <v>3.0799999999999995E-7</v>
      </c>
      <c r="AR282" s="140">
        <f t="shared" si="122"/>
        <v>6.1600000000000001E-7</v>
      </c>
      <c r="AS282" s="140">
        <f t="shared" si="123"/>
        <v>9.2400000000000007E-7</v>
      </c>
      <c r="AT282" s="140">
        <f t="shared" si="124"/>
        <v>1.2320000000000002E-6</v>
      </c>
      <c r="AU282" s="140">
        <f t="shared" si="125"/>
        <v>1.5400000000000003E-6</v>
      </c>
      <c r="AV282" s="157">
        <f>IF(AO282&lt;$B$73*DATA!$H$1037,DATA!$H$1037,IF(AO282&gt;DATA!$H$1036*$B$73,DATA!$H$1036,1))</f>
        <v>1.2</v>
      </c>
      <c r="AW282" s="156">
        <f t="shared" si="126"/>
        <v>9.9999999999999995E-8</v>
      </c>
      <c r="AY282" s="140">
        <f t="shared" si="127"/>
        <v>3.0800000000000003E-5</v>
      </c>
      <c r="AZ282">
        <v>3.08</v>
      </c>
      <c r="BA282" s="140">
        <f t="shared" si="128"/>
        <v>3.0799999999999995E-7</v>
      </c>
      <c r="BB282" s="140">
        <f t="shared" si="129"/>
        <v>6.1600000000000001E-7</v>
      </c>
      <c r="BC282" s="140">
        <f t="shared" si="130"/>
        <v>9.2400000000000007E-7</v>
      </c>
      <c r="BD282" s="140">
        <f t="shared" si="131"/>
        <v>1.2320000000000002E-6</v>
      </c>
      <c r="BE282" s="140">
        <f t="shared" si="132"/>
        <v>1.5400000000000003E-6</v>
      </c>
      <c r="BF282" s="157">
        <f>IF(AY282&lt;$B$89*DATA!$H$1037,DATA!$H$1037,IF(AY282&gt;DATA!$H$1036*$B$89,DATA!$H$1036,1))</f>
        <v>1.2</v>
      </c>
      <c r="BG282" s="156">
        <f t="shared" si="133"/>
        <v>9.9999999999999995E-8</v>
      </c>
      <c r="BI282" s="140">
        <f t="shared" si="134"/>
        <v>3.0800000000000003E-5</v>
      </c>
      <c r="BJ282">
        <v>3.08</v>
      </c>
      <c r="BK282" s="140">
        <f t="shared" si="135"/>
        <v>3.0799999999999995E-7</v>
      </c>
      <c r="BL282" s="140">
        <f t="shared" si="136"/>
        <v>6.1600000000000001E-7</v>
      </c>
      <c r="BM282" s="140">
        <f t="shared" si="137"/>
        <v>9.2400000000000007E-7</v>
      </c>
      <c r="BN282" s="140">
        <f t="shared" si="138"/>
        <v>1.2320000000000002E-6</v>
      </c>
      <c r="BO282" s="140">
        <f t="shared" si="139"/>
        <v>1.5400000000000003E-6</v>
      </c>
      <c r="BP282" s="157">
        <f>IF(BI282&lt;$B$105*DATA!$H$1037,DATA!$H$1037,IF(BI282&gt;DATA!$H$1036*$B$105,DATA!$H$1036,1))</f>
        <v>1.2</v>
      </c>
      <c r="BQ282" s="156">
        <f t="shared" si="140"/>
        <v>9.9999999999999995E-8</v>
      </c>
    </row>
    <row r="283" spans="1:69">
      <c r="A283" s="140">
        <f t="shared" si="96"/>
        <v>3.1000000000000001E-5</v>
      </c>
      <c r="B283">
        <v>3.1</v>
      </c>
      <c r="C283" s="140">
        <f t="shared" si="97"/>
        <v>3.0999999999999989E-7</v>
      </c>
      <c r="D283" s="140">
        <f t="shared" si="97"/>
        <v>6.1999999999999989E-7</v>
      </c>
      <c r="E283" s="140">
        <f t="shared" si="97"/>
        <v>9.2999999999999999E-7</v>
      </c>
      <c r="F283" s="140">
        <f t="shared" si="97"/>
        <v>1.24E-6</v>
      </c>
      <c r="G283" s="140">
        <f t="shared" si="97"/>
        <v>1.5500000000000002E-6</v>
      </c>
      <c r="H283" s="157">
        <f>IF(A283&lt;$B$9*DATA!$H$1037,DATA!$H$1037,IF(A283&gt;DATA!$H$1036*$B$9,DATA!$H$1036,1))</f>
        <v>0.8</v>
      </c>
      <c r="I283" s="156">
        <f t="shared" si="98"/>
        <v>9.9999999999999995E-8</v>
      </c>
      <c r="K283" s="140">
        <f t="shared" si="99"/>
        <v>3.1000000000000001E-5</v>
      </c>
      <c r="L283">
        <v>3.1</v>
      </c>
      <c r="M283" s="140">
        <f t="shared" si="100"/>
        <v>3.0999999999999989E-7</v>
      </c>
      <c r="N283" s="140">
        <f t="shared" si="101"/>
        <v>6.1999999999999989E-7</v>
      </c>
      <c r="O283" s="140">
        <f t="shared" si="102"/>
        <v>9.2999999999999999E-7</v>
      </c>
      <c r="P283" s="140">
        <f t="shared" si="103"/>
        <v>1.24E-6</v>
      </c>
      <c r="Q283" s="140">
        <f t="shared" si="104"/>
        <v>1.5500000000000002E-6</v>
      </c>
      <c r="R283" s="157">
        <f>IF(K283&lt;$B$25*DATA!$H$1037,DATA!$H$1037,IF(K283&gt;DATA!$H$1036*$B$25,DATA!$H$1036,1))</f>
        <v>0.8</v>
      </c>
      <c r="S283" s="156">
        <f t="shared" si="105"/>
        <v>9.9999999999999995E-8</v>
      </c>
      <c r="U283" s="140">
        <f t="shared" si="106"/>
        <v>3.1000000000000001E-5</v>
      </c>
      <c r="V283">
        <v>3.1</v>
      </c>
      <c r="W283" s="140">
        <f t="shared" si="107"/>
        <v>3.0999999999999989E-7</v>
      </c>
      <c r="X283" s="140">
        <f t="shared" si="108"/>
        <v>6.1999999999999989E-7</v>
      </c>
      <c r="Y283" s="140">
        <f t="shared" si="109"/>
        <v>9.2999999999999999E-7</v>
      </c>
      <c r="Z283" s="140">
        <f t="shared" si="110"/>
        <v>1.24E-6</v>
      </c>
      <c r="AA283" s="140">
        <f t="shared" si="111"/>
        <v>1.5500000000000002E-6</v>
      </c>
      <c r="AB283" s="157">
        <f>IF(U283&lt;$B$41*DATA!$H$1037,DATA!$H$1037,IF(U283&gt;DATA!$H$1036*$B$41,DATA!$H$1036,1))</f>
        <v>0.8</v>
      </c>
      <c r="AC283" s="156">
        <f t="shared" si="112"/>
        <v>9.9999999999999995E-8</v>
      </c>
      <c r="AE283" s="140">
        <f t="shared" si="113"/>
        <v>3.1000000000000001E-5</v>
      </c>
      <c r="AF283">
        <v>3.1</v>
      </c>
      <c r="AG283" s="140">
        <f t="shared" si="114"/>
        <v>3.0999999999999989E-7</v>
      </c>
      <c r="AH283" s="140">
        <f t="shared" si="115"/>
        <v>6.1999999999999989E-7</v>
      </c>
      <c r="AI283" s="140">
        <f t="shared" si="116"/>
        <v>9.2999999999999999E-7</v>
      </c>
      <c r="AJ283" s="140">
        <f t="shared" si="117"/>
        <v>1.24E-6</v>
      </c>
      <c r="AK283" s="140">
        <f t="shared" si="118"/>
        <v>1.5500000000000002E-6</v>
      </c>
      <c r="AL283" s="157">
        <f>IF(AE283&lt;$B$57*DATA!$H$1037,DATA!$H$1037,IF(AE283&gt;DATA!$H$1036*$B$57,DATA!$H$1036,1))</f>
        <v>1.2</v>
      </c>
      <c r="AM283" s="156">
        <f t="shared" si="119"/>
        <v>9.9999999999999995E-8</v>
      </c>
      <c r="AO283" s="140">
        <f t="shared" si="120"/>
        <v>3.1000000000000001E-5</v>
      </c>
      <c r="AP283">
        <v>3.1</v>
      </c>
      <c r="AQ283" s="140">
        <f t="shared" si="121"/>
        <v>3.0999999999999989E-7</v>
      </c>
      <c r="AR283" s="140">
        <f t="shared" si="122"/>
        <v>6.1999999999999989E-7</v>
      </c>
      <c r="AS283" s="140">
        <f t="shared" si="123"/>
        <v>9.2999999999999999E-7</v>
      </c>
      <c r="AT283" s="140">
        <f t="shared" si="124"/>
        <v>1.24E-6</v>
      </c>
      <c r="AU283" s="140">
        <f t="shared" si="125"/>
        <v>1.5500000000000002E-6</v>
      </c>
      <c r="AV283" s="157">
        <f>IF(AO283&lt;$B$73*DATA!$H$1037,DATA!$H$1037,IF(AO283&gt;DATA!$H$1036*$B$73,DATA!$H$1036,1))</f>
        <v>1.2</v>
      </c>
      <c r="AW283" s="156">
        <f t="shared" si="126"/>
        <v>9.9999999999999995E-8</v>
      </c>
      <c r="AY283" s="140">
        <f t="shared" si="127"/>
        <v>3.1000000000000001E-5</v>
      </c>
      <c r="AZ283">
        <v>3.1</v>
      </c>
      <c r="BA283" s="140">
        <f t="shared" si="128"/>
        <v>3.0999999999999989E-7</v>
      </c>
      <c r="BB283" s="140">
        <f t="shared" si="129"/>
        <v>6.1999999999999989E-7</v>
      </c>
      <c r="BC283" s="140">
        <f t="shared" si="130"/>
        <v>9.2999999999999999E-7</v>
      </c>
      <c r="BD283" s="140">
        <f t="shared" si="131"/>
        <v>1.24E-6</v>
      </c>
      <c r="BE283" s="140">
        <f t="shared" si="132"/>
        <v>1.5500000000000002E-6</v>
      </c>
      <c r="BF283" s="157">
        <f>IF(AY283&lt;$B$89*DATA!$H$1037,DATA!$H$1037,IF(AY283&gt;DATA!$H$1036*$B$89,DATA!$H$1036,1))</f>
        <v>1.2</v>
      </c>
      <c r="BG283" s="156">
        <f t="shared" si="133"/>
        <v>9.9999999999999995E-8</v>
      </c>
      <c r="BI283" s="140">
        <f t="shared" si="134"/>
        <v>3.1000000000000001E-5</v>
      </c>
      <c r="BJ283">
        <v>3.1</v>
      </c>
      <c r="BK283" s="140">
        <f t="shared" si="135"/>
        <v>3.0999999999999989E-7</v>
      </c>
      <c r="BL283" s="140">
        <f t="shared" si="136"/>
        <v>6.1999999999999989E-7</v>
      </c>
      <c r="BM283" s="140">
        <f t="shared" si="137"/>
        <v>9.2999999999999999E-7</v>
      </c>
      <c r="BN283" s="140">
        <f t="shared" si="138"/>
        <v>1.24E-6</v>
      </c>
      <c r="BO283" s="140">
        <f t="shared" si="139"/>
        <v>1.5500000000000002E-6</v>
      </c>
      <c r="BP283" s="157">
        <f>IF(BI283&lt;$B$105*DATA!$H$1037,DATA!$H$1037,IF(BI283&gt;DATA!$H$1036*$B$105,DATA!$H$1036,1))</f>
        <v>1.2</v>
      </c>
      <c r="BQ283" s="156">
        <f t="shared" si="140"/>
        <v>9.9999999999999995E-8</v>
      </c>
    </row>
    <row r="284" spans="1:69">
      <c r="A284" s="140">
        <f t="shared" si="96"/>
        <v>3.1200000000000006E-5</v>
      </c>
      <c r="B284">
        <v>3.12</v>
      </c>
      <c r="C284" s="140">
        <f t="shared" si="97"/>
        <v>3.1199999999999994E-7</v>
      </c>
      <c r="D284" s="140">
        <f t="shared" si="97"/>
        <v>6.2400000000000008E-7</v>
      </c>
      <c r="E284" s="140">
        <f t="shared" si="97"/>
        <v>9.3600000000000012E-7</v>
      </c>
      <c r="F284" s="140">
        <f t="shared" si="97"/>
        <v>1.2480000000000004E-6</v>
      </c>
      <c r="G284" s="140">
        <f t="shared" si="97"/>
        <v>1.5600000000000003E-6</v>
      </c>
      <c r="H284" s="157">
        <f>IF(A284&lt;$B$9*DATA!$H$1037,DATA!$H$1037,IF(A284&gt;DATA!$H$1036*$B$9,DATA!$H$1036,1))</f>
        <v>0.8</v>
      </c>
      <c r="I284" s="156">
        <f t="shared" si="98"/>
        <v>9.9999999999999995E-8</v>
      </c>
      <c r="K284" s="140">
        <f t="shared" si="99"/>
        <v>3.1200000000000006E-5</v>
      </c>
      <c r="L284">
        <v>3.12</v>
      </c>
      <c r="M284" s="140">
        <f t="shared" si="100"/>
        <v>3.1199999999999994E-7</v>
      </c>
      <c r="N284" s="140">
        <f t="shared" si="101"/>
        <v>6.2400000000000008E-7</v>
      </c>
      <c r="O284" s="140">
        <f t="shared" si="102"/>
        <v>9.3600000000000012E-7</v>
      </c>
      <c r="P284" s="140">
        <f t="shared" si="103"/>
        <v>1.2480000000000004E-6</v>
      </c>
      <c r="Q284" s="140">
        <f t="shared" si="104"/>
        <v>1.5600000000000003E-6</v>
      </c>
      <c r="R284" s="157">
        <f>IF(K284&lt;$B$25*DATA!$H$1037,DATA!$H$1037,IF(K284&gt;DATA!$H$1036*$B$25,DATA!$H$1036,1))</f>
        <v>0.8</v>
      </c>
      <c r="S284" s="156">
        <f t="shared" si="105"/>
        <v>9.9999999999999995E-8</v>
      </c>
      <c r="U284" s="140">
        <f t="shared" si="106"/>
        <v>3.1200000000000006E-5</v>
      </c>
      <c r="V284">
        <v>3.12</v>
      </c>
      <c r="W284" s="140">
        <f t="shared" si="107"/>
        <v>3.1199999999999994E-7</v>
      </c>
      <c r="X284" s="140">
        <f t="shared" si="108"/>
        <v>6.2400000000000008E-7</v>
      </c>
      <c r="Y284" s="140">
        <f t="shared" si="109"/>
        <v>9.3600000000000012E-7</v>
      </c>
      <c r="Z284" s="140">
        <f t="shared" si="110"/>
        <v>1.2480000000000004E-6</v>
      </c>
      <c r="AA284" s="140">
        <f t="shared" si="111"/>
        <v>1.5600000000000003E-6</v>
      </c>
      <c r="AB284" s="157">
        <f>IF(U284&lt;$B$41*DATA!$H$1037,DATA!$H$1037,IF(U284&gt;DATA!$H$1036*$B$41,DATA!$H$1036,1))</f>
        <v>0.8</v>
      </c>
      <c r="AC284" s="156">
        <f t="shared" si="112"/>
        <v>9.9999999999999995E-8</v>
      </c>
      <c r="AE284" s="140">
        <f t="shared" si="113"/>
        <v>3.1200000000000006E-5</v>
      </c>
      <c r="AF284">
        <v>3.12</v>
      </c>
      <c r="AG284" s="140">
        <f t="shared" si="114"/>
        <v>3.1199999999999994E-7</v>
      </c>
      <c r="AH284" s="140">
        <f t="shared" si="115"/>
        <v>6.2400000000000008E-7</v>
      </c>
      <c r="AI284" s="140">
        <f t="shared" si="116"/>
        <v>9.3600000000000012E-7</v>
      </c>
      <c r="AJ284" s="140">
        <f t="shared" si="117"/>
        <v>1.2480000000000004E-6</v>
      </c>
      <c r="AK284" s="140">
        <f t="shared" si="118"/>
        <v>1.5600000000000003E-6</v>
      </c>
      <c r="AL284" s="157">
        <f>IF(AE284&lt;$B$57*DATA!$H$1037,DATA!$H$1037,IF(AE284&gt;DATA!$H$1036*$B$57,DATA!$H$1036,1))</f>
        <v>1.2</v>
      </c>
      <c r="AM284" s="156">
        <f t="shared" si="119"/>
        <v>9.9999999999999995E-8</v>
      </c>
      <c r="AO284" s="140">
        <f t="shared" si="120"/>
        <v>3.1200000000000006E-5</v>
      </c>
      <c r="AP284">
        <v>3.12</v>
      </c>
      <c r="AQ284" s="140">
        <f t="shared" si="121"/>
        <v>3.1199999999999994E-7</v>
      </c>
      <c r="AR284" s="140">
        <f t="shared" si="122"/>
        <v>6.2400000000000008E-7</v>
      </c>
      <c r="AS284" s="140">
        <f t="shared" si="123"/>
        <v>9.3600000000000012E-7</v>
      </c>
      <c r="AT284" s="140">
        <f t="shared" si="124"/>
        <v>1.2480000000000004E-6</v>
      </c>
      <c r="AU284" s="140">
        <f t="shared" si="125"/>
        <v>1.5600000000000003E-6</v>
      </c>
      <c r="AV284" s="157">
        <f>IF(AO284&lt;$B$73*DATA!$H$1037,DATA!$H$1037,IF(AO284&gt;DATA!$H$1036*$B$73,DATA!$H$1036,1))</f>
        <v>1.2</v>
      </c>
      <c r="AW284" s="156">
        <f t="shared" si="126"/>
        <v>9.9999999999999995E-8</v>
      </c>
      <c r="AY284" s="140">
        <f t="shared" si="127"/>
        <v>3.1200000000000006E-5</v>
      </c>
      <c r="AZ284">
        <v>3.12</v>
      </c>
      <c r="BA284" s="140">
        <f t="shared" si="128"/>
        <v>3.1199999999999994E-7</v>
      </c>
      <c r="BB284" s="140">
        <f t="shared" si="129"/>
        <v>6.2400000000000008E-7</v>
      </c>
      <c r="BC284" s="140">
        <f t="shared" si="130"/>
        <v>9.3600000000000012E-7</v>
      </c>
      <c r="BD284" s="140">
        <f t="shared" si="131"/>
        <v>1.2480000000000004E-6</v>
      </c>
      <c r="BE284" s="140">
        <f t="shared" si="132"/>
        <v>1.5600000000000003E-6</v>
      </c>
      <c r="BF284" s="157">
        <f>IF(AY284&lt;$B$89*DATA!$H$1037,DATA!$H$1037,IF(AY284&gt;DATA!$H$1036*$B$89,DATA!$H$1036,1))</f>
        <v>1.2</v>
      </c>
      <c r="BG284" s="156">
        <f t="shared" si="133"/>
        <v>9.9999999999999995E-8</v>
      </c>
      <c r="BI284" s="140">
        <f t="shared" si="134"/>
        <v>3.1200000000000006E-5</v>
      </c>
      <c r="BJ284">
        <v>3.12</v>
      </c>
      <c r="BK284" s="140">
        <f t="shared" si="135"/>
        <v>3.1199999999999994E-7</v>
      </c>
      <c r="BL284" s="140">
        <f t="shared" si="136"/>
        <v>6.2400000000000008E-7</v>
      </c>
      <c r="BM284" s="140">
        <f t="shared" si="137"/>
        <v>9.3600000000000012E-7</v>
      </c>
      <c r="BN284" s="140">
        <f t="shared" si="138"/>
        <v>1.2480000000000004E-6</v>
      </c>
      <c r="BO284" s="140">
        <f t="shared" si="139"/>
        <v>1.5600000000000003E-6</v>
      </c>
      <c r="BP284" s="157">
        <f>IF(BI284&lt;$B$105*DATA!$H$1037,DATA!$H$1037,IF(BI284&gt;DATA!$H$1036*$B$105,DATA!$H$1036,1))</f>
        <v>1.2</v>
      </c>
      <c r="BQ284" s="156">
        <f t="shared" si="140"/>
        <v>9.9999999999999995E-8</v>
      </c>
    </row>
    <row r="285" spans="1:69">
      <c r="A285" s="140">
        <f t="shared" si="96"/>
        <v>3.1400000000000004E-5</v>
      </c>
      <c r="B285">
        <v>3.14</v>
      </c>
      <c r="C285" s="140">
        <f t="shared" si="97"/>
        <v>3.1399999999999993E-7</v>
      </c>
      <c r="D285" s="140">
        <f t="shared" si="97"/>
        <v>6.2799999999999996E-7</v>
      </c>
      <c r="E285" s="140">
        <f t="shared" si="97"/>
        <v>9.4200000000000004E-7</v>
      </c>
      <c r="F285" s="140">
        <f t="shared" si="97"/>
        <v>1.2560000000000001E-6</v>
      </c>
      <c r="G285" s="140">
        <f t="shared" si="97"/>
        <v>1.5700000000000002E-6</v>
      </c>
      <c r="H285" s="157">
        <f>IF(A285&lt;$B$9*DATA!$H$1037,DATA!$H$1037,IF(A285&gt;DATA!$H$1036*$B$9,DATA!$H$1036,1))</f>
        <v>0.8</v>
      </c>
      <c r="I285" s="156">
        <f t="shared" si="98"/>
        <v>9.9999999999999995E-8</v>
      </c>
      <c r="K285" s="140">
        <f t="shared" si="99"/>
        <v>3.1400000000000004E-5</v>
      </c>
      <c r="L285">
        <v>3.14</v>
      </c>
      <c r="M285" s="140">
        <f t="shared" si="100"/>
        <v>3.1399999999999993E-7</v>
      </c>
      <c r="N285" s="140">
        <f t="shared" si="101"/>
        <v>6.2799999999999996E-7</v>
      </c>
      <c r="O285" s="140">
        <f t="shared" si="102"/>
        <v>9.4200000000000004E-7</v>
      </c>
      <c r="P285" s="140">
        <f t="shared" si="103"/>
        <v>1.2560000000000001E-6</v>
      </c>
      <c r="Q285" s="140">
        <f t="shared" si="104"/>
        <v>1.5700000000000002E-6</v>
      </c>
      <c r="R285" s="157">
        <f>IF(K285&lt;$B$25*DATA!$H$1037,DATA!$H$1037,IF(K285&gt;DATA!$H$1036*$B$25,DATA!$H$1036,1))</f>
        <v>0.8</v>
      </c>
      <c r="S285" s="156">
        <f t="shared" si="105"/>
        <v>9.9999999999999995E-8</v>
      </c>
      <c r="U285" s="140">
        <f t="shared" si="106"/>
        <v>3.1400000000000004E-5</v>
      </c>
      <c r="V285">
        <v>3.14</v>
      </c>
      <c r="W285" s="140">
        <f t="shared" si="107"/>
        <v>3.1399999999999993E-7</v>
      </c>
      <c r="X285" s="140">
        <f t="shared" si="108"/>
        <v>6.2799999999999996E-7</v>
      </c>
      <c r="Y285" s="140">
        <f t="shared" si="109"/>
        <v>9.4200000000000004E-7</v>
      </c>
      <c r="Z285" s="140">
        <f t="shared" si="110"/>
        <v>1.2560000000000001E-6</v>
      </c>
      <c r="AA285" s="140">
        <f t="shared" si="111"/>
        <v>1.5700000000000002E-6</v>
      </c>
      <c r="AB285" s="157">
        <f>IF(U285&lt;$B$41*DATA!$H$1037,DATA!$H$1037,IF(U285&gt;DATA!$H$1036*$B$41,DATA!$H$1036,1))</f>
        <v>0.8</v>
      </c>
      <c r="AC285" s="156">
        <f t="shared" si="112"/>
        <v>9.9999999999999995E-8</v>
      </c>
      <c r="AE285" s="140">
        <f t="shared" si="113"/>
        <v>3.1400000000000004E-5</v>
      </c>
      <c r="AF285">
        <v>3.14</v>
      </c>
      <c r="AG285" s="140">
        <f t="shared" si="114"/>
        <v>3.1399999999999993E-7</v>
      </c>
      <c r="AH285" s="140">
        <f t="shared" si="115"/>
        <v>6.2799999999999996E-7</v>
      </c>
      <c r="AI285" s="140">
        <f t="shared" si="116"/>
        <v>9.4200000000000004E-7</v>
      </c>
      <c r="AJ285" s="140">
        <f t="shared" si="117"/>
        <v>1.2560000000000001E-6</v>
      </c>
      <c r="AK285" s="140">
        <f t="shared" si="118"/>
        <v>1.5700000000000002E-6</v>
      </c>
      <c r="AL285" s="157">
        <f>IF(AE285&lt;$B$57*DATA!$H$1037,DATA!$H$1037,IF(AE285&gt;DATA!$H$1036*$B$57,DATA!$H$1036,1))</f>
        <v>1.2</v>
      </c>
      <c r="AM285" s="156">
        <f t="shared" si="119"/>
        <v>9.9999999999999995E-8</v>
      </c>
      <c r="AO285" s="140">
        <f t="shared" si="120"/>
        <v>3.1400000000000004E-5</v>
      </c>
      <c r="AP285">
        <v>3.14</v>
      </c>
      <c r="AQ285" s="140">
        <f t="shared" si="121"/>
        <v>3.1399999999999993E-7</v>
      </c>
      <c r="AR285" s="140">
        <f t="shared" si="122"/>
        <v>6.2799999999999996E-7</v>
      </c>
      <c r="AS285" s="140">
        <f t="shared" si="123"/>
        <v>9.4200000000000004E-7</v>
      </c>
      <c r="AT285" s="140">
        <f t="shared" si="124"/>
        <v>1.2560000000000001E-6</v>
      </c>
      <c r="AU285" s="140">
        <f t="shared" si="125"/>
        <v>1.5700000000000002E-6</v>
      </c>
      <c r="AV285" s="157">
        <f>IF(AO285&lt;$B$73*DATA!$H$1037,DATA!$H$1037,IF(AO285&gt;DATA!$H$1036*$B$73,DATA!$H$1036,1))</f>
        <v>1.2</v>
      </c>
      <c r="AW285" s="156">
        <f t="shared" si="126"/>
        <v>9.9999999999999995E-8</v>
      </c>
      <c r="AY285" s="140">
        <f t="shared" si="127"/>
        <v>3.1400000000000004E-5</v>
      </c>
      <c r="AZ285">
        <v>3.14</v>
      </c>
      <c r="BA285" s="140">
        <f t="shared" si="128"/>
        <v>3.1399999999999993E-7</v>
      </c>
      <c r="BB285" s="140">
        <f t="shared" si="129"/>
        <v>6.2799999999999996E-7</v>
      </c>
      <c r="BC285" s="140">
        <f t="shared" si="130"/>
        <v>9.4200000000000004E-7</v>
      </c>
      <c r="BD285" s="140">
        <f t="shared" si="131"/>
        <v>1.2560000000000001E-6</v>
      </c>
      <c r="BE285" s="140">
        <f t="shared" si="132"/>
        <v>1.5700000000000002E-6</v>
      </c>
      <c r="BF285" s="157">
        <f>IF(AY285&lt;$B$89*DATA!$H$1037,DATA!$H$1037,IF(AY285&gt;DATA!$H$1036*$B$89,DATA!$H$1036,1))</f>
        <v>1.2</v>
      </c>
      <c r="BG285" s="156">
        <f t="shared" si="133"/>
        <v>9.9999999999999995E-8</v>
      </c>
      <c r="BI285" s="140">
        <f t="shared" si="134"/>
        <v>3.1400000000000004E-5</v>
      </c>
      <c r="BJ285">
        <v>3.14</v>
      </c>
      <c r="BK285" s="140">
        <f t="shared" si="135"/>
        <v>3.1399999999999993E-7</v>
      </c>
      <c r="BL285" s="140">
        <f t="shared" si="136"/>
        <v>6.2799999999999996E-7</v>
      </c>
      <c r="BM285" s="140">
        <f t="shared" si="137"/>
        <v>9.4200000000000004E-7</v>
      </c>
      <c r="BN285" s="140">
        <f t="shared" si="138"/>
        <v>1.2560000000000001E-6</v>
      </c>
      <c r="BO285" s="140">
        <f t="shared" si="139"/>
        <v>1.5700000000000002E-6</v>
      </c>
      <c r="BP285" s="157">
        <f>IF(BI285&lt;$B$105*DATA!$H$1037,DATA!$H$1037,IF(BI285&gt;DATA!$H$1036*$B$105,DATA!$H$1036,1))</f>
        <v>1.2</v>
      </c>
      <c r="BQ285" s="156">
        <f t="shared" si="140"/>
        <v>9.9999999999999995E-8</v>
      </c>
    </row>
    <row r="286" spans="1:69">
      <c r="A286" s="140">
        <f t="shared" si="96"/>
        <v>3.1600000000000002E-5</v>
      </c>
      <c r="B286">
        <v>3.16</v>
      </c>
      <c r="C286" s="140">
        <f t="shared" si="97"/>
        <v>3.1599999999999992E-7</v>
      </c>
      <c r="D286" s="140">
        <f t="shared" si="97"/>
        <v>6.3199999999999994E-7</v>
      </c>
      <c r="E286" s="140">
        <f t="shared" si="97"/>
        <v>9.4800000000000007E-7</v>
      </c>
      <c r="F286" s="140">
        <f t="shared" si="97"/>
        <v>1.2640000000000001E-6</v>
      </c>
      <c r="G286" s="140">
        <f t="shared" si="97"/>
        <v>1.5800000000000001E-6</v>
      </c>
      <c r="H286" s="157">
        <f>IF(A286&lt;$B$9*DATA!$H$1037,DATA!$H$1037,IF(A286&gt;DATA!$H$1036*$B$9,DATA!$H$1036,1))</f>
        <v>0.8</v>
      </c>
      <c r="I286" s="156">
        <f t="shared" si="98"/>
        <v>9.9999999999999995E-8</v>
      </c>
      <c r="K286" s="140">
        <f t="shared" si="99"/>
        <v>3.1600000000000002E-5</v>
      </c>
      <c r="L286">
        <v>3.16</v>
      </c>
      <c r="M286" s="140">
        <f t="shared" si="100"/>
        <v>3.1599999999999992E-7</v>
      </c>
      <c r="N286" s="140">
        <f t="shared" si="101"/>
        <v>6.3199999999999994E-7</v>
      </c>
      <c r="O286" s="140">
        <f t="shared" si="102"/>
        <v>9.4800000000000007E-7</v>
      </c>
      <c r="P286" s="140">
        <f t="shared" si="103"/>
        <v>1.2640000000000001E-6</v>
      </c>
      <c r="Q286" s="140">
        <f t="shared" si="104"/>
        <v>1.5800000000000001E-6</v>
      </c>
      <c r="R286" s="157">
        <f>IF(K286&lt;$B$25*DATA!$H$1037,DATA!$H$1037,IF(K286&gt;DATA!$H$1036*$B$25,DATA!$H$1036,1))</f>
        <v>0.8</v>
      </c>
      <c r="S286" s="156">
        <f t="shared" si="105"/>
        <v>9.9999999999999995E-8</v>
      </c>
      <c r="U286" s="140">
        <f t="shared" si="106"/>
        <v>3.1600000000000002E-5</v>
      </c>
      <c r="V286">
        <v>3.16</v>
      </c>
      <c r="W286" s="140">
        <f t="shared" si="107"/>
        <v>3.1599999999999992E-7</v>
      </c>
      <c r="X286" s="140">
        <f t="shared" si="108"/>
        <v>6.3199999999999994E-7</v>
      </c>
      <c r="Y286" s="140">
        <f t="shared" si="109"/>
        <v>9.4800000000000007E-7</v>
      </c>
      <c r="Z286" s="140">
        <f t="shared" si="110"/>
        <v>1.2640000000000001E-6</v>
      </c>
      <c r="AA286" s="140">
        <f t="shared" si="111"/>
        <v>1.5800000000000001E-6</v>
      </c>
      <c r="AB286" s="157">
        <f>IF(U286&lt;$B$41*DATA!$H$1037,DATA!$H$1037,IF(U286&gt;DATA!$H$1036*$B$41,DATA!$H$1036,1))</f>
        <v>0.8</v>
      </c>
      <c r="AC286" s="156">
        <f t="shared" si="112"/>
        <v>9.9999999999999995E-8</v>
      </c>
      <c r="AE286" s="140">
        <f t="shared" si="113"/>
        <v>3.1600000000000002E-5</v>
      </c>
      <c r="AF286">
        <v>3.16</v>
      </c>
      <c r="AG286" s="140">
        <f t="shared" si="114"/>
        <v>3.1599999999999992E-7</v>
      </c>
      <c r="AH286" s="140">
        <f t="shared" si="115"/>
        <v>6.3199999999999994E-7</v>
      </c>
      <c r="AI286" s="140">
        <f t="shared" si="116"/>
        <v>9.4800000000000007E-7</v>
      </c>
      <c r="AJ286" s="140">
        <f t="shared" si="117"/>
        <v>1.2640000000000001E-6</v>
      </c>
      <c r="AK286" s="140">
        <f t="shared" si="118"/>
        <v>1.5800000000000001E-6</v>
      </c>
      <c r="AL286" s="157">
        <f>IF(AE286&lt;$B$57*DATA!$H$1037,DATA!$H$1037,IF(AE286&gt;DATA!$H$1036*$B$57,DATA!$H$1036,1))</f>
        <v>1.2</v>
      </c>
      <c r="AM286" s="156">
        <f t="shared" si="119"/>
        <v>9.9999999999999995E-8</v>
      </c>
      <c r="AO286" s="140">
        <f t="shared" si="120"/>
        <v>3.1600000000000002E-5</v>
      </c>
      <c r="AP286">
        <v>3.16</v>
      </c>
      <c r="AQ286" s="140">
        <f t="shared" si="121"/>
        <v>3.1599999999999992E-7</v>
      </c>
      <c r="AR286" s="140">
        <f t="shared" si="122"/>
        <v>6.3199999999999994E-7</v>
      </c>
      <c r="AS286" s="140">
        <f t="shared" si="123"/>
        <v>9.4800000000000007E-7</v>
      </c>
      <c r="AT286" s="140">
        <f t="shared" si="124"/>
        <v>1.2640000000000001E-6</v>
      </c>
      <c r="AU286" s="140">
        <f t="shared" si="125"/>
        <v>1.5800000000000001E-6</v>
      </c>
      <c r="AV286" s="157">
        <f>IF(AO286&lt;$B$73*DATA!$H$1037,DATA!$H$1037,IF(AO286&gt;DATA!$H$1036*$B$73,DATA!$H$1036,1))</f>
        <v>1.2</v>
      </c>
      <c r="AW286" s="156">
        <f t="shared" si="126"/>
        <v>9.9999999999999995E-8</v>
      </c>
      <c r="AY286" s="140">
        <f t="shared" si="127"/>
        <v>3.1600000000000002E-5</v>
      </c>
      <c r="AZ286">
        <v>3.16</v>
      </c>
      <c r="BA286" s="140">
        <f t="shared" si="128"/>
        <v>3.1599999999999992E-7</v>
      </c>
      <c r="BB286" s="140">
        <f t="shared" si="129"/>
        <v>6.3199999999999994E-7</v>
      </c>
      <c r="BC286" s="140">
        <f t="shared" si="130"/>
        <v>9.4800000000000007E-7</v>
      </c>
      <c r="BD286" s="140">
        <f t="shared" si="131"/>
        <v>1.2640000000000001E-6</v>
      </c>
      <c r="BE286" s="140">
        <f t="shared" si="132"/>
        <v>1.5800000000000001E-6</v>
      </c>
      <c r="BF286" s="157">
        <f>IF(AY286&lt;$B$89*DATA!$H$1037,DATA!$H$1037,IF(AY286&gt;DATA!$H$1036*$B$89,DATA!$H$1036,1))</f>
        <v>1.2</v>
      </c>
      <c r="BG286" s="156">
        <f t="shared" si="133"/>
        <v>9.9999999999999995E-8</v>
      </c>
      <c r="BI286" s="140">
        <f t="shared" si="134"/>
        <v>3.1600000000000002E-5</v>
      </c>
      <c r="BJ286">
        <v>3.16</v>
      </c>
      <c r="BK286" s="140">
        <f t="shared" si="135"/>
        <v>3.1599999999999992E-7</v>
      </c>
      <c r="BL286" s="140">
        <f t="shared" si="136"/>
        <v>6.3199999999999994E-7</v>
      </c>
      <c r="BM286" s="140">
        <f t="shared" si="137"/>
        <v>9.4800000000000007E-7</v>
      </c>
      <c r="BN286" s="140">
        <f t="shared" si="138"/>
        <v>1.2640000000000001E-6</v>
      </c>
      <c r="BO286" s="140">
        <f t="shared" si="139"/>
        <v>1.5800000000000001E-6</v>
      </c>
      <c r="BP286" s="157">
        <f>IF(BI286&lt;$B$105*DATA!$H$1037,DATA!$H$1037,IF(BI286&gt;DATA!$H$1036*$B$105,DATA!$H$1036,1))</f>
        <v>1.2</v>
      </c>
      <c r="BQ286" s="156">
        <f t="shared" si="140"/>
        <v>9.9999999999999995E-8</v>
      </c>
    </row>
    <row r="287" spans="1:69">
      <c r="A287" s="140">
        <f t="shared" si="96"/>
        <v>3.1800000000000007E-5</v>
      </c>
      <c r="B287">
        <v>3.18</v>
      </c>
      <c r="C287" s="140">
        <f t="shared" si="97"/>
        <v>3.1799999999999996E-7</v>
      </c>
      <c r="D287" s="140">
        <f t="shared" si="97"/>
        <v>6.3600000000000003E-7</v>
      </c>
      <c r="E287" s="140">
        <f t="shared" si="97"/>
        <v>9.540000000000001E-7</v>
      </c>
      <c r="F287" s="140">
        <f t="shared" si="97"/>
        <v>1.2720000000000003E-6</v>
      </c>
      <c r="G287" s="140">
        <f t="shared" si="97"/>
        <v>1.5900000000000004E-6</v>
      </c>
      <c r="H287" s="157">
        <f>IF(A287&lt;$B$9*DATA!$H$1037,DATA!$H$1037,IF(A287&gt;DATA!$H$1036*$B$9,DATA!$H$1036,1))</f>
        <v>0.8</v>
      </c>
      <c r="I287" s="156">
        <f t="shared" si="98"/>
        <v>9.9999999999999995E-8</v>
      </c>
      <c r="K287" s="140">
        <f t="shared" si="99"/>
        <v>3.1800000000000007E-5</v>
      </c>
      <c r="L287">
        <v>3.18</v>
      </c>
      <c r="M287" s="140">
        <f t="shared" si="100"/>
        <v>3.1799999999999996E-7</v>
      </c>
      <c r="N287" s="140">
        <f t="shared" si="101"/>
        <v>6.3600000000000003E-7</v>
      </c>
      <c r="O287" s="140">
        <f t="shared" si="102"/>
        <v>9.540000000000001E-7</v>
      </c>
      <c r="P287" s="140">
        <f t="shared" si="103"/>
        <v>1.2720000000000003E-6</v>
      </c>
      <c r="Q287" s="140">
        <f t="shared" si="104"/>
        <v>1.5900000000000004E-6</v>
      </c>
      <c r="R287" s="157">
        <f>IF(K287&lt;$B$25*DATA!$H$1037,DATA!$H$1037,IF(K287&gt;DATA!$H$1036*$B$25,DATA!$H$1036,1))</f>
        <v>0.8</v>
      </c>
      <c r="S287" s="156">
        <f t="shared" si="105"/>
        <v>9.9999999999999995E-8</v>
      </c>
      <c r="U287" s="140">
        <f t="shared" si="106"/>
        <v>3.1800000000000007E-5</v>
      </c>
      <c r="V287">
        <v>3.18</v>
      </c>
      <c r="W287" s="140">
        <f t="shared" si="107"/>
        <v>3.1799999999999996E-7</v>
      </c>
      <c r="X287" s="140">
        <f t="shared" si="108"/>
        <v>6.3600000000000003E-7</v>
      </c>
      <c r="Y287" s="140">
        <f t="shared" si="109"/>
        <v>9.540000000000001E-7</v>
      </c>
      <c r="Z287" s="140">
        <f t="shared" si="110"/>
        <v>1.2720000000000003E-6</v>
      </c>
      <c r="AA287" s="140">
        <f t="shared" si="111"/>
        <v>1.5900000000000004E-6</v>
      </c>
      <c r="AB287" s="157">
        <f>IF(U287&lt;$B$41*DATA!$H$1037,DATA!$H$1037,IF(U287&gt;DATA!$H$1036*$B$41,DATA!$H$1036,1))</f>
        <v>0.8</v>
      </c>
      <c r="AC287" s="156">
        <f t="shared" si="112"/>
        <v>9.9999999999999995E-8</v>
      </c>
      <c r="AE287" s="140">
        <f t="shared" si="113"/>
        <v>3.1800000000000007E-5</v>
      </c>
      <c r="AF287">
        <v>3.18</v>
      </c>
      <c r="AG287" s="140">
        <f t="shared" si="114"/>
        <v>3.1799999999999996E-7</v>
      </c>
      <c r="AH287" s="140">
        <f t="shared" si="115"/>
        <v>6.3600000000000003E-7</v>
      </c>
      <c r="AI287" s="140">
        <f t="shared" si="116"/>
        <v>9.540000000000001E-7</v>
      </c>
      <c r="AJ287" s="140">
        <f t="shared" si="117"/>
        <v>1.2720000000000003E-6</v>
      </c>
      <c r="AK287" s="140">
        <f t="shared" si="118"/>
        <v>1.5900000000000004E-6</v>
      </c>
      <c r="AL287" s="157">
        <f>IF(AE287&lt;$B$57*DATA!$H$1037,DATA!$H$1037,IF(AE287&gt;DATA!$H$1036*$B$57,DATA!$H$1036,1))</f>
        <v>1.2</v>
      </c>
      <c r="AM287" s="156">
        <f t="shared" si="119"/>
        <v>9.9999999999999995E-8</v>
      </c>
      <c r="AO287" s="140">
        <f t="shared" si="120"/>
        <v>3.1800000000000007E-5</v>
      </c>
      <c r="AP287">
        <v>3.18</v>
      </c>
      <c r="AQ287" s="140">
        <f t="shared" si="121"/>
        <v>3.1799999999999996E-7</v>
      </c>
      <c r="AR287" s="140">
        <f t="shared" si="122"/>
        <v>6.3600000000000003E-7</v>
      </c>
      <c r="AS287" s="140">
        <f t="shared" si="123"/>
        <v>9.540000000000001E-7</v>
      </c>
      <c r="AT287" s="140">
        <f t="shared" si="124"/>
        <v>1.2720000000000003E-6</v>
      </c>
      <c r="AU287" s="140">
        <f t="shared" si="125"/>
        <v>1.5900000000000004E-6</v>
      </c>
      <c r="AV287" s="157">
        <f>IF(AO287&lt;$B$73*DATA!$H$1037,DATA!$H$1037,IF(AO287&gt;DATA!$H$1036*$B$73,DATA!$H$1036,1))</f>
        <v>1.2</v>
      </c>
      <c r="AW287" s="156">
        <f t="shared" si="126"/>
        <v>9.9999999999999995E-8</v>
      </c>
      <c r="AY287" s="140">
        <f t="shared" si="127"/>
        <v>3.1800000000000007E-5</v>
      </c>
      <c r="AZ287">
        <v>3.18</v>
      </c>
      <c r="BA287" s="140">
        <f t="shared" si="128"/>
        <v>3.1799999999999996E-7</v>
      </c>
      <c r="BB287" s="140">
        <f t="shared" si="129"/>
        <v>6.3600000000000003E-7</v>
      </c>
      <c r="BC287" s="140">
        <f t="shared" si="130"/>
        <v>9.540000000000001E-7</v>
      </c>
      <c r="BD287" s="140">
        <f t="shared" si="131"/>
        <v>1.2720000000000003E-6</v>
      </c>
      <c r="BE287" s="140">
        <f t="shared" si="132"/>
        <v>1.5900000000000004E-6</v>
      </c>
      <c r="BF287" s="157">
        <f>IF(AY287&lt;$B$89*DATA!$H$1037,DATA!$H$1037,IF(AY287&gt;DATA!$H$1036*$B$89,DATA!$H$1036,1))</f>
        <v>1.2</v>
      </c>
      <c r="BG287" s="156">
        <f t="shared" si="133"/>
        <v>9.9999999999999995E-8</v>
      </c>
      <c r="BI287" s="140">
        <f t="shared" si="134"/>
        <v>3.1800000000000007E-5</v>
      </c>
      <c r="BJ287">
        <v>3.18</v>
      </c>
      <c r="BK287" s="140">
        <f t="shared" si="135"/>
        <v>3.1799999999999996E-7</v>
      </c>
      <c r="BL287" s="140">
        <f t="shared" si="136"/>
        <v>6.3600000000000003E-7</v>
      </c>
      <c r="BM287" s="140">
        <f t="shared" si="137"/>
        <v>9.540000000000001E-7</v>
      </c>
      <c r="BN287" s="140">
        <f t="shared" si="138"/>
        <v>1.2720000000000003E-6</v>
      </c>
      <c r="BO287" s="140">
        <f t="shared" si="139"/>
        <v>1.5900000000000004E-6</v>
      </c>
      <c r="BP287" s="157">
        <f>IF(BI287&lt;$B$105*DATA!$H$1037,DATA!$H$1037,IF(BI287&gt;DATA!$H$1036*$B$105,DATA!$H$1036,1))</f>
        <v>1.2</v>
      </c>
      <c r="BQ287" s="156">
        <f t="shared" si="140"/>
        <v>9.9999999999999995E-8</v>
      </c>
    </row>
    <row r="288" spans="1:69">
      <c r="A288" s="140">
        <f t="shared" si="96"/>
        <v>3.2000000000000005E-5</v>
      </c>
      <c r="B288">
        <v>3.2</v>
      </c>
      <c r="C288" s="140">
        <f t="shared" si="97"/>
        <v>3.1999999999999995E-7</v>
      </c>
      <c r="D288" s="140">
        <f t="shared" si="97"/>
        <v>6.4000000000000001E-7</v>
      </c>
      <c r="E288" s="140">
        <f t="shared" si="97"/>
        <v>9.6000000000000013E-7</v>
      </c>
      <c r="F288" s="140">
        <f t="shared" si="97"/>
        <v>1.2800000000000002E-6</v>
      </c>
      <c r="G288" s="140">
        <f t="shared" si="97"/>
        <v>1.6000000000000004E-6</v>
      </c>
      <c r="H288" s="157">
        <f>IF(A288&lt;$B$9*DATA!$H$1037,DATA!$H$1037,IF(A288&gt;DATA!$H$1036*$B$9,DATA!$H$1036,1))</f>
        <v>0.8</v>
      </c>
      <c r="I288" s="156">
        <f t="shared" si="98"/>
        <v>9.9999999999999995E-8</v>
      </c>
      <c r="K288" s="140">
        <f t="shared" si="99"/>
        <v>3.2000000000000005E-5</v>
      </c>
      <c r="L288">
        <v>3.2</v>
      </c>
      <c r="M288" s="140">
        <f t="shared" si="100"/>
        <v>3.1999999999999995E-7</v>
      </c>
      <c r="N288" s="140">
        <f t="shared" si="101"/>
        <v>6.4000000000000001E-7</v>
      </c>
      <c r="O288" s="140">
        <f t="shared" si="102"/>
        <v>9.6000000000000013E-7</v>
      </c>
      <c r="P288" s="140">
        <f t="shared" si="103"/>
        <v>1.2800000000000002E-6</v>
      </c>
      <c r="Q288" s="140">
        <f t="shared" si="104"/>
        <v>1.6000000000000004E-6</v>
      </c>
      <c r="R288" s="157">
        <f>IF(K288&lt;$B$25*DATA!$H$1037,DATA!$H$1037,IF(K288&gt;DATA!$H$1036*$B$25,DATA!$H$1036,1))</f>
        <v>0.8</v>
      </c>
      <c r="S288" s="156">
        <f t="shared" si="105"/>
        <v>9.9999999999999995E-8</v>
      </c>
      <c r="U288" s="140">
        <f t="shared" si="106"/>
        <v>3.2000000000000005E-5</v>
      </c>
      <c r="V288">
        <v>3.2</v>
      </c>
      <c r="W288" s="140">
        <f t="shared" si="107"/>
        <v>3.1999999999999995E-7</v>
      </c>
      <c r="X288" s="140">
        <f t="shared" si="108"/>
        <v>6.4000000000000001E-7</v>
      </c>
      <c r="Y288" s="140">
        <f t="shared" si="109"/>
        <v>9.6000000000000013E-7</v>
      </c>
      <c r="Z288" s="140">
        <f t="shared" si="110"/>
        <v>1.2800000000000002E-6</v>
      </c>
      <c r="AA288" s="140">
        <f t="shared" si="111"/>
        <v>1.6000000000000004E-6</v>
      </c>
      <c r="AB288" s="157">
        <f>IF(U288&lt;$B$41*DATA!$H$1037,DATA!$H$1037,IF(U288&gt;DATA!$H$1036*$B$41,DATA!$H$1036,1))</f>
        <v>0.8</v>
      </c>
      <c r="AC288" s="156">
        <f t="shared" si="112"/>
        <v>9.9999999999999995E-8</v>
      </c>
      <c r="AE288" s="140">
        <f t="shared" si="113"/>
        <v>3.2000000000000005E-5</v>
      </c>
      <c r="AF288">
        <v>3.2</v>
      </c>
      <c r="AG288" s="140">
        <f t="shared" si="114"/>
        <v>3.1999999999999995E-7</v>
      </c>
      <c r="AH288" s="140">
        <f t="shared" si="115"/>
        <v>6.4000000000000001E-7</v>
      </c>
      <c r="AI288" s="140">
        <f t="shared" si="116"/>
        <v>9.6000000000000013E-7</v>
      </c>
      <c r="AJ288" s="140">
        <f t="shared" si="117"/>
        <v>1.2800000000000002E-6</v>
      </c>
      <c r="AK288" s="140">
        <f t="shared" si="118"/>
        <v>1.6000000000000004E-6</v>
      </c>
      <c r="AL288" s="157">
        <f>IF(AE288&lt;$B$57*DATA!$H$1037,DATA!$H$1037,IF(AE288&gt;DATA!$H$1036*$B$57,DATA!$H$1036,1))</f>
        <v>1.2</v>
      </c>
      <c r="AM288" s="156">
        <f t="shared" si="119"/>
        <v>9.9999999999999995E-8</v>
      </c>
      <c r="AO288" s="140">
        <f t="shared" si="120"/>
        <v>3.2000000000000005E-5</v>
      </c>
      <c r="AP288">
        <v>3.2</v>
      </c>
      <c r="AQ288" s="140">
        <f t="shared" si="121"/>
        <v>3.1999999999999995E-7</v>
      </c>
      <c r="AR288" s="140">
        <f t="shared" si="122"/>
        <v>6.4000000000000001E-7</v>
      </c>
      <c r="AS288" s="140">
        <f t="shared" si="123"/>
        <v>9.6000000000000013E-7</v>
      </c>
      <c r="AT288" s="140">
        <f t="shared" si="124"/>
        <v>1.2800000000000002E-6</v>
      </c>
      <c r="AU288" s="140">
        <f t="shared" si="125"/>
        <v>1.6000000000000004E-6</v>
      </c>
      <c r="AV288" s="157">
        <f>IF(AO288&lt;$B$73*DATA!$H$1037,DATA!$H$1037,IF(AO288&gt;DATA!$H$1036*$B$73,DATA!$H$1036,1))</f>
        <v>1.2</v>
      </c>
      <c r="AW288" s="156">
        <f t="shared" si="126"/>
        <v>9.9999999999999995E-8</v>
      </c>
      <c r="AY288" s="140">
        <f t="shared" si="127"/>
        <v>3.2000000000000005E-5</v>
      </c>
      <c r="AZ288">
        <v>3.2</v>
      </c>
      <c r="BA288" s="140">
        <f t="shared" si="128"/>
        <v>3.1999999999999995E-7</v>
      </c>
      <c r="BB288" s="140">
        <f t="shared" si="129"/>
        <v>6.4000000000000001E-7</v>
      </c>
      <c r="BC288" s="140">
        <f t="shared" si="130"/>
        <v>9.6000000000000013E-7</v>
      </c>
      <c r="BD288" s="140">
        <f t="shared" si="131"/>
        <v>1.2800000000000002E-6</v>
      </c>
      <c r="BE288" s="140">
        <f t="shared" si="132"/>
        <v>1.6000000000000004E-6</v>
      </c>
      <c r="BF288" s="157">
        <f>IF(AY288&lt;$B$89*DATA!$H$1037,DATA!$H$1037,IF(AY288&gt;DATA!$H$1036*$B$89,DATA!$H$1036,1))</f>
        <v>1.2</v>
      </c>
      <c r="BG288" s="156">
        <f t="shared" si="133"/>
        <v>9.9999999999999995E-8</v>
      </c>
      <c r="BI288" s="140">
        <f t="shared" si="134"/>
        <v>3.2000000000000005E-5</v>
      </c>
      <c r="BJ288">
        <v>3.2</v>
      </c>
      <c r="BK288" s="140">
        <f t="shared" si="135"/>
        <v>3.1999999999999995E-7</v>
      </c>
      <c r="BL288" s="140">
        <f t="shared" si="136"/>
        <v>6.4000000000000001E-7</v>
      </c>
      <c r="BM288" s="140">
        <f t="shared" si="137"/>
        <v>9.6000000000000013E-7</v>
      </c>
      <c r="BN288" s="140">
        <f t="shared" si="138"/>
        <v>1.2800000000000002E-6</v>
      </c>
      <c r="BO288" s="140">
        <f t="shared" si="139"/>
        <v>1.6000000000000004E-6</v>
      </c>
      <c r="BP288" s="157">
        <f>IF(BI288&lt;$B$105*DATA!$H$1037,DATA!$H$1037,IF(BI288&gt;DATA!$H$1036*$B$105,DATA!$H$1036,1))</f>
        <v>1.2</v>
      </c>
      <c r="BQ288" s="156">
        <f t="shared" si="140"/>
        <v>9.9999999999999995E-8</v>
      </c>
    </row>
    <row r="289" spans="1:69">
      <c r="A289" s="140">
        <f t="shared" si="96"/>
        <v>3.2200000000000003E-5</v>
      </c>
      <c r="B289">
        <v>3.22</v>
      </c>
      <c r="C289" s="140">
        <f t="shared" si="97"/>
        <v>3.2199999999999995E-7</v>
      </c>
      <c r="D289" s="140">
        <f t="shared" si="97"/>
        <v>6.44E-7</v>
      </c>
      <c r="E289" s="140">
        <f t="shared" si="97"/>
        <v>9.6600000000000015E-7</v>
      </c>
      <c r="F289" s="140">
        <f t="shared" si="97"/>
        <v>1.2880000000000002E-6</v>
      </c>
      <c r="G289" s="140">
        <f t="shared" si="97"/>
        <v>1.6100000000000003E-6</v>
      </c>
      <c r="H289" s="157">
        <f>IF(A289&lt;$B$9*DATA!$H$1037,DATA!$H$1037,IF(A289&gt;DATA!$H$1036*$B$9,DATA!$H$1036,1))</f>
        <v>0.8</v>
      </c>
      <c r="I289" s="156">
        <f t="shared" si="98"/>
        <v>9.9999999999999995E-8</v>
      </c>
      <c r="K289" s="140">
        <f t="shared" si="99"/>
        <v>3.2200000000000003E-5</v>
      </c>
      <c r="L289">
        <v>3.22</v>
      </c>
      <c r="M289" s="140">
        <f t="shared" si="100"/>
        <v>3.2199999999999995E-7</v>
      </c>
      <c r="N289" s="140">
        <f t="shared" si="101"/>
        <v>6.44E-7</v>
      </c>
      <c r="O289" s="140">
        <f t="shared" si="102"/>
        <v>9.6600000000000015E-7</v>
      </c>
      <c r="P289" s="140">
        <f t="shared" si="103"/>
        <v>1.2880000000000002E-6</v>
      </c>
      <c r="Q289" s="140">
        <f t="shared" si="104"/>
        <v>1.6100000000000003E-6</v>
      </c>
      <c r="R289" s="157">
        <f>IF(K289&lt;$B$25*DATA!$H$1037,DATA!$H$1037,IF(K289&gt;DATA!$H$1036*$B$25,DATA!$H$1036,1))</f>
        <v>0.8</v>
      </c>
      <c r="S289" s="156">
        <f t="shared" si="105"/>
        <v>9.9999999999999995E-8</v>
      </c>
      <c r="U289" s="140">
        <f t="shared" si="106"/>
        <v>3.2200000000000003E-5</v>
      </c>
      <c r="V289">
        <v>3.22</v>
      </c>
      <c r="W289" s="140">
        <f t="shared" si="107"/>
        <v>3.2199999999999995E-7</v>
      </c>
      <c r="X289" s="140">
        <f t="shared" si="108"/>
        <v>6.44E-7</v>
      </c>
      <c r="Y289" s="140">
        <f t="shared" si="109"/>
        <v>9.6600000000000015E-7</v>
      </c>
      <c r="Z289" s="140">
        <f t="shared" si="110"/>
        <v>1.2880000000000002E-6</v>
      </c>
      <c r="AA289" s="140">
        <f t="shared" si="111"/>
        <v>1.6100000000000003E-6</v>
      </c>
      <c r="AB289" s="157">
        <f>IF(U289&lt;$B$41*DATA!$H$1037,DATA!$H$1037,IF(U289&gt;DATA!$H$1036*$B$41,DATA!$H$1036,1))</f>
        <v>0.8</v>
      </c>
      <c r="AC289" s="156">
        <f t="shared" si="112"/>
        <v>9.9999999999999995E-8</v>
      </c>
      <c r="AE289" s="140">
        <f t="shared" si="113"/>
        <v>3.2200000000000003E-5</v>
      </c>
      <c r="AF289">
        <v>3.22</v>
      </c>
      <c r="AG289" s="140">
        <f t="shared" si="114"/>
        <v>3.2199999999999995E-7</v>
      </c>
      <c r="AH289" s="140">
        <f t="shared" si="115"/>
        <v>6.44E-7</v>
      </c>
      <c r="AI289" s="140">
        <f t="shared" si="116"/>
        <v>9.6600000000000015E-7</v>
      </c>
      <c r="AJ289" s="140">
        <f t="shared" si="117"/>
        <v>1.2880000000000002E-6</v>
      </c>
      <c r="AK289" s="140">
        <f t="shared" si="118"/>
        <v>1.6100000000000003E-6</v>
      </c>
      <c r="AL289" s="157">
        <f>IF(AE289&lt;$B$57*DATA!$H$1037,DATA!$H$1037,IF(AE289&gt;DATA!$H$1036*$B$57,DATA!$H$1036,1))</f>
        <v>1.2</v>
      </c>
      <c r="AM289" s="156">
        <f t="shared" si="119"/>
        <v>9.9999999999999995E-8</v>
      </c>
      <c r="AO289" s="140">
        <f t="shared" si="120"/>
        <v>3.2200000000000003E-5</v>
      </c>
      <c r="AP289">
        <v>3.22</v>
      </c>
      <c r="AQ289" s="140">
        <f t="shared" si="121"/>
        <v>3.2199999999999995E-7</v>
      </c>
      <c r="AR289" s="140">
        <f t="shared" si="122"/>
        <v>6.44E-7</v>
      </c>
      <c r="AS289" s="140">
        <f t="shared" si="123"/>
        <v>9.6600000000000015E-7</v>
      </c>
      <c r="AT289" s="140">
        <f t="shared" si="124"/>
        <v>1.2880000000000002E-6</v>
      </c>
      <c r="AU289" s="140">
        <f t="shared" si="125"/>
        <v>1.6100000000000003E-6</v>
      </c>
      <c r="AV289" s="157">
        <f>IF(AO289&lt;$B$73*DATA!$H$1037,DATA!$H$1037,IF(AO289&gt;DATA!$H$1036*$B$73,DATA!$H$1036,1))</f>
        <v>1.2</v>
      </c>
      <c r="AW289" s="156">
        <f t="shared" si="126"/>
        <v>9.9999999999999995E-8</v>
      </c>
      <c r="AY289" s="140">
        <f t="shared" si="127"/>
        <v>3.2200000000000003E-5</v>
      </c>
      <c r="AZ289">
        <v>3.22</v>
      </c>
      <c r="BA289" s="140">
        <f t="shared" si="128"/>
        <v>3.2199999999999995E-7</v>
      </c>
      <c r="BB289" s="140">
        <f t="shared" si="129"/>
        <v>6.44E-7</v>
      </c>
      <c r="BC289" s="140">
        <f t="shared" si="130"/>
        <v>9.6600000000000015E-7</v>
      </c>
      <c r="BD289" s="140">
        <f t="shared" si="131"/>
        <v>1.2880000000000002E-6</v>
      </c>
      <c r="BE289" s="140">
        <f t="shared" si="132"/>
        <v>1.6100000000000003E-6</v>
      </c>
      <c r="BF289" s="157">
        <f>IF(AY289&lt;$B$89*DATA!$H$1037,DATA!$H$1037,IF(AY289&gt;DATA!$H$1036*$B$89,DATA!$H$1036,1))</f>
        <v>1.2</v>
      </c>
      <c r="BG289" s="156">
        <f t="shared" si="133"/>
        <v>9.9999999999999995E-8</v>
      </c>
      <c r="BI289" s="140">
        <f t="shared" si="134"/>
        <v>3.2200000000000003E-5</v>
      </c>
      <c r="BJ289">
        <v>3.22</v>
      </c>
      <c r="BK289" s="140">
        <f t="shared" si="135"/>
        <v>3.2199999999999995E-7</v>
      </c>
      <c r="BL289" s="140">
        <f t="shared" si="136"/>
        <v>6.44E-7</v>
      </c>
      <c r="BM289" s="140">
        <f t="shared" si="137"/>
        <v>9.6600000000000015E-7</v>
      </c>
      <c r="BN289" s="140">
        <f t="shared" si="138"/>
        <v>1.2880000000000002E-6</v>
      </c>
      <c r="BO289" s="140">
        <f t="shared" si="139"/>
        <v>1.6100000000000003E-6</v>
      </c>
      <c r="BP289" s="157">
        <f>IF(BI289&lt;$B$105*DATA!$H$1037,DATA!$H$1037,IF(BI289&gt;DATA!$H$1036*$B$105,DATA!$H$1036,1))</f>
        <v>1.2</v>
      </c>
      <c r="BQ289" s="156">
        <f t="shared" si="140"/>
        <v>9.9999999999999995E-8</v>
      </c>
    </row>
    <row r="290" spans="1:69">
      <c r="A290" s="140">
        <f t="shared" si="96"/>
        <v>3.2400000000000001E-5</v>
      </c>
      <c r="B290">
        <v>3.24</v>
      </c>
      <c r="C290" s="140">
        <f t="shared" si="97"/>
        <v>3.2399999999999988E-7</v>
      </c>
      <c r="D290" s="140">
        <f t="shared" si="97"/>
        <v>6.4799999999999998E-7</v>
      </c>
      <c r="E290" s="140">
        <f t="shared" si="97"/>
        <v>9.7199999999999997E-7</v>
      </c>
      <c r="F290" s="140">
        <f t="shared" si="97"/>
        <v>1.2960000000000002E-6</v>
      </c>
      <c r="G290" s="140">
        <f t="shared" si="97"/>
        <v>1.6200000000000002E-6</v>
      </c>
      <c r="H290" s="157">
        <f>IF(A290&lt;$B$9*DATA!$H$1037,DATA!$H$1037,IF(A290&gt;DATA!$H$1036*$B$9,DATA!$H$1036,1))</f>
        <v>0.8</v>
      </c>
      <c r="I290" s="156">
        <f t="shared" si="98"/>
        <v>9.9999999999999995E-8</v>
      </c>
      <c r="K290" s="140">
        <f t="shared" si="99"/>
        <v>3.2400000000000001E-5</v>
      </c>
      <c r="L290">
        <v>3.24</v>
      </c>
      <c r="M290" s="140">
        <f t="shared" si="100"/>
        <v>3.2399999999999988E-7</v>
      </c>
      <c r="N290" s="140">
        <f t="shared" si="101"/>
        <v>6.4799999999999998E-7</v>
      </c>
      <c r="O290" s="140">
        <f t="shared" si="102"/>
        <v>9.7199999999999997E-7</v>
      </c>
      <c r="P290" s="140">
        <f t="shared" si="103"/>
        <v>1.2960000000000002E-6</v>
      </c>
      <c r="Q290" s="140">
        <f t="shared" si="104"/>
        <v>1.6200000000000002E-6</v>
      </c>
      <c r="R290" s="157">
        <f>IF(K290&lt;$B$25*DATA!$H$1037,DATA!$H$1037,IF(K290&gt;DATA!$H$1036*$B$25,DATA!$H$1036,1))</f>
        <v>0.8</v>
      </c>
      <c r="S290" s="156">
        <f t="shared" si="105"/>
        <v>9.9999999999999995E-8</v>
      </c>
      <c r="U290" s="140">
        <f t="shared" si="106"/>
        <v>3.2400000000000001E-5</v>
      </c>
      <c r="V290">
        <v>3.24</v>
      </c>
      <c r="W290" s="140">
        <f t="shared" si="107"/>
        <v>3.2399999999999988E-7</v>
      </c>
      <c r="X290" s="140">
        <f t="shared" si="108"/>
        <v>6.4799999999999998E-7</v>
      </c>
      <c r="Y290" s="140">
        <f t="shared" si="109"/>
        <v>9.7199999999999997E-7</v>
      </c>
      <c r="Z290" s="140">
        <f t="shared" si="110"/>
        <v>1.2960000000000002E-6</v>
      </c>
      <c r="AA290" s="140">
        <f t="shared" si="111"/>
        <v>1.6200000000000002E-6</v>
      </c>
      <c r="AB290" s="157">
        <f>IF(U290&lt;$B$41*DATA!$H$1037,DATA!$H$1037,IF(U290&gt;DATA!$H$1036*$B$41,DATA!$H$1036,1))</f>
        <v>0.8</v>
      </c>
      <c r="AC290" s="156">
        <f t="shared" si="112"/>
        <v>9.9999999999999995E-8</v>
      </c>
      <c r="AE290" s="140">
        <f t="shared" si="113"/>
        <v>3.2400000000000001E-5</v>
      </c>
      <c r="AF290">
        <v>3.24</v>
      </c>
      <c r="AG290" s="140">
        <f t="shared" si="114"/>
        <v>3.2399999999999988E-7</v>
      </c>
      <c r="AH290" s="140">
        <f t="shared" si="115"/>
        <v>6.4799999999999998E-7</v>
      </c>
      <c r="AI290" s="140">
        <f t="shared" si="116"/>
        <v>9.7199999999999997E-7</v>
      </c>
      <c r="AJ290" s="140">
        <f t="shared" si="117"/>
        <v>1.2960000000000002E-6</v>
      </c>
      <c r="AK290" s="140">
        <f t="shared" si="118"/>
        <v>1.6200000000000002E-6</v>
      </c>
      <c r="AL290" s="157">
        <f>IF(AE290&lt;$B$57*DATA!$H$1037,DATA!$H$1037,IF(AE290&gt;DATA!$H$1036*$B$57,DATA!$H$1036,1))</f>
        <v>1.2</v>
      </c>
      <c r="AM290" s="156">
        <f t="shared" si="119"/>
        <v>9.9999999999999995E-8</v>
      </c>
      <c r="AO290" s="140">
        <f t="shared" si="120"/>
        <v>3.2400000000000001E-5</v>
      </c>
      <c r="AP290">
        <v>3.24</v>
      </c>
      <c r="AQ290" s="140">
        <f t="shared" si="121"/>
        <v>3.2399999999999988E-7</v>
      </c>
      <c r="AR290" s="140">
        <f t="shared" si="122"/>
        <v>6.4799999999999998E-7</v>
      </c>
      <c r="AS290" s="140">
        <f t="shared" si="123"/>
        <v>9.7199999999999997E-7</v>
      </c>
      <c r="AT290" s="140">
        <f t="shared" si="124"/>
        <v>1.2960000000000002E-6</v>
      </c>
      <c r="AU290" s="140">
        <f t="shared" si="125"/>
        <v>1.6200000000000002E-6</v>
      </c>
      <c r="AV290" s="157">
        <f>IF(AO290&lt;$B$73*DATA!$H$1037,DATA!$H$1037,IF(AO290&gt;DATA!$H$1036*$B$73,DATA!$H$1036,1))</f>
        <v>1.2</v>
      </c>
      <c r="AW290" s="156">
        <f t="shared" si="126"/>
        <v>9.9999999999999995E-8</v>
      </c>
      <c r="AY290" s="140">
        <f t="shared" si="127"/>
        <v>3.2400000000000001E-5</v>
      </c>
      <c r="AZ290">
        <v>3.24</v>
      </c>
      <c r="BA290" s="140">
        <f t="shared" si="128"/>
        <v>3.2399999999999988E-7</v>
      </c>
      <c r="BB290" s="140">
        <f t="shared" si="129"/>
        <v>6.4799999999999998E-7</v>
      </c>
      <c r="BC290" s="140">
        <f t="shared" si="130"/>
        <v>9.7199999999999997E-7</v>
      </c>
      <c r="BD290" s="140">
        <f t="shared" si="131"/>
        <v>1.2960000000000002E-6</v>
      </c>
      <c r="BE290" s="140">
        <f t="shared" si="132"/>
        <v>1.6200000000000002E-6</v>
      </c>
      <c r="BF290" s="157">
        <f>IF(AY290&lt;$B$89*DATA!$H$1037,DATA!$H$1037,IF(AY290&gt;DATA!$H$1036*$B$89,DATA!$H$1036,1))</f>
        <v>1.2</v>
      </c>
      <c r="BG290" s="156">
        <f t="shared" si="133"/>
        <v>9.9999999999999995E-8</v>
      </c>
      <c r="BI290" s="140">
        <f t="shared" si="134"/>
        <v>3.2400000000000001E-5</v>
      </c>
      <c r="BJ290">
        <v>3.24</v>
      </c>
      <c r="BK290" s="140">
        <f t="shared" si="135"/>
        <v>3.2399999999999988E-7</v>
      </c>
      <c r="BL290" s="140">
        <f t="shared" si="136"/>
        <v>6.4799999999999998E-7</v>
      </c>
      <c r="BM290" s="140">
        <f t="shared" si="137"/>
        <v>9.7199999999999997E-7</v>
      </c>
      <c r="BN290" s="140">
        <f t="shared" si="138"/>
        <v>1.2960000000000002E-6</v>
      </c>
      <c r="BO290" s="140">
        <f t="shared" si="139"/>
        <v>1.6200000000000002E-6</v>
      </c>
      <c r="BP290" s="157">
        <f>IF(BI290&lt;$B$105*DATA!$H$1037,DATA!$H$1037,IF(BI290&gt;DATA!$H$1036*$B$105,DATA!$H$1036,1))</f>
        <v>1.2</v>
      </c>
      <c r="BQ290" s="156">
        <f t="shared" si="140"/>
        <v>9.9999999999999995E-8</v>
      </c>
    </row>
    <row r="291" spans="1:69">
      <c r="A291" s="140">
        <f t="shared" si="96"/>
        <v>3.26E-5</v>
      </c>
      <c r="B291">
        <v>3.26</v>
      </c>
      <c r="C291" s="140">
        <f t="shared" si="97"/>
        <v>3.2599999999999988E-7</v>
      </c>
      <c r="D291" s="140">
        <f t="shared" si="97"/>
        <v>6.5199999999999986E-7</v>
      </c>
      <c r="E291" s="140">
        <f t="shared" si="97"/>
        <v>9.78E-7</v>
      </c>
      <c r="F291" s="140">
        <f t="shared" si="97"/>
        <v>1.3039999999999999E-6</v>
      </c>
      <c r="G291" s="140">
        <f t="shared" si="97"/>
        <v>1.6300000000000001E-6</v>
      </c>
      <c r="H291" s="157">
        <f>IF(A291&lt;$B$9*DATA!$H$1037,DATA!$H$1037,IF(A291&gt;DATA!$H$1036*$B$9,DATA!$H$1036,1))</f>
        <v>0.8</v>
      </c>
      <c r="I291" s="156">
        <f t="shared" si="98"/>
        <v>9.9999999999999995E-8</v>
      </c>
      <c r="K291" s="140">
        <f t="shared" si="99"/>
        <v>3.26E-5</v>
      </c>
      <c r="L291">
        <v>3.26</v>
      </c>
      <c r="M291" s="140">
        <f t="shared" si="100"/>
        <v>3.2599999999999988E-7</v>
      </c>
      <c r="N291" s="140">
        <f t="shared" si="101"/>
        <v>6.5199999999999986E-7</v>
      </c>
      <c r="O291" s="140">
        <f t="shared" si="102"/>
        <v>9.78E-7</v>
      </c>
      <c r="P291" s="140">
        <f t="shared" si="103"/>
        <v>1.3039999999999999E-6</v>
      </c>
      <c r="Q291" s="140">
        <f t="shared" si="104"/>
        <v>1.6300000000000001E-6</v>
      </c>
      <c r="R291" s="157">
        <f>IF(K291&lt;$B$25*DATA!$H$1037,DATA!$H$1037,IF(K291&gt;DATA!$H$1036*$B$25,DATA!$H$1036,1))</f>
        <v>0.8</v>
      </c>
      <c r="S291" s="156">
        <f t="shared" si="105"/>
        <v>9.9999999999999995E-8</v>
      </c>
      <c r="U291" s="140">
        <f t="shared" si="106"/>
        <v>3.26E-5</v>
      </c>
      <c r="V291">
        <v>3.26</v>
      </c>
      <c r="W291" s="140">
        <f t="shared" si="107"/>
        <v>3.2599999999999988E-7</v>
      </c>
      <c r="X291" s="140">
        <f t="shared" si="108"/>
        <v>6.5199999999999986E-7</v>
      </c>
      <c r="Y291" s="140">
        <f t="shared" si="109"/>
        <v>9.78E-7</v>
      </c>
      <c r="Z291" s="140">
        <f t="shared" si="110"/>
        <v>1.3039999999999999E-6</v>
      </c>
      <c r="AA291" s="140">
        <f t="shared" si="111"/>
        <v>1.6300000000000001E-6</v>
      </c>
      <c r="AB291" s="157">
        <f>IF(U291&lt;$B$41*DATA!$H$1037,DATA!$H$1037,IF(U291&gt;DATA!$H$1036*$B$41,DATA!$H$1036,1))</f>
        <v>0.8</v>
      </c>
      <c r="AC291" s="156">
        <f t="shared" si="112"/>
        <v>9.9999999999999995E-8</v>
      </c>
      <c r="AE291" s="140">
        <f t="shared" si="113"/>
        <v>3.26E-5</v>
      </c>
      <c r="AF291">
        <v>3.26</v>
      </c>
      <c r="AG291" s="140">
        <f t="shared" si="114"/>
        <v>3.2599999999999988E-7</v>
      </c>
      <c r="AH291" s="140">
        <f t="shared" si="115"/>
        <v>6.5199999999999986E-7</v>
      </c>
      <c r="AI291" s="140">
        <f t="shared" si="116"/>
        <v>9.78E-7</v>
      </c>
      <c r="AJ291" s="140">
        <f t="shared" si="117"/>
        <v>1.3039999999999999E-6</v>
      </c>
      <c r="AK291" s="140">
        <f t="shared" si="118"/>
        <v>1.6300000000000001E-6</v>
      </c>
      <c r="AL291" s="157">
        <f>IF(AE291&lt;$B$57*DATA!$H$1037,DATA!$H$1037,IF(AE291&gt;DATA!$H$1036*$B$57,DATA!$H$1036,1))</f>
        <v>1.2</v>
      </c>
      <c r="AM291" s="156">
        <f t="shared" si="119"/>
        <v>9.9999999999999995E-8</v>
      </c>
      <c r="AO291" s="140">
        <f t="shared" si="120"/>
        <v>3.26E-5</v>
      </c>
      <c r="AP291">
        <v>3.26</v>
      </c>
      <c r="AQ291" s="140">
        <f t="shared" si="121"/>
        <v>3.2599999999999988E-7</v>
      </c>
      <c r="AR291" s="140">
        <f t="shared" si="122"/>
        <v>6.5199999999999986E-7</v>
      </c>
      <c r="AS291" s="140">
        <f t="shared" si="123"/>
        <v>9.78E-7</v>
      </c>
      <c r="AT291" s="140">
        <f t="shared" si="124"/>
        <v>1.3039999999999999E-6</v>
      </c>
      <c r="AU291" s="140">
        <f t="shared" si="125"/>
        <v>1.6300000000000001E-6</v>
      </c>
      <c r="AV291" s="157">
        <f>IF(AO291&lt;$B$73*DATA!$H$1037,DATA!$H$1037,IF(AO291&gt;DATA!$H$1036*$B$73,DATA!$H$1036,1))</f>
        <v>1.2</v>
      </c>
      <c r="AW291" s="156">
        <f t="shared" si="126"/>
        <v>9.9999999999999995E-8</v>
      </c>
      <c r="AY291" s="140">
        <f t="shared" si="127"/>
        <v>3.26E-5</v>
      </c>
      <c r="AZ291">
        <v>3.26</v>
      </c>
      <c r="BA291" s="140">
        <f t="shared" si="128"/>
        <v>3.2599999999999988E-7</v>
      </c>
      <c r="BB291" s="140">
        <f t="shared" si="129"/>
        <v>6.5199999999999986E-7</v>
      </c>
      <c r="BC291" s="140">
        <f t="shared" si="130"/>
        <v>9.78E-7</v>
      </c>
      <c r="BD291" s="140">
        <f t="shared" si="131"/>
        <v>1.3039999999999999E-6</v>
      </c>
      <c r="BE291" s="140">
        <f t="shared" si="132"/>
        <v>1.6300000000000001E-6</v>
      </c>
      <c r="BF291" s="157">
        <f>IF(AY291&lt;$B$89*DATA!$H$1037,DATA!$H$1037,IF(AY291&gt;DATA!$H$1036*$B$89,DATA!$H$1036,1))</f>
        <v>1.2</v>
      </c>
      <c r="BG291" s="156">
        <f t="shared" si="133"/>
        <v>9.9999999999999995E-8</v>
      </c>
      <c r="BI291" s="140">
        <f t="shared" si="134"/>
        <v>3.26E-5</v>
      </c>
      <c r="BJ291">
        <v>3.26</v>
      </c>
      <c r="BK291" s="140">
        <f t="shared" si="135"/>
        <v>3.2599999999999988E-7</v>
      </c>
      <c r="BL291" s="140">
        <f t="shared" si="136"/>
        <v>6.5199999999999986E-7</v>
      </c>
      <c r="BM291" s="140">
        <f t="shared" si="137"/>
        <v>9.78E-7</v>
      </c>
      <c r="BN291" s="140">
        <f t="shared" si="138"/>
        <v>1.3039999999999999E-6</v>
      </c>
      <c r="BO291" s="140">
        <f t="shared" si="139"/>
        <v>1.6300000000000001E-6</v>
      </c>
      <c r="BP291" s="157">
        <f>IF(BI291&lt;$B$105*DATA!$H$1037,DATA!$H$1037,IF(BI291&gt;DATA!$H$1036*$B$105,DATA!$H$1036,1))</f>
        <v>1.2</v>
      </c>
      <c r="BQ291" s="156">
        <f t="shared" si="140"/>
        <v>9.9999999999999995E-8</v>
      </c>
    </row>
    <row r="292" spans="1:69">
      <c r="A292" s="140">
        <f t="shared" si="96"/>
        <v>3.2799999999999998E-5</v>
      </c>
      <c r="B292">
        <v>3.28</v>
      </c>
      <c r="C292" s="140">
        <f t="shared" si="97"/>
        <v>3.2799999999999987E-7</v>
      </c>
      <c r="D292" s="140">
        <f t="shared" si="97"/>
        <v>6.5599999999999984E-7</v>
      </c>
      <c r="E292" s="140">
        <f t="shared" si="97"/>
        <v>9.8399999999999981E-7</v>
      </c>
      <c r="F292" s="140">
        <f t="shared" si="97"/>
        <v>1.3119999999999999E-6</v>
      </c>
      <c r="G292" s="140">
        <f t="shared" si="97"/>
        <v>1.64E-6</v>
      </c>
      <c r="H292" s="157">
        <f>IF(A292&lt;$B$9*DATA!$H$1037,DATA!$H$1037,IF(A292&gt;DATA!$H$1036*$B$9,DATA!$H$1036,1))</f>
        <v>0.8</v>
      </c>
      <c r="I292" s="156">
        <f t="shared" si="98"/>
        <v>9.9999999999999995E-8</v>
      </c>
      <c r="K292" s="140">
        <f t="shared" si="99"/>
        <v>3.2799999999999998E-5</v>
      </c>
      <c r="L292">
        <v>3.28</v>
      </c>
      <c r="M292" s="140">
        <f t="shared" si="100"/>
        <v>3.2799999999999987E-7</v>
      </c>
      <c r="N292" s="140">
        <f t="shared" si="101"/>
        <v>6.5599999999999984E-7</v>
      </c>
      <c r="O292" s="140">
        <f t="shared" si="102"/>
        <v>9.8399999999999981E-7</v>
      </c>
      <c r="P292" s="140">
        <f t="shared" si="103"/>
        <v>1.3119999999999999E-6</v>
      </c>
      <c r="Q292" s="140">
        <f t="shared" si="104"/>
        <v>1.64E-6</v>
      </c>
      <c r="R292" s="157">
        <f>IF(K292&lt;$B$25*DATA!$H$1037,DATA!$H$1037,IF(K292&gt;DATA!$H$1036*$B$25,DATA!$H$1036,1))</f>
        <v>0.8</v>
      </c>
      <c r="S292" s="156">
        <f t="shared" si="105"/>
        <v>9.9999999999999995E-8</v>
      </c>
      <c r="U292" s="140">
        <f t="shared" si="106"/>
        <v>3.2799999999999998E-5</v>
      </c>
      <c r="V292">
        <v>3.28</v>
      </c>
      <c r="W292" s="140">
        <f t="shared" si="107"/>
        <v>3.2799999999999987E-7</v>
      </c>
      <c r="X292" s="140">
        <f t="shared" si="108"/>
        <v>6.5599999999999984E-7</v>
      </c>
      <c r="Y292" s="140">
        <f t="shared" si="109"/>
        <v>9.8399999999999981E-7</v>
      </c>
      <c r="Z292" s="140">
        <f t="shared" si="110"/>
        <v>1.3119999999999999E-6</v>
      </c>
      <c r="AA292" s="140">
        <f t="shared" si="111"/>
        <v>1.64E-6</v>
      </c>
      <c r="AB292" s="157">
        <f>IF(U292&lt;$B$41*DATA!$H$1037,DATA!$H$1037,IF(U292&gt;DATA!$H$1036*$B$41,DATA!$H$1036,1))</f>
        <v>0.8</v>
      </c>
      <c r="AC292" s="156">
        <f t="shared" si="112"/>
        <v>9.9999999999999995E-8</v>
      </c>
      <c r="AE292" s="140">
        <f t="shared" si="113"/>
        <v>3.2799999999999998E-5</v>
      </c>
      <c r="AF292">
        <v>3.28</v>
      </c>
      <c r="AG292" s="140">
        <f t="shared" si="114"/>
        <v>3.2799999999999987E-7</v>
      </c>
      <c r="AH292" s="140">
        <f t="shared" si="115"/>
        <v>6.5599999999999984E-7</v>
      </c>
      <c r="AI292" s="140">
        <f t="shared" si="116"/>
        <v>9.8399999999999981E-7</v>
      </c>
      <c r="AJ292" s="140">
        <f t="shared" si="117"/>
        <v>1.3119999999999999E-6</v>
      </c>
      <c r="AK292" s="140">
        <f t="shared" si="118"/>
        <v>1.64E-6</v>
      </c>
      <c r="AL292" s="157">
        <f>IF(AE292&lt;$B$57*DATA!$H$1037,DATA!$H$1037,IF(AE292&gt;DATA!$H$1036*$B$57,DATA!$H$1036,1))</f>
        <v>1.2</v>
      </c>
      <c r="AM292" s="156">
        <f t="shared" si="119"/>
        <v>9.9999999999999995E-8</v>
      </c>
      <c r="AO292" s="140">
        <f t="shared" si="120"/>
        <v>3.2799999999999998E-5</v>
      </c>
      <c r="AP292">
        <v>3.28</v>
      </c>
      <c r="AQ292" s="140">
        <f t="shared" si="121"/>
        <v>3.2799999999999987E-7</v>
      </c>
      <c r="AR292" s="140">
        <f t="shared" si="122"/>
        <v>6.5599999999999984E-7</v>
      </c>
      <c r="AS292" s="140">
        <f t="shared" si="123"/>
        <v>9.8399999999999981E-7</v>
      </c>
      <c r="AT292" s="140">
        <f t="shared" si="124"/>
        <v>1.3119999999999999E-6</v>
      </c>
      <c r="AU292" s="140">
        <f t="shared" si="125"/>
        <v>1.64E-6</v>
      </c>
      <c r="AV292" s="157">
        <f>IF(AO292&lt;$B$73*DATA!$H$1037,DATA!$H$1037,IF(AO292&gt;DATA!$H$1036*$B$73,DATA!$H$1036,1))</f>
        <v>1.2</v>
      </c>
      <c r="AW292" s="156">
        <f t="shared" si="126"/>
        <v>9.9999999999999995E-8</v>
      </c>
      <c r="AY292" s="140">
        <f t="shared" si="127"/>
        <v>3.2799999999999998E-5</v>
      </c>
      <c r="AZ292">
        <v>3.28</v>
      </c>
      <c r="BA292" s="140">
        <f t="shared" si="128"/>
        <v>3.2799999999999987E-7</v>
      </c>
      <c r="BB292" s="140">
        <f t="shared" si="129"/>
        <v>6.5599999999999984E-7</v>
      </c>
      <c r="BC292" s="140">
        <f t="shared" si="130"/>
        <v>9.8399999999999981E-7</v>
      </c>
      <c r="BD292" s="140">
        <f t="shared" si="131"/>
        <v>1.3119999999999999E-6</v>
      </c>
      <c r="BE292" s="140">
        <f t="shared" si="132"/>
        <v>1.64E-6</v>
      </c>
      <c r="BF292" s="157">
        <f>IF(AY292&lt;$B$89*DATA!$H$1037,DATA!$H$1037,IF(AY292&gt;DATA!$H$1036*$B$89,DATA!$H$1036,1))</f>
        <v>1.2</v>
      </c>
      <c r="BG292" s="156">
        <f t="shared" si="133"/>
        <v>9.9999999999999995E-8</v>
      </c>
      <c r="BI292" s="140">
        <f t="shared" si="134"/>
        <v>3.2799999999999998E-5</v>
      </c>
      <c r="BJ292">
        <v>3.28</v>
      </c>
      <c r="BK292" s="140">
        <f t="shared" si="135"/>
        <v>3.2799999999999987E-7</v>
      </c>
      <c r="BL292" s="140">
        <f t="shared" si="136"/>
        <v>6.5599999999999984E-7</v>
      </c>
      <c r="BM292" s="140">
        <f t="shared" si="137"/>
        <v>9.8399999999999981E-7</v>
      </c>
      <c r="BN292" s="140">
        <f t="shared" si="138"/>
        <v>1.3119999999999999E-6</v>
      </c>
      <c r="BO292" s="140">
        <f t="shared" si="139"/>
        <v>1.64E-6</v>
      </c>
      <c r="BP292" s="157">
        <f>IF(BI292&lt;$B$105*DATA!$H$1037,DATA!$H$1037,IF(BI292&gt;DATA!$H$1036*$B$105,DATA!$H$1036,1))</f>
        <v>1.2</v>
      </c>
      <c r="BQ292" s="156">
        <f t="shared" si="140"/>
        <v>9.9999999999999995E-8</v>
      </c>
    </row>
    <row r="293" spans="1:69">
      <c r="A293" s="140">
        <f t="shared" si="96"/>
        <v>3.3000000000000003E-5</v>
      </c>
      <c r="B293">
        <v>3.3</v>
      </c>
      <c r="C293" s="140">
        <f t="shared" si="97"/>
        <v>3.2999999999999991E-7</v>
      </c>
      <c r="D293" s="140">
        <f t="shared" si="97"/>
        <v>6.5999999999999993E-7</v>
      </c>
      <c r="E293" s="140">
        <f t="shared" si="97"/>
        <v>9.9000000000000005E-7</v>
      </c>
      <c r="F293" s="140">
        <f t="shared" si="97"/>
        <v>1.3200000000000001E-6</v>
      </c>
      <c r="G293" s="140">
        <f t="shared" si="97"/>
        <v>1.6500000000000003E-6</v>
      </c>
      <c r="H293" s="157">
        <f>IF(A293&lt;$B$9*DATA!$H$1037,DATA!$H$1037,IF(A293&gt;DATA!$H$1036*$B$9,DATA!$H$1036,1))</f>
        <v>0.8</v>
      </c>
      <c r="I293" s="156">
        <f t="shared" si="98"/>
        <v>9.9999999999999995E-8</v>
      </c>
      <c r="K293" s="140">
        <f t="shared" si="99"/>
        <v>3.3000000000000003E-5</v>
      </c>
      <c r="L293">
        <v>3.3</v>
      </c>
      <c r="M293" s="140">
        <f t="shared" si="100"/>
        <v>3.2999999999999991E-7</v>
      </c>
      <c r="N293" s="140">
        <f t="shared" si="101"/>
        <v>6.5999999999999993E-7</v>
      </c>
      <c r="O293" s="140">
        <f t="shared" si="102"/>
        <v>9.9000000000000005E-7</v>
      </c>
      <c r="P293" s="140">
        <f t="shared" si="103"/>
        <v>1.3200000000000001E-6</v>
      </c>
      <c r="Q293" s="140">
        <f t="shared" si="104"/>
        <v>1.6500000000000003E-6</v>
      </c>
      <c r="R293" s="157">
        <f>IF(K293&lt;$B$25*DATA!$H$1037,DATA!$H$1037,IF(K293&gt;DATA!$H$1036*$B$25,DATA!$H$1036,1))</f>
        <v>0.8</v>
      </c>
      <c r="S293" s="156">
        <f t="shared" si="105"/>
        <v>9.9999999999999995E-8</v>
      </c>
      <c r="U293" s="140">
        <f t="shared" si="106"/>
        <v>3.3000000000000003E-5</v>
      </c>
      <c r="V293">
        <v>3.3</v>
      </c>
      <c r="W293" s="140">
        <f t="shared" si="107"/>
        <v>3.2999999999999991E-7</v>
      </c>
      <c r="X293" s="140">
        <f t="shared" si="108"/>
        <v>6.5999999999999993E-7</v>
      </c>
      <c r="Y293" s="140">
        <f t="shared" si="109"/>
        <v>9.9000000000000005E-7</v>
      </c>
      <c r="Z293" s="140">
        <f t="shared" si="110"/>
        <v>1.3200000000000001E-6</v>
      </c>
      <c r="AA293" s="140">
        <f t="shared" si="111"/>
        <v>1.6500000000000003E-6</v>
      </c>
      <c r="AB293" s="157">
        <f>IF(U293&lt;$B$41*DATA!$H$1037,DATA!$H$1037,IF(U293&gt;DATA!$H$1036*$B$41,DATA!$H$1036,1))</f>
        <v>0.8</v>
      </c>
      <c r="AC293" s="156">
        <f t="shared" si="112"/>
        <v>9.9999999999999995E-8</v>
      </c>
      <c r="AE293" s="140">
        <f t="shared" si="113"/>
        <v>3.3000000000000003E-5</v>
      </c>
      <c r="AF293">
        <v>3.3</v>
      </c>
      <c r="AG293" s="140">
        <f t="shared" si="114"/>
        <v>3.2999999999999991E-7</v>
      </c>
      <c r="AH293" s="140">
        <f t="shared" si="115"/>
        <v>6.5999999999999993E-7</v>
      </c>
      <c r="AI293" s="140">
        <f t="shared" si="116"/>
        <v>9.9000000000000005E-7</v>
      </c>
      <c r="AJ293" s="140">
        <f t="shared" si="117"/>
        <v>1.3200000000000001E-6</v>
      </c>
      <c r="AK293" s="140">
        <f t="shared" si="118"/>
        <v>1.6500000000000003E-6</v>
      </c>
      <c r="AL293" s="157">
        <f>IF(AE293&lt;$B$57*DATA!$H$1037,DATA!$H$1037,IF(AE293&gt;DATA!$H$1036*$B$57,DATA!$H$1036,1))</f>
        <v>1.2</v>
      </c>
      <c r="AM293" s="156">
        <f t="shared" si="119"/>
        <v>9.9999999999999995E-8</v>
      </c>
      <c r="AO293" s="140">
        <f t="shared" si="120"/>
        <v>3.3000000000000003E-5</v>
      </c>
      <c r="AP293">
        <v>3.3</v>
      </c>
      <c r="AQ293" s="140">
        <f t="shared" si="121"/>
        <v>3.2999999999999991E-7</v>
      </c>
      <c r="AR293" s="140">
        <f t="shared" si="122"/>
        <v>6.5999999999999993E-7</v>
      </c>
      <c r="AS293" s="140">
        <f t="shared" si="123"/>
        <v>9.9000000000000005E-7</v>
      </c>
      <c r="AT293" s="140">
        <f t="shared" si="124"/>
        <v>1.3200000000000001E-6</v>
      </c>
      <c r="AU293" s="140">
        <f t="shared" si="125"/>
        <v>1.6500000000000003E-6</v>
      </c>
      <c r="AV293" s="157">
        <f>IF(AO293&lt;$B$73*DATA!$H$1037,DATA!$H$1037,IF(AO293&gt;DATA!$H$1036*$B$73,DATA!$H$1036,1))</f>
        <v>1.2</v>
      </c>
      <c r="AW293" s="156">
        <f t="shared" si="126"/>
        <v>9.9999999999999995E-8</v>
      </c>
      <c r="AY293" s="140">
        <f t="shared" si="127"/>
        <v>3.3000000000000003E-5</v>
      </c>
      <c r="AZ293">
        <v>3.3</v>
      </c>
      <c r="BA293" s="140">
        <f t="shared" si="128"/>
        <v>3.2999999999999991E-7</v>
      </c>
      <c r="BB293" s="140">
        <f t="shared" si="129"/>
        <v>6.5999999999999993E-7</v>
      </c>
      <c r="BC293" s="140">
        <f t="shared" si="130"/>
        <v>9.9000000000000005E-7</v>
      </c>
      <c r="BD293" s="140">
        <f t="shared" si="131"/>
        <v>1.3200000000000001E-6</v>
      </c>
      <c r="BE293" s="140">
        <f t="shared" si="132"/>
        <v>1.6500000000000003E-6</v>
      </c>
      <c r="BF293" s="157">
        <f>IF(AY293&lt;$B$89*DATA!$H$1037,DATA!$H$1037,IF(AY293&gt;DATA!$H$1036*$B$89,DATA!$H$1036,1))</f>
        <v>1.2</v>
      </c>
      <c r="BG293" s="156">
        <f t="shared" si="133"/>
        <v>9.9999999999999995E-8</v>
      </c>
      <c r="BI293" s="140">
        <f t="shared" si="134"/>
        <v>3.3000000000000003E-5</v>
      </c>
      <c r="BJ293">
        <v>3.3</v>
      </c>
      <c r="BK293" s="140">
        <f t="shared" si="135"/>
        <v>3.2999999999999991E-7</v>
      </c>
      <c r="BL293" s="140">
        <f t="shared" si="136"/>
        <v>6.5999999999999993E-7</v>
      </c>
      <c r="BM293" s="140">
        <f t="shared" si="137"/>
        <v>9.9000000000000005E-7</v>
      </c>
      <c r="BN293" s="140">
        <f t="shared" si="138"/>
        <v>1.3200000000000001E-6</v>
      </c>
      <c r="BO293" s="140">
        <f t="shared" si="139"/>
        <v>1.6500000000000003E-6</v>
      </c>
      <c r="BP293" s="157">
        <f>IF(BI293&lt;$B$105*DATA!$H$1037,DATA!$H$1037,IF(BI293&gt;DATA!$H$1036*$B$105,DATA!$H$1036,1))</f>
        <v>1.2</v>
      </c>
      <c r="BQ293" s="156">
        <f t="shared" si="140"/>
        <v>9.9999999999999995E-8</v>
      </c>
    </row>
    <row r="294" spans="1:69">
      <c r="A294" s="140">
        <f t="shared" si="96"/>
        <v>3.3200000000000001E-5</v>
      </c>
      <c r="B294">
        <v>3.32</v>
      </c>
      <c r="C294" s="140">
        <f t="shared" si="97"/>
        <v>3.319999999999999E-7</v>
      </c>
      <c r="D294" s="140">
        <f t="shared" si="97"/>
        <v>6.6399999999999991E-7</v>
      </c>
      <c r="E294" s="140">
        <f t="shared" si="97"/>
        <v>9.9600000000000008E-7</v>
      </c>
      <c r="F294" s="140">
        <f t="shared" si="97"/>
        <v>1.328E-6</v>
      </c>
      <c r="G294" s="140">
        <f t="shared" si="97"/>
        <v>1.6600000000000002E-6</v>
      </c>
      <c r="H294" s="157">
        <f>IF(A294&lt;$B$9*DATA!$H$1037,DATA!$H$1037,IF(A294&gt;DATA!$H$1036*$B$9,DATA!$H$1036,1))</f>
        <v>0.8</v>
      </c>
      <c r="I294" s="156">
        <f t="shared" si="98"/>
        <v>9.9999999999999995E-8</v>
      </c>
      <c r="K294" s="140">
        <f t="shared" si="99"/>
        <v>3.3200000000000001E-5</v>
      </c>
      <c r="L294">
        <v>3.32</v>
      </c>
      <c r="M294" s="140">
        <f t="shared" si="100"/>
        <v>3.319999999999999E-7</v>
      </c>
      <c r="N294" s="140">
        <f t="shared" si="101"/>
        <v>6.6399999999999991E-7</v>
      </c>
      <c r="O294" s="140">
        <f t="shared" si="102"/>
        <v>9.9600000000000008E-7</v>
      </c>
      <c r="P294" s="140">
        <f t="shared" si="103"/>
        <v>1.328E-6</v>
      </c>
      <c r="Q294" s="140">
        <f t="shared" si="104"/>
        <v>1.6600000000000002E-6</v>
      </c>
      <c r="R294" s="157">
        <f>IF(K294&lt;$B$25*DATA!$H$1037,DATA!$H$1037,IF(K294&gt;DATA!$H$1036*$B$25,DATA!$H$1036,1))</f>
        <v>0.8</v>
      </c>
      <c r="S294" s="156">
        <f t="shared" si="105"/>
        <v>9.9999999999999995E-8</v>
      </c>
      <c r="U294" s="140">
        <f t="shared" si="106"/>
        <v>3.3200000000000001E-5</v>
      </c>
      <c r="V294">
        <v>3.32</v>
      </c>
      <c r="W294" s="140">
        <f t="shared" si="107"/>
        <v>3.319999999999999E-7</v>
      </c>
      <c r="X294" s="140">
        <f t="shared" si="108"/>
        <v>6.6399999999999991E-7</v>
      </c>
      <c r="Y294" s="140">
        <f t="shared" si="109"/>
        <v>9.9600000000000008E-7</v>
      </c>
      <c r="Z294" s="140">
        <f t="shared" si="110"/>
        <v>1.328E-6</v>
      </c>
      <c r="AA294" s="140">
        <f t="shared" si="111"/>
        <v>1.6600000000000002E-6</v>
      </c>
      <c r="AB294" s="157">
        <f>IF(U294&lt;$B$41*DATA!$H$1037,DATA!$H$1037,IF(U294&gt;DATA!$H$1036*$B$41,DATA!$H$1036,1))</f>
        <v>0.8</v>
      </c>
      <c r="AC294" s="156">
        <f t="shared" si="112"/>
        <v>9.9999999999999995E-8</v>
      </c>
      <c r="AE294" s="140">
        <f t="shared" si="113"/>
        <v>3.3200000000000001E-5</v>
      </c>
      <c r="AF294">
        <v>3.32</v>
      </c>
      <c r="AG294" s="140">
        <f t="shared" si="114"/>
        <v>3.319999999999999E-7</v>
      </c>
      <c r="AH294" s="140">
        <f t="shared" si="115"/>
        <v>6.6399999999999991E-7</v>
      </c>
      <c r="AI294" s="140">
        <f t="shared" si="116"/>
        <v>9.9600000000000008E-7</v>
      </c>
      <c r="AJ294" s="140">
        <f t="shared" si="117"/>
        <v>1.328E-6</v>
      </c>
      <c r="AK294" s="140">
        <f t="shared" si="118"/>
        <v>1.6600000000000002E-6</v>
      </c>
      <c r="AL294" s="157">
        <f>IF(AE294&lt;$B$57*DATA!$H$1037,DATA!$H$1037,IF(AE294&gt;DATA!$H$1036*$B$57,DATA!$H$1036,1))</f>
        <v>1.2</v>
      </c>
      <c r="AM294" s="156">
        <f t="shared" si="119"/>
        <v>9.9999999999999995E-8</v>
      </c>
      <c r="AO294" s="140">
        <f t="shared" si="120"/>
        <v>3.3200000000000001E-5</v>
      </c>
      <c r="AP294">
        <v>3.32</v>
      </c>
      <c r="AQ294" s="140">
        <f t="shared" si="121"/>
        <v>3.319999999999999E-7</v>
      </c>
      <c r="AR294" s="140">
        <f t="shared" si="122"/>
        <v>6.6399999999999991E-7</v>
      </c>
      <c r="AS294" s="140">
        <f t="shared" si="123"/>
        <v>9.9600000000000008E-7</v>
      </c>
      <c r="AT294" s="140">
        <f t="shared" si="124"/>
        <v>1.328E-6</v>
      </c>
      <c r="AU294" s="140">
        <f t="shared" si="125"/>
        <v>1.6600000000000002E-6</v>
      </c>
      <c r="AV294" s="157">
        <f>IF(AO294&lt;$B$73*DATA!$H$1037,DATA!$H$1037,IF(AO294&gt;DATA!$H$1036*$B$73,DATA!$H$1036,1))</f>
        <v>1.2</v>
      </c>
      <c r="AW294" s="156">
        <f t="shared" si="126"/>
        <v>9.9999999999999995E-8</v>
      </c>
      <c r="AY294" s="140">
        <f t="shared" si="127"/>
        <v>3.3200000000000001E-5</v>
      </c>
      <c r="AZ294">
        <v>3.32</v>
      </c>
      <c r="BA294" s="140">
        <f t="shared" si="128"/>
        <v>3.319999999999999E-7</v>
      </c>
      <c r="BB294" s="140">
        <f t="shared" si="129"/>
        <v>6.6399999999999991E-7</v>
      </c>
      <c r="BC294" s="140">
        <f t="shared" si="130"/>
        <v>9.9600000000000008E-7</v>
      </c>
      <c r="BD294" s="140">
        <f t="shared" si="131"/>
        <v>1.328E-6</v>
      </c>
      <c r="BE294" s="140">
        <f t="shared" si="132"/>
        <v>1.6600000000000002E-6</v>
      </c>
      <c r="BF294" s="157">
        <f>IF(AY294&lt;$B$89*DATA!$H$1037,DATA!$H$1037,IF(AY294&gt;DATA!$H$1036*$B$89,DATA!$H$1036,1))</f>
        <v>1.2</v>
      </c>
      <c r="BG294" s="156">
        <f t="shared" si="133"/>
        <v>9.9999999999999995E-8</v>
      </c>
      <c r="BI294" s="140">
        <f t="shared" si="134"/>
        <v>3.3200000000000001E-5</v>
      </c>
      <c r="BJ294">
        <v>3.32</v>
      </c>
      <c r="BK294" s="140">
        <f t="shared" si="135"/>
        <v>3.319999999999999E-7</v>
      </c>
      <c r="BL294" s="140">
        <f t="shared" si="136"/>
        <v>6.6399999999999991E-7</v>
      </c>
      <c r="BM294" s="140">
        <f t="shared" si="137"/>
        <v>9.9600000000000008E-7</v>
      </c>
      <c r="BN294" s="140">
        <f t="shared" si="138"/>
        <v>1.328E-6</v>
      </c>
      <c r="BO294" s="140">
        <f t="shared" si="139"/>
        <v>1.6600000000000002E-6</v>
      </c>
      <c r="BP294" s="157">
        <f>IF(BI294&lt;$B$105*DATA!$H$1037,DATA!$H$1037,IF(BI294&gt;DATA!$H$1036*$B$105,DATA!$H$1036,1))</f>
        <v>1.2</v>
      </c>
      <c r="BQ294" s="156">
        <f t="shared" si="140"/>
        <v>9.9999999999999995E-8</v>
      </c>
    </row>
    <row r="295" spans="1:69">
      <c r="A295" s="140">
        <f t="shared" si="96"/>
        <v>3.3399999999999999E-5</v>
      </c>
      <c r="B295">
        <v>3.34</v>
      </c>
      <c r="C295" s="140">
        <f t="shared" si="97"/>
        <v>3.3399999999999989E-7</v>
      </c>
      <c r="D295" s="140">
        <f t="shared" si="97"/>
        <v>6.6799999999999989E-7</v>
      </c>
      <c r="E295" s="140">
        <f t="shared" si="97"/>
        <v>1.0019999999999999E-6</v>
      </c>
      <c r="F295" s="140">
        <f t="shared" si="97"/>
        <v>1.336E-6</v>
      </c>
      <c r="G295" s="140">
        <f t="shared" si="97"/>
        <v>1.6700000000000001E-6</v>
      </c>
      <c r="H295" s="157">
        <f>IF(A295&lt;$B$9*DATA!$H$1037,DATA!$H$1037,IF(A295&gt;DATA!$H$1036*$B$9,DATA!$H$1036,1))</f>
        <v>0.8</v>
      </c>
      <c r="I295" s="156">
        <f t="shared" si="98"/>
        <v>9.9999999999999995E-8</v>
      </c>
      <c r="K295" s="140">
        <f t="shared" si="99"/>
        <v>3.3399999999999999E-5</v>
      </c>
      <c r="L295">
        <v>3.34</v>
      </c>
      <c r="M295" s="140">
        <f t="shared" si="100"/>
        <v>3.3399999999999989E-7</v>
      </c>
      <c r="N295" s="140">
        <f t="shared" si="101"/>
        <v>6.6799999999999989E-7</v>
      </c>
      <c r="O295" s="140">
        <f t="shared" si="102"/>
        <v>1.0019999999999999E-6</v>
      </c>
      <c r="P295" s="140">
        <f t="shared" si="103"/>
        <v>1.336E-6</v>
      </c>
      <c r="Q295" s="140">
        <f t="shared" si="104"/>
        <v>1.6700000000000001E-6</v>
      </c>
      <c r="R295" s="157">
        <f>IF(K295&lt;$B$25*DATA!$H$1037,DATA!$H$1037,IF(K295&gt;DATA!$H$1036*$B$25,DATA!$H$1036,1))</f>
        <v>0.8</v>
      </c>
      <c r="S295" s="156">
        <f t="shared" si="105"/>
        <v>9.9999999999999995E-8</v>
      </c>
      <c r="U295" s="140">
        <f t="shared" si="106"/>
        <v>3.3399999999999999E-5</v>
      </c>
      <c r="V295">
        <v>3.34</v>
      </c>
      <c r="W295" s="140">
        <f t="shared" si="107"/>
        <v>3.3399999999999989E-7</v>
      </c>
      <c r="X295" s="140">
        <f t="shared" si="108"/>
        <v>6.6799999999999989E-7</v>
      </c>
      <c r="Y295" s="140">
        <f t="shared" si="109"/>
        <v>1.0019999999999999E-6</v>
      </c>
      <c r="Z295" s="140">
        <f t="shared" si="110"/>
        <v>1.336E-6</v>
      </c>
      <c r="AA295" s="140">
        <f t="shared" si="111"/>
        <v>1.6700000000000001E-6</v>
      </c>
      <c r="AB295" s="157">
        <f>IF(U295&lt;$B$41*DATA!$H$1037,DATA!$H$1037,IF(U295&gt;DATA!$H$1036*$B$41,DATA!$H$1036,1))</f>
        <v>0.8</v>
      </c>
      <c r="AC295" s="156">
        <f t="shared" si="112"/>
        <v>9.9999999999999995E-8</v>
      </c>
      <c r="AE295" s="140">
        <f t="shared" si="113"/>
        <v>3.3399999999999999E-5</v>
      </c>
      <c r="AF295">
        <v>3.34</v>
      </c>
      <c r="AG295" s="140">
        <f t="shared" si="114"/>
        <v>3.3399999999999989E-7</v>
      </c>
      <c r="AH295" s="140">
        <f t="shared" si="115"/>
        <v>6.6799999999999989E-7</v>
      </c>
      <c r="AI295" s="140">
        <f t="shared" si="116"/>
        <v>1.0019999999999999E-6</v>
      </c>
      <c r="AJ295" s="140">
        <f t="shared" si="117"/>
        <v>1.336E-6</v>
      </c>
      <c r="AK295" s="140">
        <f t="shared" si="118"/>
        <v>1.6700000000000001E-6</v>
      </c>
      <c r="AL295" s="157">
        <f>IF(AE295&lt;$B$57*DATA!$H$1037,DATA!$H$1037,IF(AE295&gt;DATA!$H$1036*$B$57,DATA!$H$1036,1))</f>
        <v>1.2</v>
      </c>
      <c r="AM295" s="156">
        <f t="shared" si="119"/>
        <v>9.9999999999999995E-8</v>
      </c>
      <c r="AO295" s="140">
        <f t="shared" si="120"/>
        <v>3.3399999999999999E-5</v>
      </c>
      <c r="AP295">
        <v>3.34</v>
      </c>
      <c r="AQ295" s="140">
        <f t="shared" si="121"/>
        <v>3.3399999999999989E-7</v>
      </c>
      <c r="AR295" s="140">
        <f t="shared" si="122"/>
        <v>6.6799999999999989E-7</v>
      </c>
      <c r="AS295" s="140">
        <f t="shared" si="123"/>
        <v>1.0019999999999999E-6</v>
      </c>
      <c r="AT295" s="140">
        <f t="shared" si="124"/>
        <v>1.336E-6</v>
      </c>
      <c r="AU295" s="140">
        <f t="shared" si="125"/>
        <v>1.6700000000000001E-6</v>
      </c>
      <c r="AV295" s="157">
        <f>IF(AO295&lt;$B$73*DATA!$H$1037,DATA!$H$1037,IF(AO295&gt;DATA!$H$1036*$B$73,DATA!$H$1036,1))</f>
        <v>1.2</v>
      </c>
      <c r="AW295" s="156">
        <f t="shared" si="126"/>
        <v>9.9999999999999995E-8</v>
      </c>
      <c r="AY295" s="140">
        <f t="shared" si="127"/>
        <v>3.3399999999999999E-5</v>
      </c>
      <c r="AZ295">
        <v>3.34</v>
      </c>
      <c r="BA295" s="140">
        <f t="shared" si="128"/>
        <v>3.3399999999999989E-7</v>
      </c>
      <c r="BB295" s="140">
        <f t="shared" si="129"/>
        <v>6.6799999999999989E-7</v>
      </c>
      <c r="BC295" s="140">
        <f t="shared" si="130"/>
        <v>1.0019999999999999E-6</v>
      </c>
      <c r="BD295" s="140">
        <f t="shared" si="131"/>
        <v>1.336E-6</v>
      </c>
      <c r="BE295" s="140">
        <f t="shared" si="132"/>
        <v>1.6700000000000001E-6</v>
      </c>
      <c r="BF295" s="157">
        <f>IF(AY295&lt;$B$89*DATA!$H$1037,DATA!$H$1037,IF(AY295&gt;DATA!$H$1036*$B$89,DATA!$H$1036,1))</f>
        <v>1.2</v>
      </c>
      <c r="BG295" s="156">
        <f t="shared" si="133"/>
        <v>9.9999999999999995E-8</v>
      </c>
      <c r="BI295" s="140">
        <f t="shared" si="134"/>
        <v>3.3399999999999999E-5</v>
      </c>
      <c r="BJ295">
        <v>3.34</v>
      </c>
      <c r="BK295" s="140">
        <f t="shared" si="135"/>
        <v>3.3399999999999989E-7</v>
      </c>
      <c r="BL295" s="140">
        <f t="shared" si="136"/>
        <v>6.6799999999999989E-7</v>
      </c>
      <c r="BM295" s="140">
        <f t="shared" si="137"/>
        <v>1.0019999999999999E-6</v>
      </c>
      <c r="BN295" s="140">
        <f t="shared" si="138"/>
        <v>1.336E-6</v>
      </c>
      <c r="BO295" s="140">
        <f t="shared" si="139"/>
        <v>1.6700000000000001E-6</v>
      </c>
      <c r="BP295" s="157">
        <f>IF(BI295&lt;$B$105*DATA!$H$1037,DATA!$H$1037,IF(BI295&gt;DATA!$H$1036*$B$105,DATA!$H$1036,1))</f>
        <v>1.2</v>
      </c>
      <c r="BQ295" s="156">
        <f t="shared" si="140"/>
        <v>9.9999999999999995E-8</v>
      </c>
    </row>
    <row r="296" spans="1:69">
      <c r="A296" s="140">
        <f t="shared" si="96"/>
        <v>3.3600000000000004E-5</v>
      </c>
      <c r="B296">
        <v>3.36</v>
      </c>
      <c r="C296" s="140">
        <f t="shared" si="97"/>
        <v>3.3599999999999994E-7</v>
      </c>
      <c r="D296" s="140">
        <f t="shared" si="97"/>
        <v>6.7199999999999998E-7</v>
      </c>
      <c r="E296" s="140">
        <f t="shared" si="97"/>
        <v>1.0080000000000001E-6</v>
      </c>
      <c r="F296" s="140">
        <f t="shared" si="97"/>
        <v>1.3440000000000002E-6</v>
      </c>
      <c r="G296" s="140">
        <f t="shared" si="97"/>
        <v>1.6800000000000002E-6</v>
      </c>
      <c r="H296" s="157">
        <f>IF(A296&lt;$B$9*DATA!$H$1037,DATA!$H$1037,IF(A296&gt;DATA!$H$1036*$B$9,DATA!$H$1036,1))</f>
        <v>0.8</v>
      </c>
      <c r="I296" s="156">
        <f t="shared" si="98"/>
        <v>9.9999999999999995E-8</v>
      </c>
      <c r="K296" s="140">
        <f t="shared" si="99"/>
        <v>3.3600000000000004E-5</v>
      </c>
      <c r="L296">
        <v>3.36</v>
      </c>
      <c r="M296" s="140">
        <f t="shared" si="100"/>
        <v>3.3599999999999994E-7</v>
      </c>
      <c r="N296" s="140">
        <f t="shared" si="101"/>
        <v>6.7199999999999998E-7</v>
      </c>
      <c r="O296" s="140">
        <f t="shared" si="102"/>
        <v>1.0080000000000001E-6</v>
      </c>
      <c r="P296" s="140">
        <f t="shared" si="103"/>
        <v>1.3440000000000002E-6</v>
      </c>
      <c r="Q296" s="140">
        <f t="shared" si="104"/>
        <v>1.6800000000000002E-6</v>
      </c>
      <c r="R296" s="157">
        <f>IF(K296&lt;$B$25*DATA!$H$1037,DATA!$H$1037,IF(K296&gt;DATA!$H$1036*$B$25,DATA!$H$1036,1))</f>
        <v>0.8</v>
      </c>
      <c r="S296" s="156">
        <f t="shared" si="105"/>
        <v>9.9999999999999995E-8</v>
      </c>
      <c r="U296" s="140">
        <f t="shared" si="106"/>
        <v>3.3600000000000004E-5</v>
      </c>
      <c r="V296">
        <v>3.36</v>
      </c>
      <c r="W296" s="140">
        <f t="shared" si="107"/>
        <v>3.3599999999999994E-7</v>
      </c>
      <c r="X296" s="140">
        <f t="shared" si="108"/>
        <v>6.7199999999999998E-7</v>
      </c>
      <c r="Y296" s="140">
        <f t="shared" si="109"/>
        <v>1.0080000000000001E-6</v>
      </c>
      <c r="Z296" s="140">
        <f t="shared" si="110"/>
        <v>1.3440000000000002E-6</v>
      </c>
      <c r="AA296" s="140">
        <f t="shared" si="111"/>
        <v>1.6800000000000002E-6</v>
      </c>
      <c r="AB296" s="157">
        <f>IF(U296&lt;$B$41*DATA!$H$1037,DATA!$H$1037,IF(U296&gt;DATA!$H$1036*$B$41,DATA!$H$1036,1))</f>
        <v>0.8</v>
      </c>
      <c r="AC296" s="156">
        <f t="shared" si="112"/>
        <v>9.9999999999999995E-8</v>
      </c>
      <c r="AE296" s="140">
        <f t="shared" si="113"/>
        <v>3.3600000000000004E-5</v>
      </c>
      <c r="AF296">
        <v>3.36</v>
      </c>
      <c r="AG296" s="140">
        <f t="shared" si="114"/>
        <v>3.3599999999999994E-7</v>
      </c>
      <c r="AH296" s="140">
        <f t="shared" si="115"/>
        <v>6.7199999999999998E-7</v>
      </c>
      <c r="AI296" s="140">
        <f t="shared" si="116"/>
        <v>1.0080000000000001E-6</v>
      </c>
      <c r="AJ296" s="140">
        <f t="shared" si="117"/>
        <v>1.3440000000000002E-6</v>
      </c>
      <c r="AK296" s="140">
        <f t="shared" si="118"/>
        <v>1.6800000000000002E-6</v>
      </c>
      <c r="AL296" s="157">
        <f>IF(AE296&lt;$B$57*DATA!$H$1037,DATA!$H$1037,IF(AE296&gt;DATA!$H$1036*$B$57,DATA!$H$1036,1))</f>
        <v>1.2</v>
      </c>
      <c r="AM296" s="156">
        <f t="shared" si="119"/>
        <v>9.9999999999999995E-8</v>
      </c>
      <c r="AO296" s="140">
        <f t="shared" si="120"/>
        <v>3.3600000000000004E-5</v>
      </c>
      <c r="AP296">
        <v>3.36</v>
      </c>
      <c r="AQ296" s="140">
        <f t="shared" si="121"/>
        <v>3.3599999999999994E-7</v>
      </c>
      <c r="AR296" s="140">
        <f t="shared" si="122"/>
        <v>6.7199999999999998E-7</v>
      </c>
      <c r="AS296" s="140">
        <f t="shared" si="123"/>
        <v>1.0080000000000001E-6</v>
      </c>
      <c r="AT296" s="140">
        <f t="shared" si="124"/>
        <v>1.3440000000000002E-6</v>
      </c>
      <c r="AU296" s="140">
        <f t="shared" si="125"/>
        <v>1.6800000000000002E-6</v>
      </c>
      <c r="AV296" s="157">
        <f>IF(AO296&lt;$B$73*DATA!$H$1037,DATA!$H$1037,IF(AO296&gt;DATA!$H$1036*$B$73,DATA!$H$1036,1))</f>
        <v>1.2</v>
      </c>
      <c r="AW296" s="156">
        <f t="shared" si="126"/>
        <v>9.9999999999999995E-8</v>
      </c>
      <c r="AY296" s="140">
        <f t="shared" si="127"/>
        <v>3.3600000000000004E-5</v>
      </c>
      <c r="AZ296">
        <v>3.36</v>
      </c>
      <c r="BA296" s="140">
        <f t="shared" si="128"/>
        <v>3.3599999999999994E-7</v>
      </c>
      <c r="BB296" s="140">
        <f t="shared" si="129"/>
        <v>6.7199999999999998E-7</v>
      </c>
      <c r="BC296" s="140">
        <f t="shared" si="130"/>
        <v>1.0080000000000001E-6</v>
      </c>
      <c r="BD296" s="140">
        <f t="shared" si="131"/>
        <v>1.3440000000000002E-6</v>
      </c>
      <c r="BE296" s="140">
        <f t="shared" si="132"/>
        <v>1.6800000000000002E-6</v>
      </c>
      <c r="BF296" s="157">
        <f>IF(AY296&lt;$B$89*DATA!$H$1037,DATA!$H$1037,IF(AY296&gt;DATA!$H$1036*$B$89,DATA!$H$1036,1))</f>
        <v>1.2</v>
      </c>
      <c r="BG296" s="156">
        <f t="shared" si="133"/>
        <v>9.9999999999999995E-8</v>
      </c>
      <c r="BI296" s="140">
        <f t="shared" si="134"/>
        <v>3.3600000000000004E-5</v>
      </c>
      <c r="BJ296">
        <v>3.36</v>
      </c>
      <c r="BK296" s="140">
        <f t="shared" si="135"/>
        <v>3.3599999999999994E-7</v>
      </c>
      <c r="BL296" s="140">
        <f t="shared" si="136"/>
        <v>6.7199999999999998E-7</v>
      </c>
      <c r="BM296" s="140">
        <f t="shared" si="137"/>
        <v>1.0080000000000001E-6</v>
      </c>
      <c r="BN296" s="140">
        <f t="shared" si="138"/>
        <v>1.3440000000000002E-6</v>
      </c>
      <c r="BO296" s="140">
        <f t="shared" si="139"/>
        <v>1.6800000000000002E-6</v>
      </c>
      <c r="BP296" s="157">
        <f>IF(BI296&lt;$B$105*DATA!$H$1037,DATA!$H$1037,IF(BI296&gt;DATA!$H$1036*$B$105,DATA!$H$1036,1))</f>
        <v>1.2</v>
      </c>
      <c r="BQ296" s="156">
        <f t="shared" si="140"/>
        <v>9.9999999999999995E-8</v>
      </c>
    </row>
    <row r="297" spans="1:69">
      <c r="A297" s="140">
        <f t="shared" si="96"/>
        <v>3.3800000000000002E-5</v>
      </c>
      <c r="B297">
        <v>3.38</v>
      </c>
      <c r="C297" s="140">
        <f t="shared" si="97"/>
        <v>3.3799999999999993E-7</v>
      </c>
      <c r="D297" s="140">
        <f t="shared" si="97"/>
        <v>6.7599999999999997E-7</v>
      </c>
      <c r="E297" s="140">
        <f t="shared" si="97"/>
        <v>1.0139999999999999E-6</v>
      </c>
      <c r="F297" s="140">
        <f t="shared" si="97"/>
        <v>1.3520000000000001E-6</v>
      </c>
      <c r="G297" s="140">
        <f t="shared" si="97"/>
        <v>1.6900000000000001E-6</v>
      </c>
      <c r="H297" s="157">
        <f>IF(A297&lt;$B$9*DATA!$H$1037,DATA!$H$1037,IF(A297&gt;DATA!$H$1036*$B$9,DATA!$H$1036,1))</f>
        <v>0.8</v>
      </c>
      <c r="I297" s="156">
        <f t="shared" si="98"/>
        <v>9.9999999999999995E-8</v>
      </c>
      <c r="K297" s="140">
        <f t="shared" si="99"/>
        <v>3.3800000000000002E-5</v>
      </c>
      <c r="L297">
        <v>3.38</v>
      </c>
      <c r="M297" s="140">
        <f t="shared" si="100"/>
        <v>3.3799999999999993E-7</v>
      </c>
      <c r="N297" s="140">
        <f t="shared" si="101"/>
        <v>6.7599999999999997E-7</v>
      </c>
      <c r="O297" s="140">
        <f t="shared" si="102"/>
        <v>1.0139999999999999E-6</v>
      </c>
      <c r="P297" s="140">
        <f t="shared" si="103"/>
        <v>1.3520000000000001E-6</v>
      </c>
      <c r="Q297" s="140">
        <f t="shared" si="104"/>
        <v>1.6900000000000001E-6</v>
      </c>
      <c r="R297" s="157">
        <f>IF(K297&lt;$B$25*DATA!$H$1037,DATA!$H$1037,IF(K297&gt;DATA!$H$1036*$B$25,DATA!$H$1036,1))</f>
        <v>0.8</v>
      </c>
      <c r="S297" s="156">
        <f t="shared" si="105"/>
        <v>9.9999999999999995E-8</v>
      </c>
      <c r="U297" s="140">
        <f t="shared" si="106"/>
        <v>3.3800000000000002E-5</v>
      </c>
      <c r="V297">
        <v>3.38</v>
      </c>
      <c r="W297" s="140">
        <f t="shared" si="107"/>
        <v>3.3799999999999993E-7</v>
      </c>
      <c r="X297" s="140">
        <f t="shared" si="108"/>
        <v>6.7599999999999997E-7</v>
      </c>
      <c r="Y297" s="140">
        <f t="shared" si="109"/>
        <v>1.0139999999999999E-6</v>
      </c>
      <c r="Z297" s="140">
        <f t="shared" si="110"/>
        <v>1.3520000000000001E-6</v>
      </c>
      <c r="AA297" s="140">
        <f t="shared" si="111"/>
        <v>1.6900000000000001E-6</v>
      </c>
      <c r="AB297" s="157">
        <f>IF(U297&lt;$B$41*DATA!$H$1037,DATA!$H$1037,IF(U297&gt;DATA!$H$1036*$B$41,DATA!$H$1036,1))</f>
        <v>0.8</v>
      </c>
      <c r="AC297" s="156">
        <f t="shared" si="112"/>
        <v>9.9999999999999995E-8</v>
      </c>
      <c r="AE297" s="140">
        <f t="shared" si="113"/>
        <v>3.3800000000000002E-5</v>
      </c>
      <c r="AF297">
        <v>3.38</v>
      </c>
      <c r="AG297" s="140">
        <f t="shared" si="114"/>
        <v>3.3799999999999993E-7</v>
      </c>
      <c r="AH297" s="140">
        <f t="shared" si="115"/>
        <v>6.7599999999999997E-7</v>
      </c>
      <c r="AI297" s="140">
        <f t="shared" si="116"/>
        <v>1.0139999999999999E-6</v>
      </c>
      <c r="AJ297" s="140">
        <f t="shared" si="117"/>
        <v>1.3520000000000001E-6</v>
      </c>
      <c r="AK297" s="140">
        <f t="shared" si="118"/>
        <v>1.6900000000000001E-6</v>
      </c>
      <c r="AL297" s="157">
        <f>IF(AE297&lt;$B$57*DATA!$H$1037,DATA!$H$1037,IF(AE297&gt;DATA!$H$1036*$B$57,DATA!$H$1036,1))</f>
        <v>1.2</v>
      </c>
      <c r="AM297" s="156">
        <f t="shared" si="119"/>
        <v>9.9999999999999995E-8</v>
      </c>
      <c r="AO297" s="140">
        <f t="shared" si="120"/>
        <v>3.3800000000000002E-5</v>
      </c>
      <c r="AP297">
        <v>3.38</v>
      </c>
      <c r="AQ297" s="140">
        <f t="shared" si="121"/>
        <v>3.3799999999999993E-7</v>
      </c>
      <c r="AR297" s="140">
        <f t="shared" si="122"/>
        <v>6.7599999999999997E-7</v>
      </c>
      <c r="AS297" s="140">
        <f t="shared" si="123"/>
        <v>1.0139999999999999E-6</v>
      </c>
      <c r="AT297" s="140">
        <f t="shared" si="124"/>
        <v>1.3520000000000001E-6</v>
      </c>
      <c r="AU297" s="140">
        <f t="shared" si="125"/>
        <v>1.6900000000000001E-6</v>
      </c>
      <c r="AV297" s="157">
        <f>IF(AO297&lt;$B$73*DATA!$H$1037,DATA!$H$1037,IF(AO297&gt;DATA!$H$1036*$B$73,DATA!$H$1036,1))</f>
        <v>1.2</v>
      </c>
      <c r="AW297" s="156">
        <f t="shared" si="126"/>
        <v>9.9999999999999995E-8</v>
      </c>
      <c r="AY297" s="140">
        <f t="shared" si="127"/>
        <v>3.3800000000000002E-5</v>
      </c>
      <c r="AZ297">
        <v>3.38</v>
      </c>
      <c r="BA297" s="140">
        <f t="shared" si="128"/>
        <v>3.3799999999999993E-7</v>
      </c>
      <c r="BB297" s="140">
        <f t="shared" si="129"/>
        <v>6.7599999999999997E-7</v>
      </c>
      <c r="BC297" s="140">
        <f t="shared" si="130"/>
        <v>1.0139999999999999E-6</v>
      </c>
      <c r="BD297" s="140">
        <f t="shared" si="131"/>
        <v>1.3520000000000001E-6</v>
      </c>
      <c r="BE297" s="140">
        <f t="shared" si="132"/>
        <v>1.6900000000000001E-6</v>
      </c>
      <c r="BF297" s="157">
        <f>IF(AY297&lt;$B$89*DATA!$H$1037,DATA!$H$1037,IF(AY297&gt;DATA!$H$1036*$B$89,DATA!$H$1036,1))</f>
        <v>1.2</v>
      </c>
      <c r="BG297" s="156">
        <f t="shared" si="133"/>
        <v>9.9999999999999995E-8</v>
      </c>
      <c r="BI297" s="140">
        <f t="shared" si="134"/>
        <v>3.3800000000000002E-5</v>
      </c>
      <c r="BJ297">
        <v>3.38</v>
      </c>
      <c r="BK297" s="140">
        <f t="shared" si="135"/>
        <v>3.3799999999999993E-7</v>
      </c>
      <c r="BL297" s="140">
        <f t="shared" si="136"/>
        <v>6.7599999999999997E-7</v>
      </c>
      <c r="BM297" s="140">
        <f t="shared" si="137"/>
        <v>1.0139999999999999E-6</v>
      </c>
      <c r="BN297" s="140">
        <f t="shared" si="138"/>
        <v>1.3520000000000001E-6</v>
      </c>
      <c r="BO297" s="140">
        <f t="shared" si="139"/>
        <v>1.6900000000000001E-6</v>
      </c>
      <c r="BP297" s="157">
        <f>IF(BI297&lt;$B$105*DATA!$H$1037,DATA!$H$1037,IF(BI297&gt;DATA!$H$1036*$B$105,DATA!$H$1036,1))</f>
        <v>1.2</v>
      </c>
      <c r="BQ297" s="156">
        <f t="shared" si="140"/>
        <v>9.9999999999999995E-8</v>
      </c>
    </row>
    <row r="298" spans="1:69">
      <c r="A298" s="140">
        <f t="shared" si="96"/>
        <v>3.4E-5</v>
      </c>
      <c r="B298">
        <v>3.4</v>
      </c>
      <c r="C298" s="140">
        <f t="shared" si="97"/>
        <v>3.3999999999999987E-7</v>
      </c>
      <c r="D298" s="140">
        <f t="shared" si="97"/>
        <v>6.7999999999999984E-7</v>
      </c>
      <c r="E298" s="140">
        <f t="shared" si="97"/>
        <v>1.02E-6</v>
      </c>
      <c r="F298" s="140">
        <f t="shared" si="97"/>
        <v>1.3600000000000001E-6</v>
      </c>
      <c r="G298" s="140">
        <f t="shared" si="97"/>
        <v>1.7E-6</v>
      </c>
      <c r="H298" s="157">
        <f>IF(A298&lt;$B$9*DATA!$H$1037,DATA!$H$1037,IF(A298&gt;DATA!$H$1036*$B$9,DATA!$H$1036,1))</f>
        <v>0.8</v>
      </c>
      <c r="I298" s="156">
        <f t="shared" si="98"/>
        <v>9.9999999999999995E-8</v>
      </c>
      <c r="K298" s="140">
        <f t="shared" si="99"/>
        <v>3.4E-5</v>
      </c>
      <c r="L298">
        <v>3.4</v>
      </c>
      <c r="M298" s="140">
        <f t="shared" si="100"/>
        <v>3.3999999999999987E-7</v>
      </c>
      <c r="N298" s="140">
        <f t="shared" si="101"/>
        <v>6.7999999999999984E-7</v>
      </c>
      <c r="O298" s="140">
        <f t="shared" si="102"/>
        <v>1.02E-6</v>
      </c>
      <c r="P298" s="140">
        <f t="shared" si="103"/>
        <v>1.3600000000000001E-6</v>
      </c>
      <c r="Q298" s="140">
        <f t="shared" si="104"/>
        <v>1.7E-6</v>
      </c>
      <c r="R298" s="157">
        <f>IF(K298&lt;$B$25*DATA!$H$1037,DATA!$H$1037,IF(K298&gt;DATA!$H$1036*$B$25,DATA!$H$1036,1))</f>
        <v>0.8</v>
      </c>
      <c r="S298" s="156">
        <f t="shared" si="105"/>
        <v>9.9999999999999995E-8</v>
      </c>
      <c r="U298" s="140">
        <f t="shared" si="106"/>
        <v>3.4E-5</v>
      </c>
      <c r="V298">
        <v>3.4</v>
      </c>
      <c r="W298" s="140">
        <f t="shared" si="107"/>
        <v>3.3999999999999987E-7</v>
      </c>
      <c r="X298" s="140">
        <f t="shared" si="108"/>
        <v>6.7999999999999984E-7</v>
      </c>
      <c r="Y298" s="140">
        <f t="shared" si="109"/>
        <v>1.02E-6</v>
      </c>
      <c r="Z298" s="140">
        <f t="shared" si="110"/>
        <v>1.3600000000000001E-6</v>
      </c>
      <c r="AA298" s="140">
        <f t="shared" si="111"/>
        <v>1.7E-6</v>
      </c>
      <c r="AB298" s="157">
        <f>IF(U298&lt;$B$41*DATA!$H$1037,DATA!$H$1037,IF(U298&gt;DATA!$H$1036*$B$41,DATA!$H$1036,1))</f>
        <v>0.8</v>
      </c>
      <c r="AC298" s="156">
        <f t="shared" si="112"/>
        <v>9.9999999999999995E-8</v>
      </c>
      <c r="AE298" s="140">
        <f t="shared" si="113"/>
        <v>3.4E-5</v>
      </c>
      <c r="AF298">
        <v>3.4</v>
      </c>
      <c r="AG298" s="140">
        <f t="shared" si="114"/>
        <v>3.3999999999999987E-7</v>
      </c>
      <c r="AH298" s="140">
        <f t="shared" si="115"/>
        <v>6.7999999999999984E-7</v>
      </c>
      <c r="AI298" s="140">
        <f t="shared" si="116"/>
        <v>1.02E-6</v>
      </c>
      <c r="AJ298" s="140">
        <f t="shared" si="117"/>
        <v>1.3600000000000001E-6</v>
      </c>
      <c r="AK298" s="140">
        <f t="shared" si="118"/>
        <v>1.7E-6</v>
      </c>
      <c r="AL298" s="157">
        <f>IF(AE298&lt;$B$57*DATA!$H$1037,DATA!$H$1037,IF(AE298&gt;DATA!$H$1036*$B$57,DATA!$H$1036,1))</f>
        <v>1.2</v>
      </c>
      <c r="AM298" s="156">
        <f t="shared" si="119"/>
        <v>9.9999999999999995E-8</v>
      </c>
      <c r="AO298" s="140">
        <f t="shared" si="120"/>
        <v>3.4E-5</v>
      </c>
      <c r="AP298">
        <v>3.4</v>
      </c>
      <c r="AQ298" s="140">
        <f t="shared" si="121"/>
        <v>3.3999999999999987E-7</v>
      </c>
      <c r="AR298" s="140">
        <f t="shared" si="122"/>
        <v>6.7999999999999984E-7</v>
      </c>
      <c r="AS298" s="140">
        <f t="shared" si="123"/>
        <v>1.02E-6</v>
      </c>
      <c r="AT298" s="140">
        <f t="shared" si="124"/>
        <v>1.3600000000000001E-6</v>
      </c>
      <c r="AU298" s="140">
        <f t="shared" si="125"/>
        <v>1.7E-6</v>
      </c>
      <c r="AV298" s="157">
        <f>IF(AO298&lt;$B$73*DATA!$H$1037,DATA!$H$1037,IF(AO298&gt;DATA!$H$1036*$B$73,DATA!$H$1036,1))</f>
        <v>1.2</v>
      </c>
      <c r="AW298" s="156">
        <f t="shared" si="126"/>
        <v>9.9999999999999995E-8</v>
      </c>
      <c r="AY298" s="140">
        <f t="shared" si="127"/>
        <v>3.4E-5</v>
      </c>
      <c r="AZ298">
        <v>3.4</v>
      </c>
      <c r="BA298" s="140">
        <f t="shared" si="128"/>
        <v>3.3999999999999987E-7</v>
      </c>
      <c r="BB298" s="140">
        <f t="shared" si="129"/>
        <v>6.7999999999999984E-7</v>
      </c>
      <c r="BC298" s="140">
        <f t="shared" si="130"/>
        <v>1.02E-6</v>
      </c>
      <c r="BD298" s="140">
        <f t="shared" si="131"/>
        <v>1.3600000000000001E-6</v>
      </c>
      <c r="BE298" s="140">
        <f t="shared" si="132"/>
        <v>1.7E-6</v>
      </c>
      <c r="BF298" s="157">
        <f>IF(AY298&lt;$B$89*DATA!$H$1037,DATA!$H$1037,IF(AY298&gt;DATA!$H$1036*$B$89,DATA!$H$1036,1))</f>
        <v>1.2</v>
      </c>
      <c r="BG298" s="156">
        <f t="shared" si="133"/>
        <v>9.9999999999999995E-8</v>
      </c>
      <c r="BI298" s="140">
        <f t="shared" si="134"/>
        <v>3.4E-5</v>
      </c>
      <c r="BJ298">
        <v>3.4</v>
      </c>
      <c r="BK298" s="140">
        <f t="shared" si="135"/>
        <v>3.3999999999999987E-7</v>
      </c>
      <c r="BL298" s="140">
        <f t="shared" si="136"/>
        <v>6.7999999999999984E-7</v>
      </c>
      <c r="BM298" s="140">
        <f t="shared" si="137"/>
        <v>1.02E-6</v>
      </c>
      <c r="BN298" s="140">
        <f t="shared" si="138"/>
        <v>1.3600000000000001E-6</v>
      </c>
      <c r="BO298" s="140">
        <f t="shared" si="139"/>
        <v>1.7E-6</v>
      </c>
      <c r="BP298" s="157">
        <f>IF(BI298&lt;$B$105*DATA!$H$1037,DATA!$H$1037,IF(BI298&gt;DATA!$H$1036*$B$105,DATA!$H$1036,1))</f>
        <v>1.2</v>
      </c>
      <c r="BQ298" s="156">
        <f t="shared" si="140"/>
        <v>9.9999999999999995E-8</v>
      </c>
    </row>
    <row r="299" spans="1:69">
      <c r="A299" s="140">
        <f t="shared" si="96"/>
        <v>3.4200000000000005E-5</v>
      </c>
      <c r="B299">
        <v>3.42</v>
      </c>
      <c r="C299" s="140">
        <f t="shared" si="97"/>
        <v>3.4199999999999991E-7</v>
      </c>
      <c r="D299" s="140">
        <f t="shared" si="97"/>
        <v>6.8400000000000004E-7</v>
      </c>
      <c r="E299" s="140">
        <f t="shared" si="97"/>
        <v>1.026E-6</v>
      </c>
      <c r="F299" s="140">
        <f t="shared" si="97"/>
        <v>1.3680000000000003E-6</v>
      </c>
      <c r="G299" s="140">
        <f t="shared" si="97"/>
        <v>1.7100000000000004E-6</v>
      </c>
      <c r="H299" s="157">
        <f>IF(A299&lt;$B$9*DATA!$H$1037,DATA!$H$1037,IF(A299&gt;DATA!$H$1036*$B$9,DATA!$H$1036,1))</f>
        <v>0.8</v>
      </c>
      <c r="I299" s="156">
        <f t="shared" si="98"/>
        <v>9.9999999999999995E-8</v>
      </c>
      <c r="K299" s="140">
        <f t="shared" si="99"/>
        <v>3.4200000000000005E-5</v>
      </c>
      <c r="L299">
        <v>3.42</v>
      </c>
      <c r="M299" s="140">
        <f t="shared" si="100"/>
        <v>3.4199999999999991E-7</v>
      </c>
      <c r="N299" s="140">
        <f t="shared" si="101"/>
        <v>6.8400000000000004E-7</v>
      </c>
      <c r="O299" s="140">
        <f t="shared" si="102"/>
        <v>1.026E-6</v>
      </c>
      <c r="P299" s="140">
        <f t="shared" si="103"/>
        <v>1.3680000000000003E-6</v>
      </c>
      <c r="Q299" s="140">
        <f t="shared" si="104"/>
        <v>1.7100000000000004E-6</v>
      </c>
      <c r="R299" s="157">
        <f>IF(K299&lt;$B$25*DATA!$H$1037,DATA!$H$1037,IF(K299&gt;DATA!$H$1036*$B$25,DATA!$H$1036,1))</f>
        <v>0.8</v>
      </c>
      <c r="S299" s="156">
        <f t="shared" si="105"/>
        <v>9.9999999999999995E-8</v>
      </c>
      <c r="U299" s="140">
        <f t="shared" si="106"/>
        <v>3.4200000000000005E-5</v>
      </c>
      <c r="V299">
        <v>3.42</v>
      </c>
      <c r="W299" s="140">
        <f t="shared" si="107"/>
        <v>3.4199999999999991E-7</v>
      </c>
      <c r="X299" s="140">
        <f t="shared" si="108"/>
        <v>6.8400000000000004E-7</v>
      </c>
      <c r="Y299" s="140">
        <f t="shared" si="109"/>
        <v>1.026E-6</v>
      </c>
      <c r="Z299" s="140">
        <f t="shared" si="110"/>
        <v>1.3680000000000003E-6</v>
      </c>
      <c r="AA299" s="140">
        <f t="shared" si="111"/>
        <v>1.7100000000000004E-6</v>
      </c>
      <c r="AB299" s="157">
        <f>IF(U299&lt;$B$41*DATA!$H$1037,DATA!$H$1037,IF(U299&gt;DATA!$H$1036*$B$41,DATA!$H$1036,1))</f>
        <v>0.8</v>
      </c>
      <c r="AC299" s="156">
        <f t="shared" si="112"/>
        <v>9.9999999999999995E-8</v>
      </c>
      <c r="AE299" s="140">
        <f t="shared" si="113"/>
        <v>3.4200000000000005E-5</v>
      </c>
      <c r="AF299">
        <v>3.42</v>
      </c>
      <c r="AG299" s="140">
        <f t="shared" si="114"/>
        <v>3.4199999999999991E-7</v>
      </c>
      <c r="AH299" s="140">
        <f t="shared" si="115"/>
        <v>6.8400000000000004E-7</v>
      </c>
      <c r="AI299" s="140">
        <f t="shared" si="116"/>
        <v>1.026E-6</v>
      </c>
      <c r="AJ299" s="140">
        <f t="shared" si="117"/>
        <v>1.3680000000000003E-6</v>
      </c>
      <c r="AK299" s="140">
        <f t="shared" si="118"/>
        <v>1.7100000000000004E-6</v>
      </c>
      <c r="AL299" s="157">
        <f>IF(AE299&lt;$B$57*DATA!$H$1037,DATA!$H$1037,IF(AE299&gt;DATA!$H$1036*$B$57,DATA!$H$1036,1))</f>
        <v>1.2</v>
      </c>
      <c r="AM299" s="156">
        <f t="shared" si="119"/>
        <v>9.9999999999999995E-8</v>
      </c>
      <c r="AO299" s="140">
        <f t="shared" si="120"/>
        <v>3.4200000000000005E-5</v>
      </c>
      <c r="AP299">
        <v>3.42</v>
      </c>
      <c r="AQ299" s="140">
        <f t="shared" si="121"/>
        <v>3.4199999999999991E-7</v>
      </c>
      <c r="AR299" s="140">
        <f t="shared" si="122"/>
        <v>6.8400000000000004E-7</v>
      </c>
      <c r="AS299" s="140">
        <f t="shared" si="123"/>
        <v>1.026E-6</v>
      </c>
      <c r="AT299" s="140">
        <f t="shared" si="124"/>
        <v>1.3680000000000003E-6</v>
      </c>
      <c r="AU299" s="140">
        <f t="shared" si="125"/>
        <v>1.7100000000000004E-6</v>
      </c>
      <c r="AV299" s="157">
        <f>IF(AO299&lt;$B$73*DATA!$H$1037,DATA!$H$1037,IF(AO299&gt;DATA!$H$1036*$B$73,DATA!$H$1036,1))</f>
        <v>1.2</v>
      </c>
      <c r="AW299" s="156">
        <f t="shared" si="126"/>
        <v>9.9999999999999995E-8</v>
      </c>
      <c r="AY299" s="140">
        <f t="shared" si="127"/>
        <v>3.4200000000000005E-5</v>
      </c>
      <c r="AZ299">
        <v>3.42</v>
      </c>
      <c r="BA299" s="140">
        <f t="shared" si="128"/>
        <v>3.4199999999999991E-7</v>
      </c>
      <c r="BB299" s="140">
        <f t="shared" si="129"/>
        <v>6.8400000000000004E-7</v>
      </c>
      <c r="BC299" s="140">
        <f t="shared" si="130"/>
        <v>1.026E-6</v>
      </c>
      <c r="BD299" s="140">
        <f t="shared" si="131"/>
        <v>1.3680000000000003E-6</v>
      </c>
      <c r="BE299" s="140">
        <f t="shared" si="132"/>
        <v>1.7100000000000004E-6</v>
      </c>
      <c r="BF299" s="157">
        <f>IF(AY299&lt;$B$89*DATA!$H$1037,DATA!$H$1037,IF(AY299&gt;DATA!$H$1036*$B$89,DATA!$H$1036,1))</f>
        <v>1.2</v>
      </c>
      <c r="BG299" s="156">
        <f t="shared" si="133"/>
        <v>9.9999999999999995E-8</v>
      </c>
      <c r="BI299" s="140">
        <f t="shared" si="134"/>
        <v>3.4200000000000005E-5</v>
      </c>
      <c r="BJ299">
        <v>3.42</v>
      </c>
      <c r="BK299" s="140">
        <f t="shared" si="135"/>
        <v>3.4199999999999991E-7</v>
      </c>
      <c r="BL299" s="140">
        <f t="shared" si="136"/>
        <v>6.8400000000000004E-7</v>
      </c>
      <c r="BM299" s="140">
        <f t="shared" si="137"/>
        <v>1.026E-6</v>
      </c>
      <c r="BN299" s="140">
        <f t="shared" si="138"/>
        <v>1.3680000000000003E-6</v>
      </c>
      <c r="BO299" s="140">
        <f t="shared" si="139"/>
        <v>1.7100000000000004E-6</v>
      </c>
      <c r="BP299" s="157">
        <f>IF(BI299&lt;$B$105*DATA!$H$1037,DATA!$H$1037,IF(BI299&gt;DATA!$H$1036*$B$105,DATA!$H$1036,1))</f>
        <v>1.2</v>
      </c>
      <c r="BQ299" s="156">
        <f t="shared" si="140"/>
        <v>9.9999999999999995E-8</v>
      </c>
    </row>
    <row r="300" spans="1:69">
      <c r="A300" s="140">
        <f t="shared" si="96"/>
        <v>3.4400000000000003E-5</v>
      </c>
      <c r="B300">
        <v>3.44</v>
      </c>
      <c r="C300" s="140">
        <f t="shared" si="97"/>
        <v>3.439999999999999E-7</v>
      </c>
      <c r="D300" s="140">
        <f t="shared" si="97"/>
        <v>6.8799999999999991E-7</v>
      </c>
      <c r="E300" s="140">
        <f t="shared" si="97"/>
        <v>1.032E-6</v>
      </c>
      <c r="F300" s="140">
        <f t="shared" si="97"/>
        <v>1.376E-6</v>
      </c>
      <c r="G300" s="140">
        <f t="shared" si="97"/>
        <v>1.7200000000000003E-6</v>
      </c>
      <c r="H300" s="157">
        <f>IF(A300&lt;$B$9*DATA!$H$1037,DATA!$H$1037,IF(A300&gt;DATA!$H$1036*$B$9,DATA!$H$1036,1))</f>
        <v>0.8</v>
      </c>
      <c r="I300" s="156">
        <f t="shared" si="98"/>
        <v>9.9999999999999995E-8</v>
      </c>
      <c r="K300" s="140">
        <f t="shared" si="99"/>
        <v>3.4400000000000003E-5</v>
      </c>
      <c r="L300">
        <v>3.44</v>
      </c>
      <c r="M300" s="140">
        <f t="shared" si="100"/>
        <v>3.439999999999999E-7</v>
      </c>
      <c r="N300" s="140">
        <f t="shared" si="101"/>
        <v>6.8799999999999991E-7</v>
      </c>
      <c r="O300" s="140">
        <f t="shared" si="102"/>
        <v>1.032E-6</v>
      </c>
      <c r="P300" s="140">
        <f t="shared" si="103"/>
        <v>1.376E-6</v>
      </c>
      <c r="Q300" s="140">
        <f t="shared" si="104"/>
        <v>1.7200000000000003E-6</v>
      </c>
      <c r="R300" s="157">
        <f>IF(K300&lt;$B$25*DATA!$H$1037,DATA!$H$1037,IF(K300&gt;DATA!$H$1036*$B$25,DATA!$H$1036,1))</f>
        <v>0.8</v>
      </c>
      <c r="S300" s="156">
        <f t="shared" si="105"/>
        <v>9.9999999999999995E-8</v>
      </c>
      <c r="U300" s="140">
        <f t="shared" si="106"/>
        <v>3.4400000000000003E-5</v>
      </c>
      <c r="V300">
        <v>3.44</v>
      </c>
      <c r="W300" s="140">
        <f t="shared" si="107"/>
        <v>3.439999999999999E-7</v>
      </c>
      <c r="X300" s="140">
        <f t="shared" si="108"/>
        <v>6.8799999999999991E-7</v>
      </c>
      <c r="Y300" s="140">
        <f t="shared" si="109"/>
        <v>1.032E-6</v>
      </c>
      <c r="Z300" s="140">
        <f t="shared" si="110"/>
        <v>1.376E-6</v>
      </c>
      <c r="AA300" s="140">
        <f t="shared" si="111"/>
        <v>1.7200000000000003E-6</v>
      </c>
      <c r="AB300" s="157">
        <f>IF(U300&lt;$B$41*DATA!$H$1037,DATA!$H$1037,IF(U300&gt;DATA!$H$1036*$B$41,DATA!$H$1036,1))</f>
        <v>0.8</v>
      </c>
      <c r="AC300" s="156">
        <f t="shared" si="112"/>
        <v>9.9999999999999995E-8</v>
      </c>
      <c r="AE300" s="140">
        <f t="shared" si="113"/>
        <v>3.4400000000000003E-5</v>
      </c>
      <c r="AF300">
        <v>3.44</v>
      </c>
      <c r="AG300" s="140">
        <f t="shared" si="114"/>
        <v>3.439999999999999E-7</v>
      </c>
      <c r="AH300" s="140">
        <f t="shared" si="115"/>
        <v>6.8799999999999991E-7</v>
      </c>
      <c r="AI300" s="140">
        <f t="shared" si="116"/>
        <v>1.032E-6</v>
      </c>
      <c r="AJ300" s="140">
        <f t="shared" si="117"/>
        <v>1.376E-6</v>
      </c>
      <c r="AK300" s="140">
        <f t="shared" si="118"/>
        <v>1.7200000000000003E-6</v>
      </c>
      <c r="AL300" s="157">
        <f>IF(AE300&lt;$B$57*DATA!$H$1037,DATA!$H$1037,IF(AE300&gt;DATA!$H$1036*$B$57,DATA!$H$1036,1))</f>
        <v>1.2</v>
      </c>
      <c r="AM300" s="156">
        <f t="shared" si="119"/>
        <v>9.9999999999999995E-8</v>
      </c>
      <c r="AO300" s="140">
        <f t="shared" si="120"/>
        <v>3.4400000000000003E-5</v>
      </c>
      <c r="AP300">
        <v>3.44</v>
      </c>
      <c r="AQ300" s="140">
        <f t="shared" si="121"/>
        <v>3.439999999999999E-7</v>
      </c>
      <c r="AR300" s="140">
        <f t="shared" si="122"/>
        <v>6.8799999999999991E-7</v>
      </c>
      <c r="AS300" s="140">
        <f t="shared" si="123"/>
        <v>1.032E-6</v>
      </c>
      <c r="AT300" s="140">
        <f t="shared" si="124"/>
        <v>1.376E-6</v>
      </c>
      <c r="AU300" s="140">
        <f t="shared" si="125"/>
        <v>1.7200000000000003E-6</v>
      </c>
      <c r="AV300" s="157">
        <f>IF(AO300&lt;$B$73*DATA!$H$1037,DATA!$H$1037,IF(AO300&gt;DATA!$H$1036*$B$73,DATA!$H$1036,1))</f>
        <v>1.2</v>
      </c>
      <c r="AW300" s="156">
        <f t="shared" si="126"/>
        <v>9.9999999999999995E-8</v>
      </c>
      <c r="AY300" s="140">
        <f t="shared" si="127"/>
        <v>3.4400000000000003E-5</v>
      </c>
      <c r="AZ300">
        <v>3.44</v>
      </c>
      <c r="BA300" s="140">
        <f t="shared" si="128"/>
        <v>3.439999999999999E-7</v>
      </c>
      <c r="BB300" s="140">
        <f t="shared" si="129"/>
        <v>6.8799999999999991E-7</v>
      </c>
      <c r="BC300" s="140">
        <f t="shared" si="130"/>
        <v>1.032E-6</v>
      </c>
      <c r="BD300" s="140">
        <f t="shared" si="131"/>
        <v>1.376E-6</v>
      </c>
      <c r="BE300" s="140">
        <f t="shared" si="132"/>
        <v>1.7200000000000003E-6</v>
      </c>
      <c r="BF300" s="157">
        <f>IF(AY300&lt;$B$89*DATA!$H$1037,DATA!$H$1037,IF(AY300&gt;DATA!$H$1036*$B$89,DATA!$H$1036,1))</f>
        <v>1.2</v>
      </c>
      <c r="BG300" s="156">
        <f t="shared" si="133"/>
        <v>9.9999999999999995E-8</v>
      </c>
      <c r="BI300" s="140">
        <f t="shared" si="134"/>
        <v>3.4400000000000003E-5</v>
      </c>
      <c r="BJ300">
        <v>3.44</v>
      </c>
      <c r="BK300" s="140">
        <f t="shared" si="135"/>
        <v>3.439999999999999E-7</v>
      </c>
      <c r="BL300" s="140">
        <f t="shared" si="136"/>
        <v>6.8799999999999991E-7</v>
      </c>
      <c r="BM300" s="140">
        <f t="shared" si="137"/>
        <v>1.032E-6</v>
      </c>
      <c r="BN300" s="140">
        <f t="shared" si="138"/>
        <v>1.376E-6</v>
      </c>
      <c r="BO300" s="140">
        <f t="shared" si="139"/>
        <v>1.7200000000000003E-6</v>
      </c>
      <c r="BP300" s="157">
        <f>IF(BI300&lt;$B$105*DATA!$H$1037,DATA!$H$1037,IF(BI300&gt;DATA!$H$1036*$B$105,DATA!$H$1036,1))</f>
        <v>1.2</v>
      </c>
      <c r="BQ300" s="156">
        <f t="shared" si="140"/>
        <v>9.9999999999999995E-8</v>
      </c>
    </row>
    <row r="301" spans="1:69">
      <c r="A301" s="140">
        <f t="shared" si="96"/>
        <v>3.4600000000000001E-5</v>
      </c>
      <c r="B301">
        <v>3.46</v>
      </c>
      <c r="C301" s="140">
        <f t="shared" si="97"/>
        <v>3.459999999999999E-7</v>
      </c>
      <c r="D301" s="140">
        <f t="shared" si="97"/>
        <v>6.919999999999999E-7</v>
      </c>
      <c r="E301" s="140">
        <f t="shared" si="97"/>
        <v>1.0380000000000001E-6</v>
      </c>
      <c r="F301" s="140">
        <f t="shared" si="97"/>
        <v>1.384E-6</v>
      </c>
      <c r="G301" s="140">
        <f t="shared" si="97"/>
        <v>1.7300000000000002E-6</v>
      </c>
      <c r="H301" s="157">
        <f>IF(A301&lt;$B$9*DATA!$H$1037,DATA!$H$1037,IF(A301&gt;DATA!$H$1036*$B$9,DATA!$H$1036,1))</f>
        <v>0.8</v>
      </c>
      <c r="I301" s="156">
        <f t="shared" si="98"/>
        <v>9.9999999999999995E-8</v>
      </c>
      <c r="K301" s="140">
        <f t="shared" si="99"/>
        <v>3.4600000000000001E-5</v>
      </c>
      <c r="L301">
        <v>3.46</v>
      </c>
      <c r="M301" s="140">
        <f t="shared" si="100"/>
        <v>3.459999999999999E-7</v>
      </c>
      <c r="N301" s="140">
        <f t="shared" si="101"/>
        <v>6.919999999999999E-7</v>
      </c>
      <c r="O301" s="140">
        <f t="shared" si="102"/>
        <v>1.0380000000000001E-6</v>
      </c>
      <c r="P301" s="140">
        <f t="shared" si="103"/>
        <v>1.384E-6</v>
      </c>
      <c r="Q301" s="140">
        <f t="shared" si="104"/>
        <v>1.7300000000000002E-6</v>
      </c>
      <c r="R301" s="157">
        <f>IF(K301&lt;$B$25*DATA!$H$1037,DATA!$H$1037,IF(K301&gt;DATA!$H$1036*$B$25,DATA!$H$1036,1))</f>
        <v>0.8</v>
      </c>
      <c r="S301" s="156">
        <f t="shared" si="105"/>
        <v>9.9999999999999995E-8</v>
      </c>
      <c r="U301" s="140">
        <f t="shared" si="106"/>
        <v>3.4600000000000001E-5</v>
      </c>
      <c r="V301">
        <v>3.46</v>
      </c>
      <c r="W301" s="140">
        <f t="shared" si="107"/>
        <v>3.459999999999999E-7</v>
      </c>
      <c r="X301" s="140">
        <f t="shared" si="108"/>
        <v>6.919999999999999E-7</v>
      </c>
      <c r="Y301" s="140">
        <f t="shared" si="109"/>
        <v>1.0380000000000001E-6</v>
      </c>
      <c r="Z301" s="140">
        <f t="shared" si="110"/>
        <v>1.384E-6</v>
      </c>
      <c r="AA301" s="140">
        <f t="shared" si="111"/>
        <v>1.7300000000000002E-6</v>
      </c>
      <c r="AB301" s="157">
        <f>IF(U301&lt;$B$41*DATA!$H$1037,DATA!$H$1037,IF(U301&gt;DATA!$H$1036*$B$41,DATA!$H$1036,1))</f>
        <v>0.8</v>
      </c>
      <c r="AC301" s="156">
        <f t="shared" si="112"/>
        <v>9.9999999999999995E-8</v>
      </c>
      <c r="AE301" s="140">
        <f t="shared" si="113"/>
        <v>3.4600000000000001E-5</v>
      </c>
      <c r="AF301">
        <v>3.46</v>
      </c>
      <c r="AG301" s="140">
        <f t="shared" si="114"/>
        <v>3.459999999999999E-7</v>
      </c>
      <c r="AH301" s="140">
        <f t="shared" si="115"/>
        <v>6.919999999999999E-7</v>
      </c>
      <c r="AI301" s="140">
        <f t="shared" si="116"/>
        <v>1.0380000000000001E-6</v>
      </c>
      <c r="AJ301" s="140">
        <f t="shared" si="117"/>
        <v>1.384E-6</v>
      </c>
      <c r="AK301" s="140">
        <f t="shared" si="118"/>
        <v>1.7300000000000002E-6</v>
      </c>
      <c r="AL301" s="157">
        <f>IF(AE301&lt;$B$57*DATA!$H$1037,DATA!$H$1037,IF(AE301&gt;DATA!$H$1036*$B$57,DATA!$H$1036,1))</f>
        <v>1.2</v>
      </c>
      <c r="AM301" s="156">
        <f t="shared" si="119"/>
        <v>9.9999999999999995E-8</v>
      </c>
      <c r="AO301" s="140">
        <f t="shared" si="120"/>
        <v>3.4600000000000001E-5</v>
      </c>
      <c r="AP301">
        <v>3.46</v>
      </c>
      <c r="AQ301" s="140">
        <f t="shared" si="121"/>
        <v>3.459999999999999E-7</v>
      </c>
      <c r="AR301" s="140">
        <f t="shared" si="122"/>
        <v>6.919999999999999E-7</v>
      </c>
      <c r="AS301" s="140">
        <f t="shared" si="123"/>
        <v>1.0380000000000001E-6</v>
      </c>
      <c r="AT301" s="140">
        <f t="shared" si="124"/>
        <v>1.384E-6</v>
      </c>
      <c r="AU301" s="140">
        <f t="shared" si="125"/>
        <v>1.7300000000000002E-6</v>
      </c>
      <c r="AV301" s="157">
        <f>IF(AO301&lt;$B$73*DATA!$H$1037,DATA!$H$1037,IF(AO301&gt;DATA!$H$1036*$B$73,DATA!$H$1036,1))</f>
        <v>1.2</v>
      </c>
      <c r="AW301" s="156">
        <f t="shared" si="126"/>
        <v>9.9999999999999995E-8</v>
      </c>
      <c r="AY301" s="140">
        <f t="shared" si="127"/>
        <v>3.4600000000000001E-5</v>
      </c>
      <c r="AZ301">
        <v>3.46</v>
      </c>
      <c r="BA301" s="140">
        <f t="shared" si="128"/>
        <v>3.459999999999999E-7</v>
      </c>
      <c r="BB301" s="140">
        <f t="shared" si="129"/>
        <v>6.919999999999999E-7</v>
      </c>
      <c r="BC301" s="140">
        <f t="shared" si="130"/>
        <v>1.0380000000000001E-6</v>
      </c>
      <c r="BD301" s="140">
        <f t="shared" si="131"/>
        <v>1.384E-6</v>
      </c>
      <c r="BE301" s="140">
        <f t="shared" si="132"/>
        <v>1.7300000000000002E-6</v>
      </c>
      <c r="BF301" s="157">
        <f>IF(AY301&lt;$B$89*DATA!$H$1037,DATA!$H$1037,IF(AY301&gt;DATA!$H$1036*$B$89,DATA!$H$1036,1))</f>
        <v>1.2</v>
      </c>
      <c r="BG301" s="156">
        <f t="shared" si="133"/>
        <v>9.9999999999999995E-8</v>
      </c>
      <c r="BI301" s="140">
        <f t="shared" si="134"/>
        <v>3.4600000000000001E-5</v>
      </c>
      <c r="BJ301">
        <v>3.46</v>
      </c>
      <c r="BK301" s="140">
        <f t="shared" si="135"/>
        <v>3.459999999999999E-7</v>
      </c>
      <c r="BL301" s="140">
        <f t="shared" si="136"/>
        <v>6.919999999999999E-7</v>
      </c>
      <c r="BM301" s="140">
        <f t="shared" si="137"/>
        <v>1.0380000000000001E-6</v>
      </c>
      <c r="BN301" s="140">
        <f t="shared" si="138"/>
        <v>1.384E-6</v>
      </c>
      <c r="BO301" s="140">
        <f t="shared" si="139"/>
        <v>1.7300000000000002E-6</v>
      </c>
      <c r="BP301" s="157">
        <f>IF(BI301&lt;$B$105*DATA!$H$1037,DATA!$H$1037,IF(BI301&gt;DATA!$H$1036*$B$105,DATA!$H$1036,1))</f>
        <v>1.2</v>
      </c>
      <c r="BQ301" s="156">
        <f t="shared" si="140"/>
        <v>9.9999999999999995E-8</v>
      </c>
    </row>
    <row r="302" spans="1:69">
      <c r="A302" s="140">
        <f t="shared" si="96"/>
        <v>3.4800000000000006E-5</v>
      </c>
      <c r="B302">
        <v>3.48</v>
      </c>
      <c r="C302" s="140">
        <f t="shared" si="97"/>
        <v>3.4799999999999994E-7</v>
      </c>
      <c r="D302" s="140">
        <f t="shared" si="97"/>
        <v>6.9599999999999999E-7</v>
      </c>
      <c r="E302" s="140">
        <f t="shared" si="97"/>
        <v>1.0440000000000001E-6</v>
      </c>
      <c r="F302" s="140">
        <f t="shared" si="97"/>
        <v>1.3920000000000002E-6</v>
      </c>
      <c r="G302" s="140">
        <f t="shared" si="97"/>
        <v>1.7400000000000003E-6</v>
      </c>
      <c r="H302" s="157">
        <f>IF(A302&lt;$B$9*DATA!$H$1037,DATA!$H$1037,IF(A302&gt;DATA!$H$1036*$B$9,DATA!$H$1036,1))</f>
        <v>0.8</v>
      </c>
      <c r="I302" s="156">
        <f t="shared" si="98"/>
        <v>9.9999999999999995E-8</v>
      </c>
      <c r="K302" s="140">
        <f t="shared" si="99"/>
        <v>3.4800000000000006E-5</v>
      </c>
      <c r="L302">
        <v>3.48</v>
      </c>
      <c r="M302" s="140">
        <f t="shared" si="100"/>
        <v>3.4799999999999994E-7</v>
      </c>
      <c r="N302" s="140">
        <f t="shared" si="101"/>
        <v>6.9599999999999999E-7</v>
      </c>
      <c r="O302" s="140">
        <f t="shared" si="102"/>
        <v>1.0440000000000001E-6</v>
      </c>
      <c r="P302" s="140">
        <f t="shared" si="103"/>
        <v>1.3920000000000002E-6</v>
      </c>
      <c r="Q302" s="140">
        <f t="shared" si="104"/>
        <v>1.7400000000000003E-6</v>
      </c>
      <c r="R302" s="157">
        <f>IF(K302&lt;$B$25*DATA!$H$1037,DATA!$H$1037,IF(K302&gt;DATA!$H$1036*$B$25,DATA!$H$1036,1))</f>
        <v>0.8</v>
      </c>
      <c r="S302" s="156">
        <f t="shared" si="105"/>
        <v>9.9999999999999995E-8</v>
      </c>
      <c r="U302" s="140">
        <f t="shared" si="106"/>
        <v>3.4800000000000006E-5</v>
      </c>
      <c r="V302">
        <v>3.48</v>
      </c>
      <c r="W302" s="140">
        <f t="shared" si="107"/>
        <v>3.4799999999999994E-7</v>
      </c>
      <c r="X302" s="140">
        <f t="shared" si="108"/>
        <v>6.9599999999999999E-7</v>
      </c>
      <c r="Y302" s="140">
        <f t="shared" si="109"/>
        <v>1.0440000000000001E-6</v>
      </c>
      <c r="Z302" s="140">
        <f t="shared" si="110"/>
        <v>1.3920000000000002E-6</v>
      </c>
      <c r="AA302" s="140">
        <f t="shared" si="111"/>
        <v>1.7400000000000003E-6</v>
      </c>
      <c r="AB302" s="157">
        <f>IF(U302&lt;$B$41*DATA!$H$1037,DATA!$H$1037,IF(U302&gt;DATA!$H$1036*$B$41,DATA!$H$1036,1))</f>
        <v>0.8</v>
      </c>
      <c r="AC302" s="156">
        <f t="shared" si="112"/>
        <v>9.9999999999999995E-8</v>
      </c>
      <c r="AE302" s="140">
        <f t="shared" si="113"/>
        <v>3.4800000000000006E-5</v>
      </c>
      <c r="AF302">
        <v>3.48</v>
      </c>
      <c r="AG302" s="140">
        <f t="shared" si="114"/>
        <v>3.4799999999999994E-7</v>
      </c>
      <c r="AH302" s="140">
        <f t="shared" si="115"/>
        <v>6.9599999999999999E-7</v>
      </c>
      <c r="AI302" s="140">
        <f t="shared" si="116"/>
        <v>1.0440000000000001E-6</v>
      </c>
      <c r="AJ302" s="140">
        <f t="shared" si="117"/>
        <v>1.3920000000000002E-6</v>
      </c>
      <c r="AK302" s="140">
        <f t="shared" si="118"/>
        <v>1.7400000000000003E-6</v>
      </c>
      <c r="AL302" s="157">
        <f>IF(AE302&lt;$B$57*DATA!$H$1037,DATA!$H$1037,IF(AE302&gt;DATA!$H$1036*$B$57,DATA!$H$1036,1))</f>
        <v>1.2</v>
      </c>
      <c r="AM302" s="156">
        <f t="shared" si="119"/>
        <v>9.9999999999999995E-8</v>
      </c>
      <c r="AO302" s="140">
        <f t="shared" si="120"/>
        <v>3.4800000000000006E-5</v>
      </c>
      <c r="AP302">
        <v>3.48</v>
      </c>
      <c r="AQ302" s="140">
        <f t="shared" si="121"/>
        <v>3.4799999999999994E-7</v>
      </c>
      <c r="AR302" s="140">
        <f t="shared" si="122"/>
        <v>6.9599999999999999E-7</v>
      </c>
      <c r="AS302" s="140">
        <f t="shared" si="123"/>
        <v>1.0440000000000001E-6</v>
      </c>
      <c r="AT302" s="140">
        <f t="shared" si="124"/>
        <v>1.3920000000000002E-6</v>
      </c>
      <c r="AU302" s="140">
        <f t="shared" si="125"/>
        <v>1.7400000000000003E-6</v>
      </c>
      <c r="AV302" s="157">
        <f>IF(AO302&lt;$B$73*DATA!$H$1037,DATA!$H$1037,IF(AO302&gt;DATA!$H$1036*$B$73,DATA!$H$1036,1))</f>
        <v>1.2</v>
      </c>
      <c r="AW302" s="156">
        <f t="shared" si="126"/>
        <v>9.9999999999999995E-8</v>
      </c>
      <c r="AY302" s="140">
        <f t="shared" si="127"/>
        <v>3.4800000000000006E-5</v>
      </c>
      <c r="AZ302">
        <v>3.48</v>
      </c>
      <c r="BA302" s="140">
        <f t="shared" si="128"/>
        <v>3.4799999999999994E-7</v>
      </c>
      <c r="BB302" s="140">
        <f t="shared" si="129"/>
        <v>6.9599999999999999E-7</v>
      </c>
      <c r="BC302" s="140">
        <f t="shared" si="130"/>
        <v>1.0440000000000001E-6</v>
      </c>
      <c r="BD302" s="140">
        <f t="shared" si="131"/>
        <v>1.3920000000000002E-6</v>
      </c>
      <c r="BE302" s="140">
        <f t="shared" si="132"/>
        <v>1.7400000000000003E-6</v>
      </c>
      <c r="BF302" s="157">
        <f>IF(AY302&lt;$B$89*DATA!$H$1037,DATA!$H$1037,IF(AY302&gt;DATA!$H$1036*$B$89,DATA!$H$1036,1))</f>
        <v>1.2</v>
      </c>
      <c r="BG302" s="156">
        <f t="shared" si="133"/>
        <v>9.9999999999999995E-8</v>
      </c>
      <c r="BI302" s="140">
        <f t="shared" si="134"/>
        <v>3.4800000000000006E-5</v>
      </c>
      <c r="BJ302">
        <v>3.48</v>
      </c>
      <c r="BK302" s="140">
        <f t="shared" si="135"/>
        <v>3.4799999999999994E-7</v>
      </c>
      <c r="BL302" s="140">
        <f t="shared" si="136"/>
        <v>6.9599999999999999E-7</v>
      </c>
      <c r="BM302" s="140">
        <f t="shared" si="137"/>
        <v>1.0440000000000001E-6</v>
      </c>
      <c r="BN302" s="140">
        <f t="shared" si="138"/>
        <v>1.3920000000000002E-6</v>
      </c>
      <c r="BO302" s="140">
        <f t="shared" si="139"/>
        <v>1.7400000000000003E-6</v>
      </c>
      <c r="BP302" s="157">
        <f>IF(BI302&lt;$B$105*DATA!$H$1037,DATA!$H$1037,IF(BI302&gt;DATA!$H$1036*$B$105,DATA!$H$1036,1))</f>
        <v>1.2</v>
      </c>
      <c r="BQ302" s="156">
        <f t="shared" si="140"/>
        <v>9.9999999999999995E-8</v>
      </c>
    </row>
    <row r="303" spans="1:69">
      <c r="A303" s="140">
        <f t="shared" si="96"/>
        <v>3.5000000000000004E-5</v>
      </c>
      <c r="B303">
        <v>3.5</v>
      </c>
      <c r="C303" s="140">
        <f t="shared" si="97"/>
        <v>3.4999999999999993E-7</v>
      </c>
      <c r="D303" s="140">
        <f t="shared" si="97"/>
        <v>6.9999999999999997E-7</v>
      </c>
      <c r="E303" s="140">
        <f t="shared" si="97"/>
        <v>1.0500000000000001E-6</v>
      </c>
      <c r="F303" s="140">
        <f t="shared" si="97"/>
        <v>1.4000000000000001E-6</v>
      </c>
      <c r="G303" s="140">
        <f t="shared" si="97"/>
        <v>1.7500000000000002E-6</v>
      </c>
      <c r="H303" s="157">
        <f>IF(A303&lt;$B$9*DATA!$H$1037,DATA!$H$1037,IF(A303&gt;DATA!$H$1036*$B$9,DATA!$H$1036,1))</f>
        <v>0.8</v>
      </c>
      <c r="I303" s="156">
        <f t="shared" si="98"/>
        <v>9.9999999999999995E-8</v>
      </c>
      <c r="K303" s="140">
        <f t="shared" si="99"/>
        <v>3.5000000000000004E-5</v>
      </c>
      <c r="L303">
        <v>3.5</v>
      </c>
      <c r="M303" s="140">
        <f t="shared" si="100"/>
        <v>3.4999999999999993E-7</v>
      </c>
      <c r="N303" s="140">
        <f t="shared" si="101"/>
        <v>6.9999999999999997E-7</v>
      </c>
      <c r="O303" s="140">
        <f t="shared" si="102"/>
        <v>1.0500000000000001E-6</v>
      </c>
      <c r="P303" s="140">
        <f t="shared" si="103"/>
        <v>1.4000000000000001E-6</v>
      </c>
      <c r="Q303" s="140">
        <f t="shared" si="104"/>
        <v>1.7500000000000002E-6</v>
      </c>
      <c r="R303" s="157">
        <f>IF(K303&lt;$B$25*DATA!$H$1037,DATA!$H$1037,IF(K303&gt;DATA!$H$1036*$B$25,DATA!$H$1036,1))</f>
        <v>0.8</v>
      </c>
      <c r="S303" s="156">
        <f t="shared" si="105"/>
        <v>9.9999999999999995E-8</v>
      </c>
      <c r="U303" s="140">
        <f t="shared" si="106"/>
        <v>3.5000000000000004E-5</v>
      </c>
      <c r="V303">
        <v>3.5</v>
      </c>
      <c r="W303" s="140">
        <f t="shared" si="107"/>
        <v>3.4999999999999993E-7</v>
      </c>
      <c r="X303" s="140">
        <f t="shared" si="108"/>
        <v>6.9999999999999997E-7</v>
      </c>
      <c r="Y303" s="140">
        <f t="shared" si="109"/>
        <v>1.0500000000000001E-6</v>
      </c>
      <c r="Z303" s="140">
        <f t="shared" si="110"/>
        <v>1.4000000000000001E-6</v>
      </c>
      <c r="AA303" s="140">
        <f t="shared" si="111"/>
        <v>1.7500000000000002E-6</v>
      </c>
      <c r="AB303" s="157">
        <f>IF(U303&lt;$B$41*DATA!$H$1037,DATA!$H$1037,IF(U303&gt;DATA!$H$1036*$B$41,DATA!$H$1036,1))</f>
        <v>0.8</v>
      </c>
      <c r="AC303" s="156">
        <f t="shared" si="112"/>
        <v>9.9999999999999995E-8</v>
      </c>
      <c r="AE303" s="140">
        <f t="shared" si="113"/>
        <v>3.5000000000000004E-5</v>
      </c>
      <c r="AF303">
        <v>3.5</v>
      </c>
      <c r="AG303" s="140">
        <f t="shared" si="114"/>
        <v>3.4999999999999993E-7</v>
      </c>
      <c r="AH303" s="140">
        <f t="shared" si="115"/>
        <v>6.9999999999999997E-7</v>
      </c>
      <c r="AI303" s="140">
        <f t="shared" si="116"/>
        <v>1.0500000000000001E-6</v>
      </c>
      <c r="AJ303" s="140">
        <f t="shared" si="117"/>
        <v>1.4000000000000001E-6</v>
      </c>
      <c r="AK303" s="140">
        <f t="shared" si="118"/>
        <v>1.7500000000000002E-6</v>
      </c>
      <c r="AL303" s="157">
        <f>IF(AE303&lt;$B$57*DATA!$H$1037,DATA!$H$1037,IF(AE303&gt;DATA!$H$1036*$B$57,DATA!$H$1036,1))</f>
        <v>1.2</v>
      </c>
      <c r="AM303" s="156">
        <f t="shared" si="119"/>
        <v>9.9999999999999995E-8</v>
      </c>
      <c r="AO303" s="140">
        <f t="shared" si="120"/>
        <v>3.5000000000000004E-5</v>
      </c>
      <c r="AP303">
        <v>3.5</v>
      </c>
      <c r="AQ303" s="140">
        <f t="shared" si="121"/>
        <v>3.4999999999999993E-7</v>
      </c>
      <c r="AR303" s="140">
        <f t="shared" si="122"/>
        <v>6.9999999999999997E-7</v>
      </c>
      <c r="AS303" s="140">
        <f t="shared" si="123"/>
        <v>1.0500000000000001E-6</v>
      </c>
      <c r="AT303" s="140">
        <f t="shared" si="124"/>
        <v>1.4000000000000001E-6</v>
      </c>
      <c r="AU303" s="140">
        <f t="shared" si="125"/>
        <v>1.7500000000000002E-6</v>
      </c>
      <c r="AV303" s="157">
        <f>IF(AO303&lt;$B$73*DATA!$H$1037,DATA!$H$1037,IF(AO303&gt;DATA!$H$1036*$B$73,DATA!$H$1036,1))</f>
        <v>1.2</v>
      </c>
      <c r="AW303" s="156">
        <f t="shared" si="126"/>
        <v>9.9999999999999995E-8</v>
      </c>
      <c r="AY303" s="140">
        <f t="shared" si="127"/>
        <v>3.5000000000000004E-5</v>
      </c>
      <c r="AZ303">
        <v>3.5</v>
      </c>
      <c r="BA303" s="140">
        <f t="shared" si="128"/>
        <v>3.4999999999999993E-7</v>
      </c>
      <c r="BB303" s="140">
        <f t="shared" si="129"/>
        <v>6.9999999999999997E-7</v>
      </c>
      <c r="BC303" s="140">
        <f t="shared" si="130"/>
        <v>1.0500000000000001E-6</v>
      </c>
      <c r="BD303" s="140">
        <f t="shared" si="131"/>
        <v>1.4000000000000001E-6</v>
      </c>
      <c r="BE303" s="140">
        <f t="shared" si="132"/>
        <v>1.7500000000000002E-6</v>
      </c>
      <c r="BF303" s="157">
        <f>IF(AY303&lt;$B$89*DATA!$H$1037,DATA!$H$1037,IF(AY303&gt;DATA!$H$1036*$B$89,DATA!$H$1036,1))</f>
        <v>1.2</v>
      </c>
      <c r="BG303" s="156">
        <f t="shared" si="133"/>
        <v>9.9999999999999995E-8</v>
      </c>
      <c r="BI303" s="140">
        <f t="shared" si="134"/>
        <v>3.5000000000000004E-5</v>
      </c>
      <c r="BJ303">
        <v>3.5</v>
      </c>
      <c r="BK303" s="140">
        <f t="shared" si="135"/>
        <v>3.4999999999999993E-7</v>
      </c>
      <c r="BL303" s="140">
        <f t="shared" si="136"/>
        <v>6.9999999999999997E-7</v>
      </c>
      <c r="BM303" s="140">
        <f t="shared" si="137"/>
        <v>1.0500000000000001E-6</v>
      </c>
      <c r="BN303" s="140">
        <f t="shared" si="138"/>
        <v>1.4000000000000001E-6</v>
      </c>
      <c r="BO303" s="140">
        <f t="shared" si="139"/>
        <v>1.7500000000000002E-6</v>
      </c>
      <c r="BP303" s="157">
        <f>IF(BI303&lt;$B$105*DATA!$H$1037,DATA!$H$1037,IF(BI303&gt;DATA!$H$1036*$B$105,DATA!$H$1036,1))</f>
        <v>1.2</v>
      </c>
      <c r="BQ303" s="156">
        <f t="shared" si="140"/>
        <v>9.9999999999999995E-8</v>
      </c>
    </row>
    <row r="304" spans="1:69">
      <c r="A304" s="140">
        <f t="shared" si="96"/>
        <v>3.5200000000000002E-5</v>
      </c>
      <c r="B304">
        <v>3.52</v>
      </c>
      <c r="C304" s="140">
        <f t="shared" si="97"/>
        <v>3.5199999999999992E-7</v>
      </c>
      <c r="D304" s="140">
        <f t="shared" si="97"/>
        <v>7.0399999999999995E-7</v>
      </c>
      <c r="E304" s="140">
        <f t="shared" si="97"/>
        <v>1.0559999999999999E-6</v>
      </c>
      <c r="F304" s="140">
        <f t="shared" si="97"/>
        <v>1.4080000000000001E-6</v>
      </c>
      <c r="G304" s="140">
        <f t="shared" si="97"/>
        <v>1.7600000000000001E-6</v>
      </c>
      <c r="H304" s="157">
        <f>IF(A304&lt;$B$9*DATA!$H$1037,DATA!$H$1037,IF(A304&gt;DATA!$H$1036*$B$9,DATA!$H$1036,1))</f>
        <v>0.8</v>
      </c>
      <c r="I304" s="156">
        <f t="shared" si="98"/>
        <v>9.9999999999999995E-8</v>
      </c>
      <c r="K304" s="140">
        <f t="shared" si="99"/>
        <v>3.5200000000000002E-5</v>
      </c>
      <c r="L304">
        <v>3.52</v>
      </c>
      <c r="M304" s="140">
        <f t="shared" si="100"/>
        <v>3.5199999999999992E-7</v>
      </c>
      <c r="N304" s="140">
        <f t="shared" si="101"/>
        <v>7.0399999999999995E-7</v>
      </c>
      <c r="O304" s="140">
        <f t="shared" si="102"/>
        <v>1.0559999999999999E-6</v>
      </c>
      <c r="P304" s="140">
        <f t="shared" si="103"/>
        <v>1.4080000000000001E-6</v>
      </c>
      <c r="Q304" s="140">
        <f t="shared" si="104"/>
        <v>1.7600000000000001E-6</v>
      </c>
      <c r="R304" s="157">
        <f>IF(K304&lt;$B$25*DATA!$H$1037,DATA!$H$1037,IF(K304&gt;DATA!$H$1036*$B$25,DATA!$H$1036,1))</f>
        <v>0.8</v>
      </c>
      <c r="S304" s="156">
        <f t="shared" si="105"/>
        <v>9.9999999999999995E-8</v>
      </c>
      <c r="U304" s="140">
        <f t="shared" si="106"/>
        <v>3.5200000000000002E-5</v>
      </c>
      <c r="V304">
        <v>3.52</v>
      </c>
      <c r="W304" s="140">
        <f t="shared" si="107"/>
        <v>3.5199999999999992E-7</v>
      </c>
      <c r="X304" s="140">
        <f t="shared" si="108"/>
        <v>7.0399999999999995E-7</v>
      </c>
      <c r="Y304" s="140">
        <f t="shared" si="109"/>
        <v>1.0559999999999999E-6</v>
      </c>
      <c r="Z304" s="140">
        <f t="shared" si="110"/>
        <v>1.4080000000000001E-6</v>
      </c>
      <c r="AA304" s="140">
        <f t="shared" si="111"/>
        <v>1.7600000000000001E-6</v>
      </c>
      <c r="AB304" s="157">
        <f>IF(U304&lt;$B$41*DATA!$H$1037,DATA!$H$1037,IF(U304&gt;DATA!$H$1036*$B$41,DATA!$H$1036,1))</f>
        <v>0.8</v>
      </c>
      <c r="AC304" s="156">
        <f t="shared" si="112"/>
        <v>9.9999999999999995E-8</v>
      </c>
      <c r="AE304" s="140">
        <f t="shared" si="113"/>
        <v>3.5200000000000002E-5</v>
      </c>
      <c r="AF304">
        <v>3.52</v>
      </c>
      <c r="AG304" s="140">
        <f t="shared" si="114"/>
        <v>3.5199999999999992E-7</v>
      </c>
      <c r="AH304" s="140">
        <f t="shared" si="115"/>
        <v>7.0399999999999995E-7</v>
      </c>
      <c r="AI304" s="140">
        <f t="shared" si="116"/>
        <v>1.0559999999999999E-6</v>
      </c>
      <c r="AJ304" s="140">
        <f t="shared" si="117"/>
        <v>1.4080000000000001E-6</v>
      </c>
      <c r="AK304" s="140">
        <f t="shared" si="118"/>
        <v>1.7600000000000001E-6</v>
      </c>
      <c r="AL304" s="157">
        <f>IF(AE304&lt;$B$57*DATA!$H$1037,DATA!$H$1037,IF(AE304&gt;DATA!$H$1036*$B$57,DATA!$H$1036,1))</f>
        <v>1.2</v>
      </c>
      <c r="AM304" s="156">
        <f t="shared" si="119"/>
        <v>9.9999999999999995E-8</v>
      </c>
      <c r="AO304" s="140">
        <f t="shared" si="120"/>
        <v>3.5200000000000002E-5</v>
      </c>
      <c r="AP304">
        <v>3.52</v>
      </c>
      <c r="AQ304" s="140">
        <f t="shared" si="121"/>
        <v>3.5199999999999992E-7</v>
      </c>
      <c r="AR304" s="140">
        <f t="shared" si="122"/>
        <v>7.0399999999999995E-7</v>
      </c>
      <c r="AS304" s="140">
        <f t="shared" si="123"/>
        <v>1.0559999999999999E-6</v>
      </c>
      <c r="AT304" s="140">
        <f t="shared" si="124"/>
        <v>1.4080000000000001E-6</v>
      </c>
      <c r="AU304" s="140">
        <f t="shared" si="125"/>
        <v>1.7600000000000001E-6</v>
      </c>
      <c r="AV304" s="157">
        <f>IF(AO304&lt;$B$73*DATA!$H$1037,DATA!$H$1037,IF(AO304&gt;DATA!$H$1036*$B$73,DATA!$H$1036,1))</f>
        <v>1.2</v>
      </c>
      <c r="AW304" s="156">
        <f t="shared" si="126"/>
        <v>9.9999999999999995E-8</v>
      </c>
      <c r="AY304" s="140">
        <f t="shared" si="127"/>
        <v>3.5200000000000002E-5</v>
      </c>
      <c r="AZ304">
        <v>3.52</v>
      </c>
      <c r="BA304" s="140">
        <f t="shared" si="128"/>
        <v>3.5199999999999992E-7</v>
      </c>
      <c r="BB304" s="140">
        <f t="shared" si="129"/>
        <v>7.0399999999999995E-7</v>
      </c>
      <c r="BC304" s="140">
        <f t="shared" si="130"/>
        <v>1.0559999999999999E-6</v>
      </c>
      <c r="BD304" s="140">
        <f t="shared" si="131"/>
        <v>1.4080000000000001E-6</v>
      </c>
      <c r="BE304" s="140">
        <f t="shared" si="132"/>
        <v>1.7600000000000001E-6</v>
      </c>
      <c r="BF304" s="157">
        <f>IF(AY304&lt;$B$89*DATA!$H$1037,DATA!$H$1037,IF(AY304&gt;DATA!$H$1036*$B$89,DATA!$H$1036,1))</f>
        <v>1.2</v>
      </c>
      <c r="BG304" s="156">
        <f t="shared" si="133"/>
        <v>9.9999999999999995E-8</v>
      </c>
      <c r="BI304" s="140">
        <f t="shared" si="134"/>
        <v>3.5200000000000002E-5</v>
      </c>
      <c r="BJ304">
        <v>3.52</v>
      </c>
      <c r="BK304" s="140">
        <f t="shared" si="135"/>
        <v>3.5199999999999992E-7</v>
      </c>
      <c r="BL304" s="140">
        <f t="shared" si="136"/>
        <v>7.0399999999999995E-7</v>
      </c>
      <c r="BM304" s="140">
        <f t="shared" si="137"/>
        <v>1.0559999999999999E-6</v>
      </c>
      <c r="BN304" s="140">
        <f t="shared" si="138"/>
        <v>1.4080000000000001E-6</v>
      </c>
      <c r="BO304" s="140">
        <f t="shared" si="139"/>
        <v>1.7600000000000001E-6</v>
      </c>
      <c r="BP304" s="157">
        <f>IF(BI304&lt;$B$105*DATA!$H$1037,DATA!$H$1037,IF(BI304&gt;DATA!$H$1036*$B$105,DATA!$H$1036,1))</f>
        <v>1.2</v>
      </c>
      <c r="BQ304" s="156">
        <f t="shared" si="140"/>
        <v>9.9999999999999995E-8</v>
      </c>
    </row>
    <row r="305" spans="1:69">
      <c r="A305" s="140">
        <f t="shared" si="96"/>
        <v>3.54E-5</v>
      </c>
      <c r="B305">
        <v>3.54</v>
      </c>
      <c r="C305" s="140">
        <f t="shared" si="97"/>
        <v>3.5399999999999986E-7</v>
      </c>
      <c r="D305" s="140">
        <f t="shared" si="97"/>
        <v>7.0799999999999993E-7</v>
      </c>
      <c r="E305" s="140">
        <f t="shared" si="97"/>
        <v>1.062E-6</v>
      </c>
      <c r="F305" s="140">
        <f t="shared" si="97"/>
        <v>1.4160000000000001E-6</v>
      </c>
      <c r="G305" s="140">
        <f t="shared" si="97"/>
        <v>1.77E-6</v>
      </c>
      <c r="H305" s="157">
        <f>IF(A305&lt;$B$9*DATA!$H$1037,DATA!$H$1037,IF(A305&gt;DATA!$H$1036*$B$9,DATA!$H$1036,1))</f>
        <v>0.8</v>
      </c>
      <c r="I305" s="156">
        <f t="shared" si="98"/>
        <v>9.9999999999999995E-8</v>
      </c>
      <c r="K305" s="140">
        <f t="shared" si="99"/>
        <v>3.54E-5</v>
      </c>
      <c r="L305">
        <v>3.54</v>
      </c>
      <c r="M305" s="140">
        <f t="shared" si="100"/>
        <v>3.5399999999999986E-7</v>
      </c>
      <c r="N305" s="140">
        <f t="shared" si="101"/>
        <v>7.0799999999999993E-7</v>
      </c>
      <c r="O305" s="140">
        <f t="shared" si="102"/>
        <v>1.062E-6</v>
      </c>
      <c r="P305" s="140">
        <f t="shared" si="103"/>
        <v>1.4160000000000001E-6</v>
      </c>
      <c r="Q305" s="140">
        <f t="shared" si="104"/>
        <v>1.77E-6</v>
      </c>
      <c r="R305" s="157">
        <f>IF(K305&lt;$B$25*DATA!$H$1037,DATA!$H$1037,IF(K305&gt;DATA!$H$1036*$B$25,DATA!$H$1036,1))</f>
        <v>0.8</v>
      </c>
      <c r="S305" s="156">
        <f t="shared" si="105"/>
        <v>9.9999999999999995E-8</v>
      </c>
      <c r="U305" s="140">
        <f t="shared" si="106"/>
        <v>3.54E-5</v>
      </c>
      <c r="V305">
        <v>3.54</v>
      </c>
      <c r="W305" s="140">
        <f t="shared" si="107"/>
        <v>3.5399999999999986E-7</v>
      </c>
      <c r="X305" s="140">
        <f t="shared" si="108"/>
        <v>7.0799999999999993E-7</v>
      </c>
      <c r="Y305" s="140">
        <f t="shared" si="109"/>
        <v>1.062E-6</v>
      </c>
      <c r="Z305" s="140">
        <f t="shared" si="110"/>
        <v>1.4160000000000001E-6</v>
      </c>
      <c r="AA305" s="140">
        <f t="shared" si="111"/>
        <v>1.77E-6</v>
      </c>
      <c r="AB305" s="157">
        <f>IF(U305&lt;$B$41*DATA!$H$1037,DATA!$H$1037,IF(U305&gt;DATA!$H$1036*$B$41,DATA!$H$1036,1))</f>
        <v>0.8</v>
      </c>
      <c r="AC305" s="156">
        <f t="shared" si="112"/>
        <v>9.9999999999999995E-8</v>
      </c>
      <c r="AE305" s="140">
        <f t="shared" si="113"/>
        <v>3.54E-5</v>
      </c>
      <c r="AF305">
        <v>3.54</v>
      </c>
      <c r="AG305" s="140">
        <f t="shared" si="114"/>
        <v>3.5399999999999986E-7</v>
      </c>
      <c r="AH305" s="140">
        <f t="shared" si="115"/>
        <v>7.0799999999999993E-7</v>
      </c>
      <c r="AI305" s="140">
        <f t="shared" si="116"/>
        <v>1.062E-6</v>
      </c>
      <c r="AJ305" s="140">
        <f t="shared" si="117"/>
        <v>1.4160000000000001E-6</v>
      </c>
      <c r="AK305" s="140">
        <f t="shared" si="118"/>
        <v>1.77E-6</v>
      </c>
      <c r="AL305" s="157">
        <f>IF(AE305&lt;$B$57*DATA!$H$1037,DATA!$H$1037,IF(AE305&gt;DATA!$H$1036*$B$57,DATA!$H$1036,1))</f>
        <v>1.2</v>
      </c>
      <c r="AM305" s="156">
        <f t="shared" si="119"/>
        <v>9.9999999999999995E-8</v>
      </c>
      <c r="AO305" s="140">
        <f t="shared" si="120"/>
        <v>3.54E-5</v>
      </c>
      <c r="AP305">
        <v>3.54</v>
      </c>
      <c r="AQ305" s="140">
        <f t="shared" si="121"/>
        <v>3.5399999999999986E-7</v>
      </c>
      <c r="AR305" s="140">
        <f t="shared" si="122"/>
        <v>7.0799999999999993E-7</v>
      </c>
      <c r="AS305" s="140">
        <f t="shared" si="123"/>
        <v>1.062E-6</v>
      </c>
      <c r="AT305" s="140">
        <f t="shared" si="124"/>
        <v>1.4160000000000001E-6</v>
      </c>
      <c r="AU305" s="140">
        <f t="shared" si="125"/>
        <v>1.77E-6</v>
      </c>
      <c r="AV305" s="157">
        <f>IF(AO305&lt;$B$73*DATA!$H$1037,DATA!$H$1037,IF(AO305&gt;DATA!$H$1036*$B$73,DATA!$H$1036,1))</f>
        <v>1.2</v>
      </c>
      <c r="AW305" s="156">
        <f t="shared" si="126"/>
        <v>9.9999999999999995E-8</v>
      </c>
      <c r="AY305" s="140">
        <f t="shared" si="127"/>
        <v>3.54E-5</v>
      </c>
      <c r="AZ305">
        <v>3.54</v>
      </c>
      <c r="BA305" s="140">
        <f t="shared" si="128"/>
        <v>3.5399999999999986E-7</v>
      </c>
      <c r="BB305" s="140">
        <f t="shared" si="129"/>
        <v>7.0799999999999993E-7</v>
      </c>
      <c r="BC305" s="140">
        <f t="shared" si="130"/>
        <v>1.062E-6</v>
      </c>
      <c r="BD305" s="140">
        <f t="shared" si="131"/>
        <v>1.4160000000000001E-6</v>
      </c>
      <c r="BE305" s="140">
        <f t="shared" si="132"/>
        <v>1.77E-6</v>
      </c>
      <c r="BF305" s="157">
        <f>IF(AY305&lt;$B$89*DATA!$H$1037,DATA!$H$1037,IF(AY305&gt;DATA!$H$1036*$B$89,DATA!$H$1036,1))</f>
        <v>1.2</v>
      </c>
      <c r="BG305" s="156">
        <f t="shared" si="133"/>
        <v>9.9999999999999995E-8</v>
      </c>
      <c r="BI305" s="140">
        <f t="shared" si="134"/>
        <v>3.54E-5</v>
      </c>
      <c r="BJ305">
        <v>3.54</v>
      </c>
      <c r="BK305" s="140">
        <f t="shared" si="135"/>
        <v>3.5399999999999986E-7</v>
      </c>
      <c r="BL305" s="140">
        <f t="shared" si="136"/>
        <v>7.0799999999999993E-7</v>
      </c>
      <c r="BM305" s="140">
        <f t="shared" si="137"/>
        <v>1.062E-6</v>
      </c>
      <c r="BN305" s="140">
        <f t="shared" si="138"/>
        <v>1.4160000000000001E-6</v>
      </c>
      <c r="BO305" s="140">
        <f t="shared" si="139"/>
        <v>1.77E-6</v>
      </c>
      <c r="BP305" s="157">
        <f>IF(BI305&lt;$B$105*DATA!$H$1037,DATA!$H$1037,IF(BI305&gt;DATA!$H$1036*$B$105,DATA!$H$1036,1))</f>
        <v>1.2</v>
      </c>
      <c r="BQ305" s="156">
        <f t="shared" si="140"/>
        <v>9.9999999999999995E-8</v>
      </c>
    </row>
    <row r="306" spans="1:69">
      <c r="A306" s="140">
        <f t="shared" si="96"/>
        <v>3.5600000000000005E-5</v>
      </c>
      <c r="B306">
        <v>3.56</v>
      </c>
      <c r="C306" s="140">
        <f t="shared" si="97"/>
        <v>3.5599999999999991E-7</v>
      </c>
      <c r="D306" s="140">
        <f t="shared" si="97"/>
        <v>7.1200000000000002E-7</v>
      </c>
      <c r="E306" s="140">
        <f t="shared" si="97"/>
        <v>1.0680000000000002E-6</v>
      </c>
      <c r="F306" s="140">
        <f t="shared" si="97"/>
        <v>1.4240000000000003E-6</v>
      </c>
      <c r="G306" s="140">
        <f t="shared" si="97"/>
        <v>1.7800000000000003E-6</v>
      </c>
      <c r="H306" s="157">
        <f>IF(A306&lt;$B$9*DATA!$H$1037,DATA!$H$1037,IF(A306&gt;DATA!$H$1036*$B$9,DATA!$H$1036,1))</f>
        <v>0.8</v>
      </c>
      <c r="I306" s="156">
        <f t="shared" si="98"/>
        <v>9.9999999999999995E-8</v>
      </c>
      <c r="K306" s="140">
        <f t="shared" si="99"/>
        <v>3.5600000000000005E-5</v>
      </c>
      <c r="L306">
        <v>3.56</v>
      </c>
      <c r="M306" s="140">
        <f t="shared" si="100"/>
        <v>3.5599999999999991E-7</v>
      </c>
      <c r="N306" s="140">
        <f t="shared" si="101"/>
        <v>7.1200000000000002E-7</v>
      </c>
      <c r="O306" s="140">
        <f t="shared" si="102"/>
        <v>1.0680000000000002E-6</v>
      </c>
      <c r="P306" s="140">
        <f t="shared" si="103"/>
        <v>1.4240000000000003E-6</v>
      </c>
      <c r="Q306" s="140">
        <f t="shared" si="104"/>
        <v>1.7800000000000003E-6</v>
      </c>
      <c r="R306" s="157">
        <f>IF(K306&lt;$B$25*DATA!$H$1037,DATA!$H$1037,IF(K306&gt;DATA!$H$1036*$B$25,DATA!$H$1036,1))</f>
        <v>0.8</v>
      </c>
      <c r="S306" s="156">
        <f t="shared" si="105"/>
        <v>9.9999999999999995E-8</v>
      </c>
      <c r="U306" s="140">
        <f t="shared" si="106"/>
        <v>3.5600000000000005E-5</v>
      </c>
      <c r="V306">
        <v>3.56</v>
      </c>
      <c r="W306" s="140">
        <f t="shared" si="107"/>
        <v>3.5599999999999991E-7</v>
      </c>
      <c r="X306" s="140">
        <f t="shared" si="108"/>
        <v>7.1200000000000002E-7</v>
      </c>
      <c r="Y306" s="140">
        <f t="shared" si="109"/>
        <v>1.0680000000000002E-6</v>
      </c>
      <c r="Z306" s="140">
        <f t="shared" si="110"/>
        <v>1.4240000000000003E-6</v>
      </c>
      <c r="AA306" s="140">
        <f t="shared" si="111"/>
        <v>1.7800000000000003E-6</v>
      </c>
      <c r="AB306" s="157">
        <f>IF(U306&lt;$B$41*DATA!$H$1037,DATA!$H$1037,IF(U306&gt;DATA!$H$1036*$B$41,DATA!$H$1036,1))</f>
        <v>0.8</v>
      </c>
      <c r="AC306" s="156">
        <f t="shared" si="112"/>
        <v>9.9999999999999995E-8</v>
      </c>
      <c r="AE306" s="140">
        <f t="shared" si="113"/>
        <v>3.5600000000000005E-5</v>
      </c>
      <c r="AF306">
        <v>3.56</v>
      </c>
      <c r="AG306" s="140">
        <f t="shared" si="114"/>
        <v>3.5599999999999991E-7</v>
      </c>
      <c r="AH306" s="140">
        <f t="shared" si="115"/>
        <v>7.1200000000000002E-7</v>
      </c>
      <c r="AI306" s="140">
        <f t="shared" si="116"/>
        <v>1.0680000000000002E-6</v>
      </c>
      <c r="AJ306" s="140">
        <f t="shared" si="117"/>
        <v>1.4240000000000003E-6</v>
      </c>
      <c r="AK306" s="140">
        <f t="shared" si="118"/>
        <v>1.7800000000000003E-6</v>
      </c>
      <c r="AL306" s="157">
        <f>IF(AE306&lt;$B$57*DATA!$H$1037,DATA!$H$1037,IF(AE306&gt;DATA!$H$1036*$B$57,DATA!$H$1036,1))</f>
        <v>1.2</v>
      </c>
      <c r="AM306" s="156">
        <f t="shared" si="119"/>
        <v>9.9999999999999995E-8</v>
      </c>
      <c r="AO306" s="140">
        <f t="shared" si="120"/>
        <v>3.5600000000000005E-5</v>
      </c>
      <c r="AP306">
        <v>3.56</v>
      </c>
      <c r="AQ306" s="140">
        <f t="shared" si="121"/>
        <v>3.5599999999999991E-7</v>
      </c>
      <c r="AR306" s="140">
        <f t="shared" si="122"/>
        <v>7.1200000000000002E-7</v>
      </c>
      <c r="AS306" s="140">
        <f t="shared" si="123"/>
        <v>1.0680000000000002E-6</v>
      </c>
      <c r="AT306" s="140">
        <f t="shared" si="124"/>
        <v>1.4240000000000003E-6</v>
      </c>
      <c r="AU306" s="140">
        <f t="shared" si="125"/>
        <v>1.7800000000000003E-6</v>
      </c>
      <c r="AV306" s="157">
        <f>IF(AO306&lt;$B$73*DATA!$H$1037,DATA!$H$1037,IF(AO306&gt;DATA!$H$1036*$B$73,DATA!$H$1036,1))</f>
        <v>1.2</v>
      </c>
      <c r="AW306" s="156">
        <f t="shared" si="126"/>
        <v>9.9999999999999995E-8</v>
      </c>
      <c r="AY306" s="140">
        <f t="shared" si="127"/>
        <v>3.5600000000000005E-5</v>
      </c>
      <c r="AZ306">
        <v>3.56</v>
      </c>
      <c r="BA306" s="140">
        <f t="shared" si="128"/>
        <v>3.5599999999999991E-7</v>
      </c>
      <c r="BB306" s="140">
        <f t="shared" si="129"/>
        <v>7.1200000000000002E-7</v>
      </c>
      <c r="BC306" s="140">
        <f t="shared" si="130"/>
        <v>1.0680000000000002E-6</v>
      </c>
      <c r="BD306" s="140">
        <f t="shared" si="131"/>
        <v>1.4240000000000003E-6</v>
      </c>
      <c r="BE306" s="140">
        <f t="shared" si="132"/>
        <v>1.7800000000000003E-6</v>
      </c>
      <c r="BF306" s="157">
        <f>IF(AY306&lt;$B$89*DATA!$H$1037,DATA!$H$1037,IF(AY306&gt;DATA!$H$1036*$B$89,DATA!$H$1036,1))</f>
        <v>1.2</v>
      </c>
      <c r="BG306" s="156">
        <f t="shared" si="133"/>
        <v>9.9999999999999995E-8</v>
      </c>
      <c r="BI306" s="140">
        <f t="shared" si="134"/>
        <v>3.5600000000000005E-5</v>
      </c>
      <c r="BJ306">
        <v>3.56</v>
      </c>
      <c r="BK306" s="140">
        <f t="shared" si="135"/>
        <v>3.5599999999999991E-7</v>
      </c>
      <c r="BL306" s="140">
        <f t="shared" si="136"/>
        <v>7.1200000000000002E-7</v>
      </c>
      <c r="BM306" s="140">
        <f t="shared" si="137"/>
        <v>1.0680000000000002E-6</v>
      </c>
      <c r="BN306" s="140">
        <f t="shared" si="138"/>
        <v>1.4240000000000003E-6</v>
      </c>
      <c r="BO306" s="140">
        <f t="shared" si="139"/>
        <v>1.7800000000000003E-6</v>
      </c>
      <c r="BP306" s="157">
        <f>IF(BI306&lt;$B$105*DATA!$H$1037,DATA!$H$1037,IF(BI306&gt;DATA!$H$1036*$B$105,DATA!$H$1036,1))</f>
        <v>1.2</v>
      </c>
      <c r="BQ306" s="156">
        <f t="shared" si="140"/>
        <v>9.9999999999999995E-8</v>
      </c>
    </row>
    <row r="307" spans="1:69">
      <c r="A307" s="140">
        <f t="shared" si="96"/>
        <v>3.5800000000000003E-5</v>
      </c>
      <c r="B307">
        <v>3.58</v>
      </c>
      <c r="C307" s="140">
        <f t="shared" si="97"/>
        <v>3.579999999999999E-7</v>
      </c>
      <c r="D307" s="140">
        <f t="shared" si="97"/>
        <v>7.159999999999999E-7</v>
      </c>
      <c r="E307" s="140">
        <f t="shared" si="97"/>
        <v>1.074E-6</v>
      </c>
      <c r="F307" s="140">
        <f t="shared" si="97"/>
        <v>1.4320000000000002E-6</v>
      </c>
      <c r="G307" s="140">
        <f t="shared" si="97"/>
        <v>1.7900000000000002E-6</v>
      </c>
      <c r="H307" s="157">
        <f>IF(A307&lt;$B$9*DATA!$H$1037,DATA!$H$1037,IF(A307&gt;DATA!$H$1036*$B$9,DATA!$H$1036,1))</f>
        <v>0.8</v>
      </c>
      <c r="I307" s="156">
        <f t="shared" si="98"/>
        <v>9.9999999999999995E-8</v>
      </c>
      <c r="K307" s="140">
        <f t="shared" si="99"/>
        <v>3.5800000000000003E-5</v>
      </c>
      <c r="L307">
        <v>3.58</v>
      </c>
      <c r="M307" s="140">
        <f t="shared" si="100"/>
        <v>3.579999999999999E-7</v>
      </c>
      <c r="N307" s="140">
        <f t="shared" si="101"/>
        <v>7.159999999999999E-7</v>
      </c>
      <c r="O307" s="140">
        <f t="shared" si="102"/>
        <v>1.074E-6</v>
      </c>
      <c r="P307" s="140">
        <f t="shared" si="103"/>
        <v>1.4320000000000002E-6</v>
      </c>
      <c r="Q307" s="140">
        <f t="shared" si="104"/>
        <v>1.7900000000000002E-6</v>
      </c>
      <c r="R307" s="157">
        <f>IF(K307&lt;$B$25*DATA!$H$1037,DATA!$H$1037,IF(K307&gt;DATA!$H$1036*$B$25,DATA!$H$1036,1))</f>
        <v>0.8</v>
      </c>
      <c r="S307" s="156">
        <f t="shared" si="105"/>
        <v>9.9999999999999995E-8</v>
      </c>
      <c r="U307" s="140">
        <f t="shared" si="106"/>
        <v>3.5800000000000003E-5</v>
      </c>
      <c r="V307">
        <v>3.58</v>
      </c>
      <c r="W307" s="140">
        <f t="shared" si="107"/>
        <v>3.579999999999999E-7</v>
      </c>
      <c r="X307" s="140">
        <f t="shared" si="108"/>
        <v>7.159999999999999E-7</v>
      </c>
      <c r="Y307" s="140">
        <f t="shared" si="109"/>
        <v>1.074E-6</v>
      </c>
      <c r="Z307" s="140">
        <f t="shared" si="110"/>
        <v>1.4320000000000002E-6</v>
      </c>
      <c r="AA307" s="140">
        <f t="shared" si="111"/>
        <v>1.7900000000000002E-6</v>
      </c>
      <c r="AB307" s="157">
        <f>IF(U307&lt;$B$41*DATA!$H$1037,DATA!$H$1037,IF(U307&gt;DATA!$H$1036*$B$41,DATA!$H$1036,1))</f>
        <v>0.8</v>
      </c>
      <c r="AC307" s="156">
        <f t="shared" si="112"/>
        <v>9.9999999999999995E-8</v>
      </c>
      <c r="AE307" s="140">
        <f t="shared" si="113"/>
        <v>3.5800000000000003E-5</v>
      </c>
      <c r="AF307">
        <v>3.58</v>
      </c>
      <c r="AG307" s="140">
        <f t="shared" si="114"/>
        <v>3.579999999999999E-7</v>
      </c>
      <c r="AH307" s="140">
        <f t="shared" si="115"/>
        <v>7.159999999999999E-7</v>
      </c>
      <c r="AI307" s="140">
        <f t="shared" si="116"/>
        <v>1.074E-6</v>
      </c>
      <c r="AJ307" s="140">
        <f t="shared" si="117"/>
        <v>1.4320000000000002E-6</v>
      </c>
      <c r="AK307" s="140">
        <f t="shared" si="118"/>
        <v>1.7900000000000002E-6</v>
      </c>
      <c r="AL307" s="157">
        <f>IF(AE307&lt;$B$57*DATA!$H$1037,DATA!$H$1037,IF(AE307&gt;DATA!$H$1036*$B$57,DATA!$H$1036,1))</f>
        <v>1.2</v>
      </c>
      <c r="AM307" s="156">
        <f t="shared" si="119"/>
        <v>9.9999999999999995E-8</v>
      </c>
      <c r="AO307" s="140">
        <f t="shared" si="120"/>
        <v>3.5800000000000003E-5</v>
      </c>
      <c r="AP307">
        <v>3.58</v>
      </c>
      <c r="AQ307" s="140">
        <f t="shared" si="121"/>
        <v>3.579999999999999E-7</v>
      </c>
      <c r="AR307" s="140">
        <f t="shared" si="122"/>
        <v>7.159999999999999E-7</v>
      </c>
      <c r="AS307" s="140">
        <f t="shared" si="123"/>
        <v>1.074E-6</v>
      </c>
      <c r="AT307" s="140">
        <f t="shared" si="124"/>
        <v>1.4320000000000002E-6</v>
      </c>
      <c r="AU307" s="140">
        <f t="shared" si="125"/>
        <v>1.7900000000000002E-6</v>
      </c>
      <c r="AV307" s="157">
        <f>IF(AO307&lt;$B$73*DATA!$H$1037,DATA!$H$1037,IF(AO307&gt;DATA!$H$1036*$B$73,DATA!$H$1036,1))</f>
        <v>1.2</v>
      </c>
      <c r="AW307" s="156">
        <f t="shared" si="126"/>
        <v>9.9999999999999995E-8</v>
      </c>
      <c r="AY307" s="140">
        <f t="shared" si="127"/>
        <v>3.5800000000000003E-5</v>
      </c>
      <c r="AZ307">
        <v>3.58</v>
      </c>
      <c r="BA307" s="140">
        <f t="shared" si="128"/>
        <v>3.579999999999999E-7</v>
      </c>
      <c r="BB307" s="140">
        <f t="shared" si="129"/>
        <v>7.159999999999999E-7</v>
      </c>
      <c r="BC307" s="140">
        <f t="shared" si="130"/>
        <v>1.074E-6</v>
      </c>
      <c r="BD307" s="140">
        <f t="shared" si="131"/>
        <v>1.4320000000000002E-6</v>
      </c>
      <c r="BE307" s="140">
        <f t="shared" si="132"/>
        <v>1.7900000000000002E-6</v>
      </c>
      <c r="BF307" s="157">
        <f>IF(AY307&lt;$B$89*DATA!$H$1037,DATA!$H$1037,IF(AY307&gt;DATA!$H$1036*$B$89,DATA!$H$1036,1))</f>
        <v>1.2</v>
      </c>
      <c r="BG307" s="156">
        <f t="shared" si="133"/>
        <v>9.9999999999999995E-8</v>
      </c>
      <c r="BI307" s="140">
        <f t="shared" si="134"/>
        <v>3.5800000000000003E-5</v>
      </c>
      <c r="BJ307">
        <v>3.58</v>
      </c>
      <c r="BK307" s="140">
        <f t="shared" si="135"/>
        <v>3.579999999999999E-7</v>
      </c>
      <c r="BL307" s="140">
        <f t="shared" si="136"/>
        <v>7.159999999999999E-7</v>
      </c>
      <c r="BM307" s="140">
        <f t="shared" si="137"/>
        <v>1.074E-6</v>
      </c>
      <c r="BN307" s="140">
        <f t="shared" si="138"/>
        <v>1.4320000000000002E-6</v>
      </c>
      <c r="BO307" s="140">
        <f t="shared" si="139"/>
        <v>1.7900000000000002E-6</v>
      </c>
      <c r="BP307" s="157">
        <f>IF(BI307&lt;$B$105*DATA!$H$1037,DATA!$H$1037,IF(BI307&gt;DATA!$H$1036*$B$105,DATA!$H$1036,1))</f>
        <v>1.2</v>
      </c>
      <c r="BQ307" s="156">
        <f t="shared" si="140"/>
        <v>9.9999999999999995E-8</v>
      </c>
    </row>
    <row r="308" spans="1:69">
      <c r="A308" s="140">
        <f t="shared" si="96"/>
        <v>3.6000000000000001E-5</v>
      </c>
      <c r="B308">
        <v>3.6</v>
      </c>
      <c r="C308" s="140">
        <f t="shared" si="97"/>
        <v>3.5999999999999989E-7</v>
      </c>
      <c r="D308" s="140">
        <f t="shared" si="97"/>
        <v>7.1999999999999988E-7</v>
      </c>
      <c r="E308" s="140">
        <f t="shared" si="97"/>
        <v>1.08E-6</v>
      </c>
      <c r="F308" s="140">
        <f t="shared" si="97"/>
        <v>1.44E-6</v>
      </c>
      <c r="G308" s="140">
        <f t="shared" si="97"/>
        <v>1.8000000000000001E-6</v>
      </c>
      <c r="H308" s="157">
        <f>IF(A308&lt;$B$9*DATA!$H$1037,DATA!$H$1037,IF(A308&gt;DATA!$H$1036*$B$9,DATA!$H$1036,1))</f>
        <v>0.8</v>
      </c>
      <c r="I308" s="156">
        <f t="shared" si="98"/>
        <v>9.9999999999999995E-8</v>
      </c>
      <c r="K308" s="140">
        <f t="shared" si="99"/>
        <v>3.6000000000000001E-5</v>
      </c>
      <c r="L308">
        <v>3.6</v>
      </c>
      <c r="M308" s="140">
        <f t="shared" si="100"/>
        <v>3.5999999999999989E-7</v>
      </c>
      <c r="N308" s="140">
        <f t="shared" si="101"/>
        <v>7.1999999999999988E-7</v>
      </c>
      <c r="O308" s="140">
        <f t="shared" si="102"/>
        <v>1.08E-6</v>
      </c>
      <c r="P308" s="140">
        <f t="shared" si="103"/>
        <v>1.44E-6</v>
      </c>
      <c r="Q308" s="140">
        <f t="shared" si="104"/>
        <v>1.8000000000000001E-6</v>
      </c>
      <c r="R308" s="157">
        <f>IF(K308&lt;$B$25*DATA!$H$1037,DATA!$H$1037,IF(K308&gt;DATA!$H$1036*$B$25,DATA!$H$1036,1))</f>
        <v>0.8</v>
      </c>
      <c r="S308" s="156">
        <f t="shared" si="105"/>
        <v>9.9999999999999995E-8</v>
      </c>
      <c r="U308" s="140">
        <f t="shared" si="106"/>
        <v>3.6000000000000001E-5</v>
      </c>
      <c r="V308">
        <v>3.6</v>
      </c>
      <c r="W308" s="140">
        <f t="shared" si="107"/>
        <v>3.5999999999999989E-7</v>
      </c>
      <c r="X308" s="140">
        <f t="shared" si="108"/>
        <v>7.1999999999999988E-7</v>
      </c>
      <c r="Y308" s="140">
        <f t="shared" si="109"/>
        <v>1.08E-6</v>
      </c>
      <c r="Z308" s="140">
        <f t="shared" si="110"/>
        <v>1.44E-6</v>
      </c>
      <c r="AA308" s="140">
        <f t="shared" si="111"/>
        <v>1.8000000000000001E-6</v>
      </c>
      <c r="AB308" s="157">
        <f>IF(U308&lt;$B$41*DATA!$H$1037,DATA!$H$1037,IF(U308&gt;DATA!$H$1036*$B$41,DATA!$H$1036,1))</f>
        <v>0.8</v>
      </c>
      <c r="AC308" s="156">
        <f t="shared" si="112"/>
        <v>9.9999999999999995E-8</v>
      </c>
      <c r="AE308" s="140">
        <f t="shared" si="113"/>
        <v>3.6000000000000001E-5</v>
      </c>
      <c r="AF308">
        <v>3.6</v>
      </c>
      <c r="AG308" s="140">
        <f t="shared" si="114"/>
        <v>3.5999999999999989E-7</v>
      </c>
      <c r="AH308" s="140">
        <f t="shared" si="115"/>
        <v>7.1999999999999988E-7</v>
      </c>
      <c r="AI308" s="140">
        <f t="shared" si="116"/>
        <v>1.08E-6</v>
      </c>
      <c r="AJ308" s="140">
        <f t="shared" si="117"/>
        <v>1.44E-6</v>
      </c>
      <c r="AK308" s="140">
        <f t="shared" si="118"/>
        <v>1.8000000000000001E-6</v>
      </c>
      <c r="AL308" s="157">
        <f>IF(AE308&lt;$B$57*DATA!$H$1037,DATA!$H$1037,IF(AE308&gt;DATA!$H$1036*$B$57,DATA!$H$1036,1))</f>
        <v>1.2</v>
      </c>
      <c r="AM308" s="156">
        <f t="shared" si="119"/>
        <v>9.9999999999999995E-8</v>
      </c>
      <c r="AO308" s="140">
        <f t="shared" si="120"/>
        <v>3.6000000000000001E-5</v>
      </c>
      <c r="AP308">
        <v>3.6</v>
      </c>
      <c r="AQ308" s="140">
        <f t="shared" si="121"/>
        <v>3.5999999999999989E-7</v>
      </c>
      <c r="AR308" s="140">
        <f t="shared" si="122"/>
        <v>7.1999999999999988E-7</v>
      </c>
      <c r="AS308" s="140">
        <f t="shared" si="123"/>
        <v>1.08E-6</v>
      </c>
      <c r="AT308" s="140">
        <f t="shared" si="124"/>
        <v>1.44E-6</v>
      </c>
      <c r="AU308" s="140">
        <f t="shared" si="125"/>
        <v>1.8000000000000001E-6</v>
      </c>
      <c r="AV308" s="157">
        <f>IF(AO308&lt;$B$73*DATA!$H$1037,DATA!$H$1037,IF(AO308&gt;DATA!$H$1036*$B$73,DATA!$H$1036,1))</f>
        <v>1.2</v>
      </c>
      <c r="AW308" s="156">
        <f t="shared" si="126"/>
        <v>9.9999999999999995E-8</v>
      </c>
      <c r="AY308" s="140">
        <f t="shared" si="127"/>
        <v>3.6000000000000001E-5</v>
      </c>
      <c r="AZ308">
        <v>3.6</v>
      </c>
      <c r="BA308" s="140">
        <f t="shared" si="128"/>
        <v>3.5999999999999989E-7</v>
      </c>
      <c r="BB308" s="140">
        <f t="shared" si="129"/>
        <v>7.1999999999999988E-7</v>
      </c>
      <c r="BC308" s="140">
        <f t="shared" si="130"/>
        <v>1.08E-6</v>
      </c>
      <c r="BD308" s="140">
        <f t="shared" si="131"/>
        <v>1.44E-6</v>
      </c>
      <c r="BE308" s="140">
        <f t="shared" si="132"/>
        <v>1.8000000000000001E-6</v>
      </c>
      <c r="BF308" s="157">
        <f>IF(AY308&lt;$B$89*DATA!$H$1037,DATA!$H$1037,IF(AY308&gt;DATA!$H$1036*$B$89,DATA!$H$1036,1))</f>
        <v>1.2</v>
      </c>
      <c r="BG308" s="156">
        <f t="shared" si="133"/>
        <v>9.9999999999999995E-8</v>
      </c>
      <c r="BI308" s="140">
        <f t="shared" si="134"/>
        <v>3.6000000000000001E-5</v>
      </c>
      <c r="BJ308">
        <v>3.6</v>
      </c>
      <c r="BK308" s="140">
        <f t="shared" si="135"/>
        <v>3.5999999999999989E-7</v>
      </c>
      <c r="BL308" s="140">
        <f t="shared" si="136"/>
        <v>7.1999999999999988E-7</v>
      </c>
      <c r="BM308" s="140">
        <f t="shared" si="137"/>
        <v>1.08E-6</v>
      </c>
      <c r="BN308" s="140">
        <f t="shared" si="138"/>
        <v>1.44E-6</v>
      </c>
      <c r="BO308" s="140">
        <f t="shared" si="139"/>
        <v>1.8000000000000001E-6</v>
      </c>
      <c r="BP308" s="157">
        <f>IF(BI308&lt;$B$105*DATA!$H$1037,DATA!$H$1037,IF(BI308&gt;DATA!$H$1036*$B$105,DATA!$H$1036,1))</f>
        <v>1.2</v>
      </c>
      <c r="BQ308" s="156">
        <f t="shared" si="140"/>
        <v>9.9999999999999995E-8</v>
      </c>
    </row>
    <row r="309" spans="1:69">
      <c r="A309" s="140">
        <f t="shared" si="96"/>
        <v>3.6200000000000006E-5</v>
      </c>
      <c r="B309">
        <v>3.62</v>
      </c>
      <c r="C309" s="140">
        <f t="shared" si="97"/>
        <v>3.6199999999999993E-7</v>
      </c>
      <c r="D309" s="140">
        <f t="shared" si="97"/>
        <v>7.2399999999999997E-7</v>
      </c>
      <c r="E309" s="140">
        <f t="shared" si="97"/>
        <v>1.0860000000000001E-6</v>
      </c>
      <c r="F309" s="140">
        <f t="shared" si="97"/>
        <v>1.4480000000000004E-6</v>
      </c>
      <c r="G309" s="140">
        <f t="shared" si="97"/>
        <v>1.8100000000000005E-6</v>
      </c>
      <c r="H309" s="157">
        <f>IF(A309&lt;$B$9*DATA!$H$1037,DATA!$H$1037,IF(A309&gt;DATA!$H$1036*$B$9,DATA!$H$1036,1))</f>
        <v>0.8</v>
      </c>
      <c r="I309" s="156">
        <f t="shared" si="98"/>
        <v>9.9999999999999995E-8</v>
      </c>
      <c r="K309" s="140">
        <f t="shared" si="99"/>
        <v>3.6200000000000006E-5</v>
      </c>
      <c r="L309">
        <v>3.62</v>
      </c>
      <c r="M309" s="140">
        <f t="shared" si="100"/>
        <v>3.6199999999999993E-7</v>
      </c>
      <c r="N309" s="140">
        <f t="shared" si="101"/>
        <v>7.2399999999999997E-7</v>
      </c>
      <c r="O309" s="140">
        <f t="shared" si="102"/>
        <v>1.0860000000000001E-6</v>
      </c>
      <c r="P309" s="140">
        <f t="shared" si="103"/>
        <v>1.4480000000000004E-6</v>
      </c>
      <c r="Q309" s="140">
        <f t="shared" si="104"/>
        <v>1.8100000000000005E-6</v>
      </c>
      <c r="R309" s="157">
        <f>IF(K309&lt;$B$25*DATA!$H$1037,DATA!$H$1037,IF(K309&gt;DATA!$H$1036*$B$25,DATA!$H$1036,1))</f>
        <v>0.8</v>
      </c>
      <c r="S309" s="156">
        <f t="shared" si="105"/>
        <v>9.9999999999999995E-8</v>
      </c>
      <c r="U309" s="140">
        <f t="shared" si="106"/>
        <v>3.6200000000000006E-5</v>
      </c>
      <c r="V309">
        <v>3.62</v>
      </c>
      <c r="W309" s="140">
        <f t="shared" si="107"/>
        <v>3.6199999999999993E-7</v>
      </c>
      <c r="X309" s="140">
        <f t="shared" si="108"/>
        <v>7.2399999999999997E-7</v>
      </c>
      <c r="Y309" s="140">
        <f t="shared" si="109"/>
        <v>1.0860000000000001E-6</v>
      </c>
      <c r="Z309" s="140">
        <f t="shared" si="110"/>
        <v>1.4480000000000004E-6</v>
      </c>
      <c r="AA309" s="140">
        <f t="shared" si="111"/>
        <v>1.8100000000000005E-6</v>
      </c>
      <c r="AB309" s="157">
        <f>IF(U309&lt;$B$41*DATA!$H$1037,DATA!$H$1037,IF(U309&gt;DATA!$H$1036*$B$41,DATA!$H$1036,1))</f>
        <v>0.8</v>
      </c>
      <c r="AC309" s="156">
        <f t="shared" si="112"/>
        <v>9.9999999999999995E-8</v>
      </c>
      <c r="AE309" s="140">
        <f t="shared" si="113"/>
        <v>3.6200000000000006E-5</v>
      </c>
      <c r="AF309">
        <v>3.62</v>
      </c>
      <c r="AG309" s="140">
        <f t="shared" si="114"/>
        <v>3.6199999999999993E-7</v>
      </c>
      <c r="AH309" s="140">
        <f t="shared" si="115"/>
        <v>7.2399999999999997E-7</v>
      </c>
      <c r="AI309" s="140">
        <f t="shared" si="116"/>
        <v>1.0860000000000001E-6</v>
      </c>
      <c r="AJ309" s="140">
        <f t="shared" si="117"/>
        <v>1.4480000000000004E-6</v>
      </c>
      <c r="AK309" s="140">
        <f t="shared" si="118"/>
        <v>1.8100000000000005E-6</v>
      </c>
      <c r="AL309" s="157">
        <f>IF(AE309&lt;$B$57*DATA!$H$1037,DATA!$H$1037,IF(AE309&gt;DATA!$H$1036*$B$57,DATA!$H$1036,1))</f>
        <v>1.2</v>
      </c>
      <c r="AM309" s="156">
        <f t="shared" si="119"/>
        <v>9.9999999999999995E-8</v>
      </c>
      <c r="AO309" s="140">
        <f t="shared" si="120"/>
        <v>3.6200000000000006E-5</v>
      </c>
      <c r="AP309">
        <v>3.62</v>
      </c>
      <c r="AQ309" s="140">
        <f t="shared" si="121"/>
        <v>3.6199999999999993E-7</v>
      </c>
      <c r="AR309" s="140">
        <f t="shared" si="122"/>
        <v>7.2399999999999997E-7</v>
      </c>
      <c r="AS309" s="140">
        <f t="shared" si="123"/>
        <v>1.0860000000000001E-6</v>
      </c>
      <c r="AT309" s="140">
        <f t="shared" si="124"/>
        <v>1.4480000000000004E-6</v>
      </c>
      <c r="AU309" s="140">
        <f t="shared" si="125"/>
        <v>1.8100000000000005E-6</v>
      </c>
      <c r="AV309" s="157">
        <f>IF(AO309&lt;$B$73*DATA!$H$1037,DATA!$H$1037,IF(AO309&gt;DATA!$H$1036*$B$73,DATA!$H$1036,1))</f>
        <v>1.2</v>
      </c>
      <c r="AW309" s="156">
        <f t="shared" si="126"/>
        <v>9.9999999999999995E-8</v>
      </c>
      <c r="AY309" s="140">
        <f t="shared" si="127"/>
        <v>3.6200000000000006E-5</v>
      </c>
      <c r="AZ309">
        <v>3.62</v>
      </c>
      <c r="BA309" s="140">
        <f t="shared" si="128"/>
        <v>3.6199999999999993E-7</v>
      </c>
      <c r="BB309" s="140">
        <f t="shared" si="129"/>
        <v>7.2399999999999997E-7</v>
      </c>
      <c r="BC309" s="140">
        <f t="shared" si="130"/>
        <v>1.0860000000000001E-6</v>
      </c>
      <c r="BD309" s="140">
        <f t="shared" si="131"/>
        <v>1.4480000000000004E-6</v>
      </c>
      <c r="BE309" s="140">
        <f t="shared" si="132"/>
        <v>1.8100000000000005E-6</v>
      </c>
      <c r="BF309" s="157">
        <f>IF(AY309&lt;$B$89*DATA!$H$1037,DATA!$H$1037,IF(AY309&gt;DATA!$H$1036*$B$89,DATA!$H$1036,1))</f>
        <v>1.2</v>
      </c>
      <c r="BG309" s="156">
        <f t="shared" si="133"/>
        <v>9.9999999999999995E-8</v>
      </c>
      <c r="BI309" s="140">
        <f t="shared" si="134"/>
        <v>3.6200000000000006E-5</v>
      </c>
      <c r="BJ309">
        <v>3.62</v>
      </c>
      <c r="BK309" s="140">
        <f t="shared" si="135"/>
        <v>3.6199999999999993E-7</v>
      </c>
      <c r="BL309" s="140">
        <f t="shared" si="136"/>
        <v>7.2399999999999997E-7</v>
      </c>
      <c r="BM309" s="140">
        <f t="shared" si="137"/>
        <v>1.0860000000000001E-6</v>
      </c>
      <c r="BN309" s="140">
        <f t="shared" si="138"/>
        <v>1.4480000000000004E-6</v>
      </c>
      <c r="BO309" s="140">
        <f t="shared" si="139"/>
        <v>1.8100000000000005E-6</v>
      </c>
      <c r="BP309" s="157">
        <f>IF(BI309&lt;$B$105*DATA!$H$1037,DATA!$H$1037,IF(BI309&gt;DATA!$H$1036*$B$105,DATA!$H$1036,1))</f>
        <v>1.2</v>
      </c>
      <c r="BQ309" s="156">
        <f t="shared" si="140"/>
        <v>9.9999999999999995E-8</v>
      </c>
    </row>
    <row r="310" spans="1:69">
      <c r="A310" s="140">
        <f t="shared" si="96"/>
        <v>3.6400000000000004E-5</v>
      </c>
      <c r="B310">
        <v>3.64</v>
      </c>
      <c r="C310" s="140">
        <f t="shared" si="97"/>
        <v>3.6399999999999992E-7</v>
      </c>
      <c r="D310" s="140">
        <f t="shared" si="97"/>
        <v>7.2799999999999995E-7</v>
      </c>
      <c r="E310" s="140">
        <f t="shared" si="97"/>
        <v>1.0920000000000001E-6</v>
      </c>
      <c r="F310" s="140">
        <f t="shared" si="97"/>
        <v>1.4560000000000001E-6</v>
      </c>
      <c r="G310" s="140">
        <f t="shared" si="97"/>
        <v>1.8200000000000004E-6</v>
      </c>
      <c r="H310" s="157">
        <f>IF(A310&lt;$B$9*DATA!$H$1037,DATA!$H$1037,IF(A310&gt;DATA!$H$1036*$B$9,DATA!$H$1036,1))</f>
        <v>0.8</v>
      </c>
      <c r="I310" s="156">
        <f t="shared" si="98"/>
        <v>9.9999999999999995E-8</v>
      </c>
      <c r="K310" s="140">
        <f t="shared" si="99"/>
        <v>3.6400000000000004E-5</v>
      </c>
      <c r="L310">
        <v>3.64</v>
      </c>
      <c r="M310" s="140">
        <f t="shared" si="100"/>
        <v>3.6399999999999992E-7</v>
      </c>
      <c r="N310" s="140">
        <f t="shared" si="101"/>
        <v>7.2799999999999995E-7</v>
      </c>
      <c r="O310" s="140">
        <f t="shared" si="102"/>
        <v>1.0920000000000001E-6</v>
      </c>
      <c r="P310" s="140">
        <f t="shared" si="103"/>
        <v>1.4560000000000001E-6</v>
      </c>
      <c r="Q310" s="140">
        <f t="shared" si="104"/>
        <v>1.8200000000000004E-6</v>
      </c>
      <c r="R310" s="157">
        <f>IF(K310&lt;$B$25*DATA!$H$1037,DATA!$H$1037,IF(K310&gt;DATA!$H$1036*$B$25,DATA!$H$1036,1))</f>
        <v>0.8</v>
      </c>
      <c r="S310" s="156">
        <f t="shared" si="105"/>
        <v>9.9999999999999995E-8</v>
      </c>
      <c r="U310" s="140">
        <f t="shared" si="106"/>
        <v>3.6400000000000004E-5</v>
      </c>
      <c r="V310">
        <v>3.64</v>
      </c>
      <c r="W310" s="140">
        <f t="shared" si="107"/>
        <v>3.6399999999999992E-7</v>
      </c>
      <c r="X310" s="140">
        <f t="shared" si="108"/>
        <v>7.2799999999999995E-7</v>
      </c>
      <c r="Y310" s="140">
        <f t="shared" si="109"/>
        <v>1.0920000000000001E-6</v>
      </c>
      <c r="Z310" s="140">
        <f t="shared" si="110"/>
        <v>1.4560000000000001E-6</v>
      </c>
      <c r="AA310" s="140">
        <f t="shared" si="111"/>
        <v>1.8200000000000004E-6</v>
      </c>
      <c r="AB310" s="157">
        <f>IF(U310&lt;$B$41*DATA!$H$1037,DATA!$H$1037,IF(U310&gt;DATA!$H$1036*$B$41,DATA!$H$1036,1))</f>
        <v>0.8</v>
      </c>
      <c r="AC310" s="156">
        <f t="shared" si="112"/>
        <v>9.9999999999999995E-8</v>
      </c>
      <c r="AE310" s="140">
        <f t="shared" si="113"/>
        <v>3.6400000000000004E-5</v>
      </c>
      <c r="AF310">
        <v>3.64</v>
      </c>
      <c r="AG310" s="140">
        <f t="shared" si="114"/>
        <v>3.6399999999999992E-7</v>
      </c>
      <c r="AH310" s="140">
        <f t="shared" si="115"/>
        <v>7.2799999999999995E-7</v>
      </c>
      <c r="AI310" s="140">
        <f t="shared" si="116"/>
        <v>1.0920000000000001E-6</v>
      </c>
      <c r="AJ310" s="140">
        <f t="shared" si="117"/>
        <v>1.4560000000000001E-6</v>
      </c>
      <c r="AK310" s="140">
        <f t="shared" si="118"/>
        <v>1.8200000000000004E-6</v>
      </c>
      <c r="AL310" s="157">
        <f>IF(AE310&lt;$B$57*DATA!$H$1037,DATA!$H$1037,IF(AE310&gt;DATA!$H$1036*$B$57,DATA!$H$1036,1))</f>
        <v>1.2</v>
      </c>
      <c r="AM310" s="156">
        <f t="shared" si="119"/>
        <v>9.9999999999999995E-8</v>
      </c>
      <c r="AO310" s="140">
        <f t="shared" si="120"/>
        <v>3.6400000000000004E-5</v>
      </c>
      <c r="AP310">
        <v>3.64</v>
      </c>
      <c r="AQ310" s="140">
        <f t="shared" si="121"/>
        <v>3.6399999999999992E-7</v>
      </c>
      <c r="AR310" s="140">
        <f t="shared" si="122"/>
        <v>7.2799999999999995E-7</v>
      </c>
      <c r="AS310" s="140">
        <f t="shared" si="123"/>
        <v>1.0920000000000001E-6</v>
      </c>
      <c r="AT310" s="140">
        <f t="shared" si="124"/>
        <v>1.4560000000000001E-6</v>
      </c>
      <c r="AU310" s="140">
        <f t="shared" si="125"/>
        <v>1.8200000000000004E-6</v>
      </c>
      <c r="AV310" s="157">
        <f>IF(AO310&lt;$B$73*DATA!$H$1037,DATA!$H$1037,IF(AO310&gt;DATA!$H$1036*$B$73,DATA!$H$1036,1))</f>
        <v>1.2</v>
      </c>
      <c r="AW310" s="156">
        <f t="shared" si="126"/>
        <v>9.9999999999999995E-8</v>
      </c>
      <c r="AY310" s="140">
        <f t="shared" si="127"/>
        <v>3.6400000000000004E-5</v>
      </c>
      <c r="AZ310">
        <v>3.64</v>
      </c>
      <c r="BA310" s="140">
        <f t="shared" si="128"/>
        <v>3.6399999999999992E-7</v>
      </c>
      <c r="BB310" s="140">
        <f t="shared" si="129"/>
        <v>7.2799999999999995E-7</v>
      </c>
      <c r="BC310" s="140">
        <f t="shared" si="130"/>
        <v>1.0920000000000001E-6</v>
      </c>
      <c r="BD310" s="140">
        <f t="shared" si="131"/>
        <v>1.4560000000000001E-6</v>
      </c>
      <c r="BE310" s="140">
        <f t="shared" si="132"/>
        <v>1.8200000000000004E-6</v>
      </c>
      <c r="BF310" s="157">
        <f>IF(AY310&lt;$B$89*DATA!$H$1037,DATA!$H$1037,IF(AY310&gt;DATA!$H$1036*$B$89,DATA!$H$1036,1))</f>
        <v>1.2</v>
      </c>
      <c r="BG310" s="156">
        <f t="shared" si="133"/>
        <v>9.9999999999999995E-8</v>
      </c>
      <c r="BI310" s="140">
        <f t="shared" si="134"/>
        <v>3.6400000000000004E-5</v>
      </c>
      <c r="BJ310">
        <v>3.64</v>
      </c>
      <c r="BK310" s="140">
        <f t="shared" si="135"/>
        <v>3.6399999999999992E-7</v>
      </c>
      <c r="BL310" s="140">
        <f t="shared" si="136"/>
        <v>7.2799999999999995E-7</v>
      </c>
      <c r="BM310" s="140">
        <f t="shared" si="137"/>
        <v>1.0920000000000001E-6</v>
      </c>
      <c r="BN310" s="140">
        <f t="shared" si="138"/>
        <v>1.4560000000000001E-6</v>
      </c>
      <c r="BO310" s="140">
        <f t="shared" si="139"/>
        <v>1.8200000000000004E-6</v>
      </c>
      <c r="BP310" s="157">
        <f>IF(BI310&lt;$B$105*DATA!$H$1037,DATA!$H$1037,IF(BI310&gt;DATA!$H$1036*$B$105,DATA!$H$1036,1))</f>
        <v>1.2</v>
      </c>
      <c r="BQ310" s="156">
        <f t="shared" si="140"/>
        <v>9.9999999999999995E-8</v>
      </c>
    </row>
    <row r="311" spans="1:69">
      <c r="A311" s="140">
        <f t="shared" si="96"/>
        <v>3.6600000000000002E-5</v>
      </c>
      <c r="B311">
        <v>3.66</v>
      </c>
      <c r="C311" s="140">
        <f t="shared" si="97"/>
        <v>3.6599999999999992E-7</v>
      </c>
      <c r="D311" s="140">
        <f t="shared" si="97"/>
        <v>7.3199999999999994E-7</v>
      </c>
      <c r="E311" s="140">
        <f t="shared" si="97"/>
        <v>1.0980000000000001E-6</v>
      </c>
      <c r="F311" s="140">
        <f t="shared" si="97"/>
        <v>1.4640000000000001E-6</v>
      </c>
      <c r="G311" s="140">
        <f t="shared" si="97"/>
        <v>1.8300000000000003E-6</v>
      </c>
      <c r="H311" s="157">
        <f>IF(A311&lt;$B$9*DATA!$H$1037,DATA!$H$1037,IF(A311&gt;DATA!$H$1036*$B$9,DATA!$H$1036,1))</f>
        <v>0.8</v>
      </c>
      <c r="I311" s="156">
        <f t="shared" si="98"/>
        <v>9.9999999999999995E-8</v>
      </c>
      <c r="K311" s="140">
        <f t="shared" si="99"/>
        <v>3.6600000000000002E-5</v>
      </c>
      <c r="L311">
        <v>3.66</v>
      </c>
      <c r="M311" s="140">
        <f t="shared" si="100"/>
        <v>3.6599999999999992E-7</v>
      </c>
      <c r="N311" s="140">
        <f t="shared" si="101"/>
        <v>7.3199999999999994E-7</v>
      </c>
      <c r="O311" s="140">
        <f t="shared" si="102"/>
        <v>1.0980000000000001E-6</v>
      </c>
      <c r="P311" s="140">
        <f t="shared" si="103"/>
        <v>1.4640000000000001E-6</v>
      </c>
      <c r="Q311" s="140">
        <f t="shared" si="104"/>
        <v>1.8300000000000003E-6</v>
      </c>
      <c r="R311" s="157">
        <f>IF(K311&lt;$B$25*DATA!$H$1037,DATA!$H$1037,IF(K311&gt;DATA!$H$1036*$B$25,DATA!$H$1036,1))</f>
        <v>0.8</v>
      </c>
      <c r="S311" s="156">
        <f t="shared" si="105"/>
        <v>9.9999999999999995E-8</v>
      </c>
      <c r="U311" s="140">
        <f t="shared" si="106"/>
        <v>3.6600000000000002E-5</v>
      </c>
      <c r="V311">
        <v>3.66</v>
      </c>
      <c r="W311" s="140">
        <f t="shared" si="107"/>
        <v>3.6599999999999992E-7</v>
      </c>
      <c r="X311" s="140">
        <f t="shared" si="108"/>
        <v>7.3199999999999994E-7</v>
      </c>
      <c r="Y311" s="140">
        <f t="shared" si="109"/>
        <v>1.0980000000000001E-6</v>
      </c>
      <c r="Z311" s="140">
        <f t="shared" si="110"/>
        <v>1.4640000000000001E-6</v>
      </c>
      <c r="AA311" s="140">
        <f t="shared" si="111"/>
        <v>1.8300000000000003E-6</v>
      </c>
      <c r="AB311" s="157">
        <f>IF(U311&lt;$B$41*DATA!$H$1037,DATA!$H$1037,IF(U311&gt;DATA!$H$1036*$B$41,DATA!$H$1036,1))</f>
        <v>0.8</v>
      </c>
      <c r="AC311" s="156">
        <f t="shared" si="112"/>
        <v>9.9999999999999995E-8</v>
      </c>
      <c r="AE311" s="140">
        <f t="shared" si="113"/>
        <v>3.6600000000000002E-5</v>
      </c>
      <c r="AF311">
        <v>3.66</v>
      </c>
      <c r="AG311" s="140">
        <f t="shared" si="114"/>
        <v>3.6599999999999992E-7</v>
      </c>
      <c r="AH311" s="140">
        <f t="shared" si="115"/>
        <v>7.3199999999999994E-7</v>
      </c>
      <c r="AI311" s="140">
        <f t="shared" si="116"/>
        <v>1.0980000000000001E-6</v>
      </c>
      <c r="AJ311" s="140">
        <f t="shared" si="117"/>
        <v>1.4640000000000001E-6</v>
      </c>
      <c r="AK311" s="140">
        <f t="shared" si="118"/>
        <v>1.8300000000000003E-6</v>
      </c>
      <c r="AL311" s="157">
        <f>IF(AE311&lt;$B$57*DATA!$H$1037,DATA!$H$1037,IF(AE311&gt;DATA!$H$1036*$B$57,DATA!$H$1036,1))</f>
        <v>1.2</v>
      </c>
      <c r="AM311" s="156">
        <f t="shared" si="119"/>
        <v>9.9999999999999995E-8</v>
      </c>
      <c r="AO311" s="140">
        <f t="shared" si="120"/>
        <v>3.6600000000000002E-5</v>
      </c>
      <c r="AP311">
        <v>3.66</v>
      </c>
      <c r="AQ311" s="140">
        <f t="shared" si="121"/>
        <v>3.6599999999999992E-7</v>
      </c>
      <c r="AR311" s="140">
        <f t="shared" si="122"/>
        <v>7.3199999999999994E-7</v>
      </c>
      <c r="AS311" s="140">
        <f t="shared" si="123"/>
        <v>1.0980000000000001E-6</v>
      </c>
      <c r="AT311" s="140">
        <f t="shared" si="124"/>
        <v>1.4640000000000001E-6</v>
      </c>
      <c r="AU311" s="140">
        <f t="shared" si="125"/>
        <v>1.8300000000000003E-6</v>
      </c>
      <c r="AV311" s="157">
        <f>IF(AO311&lt;$B$73*DATA!$H$1037,DATA!$H$1037,IF(AO311&gt;DATA!$H$1036*$B$73,DATA!$H$1036,1))</f>
        <v>1.2</v>
      </c>
      <c r="AW311" s="156">
        <f t="shared" si="126"/>
        <v>9.9999999999999995E-8</v>
      </c>
      <c r="AY311" s="140">
        <f t="shared" si="127"/>
        <v>3.6600000000000002E-5</v>
      </c>
      <c r="AZ311">
        <v>3.66</v>
      </c>
      <c r="BA311" s="140">
        <f t="shared" si="128"/>
        <v>3.6599999999999992E-7</v>
      </c>
      <c r="BB311" s="140">
        <f t="shared" si="129"/>
        <v>7.3199999999999994E-7</v>
      </c>
      <c r="BC311" s="140">
        <f t="shared" si="130"/>
        <v>1.0980000000000001E-6</v>
      </c>
      <c r="BD311" s="140">
        <f t="shared" si="131"/>
        <v>1.4640000000000001E-6</v>
      </c>
      <c r="BE311" s="140">
        <f t="shared" si="132"/>
        <v>1.8300000000000003E-6</v>
      </c>
      <c r="BF311" s="157">
        <f>IF(AY311&lt;$B$89*DATA!$H$1037,DATA!$H$1037,IF(AY311&gt;DATA!$H$1036*$B$89,DATA!$H$1036,1))</f>
        <v>1.2</v>
      </c>
      <c r="BG311" s="156">
        <f t="shared" si="133"/>
        <v>9.9999999999999995E-8</v>
      </c>
      <c r="BI311" s="140">
        <f t="shared" si="134"/>
        <v>3.6600000000000002E-5</v>
      </c>
      <c r="BJ311">
        <v>3.66</v>
      </c>
      <c r="BK311" s="140">
        <f t="shared" si="135"/>
        <v>3.6599999999999992E-7</v>
      </c>
      <c r="BL311" s="140">
        <f t="shared" si="136"/>
        <v>7.3199999999999994E-7</v>
      </c>
      <c r="BM311" s="140">
        <f t="shared" si="137"/>
        <v>1.0980000000000001E-6</v>
      </c>
      <c r="BN311" s="140">
        <f t="shared" si="138"/>
        <v>1.4640000000000001E-6</v>
      </c>
      <c r="BO311" s="140">
        <f t="shared" si="139"/>
        <v>1.8300000000000003E-6</v>
      </c>
      <c r="BP311" s="157">
        <f>IF(BI311&lt;$B$105*DATA!$H$1037,DATA!$H$1037,IF(BI311&gt;DATA!$H$1036*$B$105,DATA!$H$1036,1))</f>
        <v>1.2</v>
      </c>
      <c r="BQ311" s="156">
        <f t="shared" si="140"/>
        <v>9.9999999999999995E-8</v>
      </c>
    </row>
    <row r="312" spans="1:69">
      <c r="A312" s="140">
        <f t="shared" si="96"/>
        <v>3.6800000000000007E-5</v>
      </c>
      <c r="B312">
        <v>3.68</v>
      </c>
      <c r="C312" s="140">
        <f t="shared" si="97"/>
        <v>3.6799999999999996E-7</v>
      </c>
      <c r="D312" s="140">
        <f t="shared" si="97"/>
        <v>7.3600000000000003E-7</v>
      </c>
      <c r="E312" s="140">
        <f t="shared" si="97"/>
        <v>1.1040000000000001E-6</v>
      </c>
      <c r="F312" s="140">
        <f t="shared" si="97"/>
        <v>1.4720000000000003E-6</v>
      </c>
      <c r="G312" s="140">
        <f t="shared" si="97"/>
        <v>1.8400000000000004E-6</v>
      </c>
      <c r="H312" s="157">
        <f>IF(A312&lt;$B$9*DATA!$H$1037,DATA!$H$1037,IF(A312&gt;DATA!$H$1036*$B$9,DATA!$H$1036,1))</f>
        <v>0.8</v>
      </c>
      <c r="I312" s="156">
        <f t="shared" si="98"/>
        <v>9.9999999999999995E-8</v>
      </c>
      <c r="K312" s="140">
        <f t="shared" si="99"/>
        <v>3.6800000000000007E-5</v>
      </c>
      <c r="L312">
        <v>3.68</v>
      </c>
      <c r="M312" s="140">
        <f t="shared" si="100"/>
        <v>3.6799999999999996E-7</v>
      </c>
      <c r="N312" s="140">
        <f t="shared" si="101"/>
        <v>7.3600000000000003E-7</v>
      </c>
      <c r="O312" s="140">
        <f t="shared" si="102"/>
        <v>1.1040000000000001E-6</v>
      </c>
      <c r="P312" s="140">
        <f t="shared" si="103"/>
        <v>1.4720000000000003E-6</v>
      </c>
      <c r="Q312" s="140">
        <f t="shared" si="104"/>
        <v>1.8400000000000004E-6</v>
      </c>
      <c r="R312" s="157">
        <f>IF(K312&lt;$B$25*DATA!$H$1037,DATA!$H$1037,IF(K312&gt;DATA!$H$1036*$B$25,DATA!$H$1036,1))</f>
        <v>0.8</v>
      </c>
      <c r="S312" s="156">
        <f t="shared" si="105"/>
        <v>9.9999999999999995E-8</v>
      </c>
      <c r="U312" s="140">
        <f t="shared" si="106"/>
        <v>3.6800000000000007E-5</v>
      </c>
      <c r="V312">
        <v>3.68</v>
      </c>
      <c r="W312" s="140">
        <f t="shared" si="107"/>
        <v>3.6799999999999996E-7</v>
      </c>
      <c r="X312" s="140">
        <f t="shared" si="108"/>
        <v>7.3600000000000003E-7</v>
      </c>
      <c r="Y312" s="140">
        <f t="shared" si="109"/>
        <v>1.1040000000000001E-6</v>
      </c>
      <c r="Z312" s="140">
        <f t="shared" si="110"/>
        <v>1.4720000000000003E-6</v>
      </c>
      <c r="AA312" s="140">
        <f t="shared" si="111"/>
        <v>1.8400000000000004E-6</v>
      </c>
      <c r="AB312" s="157">
        <f>IF(U312&lt;$B$41*DATA!$H$1037,DATA!$H$1037,IF(U312&gt;DATA!$H$1036*$B$41,DATA!$H$1036,1))</f>
        <v>0.8</v>
      </c>
      <c r="AC312" s="156">
        <f t="shared" si="112"/>
        <v>9.9999999999999995E-8</v>
      </c>
      <c r="AE312" s="140">
        <f t="shared" si="113"/>
        <v>3.6800000000000007E-5</v>
      </c>
      <c r="AF312">
        <v>3.68</v>
      </c>
      <c r="AG312" s="140">
        <f t="shared" si="114"/>
        <v>3.6799999999999996E-7</v>
      </c>
      <c r="AH312" s="140">
        <f t="shared" si="115"/>
        <v>7.3600000000000003E-7</v>
      </c>
      <c r="AI312" s="140">
        <f t="shared" si="116"/>
        <v>1.1040000000000001E-6</v>
      </c>
      <c r="AJ312" s="140">
        <f t="shared" si="117"/>
        <v>1.4720000000000003E-6</v>
      </c>
      <c r="AK312" s="140">
        <f t="shared" si="118"/>
        <v>1.8400000000000004E-6</v>
      </c>
      <c r="AL312" s="157">
        <f>IF(AE312&lt;$B$57*DATA!$H$1037,DATA!$H$1037,IF(AE312&gt;DATA!$H$1036*$B$57,DATA!$H$1036,1))</f>
        <v>1.2</v>
      </c>
      <c r="AM312" s="156">
        <f t="shared" si="119"/>
        <v>9.9999999999999995E-8</v>
      </c>
      <c r="AO312" s="140">
        <f t="shared" si="120"/>
        <v>3.6800000000000007E-5</v>
      </c>
      <c r="AP312">
        <v>3.68</v>
      </c>
      <c r="AQ312" s="140">
        <f t="shared" si="121"/>
        <v>3.6799999999999996E-7</v>
      </c>
      <c r="AR312" s="140">
        <f t="shared" si="122"/>
        <v>7.3600000000000003E-7</v>
      </c>
      <c r="AS312" s="140">
        <f t="shared" si="123"/>
        <v>1.1040000000000001E-6</v>
      </c>
      <c r="AT312" s="140">
        <f t="shared" si="124"/>
        <v>1.4720000000000003E-6</v>
      </c>
      <c r="AU312" s="140">
        <f t="shared" si="125"/>
        <v>1.8400000000000004E-6</v>
      </c>
      <c r="AV312" s="157">
        <f>IF(AO312&lt;$B$73*DATA!$H$1037,DATA!$H$1037,IF(AO312&gt;DATA!$H$1036*$B$73,DATA!$H$1036,1))</f>
        <v>1.2</v>
      </c>
      <c r="AW312" s="156">
        <f t="shared" si="126"/>
        <v>9.9999999999999995E-8</v>
      </c>
      <c r="AY312" s="140">
        <f t="shared" si="127"/>
        <v>3.6800000000000007E-5</v>
      </c>
      <c r="AZ312">
        <v>3.68</v>
      </c>
      <c r="BA312" s="140">
        <f t="shared" si="128"/>
        <v>3.6799999999999996E-7</v>
      </c>
      <c r="BB312" s="140">
        <f t="shared" si="129"/>
        <v>7.3600000000000003E-7</v>
      </c>
      <c r="BC312" s="140">
        <f t="shared" si="130"/>
        <v>1.1040000000000001E-6</v>
      </c>
      <c r="BD312" s="140">
        <f t="shared" si="131"/>
        <v>1.4720000000000003E-6</v>
      </c>
      <c r="BE312" s="140">
        <f t="shared" si="132"/>
        <v>1.8400000000000004E-6</v>
      </c>
      <c r="BF312" s="157">
        <f>IF(AY312&lt;$B$89*DATA!$H$1037,DATA!$H$1037,IF(AY312&gt;DATA!$H$1036*$B$89,DATA!$H$1036,1))</f>
        <v>1.2</v>
      </c>
      <c r="BG312" s="156">
        <f t="shared" si="133"/>
        <v>9.9999999999999995E-8</v>
      </c>
      <c r="BI312" s="140">
        <f t="shared" si="134"/>
        <v>3.6800000000000007E-5</v>
      </c>
      <c r="BJ312">
        <v>3.68</v>
      </c>
      <c r="BK312" s="140">
        <f t="shared" si="135"/>
        <v>3.6799999999999996E-7</v>
      </c>
      <c r="BL312" s="140">
        <f t="shared" si="136"/>
        <v>7.3600000000000003E-7</v>
      </c>
      <c r="BM312" s="140">
        <f t="shared" si="137"/>
        <v>1.1040000000000001E-6</v>
      </c>
      <c r="BN312" s="140">
        <f t="shared" si="138"/>
        <v>1.4720000000000003E-6</v>
      </c>
      <c r="BO312" s="140">
        <f t="shared" si="139"/>
        <v>1.8400000000000004E-6</v>
      </c>
      <c r="BP312" s="157">
        <f>IF(BI312&lt;$B$105*DATA!$H$1037,DATA!$H$1037,IF(BI312&gt;DATA!$H$1036*$B$105,DATA!$H$1036,1))</f>
        <v>1.2</v>
      </c>
      <c r="BQ312" s="156">
        <f t="shared" si="140"/>
        <v>9.9999999999999995E-8</v>
      </c>
    </row>
    <row r="313" spans="1:69">
      <c r="A313" s="140">
        <f t="shared" si="96"/>
        <v>3.7000000000000005E-5</v>
      </c>
      <c r="B313">
        <v>3.7</v>
      </c>
      <c r="C313" s="140">
        <f t="shared" si="97"/>
        <v>3.6999999999999995E-7</v>
      </c>
      <c r="D313" s="140">
        <f t="shared" si="97"/>
        <v>7.4000000000000001E-7</v>
      </c>
      <c r="E313" s="140">
        <f t="shared" si="97"/>
        <v>1.1100000000000002E-6</v>
      </c>
      <c r="F313" s="140">
        <f t="shared" si="97"/>
        <v>1.4800000000000002E-6</v>
      </c>
      <c r="G313" s="140">
        <f t="shared" si="97"/>
        <v>1.8500000000000003E-6</v>
      </c>
      <c r="H313" s="157">
        <f>IF(A313&lt;$B$9*DATA!$H$1037,DATA!$H$1037,IF(A313&gt;DATA!$H$1036*$B$9,DATA!$H$1036,1))</f>
        <v>0.8</v>
      </c>
      <c r="I313" s="156">
        <f t="shared" si="98"/>
        <v>9.9999999999999995E-8</v>
      </c>
      <c r="K313" s="140">
        <f t="shared" si="99"/>
        <v>3.7000000000000005E-5</v>
      </c>
      <c r="L313">
        <v>3.7</v>
      </c>
      <c r="M313" s="140">
        <f t="shared" si="100"/>
        <v>3.6999999999999995E-7</v>
      </c>
      <c r="N313" s="140">
        <f t="shared" si="101"/>
        <v>7.4000000000000001E-7</v>
      </c>
      <c r="O313" s="140">
        <f t="shared" si="102"/>
        <v>1.1100000000000002E-6</v>
      </c>
      <c r="P313" s="140">
        <f t="shared" si="103"/>
        <v>1.4800000000000002E-6</v>
      </c>
      <c r="Q313" s="140">
        <f t="shared" si="104"/>
        <v>1.8500000000000003E-6</v>
      </c>
      <c r="R313" s="157">
        <f>IF(K313&lt;$B$25*DATA!$H$1037,DATA!$H$1037,IF(K313&gt;DATA!$H$1036*$B$25,DATA!$H$1036,1))</f>
        <v>0.8</v>
      </c>
      <c r="S313" s="156">
        <f t="shared" si="105"/>
        <v>9.9999999999999995E-8</v>
      </c>
      <c r="U313" s="140">
        <f t="shared" si="106"/>
        <v>3.7000000000000005E-5</v>
      </c>
      <c r="V313">
        <v>3.7</v>
      </c>
      <c r="W313" s="140">
        <f t="shared" si="107"/>
        <v>3.6999999999999995E-7</v>
      </c>
      <c r="X313" s="140">
        <f t="shared" si="108"/>
        <v>7.4000000000000001E-7</v>
      </c>
      <c r="Y313" s="140">
        <f t="shared" si="109"/>
        <v>1.1100000000000002E-6</v>
      </c>
      <c r="Z313" s="140">
        <f t="shared" si="110"/>
        <v>1.4800000000000002E-6</v>
      </c>
      <c r="AA313" s="140">
        <f t="shared" si="111"/>
        <v>1.8500000000000003E-6</v>
      </c>
      <c r="AB313" s="157">
        <f>IF(U313&lt;$B$41*DATA!$H$1037,DATA!$H$1037,IF(U313&gt;DATA!$H$1036*$B$41,DATA!$H$1036,1))</f>
        <v>0.8</v>
      </c>
      <c r="AC313" s="156">
        <f t="shared" si="112"/>
        <v>9.9999999999999995E-8</v>
      </c>
      <c r="AE313" s="140">
        <f t="shared" si="113"/>
        <v>3.7000000000000005E-5</v>
      </c>
      <c r="AF313">
        <v>3.7</v>
      </c>
      <c r="AG313" s="140">
        <f t="shared" si="114"/>
        <v>3.6999999999999995E-7</v>
      </c>
      <c r="AH313" s="140">
        <f t="shared" si="115"/>
        <v>7.4000000000000001E-7</v>
      </c>
      <c r="AI313" s="140">
        <f t="shared" si="116"/>
        <v>1.1100000000000002E-6</v>
      </c>
      <c r="AJ313" s="140">
        <f t="shared" si="117"/>
        <v>1.4800000000000002E-6</v>
      </c>
      <c r="AK313" s="140">
        <f t="shared" si="118"/>
        <v>1.8500000000000003E-6</v>
      </c>
      <c r="AL313" s="157">
        <f>IF(AE313&lt;$B$57*DATA!$H$1037,DATA!$H$1037,IF(AE313&gt;DATA!$H$1036*$B$57,DATA!$H$1036,1))</f>
        <v>1.2</v>
      </c>
      <c r="AM313" s="156">
        <f t="shared" si="119"/>
        <v>9.9999999999999995E-8</v>
      </c>
      <c r="AO313" s="140">
        <f t="shared" si="120"/>
        <v>3.7000000000000005E-5</v>
      </c>
      <c r="AP313">
        <v>3.7</v>
      </c>
      <c r="AQ313" s="140">
        <f t="shared" si="121"/>
        <v>3.6999999999999995E-7</v>
      </c>
      <c r="AR313" s="140">
        <f t="shared" si="122"/>
        <v>7.4000000000000001E-7</v>
      </c>
      <c r="AS313" s="140">
        <f t="shared" si="123"/>
        <v>1.1100000000000002E-6</v>
      </c>
      <c r="AT313" s="140">
        <f t="shared" si="124"/>
        <v>1.4800000000000002E-6</v>
      </c>
      <c r="AU313" s="140">
        <f t="shared" si="125"/>
        <v>1.8500000000000003E-6</v>
      </c>
      <c r="AV313" s="157">
        <f>IF(AO313&lt;$B$73*DATA!$H$1037,DATA!$H$1037,IF(AO313&gt;DATA!$H$1036*$B$73,DATA!$H$1036,1))</f>
        <v>1.2</v>
      </c>
      <c r="AW313" s="156">
        <f t="shared" si="126"/>
        <v>9.9999999999999995E-8</v>
      </c>
      <c r="AY313" s="140">
        <f t="shared" si="127"/>
        <v>3.7000000000000005E-5</v>
      </c>
      <c r="AZ313">
        <v>3.7</v>
      </c>
      <c r="BA313" s="140">
        <f t="shared" si="128"/>
        <v>3.6999999999999995E-7</v>
      </c>
      <c r="BB313" s="140">
        <f t="shared" si="129"/>
        <v>7.4000000000000001E-7</v>
      </c>
      <c r="BC313" s="140">
        <f t="shared" si="130"/>
        <v>1.1100000000000002E-6</v>
      </c>
      <c r="BD313" s="140">
        <f t="shared" si="131"/>
        <v>1.4800000000000002E-6</v>
      </c>
      <c r="BE313" s="140">
        <f t="shared" si="132"/>
        <v>1.8500000000000003E-6</v>
      </c>
      <c r="BF313" s="157">
        <f>IF(AY313&lt;$B$89*DATA!$H$1037,DATA!$H$1037,IF(AY313&gt;DATA!$H$1036*$B$89,DATA!$H$1036,1))</f>
        <v>1.2</v>
      </c>
      <c r="BG313" s="156">
        <f t="shared" si="133"/>
        <v>9.9999999999999995E-8</v>
      </c>
      <c r="BI313" s="140">
        <f t="shared" si="134"/>
        <v>3.7000000000000005E-5</v>
      </c>
      <c r="BJ313">
        <v>3.7</v>
      </c>
      <c r="BK313" s="140">
        <f t="shared" si="135"/>
        <v>3.6999999999999995E-7</v>
      </c>
      <c r="BL313" s="140">
        <f t="shared" si="136"/>
        <v>7.4000000000000001E-7</v>
      </c>
      <c r="BM313" s="140">
        <f t="shared" si="137"/>
        <v>1.1100000000000002E-6</v>
      </c>
      <c r="BN313" s="140">
        <f t="shared" si="138"/>
        <v>1.4800000000000002E-6</v>
      </c>
      <c r="BO313" s="140">
        <f t="shared" si="139"/>
        <v>1.8500000000000003E-6</v>
      </c>
      <c r="BP313" s="157">
        <f>IF(BI313&lt;$B$105*DATA!$H$1037,DATA!$H$1037,IF(BI313&gt;DATA!$H$1036*$B$105,DATA!$H$1036,1))</f>
        <v>1.2</v>
      </c>
      <c r="BQ313" s="156">
        <f t="shared" si="140"/>
        <v>9.9999999999999995E-8</v>
      </c>
    </row>
    <row r="314" spans="1:69">
      <c r="A314" s="140">
        <f t="shared" si="96"/>
        <v>3.7200000000000003E-5</v>
      </c>
      <c r="B314">
        <v>3.72</v>
      </c>
      <c r="C314" s="140">
        <f t="shared" si="97"/>
        <v>3.7199999999999989E-7</v>
      </c>
      <c r="D314" s="140">
        <f t="shared" si="97"/>
        <v>7.4399999999999999E-7</v>
      </c>
      <c r="E314" s="140">
        <f t="shared" si="97"/>
        <v>1.116E-6</v>
      </c>
      <c r="F314" s="140">
        <f t="shared" si="97"/>
        <v>1.4880000000000002E-6</v>
      </c>
      <c r="G314" s="140">
        <f t="shared" si="97"/>
        <v>1.8600000000000002E-6</v>
      </c>
      <c r="H314" s="157">
        <f>IF(A314&lt;$B$9*DATA!$H$1037,DATA!$H$1037,IF(A314&gt;DATA!$H$1036*$B$9,DATA!$H$1036,1))</f>
        <v>0.8</v>
      </c>
      <c r="I314" s="156">
        <f t="shared" si="98"/>
        <v>9.9999999999999995E-8</v>
      </c>
      <c r="K314" s="140">
        <f t="shared" si="99"/>
        <v>3.7200000000000003E-5</v>
      </c>
      <c r="L314">
        <v>3.72</v>
      </c>
      <c r="M314" s="140">
        <f t="shared" si="100"/>
        <v>3.7199999999999989E-7</v>
      </c>
      <c r="N314" s="140">
        <f t="shared" si="101"/>
        <v>7.4399999999999999E-7</v>
      </c>
      <c r="O314" s="140">
        <f t="shared" si="102"/>
        <v>1.116E-6</v>
      </c>
      <c r="P314" s="140">
        <f t="shared" si="103"/>
        <v>1.4880000000000002E-6</v>
      </c>
      <c r="Q314" s="140">
        <f t="shared" si="104"/>
        <v>1.8600000000000002E-6</v>
      </c>
      <c r="R314" s="157">
        <f>IF(K314&lt;$B$25*DATA!$H$1037,DATA!$H$1037,IF(K314&gt;DATA!$H$1036*$B$25,DATA!$H$1036,1))</f>
        <v>0.8</v>
      </c>
      <c r="S314" s="156">
        <f t="shared" si="105"/>
        <v>9.9999999999999995E-8</v>
      </c>
      <c r="U314" s="140">
        <f t="shared" si="106"/>
        <v>3.7200000000000003E-5</v>
      </c>
      <c r="V314">
        <v>3.72</v>
      </c>
      <c r="W314" s="140">
        <f t="shared" si="107"/>
        <v>3.7199999999999989E-7</v>
      </c>
      <c r="X314" s="140">
        <f t="shared" si="108"/>
        <v>7.4399999999999999E-7</v>
      </c>
      <c r="Y314" s="140">
        <f t="shared" si="109"/>
        <v>1.116E-6</v>
      </c>
      <c r="Z314" s="140">
        <f t="shared" si="110"/>
        <v>1.4880000000000002E-6</v>
      </c>
      <c r="AA314" s="140">
        <f t="shared" si="111"/>
        <v>1.8600000000000002E-6</v>
      </c>
      <c r="AB314" s="157">
        <f>IF(U314&lt;$B$41*DATA!$H$1037,DATA!$H$1037,IF(U314&gt;DATA!$H$1036*$B$41,DATA!$H$1036,1))</f>
        <v>0.8</v>
      </c>
      <c r="AC314" s="156">
        <f t="shared" si="112"/>
        <v>9.9999999999999995E-8</v>
      </c>
      <c r="AE314" s="140">
        <f t="shared" si="113"/>
        <v>3.7200000000000003E-5</v>
      </c>
      <c r="AF314">
        <v>3.72</v>
      </c>
      <c r="AG314" s="140">
        <f t="shared" si="114"/>
        <v>3.7199999999999989E-7</v>
      </c>
      <c r="AH314" s="140">
        <f t="shared" si="115"/>
        <v>7.4399999999999999E-7</v>
      </c>
      <c r="AI314" s="140">
        <f t="shared" si="116"/>
        <v>1.116E-6</v>
      </c>
      <c r="AJ314" s="140">
        <f t="shared" si="117"/>
        <v>1.4880000000000002E-6</v>
      </c>
      <c r="AK314" s="140">
        <f t="shared" si="118"/>
        <v>1.8600000000000002E-6</v>
      </c>
      <c r="AL314" s="157">
        <f>IF(AE314&lt;$B$57*DATA!$H$1037,DATA!$H$1037,IF(AE314&gt;DATA!$H$1036*$B$57,DATA!$H$1036,1))</f>
        <v>1.2</v>
      </c>
      <c r="AM314" s="156">
        <f t="shared" si="119"/>
        <v>9.9999999999999995E-8</v>
      </c>
      <c r="AO314" s="140">
        <f t="shared" si="120"/>
        <v>3.7200000000000003E-5</v>
      </c>
      <c r="AP314">
        <v>3.72</v>
      </c>
      <c r="AQ314" s="140">
        <f t="shared" si="121"/>
        <v>3.7199999999999989E-7</v>
      </c>
      <c r="AR314" s="140">
        <f t="shared" si="122"/>
        <v>7.4399999999999999E-7</v>
      </c>
      <c r="AS314" s="140">
        <f t="shared" si="123"/>
        <v>1.116E-6</v>
      </c>
      <c r="AT314" s="140">
        <f t="shared" si="124"/>
        <v>1.4880000000000002E-6</v>
      </c>
      <c r="AU314" s="140">
        <f t="shared" si="125"/>
        <v>1.8600000000000002E-6</v>
      </c>
      <c r="AV314" s="157">
        <f>IF(AO314&lt;$B$73*DATA!$H$1037,DATA!$H$1037,IF(AO314&gt;DATA!$H$1036*$B$73,DATA!$H$1036,1))</f>
        <v>1.2</v>
      </c>
      <c r="AW314" s="156">
        <f t="shared" si="126"/>
        <v>9.9999999999999995E-8</v>
      </c>
      <c r="AY314" s="140">
        <f t="shared" si="127"/>
        <v>3.7200000000000003E-5</v>
      </c>
      <c r="AZ314">
        <v>3.72</v>
      </c>
      <c r="BA314" s="140">
        <f t="shared" si="128"/>
        <v>3.7199999999999989E-7</v>
      </c>
      <c r="BB314" s="140">
        <f t="shared" si="129"/>
        <v>7.4399999999999999E-7</v>
      </c>
      <c r="BC314" s="140">
        <f t="shared" si="130"/>
        <v>1.116E-6</v>
      </c>
      <c r="BD314" s="140">
        <f t="shared" si="131"/>
        <v>1.4880000000000002E-6</v>
      </c>
      <c r="BE314" s="140">
        <f t="shared" si="132"/>
        <v>1.8600000000000002E-6</v>
      </c>
      <c r="BF314" s="157">
        <f>IF(AY314&lt;$B$89*DATA!$H$1037,DATA!$H$1037,IF(AY314&gt;DATA!$H$1036*$B$89,DATA!$H$1036,1))</f>
        <v>1.2</v>
      </c>
      <c r="BG314" s="156">
        <f t="shared" si="133"/>
        <v>9.9999999999999995E-8</v>
      </c>
      <c r="BI314" s="140">
        <f t="shared" si="134"/>
        <v>3.7200000000000003E-5</v>
      </c>
      <c r="BJ314">
        <v>3.72</v>
      </c>
      <c r="BK314" s="140">
        <f t="shared" si="135"/>
        <v>3.7199999999999989E-7</v>
      </c>
      <c r="BL314" s="140">
        <f t="shared" si="136"/>
        <v>7.4399999999999999E-7</v>
      </c>
      <c r="BM314" s="140">
        <f t="shared" si="137"/>
        <v>1.116E-6</v>
      </c>
      <c r="BN314" s="140">
        <f t="shared" si="138"/>
        <v>1.4880000000000002E-6</v>
      </c>
      <c r="BO314" s="140">
        <f t="shared" si="139"/>
        <v>1.8600000000000002E-6</v>
      </c>
      <c r="BP314" s="157">
        <f>IF(BI314&lt;$B$105*DATA!$H$1037,DATA!$H$1037,IF(BI314&gt;DATA!$H$1036*$B$105,DATA!$H$1036,1))</f>
        <v>1.2</v>
      </c>
      <c r="BQ314" s="156">
        <f t="shared" si="140"/>
        <v>9.9999999999999995E-8</v>
      </c>
    </row>
    <row r="315" spans="1:69">
      <c r="A315" s="140">
        <f t="shared" si="96"/>
        <v>3.7400000000000008E-5</v>
      </c>
      <c r="B315">
        <v>3.74</v>
      </c>
      <c r="C315" s="140">
        <f t="shared" si="97"/>
        <v>3.7399999999999993E-7</v>
      </c>
      <c r="D315" s="140">
        <f t="shared" si="97"/>
        <v>7.4800000000000008E-7</v>
      </c>
      <c r="E315" s="140">
        <f t="shared" si="97"/>
        <v>1.1220000000000002E-6</v>
      </c>
      <c r="F315" s="140">
        <f t="shared" si="97"/>
        <v>1.4960000000000004E-6</v>
      </c>
      <c r="G315" s="140">
        <f t="shared" si="97"/>
        <v>1.8700000000000005E-6</v>
      </c>
      <c r="H315" s="157">
        <f>IF(A315&lt;$B$9*DATA!$H$1037,DATA!$H$1037,IF(A315&gt;DATA!$H$1036*$B$9,DATA!$H$1036,1))</f>
        <v>0.8</v>
      </c>
      <c r="I315" s="156">
        <f t="shared" si="98"/>
        <v>9.9999999999999995E-8</v>
      </c>
      <c r="K315" s="140">
        <f t="shared" si="99"/>
        <v>3.7400000000000008E-5</v>
      </c>
      <c r="L315">
        <v>3.74</v>
      </c>
      <c r="M315" s="140">
        <f t="shared" si="100"/>
        <v>3.7399999999999993E-7</v>
      </c>
      <c r="N315" s="140">
        <f t="shared" si="101"/>
        <v>7.4800000000000008E-7</v>
      </c>
      <c r="O315" s="140">
        <f t="shared" si="102"/>
        <v>1.1220000000000002E-6</v>
      </c>
      <c r="P315" s="140">
        <f t="shared" si="103"/>
        <v>1.4960000000000004E-6</v>
      </c>
      <c r="Q315" s="140">
        <f t="shared" si="104"/>
        <v>1.8700000000000005E-6</v>
      </c>
      <c r="R315" s="157">
        <f>IF(K315&lt;$B$25*DATA!$H$1037,DATA!$H$1037,IF(K315&gt;DATA!$H$1036*$B$25,DATA!$H$1036,1))</f>
        <v>0.8</v>
      </c>
      <c r="S315" s="156">
        <f t="shared" si="105"/>
        <v>9.9999999999999995E-8</v>
      </c>
      <c r="U315" s="140">
        <f t="shared" si="106"/>
        <v>3.7400000000000008E-5</v>
      </c>
      <c r="V315">
        <v>3.74</v>
      </c>
      <c r="W315" s="140">
        <f t="shared" si="107"/>
        <v>3.7399999999999993E-7</v>
      </c>
      <c r="X315" s="140">
        <f t="shared" si="108"/>
        <v>7.4800000000000008E-7</v>
      </c>
      <c r="Y315" s="140">
        <f t="shared" si="109"/>
        <v>1.1220000000000002E-6</v>
      </c>
      <c r="Z315" s="140">
        <f t="shared" si="110"/>
        <v>1.4960000000000004E-6</v>
      </c>
      <c r="AA315" s="140">
        <f t="shared" si="111"/>
        <v>1.8700000000000005E-6</v>
      </c>
      <c r="AB315" s="157">
        <f>IF(U315&lt;$B$41*DATA!$H$1037,DATA!$H$1037,IF(U315&gt;DATA!$H$1036*$B$41,DATA!$H$1036,1))</f>
        <v>0.8</v>
      </c>
      <c r="AC315" s="156">
        <f t="shared" si="112"/>
        <v>9.9999999999999995E-8</v>
      </c>
      <c r="AE315" s="140">
        <f t="shared" si="113"/>
        <v>3.7400000000000008E-5</v>
      </c>
      <c r="AF315">
        <v>3.74</v>
      </c>
      <c r="AG315" s="140">
        <f t="shared" si="114"/>
        <v>3.7399999999999993E-7</v>
      </c>
      <c r="AH315" s="140">
        <f t="shared" si="115"/>
        <v>7.4800000000000008E-7</v>
      </c>
      <c r="AI315" s="140">
        <f t="shared" si="116"/>
        <v>1.1220000000000002E-6</v>
      </c>
      <c r="AJ315" s="140">
        <f t="shared" si="117"/>
        <v>1.4960000000000004E-6</v>
      </c>
      <c r="AK315" s="140">
        <f t="shared" si="118"/>
        <v>1.8700000000000005E-6</v>
      </c>
      <c r="AL315" s="157">
        <f>IF(AE315&lt;$B$57*DATA!$H$1037,DATA!$H$1037,IF(AE315&gt;DATA!$H$1036*$B$57,DATA!$H$1036,1))</f>
        <v>1.2</v>
      </c>
      <c r="AM315" s="156">
        <f t="shared" si="119"/>
        <v>9.9999999999999995E-8</v>
      </c>
      <c r="AO315" s="140">
        <f t="shared" si="120"/>
        <v>3.7400000000000008E-5</v>
      </c>
      <c r="AP315">
        <v>3.74</v>
      </c>
      <c r="AQ315" s="140">
        <f t="shared" si="121"/>
        <v>3.7399999999999993E-7</v>
      </c>
      <c r="AR315" s="140">
        <f t="shared" si="122"/>
        <v>7.4800000000000008E-7</v>
      </c>
      <c r="AS315" s="140">
        <f t="shared" si="123"/>
        <v>1.1220000000000002E-6</v>
      </c>
      <c r="AT315" s="140">
        <f t="shared" si="124"/>
        <v>1.4960000000000004E-6</v>
      </c>
      <c r="AU315" s="140">
        <f t="shared" si="125"/>
        <v>1.8700000000000005E-6</v>
      </c>
      <c r="AV315" s="157">
        <f>IF(AO315&lt;$B$73*DATA!$H$1037,DATA!$H$1037,IF(AO315&gt;DATA!$H$1036*$B$73,DATA!$H$1036,1))</f>
        <v>1.2</v>
      </c>
      <c r="AW315" s="156">
        <f t="shared" si="126"/>
        <v>9.9999999999999995E-8</v>
      </c>
      <c r="AY315" s="140">
        <f t="shared" si="127"/>
        <v>3.7400000000000008E-5</v>
      </c>
      <c r="AZ315">
        <v>3.74</v>
      </c>
      <c r="BA315" s="140">
        <f t="shared" si="128"/>
        <v>3.7399999999999993E-7</v>
      </c>
      <c r="BB315" s="140">
        <f t="shared" si="129"/>
        <v>7.4800000000000008E-7</v>
      </c>
      <c r="BC315" s="140">
        <f t="shared" si="130"/>
        <v>1.1220000000000002E-6</v>
      </c>
      <c r="BD315" s="140">
        <f t="shared" si="131"/>
        <v>1.4960000000000004E-6</v>
      </c>
      <c r="BE315" s="140">
        <f t="shared" si="132"/>
        <v>1.8700000000000005E-6</v>
      </c>
      <c r="BF315" s="157">
        <f>IF(AY315&lt;$B$89*DATA!$H$1037,DATA!$H$1037,IF(AY315&gt;DATA!$H$1036*$B$89,DATA!$H$1036,1))</f>
        <v>1.2</v>
      </c>
      <c r="BG315" s="156">
        <f t="shared" si="133"/>
        <v>9.9999999999999995E-8</v>
      </c>
      <c r="BI315" s="140">
        <f t="shared" si="134"/>
        <v>3.7400000000000008E-5</v>
      </c>
      <c r="BJ315">
        <v>3.74</v>
      </c>
      <c r="BK315" s="140">
        <f t="shared" si="135"/>
        <v>3.7399999999999993E-7</v>
      </c>
      <c r="BL315" s="140">
        <f t="shared" si="136"/>
        <v>7.4800000000000008E-7</v>
      </c>
      <c r="BM315" s="140">
        <f t="shared" si="137"/>
        <v>1.1220000000000002E-6</v>
      </c>
      <c r="BN315" s="140">
        <f t="shared" si="138"/>
        <v>1.4960000000000004E-6</v>
      </c>
      <c r="BO315" s="140">
        <f t="shared" si="139"/>
        <v>1.8700000000000005E-6</v>
      </c>
      <c r="BP315" s="157">
        <f>IF(BI315&lt;$B$105*DATA!$H$1037,DATA!$H$1037,IF(BI315&gt;DATA!$H$1036*$B$105,DATA!$H$1036,1))</f>
        <v>1.2</v>
      </c>
      <c r="BQ315" s="156">
        <f t="shared" si="140"/>
        <v>9.9999999999999995E-8</v>
      </c>
    </row>
    <row r="316" spans="1:69">
      <c r="A316" s="140">
        <f t="shared" si="96"/>
        <v>3.7599999999999999E-5</v>
      </c>
      <c r="B316">
        <v>3.76</v>
      </c>
      <c r="C316" s="140">
        <f t="shared" si="97"/>
        <v>3.7599999999999987E-7</v>
      </c>
      <c r="D316" s="140">
        <f t="shared" si="97"/>
        <v>7.5199999999999985E-7</v>
      </c>
      <c r="E316" s="140">
        <f t="shared" si="97"/>
        <v>1.1279999999999998E-6</v>
      </c>
      <c r="F316" s="140">
        <f t="shared" si="97"/>
        <v>1.5039999999999999E-6</v>
      </c>
      <c r="G316" s="140">
        <f t="shared" si="97"/>
        <v>1.88E-6</v>
      </c>
      <c r="H316" s="157">
        <f>IF(A316&lt;$B$9*DATA!$H$1037,DATA!$H$1037,IF(A316&gt;DATA!$H$1036*$B$9,DATA!$H$1036,1))</f>
        <v>0.8</v>
      </c>
      <c r="I316" s="156">
        <f t="shared" si="98"/>
        <v>9.9999999999999995E-8</v>
      </c>
      <c r="K316" s="140">
        <f t="shared" si="99"/>
        <v>3.7599999999999999E-5</v>
      </c>
      <c r="L316">
        <v>3.76</v>
      </c>
      <c r="M316" s="140">
        <f t="shared" si="100"/>
        <v>3.7599999999999987E-7</v>
      </c>
      <c r="N316" s="140">
        <f t="shared" si="101"/>
        <v>7.5199999999999985E-7</v>
      </c>
      <c r="O316" s="140">
        <f t="shared" si="102"/>
        <v>1.1279999999999998E-6</v>
      </c>
      <c r="P316" s="140">
        <f t="shared" si="103"/>
        <v>1.5039999999999999E-6</v>
      </c>
      <c r="Q316" s="140">
        <f t="shared" si="104"/>
        <v>1.88E-6</v>
      </c>
      <c r="R316" s="157">
        <f>IF(K316&lt;$B$25*DATA!$H$1037,DATA!$H$1037,IF(K316&gt;DATA!$H$1036*$B$25,DATA!$H$1036,1))</f>
        <v>0.8</v>
      </c>
      <c r="S316" s="156">
        <f t="shared" si="105"/>
        <v>9.9999999999999995E-8</v>
      </c>
      <c r="U316" s="140">
        <f t="shared" si="106"/>
        <v>3.7599999999999999E-5</v>
      </c>
      <c r="V316">
        <v>3.76</v>
      </c>
      <c r="W316" s="140">
        <f t="shared" si="107"/>
        <v>3.7599999999999987E-7</v>
      </c>
      <c r="X316" s="140">
        <f t="shared" si="108"/>
        <v>7.5199999999999985E-7</v>
      </c>
      <c r="Y316" s="140">
        <f t="shared" si="109"/>
        <v>1.1279999999999998E-6</v>
      </c>
      <c r="Z316" s="140">
        <f t="shared" si="110"/>
        <v>1.5039999999999999E-6</v>
      </c>
      <c r="AA316" s="140">
        <f t="shared" si="111"/>
        <v>1.88E-6</v>
      </c>
      <c r="AB316" s="157">
        <f>IF(U316&lt;$B$41*DATA!$H$1037,DATA!$H$1037,IF(U316&gt;DATA!$H$1036*$B$41,DATA!$H$1036,1))</f>
        <v>0.8</v>
      </c>
      <c r="AC316" s="156">
        <f t="shared" si="112"/>
        <v>9.9999999999999995E-8</v>
      </c>
      <c r="AE316" s="140">
        <f t="shared" si="113"/>
        <v>3.7599999999999999E-5</v>
      </c>
      <c r="AF316">
        <v>3.76</v>
      </c>
      <c r="AG316" s="140">
        <f t="shared" si="114"/>
        <v>3.7599999999999987E-7</v>
      </c>
      <c r="AH316" s="140">
        <f t="shared" si="115"/>
        <v>7.5199999999999985E-7</v>
      </c>
      <c r="AI316" s="140">
        <f t="shared" si="116"/>
        <v>1.1279999999999998E-6</v>
      </c>
      <c r="AJ316" s="140">
        <f t="shared" si="117"/>
        <v>1.5039999999999999E-6</v>
      </c>
      <c r="AK316" s="140">
        <f t="shared" si="118"/>
        <v>1.88E-6</v>
      </c>
      <c r="AL316" s="157">
        <f>IF(AE316&lt;$B$57*DATA!$H$1037,DATA!$H$1037,IF(AE316&gt;DATA!$H$1036*$B$57,DATA!$H$1036,1))</f>
        <v>1.2</v>
      </c>
      <c r="AM316" s="156">
        <f t="shared" si="119"/>
        <v>9.9999999999999995E-8</v>
      </c>
      <c r="AO316" s="140">
        <f t="shared" si="120"/>
        <v>3.7599999999999999E-5</v>
      </c>
      <c r="AP316">
        <v>3.76</v>
      </c>
      <c r="AQ316" s="140">
        <f t="shared" si="121"/>
        <v>3.7599999999999987E-7</v>
      </c>
      <c r="AR316" s="140">
        <f t="shared" si="122"/>
        <v>7.5199999999999985E-7</v>
      </c>
      <c r="AS316" s="140">
        <f t="shared" si="123"/>
        <v>1.1279999999999998E-6</v>
      </c>
      <c r="AT316" s="140">
        <f t="shared" si="124"/>
        <v>1.5039999999999999E-6</v>
      </c>
      <c r="AU316" s="140">
        <f t="shared" si="125"/>
        <v>1.88E-6</v>
      </c>
      <c r="AV316" s="157">
        <f>IF(AO316&lt;$B$73*DATA!$H$1037,DATA!$H$1037,IF(AO316&gt;DATA!$H$1036*$B$73,DATA!$H$1036,1))</f>
        <v>1.2</v>
      </c>
      <c r="AW316" s="156">
        <f t="shared" si="126"/>
        <v>9.9999999999999995E-8</v>
      </c>
      <c r="AY316" s="140">
        <f t="shared" si="127"/>
        <v>3.7599999999999999E-5</v>
      </c>
      <c r="AZ316">
        <v>3.76</v>
      </c>
      <c r="BA316" s="140">
        <f t="shared" si="128"/>
        <v>3.7599999999999987E-7</v>
      </c>
      <c r="BB316" s="140">
        <f t="shared" si="129"/>
        <v>7.5199999999999985E-7</v>
      </c>
      <c r="BC316" s="140">
        <f t="shared" si="130"/>
        <v>1.1279999999999998E-6</v>
      </c>
      <c r="BD316" s="140">
        <f t="shared" si="131"/>
        <v>1.5039999999999999E-6</v>
      </c>
      <c r="BE316" s="140">
        <f t="shared" si="132"/>
        <v>1.88E-6</v>
      </c>
      <c r="BF316" s="157">
        <f>IF(AY316&lt;$B$89*DATA!$H$1037,DATA!$H$1037,IF(AY316&gt;DATA!$H$1036*$B$89,DATA!$H$1036,1))</f>
        <v>1.2</v>
      </c>
      <c r="BG316" s="156">
        <f t="shared" si="133"/>
        <v>9.9999999999999995E-8</v>
      </c>
      <c r="BI316" s="140">
        <f t="shared" si="134"/>
        <v>3.7599999999999999E-5</v>
      </c>
      <c r="BJ316">
        <v>3.76</v>
      </c>
      <c r="BK316" s="140">
        <f t="shared" si="135"/>
        <v>3.7599999999999987E-7</v>
      </c>
      <c r="BL316" s="140">
        <f t="shared" si="136"/>
        <v>7.5199999999999985E-7</v>
      </c>
      <c r="BM316" s="140">
        <f t="shared" si="137"/>
        <v>1.1279999999999998E-6</v>
      </c>
      <c r="BN316" s="140">
        <f t="shared" si="138"/>
        <v>1.5039999999999999E-6</v>
      </c>
      <c r="BO316" s="140">
        <f t="shared" si="139"/>
        <v>1.88E-6</v>
      </c>
      <c r="BP316" s="157">
        <f>IF(BI316&lt;$B$105*DATA!$H$1037,DATA!$H$1037,IF(BI316&gt;DATA!$H$1036*$B$105,DATA!$H$1036,1))</f>
        <v>1.2</v>
      </c>
      <c r="BQ316" s="156">
        <f t="shared" si="140"/>
        <v>9.9999999999999995E-8</v>
      </c>
    </row>
    <row r="317" spans="1:69">
      <c r="A317" s="140">
        <f t="shared" si="96"/>
        <v>3.7800000000000004E-5</v>
      </c>
      <c r="B317">
        <v>3.78</v>
      </c>
      <c r="C317" s="140">
        <f t="shared" si="97"/>
        <v>3.7799999999999992E-7</v>
      </c>
      <c r="D317" s="140">
        <f t="shared" si="97"/>
        <v>7.5599999999999994E-7</v>
      </c>
      <c r="E317" s="140">
        <f t="shared" si="97"/>
        <v>1.1340000000000001E-6</v>
      </c>
      <c r="F317" s="140">
        <f t="shared" si="97"/>
        <v>1.5120000000000001E-6</v>
      </c>
      <c r="G317" s="140">
        <f t="shared" si="97"/>
        <v>1.8900000000000003E-6</v>
      </c>
      <c r="H317" s="157">
        <f>IF(A317&lt;$B$9*DATA!$H$1037,DATA!$H$1037,IF(A317&gt;DATA!$H$1036*$B$9,DATA!$H$1036,1))</f>
        <v>0.8</v>
      </c>
      <c r="I317" s="156">
        <f t="shared" si="98"/>
        <v>9.9999999999999995E-8</v>
      </c>
      <c r="K317" s="140">
        <f t="shared" si="99"/>
        <v>3.7800000000000004E-5</v>
      </c>
      <c r="L317">
        <v>3.78</v>
      </c>
      <c r="M317" s="140">
        <f t="shared" si="100"/>
        <v>3.7799999999999992E-7</v>
      </c>
      <c r="N317" s="140">
        <f t="shared" si="101"/>
        <v>7.5599999999999994E-7</v>
      </c>
      <c r="O317" s="140">
        <f t="shared" si="102"/>
        <v>1.1340000000000001E-6</v>
      </c>
      <c r="P317" s="140">
        <f t="shared" si="103"/>
        <v>1.5120000000000001E-6</v>
      </c>
      <c r="Q317" s="140">
        <f t="shared" si="104"/>
        <v>1.8900000000000003E-6</v>
      </c>
      <c r="R317" s="157">
        <f>IF(K317&lt;$B$25*DATA!$H$1037,DATA!$H$1037,IF(K317&gt;DATA!$H$1036*$B$25,DATA!$H$1036,1))</f>
        <v>0.8</v>
      </c>
      <c r="S317" s="156">
        <f t="shared" si="105"/>
        <v>9.9999999999999995E-8</v>
      </c>
      <c r="U317" s="140">
        <f t="shared" si="106"/>
        <v>3.7800000000000004E-5</v>
      </c>
      <c r="V317">
        <v>3.78</v>
      </c>
      <c r="W317" s="140">
        <f t="shared" si="107"/>
        <v>3.7799999999999992E-7</v>
      </c>
      <c r="X317" s="140">
        <f t="shared" si="108"/>
        <v>7.5599999999999994E-7</v>
      </c>
      <c r="Y317" s="140">
        <f t="shared" si="109"/>
        <v>1.1340000000000001E-6</v>
      </c>
      <c r="Z317" s="140">
        <f t="shared" si="110"/>
        <v>1.5120000000000001E-6</v>
      </c>
      <c r="AA317" s="140">
        <f t="shared" si="111"/>
        <v>1.8900000000000003E-6</v>
      </c>
      <c r="AB317" s="157">
        <f>IF(U317&lt;$B$41*DATA!$H$1037,DATA!$H$1037,IF(U317&gt;DATA!$H$1036*$B$41,DATA!$H$1036,1))</f>
        <v>0.8</v>
      </c>
      <c r="AC317" s="156">
        <f t="shared" si="112"/>
        <v>9.9999999999999995E-8</v>
      </c>
      <c r="AE317" s="140">
        <f t="shared" si="113"/>
        <v>3.7800000000000004E-5</v>
      </c>
      <c r="AF317">
        <v>3.78</v>
      </c>
      <c r="AG317" s="140">
        <f t="shared" si="114"/>
        <v>3.7799999999999992E-7</v>
      </c>
      <c r="AH317" s="140">
        <f t="shared" si="115"/>
        <v>7.5599999999999994E-7</v>
      </c>
      <c r="AI317" s="140">
        <f t="shared" si="116"/>
        <v>1.1340000000000001E-6</v>
      </c>
      <c r="AJ317" s="140">
        <f t="shared" si="117"/>
        <v>1.5120000000000001E-6</v>
      </c>
      <c r="AK317" s="140">
        <f t="shared" si="118"/>
        <v>1.8900000000000003E-6</v>
      </c>
      <c r="AL317" s="157">
        <f>IF(AE317&lt;$B$57*DATA!$H$1037,DATA!$H$1037,IF(AE317&gt;DATA!$H$1036*$B$57,DATA!$H$1036,1))</f>
        <v>1.2</v>
      </c>
      <c r="AM317" s="156">
        <f t="shared" si="119"/>
        <v>9.9999999999999995E-8</v>
      </c>
      <c r="AO317" s="140">
        <f t="shared" si="120"/>
        <v>3.7800000000000004E-5</v>
      </c>
      <c r="AP317">
        <v>3.78</v>
      </c>
      <c r="AQ317" s="140">
        <f t="shared" si="121"/>
        <v>3.7799999999999992E-7</v>
      </c>
      <c r="AR317" s="140">
        <f t="shared" si="122"/>
        <v>7.5599999999999994E-7</v>
      </c>
      <c r="AS317" s="140">
        <f t="shared" si="123"/>
        <v>1.1340000000000001E-6</v>
      </c>
      <c r="AT317" s="140">
        <f t="shared" si="124"/>
        <v>1.5120000000000001E-6</v>
      </c>
      <c r="AU317" s="140">
        <f t="shared" si="125"/>
        <v>1.8900000000000003E-6</v>
      </c>
      <c r="AV317" s="157">
        <f>IF(AO317&lt;$B$73*DATA!$H$1037,DATA!$H$1037,IF(AO317&gt;DATA!$H$1036*$B$73,DATA!$H$1036,1))</f>
        <v>1.2</v>
      </c>
      <c r="AW317" s="156">
        <f t="shared" si="126"/>
        <v>9.9999999999999995E-8</v>
      </c>
      <c r="AY317" s="140">
        <f t="shared" si="127"/>
        <v>3.7800000000000004E-5</v>
      </c>
      <c r="AZ317">
        <v>3.78</v>
      </c>
      <c r="BA317" s="140">
        <f t="shared" si="128"/>
        <v>3.7799999999999992E-7</v>
      </c>
      <c r="BB317" s="140">
        <f t="shared" si="129"/>
        <v>7.5599999999999994E-7</v>
      </c>
      <c r="BC317" s="140">
        <f t="shared" si="130"/>
        <v>1.1340000000000001E-6</v>
      </c>
      <c r="BD317" s="140">
        <f t="shared" si="131"/>
        <v>1.5120000000000001E-6</v>
      </c>
      <c r="BE317" s="140">
        <f t="shared" si="132"/>
        <v>1.8900000000000003E-6</v>
      </c>
      <c r="BF317" s="157">
        <f>IF(AY317&lt;$B$89*DATA!$H$1037,DATA!$H$1037,IF(AY317&gt;DATA!$H$1036*$B$89,DATA!$H$1036,1))</f>
        <v>1.2</v>
      </c>
      <c r="BG317" s="156">
        <f t="shared" si="133"/>
        <v>9.9999999999999995E-8</v>
      </c>
      <c r="BI317" s="140">
        <f t="shared" si="134"/>
        <v>3.7800000000000004E-5</v>
      </c>
      <c r="BJ317">
        <v>3.78</v>
      </c>
      <c r="BK317" s="140">
        <f t="shared" si="135"/>
        <v>3.7799999999999992E-7</v>
      </c>
      <c r="BL317" s="140">
        <f t="shared" si="136"/>
        <v>7.5599999999999994E-7</v>
      </c>
      <c r="BM317" s="140">
        <f t="shared" si="137"/>
        <v>1.1340000000000001E-6</v>
      </c>
      <c r="BN317" s="140">
        <f t="shared" si="138"/>
        <v>1.5120000000000001E-6</v>
      </c>
      <c r="BO317" s="140">
        <f t="shared" si="139"/>
        <v>1.8900000000000003E-6</v>
      </c>
      <c r="BP317" s="157">
        <f>IF(BI317&lt;$B$105*DATA!$H$1037,DATA!$H$1037,IF(BI317&gt;DATA!$H$1036*$B$105,DATA!$H$1036,1))</f>
        <v>1.2</v>
      </c>
      <c r="BQ317" s="156">
        <f t="shared" si="140"/>
        <v>9.9999999999999995E-8</v>
      </c>
    </row>
    <row r="318" spans="1:69">
      <c r="A318" s="140">
        <f t="shared" si="96"/>
        <v>4.7800000000000003E-5</v>
      </c>
      <c r="B318">
        <v>4.78</v>
      </c>
      <c r="C318" s="140">
        <f t="shared" si="97"/>
        <v>4.7799999999999991E-7</v>
      </c>
      <c r="D318" s="140">
        <f t="shared" si="97"/>
        <v>9.5599999999999983E-7</v>
      </c>
      <c r="E318" s="140">
        <f t="shared" si="97"/>
        <v>1.4339999999999999E-6</v>
      </c>
      <c r="F318" s="140">
        <f t="shared" si="97"/>
        <v>1.9120000000000001E-6</v>
      </c>
      <c r="G318" s="140">
        <f t="shared" si="97"/>
        <v>2.3900000000000004E-6</v>
      </c>
      <c r="H318" s="157">
        <f>IF(A318&lt;$B$9*DATA!$H$1037,DATA!$H$1037,IF(A318&gt;DATA!$H$1036*$B$9,DATA!$H$1036,1))</f>
        <v>0.8</v>
      </c>
      <c r="I318" s="156">
        <f t="shared" si="98"/>
        <v>9.9999999999999995E-8</v>
      </c>
      <c r="K318" s="140">
        <f t="shared" si="99"/>
        <v>4.7800000000000003E-5</v>
      </c>
      <c r="L318">
        <v>4.78</v>
      </c>
      <c r="M318" s="140">
        <f t="shared" si="100"/>
        <v>4.7799999999999991E-7</v>
      </c>
      <c r="N318" s="140">
        <f t="shared" si="101"/>
        <v>9.5599999999999983E-7</v>
      </c>
      <c r="O318" s="140">
        <f t="shared" si="102"/>
        <v>1.4339999999999999E-6</v>
      </c>
      <c r="P318" s="140">
        <f t="shared" si="103"/>
        <v>1.9120000000000001E-6</v>
      </c>
      <c r="Q318" s="140">
        <f t="shared" si="104"/>
        <v>2.3900000000000004E-6</v>
      </c>
      <c r="R318" s="157">
        <f>IF(K318&lt;$B$25*DATA!$H$1037,DATA!$H$1037,IF(K318&gt;DATA!$H$1036*$B$25,DATA!$H$1036,1))</f>
        <v>0.8</v>
      </c>
      <c r="S318" s="156">
        <f t="shared" si="105"/>
        <v>9.9999999999999995E-8</v>
      </c>
      <c r="U318" s="140">
        <f t="shared" si="106"/>
        <v>4.7800000000000003E-5</v>
      </c>
      <c r="V318">
        <v>4.78</v>
      </c>
      <c r="W318" s="140">
        <f t="shared" si="107"/>
        <v>4.7799999999999991E-7</v>
      </c>
      <c r="X318" s="140">
        <f t="shared" si="108"/>
        <v>9.5599999999999983E-7</v>
      </c>
      <c r="Y318" s="140">
        <f t="shared" si="109"/>
        <v>1.4339999999999999E-6</v>
      </c>
      <c r="Z318" s="140">
        <f t="shared" si="110"/>
        <v>1.9120000000000001E-6</v>
      </c>
      <c r="AA318" s="140">
        <f t="shared" si="111"/>
        <v>2.3900000000000004E-6</v>
      </c>
      <c r="AB318" s="157">
        <f>IF(U318&lt;$B$41*DATA!$H$1037,DATA!$H$1037,IF(U318&gt;DATA!$H$1036*$B$41,DATA!$H$1036,1))</f>
        <v>0.8</v>
      </c>
      <c r="AC318" s="156">
        <f t="shared" si="112"/>
        <v>9.9999999999999995E-8</v>
      </c>
      <c r="AE318" s="140">
        <f t="shared" si="113"/>
        <v>4.7800000000000003E-5</v>
      </c>
      <c r="AF318">
        <v>4.78</v>
      </c>
      <c r="AG318" s="140">
        <f t="shared" si="114"/>
        <v>4.7799999999999991E-7</v>
      </c>
      <c r="AH318" s="140">
        <f t="shared" si="115"/>
        <v>9.5599999999999983E-7</v>
      </c>
      <c r="AI318" s="140">
        <f t="shared" si="116"/>
        <v>1.4339999999999999E-6</v>
      </c>
      <c r="AJ318" s="140">
        <f t="shared" si="117"/>
        <v>1.9120000000000001E-6</v>
      </c>
      <c r="AK318" s="140">
        <f t="shared" si="118"/>
        <v>2.3900000000000004E-6</v>
      </c>
      <c r="AL318" s="157">
        <f>IF(AE318&lt;$B$57*DATA!$H$1037,DATA!$H$1037,IF(AE318&gt;DATA!$H$1036*$B$57,DATA!$H$1036,1))</f>
        <v>1.2</v>
      </c>
      <c r="AM318" s="156">
        <f t="shared" si="119"/>
        <v>9.9999999999999995E-8</v>
      </c>
      <c r="AO318" s="140">
        <f t="shared" si="120"/>
        <v>4.7800000000000003E-5</v>
      </c>
      <c r="AP318">
        <v>4.78</v>
      </c>
      <c r="AQ318" s="140">
        <f t="shared" si="121"/>
        <v>4.7799999999999991E-7</v>
      </c>
      <c r="AR318" s="140">
        <f t="shared" si="122"/>
        <v>9.5599999999999983E-7</v>
      </c>
      <c r="AS318" s="140">
        <f t="shared" si="123"/>
        <v>1.4339999999999999E-6</v>
      </c>
      <c r="AT318" s="140">
        <f t="shared" si="124"/>
        <v>1.9120000000000001E-6</v>
      </c>
      <c r="AU318" s="140">
        <f t="shared" si="125"/>
        <v>2.3900000000000004E-6</v>
      </c>
      <c r="AV318" s="157">
        <f>IF(AO318&lt;$B$73*DATA!$H$1037,DATA!$H$1037,IF(AO318&gt;DATA!$H$1036*$B$73,DATA!$H$1036,1))</f>
        <v>1.2</v>
      </c>
      <c r="AW318" s="156">
        <f t="shared" si="126"/>
        <v>9.9999999999999995E-8</v>
      </c>
      <c r="AY318" s="140">
        <f t="shared" si="127"/>
        <v>4.7800000000000003E-5</v>
      </c>
      <c r="AZ318">
        <v>4.78</v>
      </c>
      <c r="BA318" s="140">
        <f t="shared" si="128"/>
        <v>4.7799999999999991E-7</v>
      </c>
      <c r="BB318" s="140">
        <f t="shared" si="129"/>
        <v>9.5599999999999983E-7</v>
      </c>
      <c r="BC318" s="140">
        <f t="shared" si="130"/>
        <v>1.4339999999999999E-6</v>
      </c>
      <c r="BD318" s="140">
        <f t="shared" si="131"/>
        <v>1.9120000000000001E-6</v>
      </c>
      <c r="BE318" s="140">
        <f t="shared" si="132"/>
        <v>2.3900000000000004E-6</v>
      </c>
      <c r="BF318" s="157">
        <f>IF(AY318&lt;$B$89*DATA!$H$1037,DATA!$H$1037,IF(AY318&gt;DATA!$H$1036*$B$89,DATA!$H$1036,1))</f>
        <v>1.2</v>
      </c>
      <c r="BG318" s="156">
        <f t="shared" si="133"/>
        <v>9.9999999999999995E-8</v>
      </c>
      <c r="BI318" s="140">
        <f t="shared" si="134"/>
        <v>4.7800000000000003E-5</v>
      </c>
      <c r="BJ318">
        <v>4.78</v>
      </c>
      <c r="BK318" s="140">
        <f t="shared" si="135"/>
        <v>4.7799999999999991E-7</v>
      </c>
      <c r="BL318" s="140">
        <f t="shared" si="136"/>
        <v>9.5599999999999983E-7</v>
      </c>
      <c r="BM318" s="140">
        <f t="shared" si="137"/>
        <v>1.4339999999999999E-6</v>
      </c>
      <c r="BN318" s="140">
        <f t="shared" si="138"/>
        <v>1.9120000000000001E-6</v>
      </c>
      <c r="BO318" s="140">
        <f t="shared" si="139"/>
        <v>2.3900000000000004E-6</v>
      </c>
      <c r="BP318" s="157">
        <f>IF(BI318&lt;$B$105*DATA!$H$1037,DATA!$H$1037,IF(BI318&gt;DATA!$H$1036*$B$105,DATA!$H$1036,1))</f>
        <v>1.2</v>
      </c>
      <c r="BQ318" s="156">
        <f t="shared" si="140"/>
        <v>9.9999999999999995E-8</v>
      </c>
    </row>
  </sheetData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9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900-000001000000}">
      <formula1>0</formula1>
      <formula2>12</formula2>
    </dataValidation>
    <dataValidation type="whole" allowBlank="1" showInputMessage="1" showErrorMessage="1" errorTitle="Day" error="Must be a number between 1 and 31 " sqref="D7" xr:uid="{00000000-0002-0000-2900-000002000000}">
      <formula1>0</formula1>
      <formula2>31</formula2>
    </dataValidation>
  </dataValidations>
  <pageMargins left="0.3" right="0.16" top="0.35" bottom="0.28999999999999998" header="0.18" footer="0.17"/>
  <pageSetup paperSize="9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2">
    <tabColor rgb="FF7030A0"/>
  </sheetPr>
  <dimension ref="A1:BQ318"/>
  <sheetViews>
    <sheetView workbookViewId="0">
      <selection activeCell="B15" sqref="B15"/>
    </sheetView>
  </sheetViews>
  <sheetFormatPr defaultRowHeight="15"/>
  <cols>
    <col min="1" max="1" width="24" bestFit="1" customWidth="1"/>
    <col min="2" max="2" width="16.5703125" bestFit="1" customWidth="1"/>
    <col min="3" max="6" width="6.7109375" customWidth="1"/>
    <col min="7" max="7" width="16" customWidth="1"/>
    <col min="9" max="9" width="15.5703125" bestFit="1" customWidth="1"/>
    <col min="10" max="10" width="14" bestFit="1" customWidth="1"/>
    <col min="11" max="12" width="16" bestFit="1" customWidth="1"/>
    <col min="13" max="16" width="15" bestFit="1" customWidth="1"/>
    <col min="17" max="17" width="18.140625" bestFit="1" customWidth="1"/>
    <col min="18" max="18" width="7.85546875" bestFit="1" customWidth="1"/>
    <col min="19" max="19" width="15" bestFit="1" customWidth="1"/>
    <col min="21" max="21" width="17.42578125" bestFit="1" customWidth="1"/>
    <col min="22" max="22" width="16" bestFit="1" customWidth="1"/>
    <col min="23" max="24" width="15" bestFit="1" customWidth="1"/>
    <col min="25" max="25" width="17.42578125" bestFit="1" customWidth="1"/>
    <col min="26" max="26" width="16" bestFit="1" customWidth="1"/>
    <col min="27" max="27" width="18.14062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4062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40625" bestFit="1" customWidth="1"/>
    <col min="48" max="48" width="7.85546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4062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40625" bestFit="1" customWidth="1"/>
    <col min="69" max="69" width="15" bestFit="1" customWidth="1"/>
  </cols>
  <sheetData>
    <row r="1" spans="1:10" ht="15" customHeight="1">
      <c r="A1" s="263" t="str">
        <f>DATA!$C$1004</f>
        <v>NRA.N.011-050-2012/1F</v>
      </c>
      <c r="C1" s="1612" t="str">
        <f>DATA!$C$1005</f>
        <v>CONSULTING ENGINEERING SERVICES FOR THE PRELIMINARY DESIGN REVIEW,DETAIL DESIGN, CONTRACT DOCUMENTATION AND CONSTRUCTION MONITORING OF THE ERMELO RING ROAD</v>
      </c>
      <c r="D1" s="1612"/>
      <c r="E1" s="1612"/>
      <c r="F1" s="1612"/>
      <c r="G1" s="1612"/>
      <c r="H1" s="1612"/>
      <c r="I1" s="1612"/>
      <c r="J1" s="1612"/>
    </row>
    <row r="2" spans="1:10">
      <c r="C2" s="1612"/>
      <c r="D2" s="1612"/>
      <c r="E2" s="1612"/>
      <c r="F2" s="1612"/>
      <c r="G2" s="1612"/>
      <c r="H2" s="1612"/>
      <c r="I2" s="1612"/>
      <c r="J2" s="1612"/>
    </row>
    <row r="3" spans="1:10">
      <c r="A3" s="232" t="str">
        <f>'All Hours'!$D$1</f>
        <v>PLEASE INSERT TENDERER NAME ON INPUT DATA SHEET</v>
      </c>
    </row>
    <row r="4" spans="1:10">
      <c r="A4" s="1" t="s">
        <v>195</v>
      </c>
      <c r="B4" t="s">
        <v>196</v>
      </c>
    </row>
    <row r="6" spans="1:10">
      <c r="D6" s="124" t="s">
        <v>171</v>
      </c>
      <c r="E6" s="124" t="s">
        <v>172</v>
      </c>
      <c r="F6" s="124" t="s">
        <v>173</v>
      </c>
      <c r="G6" s="162"/>
      <c r="I6" s="133" t="s">
        <v>174</v>
      </c>
    </row>
    <row r="7" spans="1:10">
      <c r="C7" s="124" t="s">
        <v>175</v>
      </c>
      <c r="D7" s="909"/>
      <c r="E7" s="909"/>
      <c r="F7" s="909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177</v>
      </c>
      <c r="B9" s="152">
        <f>DATA!$J$1010</f>
        <v>4500000000</v>
      </c>
      <c r="C9" s="140"/>
      <c r="D9" s="140"/>
      <c r="E9" s="140"/>
      <c r="F9" s="140"/>
      <c r="G9" s="140"/>
    </row>
    <row r="10" spans="1:10">
      <c r="A10" s="124" t="s">
        <v>178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0">
      <c r="A11" s="124" t="s">
        <v>807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180</v>
      </c>
      <c r="B12" s="908"/>
    </row>
    <row r="13" spans="1:10">
      <c r="A13" s="124" t="s">
        <v>181</v>
      </c>
      <c r="B13" s="124">
        <f>IF(B12&lt;B9*0.8,0.8,IF(B12&gt;1.2*B9,1.2,1))</f>
        <v>0.8</v>
      </c>
      <c r="C13" s="134"/>
      <c r="D13" s="134"/>
      <c r="E13" s="134"/>
      <c r="F13" s="134"/>
      <c r="G13" s="134"/>
    </row>
    <row r="14" spans="1:10">
      <c r="A14" s="124" t="s">
        <v>804</v>
      </c>
      <c r="B14" s="881">
        <f>IF(OR(B10=0,B9=0),0,B9*(0.261-0.023*LOG10(B9))/B10)</f>
        <v>0</v>
      </c>
    </row>
    <row r="15" spans="1:10">
      <c r="A15" s="124" t="s">
        <v>182</v>
      </c>
      <c r="B15" s="158">
        <f>IF(B12="",0,IF(B13=1,B10,B12*((B10*B14/(B13*B9)+0.023*LOG10(B13*B9/B12)))/B14))</f>
        <v>0</v>
      </c>
    </row>
    <row r="16" spans="1:10">
      <c r="A16" s="124" t="s">
        <v>808</v>
      </c>
      <c r="B16" s="153">
        <f>IF(B12="",0,B15/B12)</f>
        <v>0</v>
      </c>
      <c r="D16" s="159"/>
      <c r="E16" s="159"/>
      <c r="F16" s="159"/>
      <c r="G16" s="159"/>
      <c r="H16" s="140"/>
      <c r="J16" s="122"/>
    </row>
    <row r="17" spans="1:10">
      <c r="B17" s="140"/>
    </row>
    <row r="18" spans="1:10">
      <c r="B18" s="140"/>
    </row>
    <row r="19" spans="1:10">
      <c r="A19" s="129" t="s">
        <v>183</v>
      </c>
      <c r="C19" s="140"/>
      <c r="F19" s="140"/>
      <c r="G19" s="140"/>
    </row>
    <row r="20" spans="1:10">
      <c r="A20" s="1613"/>
      <c r="B20" s="1614"/>
    </row>
    <row r="21" spans="1:10">
      <c r="A21" s="1615"/>
      <c r="B21" s="1616"/>
    </row>
    <row r="22" spans="1:10">
      <c r="A22" s="1617"/>
      <c r="B22" s="1618"/>
    </row>
    <row r="23" spans="1:10">
      <c r="I23" s="122"/>
    </row>
    <row r="24" spans="1:10">
      <c r="A24" s="1" t="str">
        <f>'ADJ-1'!A24</f>
        <v>Structures</v>
      </c>
    </row>
    <row r="25" spans="1:10">
      <c r="A25" s="124" t="s">
        <v>177</v>
      </c>
      <c r="B25" s="152">
        <f>DATA!$J$1011</f>
        <v>300000000</v>
      </c>
    </row>
    <row r="26" spans="1:10">
      <c r="A26" s="124" t="s">
        <v>178</v>
      </c>
      <c r="B26" s="152">
        <f>'SUMMARY TENDERED FEE'!$C$18</f>
        <v>0</v>
      </c>
    </row>
    <row r="27" spans="1:10">
      <c r="A27" s="124" t="s">
        <v>807</v>
      </c>
      <c r="B27" s="166">
        <f>'SUMMARY TENDERED FEE'!$D$18</f>
        <v>0</v>
      </c>
    </row>
    <row r="28" spans="1:10">
      <c r="A28" s="124" t="s">
        <v>180</v>
      </c>
      <c r="B28" s="908"/>
    </row>
    <row r="29" spans="1:10">
      <c r="A29" s="124" t="s">
        <v>181</v>
      </c>
      <c r="B29" s="124">
        <f>IF(B28&lt;B25*0.8,0.8,IF(B28&gt;1.2*B25,1.2,1))</f>
        <v>0.8</v>
      </c>
    </row>
    <row r="30" spans="1:10">
      <c r="A30" s="124" t="s">
        <v>804</v>
      </c>
      <c r="B30" s="881">
        <f>IF(OR(B26=0,B25=0),0,B25*(0.261-0.023*LOG10(B25))/B26)</f>
        <v>0</v>
      </c>
      <c r="J30" s="156"/>
    </row>
    <row r="31" spans="1:10">
      <c r="A31" s="124" t="s">
        <v>182</v>
      </c>
      <c r="B31" s="158">
        <f>IF(B28="",0,IF(B29=1,B26,B28*((B26*B30/(B29*B25)+0.023*LOG10(B29*B25/B28)))/B30))</f>
        <v>0</v>
      </c>
    </row>
    <row r="32" spans="1:10">
      <c r="A32" s="124" t="s">
        <v>808</v>
      </c>
      <c r="B32" s="153">
        <f>IF(B28="",0,B31/B28)</f>
        <v>0</v>
      </c>
    </row>
    <row r="33" spans="1:2">
      <c r="B33" s="140"/>
    </row>
    <row r="34" spans="1:2">
      <c r="B34" s="140"/>
    </row>
    <row r="35" spans="1:2">
      <c r="A35" s="129" t="s">
        <v>183</v>
      </c>
      <c r="B35" s="126"/>
    </row>
    <row r="36" spans="1:2">
      <c r="A36" s="1613"/>
      <c r="B36" s="1614"/>
    </row>
    <row r="37" spans="1:2">
      <c r="A37" s="1615"/>
      <c r="B37" s="1616"/>
    </row>
    <row r="38" spans="1:2">
      <c r="A38" s="1617"/>
      <c r="B38" s="1618"/>
    </row>
    <row r="40" spans="1:2">
      <c r="A40" s="1" t="str">
        <f>'ADJ-1'!A40</f>
        <v>Electrical</v>
      </c>
    </row>
    <row r="41" spans="1:2">
      <c r="A41" s="124" t="s">
        <v>177</v>
      </c>
      <c r="B41" s="152">
        <f>DATA!$J$1012</f>
        <v>100000000</v>
      </c>
    </row>
    <row r="42" spans="1:2">
      <c r="A42" s="124" t="s">
        <v>178</v>
      </c>
      <c r="B42" s="152">
        <f>'SUMMARY TENDERED FEE'!$C$19</f>
        <v>0</v>
      </c>
    </row>
    <row r="43" spans="1:2">
      <c r="A43" s="124" t="s">
        <v>807</v>
      </c>
      <c r="B43" s="166">
        <f>'SUMMARY TENDERED FEE'!$D$19</f>
        <v>0</v>
      </c>
    </row>
    <row r="44" spans="1:2">
      <c r="A44" s="124" t="s">
        <v>180</v>
      </c>
      <c r="B44" s="908"/>
    </row>
    <row r="45" spans="1:2">
      <c r="A45" s="124" t="s">
        <v>181</v>
      </c>
      <c r="B45" s="124">
        <f>IF(B44&lt;B41*0.8,0.8,IF(B44&gt;1.2*B41,1.2,1))</f>
        <v>0.8</v>
      </c>
    </row>
    <row r="46" spans="1:2">
      <c r="A46" s="124" t="s">
        <v>804</v>
      </c>
      <c r="B46" s="881">
        <f>IF(OR(B42=0,B41=0),0,B41*(0.261-0.023*LOG10(B41))/B42)</f>
        <v>0</v>
      </c>
    </row>
    <row r="47" spans="1:2">
      <c r="A47" s="124" t="s">
        <v>182</v>
      </c>
      <c r="B47" s="158">
        <f>IF(B44="",0,IF(B45=1,B42,B44*((B42*B46/(B45*B41)+0.023*LOG10(B45*B41/B44)))/B46))</f>
        <v>0</v>
      </c>
    </row>
    <row r="48" spans="1:2">
      <c r="A48" s="124" t="s">
        <v>808</v>
      </c>
      <c r="B48" s="153">
        <f>IF(B44="",0,B47/B44)</f>
        <v>0</v>
      </c>
    </row>
    <row r="49" spans="1:2">
      <c r="B49" s="140"/>
    </row>
    <row r="50" spans="1:2">
      <c r="B50" s="140"/>
    </row>
    <row r="51" spans="1:2">
      <c r="A51" s="129" t="s">
        <v>183</v>
      </c>
      <c r="B51" s="126"/>
    </row>
    <row r="52" spans="1:2">
      <c r="A52" s="1613"/>
      <c r="B52" s="1614"/>
    </row>
    <row r="53" spans="1:2">
      <c r="A53" s="1615"/>
      <c r="B53" s="1616"/>
    </row>
    <row r="54" spans="1:2">
      <c r="A54" s="1617"/>
      <c r="B54" s="1618"/>
    </row>
    <row r="56" spans="1:2">
      <c r="A56" s="1" t="str">
        <f>'ADJ-1'!A56</f>
        <v xml:space="preserve">Building </v>
      </c>
    </row>
    <row r="57" spans="1:2">
      <c r="A57" s="124" t="s">
        <v>177</v>
      </c>
      <c r="B57" s="152">
        <f>DATA!$J$1013</f>
        <v>0</v>
      </c>
    </row>
    <row r="58" spans="1:2">
      <c r="A58" s="124" t="s">
        <v>178</v>
      </c>
      <c r="B58" s="152">
        <f>'SUMMARY TENDERED FEE'!$C$20</f>
        <v>0</v>
      </c>
    </row>
    <row r="59" spans="1:2">
      <c r="A59" s="124" t="s">
        <v>807</v>
      </c>
      <c r="B59" s="166">
        <f>'SUMMARY TENDERED FEE'!$D$20</f>
        <v>0</v>
      </c>
    </row>
    <row r="60" spans="1:2">
      <c r="A60" s="124" t="s">
        <v>180</v>
      </c>
      <c r="B60" s="908"/>
    </row>
    <row r="61" spans="1:2">
      <c r="A61" s="124" t="s">
        <v>181</v>
      </c>
      <c r="B61" s="124">
        <f>IF(B60&lt;B57*0.8,0.8,IF(B60&gt;1.2*B57,1.2,1))</f>
        <v>1</v>
      </c>
    </row>
    <row r="62" spans="1:2">
      <c r="A62" s="124" t="s">
        <v>804</v>
      </c>
      <c r="B62" s="881">
        <f>IF(OR(B58=0,B57=0),0,B57*(0.261-0.023*LOG10(B57))/B58)</f>
        <v>0</v>
      </c>
    </row>
    <row r="63" spans="1:2">
      <c r="A63" s="124" t="s">
        <v>182</v>
      </c>
      <c r="B63" s="158">
        <f>IF(B60="",0,IF(B61=1,B58,B60*((B58*B62/(B61*B57)+0.023*LOG10(B61*B57/B60)))/B62))</f>
        <v>0</v>
      </c>
    </row>
    <row r="64" spans="1:2">
      <c r="A64" s="124" t="s">
        <v>808</v>
      </c>
      <c r="B64" s="153">
        <f>IF(B60="",0,B63/B60)</f>
        <v>0</v>
      </c>
    </row>
    <row r="65" spans="1:2">
      <c r="B65" s="140"/>
    </row>
    <row r="66" spans="1:2">
      <c r="B66" s="140"/>
    </row>
    <row r="67" spans="1:2">
      <c r="A67" s="129" t="s">
        <v>183</v>
      </c>
      <c r="B67" s="126"/>
    </row>
    <row r="68" spans="1:2">
      <c r="A68" s="1613"/>
      <c r="B68" s="1614"/>
    </row>
    <row r="69" spans="1:2">
      <c r="A69" s="1615"/>
      <c r="B69" s="1616"/>
    </row>
    <row r="70" spans="1:2">
      <c r="A70" s="1617"/>
      <c r="B70" s="1618"/>
    </row>
    <row r="71" spans="1:2">
      <c r="A71" s="160"/>
      <c r="B71" s="160"/>
    </row>
    <row r="72" spans="1:2">
      <c r="A72" s="1" t="str">
        <f>'ADJ-1'!A72</f>
        <v>Mechanical</v>
      </c>
    </row>
    <row r="73" spans="1:2">
      <c r="A73" s="124" t="s">
        <v>177</v>
      </c>
      <c r="B73" s="152">
        <f>DATA!$J$1014</f>
        <v>0</v>
      </c>
    </row>
    <row r="74" spans="1:2">
      <c r="A74" s="124" t="s">
        <v>178</v>
      </c>
      <c r="B74" s="152">
        <f>'SUMMARY TENDERED FEE'!$C$21</f>
        <v>0</v>
      </c>
    </row>
    <row r="75" spans="1:2">
      <c r="A75" s="124" t="s">
        <v>807</v>
      </c>
      <c r="B75" s="166">
        <f>'SUMMARY TENDERED FEE'!$D$21</f>
        <v>0</v>
      </c>
    </row>
    <row r="76" spans="1:2">
      <c r="A76" s="124" t="s">
        <v>180</v>
      </c>
      <c r="B76" s="908"/>
    </row>
    <row r="77" spans="1:2">
      <c r="A77" s="124" t="s">
        <v>181</v>
      </c>
      <c r="B77" s="124">
        <f>IF(B76&lt;B73*0.8,0.8,IF(B76&gt;1.2*B73,1.2,1))</f>
        <v>1</v>
      </c>
    </row>
    <row r="78" spans="1:2">
      <c r="A78" s="124" t="s">
        <v>804</v>
      </c>
      <c r="B78" s="881">
        <f>IF(OR(B74=0,B73=0),0,B73*(0.261-0.023*LOG10(B73))/B74)</f>
        <v>0</v>
      </c>
    </row>
    <row r="79" spans="1:2">
      <c r="A79" s="124" t="s">
        <v>182</v>
      </c>
      <c r="B79" s="158">
        <f>IF(B76="",0,IF(B77=1,B74,B76*((B74*B78/(B77*B73)+0.023*LOG10(B77*B73/B76)))/B78))</f>
        <v>0</v>
      </c>
    </row>
    <row r="80" spans="1:2">
      <c r="A80" s="124" t="s">
        <v>808</v>
      </c>
      <c r="B80" s="153">
        <f>IF(B76="",0,B79/B76)</f>
        <v>0</v>
      </c>
    </row>
    <row r="81" spans="1:2">
      <c r="B81" s="140"/>
    </row>
    <row r="82" spans="1:2">
      <c r="B82" s="140"/>
    </row>
    <row r="83" spans="1:2">
      <c r="A83" s="129" t="s">
        <v>183</v>
      </c>
      <c r="B83" s="126"/>
    </row>
    <row r="84" spans="1:2">
      <c r="A84" s="1613"/>
      <c r="B84" s="1614"/>
    </row>
    <row r="85" spans="1:2">
      <c r="A85" s="1615"/>
      <c r="B85" s="1616"/>
    </row>
    <row r="86" spans="1:2">
      <c r="A86" s="1617"/>
      <c r="B86" s="1618"/>
    </row>
    <row r="88" spans="1:2">
      <c r="A88" s="1" t="str">
        <f>'ADJ-1'!A88</f>
        <v>Electronic</v>
      </c>
    </row>
    <row r="89" spans="1:2">
      <c r="A89" s="124" t="s">
        <v>177</v>
      </c>
      <c r="B89" s="152">
        <f>DATA!$J$1015</f>
        <v>0</v>
      </c>
    </row>
    <row r="90" spans="1:2">
      <c r="A90" s="124" t="s">
        <v>178</v>
      </c>
      <c r="B90" s="152">
        <f>'SUMMARY TENDERED FEE'!$C$22</f>
        <v>0</v>
      </c>
    </row>
    <row r="91" spans="1:2">
      <c r="A91" s="124" t="s">
        <v>807</v>
      </c>
      <c r="B91" s="166">
        <f>'SUMMARY TENDERED FEE'!$D$22</f>
        <v>0</v>
      </c>
    </row>
    <row r="92" spans="1:2">
      <c r="A92" s="124" t="s">
        <v>180</v>
      </c>
      <c r="B92" s="908"/>
    </row>
    <row r="93" spans="1:2">
      <c r="A93" s="124" t="s">
        <v>181</v>
      </c>
      <c r="B93" s="124">
        <f>IF(B92&lt;B89*0.8,0.8,IF(B92&gt;1.2*B89,1.2,1))</f>
        <v>1</v>
      </c>
    </row>
    <row r="94" spans="1:2">
      <c r="A94" s="124" t="s">
        <v>804</v>
      </c>
      <c r="B94" s="881">
        <f>IF(OR(B90=0,B89=0),0,B89*(0.261-0.023*LOG10(B89))/B90)</f>
        <v>0</v>
      </c>
    </row>
    <row r="95" spans="1:2">
      <c r="A95" s="124" t="s">
        <v>182</v>
      </c>
      <c r="B95" s="158">
        <f>IF(B92="",0,IF(B93=1,B90,B92*((B90*B94/(B93*B89)+0.023*LOG10(B93*B89/B92)))/B94))</f>
        <v>0</v>
      </c>
    </row>
    <row r="96" spans="1:2">
      <c r="A96" s="124" t="s">
        <v>808</v>
      </c>
      <c r="B96" s="153">
        <f>IF(B92="",0,B95/B92)</f>
        <v>0</v>
      </c>
    </row>
    <row r="97" spans="1:2">
      <c r="B97" s="140"/>
    </row>
    <row r="98" spans="1:2">
      <c r="B98" s="140"/>
    </row>
    <row r="99" spans="1:2">
      <c r="A99" s="129" t="s">
        <v>183</v>
      </c>
      <c r="B99" s="126"/>
    </row>
    <row r="100" spans="1:2">
      <c r="A100" s="1613"/>
      <c r="B100" s="1614"/>
    </row>
    <row r="101" spans="1:2">
      <c r="A101" s="1615"/>
      <c r="B101" s="1616"/>
    </row>
    <row r="102" spans="1:2">
      <c r="A102" s="1617"/>
      <c r="B102" s="1618"/>
    </row>
    <row r="104" spans="1:2">
      <c r="A104" s="1" t="str">
        <f>'ADJ-1'!A104</f>
        <v>Other:</v>
      </c>
    </row>
    <row r="105" spans="1:2">
      <c r="A105" s="124" t="s">
        <v>177</v>
      </c>
      <c r="B105" s="152">
        <f>DATA!$J$1016</f>
        <v>0</v>
      </c>
    </row>
    <row r="106" spans="1:2">
      <c r="A106" s="124" t="s">
        <v>178</v>
      </c>
      <c r="B106" s="152">
        <f>'SUMMARY TENDERED FEE'!$C$23</f>
        <v>0</v>
      </c>
    </row>
    <row r="107" spans="1:2">
      <c r="A107" s="124" t="s">
        <v>807</v>
      </c>
      <c r="B107" s="166">
        <f>'SUMMARY TENDERED FEE'!$D$23</f>
        <v>0</v>
      </c>
    </row>
    <row r="108" spans="1:2">
      <c r="A108" s="124" t="s">
        <v>180</v>
      </c>
      <c r="B108" s="908"/>
    </row>
    <row r="109" spans="1:2">
      <c r="A109" s="124" t="s">
        <v>181</v>
      </c>
      <c r="B109" s="124">
        <f>IF(B108&lt;B105*0.8,0.8,IF(B108&gt;1.2*B105,1.2,1))</f>
        <v>1</v>
      </c>
    </row>
    <row r="110" spans="1:2">
      <c r="A110" s="124" t="s">
        <v>804</v>
      </c>
      <c r="B110" s="881">
        <f>IF(OR(B106=0,B105=0),0,B105*(0.261-0.023*LOG10(B105))/B106)</f>
        <v>0</v>
      </c>
    </row>
    <row r="111" spans="1:2">
      <c r="A111" s="124" t="s">
        <v>182</v>
      </c>
      <c r="B111" s="158">
        <f>IF(B108="",0,IF(B109=1,B106,B108*((B106*B110/(B109*B105)+0.023*LOG10(B109*B105/B108)))/B110))</f>
        <v>0</v>
      </c>
    </row>
    <row r="112" spans="1:2">
      <c r="A112" s="124" t="s">
        <v>808</v>
      </c>
      <c r="B112" s="153">
        <f>IF(B108="",0,B111/B108)</f>
        <v>0</v>
      </c>
    </row>
    <row r="113" spans="1:68">
      <c r="B113" s="140"/>
    </row>
    <row r="114" spans="1:68">
      <c r="B114" s="140"/>
    </row>
    <row r="115" spans="1:68">
      <c r="A115" s="129" t="s">
        <v>183</v>
      </c>
      <c r="B115" s="126"/>
    </row>
    <row r="116" spans="1:68">
      <c r="A116" s="1613"/>
      <c r="B116" s="1614"/>
    </row>
    <row r="117" spans="1:68">
      <c r="A117" s="1615"/>
      <c r="B117" s="1616"/>
    </row>
    <row r="118" spans="1:68">
      <c r="A118" s="1617"/>
      <c r="B118" s="1618"/>
    </row>
    <row r="126" spans="1:68">
      <c r="H126" s="140"/>
      <c r="R126" s="140"/>
      <c r="AB126" s="140"/>
      <c r="AL126" s="140"/>
      <c r="AV126" s="140"/>
      <c r="BF126" s="140"/>
      <c r="BP126" s="140"/>
    </row>
    <row r="127" spans="1:68">
      <c r="H127" s="140"/>
      <c r="R127" s="140"/>
      <c r="AB127" s="140"/>
      <c r="AL127" s="140"/>
      <c r="AV127" s="140"/>
      <c r="BF127" s="140"/>
      <c r="BP127" s="140"/>
    </row>
    <row r="129" spans="1:69">
      <c r="G129" s="122"/>
      <c r="H129" s="131"/>
      <c r="Q129" s="122"/>
      <c r="R129" s="131"/>
      <c r="AA129" s="122"/>
      <c r="AB129" s="131"/>
      <c r="AK129" s="122"/>
      <c r="AL129" s="131"/>
      <c r="AU129" s="122"/>
      <c r="AV129" s="131"/>
      <c r="BE129" s="122"/>
      <c r="BF129" s="131"/>
      <c r="BO129" s="122"/>
      <c r="BP129" s="131"/>
    </row>
    <row r="130" spans="1:69">
      <c r="H130" s="131"/>
      <c r="R130" s="131"/>
      <c r="AB130" s="131"/>
      <c r="AL130" s="131"/>
      <c r="AV130" s="131"/>
      <c r="BF130" s="131"/>
      <c r="BP130" s="131"/>
    </row>
    <row r="133" spans="1:69">
      <c r="A133" t="s">
        <v>177</v>
      </c>
      <c r="B133" s="140">
        <f>B9</f>
        <v>4500000000</v>
      </c>
      <c r="K133" t="s">
        <v>177</v>
      </c>
      <c r="L133" s="140">
        <f>B25</f>
        <v>300000000</v>
      </c>
      <c r="U133" t="s">
        <v>177</v>
      </c>
      <c r="V133" s="140">
        <f>B41</f>
        <v>100000000</v>
      </c>
      <c r="AE133" t="s">
        <v>177</v>
      </c>
      <c r="AF133" s="140">
        <f>B57</f>
        <v>0</v>
      </c>
      <c r="AO133" t="s">
        <v>177</v>
      </c>
      <c r="AP133" s="140">
        <f>B73</f>
        <v>0</v>
      </c>
      <c r="AY133" t="s">
        <v>177</v>
      </c>
      <c r="AZ133" s="140">
        <f>B89</f>
        <v>0</v>
      </c>
      <c r="BI133" t="s">
        <v>177</v>
      </c>
      <c r="BJ133" s="140">
        <f>B105</f>
        <v>0</v>
      </c>
    </row>
    <row r="134" spans="1:69">
      <c r="A134" t="s">
        <v>805</v>
      </c>
      <c r="B134" s="140">
        <f>B10</f>
        <v>0</v>
      </c>
      <c r="K134" t="s">
        <v>805</v>
      </c>
      <c r="L134" s="140">
        <f>B26</f>
        <v>0</v>
      </c>
      <c r="U134" t="s">
        <v>805</v>
      </c>
      <c r="V134" s="140">
        <f>B42</f>
        <v>0</v>
      </c>
      <c r="AA134" s="140"/>
      <c r="AE134" t="s">
        <v>805</v>
      </c>
      <c r="AF134" s="140">
        <f>B58</f>
        <v>0</v>
      </c>
      <c r="AL134" s="140"/>
      <c r="AO134" t="s">
        <v>805</v>
      </c>
      <c r="AP134" s="140">
        <f t="shared" ref="AP134:AP138" si="0">B74</f>
        <v>0</v>
      </c>
      <c r="AV134" s="140"/>
      <c r="AY134" t="s">
        <v>805</v>
      </c>
      <c r="AZ134" s="140">
        <f t="shared" ref="AZ134:AZ138" si="1">B90</f>
        <v>0</v>
      </c>
      <c r="BF134" s="140"/>
      <c r="BI134" t="s">
        <v>805</v>
      </c>
      <c r="BJ134" s="140">
        <f t="shared" ref="BJ134:BJ138" si="2">B106</f>
        <v>0</v>
      </c>
    </row>
    <row r="135" spans="1:69">
      <c r="A135" t="s">
        <v>806</v>
      </c>
      <c r="B135" s="154">
        <f>B11</f>
        <v>0</v>
      </c>
      <c r="K135" t="s">
        <v>806</v>
      </c>
      <c r="L135" s="140">
        <f>B27</f>
        <v>0</v>
      </c>
      <c r="Q135" s="140"/>
      <c r="U135" t="s">
        <v>806</v>
      </c>
      <c r="V135" s="140">
        <f>B43</f>
        <v>0</v>
      </c>
      <c r="AA135" s="140"/>
      <c r="AE135" t="s">
        <v>806</v>
      </c>
      <c r="AF135" s="140">
        <f>B59</f>
        <v>0</v>
      </c>
      <c r="AL135" s="140"/>
      <c r="AO135" t="s">
        <v>806</v>
      </c>
      <c r="AP135" s="140">
        <f t="shared" si="0"/>
        <v>0</v>
      </c>
      <c r="AV135" s="140"/>
      <c r="AY135" t="s">
        <v>806</v>
      </c>
      <c r="AZ135" s="140">
        <f t="shared" si="1"/>
        <v>0</v>
      </c>
      <c r="BF135" s="140"/>
      <c r="BI135" t="s">
        <v>806</v>
      </c>
      <c r="BJ135" s="140">
        <f t="shared" si="2"/>
        <v>0</v>
      </c>
      <c r="BP135" s="140"/>
    </row>
    <row r="136" spans="1:69">
      <c r="A136" t="s">
        <v>185</v>
      </c>
      <c r="B136" s="140">
        <f>IF(B12=0,0.00001,B12)</f>
        <v>1.0000000000000001E-5</v>
      </c>
      <c r="K136" t="s">
        <v>185</v>
      </c>
      <c r="L136" s="140">
        <f>IF(B28=0,0.00001,B28)</f>
        <v>1.0000000000000001E-5</v>
      </c>
      <c r="Q136" s="140"/>
      <c r="U136" t="s">
        <v>185</v>
      </c>
      <c r="V136" s="140">
        <f>IF(B44=0,0.00001,B44)</f>
        <v>1.0000000000000001E-5</v>
      </c>
      <c r="AA136" s="140"/>
      <c r="AE136" t="s">
        <v>185</v>
      </c>
      <c r="AF136" s="140">
        <f>IF(B60=0,0.00001,B60)</f>
        <v>1.0000000000000001E-5</v>
      </c>
      <c r="AL136" s="140"/>
      <c r="AO136" t="s">
        <v>185</v>
      </c>
      <c r="AP136" s="140">
        <f>IF(B76=0,0.00001,B76)</f>
        <v>1.0000000000000001E-5</v>
      </c>
      <c r="AV136" s="140"/>
      <c r="AY136" t="s">
        <v>185</v>
      </c>
      <c r="AZ136" s="140">
        <f>IF(B92=0,0.00001,B92)</f>
        <v>1.0000000000000001E-5</v>
      </c>
      <c r="BF136" s="140"/>
      <c r="BI136" t="s">
        <v>185</v>
      </c>
      <c r="BJ136" s="140">
        <f>IF(B108=0,0.00001,B108)</f>
        <v>1.0000000000000001E-5</v>
      </c>
      <c r="BP136" s="140"/>
    </row>
    <row r="137" spans="1:69">
      <c r="A137" t="s">
        <v>181</v>
      </c>
      <c r="B137">
        <f>B13</f>
        <v>0.8</v>
      </c>
      <c r="K137" t="s">
        <v>181</v>
      </c>
      <c r="L137" s="140">
        <f>B29</f>
        <v>0.8</v>
      </c>
      <c r="Q137" s="140"/>
      <c r="U137" t="s">
        <v>181</v>
      </c>
      <c r="V137" s="140">
        <f>B45</f>
        <v>0.8</v>
      </c>
      <c r="AE137" t="s">
        <v>181</v>
      </c>
      <c r="AF137" s="140">
        <f>B61</f>
        <v>1</v>
      </c>
      <c r="AO137" t="s">
        <v>181</v>
      </c>
      <c r="AP137" s="140">
        <f t="shared" si="0"/>
        <v>1</v>
      </c>
      <c r="AY137" t="s">
        <v>181</v>
      </c>
      <c r="AZ137" s="140">
        <f t="shared" si="1"/>
        <v>1</v>
      </c>
      <c r="BI137" t="s">
        <v>181</v>
      </c>
      <c r="BJ137" s="140">
        <f t="shared" si="2"/>
        <v>1</v>
      </c>
      <c r="BP137" s="140"/>
    </row>
    <row r="138" spans="1:69">
      <c r="A138" t="s">
        <v>804</v>
      </c>
      <c r="B138" s="745">
        <f>B14</f>
        <v>0</v>
      </c>
      <c r="K138" t="s">
        <v>804</v>
      </c>
      <c r="L138" s="140">
        <f>B30</f>
        <v>0</v>
      </c>
      <c r="U138" t="s">
        <v>804</v>
      </c>
      <c r="V138" s="140">
        <f>B46</f>
        <v>0</v>
      </c>
      <c r="AE138" t="s">
        <v>804</v>
      </c>
      <c r="AF138" s="140">
        <f>B62</f>
        <v>0</v>
      </c>
      <c r="AO138" t="s">
        <v>804</v>
      </c>
      <c r="AP138" s="140">
        <f t="shared" si="0"/>
        <v>0</v>
      </c>
      <c r="AY138" t="s">
        <v>804</v>
      </c>
      <c r="AZ138" s="140">
        <f t="shared" si="1"/>
        <v>0</v>
      </c>
      <c r="BI138" t="s">
        <v>804</v>
      </c>
      <c r="BJ138" s="140">
        <f t="shared" si="2"/>
        <v>0</v>
      </c>
    </row>
    <row r="139" spans="1:69">
      <c r="A139" t="s">
        <v>184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184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184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184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184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184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184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185</v>
      </c>
      <c r="B142" s="132" t="s">
        <v>186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181</v>
      </c>
      <c r="I142" s="132" t="s">
        <v>187</v>
      </c>
      <c r="K142" s="132" t="s">
        <v>185</v>
      </c>
      <c r="L142" s="132" t="s">
        <v>186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181</v>
      </c>
      <c r="S142" s="132" t="s">
        <v>187</v>
      </c>
      <c r="U142" s="132" t="s">
        <v>185</v>
      </c>
      <c r="V142" s="132" t="s">
        <v>186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181</v>
      </c>
      <c r="AC142" s="132" t="s">
        <v>187</v>
      </c>
      <c r="AE142" s="132" t="s">
        <v>185</v>
      </c>
      <c r="AF142" s="132" t="s">
        <v>186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181</v>
      </c>
      <c r="AM142" s="132" t="s">
        <v>187</v>
      </c>
      <c r="AO142" s="132" t="s">
        <v>185</v>
      </c>
      <c r="AP142" s="132" t="s">
        <v>186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181</v>
      </c>
      <c r="AW142" s="132" t="s">
        <v>187</v>
      </c>
      <c r="AY142" s="132" t="s">
        <v>185</v>
      </c>
      <c r="AZ142" s="132" t="s">
        <v>186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181</v>
      </c>
      <c r="BG142" s="132" t="s">
        <v>187</v>
      </c>
      <c r="BI142" s="132" t="s">
        <v>185</v>
      </c>
      <c r="BJ142" s="132" t="s">
        <v>186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181</v>
      </c>
      <c r="BQ142" s="132" t="s">
        <v>187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43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0.8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0.8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4">B144*B$136</f>
        <v>3.2000000000000003E-6</v>
      </c>
      <c r="B144">
        <v>0.32</v>
      </c>
      <c r="C144" s="140">
        <f t="shared" ref="C144:G158" si="5">C$142*$A144</f>
        <v>3.1999999999999995E-8</v>
      </c>
      <c r="D144" s="140">
        <f t="shared" si="5"/>
        <v>6.3999999999999991E-8</v>
      </c>
      <c r="E144" s="140">
        <f t="shared" si="5"/>
        <v>9.5999999999999999E-8</v>
      </c>
      <c r="F144" s="140">
        <f t="shared" si="5"/>
        <v>1.2800000000000001E-7</v>
      </c>
      <c r="G144" s="140">
        <f t="shared" si="5"/>
        <v>1.6000000000000003E-7</v>
      </c>
      <c r="H144" s="124">
        <f t="shared" ref="H144:H207" si="6">IF(A144&lt;$B$9*0.8,0.8,IF(A144&gt;1.2*$B$9,1.2,1))</f>
        <v>0.8</v>
      </c>
      <c r="I144" s="156">
        <f t="shared" ref="I144:I207" si="7">IF(OR(B$134=0,B$133=0),0.0000001,IF(H144=1,B$134,A144*((B$134*B$138)/(H144*B$133)+0.023*LOG10(H144*B$133/A144))/B$138))</f>
        <v>9.9999999999999995E-8</v>
      </c>
      <c r="K144" s="140">
        <f t="shared" ref="K144:K207" si="8">L144*L$136</f>
        <v>3.2000000000000003E-6</v>
      </c>
      <c r="L144">
        <v>0.32</v>
      </c>
      <c r="M144" s="140">
        <f t="shared" ref="M144:M207" si="9">M$142*K144</f>
        <v>3.1999999999999995E-8</v>
      </c>
      <c r="N144" s="140">
        <f t="shared" ref="N144:N207" si="10">N$142*K144</f>
        <v>6.3999999999999991E-8</v>
      </c>
      <c r="O144" s="140">
        <f t="shared" ref="O144:O207" si="11">O$142*K144</f>
        <v>9.5999999999999999E-8</v>
      </c>
      <c r="P144" s="140">
        <f t="shared" ref="P144:P206" si="12">P$142*$K144</f>
        <v>1.2800000000000001E-7</v>
      </c>
      <c r="Q144" s="140">
        <f t="shared" ref="Q144:Q207" si="13">Q$142*K144</f>
        <v>1.6000000000000003E-7</v>
      </c>
      <c r="R144" s="157">
        <f t="shared" ref="R144:R207" si="14">IF(K144&lt;$B$25*0.8,0.8,IF(K144&gt;1.2*$B$25,1.2,1))</f>
        <v>0.8</v>
      </c>
      <c r="S144" s="156">
        <f t="shared" ref="S144:S207" si="15">IF(OR(L$134=0,L$133=0),0.0000001,IF(R144=1,L$134,K144*((L$134*L$138)/(R144*L$133)+0.023*LOG10(R144*L$133/K144))/L$138))</f>
        <v>9.9999999999999995E-8</v>
      </c>
      <c r="U144" s="140">
        <f t="shared" ref="U144:U207" si="16">V144*V$136</f>
        <v>3.2000000000000003E-6</v>
      </c>
      <c r="V144">
        <v>0.32</v>
      </c>
      <c r="W144" s="140">
        <f t="shared" ref="W144:W207" si="17">W$142*U144</f>
        <v>3.1999999999999995E-8</v>
      </c>
      <c r="X144" s="140">
        <f t="shared" ref="X144:X207" si="18">X$142*U144</f>
        <v>6.3999999999999991E-8</v>
      </c>
      <c r="Y144" s="140">
        <f t="shared" ref="Y144:Y207" si="19">Y$142*U144</f>
        <v>9.5999999999999999E-8</v>
      </c>
      <c r="Z144" s="140">
        <f t="shared" ref="Z144:Z207" si="20">Z$142*U144</f>
        <v>1.2800000000000001E-7</v>
      </c>
      <c r="AA144" s="140">
        <f t="shared" ref="AA144:AA207" si="21">AA$142*U144</f>
        <v>1.6000000000000003E-7</v>
      </c>
      <c r="AB144" s="157">
        <f t="shared" ref="AB144:AB207" si="22">IF(U144&lt;$B$41*0.8,0.8,IF(U144&gt;1.2*$B$41,1.2,1))</f>
        <v>0.8</v>
      </c>
      <c r="AC144" s="156">
        <f t="shared" ref="AC144:AC207" si="23">IF(OR(V$134=0,V$133=0),0.0000001,IF(AB144=1,V$134,U144*((V$134*V$138)/(AB144*V$133)+0.023*LOG10(AB144*V$133/U144))/V$138))</f>
        <v>9.9999999999999995E-8</v>
      </c>
      <c r="AE144" s="140">
        <f t="shared" ref="AE144:AE207" si="24">AF144*AF$136</f>
        <v>3.2000000000000003E-6</v>
      </c>
      <c r="AF144">
        <v>0.32</v>
      </c>
      <c r="AG144" s="140">
        <f t="shared" ref="AG144:AG207" si="25">AG$142*AE144</f>
        <v>3.1999999999999995E-8</v>
      </c>
      <c r="AH144" s="140">
        <f t="shared" ref="AH144:AH207" si="26">AH$142*AE144</f>
        <v>6.3999999999999991E-8</v>
      </c>
      <c r="AI144" s="140">
        <f t="shared" ref="AI144:AI207" si="27">AI$142*AE144</f>
        <v>9.5999999999999999E-8</v>
      </c>
      <c r="AJ144" s="140">
        <f t="shared" ref="AJ144:AJ207" si="28">AJ$142*AE144</f>
        <v>1.2800000000000001E-7</v>
      </c>
      <c r="AK144" s="140">
        <f t="shared" ref="AK144:AK207" si="29">AK$142*AE144</f>
        <v>1.6000000000000003E-7</v>
      </c>
      <c r="AL144" s="157">
        <f t="shared" ref="AL144:AL207" si="30">IF(AE144&lt;$B$57*0.8,0.8,IF(AE144&gt;1.2*$B$57,1.2,1))</f>
        <v>1.2</v>
      </c>
      <c r="AM144" s="156">
        <f t="shared" ref="AM144:AM207" si="31">IF(OR(AF$134=0,AF$133=0),0.0000001,IF(AL144=1,AF$134,AE144*((AF$134*AF$138)/(AL144*AF$133)+0.023*LOG10(AL144*AF$133/AE144))/AF$138))</f>
        <v>9.9999999999999995E-8</v>
      </c>
      <c r="AO144" s="140">
        <f t="shared" ref="AO144:AO207" si="32">AP144*AP$136</f>
        <v>3.2000000000000003E-6</v>
      </c>
      <c r="AP144">
        <v>0.32</v>
      </c>
      <c r="AQ144" s="140">
        <f t="shared" ref="AQ144:AQ207" si="33">AQ$142*AO144</f>
        <v>3.1999999999999995E-8</v>
      </c>
      <c r="AR144" s="140">
        <f t="shared" ref="AR144:AR207" si="34">AR$142*AO144</f>
        <v>6.3999999999999991E-8</v>
      </c>
      <c r="AS144" s="140">
        <f t="shared" ref="AS144:AS207" si="35">AS$142*AO144</f>
        <v>9.5999999999999999E-8</v>
      </c>
      <c r="AT144" s="140">
        <f t="shared" ref="AT144:AT207" si="36">AT$142*AO144</f>
        <v>1.2800000000000001E-7</v>
      </c>
      <c r="AU144" s="140">
        <f t="shared" ref="AU144:AU207" si="37">AU$142*AO144</f>
        <v>1.6000000000000003E-7</v>
      </c>
      <c r="AV144" s="157">
        <f t="shared" ref="AV144:AV207" si="38">IF(AO144&lt;$B$73*0.8,0.8,IF(AO144&gt;1.2*$B$73,1.2,1))</f>
        <v>1.2</v>
      </c>
      <c r="AW144" s="156">
        <f t="shared" ref="AW144:AW207" si="39">IF(OR(AP$134=0,AP$133=0),0.0000001,IF(AV144=1,AP$134,AO144*((AP$134*AP$138)/(AV144*AP$133)+0.023*LOG10(AV144*AP$133/AO144))/AP$138))</f>
        <v>9.9999999999999995E-8</v>
      </c>
      <c r="AY144" s="140">
        <f t="shared" ref="AY144:AY207" si="40">AZ144*AZ$136</f>
        <v>3.2000000000000003E-6</v>
      </c>
      <c r="AZ144">
        <v>0.32</v>
      </c>
      <c r="BA144" s="140">
        <f t="shared" ref="BA144:BA207" si="41">BA$142*AY144</f>
        <v>3.1999999999999995E-8</v>
      </c>
      <c r="BB144" s="140">
        <f t="shared" ref="BB144:BB207" si="42">BB$142*AY144</f>
        <v>6.3999999999999991E-8</v>
      </c>
      <c r="BC144" s="140">
        <f t="shared" ref="BC144:BC207" si="43">BC$142*AY144</f>
        <v>9.5999999999999999E-8</v>
      </c>
      <c r="BD144" s="140">
        <f t="shared" ref="BD144:BD207" si="44">BD$142*AY144</f>
        <v>1.2800000000000001E-7</v>
      </c>
      <c r="BE144" s="140">
        <f t="shared" ref="BE144:BE207" si="45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6">IF(OR(AZ$134=0,AZ$133=0),0.0000001,IF(BF144=1,AZ$134,AY144*((AZ$134*AZ$138)/(BF144*AZ$133)+0.023*LOG10(BF144*AZ$133/AY144))/AZ$138))</f>
        <v>9.9999999999999995E-8</v>
      </c>
      <c r="BI144" s="140">
        <f t="shared" ref="BI144:BI207" si="47">BJ144*BJ$136</f>
        <v>3.2000000000000003E-6</v>
      </c>
      <c r="BJ144">
        <v>0.32</v>
      </c>
      <c r="BK144" s="140">
        <f t="shared" ref="BK144:BK207" si="48">BK$142*BI144</f>
        <v>3.1999999999999995E-8</v>
      </c>
      <c r="BL144" s="140">
        <f t="shared" ref="BL144:BL207" si="49">BL$142*BI144</f>
        <v>6.3999999999999991E-8</v>
      </c>
      <c r="BM144" s="140">
        <f t="shared" ref="BM144:BM207" si="50">BM$142*BI144</f>
        <v>9.5999999999999999E-8</v>
      </c>
      <c r="BN144" s="140">
        <f t="shared" ref="BN144:BN207" si="51">BN$142*BI144</f>
        <v>1.2800000000000001E-7</v>
      </c>
      <c r="BO144" s="140">
        <f t="shared" ref="BO144:BO207" si="52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53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5"/>
        <v>6.8E-8</v>
      </c>
      <c r="E145" s="140">
        <f t="shared" si="5"/>
        <v>1.0200000000000001E-7</v>
      </c>
      <c r="F145" s="140">
        <f t="shared" si="5"/>
        <v>1.3600000000000003E-7</v>
      </c>
      <c r="G145" s="140">
        <f t="shared" si="5"/>
        <v>1.7000000000000004E-7</v>
      </c>
      <c r="H145" s="124">
        <f t="shared" si="6"/>
        <v>0.8</v>
      </c>
      <c r="I145" s="156">
        <f t="shared" si="7"/>
        <v>9.9999999999999995E-8</v>
      </c>
      <c r="K145" s="140">
        <f t="shared" si="8"/>
        <v>3.4000000000000005E-6</v>
      </c>
      <c r="L145">
        <v>0.34</v>
      </c>
      <c r="M145" s="140">
        <f t="shared" si="9"/>
        <v>3.3999999999999993E-8</v>
      </c>
      <c r="N145" s="140">
        <f t="shared" si="10"/>
        <v>6.8E-8</v>
      </c>
      <c r="O145" s="140">
        <f t="shared" si="11"/>
        <v>1.0200000000000001E-7</v>
      </c>
      <c r="P145" s="140">
        <f t="shared" si="12"/>
        <v>1.3600000000000003E-7</v>
      </c>
      <c r="Q145" s="140">
        <f t="shared" si="13"/>
        <v>1.7000000000000004E-7</v>
      </c>
      <c r="R145" s="157">
        <f t="shared" si="14"/>
        <v>0.8</v>
      </c>
      <c r="S145" s="156">
        <f t="shared" si="15"/>
        <v>9.9999999999999995E-8</v>
      </c>
      <c r="U145" s="140">
        <f t="shared" si="16"/>
        <v>3.4000000000000005E-6</v>
      </c>
      <c r="V145">
        <v>0.34</v>
      </c>
      <c r="W145" s="140">
        <f t="shared" si="17"/>
        <v>3.3999999999999993E-8</v>
      </c>
      <c r="X145" s="140">
        <f t="shared" si="18"/>
        <v>6.8E-8</v>
      </c>
      <c r="Y145" s="140">
        <f t="shared" si="19"/>
        <v>1.0200000000000001E-7</v>
      </c>
      <c r="Z145" s="140">
        <f t="shared" si="20"/>
        <v>1.3600000000000003E-7</v>
      </c>
      <c r="AA145" s="140">
        <f t="shared" si="21"/>
        <v>1.7000000000000004E-7</v>
      </c>
      <c r="AB145" s="157">
        <f t="shared" si="22"/>
        <v>0.8</v>
      </c>
      <c r="AC145" s="156">
        <f t="shared" si="23"/>
        <v>9.9999999999999995E-8</v>
      </c>
      <c r="AE145" s="140">
        <f t="shared" si="24"/>
        <v>3.4000000000000005E-6</v>
      </c>
      <c r="AF145">
        <v>0.34</v>
      </c>
      <c r="AG145" s="140">
        <f t="shared" si="25"/>
        <v>3.3999999999999993E-8</v>
      </c>
      <c r="AH145" s="140">
        <f t="shared" si="26"/>
        <v>6.8E-8</v>
      </c>
      <c r="AI145" s="140">
        <f t="shared" si="27"/>
        <v>1.0200000000000001E-7</v>
      </c>
      <c r="AJ145" s="140">
        <f t="shared" si="28"/>
        <v>1.3600000000000003E-7</v>
      </c>
      <c r="AK145" s="140">
        <f t="shared" si="29"/>
        <v>1.7000000000000004E-7</v>
      </c>
      <c r="AL145" s="157">
        <f t="shared" si="30"/>
        <v>1.2</v>
      </c>
      <c r="AM145" s="156">
        <f t="shared" si="31"/>
        <v>9.9999999999999995E-8</v>
      </c>
      <c r="AO145" s="140">
        <f t="shared" si="32"/>
        <v>3.4000000000000005E-6</v>
      </c>
      <c r="AP145">
        <v>0.34</v>
      </c>
      <c r="AQ145" s="140">
        <f t="shared" si="33"/>
        <v>3.3999999999999993E-8</v>
      </c>
      <c r="AR145" s="140">
        <f t="shared" si="34"/>
        <v>6.8E-8</v>
      </c>
      <c r="AS145" s="140">
        <f t="shared" si="35"/>
        <v>1.0200000000000001E-7</v>
      </c>
      <c r="AT145" s="140">
        <f t="shared" si="36"/>
        <v>1.3600000000000003E-7</v>
      </c>
      <c r="AU145" s="140">
        <f t="shared" si="37"/>
        <v>1.7000000000000004E-7</v>
      </c>
      <c r="AV145" s="157">
        <f t="shared" si="38"/>
        <v>1.2</v>
      </c>
      <c r="AW145" s="156">
        <f t="shared" si="39"/>
        <v>9.9999999999999995E-8</v>
      </c>
      <c r="AY145" s="140">
        <f t="shared" si="40"/>
        <v>3.4000000000000005E-6</v>
      </c>
      <c r="AZ145">
        <v>0.34</v>
      </c>
      <c r="BA145" s="140">
        <f t="shared" si="41"/>
        <v>3.3999999999999993E-8</v>
      </c>
      <c r="BB145" s="140">
        <f t="shared" si="42"/>
        <v>6.8E-8</v>
      </c>
      <c r="BC145" s="140">
        <f t="shared" si="43"/>
        <v>1.0200000000000001E-7</v>
      </c>
      <c r="BD145" s="140">
        <f t="shared" si="44"/>
        <v>1.3600000000000003E-7</v>
      </c>
      <c r="BE145" s="140">
        <f t="shared" si="45"/>
        <v>1.7000000000000004E-7</v>
      </c>
      <c r="BF145" s="157">
        <f>IF(AY145&lt;$B$89*DATA!$H$1037,DATA!$H$1037,IF(AY145&gt;DATA!$H$1036*$B$89,DATA!$H$1036,1))</f>
        <v>1.2</v>
      </c>
      <c r="BG145" s="156">
        <f t="shared" si="46"/>
        <v>9.9999999999999995E-8</v>
      </c>
      <c r="BI145" s="140">
        <f t="shared" si="47"/>
        <v>3.4000000000000005E-6</v>
      </c>
      <c r="BJ145">
        <v>0.34</v>
      </c>
      <c r="BK145" s="140">
        <f t="shared" si="48"/>
        <v>3.3999999999999993E-8</v>
      </c>
      <c r="BL145" s="140">
        <f t="shared" si="49"/>
        <v>6.8E-8</v>
      </c>
      <c r="BM145" s="140">
        <f t="shared" si="50"/>
        <v>1.0200000000000001E-7</v>
      </c>
      <c r="BN145" s="140">
        <f t="shared" si="51"/>
        <v>1.3600000000000003E-7</v>
      </c>
      <c r="BO145" s="140">
        <f t="shared" si="52"/>
        <v>1.7000000000000004E-7</v>
      </c>
      <c r="BP145" s="157">
        <f>IF(BI145&lt;$B$105*DATA!$H$1037,DATA!$H$1037,IF(BI145&gt;DATA!$H$1036*$B$105,DATA!$H$1036,1))</f>
        <v>1.2</v>
      </c>
      <c r="BQ145" s="156">
        <f t="shared" si="53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5"/>
        <v>7.1999999999999996E-8</v>
      </c>
      <c r="E146" s="140">
        <f t="shared" si="5"/>
        <v>1.08E-7</v>
      </c>
      <c r="F146" s="140">
        <f t="shared" si="5"/>
        <v>1.4400000000000002E-7</v>
      </c>
      <c r="G146" s="140">
        <f t="shared" si="5"/>
        <v>1.8000000000000002E-7</v>
      </c>
      <c r="H146" s="124">
        <f t="shared" si="6"/>
        <v>0.8</v>
      </c>
      <c r="I146" s="156">
        <f t="shared" si="7"/>
        <v>9.9999999999999995E-8</v>
      </c>
      <c r="K146" s="140">
        <f t="shared" si="8"/>
        <v>3.6000000000000003E-6</v>
      </c>
      <c r="L146">
        <v>0.36</v>
      </c>
      <c r="M146" s="140">
        <f t="shared" si="9"/>
        <v>3.5999999999999991E-8</v>
      </c>
      <c r="N146" s="140">
        <f t="shared" si="10"/>
        <v>7.1999999999999996E-8</v>
      </c>
      <c r="O146" s="140">
        <f t="shared" si="11"/>
        <v>1.08E-7</v>
      </c>
      <c r="P146" s="140">
        <f t="shared" si="12"/>
        <v>1.4400000000000002E-7</v>
      </c>
      <c r="Q146" s="140">
        <f t="shared" si="13"/>
        <v>1.8000000000000002E-7</v>
      </c>
      <c r="R146" s="157">
        <f t="shared" si="14"/>
        <v>0.8</v>
      </c>
      <c r="S146" s="156">
        <f t="shared" si="15"/>
        <v>9.9999999999999995E-8</v>
      </c>
      <c r="U146" s="140">
        <f t="shared" si="16"/>
        <v>3.6000000000000003E-6</v>
      </c>
      <c r="V146">
        <v>0.36</v>
      </c>
      <c r="W146" s="140">
        <f t="shared" si="17"/>
        <v>3.5999999999999991E-8</v>
      </c>
      <c r="X146" s="140">
        <f t="shared" si="18"/>
        <v>7.1999999999999996E-8</v>
      </c>
      <c r="Y146" s="140">
        <f t="shared" si="19"/>
        <v>1.08E-7</v>
      </c>
      <c r="Z146" s="140">
        <f t="shared" si="20"/>
        <v>1.4400000000000002E-7</v>
      </c>
      <c r="AA146" s="140">
        <f t="shared" si="21"/>
        <v>1.8000000000000002E-7</v>
      </c>
      <c r="AB146" s="157">
        <f t="shared" si="22"/>
        <v>0.8</v>
      </c>
      <c r="AC146" s="156">
        <f t="shared" si="23"/>
        <v>9.9999999999999995E-8</v>
      </c>
      <c r="AE146" s="140">
        <f t="shared" si="24"/>
        <v>3.6000000000000003E-6</v>
      </c>
      <c r="AF146">
        <v>0.36</v>
      </c>
      <c r="AG146" s="140">
        <f t="shared" si="25"/>
        <v>3.5999999999999991E-8</v>
      </c>
      <c r="AH146" s="140">
        <f t="shared" si="26"/>
        <v>7.1999999999999996E-8</v>
      </c>
      <c r="AI146" s="140">
        <f t="shared" si="27"/>
        <v>1.08E-7</v>
      </c>
      <c r="AJ146" s="140">
        <f t="shared" si="28"/>
        <v>1.4400000000000002E-7</v>
      </c>
      <c r="AK146" s="140">
        <f t="shared" si="29"/>
        <v>1.8000000000000002E-7</v>
      </c>
      <c r="AL146" s="157">
        <f t="shared" si="30"/>
        <v>1.2</v>
      </c>
      <c r="AM146" s="156">
        <f t="shared" si="31"/>
        <v>9.9999999999999995E-8</v>
      </c>
      <c r="AO146" s="140">
        <f t="shared" si="32"/>
        <v>3.6000000000000003E-6</v>
      </c>
      <c r="AP146">
        <v>0.36</v>
      </c>
      <c r="AQ146" s="140">
        <f t="shared" si="33"/>
        <v>3.5999999999999991E-8</v>
      </c>
      <c r="AR146" s="140">
        <f t="shared" si="34"/>
        <v>7.1999999999999996E-8</v>
      </c>
      <c r="AS146" s="140">
        <f t="shared" si="35"/>
        <v>1.08E-7</v>
      </c>
      <c r="AT146" s="140">
        <f t="shared" si="36"/>
        <v>1.4400000000000002E-7</v>
      </c>
      <c r="AU146" s="140">
        <f t="shared" si="37"/>
        <v>1.8000000000000002E-7</v>
      </c>
      <c r="AV146" s="157">
        <f t="shared" si="38"/>
        <v>1.2</v>
      </c>
      <c r="AW146" s="156">
        <f t="shared" si="39"/>
        <v>9.9999999999999995E-8</v>
      </c>
      <c r="AY146" s="140">
        <f t="shared" si="40"/>
        <v>3.6000000000000003E-6</v>
      </c>
      <c r="AZ146">
        <v>0.36</v>
      </c>
      <c r="BA146" s="140">
        <f t="shared" si="41"/>
        <v>3.5999999999999991E-8</v>
      </c>
      <c r="BB146" s="140">
        <f t="shared" si="42"/>
        <v>7.1999999999999996E-8</v>
      </c>
      <c r="BC146" s="140">
        <f t="shared" si="43"/>
        <v>1.08E-7</v>
      </c>
      <c r="BD146" s="140">
        <f t="shared" si="44"/>
        <v>1.4400000000000002E-7</v>
      </c>
      <c r="BE146" s="140">
        <f t="shared" si="45"/>
        <v>1.8000000000000002E-7</v>
      </c>
      <c r="BF146" s="157">
        <f>IF(AY146&lt;$B$89*DATA!$H$1037,DATA!$H$1037,IF(AY146&gt;DATA!$H$1036*$B$89,DATA!$H$1036,1))</f>
        <v>1.2</v>
      </c>
      <c r="BG146" s="156">
        <f t="shared" si="46"/>
        <v>9.9999999999999995E-8</v>
      </c>
      <c r="BI146" s="140">
        <f t="shared" si="47"/>
        <v>3.6000000000000003E-6</v>
      </c>
      <c r="BJ146">
        <v>0.36</v>
      </c>
      <c r="BK146" s="140">
        <f t="shared" si="48"/>
        <v>3.5999999999999991E-8</v>
      </c>
      <c r="BL146" s="140">
        <f t="shared" si="49"/>
        <v>7.1999999999999996E-8</v>
      </c>
      <c r="BM146" s="140">
        <f t="shared" si="50"/>
        <v>1.08E-7</v>
      </c>
      <c r="BN146" s="140">
        <f t="shared" si="51"/>
        <v>1.4400000000000002E-7</v>
      </c>
      <c r="BO146" s="140">
        <f t="shared" si="52"/>
        <v>1.8000000000000002E-7</v>
      </c>
      <c r="BP146" s="157">
        <f>IF(BI146&lt;$B$105*DATA!$H$1037,DATA!$H$1037,IF(BI146&gt;DATA!$H$1036*$B$105,DATA!$H$1036,1))</f>
        <v>1.2</v>
      </c>
      <c r="BQ146" s="156">
        <f t="shared" si="53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5"/>
        <v>7.5999999999999992E-8</v>
      </c>
      <c r="E147" s="140">
        <f t="shared" si="5"/>
        <v>1.1400000000000001E-7</v>
      </c>
      <c r="F147" s="140">
        <f t="shared" si="5"/>
        <v>1.5200000000000001E-7</v>
      </c>
      <c r="G147" s="140">
        <f t="shared" si="5"/>
        <v>1.9000000000000003E-7</v>
      </c>
      <c r="H147" s="124">
        <f t="shared" si="6"/>
        <v>0.8</v>
      </c>
      <c r="I147" s="156">
        <f t="shared" si="7"/>
        <v>9.9999999999999995E-8</v>
      </c>
      <c r="K147" s="140">
        <f t="shared" si="8"/>
        <v>3.8000000000000005E-6</v>
      </c>
      <c r="L147">
        <v>0.38</v>
      </c>
      <c r="M147" s="140">
        <f t="shared" si="9"/>
        <v>3.799999999999999E-8</v>
      </c>
      <c r="N147" s="140">
        <f t="shared" si="10"/>
        <v>7.5999999999999992E-8</v>
      </c>
      <c r="O147" s="140">
        <f t="shared" si="11"/>
        <v>1.1400000000000001E-7</v>
      </c>
      <c r="P147" s="140">
        <f t="shared" si="12"/>
        <v>1.5200000000000001E-7</v>
      </c>
      <c r="Q147" s="140">
        <f t="shared" si="13"/>
        <v>1.9000000000000003E-7</v>
      </c>
      <c r="R147" s="157">
        <f t="shared" si="14"/>
        <v>0.8</v>
      </c>
      <c r="S147" s="156">
        <f t="shared" si="15"/>
        <v>9.9999999999999995E-8</v>
      </c>
      <c r="U147" s="140">
        <f t="shared" si="16"/>
        <v>3.8000000000000005E-6</v>
      </c>
      <c r="V147">
        <v>0.38</v>
      </c>
      <c r="W147" s="140">
        <f t="shared" si="17"/>
        <v>3.799999999999999E-8</v>
      </c>
      <c r="X147" s="140">
        <f t="shared" si="18"/>
        <v>7.5999999999999992E-8</v>
      </c>
      <c r="Y147" s="140">
        <f t="shared" si="19"/>
        <v>1.1400000000000001E-7</v>
      </c>
      <c r="Z147" s="140">
        <f t="shared" si="20"/>
        <v>1.5200000000000001E-7</v>
      </c>
      <c r="AA147" s="140">
        <f t="shared" si="21"/>
        <v>1.9000000000000003E-7</v>
      </c>
      <c r="AB147" s="157">
        <f t="shared" si="22"/>
        <v>0.8</v>
      </c>
      <c r="AC147" s="156">
        <f t="shared" si="23"/>
        <v>9.9999999999999995E-8</v>
      </c>
      <c r="AE147" s="140">
        <f t="shared" si="24"/>
        <v>3.8000000000000005E-6</v>
      </c>
      <c r="AF147">
        <v>0.38</v>
      </c>
      <c r="AG147" s="140">
        <f t="shared" si="25"/>
        <v>3.799999999999999E-8</v>
      </c>
      <c r="AH147" s="140">
        <f t="shared" si="26"/>
        <v>7.5999999999999992E-8</v>
      </c>
      <c r="AI147" s="140">
        <f t="shared" si="27"/>
        <v>1.1400000000000001E-7</v>
      </c>
      <c r="AJ147" s="140">
        <f t="shared" si="28"/>
        <v>1.5200000000000001E-7</v>
      </c>
      <c r="AK147" s="140">
        <f t="shared" si="29"/>
        <v>1.9000000000000003E-7</v>
      </c>
      <c r="AL147" s="157">
        <f t="shared" si="30"/>
        <v>1.2</v>
      </c>
      <c r="AM147" s="156">
        <f t="shared" si="31"/>
        <v>9.9999999999999995E-8</v>
      </c>
      <c r="AO147" s="140">
        <f t="shared" si="32"/>
        <v>3.8000000000000005E-6</v>
      </c>
      <c r="AP147">
        <v>0.38</v>
      </c>
      <c r="AQ147" s="140">
        <f t="shared" si="33"/>
        <v>3.799999999999999E-8</v>
      </c>
      <c r="AR147" s="140">
        <f t="shared" si="34"/>
        <v>7.5999999999999992E-8</v>
      </c>
      <c r="AS147" s="140">
        <f t="shared" si="35"/>
        <v>1.1400000000000001E-7</v>
      </c>
      <c r="AT147" s="140">
        <f t="shared" si="36"/>
        <v>1.5200000000000001E-7</v>
      </c>
      <c r="AU147" s="140">
        <f t="shared" si="37"/>
        <v>1.9000000000000003E-7</v>
      </c>
      <c r="AV147" s="157">
        <f t="shared" si="38"/>
        <v>1.2</v>
      </c>
      <c r="AW147" s="156">
        <f t="shared" si="39"/>
        <v>9.9999999999999995E-8</v>
      </c>
      <c r="AY147" s="140">
        <f t="shared" si="40"/>
        <v>3.8000000000000005E-6</v>
      </c>
      <c r="AZ147">
        <v>0.38</v>
      </c>
      <c r="BA147" s="140">
        <f t="shared" si="41"/>
        <v>3.799999999999999E-8</v>
      </c>
      <c r="BB147" s="140">
        <f t="shared" si="42"/>
        <v>7.5999999999999992E-8</v>
      </c>
      <c r="BC147" s="140">
        <f t="shared" si="43"/>
        <v>1.1400000000000001E-7</v>
      </c>
      <c r="BD147" s="140">
        <f t="shared" si="44"/>
        <v>1.5200000000000001E-7</v>
      </c>
      <c r="BE147" s="140">
        <f t="shared" si="45"/>
        <v>1.9000000000000003E-7</v>
      </c>
      <c r="BF147" s="157">
        <f>IF(AY147&lt;$B$89*DATA!$H$1037,DATA!$H$1037,IF(AY147&gt;DATA!$H$1036*$B$89,DATA!$H$1036,1))</f>
        <v>1.2</v>
      </c>
      <c r="BG147" s="156">
        <f t="shared" si="46"/>
        <v>9.9999999999999995E-8</v>
      </c>
      <c r="BI147" s="140">
        <f t="shared" si="47"/>
        <v>3.8000000000000005E-6</v>
      </c>
      <c r="BJ147">
        <v>0.38</v>
      </c>
      <c r="BK147" s="140">
        <f t="shared" si="48"/>
        <v>3.799999999999999E-8</v>
      </c>
      <c r="BL147" s="140">
        <f t="shared" si="49"/>
        <v>7.5999999999999992E-8</v>
      </c>
      <c r="BM147" s="140">
        <f t="shared" si="50"/>
        <v>1.1400000000000001E-7</v>
      </c>
      <c r="BN147" s="140">
        <f t="shared" si="51"/>
        <v>1.5200000000000001E-7</v>
      </c>
      <c r="BO147" s="140">
        <f t="shared" si="52"/>
        <v>1.9000000000000003E-7</v>
      </c>
      <c r="BP147" s="157">
        <f>IF(BI147&lt;$B$105*DATA!$H$1037,DATA!$H$1037,IF(BI147&gt;DATA!$H$1036*$B$105,DATA!$H$1036,1))</f>
        <v>1.2</v>
      </c>
      <c r="BQ147" s="156">
        <f t="shared" si="53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5"/>
        <v>8.0000000000000002E-8</v>
      </c>
      <c r="E148" s="140">
        <f t="shared" si="5"/>
        <v>1.2000000000000002E-7</v>
      </c>
      <c r="F148" s="140">
        <f t="shared" si="5"/>
        <v>1.6000000000000003E-7</v>
      </c>
      <c r="G148" s="140">
        <f t="shared" si="5"/>
        <v>2.0000000000000004E-7</v>
      </c>
      <c r="H148" s="124">
        <f t="shared" si="6"/>
        <v>0.8</v>
      </c>
      <c r="I148" s="156">
        <f t="shared" si="7"/>
        <v>9.9999999999999995E-8</v>
      </c>
      <c r="K148" s="140">
        <f t="shared" si="8"/>
        <v>4.0000000000000007E-6</v>
      </c>
      <c r="L148">
        <v>0.4</v>
      </c>
      <c r="M148" s="140">
        <f t="shared" si="9"/>
        <v>3.9999999999999994E-8</v>
      </c>
      <c r="N148" s="140">
        <f t="shared" si="10"/>
        <v>8.0000000000000002E-8</v>
      </c>
      <c r="O148" s="140">
        <f t="shared" si="11"/>
        <v>1.2000000000000002E-7</v>
      </c>
      <c r="P148" s="140">
        <f t="shared" si="12"/>
        <v>1.6000000000000003E-7</v>
      </c>
      <c r="Q148" s="140">
        <f t="shared" si="13"/>
        <v>2.0000000000000004E-7</v>
      </c>
      <c r="R148" s="157">
        <f t="shared" si="14"/>
        <v>0.8</v>
      </c>
      <c r="S148" s="156">
        <f t="shared" si="15"/>
        <v>9.9999999999999995E-8</v>
      </c>
      <c r="U148" s="140">
        <f t="shared" si="16"/>
        <v>4.0000000000000007E-6</v>
      </c>
      <c r="V148">
        <v>0.4</v>
      </c>
      <c r="W148" s="140">
        <f t="shared" si="17"/>
        <v>3.9999999999999994E-8</v>
      </c>
      <c r="X148" s="140">
        <f t="shared" si="18"/>
        <v>8.0000000000000002E-8</v>
      </c>
      <c r="Y148" s="140">
        <f t="shared" si="19"/>
        <v>1.2000000000000002E-7</v>
      </c>
      <c r="Z148" s="140">
        <f t="shared" si="20"/>
        <v>1.6000000000000003E-7</v>
      </c>
      <c r="AA148" s="140">
        <f t="shared" si="21"/>
        <v>2.0000000000000004E-7</v>
      </c>
      <c r="AB148" s="157">
        <f t="shared" si="22"/>
        <v>0.8</v>
      </c>
      <c r="AC148" s="156">
        <f t="shared" si="23"/>
        <v>9.9999999999999995E-8</v>
      </c>
      <c r="AE148" s="140">
        <f t="shared" si="24"/>
        <v>4.0000000000000007E-6</v>
      </c>
      <c r="AF148">
        <v>0.4</v>
      </c>
      <c r="AG148" s="140">
        <f t="shared" si="25"/>
        <v>3.9999999999999994E-8</v>
      </c>
      <c r="AH148" s="140">
        <f t="shared" si="26"/>
        <v>8.0000000000000002E-8</v>
      </c>
      <c r="AI148" s="140">
        <f t="shared" si="27"/>
        <v>1.2000000000000002E-7</v>
      </c>
      <c r="AJ148" s="140">
        <f t="shared" si="28"/>
        <v>1.6000000000000003E-7</v>
      </c>
      <c r="AK148" s="140">
        <f t="shared" si="29"/>
        <v>2.0000000000000004E-7</v>
      </c>
      <c r="AL148" s="157">
        <f t="shared" si="30"/>
        <v>1.2</v>
      </c>
      <c r="AM148" s="156">
        <f t="shared" si="31"/>
        <v>9.9999999999999995E-8</v>
      </c>
      <c r="AO148" s="140">
        <f t="shared" si="32"/>
        <v>4.0000000000000007E-6</v>
      </c>
      <c r="AP148">
        <v>0.4</v>
      </c>
      <c r="AQ148" s="140">
        <f t="shared" si="33"/>
        <v>3.9999999999999994E-8</v>
      </c>
      <c r="AR148" s="140">
        <f t="shared" si="34"/>
        <v>8.0000000000000002E-8</v>
      </c>
      <c r="AS148" s="140">
        <f t="shared" si="35"/>
        <v>1.2000000000000002E-7</v>
      </c>
      <c r="AT148" s="140">
        <f t="shared" si="36"/>
        <v>1.6000000000000003E-7</v>
      </c>
      <c r="AU148" s="140">
        <f t="shared" si="37"/>
        <v>2.0000000000000004E-7</v>
      </c>
      <c r="AV148" s="157">
        <f t="shared" si="38"/>
        <v>1.2</v>
      </c>
      <c r="AW148" s="156">
        <f t="shared" si="39"/>
        <v>9.9999999999999995E-8</v>
      </c>
      <c r="AY148" s="140">
        <f t="shared" si="40"/>
        <v>4.0000000000000007E-6</v>
      </c>
      <c r="AZ148">
        <v>0.4</v>
      </c>
      <c r="BA148" s="140">
        <f t="shared" si="41"/>
        <v>3.9999999999999994E-8</v>
      </c>
      <c r="BB148" s="140">
        <f t="shared" si="42"/>
        <v>8.0000000000000002E-8</v>
      </c>
      <c r="BC148" s="140">
        <f t="shared" si="43"/>
        <v>1.2000000000000002E-7</v>
      </c>
      <c r="BD148" s="140">
        <f t="shared" si="44"/>
        <v>1.6000000000000003E-7</v>
      </c>
      <c r="BE148" s="140">
        <f t="shared" si="45"/>
        <v>2.0000000000000004E-7</v>
      </c>
      <c r="BF148" s="157">
        <f>IF(AY148&lt;$B$89*DATA!$H$1037,DATA!$H$1037,IF(AY148&gt;DATA!$H$1036*$B$89,DATA!$H$1036,1))</f>
        <v>1.2</v>
      </c>
      <c r="BG148" s="156">
        <f t="shared" si="46"/>
        <v>9.9999999999999995E-8</v>
      </c>
      <c r="BI148" s="140">
        <f t="shared" si="47"/>
        <v>4.0000000000000007E-6</v>
      </c>
      <c r="BJ148">
        <v>0.4</v>
      </c>
      <c r="BK148" s="140">
        <f t="shared" si="48"/>
        <v>3.9999999999999994E-8</v>
      </c>
      <c r="BL148" s="140">
        <f t="shared" si="49"/>
        <v>8.0000000000000002E-8</v>
      </c>
      <c r="BM148" s="140">
        <f t="shared" si="50"/>
        <v>1.2000000000000002E-7</v>
      </c>
      <c r="BN148" s="140">
        <f t="shared" si="51"/>
        <v>1.6000000000000003E-7</v>
      </c>
      <c r="BO148" s="140">
        <f t="shared" si="52"/>
        <v>2.0000000000000004E-7</v>
      </c>
      <c r="BP148" s="157">
        <f>IF(BI148&lt;$B$105*DATA!$H$1037,DATA!$H$1037,IF(BI148&gt;DATA!$H$1036*$B$105,DATA!$H$1036,1))</f>
        <v>1.2</v>
      </c>
      <c r="BQ148" s="156">
        <f t="shared" si="53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5"/>
        <v>8.3999999999999998E-8</v>
      </c>
      <c r="E149" s="140">
        <f t="shared" si="5"/>
        <v>1.2600000000000002E-7</v>
      </c>
      <c r="F149" s="140">
        <f t="shared" si="5"/>
        <v>1.6800000000000002E-7</v>
      </c>
      <c r="G149" s="140">
        <f t="shared" si="5"/>
        <v>2.1000000000000003E-7</v>
      </c>
      <c r="H149" s="124">
        <f t="shared" si="6"/>
        <v>0.8</v>
      </c>
      <c r="I149" s="156">
        <f t="shared" si="7"/>
        <v>9.9999999999999995E-8</v>
      </c>
      <c r="K149" s="140">
        <f t="shared" si="8"/>
        <v>4.2000000000000004E-6</v>
      </c>
      <c r="L149">
        <v>0.42</v>
      </c>
      <c r="M149" s="140">
        <f t="shared" si="9"/>
        <v>4.1999999999999992E-8</v>
      </c>
      <c r="N149" s="140">
        <f t="shared" si="10"/>
        <v>8.3999999999999998E-8</v>
      </c>
      <c r="O149" s="140">
        <f t="shared" si="11"/>
        <v>1.2600000000000002E-7</v>
      </c>
      <c r="P149" s="140">
        <f t="shared" si="12"/>
        <v>1.6800000000000002E-7</v>
      </c>
      <c r="Q149" s="140">
        <f t="shared" si="13"/>
        <v>2.1000000000000003E-7</v>
      </c>
      <c r="R149" s="157">
        <f t="shared" si="14"/>
        <v>0.8</v>
      </c>
      <c r="S149" s="156">
        <f t="shared" si="15"/>
        <v>9.9999999999999995E-8</v>
      </c>
      <c r="U149" s="140">
        <f t="shared" si="16"/>
        <v>4.2000000000000004E-6</v>
      </c>
      <c r="V149">
        <v>0.42</v>
      </c>
      <c r="W149" s="140">
        <f t="shared" si="17"/>
        <v>4.1999999999999992E-8</v>
      </c>
      <c r="X149" s="140">
        <f t="shared" si="18"/>
        <v>8.3999999999999998E-8</v>
      </c>
      <c r="Y149" s="140">
        <f t="shared" si="19"/>
        <v>1.2600000000000002E-7</v>
      </c>
      <c r="Z149" s="140">
        <f t="shared" si="20"/>
        <v>1.6800000000000002E-7</v>
      </c>
      <c r="AA149" s="140">
        <f t="shared" si="21"/>
        <v>2.1000000000000003E-7</v>
      </c>
      <c r="AB149" s="157">
        <f t="shared" si="22"/>
        <v>0.8</v>
      </c>
      <c r="AC149" s="156">
        <f t="shared" si="23"/>
        <v>9.9999999999999995E-8</v>
      </c>
      <c r="AE149" s="140">
        <f t="shared" si="24"/>
        <v>4.2000000000000004E-6</v>
      </c>
      <c r="AF149">
        <v>0.42</v>
      </c>
      <c r="AG149" s="140">
        <f t="shared" si="25"/>
        <v>4.1999999999999992E-8</v>
      </c>
      <c r="AH149" s="140">
        <f t="shared" si="26"/>
        <v>8.3999999999999998E-8</v>
      </c>
      <c r="AI149" s="140">
        <f t="shared" si="27"/>
        <v>1.2600000000000002E-7</v>
      </c>
      <c r="AJ149" s="140">
        <f t="shared" si="28"/>
        <v>1.6800000000000002E-7</v>
      </c>
      <c r="AK149" s="140">
        <f t="shared" si="29"/>
        <v>2.1000000000000003E-7</v>
      </c>
      <c r="AL149" s="157">
        <f t="shared" si="30"/>
        <v>1.2</v>
      </c>
      <c r="AM149" s="156">
        <f t="shared" si="31"/>
        <v>9.9999999999999995E-8</v>
      </c>
      <c r="AO149" s="140">
        <f t="shared" si="32"/>
        <v>4.2000000000000004E-6</v>
      </c>
      <c r="AP149">
        <v>0.42</v>
      </c>
      <c r="AQ149" s="140">
        <f t="shared" si="33"/>
        <v>4.1999999999999992E-8</v>
      </c>
      <c r="AR149" s="140">
        <f t="shared" si="34"/>
        <v>8.3999999999999998E-8</v>
      </c>
      <c r="AS149" s="140">
        <f t="shared" si="35"/>
        <v>1.2600000000000002E-7</v>
      </c>
      <c r="AT149" s="140">
        <f t="shared" si="36"/>
        <v>1.6800000000000002E-7</v>
      </c>
      <c r="AU149" s="140">
        <f t="shared" si="37"/>
        <v>2.1000000000000003E-7</v>
      </c>
      <c r="AV149" s="157">
        <f t="shared" si="38"/>
        <v>1.2</v>
      </c>
      <c r="AW149" s="156">
        <f t="shared" si="39"/>
        <v>9.9999999999999995E-8</v>
      </c>
      <c r="AY149" s="140">
        <f t="shared" si="40"/>
        <v>4.2000000000000004E-6</v>
      </c>
      <c r="AZ149">
        <v>0.42</v>
      </c>
      <c r="BA149" s="140">
        <f t="shared" si="41"/>
        <v>4.1999999999999992E-8</v>
      </c>
      <c r="BB149" s="140">
        <f t="shared" si="42"/>
        <v>8.3999999999999998E-8</v>
      </c>
      <c r="BC149" s="140">
        <f t="shared" si="43"/>
        <v>1.2600000000000002E-7</v>
      </c>
      <c r="BD149" s="140">
        <f t="shared" si="44"/>
        <v>1.6800000000000002E-7</v>
      </c>
      <c r="BE149" s="140">
        <f t="shared" si="45"/>
        <v>2.1000000000000003E-7</v>
      </c>
      <c r="BF149" s="157">
        <f>IF(AY149&lt;$B$89*DATA!$H$1037,DATA!$H$1037,IF(AY149&gt;DATA!$H$1036*$B$89,DATA!$H$1036,1))</f>
        <v>1.2</v>
      </c>
      <c r="BG149" s="156">
        <f t="shared" si="46"/>
        <v>9.9999999999999995E-8</v>
      </c>
      <c r="BI149" s="140">
        <f t="shared" si="47"/>
        <v>4.2000000000000004E-6</v>
      </c>
      <c r="BJ149">
        <v>0.42</v>
      </c>
      <c r="BK149" s="140">
        <f t="shared" si="48"/>
        <v>4.1999999999999992E-8</v>
      </c>
      <c r="BL149" s="140">
        <f t="shared" si="49"/>
        <v>8.3999999999999998E-8</v>
      </c>
      <c r="BM149" s="140">
        <f t="shared" si="50"/>
        <v>1.2600000000000002E-7</v>
      </c>
      <c r="BN149" s="140">
        <f t="shared" si="51"/>
        <v>1.6800000000000002E-7</v>
      </c>
      <c r="BO149" s="140">
        <f t="shared" si="52"/>
        <v>2.1000000000000003E-7</v>
      </c>
      <c r="BP149" s="157">
        <f>IF(BI149&lt;$B$105*DATA!$H$1037,DATA!$H$1037,IF(BI149&gt;DATA!$H$1036*$B$105,DATA!$H$1036,1))</f>
        <v>1.2</v>
      </c>
      <c r="BQ149" s="156">
        <f t="shared" si="53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5"/>
        <v>8.7999999999999994E-8</v>
      </c>
      <c r="E150" s="140">
        <f t="shared" si="5"/>
        <v>1.3199999999999999E-7</v>
      </c>
      <c r="F150" s="140">
        <f t="shared" si="5"/>
        <v>1.7600000000000001E-7</v>
      </c>
      <c r="G150" s="140">
        <f t="shared" si="5"/>
        <v>2.2000000000000001E-7</v>
      </c>
      <c r="H150" s="124">
        <f t="shared" si="6"/>
        <v>0.8</v>
      </c>
      <c r="I150" s="156">
        <f t="shared" si="7"/>
        <v>9.9999999999999995E-8</v>
      </c>
      <c r="K150" s="140">
        <f t="shared" si="8"/>
        <v>4.4000000000000002E-6</v>
      </c>
      <c r="L150">
        <v>0.44</v>
      </c>
      <c r="M150" s="140">
        <f t="shared" si="9"/>
        <v>4.399999999999999E-8</v>
      </c>
      <c r="N150" s="140">
        <f t="shared" si="10"/>
        <v>8.7999999999999994E-8</v>
      </c>
      <c r="O150" s="140">
        <f t="shared" si="11"/>
        <v>1.3199999999999999E-7</v>
      </c>
      <c r="P150" s="140">
        <f t="shared" si="12"/>
        <v>1.7600000000000001E-7</v>
      </c>
      <c r="Q150" s="140">
        <f t="shared" si="13"/>
        <v>2.2000000000000001E-7</v>
      </c>
      <c r="R150" s="157">
        <f t="shared" si="14"/>
        <v>0.8</v>
      </c>
      <c r="S150" s="156">
        <f t="shared" si="15"/>
        <v>9.9999999999999995E-8</v>
      </c>
      <c r="U150" s="140">
        <f t="shared" si="16"/>
        <v>4.4000000000000002E-6</v>
      </c>
      <c r="V150">
        <v>0.44</v>
      </c>
      <c r="W150" s="140">
        <f t="shared" si="17"/>
        <v>4.399999999999999E-8</v>
      </c>
      <c r="X150" s="140">
        <f t="shared" si="18"/>
        <v>8.7999999999999994E-8</v>
      </c>
      <c r="Y150" s="140">
        <f t="shared" si="19"/>
        <v>1.3199999999999999E-7</v>
      </c>
      <c r="Z150" s="140">
        <f t="shared" si="20"/>
        <v>1.7600000000000001E-7</v>
      </c>
      <c r="AA150" s="140">
        <f t="shared" si="21"/>
        <v>2.2000000000000001E-7</v>
      </c>
      <c r="AB150" s="157">
        <f t="shared" si="22"/>
        <v>0.8</v>
      </c>
      <c r="AC150" s="156">
        <f t="shared" si="23"/>
        <v>9.9999999999999995E-8</v>
      </c>
      <c r="AE150" s="140">
        <f t="shared" si="24"/>
        <v>4.4000000000000002E-6</v>
      </c>
      <c r="AF150">
        <v>0.44</v>
      </c>
      <c r="AG150" s="140">
        <f t="shared" si="25"/>
        <v>4.399999999999999E-8</v>
      </c>
      <c r="AH150" s="140">
        <f t="shared" si="26"/>
        <v>8.7999999999999994E-8</v>
      </c>
      <c r="AI150" s="140">
        <f t="shared" si="27"/>
        <v>1.3199999999999999E-7</v>
      </c>
      <c r="AJ150" s="140">
        <f t="shared" si="28"/>
        <v>1.7600000000000001E-7</v>
      </c>
      <c r="AK150" s="140">
        <f t="shared" si="29"/>
        <v>2.2000000000000001E-7</v>
      </c>
      <c r="AL150" s="157">
        <f t="shared" si="30"/>
        <v>1.2</v>
      </c>
      <c r="AM150" s="156">
        <f t="shared" si="31"/>
        <v>9.9999999999999995E-8</v>
      </c>
      <c r="AO150" s="140">
        <f t="shared" si="32"/>
        <v>4.4000000000000002E-6</v>
      </c>
      <c r="AP150">
        <v>0.44</v>
      </c>
      <c r="AQ150" s="140">
        <f t="shared" si="33"/>
        <v>4.399999999999999E-8</v>
      </c>
      <c r="AR150" s="140">
        <f t="shared" si="34"/>
        <v>8.7999999999999994E-8</v>
      </c>
      <c r="AS150" s="140">
        <f t="shared" si="35"/>
        <v>1.3199999999999999E-7</v>
      </c>
      <c r="AT150" s="140">
        <f t="shared" si="36"/>
        <v>1.7600000000000001E-7</v>
      </c>
      <c r="AU150" s="140">
        <f t="shared" si="37"/>
        <v>2.2000000000000001E-7</v>
      </c>
      <c r="AV150" s="157">
        <f t="shared" si="38"/>
        <v>1.2</v>
      </c>
      <c r="AW150" s="156">
        <f t="shared" si="39"/>
        <v>9.9999999999999995E-8</v>
      </c>
      <c r="AY150" s="140">
        <f t="shared" si="40"/>
        <v>4.4000000000000002E-6</v>
      </c>
      <c r="AZ150">
        <v>0.44</v>
      </c>
      <c r="BA150" s="140">
        <f t="shared" si="41"/>
        <v>4.399999999999999E-8</v>
      </c>
      <c r="BB150" s="140">
        <f t="shared" si="42"/>
        <v>8.7999999999999994E-8</v>
      </c>
      <c r="BC150" s="140">
        <f t="shared" si="43"/>
        <v>1.3199999999999999E-7</v>
      </c>
      <c r="BD150" s="140">
        <f t="shared" si="44"/>
        <v>1.7600000000000001E-7</v>
      </c>
      <c r="BE150" s="140">
        <f t="shared" si="45"/>
        <v>2.2000000000000001E-7</v>
      </c>
      <c r="BF150" s="157">
        <f>IF(AY150&lt;$B$89*DATA!$H$1037,DATA!$H$1037,IF(AY150&gt;DATA!$H$1036*$B$89,DATA!$H$1036,1))</f>
        <v>1.2</v>
      </c>
      <c r="BG150" s="156">
        <f t="shared" si="46"/>
        <v>9.9999999999999995E-8</v>
      </c>
      <c r="BI150" s="140">
        <f t="shared" si="47"/>
        <v>4.4000000000000002E-6</v>
      </c>
      <c r="BJ150">
        <v>0.44</v>
      </c>
      <c r="BK150" s="140">
        <f t="shared" si="48"/>
        <v>4.399999999999999E-8</v>
      </c>
      <c r="BL150" s="140">
        <f t="shared" si="49"/>
        <v>8.7999999999999994E-8</v>
      </c>
      <c r="BM150" s="140">
        <f t="shared" si="50"/>
        <v>1.3199999999999999E-7</v>
      </c>
      <c r="BN150" s="140">
        <f t="shared" si="51"/>
        <v>1.7600000000000001E-7</v>
      </c>
      <c r="BO150" s="140">
        <f t="shared" si="52"/>
        <v>2.2000000000000001E-7</v>
      </c>
      <c r="BP150" s="157">
        <f>IF(BI150&lt;$B$105*DATA!$H$1037,DATA!$H$1037,IF(BI150&gt;DATA!$H$1036*$B$105,DATA!$H$1036,1))</f>
        <v>1.2</v>
      </c>
      <c r="BQ150" s="156">
        <f t="shared" si="53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5"/>
        <v>9.2000000000000003E-8</v>
      </c>
      <c r="E151" s="140">
        <f t="shared" si="5"/>
        <v>1.3800000000000002E-7</v>
      </c>
      <c r="F151" s="140">
        <f t="shared" si="5"/>
        <v>1.8400000000000003E-7</v>
      </c>
      <c r="G151" s="140">
        <f t="shared" si="5"/>
        <v>2.3000000000000005E-7</v>
      </c>
      <c r="H151" s="124">
        <f t="shared" si="6"/>
        <v>0.8</v>
      </c>
      <c r="I151" s="156">
        <f t="shared" si="7"/>
        <v>9.9999999999999995E-8</v>
      </c>
      <c r="K151" s="140">
        <f t="shared" si="8"/>
        <v>4.6000000000000009E-6</v>
      </c>
      <c r="L151">
        <v>0.46</v>
      </c>
      <c r="M151" s="140">
        <f t="shared" si="9"/>
        <v>4.5999999999999995E-8</v>
      </c>
      <c r="N151" s="140">
        <f t="shared" si="10"/>
        <v>9.2000000000000003E-8</v>
      </c>
      <c r="O151" s="140">
        <f t="shared" si="11"/>
        <v>1.3800000000000002E-7</v>
      </c>
      <c r="P151" s="140">
        <f t="shared" si="12"/>
        <v>1.8400000000000003E-7</v>
      </c>
      <c r="Q151" s="140">
        <f t="shared" si="13"/>
        <v>2.3000000000000005E-7</v>
      </c>
      <c r="R151" s="157">
        <f t="shared" si="14"/>
        <v>0.8</v>
      </c>
      <c r="S151" s="156">
        <f t="shared" si="15"/>
        <v>9.9999999999999995E-8</v>
      </c>
      <c r="U151" s="140">
        <f t="shared" si="16"/>
        <v>4.6000000000000009E-6</v>
      </c>
      <c r="V151">
        <v>0.46</v>
      </c>
      <c r="W151" s="140">
        <f t="shared" si="17"/>
        <v>4.5999999999999995E-8</v>
      </c>
      <c r="X151" s="140">
        <f t="shared" si="18"/>
        <v>9.2000000000000003E-8</v>
      </c>
      <c r="Y151" s="140">
        <f t="shared" si="19"/>
        <v>1.3800000000000002E-7</v>
      </c>
      <c r="Z151" s="140">
        <f t="shared" si="20"/>
        <v>1.8400000000000003E-7</v>
      </c>
      <c r="AA151" s="140">
        <f t="shared" si="21"/>
        <v>2.3000000000000005E-7</v>
      </c>
      <c r="AB151" s="157">
        <f t="shared" si="22"/>
        <v>0.8</v>
      </c>
      <c r="AC151" s="156">
        <f t="shared" si="23"/>
        <v>9.9999999999999995E-8</v>
      </c>
      <c r="AE151" s="140">
        <f t="shared" si="24"/>
        <v>4.6000000000000009E-6</v>
      </c>
      <c r="AF151">
        <v>0.46</v>
      </c>
      <c r="AG151" s="140">
        <f t="shared" si="25"/>
        <v>4.5999999999999995E-8</v>
      </c>
      <c r="AH151" s="140">
        <f t="shared" si="26"/>
        <v>9.2000000000000003E-8</v>
      </c>
      <c r="AI151" s="140">
        <f t="shared" si="27"/>
        <v>1.3800000000000002E-7</v>
      </c>
      <c r="AJ151" s="140">
        <f t="shared" si="28"/>
        <v>1.8400000000000003E-7</v>
      </c>
      <c r="AK151" s="140">
        <f t="shared" si="29"/>
        <v>2.3000000000000005E-7</v>
      </c>
      <c r="AL151" s="157">
        <f t="shared" si="30"/>
        <v>1.2</v>
      </c>
      <c r="AM151" s="156">
        <f t="shared" si="31"/>
        <v>9.9999999999999995E-8</v>
      </c>
      <c r="AO151" s="140">
        <f t="shared" si="32"/>
        <v>4.6000000000000009E-6</v>
      </c>
      <c r="AP151">
        <v>0.46</v>
      </c>
      <c r="AQ151" s="140">
        <f t="shared" si="33"/>
        <v>4.5999999999999995E-8</v>
      </c>
      <c r="AR151" s="140">
        <f t="shared" si="34"/>
        <v>9.2000000000000003E-8</v>
      </c>
      <c r="AS151" s="140">
        <f t="shared" si="35"/>
        <v>1.3800000000000002E-7</v>
      </c>
      <c r="AT151" s="140">
        <f t="shared" si="36"/>
        <v>1.8400000000000003E-7</v>
      </c>
      <c r="AU151" s="140">
        <f t="shared" si="37"/>
        <v>2.3000000000000005E-7</v>
      </c>
      <c r="AV151" s="157">
        <f t="shared" si="38"/>
        <v>1.2</v>
      </c>
      <c r="AW151" s="156">
        <f t="shared" si="39"/>
        <v>9.9999999999999995E-8</v>
      </c>
      <c r="AY151" s="140">
        <f t="shared" si="40"/>
        <v>4.6000000000000009E-6</v>
      </c>
      <c r="AZ151">
        <v>0.46</v>
      </c>
      <c r="BA151" s="140">
        <f t="shared" si="41"/>
        <v>4.5999999999999995E-8</v>
      </c>
      <c r="BB151" s="140">
        <f t="shared" si="42"/>
        <v>9.2000000000000003E-8</v>
      </c>
      <c r="BC151" s="140">
        <f t="shared" si="43"/>
        <v>1.3800000000000002E-7</v>
      </c>
      <c r="BD151" s="140">
        <f t="shared" si="44"/>
        <v>1.8400000000000003E-7</v>
      </c>
      <c r="BE151" s="140">
        <f t="shared" si="45"/>
        <v>2.3000000000000005E-7</v>
      </c>
      <c r="BF151" s="157">
        <f>IF(AY151&lt;$B$89*DATA!$H$1037,DATA!$H$1037,IF(AY151&gt;DATA!$H$1036*$B$89,DATA!$H$1036,1))</f>
        <v>1.2</v>
      </c>
      <c r="BG151" s="156">
        <f t="shared" si="46"/>
        <v>9.9999999999999995E-8</v>
      </c>
      <c r="BI151" s="140">
        <f t="shared" si="47"/>
        <v>4.6000000000000009E-6</v>
      </c>
      <c r="BJ151">
        <v>0.46</v>
      </c>
      <c r="BK151" s="140">
        <f t="shared" si="48"/>
        <v>4.5999999999999995E-8</v>
      </c>
      <c r="BL151" s="140">
        <f t="shared" si="49"/>
        <v>9.2000000000000003E-8</v>
      </c>
      <c r="BM151" s="140">
        <f t="shared" si="50"/>
        <v>1.3800000000000002E-7</v>
      </c>
      <c r="BN151" s="140">
        <f t="shared" si="51"/>
        <v>1.8400000000000003E-7</v>
      </c>
      <c r="BO151" s="140">
        <f t="shared" si="52"/>
        <v>2.3000000000000005E-7</v>
      </c>
      <c r="BP151" s="157">
        <f>IF(BI151&lt;$B$105*DATA!$H$1037,DATA!$H$1037,IF(BI151&gt;DATA!$H$1036*$B$105,DATA!$H$1036,1))</f>
        <v>1.2</v>
      </c>
      <c r="BQ151" s="156">
        <f t="shared" si="53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5"/>
        <v>9.5999999999999999E-8</v>
      </c>
      <c r="E152" s="140">
        <f t="shared" si="5"/>
        <v>1.4400000000000002E-7</v>
      </c>
      <c r="F152" s="140">
        <f t="shared" si="5"/>
        <v>1.9200000000000003E-7</v>
      </c>
      <c r="G152" s="140">
        <f t="shared" si="5"/>
        <v>2.4000000000000003E-7</v>
      </c>
      <c r="H152" s="124">
        <f t="shared" si="6"/>
        <v>0.8</v>
      </c>
      <c r="I152" s="156">
        <f t="shared" si="7"/>
        <v>9.9999999999999995E-8</v>
      </c>
      <c r="K152" s="140">
        <f t="shared" si="8"/>
        <v>4.8000000000000006E-6</v>
      </c>
      <c r="L152">
        <v>0.48</v>
      </c>
      <c r="M152" s="140">
        <f t="shared" si="9"/>
        <v>4.7999999999999993E-8</v>
      </c>
      <c r="N152" s="140">
        <f t="shared" si="10"/>
        <v>9.5999999999999999E-8</v>
      </c>
      <c r="O152" s="140">
        <f t="shared" si="11"/>
        <v>1.4400000000000002E-7</v>
      </c>
      <c r="P152" s="140">
        <f t="shared" si="12"/>
        <v>1.9200000000000003E-7</v>
      </c>
      <c r="Q152" s="140">
        <f t="shared" si="13"/>
        <v>2.4000000000000003E-7</v>
      </c>
      <c r="R152" s="157">
        <f t="shared" si="14"/>
        <v>0.8</v>
      </c>
      <c r="S152" s="156">
        <f t="shared" si="15"/>
        <v>9.9999999999999995E-8</v>
      </c>
      <c r="U152" s="140">
        <f t="shared" si="16"/>
        <v>4.8000000000000006E-6</v>
      </c>
      <c r="V152">
        <v>0.48</v>
      </c>
      <c r="W152" s="140">
        <f t="shared" si="17"/>
        <v>4.7999999999999993E-8</v>
      </c>
      <c r="X152" s="140">
        <f t="shared" si="18"/>
        <v>9.5999999999999999E-8</v>
      </c>
      <c r="Y152" s="140">
        <f t="shared" si="19"/>
        <v>1.4400000000000002E-7</v>
      </c>
      <c r="Z152" s="140">
        <f t="shared" si="20"/>
        <v>1.9200000000000003E-7</v>
      </c>
      <c r="AA152" s="140">
        <f t="shared" si="21"/>
        <v>2.4000000000000003E-7</v>
      </c>
      <c r="AB152" s="157">
        <f t="shared" si="22"/>
        <v>0.8</v>
      </c>
      <c r="AC152" s="156">
        <f t="shared" si="23"/>
        <v>9.9999999999999995E-8</v>
      </c>
      <c r="AE152" s="140">
        <f t="shared" si="24"/>
        <v>4.8000000000000006E-6</v>
      </c>
      <c r="AF152">
        <v>0.48</v>
      </c>
      <c r="AG152" s="140">
        <f t="shared" si="25"/>
        <v>4.7999999999999993E-8</v>
      </c>
      <c r="AH152" s="140">
        <f t="shared" si="26"/>
        <v>9.5999999999999999E-8</v>
      </c>
      <c r="AI152" s="140">
        <f t="shared" si="27"/>
        <v>1.4400000000000002E-7</v>
      </c>
      <c r="AJ152" s="140">
        <f t="shared" si="28"/>
        <v>1.9200000000000003E-7</v>
      </c>
      <c r="AK152" s="140">
        <f t="shared" si="29"/>
        <v>2.4000000000000003E-7</v>
      </c>
      <c r="AL152" s="157">
        <f t="shared" si="30"/>
        <v>1.2</v>
      </c>
      <c r="AM152" s="156">
        <f t="shared" si="31"/>
        <v>9.9999999999999995E-8</v>
      </c>
      <c r="AO152" s="140">
        <f t="shared" si="32"/>
        <v>4.8000000000000006E-6</v>
      </c>
      <c r="AP152">
        <v>0.48</v>
      </c>
      <c r="AQ152" s="140">
        <f t="shared" si="33"/>
        <v>4.7999999999999993E-8</v>
      </c>
      <c r="AR152" s="140">
        <f t="shared" si="34"/>
        <v>9.5999999999999999E-8</v>
      </c>
      <c r="AS152" s="140">
        <f t="shared" si="35"/>
        <v>1.4400000000000002E-7</v>
      </c>
      <c r="AT152" s="140">
        <f t="shared" si="36"/>
        <v>1.9200000000000003E-7</v>
      </c>
      <c r="AU152" s="140">
        <f t="shared" si="37"/>
        <v>2.4000000000000003E-7</v>
      </c>
      <c r="AV152" s="157">
        <f t="shared" si="38"/>
        <v>1.2</v>
      </c>
      <c r="AW152" s="156">
        <f t="shared" si="39"/>
        <v>9.9999999999999995E-8</v>
      </c>
      <c r="AY152" s="140">
        <f t="shared" si="40"/>
        <v>4.8000000000000006E-6</v>
      </c>
      <c r="AZ152">
        <v>0.48</v>
      </c>
      <c r="BA152" s="140">
        <f t="shared" si="41"/>
        <v>4.7999999999999993E-8</v>
      </c>
      <c r="BB152" s="140">
        <f t="shared" si="42"/>
        <v>9.5999999999999999E-8</v>
      </c>
      <c r="BC152" s="140">
        <f t="shared" si="43"/>
        <v>1.4400000000000002E-7</v>
      </c>
      <c r="BD152" s="140">
        <f t="shared" si="44"/>
        <v>1.9200000000000003E-7</v>
      </c>
      <c r="BE152" s="140">
        <f t="shared" si="45"/>
        <v>2.4000000000000003E-7</v>
      </c>
      <c r="BF152" s="157">
        <f>IF(AY152&lt;$B$89*DATA!$H$1037,DATA!$H$1037,IF(AY152&gt;DATA!$H$1036*$B$89,DATA!$H$1036,1))</f>
        <v>1.2</v>
      </c>
      <c r="BG152" s="156">
        <f t="shared" si="46"/>
        <v>9.9999999999999995E-8</v>
      </c>
      <c r="BI152" s="140">
        <f t="shared" si="47"/>
        <v>4.8000000000000006E-6</v>
      </c>
      <c r="BJ152">
        <v>0.48</v>
      </c>
      <c r="BK152" s="140">
        <f t="shared" si="48"/>
        <v>4.7999999999999993E-8</v>
      </c>
      <c r="BL152" s="140">
        <f t="shared" si="49"/>
        <v>9.5999999999999999E-8</v>
      </c>
      <c r="BM152" s="140">
        <f t="shared" si="50"/>
        <v>1.4400000000000002E-7</v>
      </c>
      <c r="BN152" s="140">
        <f t="shared" si="51"/>
        <v>1.9200000000000003E-7</v>
      </c>
      <c r="BO152" s="140">
        <f t="shared" si="52"/>
        <v>2.4000000000000003E-7</v>
      </c>
      <c r="BP152" s="157">
        <f>IF(BI152&lt;$B$105*DATA!$H$1037,DATA!$H$1037,IF(BI152&gt;DATA!$H$1036*$B$105,DATA!$H$1036,1))</f>
        <v>1.2</v>
      </c>
      <c r="BQ152" s="156">
        <f t="shared" si="53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5"/>
        <v>9.9999999999999995E-8</v>
      </c>
      <c r="E153" s="140">
        <f t="shared" si="5"/>
        <v>1.5000000000000002E-7</v>
      </c>
      <c r="F153" s="140">
        <f t="shared" si="5"/>
        <v>2.0000000000000002E-7</v>
      </c>
      <c r="G153" s="140">
        <f t="shared" si="5"/>
        <v>2.5000000000000004E-7</v>
      </c>
      <c r="H153" s="124">
        <f t="shared" si="6"/>
        <v>0.8</v>
      </c>
      <c r="I153" s="156">
        <f t="shared" si="7"/>
        <v>9.9999999999999995E-8</v>
      </c>
      <c r="K153" s="140">
        <f t="shared" si="8"/>
        <v>5.0000000000000004E-6</v>
      </c>
      <c r="L153">
        <v>0.5</v>
      </c>
      <c r="M153" s="140">
        <f t="shared" si="9"/>
        <v>4.9999999999999985E-8</v>
      </c>
      <c r="N153" s="140">
        <f t="shared" si="10"/>
        <v>9.9999999999999995E-8</v>
      </c>
      <c r="O153" s="140">
        <f t="shared" si="11"/>
        <v>1.5000000000000002E-7</v>
      </c>
      <c r="P153" s="140">
        <f t="shared" si="12"/>
        <v>2.0000000000000002E-7</v>
      </c>
      <c r="Q153" s="140">
        <f t="shared" si="13"/>
        <v>2.5000000000000004E-7</v>
      </c>
      <c r="R153" s="157">
        <f t="shared" si="14"/>
        <v>0.8</v>
      </c>
      <c r="S153" s="156">
        <f t="shared" si="15"/>
        <v>9.9999999999999995E-8</v>
      </c>
      <c r="U153" s="140">
        <f t="shared" si="16"/>
        <v>5.0000000000000004E-6</v>
      </c>
      <c r="V153">
        <v>0.5</v>
      </c>
      <c r="W153" s="140">
        <f t="shared" si="17"/>
        <v>4.9999999999999985E-8</v>
      </c>
      <c r="X153" s="140">
        <f t="shared" si="18"/>
        <v>9.9999999999999995E-8</v>
      </c>
      <c r="Y153" s="140">
        <f t="shared" si="19"/>
        <v>1.5000000000000002E-7</v>
      </c>
      <c r="Z153" s="140">
        <f t="shared" si="20"/>
        <v>2.0000000000000002E-7</v>
      </c>
      <c r="AA153" s="140">
        <f t="shared" si="21"/>
        <v>2.5000000000000004E-7</v>
      </c>
      <c r="AB153" s="157">
        <f t="shared" si="22"/>
        <v>0.8</v>
      </c>
      <c r="AC153" s="156">
        <f t="shared" si="23"/>
        <v>9.9999999999999995E-8</v>
      </c>
      <c r="AE153" s="140">
        <f t="shared" si="24"/>
        <v>5.0000000000000004E-6</v>
      </c>
      <c r="AF153">
        <v>0.5</v>
      </c>
      <c r="AG153" s="140">
        <f t="shared" si="25"/>
        <v>4.9999999999999985E-8</v>
      </c>
      <c r="AH153" s="140">
        <f t="shared" si="26"/>
        <v>9.9999999999999995E-8</v>
      </c>
      <c r="AI153" s="140">
        <f t="shared" si="27"/>
        <v>1.5000000000000002E-7</v>
      </c>
      <c r="AJ153" s="140">
        <f t="shared" si="28"/>
        <v>2.0000000000000002E-7</v>
      </c>
      <c r="AK153" s="140">
        <f t="shared" si="29"/>
        <v>2.5000000000000004E-7</v>
      </c>
      <c r="AL153" s="157">
        <f t="shared" si="30"/>
        <v>1.2</v>
      </c>
      <c r="AM153" s="156">
        <f t="shared" si="31"/>
        <v>9.9999999999999995E-8</v>
      </c>
      <c r="AO153" s="140">
        <f t="shared" si="32"/>
        <v>5.0000000000000004E-6</v>
      </c>
      <c r="AP153">
        <v>0.5</v>
      </c>
      <c r="AQ153" s="140">
        <f t="shared" si="33"/>
        <v>4.9999999999999985E-8</v>
      </c>
      <c r="AR153" s="140">
        <f t="shared" si="34"/>
        <v>9.9999999999999995E-8</v>
      </c>
      <c r="AS153" s="140">
        <f t="shared" si="35"/>
        <v>1.5000000000000002E-7</v>
      </c>
      <c r="AT153" s="140">
        <f t="shared" si="36"/>
        <v>2.0000000000000002E-7</v>
      </c>
      <c r="AU153" s="140">
        <f t="shared" si="37"/>
        <v>2.5000000000000004E-7</v>
      </c>
      <c r="AV153" s="157">
        <f t="shared" si="38"/>
        <v>1.2</v>
      </c>
      <c r="AW153" s="156">
        <f t="shared" si="39"/>
        <v>9.9999999999999995E-8</v>
      </c>
      <c r="AY153" s="140">
        <f t="shared" si="40"/>
        <v>5.0000000000000004E-6</v>
      </c>
      <c r="AZ153">
        <v>0.5</v>
      </c>
      <c r="BA153" s="140">
        <f t="shared" si="41"/>
        <v>4.9999999999999985E-8</v>
      </c>
      <c r="BB153" s="140">
        <f t="shared" si="42"/>
        <v>9.9999999999999995E-8</v>
      </c>
      <c r="BC153" s="140">
        <f t="shared" si="43"/>
        <v>1.5000000000000002E-7</v>
      </c>
      <c r="BD153" s="140">
        <f t="shared" si="44"/>
        <v>2.0000000000000002E-7</v>
      </c>
      <c r="BE153" s="140">
        <f t="shared" si="45"/>
        <v>2.5000000000000004E-7</v>
      </c>
      <c r="BF153" s="157">
        <f>IF(AY153&lt;$B$89*DATA!$H$1037,DATA!$H$1037,IF(AY153&gt;DATA!$H$1036*$B$89,DATA!$H$1036,1))</f>
        <v>1.2</v>
      </c>
      <c r="BG153" s="156">
        <f t="shared" si="46"/>
        <v>9.9999999999999995E-8</v>
      </c>
      <c r="BI153" s="140">
        <f t="shared" si="47"/>
        <v>5.0000000000000004E-6</v>
      </c>
      <c r="BJ153">
        <v>0.5</v>
      </c>
      <c r="BK153" s="140">
        <f t="shared" si="48"/>
        <v>4.9999999999999985E-8</v>
      </c>
      <c r="BL153" s="140">
        <f t="shared" si="49"/>
        <v>9.9999999999999995E-8</v>
      </c>
      <c r="BM153" s="140">
        <f t="shared" si="50"/>
        <v>1.5000000000000002E-7</v>
      </c>
      <c r="BN153" s="140">
        <f t="shared" si="51"/>
        <v>2.0000000000000002E-7</v>
      </c>
      <c r="BO153" s="140">
        <f t="shared" si="52"/>
        <v>2.5000000000000004E-7</v>
      </c>
      <c r="BP153" s="157">
        <f>IF(BI153&lt;$B$105*DATA!$H$1037,DATA!$H$1037,IF(BI153&gt;DATA!$H$1036*$B$105,DATA!$H$1036,1))</f>
        <v>1.2</v>
      </c>
      <c r="BQ153" s="156">
        <f t="shared" si="53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5"/>
        <v>1.0399999999999999E-7</v>
      </c>
      <c r="E154" s="140">
        <f t="shared" si="5"/>
        <v>1.5599999999999999E-7</v>
      </c>
      <c r="F154" s="140">
        <f t="shared" si="5"/>
        <v>2.0800000000000001E-7</v>
      </c>
      <c r="G154" s="140">
        <f t="shared" si="5"/>
        <v>2.6E-7</v>
      </c>
      <c r="H154" s="124">
        <f t="shared" si="6"/>
        <v>0.8</v>
      </c>
      <c r="I154" s="156">
        <f t="shared" si="7"/>
        <v>9.9999999999999995E-8</v>
      </c>
      <c r="K154" s="140">
        <f t="shared" si="8"/>
        <v>5.2000000000000002E-6</v>
      </c>
      <c r="L154">
        <v>0.52</v>
      </c>
      <c r="M154" s="140">
        <f t="shared" si="9"/>
        <v>5.1999999999999983E-8</v>
      </c>
      <c r="N154" s="140">
        <f t="shared" si="10"/>
        <v>1.0399999999999999E-7</v>
      </c>
      <c r="O154" s="140">
        <f t="shared" si="11"/>
        <v>1.5599999999999999E-7</v>
      </c>
      <c r="P154" s="140">
        <f t="shared" si="12"/>
        <v>2.0800000000000001E-7</v>
      </c>
      <c r="Q154" s="140">
        <f t="shared" si="13"/>
        <v>2.6E-7</v>
      </c>
      <c r="R154" s="157">
        <f t="shared" si="14"/>
        <v>0.8</v>
      </c>
      <c r="S154" s="156">
        <f t="shared" si="15"/>
        <v>9.9999999999999995E-8</v>
      </c>
      <c r="U154" s="140">
        <f t="shared" si="16"/>
        <v>5.2000000000000002E-6</v>
      </c>
      <c r="V154">
        <v>0.52</v>
      </c>
      <c r="W154" s="140">
        <f t="shared" si="17"/>
        <v>5.1999999999999983E-8</v>
      </c>
      <c r="X154" s="140">
        <f t="shared" si="18"/>
        <v>1.0399999999999999E-7</v>
      </c>
      <c r="Y154" s="140">
        <f t="shared" si="19"/>
        <v>1.5599999999999999E-7</v>
      </c>
      <c r="Z154" s="140">
        <f t="shared" si="20"/>
        <v>2.0800000000000001E-7</v>
      </c>
      <c r="AA154" s="140">
        <f t="shared" si="21"/>
        <v>2.6E-7</v>
      </c>
      <c r="AB154" s="157">
        <f t="shared" si="22"/>
        <v>0.8</v>
      </c>
      <c r="AC154" s="156">
        <f t="shared" si="23"/>
        <v>9.9999999999999995E-8</v>
      </c>
      <c r="AE154" s="140">
        <f t="shared" si="24"/>
        <v>5.2000000000000002E-6</v>
      </c>
      <c r="AF154">
        <v>0.52</v>
      </c>
      <c r="AG154" s="140">
        <f t="shared" si="25"/>
        <v>5.1999999999999983E-8</v>
      </c>
      <c r="AH154" s="140">
        <f t="shared" si="26"/>
        <v>1.0399999999999999E-7</v>
      </c>
      <c r="AI154" s="140">
        <f t="shared" si="27"/>
        <v>1.5599999999999999E-7</v>
      </c>
      <c r="AJ154" s="140">
        <f t="shared" si="28"/>
        <v>2.0800000000000001E-7</v>
      </c>
      <c r="AK154" s="140">
        <f t="shared" si="29"/>
        <v>2.6E-7</v>
      </c>
      <c r="AL154" s="157">
        <f t="shared" si="30"/>
        <v>1.2</v>
      </c>
      <c r="AM154" s="156">
        <f t="shared" si="31"/>
        <v>9.9999999999999995E-8</v>
      </c>
      <c r="AO154" s="140">
        <f t="shared" si="32"/>
        <v>5.2000000000000002E-6</v>
      </c>
      <c r="AP154">
        <v>0.52</v>
      </c>
      <c r="AQ154" s="140">
        <f t="shared" si="33"/>
        <v>5.1999999999999983E-8</v>
      </c>
      <c r="AR154" s="140">
        <f t="shared" si="34"/>
        <v>1.0399999999999999E-7</v>
      </c>
      <c r="AS154" s="140">
        <f t="shared" si="35"/>
        <v>1.5599999999999999E-7</v>
      </c>
      <c r="AT154" s="140">
        <f t="shared" si="36"/>
        <v>2.0800000000000001E-7</v>
      </c>
      <c r="AU154" s="140">
        <f t="shared" si="37"/>
        <v>2.6E-7</v>
      </c>
      <c r="AV154" s="157">
        <f t="shared" si="38"/>
        <v>1.2</v>
      </c>
      <c r="AW154" s="156">
        <f t="shared" si="39"/>
        <v>9.9999999999999995E-8</v>
      </c>
      <c r="AY154" s="140">
        <f t="shared" si="40"/>
        <v>5.2000000000000002E-6</v>
      </c>
      <c r="AZ154">
        <v>0.52</v>
      </c>
      <c r="BA154" s="140">
        <f t="shared" si="41"/>
        <v>5.1999999999999983E-8</v>
      </c>
      <c r="BB154" s="140">
        <f t="shared" si="42"/>
        <v>1.0399999999999999E-7</v>
      </c>
      <c r="BC154" s="140">
        <f t="shared" si="43"/>
        <v>1.5599999999999999E-7</v>
      </c>
      <c r="BD154" s="140">
        <f t="shared" si="44"/>
        <v>2.0800000000000001E-7</v>
      </c>
      <c r="BE154" s="140">
        <f t="shared" si="45"/>
        <v>2.6E-7</v>
      </c>
      <c r="BF154" s="157">
        <f>IF(AY154&lt;$B$89*DATA!$H$1037,DATA!$H$1037,IF(AY154&gt;DATA!$H$1036*$B$89,DATA!$H$1036,1))</f>
        <v>1.2</v>
      </c>
      <c r="BG154" s="156">
        <f t="shared" si="46"/>
        <v>9.9999999999999995E-8</v>
      </c>
      <c r="BI154" s="140">
        <f t="shared" si="47"/>
        <v>5.2000000000000002E-6</v>
      </c>
      <c r="BJ154">
        <v>0.52</v>
      </c>
      <c r="BK154" s="140">
        <f t="shared" si="48"/>
        <v>5.1999999999999983E-8</v>
      </c>
      <c r="BL154" s="140">
        <f t="shared" si="49"/>
        <v>1.0399999999999999E-7</v>
      </c>
      <c r="BM154" s="140">
        <f t="shared" si="50"/>
        <v>1.5599999999999999E-7</v>
      </c>
      <c r="BN154" s="140">
        <f t="shared" si="51"/>
        <v>2.0800000000000001E-7</v>
      </c>
      <c r="BO154" s="140">
        <f t="shared" si="52"/>
        <v>2.6E-7</v>
      </c>
      <c r="BP154" s="157">
        <f>IF(BI154&lt;$B$105*DATA!$H$1037,DATA!$H$1037,IF(BI154&gt;DATA!$H$1036*$B$105,DATA!$H$1036,1))</f>
        <v>1.2</v>
      </c>
      <c r="BQ154" s="156">
        <f t="shared" si="53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5"/>
        <v>1.08E-7</v>
      </c>
      <c r="E155" s="140">
        <f t="shared" si="5"/>
        <v>1.6200000000000002E-7</v>
      </c>
      <c r="F155" s="140">
        <f t="shared" si="5"/>
        <v>2.1600000000000003E-7</v>
      </c>
      <c r="G155" s="140">
        <f t="shared" si="5"/>
        <v>2.7000000000000006E-7</v>
      </c>
      <c r="H155" s="124">
        <f t="shared" si="6"/>
        <v>0.8</v>
      </c>
      <c r="I155" s="156">
        <f t="shared" si="7"/>
        <v>9.9999999999999995E-8</v>
      </c>
      <c r="K155" s="140">
        <f t="shared" si="8"/>
        <v>5.4000000000000008E-6</v>
      </c>
      <c r="L155">
        <v>0.54</v>
      </c>
      <c r="M155" s="140">
        <f t="shared" si="9"/>
        <v>5.3999999999999987E-8</v>
      </c>
      <c r="N155" s="140">
        <f t="shared" si="10"/>
        <v>1.08E-7</v>
      </c>
      <c r="O155" s="140">
        <f t="shared" si="11"/>
        <v>1.6200000000000002E-7</v>
      </c>
      <c r="P155" s="140">
        <f t="shared" si="12"/>
        <v>2.1600000000000003E-7</v>
      </c>
      <c r="Q155" s="140">
        <f t="shared" si="13"/>
        <v>2.7000000000000006E-7</v>
      </c>
      <c r="R155" s="157">
        <f t="shared" si="14"/>
        <v>0.8</v>
      </c>
      <c r="S155" s="156">
        <f t="shared" si="15"/>
        <v>9.9999999999999995E-8</v>
      </c>
      <c r="U155" s="140">
        <f t="shared" si="16"/>
        <v>5.4000000000000008E-6</v>
      </c>
      <c r="V155">
        <v>0.54</v>
      </c>
      <c r="W155" s="140">
        <f t="shared" si="17"/>
        <v>5.3999999999999987E-8</v>
      </c>
      <c r="X155" s="140">
        <f t="shared" si="18"/>
        <v>1.08E-7</v>
      </c>
      <c r="Y155" s="140">
        <f t="shared" si="19"/>
        <v>1.6200000000000002E-7</v>
      </c>
      <c r="Z155" s="140">
        <f t="shared" si="20"/>
        <v>2.1600000000000003E-7</v>
      </c>
      <c r="AA155" s="140">
        <f t="shared" si="21"/>
        <v>2.7000000000000006E-7</v>
      </c>
      <c r="AB155" s="157">
        <f t="shared" si="22"/>
        <v>0.8</v>
      </c>
      <c r="AC155" s="156">
        <f t="shared" si="23"/>
        <v>9.9999999999999995E-8</v>
      </c>
      <c r="AE155" s="140">
        <f t="shared" si="24"/>
        <v>5.4000000000000008E-6</v>
      </c>
      <c r="AF155">
        <v>0.54</v>
      </c>
      <c r="AG155" s="140">
        <f t="shared" si="25"/>
        <v>5.3999999999999987E-8</v>
      </c>
      <c r="AH155" s="140">
        <f t="shared" si="26"/>
        <v>1.08E-7</v>
      </c>
      <c r="AI155" s="140">
        <f t="shared" si="27"/>
        <v>1.6200000000000002E-7</v>
      </c>
      <c r="AJ155" s="140">
        <f t="shared" si="28"/>
        <v>2.1600000000000003E-7</v>
      </c>
      <c r="AK155" s="140">
        <f t="shared" si="29"/>
        <v>2.7000000000000006E-7</v>
      </c>
      <c r="AL155" s="157">
        <f t="shared" si="30"/>
        <v>1.2</v>
      </c>
      <c r="AM155" s="156">
        <f t="shared" si="31"/>
        <v>9.9999999999999995E-8</v>
      </c>
      <c r="AO155" s="140">
        <f t="shared" si="32"/>
        <v>5.4000000000000008E-6</v>
      </c>
      <c r="AP155">
        <v>0.54</v>
      </c>
      <c r="AQ155" s="140">
        <f t="shared" si="33"/>
        <v>5.3999999999999987E-8</v>
      </c>
      <c r="AR155" s="140">
        <f t="shared" si="34"/>
        <v>1.08E-7</v>
      </c>
      <c r="AS155" s="140">
        <f t="shared" si="35"/>
        <v>1.6200000000000002E-7</v>
      </c>
      <c r="AT155" s="140">
        <f t="shared" si="36"/>
        <v>2.1600000000000003E-7</v>
      </c>
      <c r="AU155" s="140">
        <f t="shared" si="37"/>
        <v>2.7000000000000006E-7</v>
      </c>
      <c r="AV155" s="157">
        <f t="shared" si="38"/>
        <v>1.2</v>
      </c>
      <c r="AW155" s="156">
        <f t="shared" si="39"/>
        <v>9.9999999999999995E-8</v>
      </c>
      <c r="AY155" s="140">
        <f t="shared" si="40"/>
        <v>5.4000000000000008E-6</v>
      </c>
      <c r="AZ155">
        <v>0.54</v>
      </c>
      <c r="BA155" s="140">
        <f t="shared" si="41"/>
        <v>5.3999999999999987E-8</v>
      </c>
      <c r="BB155" s="140">
        <f t="shared" si="42"/>
        <v>1.08E-7</v>
      </c>
      <c r="BC155" s="140">
        <f t="shared" si="43"/>
        <v>1.6200000000000002E-7</v>
      </c>
      <c r="BD155" s="140">
        <f t="shared" si="44"/>
        <v>2.1600000000000003E-7</v>
      </c>
      <c r="BE155" s="140">
        <f t="shared" si="45"/>
        <v>2.7000000000000006E-7</v>
      </c>
      <c r="BF155" s="157">
        <f>IF(AY155&lt;$B$89*DATA!$H$1037,DATA!$H$1037,IF(AY155&gt;DATA!$H$1036*$B$89,DATA!$H$1036,1))</f>
        <v>1.2</v>
      </c>
      <c r="BG155" s="156">
        <f t="shared" si="46"/>
        <v>9.9999999999999995E-8</v>
      </c>
      <c r="BI155" s="140">
        <f t="shared" si="47"/>
        <v>5.4000000000000008E-6</v>
      </c>
      <c r="BJ155">
        <v>0.54</v>
      </c>
      <c r="BK155" s="140">
        <f t="shared" si="48"/>
        <v>5.3999999999999987E-8</v>
      </c>
      <c r="BL155" s="140">
        <f t="shared" si="49"/>
        <v>1.08E-7</v>
      </c>
      <c r="BM155" s="140">
        <f t="shared" si="50"/>
        <v>1.6200000000000002E-7</v>
      </c>
      <c r="BN155" s="140">
        <f t="shared" si="51"/>
        <v>2.1600000000000003E-7</v>
      </c>
      <c r="BO155" s="140">
        <f t="shared" si="52"/>
        <v>2.7000000000000006E-7</v>
      </c>
      <c r="BP155" s="157">
        <f>IF(BI155&lt;$B$105*DATA!$H$1037,DATA!$H$1037,IF(BI155&gt;DATA!$H$1036*$B$105,DATA!$H$1036,1))</f>
        <v>1.2</v>
      </c>
      <c r="BQ155" s="156">
        <f t="shared" si="53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5"/>
        <v>1.12E-7</v>
      </c>
      <c r="E156" s="140">
        <f t="shared" si="5"/>
        <v>1.6800000000000002E-7</v>
      </c>
      <c r="F156" s="140">
        <f t="shared" si="5"/>
        <v>2.2400000000000002E-7</v>
      </c>
      <c r="G156" s="140">
        <f t="shared" si="5"/>
        <v>2.8000000000000002E-7</v>
      </c>
      <c r="H156" s="124">
        <f t="shared" si="6"/>
        <v>0.8</v>
      </c>
      <c r="I156" s="156">
        <f t="shared" si="7"/>
        <v>9.9999999999999995E-8</v>
      </c>
      <c r="K156" s="140">
        <f t="shared" si="8"/>
        <v>5.6000000000000006E-6</v>
      </c>
      <c r="L156">
        <v>0.56000000000000005</v>
      </c>
      <c r="M156" s="140">
        <f t="shared" si="9"/>
        <v>5.5999999999999985E-8</v>
      </c>
      <c r="N156" s="140">
        <f t="shared" si="10"/>
        <v>1.12E-7</v>
      </c>
      <c r="O156" s="140">
        <f t="shared" si="11"/>
        <v>1.6800000000000002E-7</v>
      </c>
      <c r="P156" s="140">
        <f t="shared" si="12"/>
        <v>2.2400000000000002E-7</v>
      </c>
      <c r="Q156" s="140">
        <f t="shared" si="13"/>
        <v>2.8000000000000002E-7</v>
      </c>
      <c r="R156" s="157">
        <f t="shared" si="14"/>
        <v>0.8</v>
      </c>
      <c r="S156" s="156">
        <f t="shared" si="15"/>
        <v>9.9999999999999995E-8</v>
      </c>
      <c r="U156" s="140">
        <f t="shared" si="16"/>
        <v>5.6000000000000006E-6</v>
      </c>
      <c r="V156">
        <v>0.56000000000000005</v>
      </c>
      <c r="W156" s="140">
        <f t="shared" si="17"/>
        <v>5.5999999999999985E-8</v>
      </c>
      <c r="X156" s="140">
        <f t="shared" si="18"/>
        <v>1.12E-7</v>
      </c>
      <c r="Y156" s="140">
        <f t="shared" si="19"/>
        <v>1.6800000000000002E-7</v>
      </c>
      <c r="Z156" s="140">
        <f t="shared" si="20"/>
        <v>2.2400000000000002E-7</v>
      </c>
      <c r="AA156" s="140">
        <f t="shared" si="21"/>
        <v>2.8000000000000002E-7</v>
      </c>
      <c r="AB156" s="157">
        <f t="shared" si="22"/>
        <v>0.8</v>
      </c>
      <c r="AC156" s="156">
        <f t="shared" si="23"/>
        <v>9.9999999999999995E-8</v>
      </c>
      <c r="AE156" s="140">
        <f t="shared" si="24"/>
        <v>5.6000000000000006E-6</v>
      </c>
      <c r="AF156">
        <v>0.56000000000000005</v>
      </c>
      <c r="AG156" s="140">
        <f t="shared" si="25"/>
        <v>5.5999999999999985E-8</v>
      </c>
      <c r="AH156" s="140">
        <f t="shared" si="26"/>
        <v>1.12E-7</v>
      </c>
      <c r="AI156" s="140">
        <f t="shared" si="27"/>
        <v>1.6800000000000002E-7</v>
      </c>
      <c r="AJ156" s="140">
        <f t="shared" si="28"/>
        <v>2.2400000000000002E-7</v>
      </c>
      <c r="AK156" s="140">
        <f t="shared" si="29"/>
        <v>2.8000000000000002E-7</v>
      </c>
      <c r="AL156" s="157">
        <f t="shared" si="30"/>
        <v>1.2</v>
      </c>
      <c r="AM156" s="156">
        <f t="shared" si="31"/>
        <v>9.9999999999999995E-8</v>
      </c>
      <c r="AO156" s="140">
        <f t="shared" si="32"/>
        <v>5.6000000000000006E-6</v>
      </c>
      <c r="AP156">
        <v>0.56000000000000005</v>
      </c>
      <c r="AQ156" s="140">
        <f t="shared" si="33"/>
        <v>5.5999999999999985E-8</v>
      </c>
      <c r="AR156" s="140">
        <f t="shared" si="34"/>
        <v>1.12E-7</v>
      </c>
      <c r="AS156" s="140">
        <f t="shared" si="35"/>
        <v>1.6800000000000002E-7</v>
      </c>
      <c r="AT156" s="140">
        <f t="shared" si="36"/>
        <v>2.2400000000000002E-7</v>
      </c>
      <c r="AU156" s="140">
        <f t="shared" si="37"/>
        <v>2.8000000000000002E-7</v>
      </c>
      <c r="AV156" s="157">
        <f t="shared" si="38"/>
        <v>1.2</v>
      </c>
      <c r="AW156" s="156">
        <f t="shared" si="39"/>
        <v>9.9999999999999995E-8</v>
      </c>
      <c r="AY156" s="140">
        <f t="shared" si="40"/>
        <v>5.6000000000000006E-6</v>
      </c>
      <c r="AZ156">
        <v>0.56000000000000005</v>
      </c>
      <c r="BA156" s="140">
        <f t="shared" si="41"/>
        <v>5.5999999999999985E-8</v>
      </c>
      <c r="BB156" s="140">
        <f t="shared" si="42"/>
        <v>1.12E-7</v>
      </c>
      <c r="BC156" s="140">
        <f t="shared" si="43"/>
        <v>1.6800000000000002E-7</v>
      </c>
      <c r="BD156" s="140">
        <f t="shared" si="44"/>
        <v>2.2400000000000002E-7</v>
      </c>
      <c r="BE156" s="140">
        <f t="shared" si="45"/>
        <v>2.8000000000000002E-7</v>
      </c>
      <c r="BF156" s="157">
        <f>IF(AY156&lt;$B$89*DATA!$H$1037,DATA!$H$1037,IF(AY156&gt;DATA!$H$1036*$B$89,DATA!$H$1036,1))</f>
        <v>1.2</v>
      </c>
      <c r="BG156" s="156">
        <f t="shared" si="46"/>
        <v>9.9999999999999995E-8</v>
      </c>
      <c r="BI156" s="140">
        <f t="shared" si="47"/>
        <v>5.6000000000000006E-6</v>
      </c>
      <c r="BJ156">
        <v>0.56000000000000005</v>
      </c>
      <c r="BK156" s="140">
        <f t="shared" si="48"/>
        <v>5.5999999999999985E-8</v>
      </c>
      <c r="BL156" s="140">
        <f t="shared" si="49"/>
        <v>1.12E-7</v>
      </c>
      <c r="BM156" s="140">
        <f t="shared" si="50"/>
        <v>1.6800000000000002E-7</v>
      </c>
      <c r="BN156" s="140">
        <f t="shared" si="51"/>
        <v>2.2400000000000002E-7</v>
      </c>
      <c r="BO156" s="140">
        <f t="shared" si="52"/>
        <v>2.8000000000000002E-7</v>
      </c>
      <c r="BP156" s="157">
        <f>IF(BI156&lt;$B$105*DATA!$H$1037,DATA!$H$1037,IF(BI156&gt;DATA!$H$1036*$B$105,DATA!$H$1036,1))</f>
        <v>1.2</v>
      </c>
      <c r="BQ156" s="156">
        <f t="shared" si="53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5"/>
        <v>1.1599999999999999E-7</v>
      </c>
      <c r="E157" s="140">
        <f t="shared" si="5"/>
        <v>1.74E-7</v>
      </c>
      <c r="F157" s="140">
        <f t="shared" si="5"/>
        <v>2.3200000000000001E-7</v>
      </c>
      <c r="G157" s="140">
        <f t="shared" si="5"/>
        <v>2.9000000000000003E-7</v>
      </c>
      <c r="H157" s="124">
        <f t="shared" si="6"/>
        <v>0.8</v>
      </c>
      <c r="I157" s="156">
        <f t="shared" si="7"/>
        <v>9.9999999999999995E-8</v>
      </c>
      <c r="K157" s="140">
        <f t="shared" si="8"/>
        <v>5.8000000000000004E-6</v>
      </c>
      <c r="L157">
        <v>0.57999999999999996</v>
      </c>
      <c r="M157" s="140">
        <f t="shared" si="9"/>
        <v>5.7999999999999983E-8</v>
      </c>
      <c r="N157" s="140">
        <f t="shared" si="10"/>
        <v>1.1599999999999999E-7</v>
      </c>
      <c r="O157" s="140">
        <f t="shared" si="11"/>
        <v>1.74E-7</v>
      </c>
      <c r="P157" s="140">
        <f t="shared" si="12"/>
        <v>2.3200000000000001E-7</v>
      </c>
      <c r="Q157" s="140">
        <f t="shared" si="13"/>
        <v>2.9000000000000003E-7</v>
      </c>
      <c r="R157" s="157">
        <f t="shared" si="14"/>
        <v>0.8</v>
      </c>
      <c r="S157" s="156">
        <f t="shared" si="15"/>
        <v>9.9999999999999995E-8</v>
      </c>
      <c r="U157" s="140">
        <f t="shared" si="16"/>
        <v>5.8000000000000004E-6</v>
      </c>
      <c r="V157">
        <v>0.57999999999999996</v>
      </c>
      <c r="W157" s="140">
        <f t="shared" si="17"/>
        <v>5.7999999999999983E-8</v>
      </c>
      <c r="X157" s="140">
        <f t="shared" si="18"/>
        <v>1.1599999999999999E-7</v>
      </c>
      <c r="Y157" s="140">
        <f t="shared" si="19"/>
        <v>1.74E-7</v>
      </c>
      <c r="Z157" s="140">
        <f t="shared" si="20"/>
        <v>2.3200000000000001E-7</v>
      </c>
      <c r="AA157" s="140">
        <f t="shared" si="21"/>
        <v>2.9000000000000003E-7</v>
      </c>
      <c r="AB157" s="157">
        <f t="shared" si="22"/>
        <v>0.8</v>
      </c>
      <c r="AC157" s="156">
        <f t="shared" si="23"/>
        <v>9.9999999999999995E-8</v>
      </c>
      <c r="AE157" s="140">
        <f t="shared" si="24"/>
        <v>5.8000000000000004E-6</v>
      </c>
      <c r="AF157">
        <v>0.57999999999999996</v>
      </c>
      <c r="AG157" s="140">
        <f t="shared" si="25"/>
        <v>5.7999999999999983E-8</v>
      </c>
      <c r="AH157" s="140">
        <f t="shared" si="26"/>
        <v>1.1599999999999999E-7</v>
      </c>
      <c r="AI157" s="140">
        <f t="shared" si="27"/>
        <v>1.74E-7</v>
      </c>
      <c r="AJ157" s="140">
        <f t="shared" si="28"/>
        <v>2.3200000000000001E-7</v>
      </c>
      <c r="AK157" s="140">
        <f t="shared" si="29"/>
        <v>2.9000000000000003E-7</v>
      </c>
      <c r="AL157" s="157">
        <f t="shared" si="30"/>
        <v>1.2</v>
      </c>
      <c r="AM157" s="156">
        <f t="shared" si="31"/>
        <v>9.9999999999999995E-8</v>
      </c>
      <c r="AO157" s="140">
        <f t="shared" si="32"/>
        <v>5.8000000000000004E-6</v>
      </c>
      <c r="AP157">
        <v>0.57999999999999996</v>
      </c>
      <c r="AQ157" s="140">
        <f t="shared" si="33"/>
        <v>5.7999999999999983E-8</v>
      </c>
      <c r="AR157" s="140">
        <f t="shared" si="34"/>
        <v>1.1599999999999999E-7</v>
      </c>
      <c r="AS157" s="140">
        <f t="shared" si="35"/>
        <v>1.74E-7</v>
      </c>
      <c r="AT157" s="140">
        <f t="shared" si="36"/>
        <v>2.3200000000000001E-7</v>
      </c>
      <c r="AU157" s="140">
        <f t="shared" si="37"/>
        <v>2.9000000000000003E-7</v>
      </c>
      <c r="AV157" s="157">
        <f t="shared" si="38"/>
        <v>1.2</v>
      </c>
      <c r="AW157" s="156">
        <f t="shared" si="39"/>
        <v>9.9999999999999995E-8</v>
      </c>
      <c r="AY157" s="140">
        <f t="shared" si="40"/>
        <v>5.8000000000000004E-6</v>
      </c>
      <c r="AZ157">
        <v>0.57999999999999996</v>
      </c>
      <c r="BA157" s="140">
        <f t="shared" si="41"/>
        <v>5.7999999999999983E-8</v>
      </c>
      <c r="BB157" s="140">
        <f t="shared" si="42"/>
        <v>1.1599999999999999E-7</v>
      </c>
      <c r="BC157" s="140">
        <f t="shared" si="43"/>
        <v>1.74E-7</v>
      </c>
      <c r="BD157" s="140">
        <f t="shared" si="44"/>
        <v>2.3200000000000001E-7</v>
      </c>
      <c r="BE157" s="140">
        <f t="shared" si="45"/>
        <v>2.9000000000000003E-7</v>
      </c>
      <c r="BF157" s="157">
        <f>IF(AY157&lt;$B$89*DATA!$H$1037,DATA!$H$1037,IF(AY157&gt;DATA!$H$1036*$B$89,DATA!$H$1036,1))</f>
        <v>1.2</v>
      </c>
      <c r="BG157" s="156">
        <f t="shared" si="46"/>
        <v>9.9999999999999995E-8</v>
      </c>
      <c r="BI157" s="140">
        <f t="shared" si="47"/>
        <v>5.8000000000000004E-6</v>
      </c>
      <c r="BJ157">
        <v>0.57999999999999996</v>
      </c>
      <c r="BK157" s="140">
        <f t="shared" si="48"/>
        <v>5.7999999999999983E-8</v>
      </c>
      <c r="BL157" s="140">
        <f t="shared" si="49"/>
        <v>1.1599999999999999E-7</v>
      </c>
      <c r="BM157" s="140">
        <f t="shared" si="50"/>
        <v>1.74E-7</v>
      </c>
      <c r="BN157" s="140">
        <f t="shared" si="51"/>
        <v>2.3200000000000001E-7</v>
      </c>
      <c r="BO157" s="140">
        <f t="shared" si="52"/>
        <v>2.9000000000000003E-7</v>
      </c>
      <c r="BP157" s="157">
        <f>IF(BI157&lt;$B$105*DATA!$H$1037,DATA!$H$1037,IF(BI157&gt;DATA!$H$1036*$B$105,DATA!$H$1036,1))</f>
        <v>1.2</v>
      </c>
      <c r="BQ157" s="156">
        <f t="shared" si="53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5"/>
        <v>1.1999999999999999E-7</v>
      </c>
      <c r="E158" s="140">
        <f t="shared" si="5"/>
        <v>1.8E-7</v>
      </c>
      <c r="F158" s="140">
        <f t="shared" si="5"/>
        <v>2.4000000000000003E-7</v>
      </c>
      <c r="G158" s="140">
        <f t="shared" si="5"/>
        <v>3.0000000000000004E-7</v>
      </c>
      <c r="H158" s="124">
        <f t="shared" si="6"/>
        <v>0.8</v>
      </c>
      <c r="I158" s="156">
        <f t="shared" si="7"/>
        <v>9.9999999999999995E-8</v>
      </c>
      <c r="K158" s="140">
        <f t="shared" si="8"/>
        <v>6.0000000000000002E-6</v>
      </c>
      <c r="L158">
        <v>0.6</v>
      </c>
      <c r="M158" s="140">
        <f t="shared" si="9"/>
        <v>5.9999999999999981E-8</v>
      </c>
      <c r="N158" s="140">
        <f t="shared" si="10"/>
        <v>1.1999999999999999E-7</v>
      </c>
      <c r="O158" s="140">
        <f t="shared" si="11"/>
        <v>1.8E-7</v>
      </c>
      <c r="P158" s="140">
        <f t="shared" si="12"/>
        <v>2.4000000000000003E-7</v>
      </c>
      <c r="Q158" s="140">
        <f t="shared" si="13"/>
        <v>3.0000000000000004E-7</v>
      </c>
      <c r="R158" s="157">
        <f t="shared" si="14"/>
        <v>0.8</v>
      </c>
      <c r="S158" s="156">
        <f t="shared" si="15"/>
        <v>9.9999999999999995E-8</v>
      </c>
      <c r="U158" s="140">
        <f t="shared" si="16"/>
        <v>6.0000000000000002E-6</v>
      </c>
      <c r="V158">
        <v>0.6</v>
      </c>
      <c r="W158" s="140">
        <f t="shared" si="17"/>
        <v>5.9999999999999981E-8</v>
      </c>
      <c r="X158" s="140">
        <f t="shared" si="18"/>
        <v>1.1999999999999999E-7</v>
      </c>
      <c r="Y158" s="140">
        <f t="shared" si="19"/>
        <v>1.8E-7</v>
      </c>
      <c r="Z158" s="140">
        <f t="shared" si="20"/>
        <v>2.4000000000000003E-7</v>
      </c>
      <c r="AA158" s="140">
        <f t="shared" si="21"/>
        <v>3.0000000000000004E-7</v>
      </c>
      <c r="AB158" s="157">
        <f t="shared" si="22"/>
        <v>0.8</v>
      </c>
      <c r="AC158" s="156">
        <f t="shared" si="23"/>
        <v>9.9999999999999995E-8</v>
      </c>
      <c r="AE158" s="140">
        <f t="shared" si="24"/>
        <v>6.0000000000000002E-6</v>
      </c>
      <c r="AF158">
        <v>0.6</v>
      </c>
      <c r="AG158" s="140">
        <f t="shared" si="25"/>
        <v>5.9999999999999981E-8</v>
      </c>
      <c r="AH158" s="140">
        <f t="shared" si="26"/>
        <v>1.1999999999999999E-7</v>
      </c>
      <c r="AI158" s="140">
        <f t="shared" si="27"/>
        <v>1.8E-7</v>
      </c>
      <c r="AJ158" s="140">
        <f t="shared" si="28"/>
        <v>2.4000000000000003E-7</v>
      </c>
      <c r="AK158" s="140">
        <f t="shared" si="29"/>
        <v>3.0000000000000004E-7</v>
      </c>
      <c r="AL158" s="157">
        <f t="shared" si="30"/>
        <v>1.2</v>
      </c>
      <c r="AM158" s="156">
        <f t="shared" si="31"/>
        <v>9.9999999999999995E-8</v>
      </c>
      <c r="AO158" s="140">
        <f t="shared" si="32"/>
        <v>6.0000000000000002E-6</v>
      </c>
      <c r="AP158">
        <v>0.6</v>
      </c>
      <c r="AQ158" s="140">
        <f t="shared" si="33"/>
        <v>5.9999999999999981E-8</v>
      </c>
      <c r="AR158" s="140">
        <f t="shared" si="34"/>
        <v>1.1999999999999999E-7</v>
      </c>
      <c r="AS158" s="140">
        <f t="shared" si="35"/>
        <v>1.8E-7</v>
      </c>
      <c r="AT158" s="140">
        <f t="shared" si="36"/>
        <v>2.4000000000000003E-7</v>
      </c>
      <c r="AU158" s="140">
        <f t="shared" si="37"/>
        <v>3.0000000000000004E-7</v>
      </c>
      <c r="AV158" s="157">
        <f t="shared" si="38"/>
        <v>1.2</v>
      </c>
      <c r="AW158" s="156">
        <f t="shared" si="39"/>
        <v>9.9999999999999995E-8</v>
      </c>
      <c r="AY158" s="140">
        <f t="shared" si="40"/>
        <v>6.0000000000000002E-6</v>
      </c>
      <c r="AZ158">
        <v>0.6</v>
      </c>
      <c r="BA158" s="140">
        <f t="shared" si="41"/>
        <v>5.9999999999999981E-8</v>
      </c>
      <c r="BB158" s="140">
        <f t="shared" si="42"/>
        <v>1.1999999999999999E-7</v>
      </c>
      <c r="BC158" s="140">
        <f t="shared" si="43"/>
        <v>1.8E-7</v>
      </c>
      <c r="BD158" s="140">
        <f t="shared" si="44"/>
        <v>2.4000000000000003E-7</v>
      </c>
      <c r="BE158" s="140">
        <f t="shared" si="45"/>
        <v>3.0000000000000004E-7</v>
      </c>
      <c r="BF158" s="157">
        <f>IF(AY158&lt;$B$89*DATA!$H$1037,DATA!$H$1037,IF(AY158&gt;DATA!$H$1036*$B$89,DATA!$H$1036,1))</f>
        <v>1.2</v>
      </c>
      <c r="BG158" s="156">
        <f t="shared" si="46"/>
        <v>9.9999999999999995E-8</v>
      </c>
      <c r="BI158" s="140">
        <f t="shared" si="47"/>
        <v>6.0000000000000002E-6</v>
      </c>
      <c r="BJ158">
        <v>0.6</v>
      </c>
      <c r="BK158" s="140">
        <f t="shared" si="48"/>
        <v>5.9999999999999981E-8</v>
      </c>
      <c r="BL158" s="140">
        <f t="shared" si="49"/>
        <v>1.1999999999999999E-7</v>
      </c>
      <c r="BM158" s="140">
        <f t="shared" si="50"/>
        <v>1.8E-7</v>
      </c>
      <c r="BN158" s="140">
        <f t="shared" si="51"/>
        <v>2.4000000000000003E-7</v>
      </c>
      <c r="BO158" s="140">
        <f t="shared" si="52"/>
        <v>3.0000000000000004E-7</v>
      </c>
      <c r="BP158" s="157">
        <f>IF(BI158&lt;$B$105*DATA!$H$1037,DATA!$H$1037,IF(BI158&gt;DATA!$H$1036*$B$105,DATA!$H$1036,1))</f>
        <v>1.2</v>
      </c>
      <c r="BQ158" s="156">
        <f t="shared" si="53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ref="C159:G174" si="54">C$142*$A159</f>
        <v>6.1999999999999986E-8</v>
      </c>
      <c r="D159" s="140">
        <f t="shared" si="54"/>
        <v>1.24E-7</v>
      </c>
      <c r="E159" s="140">
        <f t="shared" si="54"/>
        <v>1.8600000000000002E-7</v>
      </c>
      <c r="F159" s="140">
        <f t="shared" si="54"/>
        <v>2.4800000000000005E-7</v>
      </c>
      <c r="G159" s="140">
        <f t="shared" si="54"/>
        <v>3.1000000000000005E-7</v>
      </c>
      <c r="H159" s="124">
        <f t="shared" si="6"/>
        <v>0.8</v>
      </c>
      <c r="I159" s="156">
        <f t="shared" si="7"/>
        <v>9.9999999999999995E-8</v>
      </c>
      <c r="K159" s="140">
        <f t="shared" si="8"/>
        <v>6.2000000000000008E-6</v>
      </c>
      <c r="L159">
        <v>0.62</v>
      </c>
      <c r="M159" s="140">
        <f t="shared" si="9"/>
        <v>6.1999999999999986E-8</v>
      </c>
      <c r="N159" s="140">
        <f t="shared" si="10"/>
        <v>1.24E-7</v>
      </c>
      <c r="O159" s="140">
        <f t="shared" si="11"/>
        <v>1.8600000000000002E-7</v>
      </c>
      <c r="P159" s="140">
        <f t="shared" si="12"/>
        <v>2.4800000000000005E-7</v>
      </c>
      <c r="Q159" s="140">
        <f t="shared" si="13"/>
        <v>3.1000000000000005E-7</v>
      </c>
      <c r="R159" s="157">
        <f t="shared" si="14"/>
        <v>0.8</v>
      </c>
      <c r="S159" s="156">
        <f t="shared" si="15"/>
        <v>9.9999999999999995E-8</v>
      </c>
      <c r="U159" s="140">
        <f t="shared" si="16"/>
        <v>6.2000000000000008E-6</v>
      </c>
      <c r="V159">
        <v>0.62</v>
      </c>
      <c r="W159" s="140">
        <f t="shared" si="17"/>
        <v>6.1999999999999986E-8</v>
      </c>
      <c r="X159" s="140">
        <f t="shared" si="18"/>
        <v>1.24E-7</v>
      </c>
      <c r="Y159" s="140">
        <f t="shared" si="19"/>
        <v>1.8600000000000002E-7</v>
      </c>
      <c r="Z159" s="140">
        <f t="shared" si="20"/>
        <v>2.4800000000000005E-7</v>
      </c>
      <c r="AA159" s="140">
        <f t="shared" si="21"/>
        <v>3.1000000000000005E-7</v>
      </c>
      <c r="AB159" s="157">
        <f t="shared" si="22"/>
        <v>0.8</v>
      </c>
      <c r="AC159" s="156">
        <f t="shared" si="23"/>
        <v>9.9999999999999995E-8</v>
      </c>
      <c r="AE159" s="140">
        <f t="shared" si="24"/>
        <v>6.2000000000000008E-6</v>
      </c>
      <c r="AF159">
        <v>0.62</v>
      </c>
      <c r="AG159" s="140">
        <f t="shared" si="25"/>
        <v>6.1999999999999986E-8</v>
      </c>
      <c r="AH159" s="140">
        <f t="shared" si="26"/>
        <v>1.24E-7</v>
      </c>
      <c r="AI159" s="140">
        <f t="shared" si="27"/>
        <v>1.8600000000000002E-7</v>
      </c>
      <c r="AJ159" s="140">
        <f t="shared" si="28"/>
        <v>2.4800000000000005E-7</v>
      </c>
      <c r="AK159" s="140">
        <f t="shared" si="29"/>
        <v>3.1000000000000005E-7</v>
      </c>
      <c r="AL159" s="157">
        <f t="shared" si="30"/>
        <v>1.2</v>
      </c>
      <c r="AM159" s="156">
        <f t="shared" si="31"/>
        <v>9.9999999999999995E-8</v>
      </c>
      <c r="AO159" s="140">
        <f t="shared" si="32"/>
        <v>6.2000000000000008E-6</v>
      </c>
      <c r="AP159">
        <v>0.62</v>
      </c>
      <c r="AQ159" s="140">
        <f t="shared" si="33"/>
        <v>6.1999999999999986E-8</v>
      </c>
      <c r="AR159" s="140">
        <f t="shared" si="34"/>
        <v>1.24E-7</v>
      </c>
      <c r="AS159" s="140">
        <f t="shared" si="35"/>
        <v>1.8600000000000002E-7</v>
      </c>
      <c r="AT159" s="140">
        <f t="shared" si="36"/>
        <v>2.4800000000000005E-7</v>
      </c>
      <c r="AU159" s="140">
        <f t="shared" si="37"/>
        <v>3.1000000000000005E-7</v>
      </c>
      <c r="AV159" s="157">
        <f t="shared" si="38"/>
        <v>1.2</v>
      </c>
      <c r="AW159" s="156">
        <f t="shared" si="39"/>
        <v>9.9999999999999995E-8</v>
      </c>
      <c r="AY159" s="140">
        <f t="shared" si="40"/>
        <v>6.2000000000000008E-6</v>
      </c>
      <c r="AZ159">
        <v>0.62</v>
      </c>
      <c r="BA159" s="140">
        <f t="shared" si="41"/>
        <v>6.1999999999999986E-8</v>
      </c>
      <c r="BB159" s="140">
        <f t="shared" si="42"/>
        <v>1.24E-7</v>
      </c>
      <c r="BC159" s="140">
        <f t="shared" si="43"/>
        <v>1.8600000000000002E-7</v>
      </c>
      <c r="BD159" s="140">
        <f t="shared" si="44"/>
        <v>2.4800000000000005E-7</v>
      </c>
      <c r="BE159" s="140">
        <f t="shared" si="45"/>
        <v>3.1000000000000005E-7</v>
      </c>
      <c r="BF159" s="157">
        <f>IF(AY159&lt;$B$89*DATA!$H$1037,DATA!$H$1037,IF(AY159&gt;DATA!$H$1036*$B$89,DATA!$H$1036,1))</f>
        <v>1.2</v>
      </c>
      <c r="BG159" s="156">
        <f t="shared" si="46"/>
        <v>9.9999999999999995E-8</v>
      </c>
      <c r="BI159" s="140">
        <f t="shared" si="47"/>
        <v>6.2000000000000008E-6</v>
      </c>
      <c r="BJ159">
        <v>0.62</v>
      </c>
      <c r="BK159" s="140">
        <f t="shared" si="48"/>
        <v>6.1999999999999986E-8</v>
      </c>
      <c r="BL159" s="140">
        <f t="shared" si="49"/>
        <v>1.24E-7</v>
      </c>
      <c r="BM159" s="140">
        <f t="shared" si="50"/>
        <v>1.8600000000000002E-7</v>
      </c>
      <c r="BN159" s="140">
        <f t="shared" si="51"/>
        <v>2.4800000000000005E-7</v>
      </c>
      <c r="BO159" s="140">
        <f t="shared" si="52"/>
        <v>3.1000000000000005E-7</v>
      </c>
      <c r="BP159" s="157">
        <f>IF(BI159&lt;$B$105*DATA!$H$1037,DATA!$H$1037,IF(BI159&gt;DATA!$H$1036*$B$105,DATA!$H$1036,1))</f>
        <v>1.2</v>
      </c>
      <c r="BQ159" s="156">
        <f t="shared" si="53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4"/>
        <v>6.3999999999999991E-8</v>
      </c>
      <c r="D160" s="140">
        <f t="shared" si="54"/>
        <v>1.2799999999999998E-7</v>
      </c>
      <c r="E160" s="140">
        <f t="shared" si="54"/>
        <v>1.92E-7</v>
      </c>
      <c r="F160" s="140">
        <f t="shared" si="54"/>
        <v>2.5600000000000002E-7</v>
      </c>
      <c r="G160" s="140">
        <f t="shared" si="54"/>
        <v>3.2000000000000006E-7</v>
      </c>
      <c r="H160" s="124">
        <f t="shared" si="6"/>
        <v>0.8</v>
      </c>
      <c r="I160" s="156">
        <f t="shared" si="7"/>
        <v>9.9999999999999995E-8</v>
      </c>
      <c r="K160" s="140">
        <f t="shared" si="8"/>
        <v>6.4000000000000006E-6</v>
      </c>
      <c r="L160">
        <v>0.64</v>
      </c>
      <c r="M160" s="140">
        <f t="shared" si="9"/>
        <v>6.3999999999999991E-8</v>
      </c>
      <c r="N160" s="140">
        <f t="shared" si="10"/>
        <v>1.2799999999999998E-7</v>
      </c>
      <c r="O160" s="140">
        <f t="shared" si="11"/>
        <v>1.92E-7</v>
      </c>
      <c r="P160" s="140">
        <f t="shared" si="12"/>
        <v>2.5600000000000002E-7</v>
      </c>
      <c r="Q160" s="140">
        <f t="shared" si="13"/>
        <v>3.2000000000000006E-7</v>
      </c>
      <c r="R160" s="157">
        <f t="shared" si="14"/>
        <v>0.8</v>
      </c>
      <c r="S160" s="156">
        <f t="shared" si="15"/>
        <v>9.9999999999999995E-8</v>
      </c>
      <c r="U160" s="140">
        <f t="shared" si="16"/>
        <v>6.4000000000000006E-6</v>
      </c>
      <c r="V160">
        <v>0.64</v>
      </c>
      <c r="W160" s="140">
        <f t="shared" si="17"/>
        <v>6.3999999999999991E-8</v>
      </c>
      <c r="X160" s="140">
        <f t="shared" si="18"/>
        <v>1.2799999999999998E-7</v>
      </c>
      <c r="Y160" s="140">
        <f t="shared" si="19"/>
        <v>1.92E-7</v>
      </c>
      <c r="Z160" s="140">
        <f t="shared" si="20"/>
        <v>2.5600000000000002E-7</v>
      </c>
      <c r="AA160" s="140">
        <f t="shared" si="21"/>
        <v>3.2000000000000006E-7</v>
      </c>
      <c r="AB160" s="157">
        <f t="shared" si="22"/>
        <v>0.8</v>
      </c>
      <c r="AC160" s="156">
        <f t="shared" si="23"/>
        <v>9.9999999999999995E-8</v>
      </c>
      <c r="AE160" s="140">
        <f t="shared" si="24"/>
        <v>6.4000000000000006E-6</v>
      </c>
      <c r="AF160">
        <v>0.64</v>
      </c>
      <c r="AG160" s="140">
        <f t="shared" si="25"/>
        <v>6.3999999999999991E-8</v>
      </c>
      <c r="AH160" s="140">
        <f t="shared" si="26"/>
        <v>1.2799999999999998E-7</v>
      </c>
      <c r="AI160" s="140">
        <f t="shared" si="27"/>
        <v>1.92E-7</v>
      </c>
      <c r="AJ160" s="140">
        <f t="shared" si="28"/>
        <v>2.5600000000000002E-7</v>
      </c>
      <c r="AK160" s="140">
        <f t="shared" si="29"/>
        <v>3.2000000000000006E-7</v>
      </c>
      <c r="AL160" s="157">
        <f t="shared" si="30"/>
        <v>1.2</v>
      </c>
      <c r="AM160" s="156">
        <f t="shared" si="31"/>
        <v>9.9999999999999995E-8</v>
      </c>
      <c r="AO160" s="140">
        <f t="shared" si="32"/>
        <v>6.4000000000000006E-6</v>
      </c>
      <c r="AP160">
        <v>0.64</v>
      </c>
      <c r="AQ160" s="140">
        <f t="shared" si="33"/>
        <v>6.3999999999999991E-8</v>
      </c>
      <c r="AR160" s="140">
        <f t="shared" si="34"/>
        <v>1.2799999999999998E-7</v>
      </c>
      <c r="AS160" s="140">
        <f t="shared" si="35"/>
        <v>1.92E-7</v>
      </c>
      <c r="AT160" s="140">
        <f t="shared" si="36"/>
        <v>2.5600000000000002E-7</v>
      </c>
      <c r="AU160" s="140">
        <f t="shared" si="37"/>
        <v>3.2000000000000006E-7</v>
      </c>
      <c r="AV160" s="157">
        <f t="shared" si="38"/>
        <v>1.2</v>
      </c>
      <c r="AW160" s="156">
        <f t="shared" si="39"/>
        <v>9.9999999999999995E-8</v>
      </c>
      <c r="AY160" s="140">
        <f t="shared" si="40"/>
        <v>6.4000000000000006E-6</v>
      </c>
      <c r="AZ160">
        <v>0.64</v>
      </c>
      <c r="BA160" s="140">
        <f t="shared" si="41"/>
        <v>6.3999999999999991E-8</v>
      </c>
      <c r="BB160" s="140">
        <f t="shared" si="42"/>
        <v>1.2799999999999998E-7</v>
      </c>
      <c r="BC160" s="140">
        <f t="shared" si="43"/>
        <v>1.92E-7</v>
      </c>
      <c r="BD160" s="140">
        <f t="shared" si="44"/>
        <v>2.5600000000000002E-7</v>
      </c>
      <c r="BE160" s="140">
        <f t="shared" si="45"/>
        <v>3.2000000000000006E-7</v>
      </c>
      <c r="BF160" s="157">
        <f>IF(AY160&lt;$B$89*DATA!$H$1037,DATA!$H$1037,IF(AY160&gt;DATA!$H$1036*$B$89,DATA!$H$1036,1))</f>
        <v>1.2</v>
      </c>
      <c r="BG160" s="156">
        <f t="shared" si="46"/>
        <v>9.9999999999999995E-8</v>
      </c>
      <c r="BI160" s="140">
        <f t="shared" si="47"/>
        <v>6.4000000000000006E-6</v>
      </c>
      <c r="BJ160">
        <v>0.64</v>
      </c>
      <c r="BK160" s="140">
        <f t="shared" si="48"/>
        <v>6.3999999999999991E-8</v>
      </c>
      <c r="BL160" s="140">
        <f t="shared" si="49"/>
        <v>1.2799999999999998E-7</v>
      </c>
      <c r="BM160" s="140">
        <f t="shared" si="50"/>
        <v>1.92E-7</v>
      </c>
      <c r="BN160" s="140">
        <f t="shared" si="51"/>
        <v>2.5600000000000002E-7</v>
      </c>
      <c r="BO160" s="140">
        <f t="shared" si="52"/>
        <v>3.2000000000000006E-7</v>
      </c>
      <c r="BP160" s="157">
        <f>IF(BI160&lt;$B$105*DATA!$H$1037,DATA!$H$1037,IF(BI160&gt;DATA!$H$1036*$B$105,DATA!$H$1036,1))</f>
        <v>1.2</v>
      </c>
      <c r="BQ160" s="156">
        <f t="shared" si="53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4"/>
        <v>6.5999999999999995E-8</v>
      </c>
      <c r="D161" s="140">
        <f t="shared" si="54"/>
        <v>1.3199999999999999E-7</v>
      </c>
      <c r="E161" s="140">
        <f t="shared" si="54"/>
        <v>1.9800000000000003E-7</v>
      </c>
      <c r="F161" s="140">
        <f t="shared" si="54"/>
        <v>2.6400000000000003E-7</v>
      </c>
      <c r="G161" s="140">
        <f t="shared" si="54"/>
        <v>3.3000000000000007E-7</v>
      </c>
      <c r="H161" s="124">
        <f t="shared" si="6"/>
        <v>0.8</v>
      </c>
      <c r="I161" s="156">
        <f t="shared" si="7"/>
        <v>9.9999999999999995E-8</v>
      </c>
      <c r="K161" s="140">
        <f t="shared" si="8"/>
        <v>6.6000000000000012E-6</v>
      </c>
      <c r="L161">
        <v>0.66</v>
      </c>
      <c r="M161" s="140">
        <f t="shared" si="9"/>
        <v>6.5999999999999995E-8</v>
      </c>
      <c r="N161" s="140">
        <f t="shared" si="10"/>
        <v>1.3199999999999999E-7</v>
      </c>
      <c r="O161" s="140">
        <f t="shared" si="11"/>
        <v>1.9800000000000003E-7</v>
      </c>
      <c r="P161" s="140">
        <f t="shared" si="12"/>
        <v>2.6400000000000003E-7</v>
      </c>
      <c r="Q161" s="140">
        <f t="shared" si="13"/>
        <v>3.3000000000000007E-7</v>
      </c>
      <c r="R161" s="157">
        <f t="shared" si="14"/>
        <v>0.8</v>
      </c>
      <c r="S161" s="156">
        <f t="shared" si="15"/>
        <v>9.9999999999999995E-8</v>
      </c>
      <c r="U161" s="140">
        <f t="shared" si="16"/>
        <v>6.6000000000000012E-6</v>
      </c>
      <c r="V161">
        <v>0.66</v>
      </c>
      <c r="W161" s="140">
        <f t="shared" si="17"/>
        <v>6.5999999999999995E-8</v>
      </c>
      <c r="X161" s="140">
        <f t="shared" si="18"/>
        <v>1.3199999999999999E-7</v>
      </c>
      <c r="Y161" s="140">
        <f t="shared" si="19"/>
        <v>1.9800000000000003E-7</v>
      </c>
      <c r="Z161" s="140">
        <f t="shared" si="20"/>
        <v>2.6400000000000003E-7</v>
      </c>
      <c r="AA161" s="140">
        <f t="shared" si="21"/>
        <v>3.3000000000000007E-7</v>
      </c>
      <c r="AB161" s="157">
        <f t="shared" si="22"/>
        <v>0.8</v>
      </c>
      <c r="AC161" s="156">
        <f t="shared" si="23"/>
        <v>9.9999999999999995E-8</v>
      </c>
      <c r="AE161" s="140">
        <f t="shared" si="24"/>
        <v>6.6000000000000012E-6</v>
      </c>
      <c r="AF161">
        <v>0.66</v>
      </c>
      <c r="AG161" s="140">
        <f t="shared" si="25"/>
        <v>6.5999999999999995E-8</v>
      </c>
      <c r="AH161" s="140">
        <f t="shared" si="26"/>
        <v>1.3199999999999999E-7</v>
      </c>
      <c r="AI161" s="140">
        <f t="shared" si="27"/>
        <v>1.9800000000000003E-7</v>
      </c>
      <c r="AJ161" s="140">
        <f t="shared" si="28"/>
        <v>2.6400000000000003E-7</v>
      </c>
      <c r="AK161" s="140">
        <f t="shared" si="29"/>
        <v>3.3000000000000007E-7</v>
      </c>
      <c r="AL161" s="157">
        <f t="shared" si="30"/>
        <v>1.2</v>
      </c>
      <c r="AM161" s="156">
        <f t="shared" si="31"/>
        <v>9.9999999999999995E-8</v>
      </c>
      <c r="AO161" s="140">
        <f t="shared" si="32"/>
        <v>6.6000000000000012E-6</v>
      </c>
      <c r="AP161">
        <v>0.66</v>
      </c>
      <c r="AQ161" s="140">
        <f t="shared" si="33"/>
        <v>6.5999999999999995E-8</v>
      </c>
      <c r="AR161" s="140">
        <f t="shared" si="34"/>
        <v>1.3199999999999999E-7</v>
      </c>
      <c r="AS161" s="140">
        <f t="shared" si="35"/>
        <v>1.9800000000000003E-7</v>
      </c>
      <c r="AT161" s="140">
        <f t="shared" si="36"/>
        <v>2.6400000000000003E-7</v>
      </c>
      <c r="AU161" s="140">
        <f t="shared" si="37"/>
        <v>3.3000000000000007E-7</v>
      </c>
      <c r="AV161" s="157">
        <f t="shared" si="38"/>
        <v>1.2</v>
      </c>
      <c r="AW161" s="156">
        <f t="shared" si="39"/>
        <v>9.9999999999999995E-8</v>
      </c>
      <c r="AY161" s="140">
        <f t="shared" si="40"/>
        <v>6.6000000000000012E-6</v>
      </c>
      <c r="AZ161">
        <v>0.66</v>
      </c>
      <c r="BA161" s="140">
        <f t="shared" si="41"/>
        <v>6.5999999999999995E-8</v>
      </c>
      <c r="BB161" s="140">
        <f t="shared" si="42"/>
        <v>1.3199999999999999E-7</v>
      </c>
      <c r="BC161" s="140">
        <f t="shared" si="43"/>
        <v>1.9800000000000003E-7</v>
      </c>
      <c r="BD161" s="140">
        <f t="shared" si="44"/>
        <v>2.6400000000000003E-7</v>
      </c>
      <c r="BE161" s="140">
        <f t="shared" si="45"/>
        <v>3.3000000000000007E-7</v>
      </c>
      <c r="BF161" s="157">
        <f>IF(AY161&lt;$B$89*DATA!$H$1037,DATA!$H$1037,IF(AY161&gt;DATA!$H$1036*$B$89,DATA!$H$1036,1))</f>
        <v>1.2</v>
      </c>
      <c r="BG161" s="156">
        <f t="shared" si="46"/>
        <v>9.9999999999999995E-8</v>
      </c>
      <c r="BI161" s="140">
        <f t="shared" si="47"/>
        <v>6.6000000000000012E-6</v>
      </c>
      <c r="BJ161">
        <v>0.66</v>
      </c>
      <c r="BK161" s="140">
        <f t="shared" si="48"/>
        <v>6.5999999999999995E-8</v>
      </c>
      <c r="BL161" s="140">
        <f t="shared" si="49"/>
        <v>1.3199999999999999E-7</v>
      </c>
      <c r="BM161" s="140">
        <f t="shared" si="50"/>
        <v>1.9800000000000003E-7</v>
      </c>
      <c r="BN161" s="140">
        <f t="shared" si="51"/>
        <v>2.6400000000000003E-7</v>
      </c>
      <c r="BO161" s="140">
        <f t="shared" si="52"/>
        <v>3.3000000000000007E-7</v>
      </c>
      <c r="BP161" s="157">
        <f>IF(BI161&lt;$B$105*DATA!$H$1037,DATA!$H$1037,IF(BI161&gt;DATA!$H$1036*$B$105,DATA!$H$1036,1))</f>
        <v>1.2</v>
      </c>
      <c r="BQ161" s="156">
        <f t="shared" si="53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4"/>
        <v>6.7999999999999987E-8</v>
      </c>
      <c r="D162" s="140">
        <f t="shared" si="54"/>
        <v>1.36E-7</v>
      </c>
      <c r="E162" s="140">
        <f t="shared" si="54"/>
        <v>2.0400000000000003E-7</v>
      </c>
      <c r="F162" s="140">
        <f t="shared" si="54"/>
        <v>2.7200000000000005E-7</v>
      </c>
      <c r="G162" s="140">
        <f t="shared" si="54"/>
        <v>3.4000000000000008E-7</v>
      </c>
      <c r="H162" s="124">
        <f t="shared" si="6"/>
        <v>0.8</v>
      </c>
      <c r="I162" s="156">
        <f t="shared" si="7"/>
        <v>9.9999999999999995E-8</v>
      </c>
      <c r="K162" s="140">
        <f t="shared" si="8"/>
        <v>6.800000000000001E-6</v>
      </c>
      <c r="L162">
        <v>0.68</v>
      </c>
      <c r="M162" s="140">
        <f t="shared" si="9"/>
        <v>6.7999999999999987E-8</v>
      </c>
      <c r="N162" s="140">
        <f t="shared" si="10"/>
        <v>1.36E-7</v>
      </c>
      <c r="O162" s="140">
        <f t="shared" si="11"/>
        <v>2.0400000000000003E-7</v>
      </c>
      <c r="P162" s="140">
        <f t="shared" si="12"/>
        <v>2.7200000000000005E-7</v>
      </c>
      <c r="Q162" s="140">
        <f t="shared" si="13"/>
        <v>3.4000000000000008E-7</v>
      </c>
      <c r="R162" s="157">
        <f t="shared" si="14"/>
        <v>0.8</v>
      </c>
      <c r="S162" s="156">
        <f t="shared" si="15"/>
        <v>9.9999999999999995E-8</v>
      </c>
      <c r="U162" s="140">
        <f t="shared" si="16"/>
        <v>6.800000000000001E-6</v>
      </c>
      <c r="V162">
        <v>0.68</v>
      </c>
      <c r="W162" s="140">
        <f t="shared" si="17"/>
        <v>6.7999999999999987E-8</v>
      </c>
      <c r="X162" s="140">
        <f t="shared" si="18"/>
        <v>1.36E-7</v>
      </c>
      <c r="Y162" s="140">
        <f t="shared" si="19"/>
        <v>2.0400000000000003E-7</v>
      </c>
      <c r="Z162" s="140">
        <f t="shared" si="20"/>
        <v>2.7200000000000005E-7</v>
      </c>
      <c r="AA162" s="140">
        <f t="shared" si="21"/>
        <v>3.4000000000000008E-7</v>
      </c>
      <c r="AB162" s="157">
        <f t="shared" si="22"/>
        <v>0.8</v>
      </c>
      <c r="AC162" s="156">
        <f t="shared" si="23"/>
        <v>9.9999999999999995E-8</v>
      </c>
      <c r="AE162" s="140">
        <f t="shared" si="24"/>
        <v>6.800000000000001E-6</v>
      </c>
      <c r="AF162">
        <v>0.68</v>
      </c>
      <c r="AG162" s="140">
        <f t="shared" si="25"/>
        <v>6.7999999999999987E-8</v>
      </c>
      <c r="AH162" s="140">
        <f t="shared" si="26"/>
        <v>1.36E-7</v>
      </c>
      <c r="AI162" s="140">
        <f t="shared" si="27"/>
        <v>2.0400000000000003E-7</v>
      </c>
      <c r="AJ162" s="140">
        <f t="shared" si="28"/>
        <v>2.7200000000000005E-7</v>
      </c>
      <c r="AK162" s="140">
        <f t="shared" si="29"/>
        <v>3.4000000000000008E-7</v>
      </c>
      <c r="AL162" s="157">
        <f t="shared" si="30"/>
        <v>1.2</v>
      </c>
      <c r="AM162" s="156">
        <f t="shared" si="31"/>
        <v>9.9999999999999995E-8</v>
      </c>
      <c r="AO162" s="140">
        <f t="shared" si="32"/>
        <v>6.800000000000001E-6</v>
      </c>
      <c r="AP162">
        <v>0.68</v>
      </c>
      <c r="AQ162" s="140">
        <f t="shared" si="33"/>
        <v>6.7999999999999987E-8</v>
      </c>
      <c r="AR162" s="140">
        <f t="shared" si="34"/>
        <v>1.36E-7</v>
      </c>
      <c r="AS162" s="140">
        <f t="shared" si="35"/>
        <v>2.0400000000000003E-7</v>
      </c>
      <c r="AT162" s="140">
        <f t="shared" si="36"/>
        <v>2.7200000000000005E-7</v>
      </c>
      <c r="AU162" s="140">
        <f t="shared" si="37"/>
        <v>3.4000000000000008E-7</v>
      </c>
      <c r="AV162" s="157">
        <f t="shared" si="38"/>
        <v>1.2</v>
      </c>
      <c r="AW162" s="156">
        <f t="shared" si="39"/>
        <v>9.9999999999999995E-8</v>
      </c>
      <c r="AY162" s="140">
        <f t="shared" si="40"/>
        <v>6.800000000000001E-6</v>
      </c>
      <c r="AZ162">
        <v>0.68</v>
      </c>
      <c r="BA162" s="140">
        <f t="shared" si="41"/>
        <v>6.7999999999999987E-8</v>
      </c>
      <c r="BB162" s="140">
        <f t="shared" si="42"/>
        <v>1.36E-7</v>
      </c>
      <c r="BC162" s="140">
        <f t="shared" si="43"/>
        <v>2.0400000000000003E-7</v>
      </c>
      <c r="BD162" s="140">
        <f t="shared" si="44"/>
        <v>2.7200000000000005E-7</v>
      </c>
      <c r="BE162" s="140">
        <f t="shared" si="45"/>
        <v>3.4000000000000008E-7</v>
      </c>
      <c r="BF162" s="157">
        <f>IF(AY162&lt;$B$89*DATA!$H$1037,DATA!$H$1037,IF(AY162&gt;DATA!$H$1036*$B$89,DATA!$H$1036,1))</f>
        <v>1.2</v>
      </c>
      <c r="BG162" s="156">
        <f t="shared" si="46"/>
        <v>9.9999999999999995E-8</v>
      </c>
      <c r="BI162" s="140">
        <f t="shared" si="47"/>
        <v>6.800000000000001E-6</v>
      </c>
      <c r="BJ162">
        <v>0.68</v>
      </c>
      <c r="BK162" s="140">
        <f t="shared" si="48"/>
        <v>6.7999999999999987E-8</v>
      </c>
      <c r="BL162" s="140">
        <f t="shared" si="49"/>
        <v>1.36E-7</v>
      </c>
      <c r="BM162" s="140">
        <f t="shared" si="50"/>
        <v>2.0400000000000003E-7</v>
      </c>
      <c r="BN162" s="140">
        <f t="shared" si="51"/>
        <v>2.7200000000000005E-7</v>
      </c>
      <c r="BO162" s="140">
        <f t="shared" si="52"/>
        <v>3.4000000000000008E-7</v>
      </c>
      <c r="BP162" s="157">
        <f>IF(BI162&lt;$B$105*DATA!$H$1037,DATA!$H$1037,IF(BI162&gt;DATA!$H$1036*$B$105,DATA!$H$1036,1))</f>
        <v>1.2</v>
      </c>
      <c r="BQ162" s="156">
        <f t="shared" si="53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4"/>
        <v>6.9999999999999978E-8</v>
      </c>
      <c r="D163" s="140">
        <f t="shared" si="54"/>
        <v>1.3999999999999998E-7</v>
      </c>
      <c r="E163" s="140">
        <f t="shared" si="54"/>
        <v>2.1E-7</v>
      </c>
      <c r="F163" s="140">
        <f t="shared" si="54"/>
        <v>2.8000000000000002E-7</v>
      </c>
      <c r="G163" s="140">
        <f t="shared" si="54"/>
        <v>3.5000000000000004E-7</v>
      </c>
      <c r="H163" s="124">
        <f t="shared" si="6"/>
        <v>0.8</v>
      </c>
      <c r="I163" s="156">
        <f t="shared" si="7"/>
        <v>9.9999999999999995E-8</v>
      </c>
      <c r="K163" s="140">
        <f t="shared" si="8"/>
        <v>6.9999999999999999E-6</v>
      </c>
      <c r="L163">
        <v>0.7</v>
      </c>
      <c r="M163" s="140">
        <f t="shared" si="9"/>
        <v>6.9999999999999978E-8</v>
      </c>
      <c r="N163" s="140">
        <f t="shared" si="10"/>
        <v>1.3999999999999998E-7</v>
      </c>
      <c r="O163" s="140">
        <f t="shared" si="11"/>
        <v>2.1E-7</v>
      </c>
      <c r="P163" s="140">
        <f t="shared" si="12"/>
        <v>2.8000000000000002E-7</v>
      </c>
      <c r="Q163" s="140">
        <f t="shared" si="13"/>
        <v>3.5000000000000004E-7</v>
      </c>
      <c r="R163" s="157">
        <f t="shared" si="14"/>
        <v>0.8</v>
      </c>
      <c r="S163" s="156">
        <f t="shared" si="15"/>
        <v>9.9999999999999995E-8</v>
      </c>
      <c r="U163" s="140">
        <f t="shared" si="16"/>
        <v>6.9999999999999999E-6</v>
      </c>
      <c r="V163">
        <v>0.7</v>
      </c>
      <c r="W163" s="140">
        <f t="shared" si="17"/>
        <v>6.9999999999999978E-8</v>
      </c>
      <c r="X163" s="140">
        <f t="shared" si="18"/>
        <v>1.3999999999999998E-7</v>
      </c>
      <c r="Y163" s="140">
        <f t="shared" si="19"/>
        <v>2.1E-7</v>
      </c>
      <c r="Z163" s="140">
        <f t="shared" si="20"/>
        <v>2.8000000000000002E-7</v>
      </c>
      <c r="AA163" s="140">
        <f t="shared" si="21"/>
        <v>3.5000000000000004E-7</v>
      </c>
      <c r="AB163" s="157">
        <f t="shared" si="22"/>
        <v>0.8</v>
      </c>
      <c r="AC163" s="156">
        <f t="shared" si="23"/>
        <v>9.9999999999999995E-8</v>
      </c>
      <c r="AE163" s="140">
        <f t="shared" si="24"/>
        <v>6.9999999999999999E-6</v>
      </c>
      <c r="AF163">
        <v>0.7</v>
      </c>
      <c r="AG163" s="140">
        <f t="shared" si="25"/>
        <v>6.9999999999999978E-8</v>
      </c>
      <c r="AH163" s="140">
        <f t="shared" si="26"/>
        <v>1.3999999999999998E-7</v>
      </c>
      <c r="AI163" s="140">
        <f t="shared" si="27"/>
        <v>2.1E-7</v>
      </c>
      <c r="AJ163" s="140">
        <f t="shared" si="28"/>
        <v>2.8000000000000002E-7</v>
      </c>
      <c r="AK163" s="140">
        <f t="shared" si="29"/>
        <v>3.5000000000000004E-7</v>
      </c>
      <c r="AL163" s="157">
        <f t="shared" si="30"/>
        <v>1.2</v>
      </c>
      <c r="AM163" s="156">
        <f t="shared" si="31"/>
        <v>9.9999999999999995E-8</v>
      </c>
      <c r="AO163" s="140">
        <f t="shared" si="32"/>
        <v>6.9999999999999999E-6</v>
      </c>
      <c r="AP163">
        <v>0.7</v>
      </c>
      <c r="AQ163" s="140">
        <f t="shared" si="33"/>
        <v>6.9999999999999978E-8</v>
      </c>
      <c r="AR163" s="140">
        <f t="shared" si="34"/>
        <v>1.3999999999999998E-7</v>
      </c>
      <c r="AS163" s="140">
        <f t="shared" si="35"/>
        <v>2.1E-7</v>
      </c>
      <c r="AT163" s="140">
        <f t="shared" si="36"/>
        <v>2.8000000000000002E-7</v>
      </c>
      <c r="AU163" s="140">
        <f t="shared" si="37"/>
        <v>3.5000000000000004E-7</v>
      </c>
      <c r="AV163" s="157">
        <f t="shared" si="38"/>
        <v>1.2</v>
      </c>
      <c r="AW163" s="156">
        <f t="shared" si="39"/>
        <v>9.9999999999999995E-8</v>
      </c>
      <c r="AY163" s="140">
        <f t="shared" si="40"/>
        <v>6.9999999999999999E-6</v>
      </c>
      <c r="AZ163">
        <v>0.7</v>
      </c>
      <c r="BA163" s="140">
        <f t="shared" si="41"/>
        <v>6.9999999999999978E-8</v>
      </c>
      <c r="BB163" s="140">
        <f t="shared" si="42"/>
        <v>1.3999999999999998E-7</v>
      </c>
      <c r="BC163" s="140">
        <f t="shared" si="43"/>
        <v>2.1E-7</v>
      </c>
      <c r="BD163" s="140">
        <f t="shared" si="44"/>
        <v>2.8000000000000002E-7</v>
      </c>
      <c r="BE163" s="140">
        <f t="shared" si="45"/>
        <v>3.5000000000000004E-7</v>
      </c>
      <c r="BF163" s="157">
        <f>IF(AY163&lt;$B$89*DATA!$H$1037,DATA!$H$1037,IF(AY163&gt;DATA!$H$1036*$B$89,DATA!$H$1036,1))</f>
        <v>1.2</v>
      </c>
      <c r="BG163" s="156">
        <f t="shared" si="46"/>
        <v>9.9999999999999995E-8</v>
      </c>
      <c r="BI163" s="140">
        <f t="shared" si="47"/>
        <v>6.9999999999999999E-6</v>
      </c>
      <c r="BJ163">
        <v>0.7</v>
      </c>
      <c r="BK163" s="140">
        <f t="shared" si="48"/>
        <v>6.9999999999999978E-8</v>
      </c>
      <c r="BL163" s="140">
        <f t="shared" si="49"/>
        <v>1.3999999999999998E-7</v>
      </c>
      <c r="BM163" s="140">
        <f t="shared" si="50"/>
        <v>2.1E-7</v>
      </c>
      <c r="BN163" s="140">
        <f t="shared" si="51"/>
        <v>2.8000000000000002E-7</v>
      </c>
      <c r="BO163" s="140">
        <f t="shared" si="52"/>
        <v>3.5000000000000004E-7</v>
      </c>
      <c r="BP163" s="157">
        <f>IF(BI163&lt;$B$105*DATA!$H$1037,DATA!$H$1037,IF(BI163&gt;DATA!$H$1036*$B$105,DATA!$H$1036,1))</f>
        <v>1.2</v>
      </c>
      <c r="BQ163" s="156">
        <f t="shared" si="53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4"/>
        <v>7.1999999999999983E-8</v>
      </c>
      <c r="D164" s="140">
        <f t="shared" si="54"/>
        <v>1.4399999999999999E-7</v>
      </c>
      <c r="E164" s="140">
        <f t="shared" si="54"/>
        <v>2.16E-7</v>
      </c>
      <c r="F164" s="140">
        <f t="shared" si="54"/>
        <v>2.8800000000000004E-7</v>
      </c>
      <c r="G164" s="140">
        <f t="shared" si="54"/>
        <v>3.6000000000000005E-7</v>
      </c>
      <c r="H164" s="124">
        <f t="shared" si="6"/>
        <v>0.8</v>
      </c>
      <c r="I164" s="156">
        <f t="shared" si="7"/>
        <v>9.9999999999999995E-8</v>
      </c>
      <c r="K164" s="140">
        <f t="shared" si="8"/>
        <v>7.2000000000000005E-6</v>
      </c>
      <c r="L164">
        <v>0.72</v>
      </c>
      <c r="M164" s="140">
        <f t="shared" si="9"/>
        <v>7.1999999999999983E-8</v>
      </c>
      <c r="N164" s="140">
        <f t="shared" si="10"/>
        <v>1.4399999999999999E-7</v>
      </c>
      <c r="O164" s="140">
        <f t="shared" si="11"/>
        <v>2.16E-7</v>
      </c>
      <c r="P164" s="140">
        <f t="shared" si="12"/>
        <v>2.8800000000000004E-7</v>
      </c>
      <c r="Q164" s="140">
        <f t="shared" si="13"/>
        <v>3.6000000000000005E-7</v>
      </c>
      <c r="R164" s="157">
        <f t="shared" si="14"/>
        <v>0.8</v>
      </c>
      <c r="S164" s="156">
        <f t="shared" si="15"/>
        <v>9.9999999999999995E-8</v>
      </c>
      <c r="U164" s="140">
        <f t="shared" si="16"/>
        <v>7.2000000000000005E-6</v>
      </c>
      <c r="V164">
        <v>0.72</v>
      </c>
      <c r="W164" s="140">
        <f t="shared" si="17"/>
        <v>7.1999999999999983E-8</v>
      </c>
      <c r="X164" s="140">
        <f t="shared" si="18"/>
        <v>1.4399999999999999E-7</v>
      </c>
      <c r="Y164" s="140">
        <f t="shared" si="19"/>
        <v>2.16E-7</v>
      </c>
      <c r="Z164" s="140">
        <f t="shared" si="20"/>
        <v>2.8800000000000004E-7</v>
      </c>
      <c r="AA164" s="140">
        <f t="shared" si="21"/>
        <v>3.6000000000000005E-7</v>
      </c>
      <c r="AB164" s="157">
        <f t="shared" si="22"/>
        <v>0.8</v>
      </c>
      <c r="AC164" s="156">
        <f t="shared" si="23"/>
        <v>9.9999999999999995E-8</v>
      </c>
      <c r="AE164" s="140">
        <f t="shared" si="24"/>
        <v>7.2000000000000005E-6</v>
      </c>
      <c r="AF164">
        <v>0.72</v>
      </c>
      <c r="AG164" s="140">
        <f t="shared" si="25"/>
        <v>7.1999999999999983E-8</v>
      </c>
      <c r="AH164" s="140">
        <f t="shared" si="26"/>
        <v>1.4399999999999999E-7</v>
      </c>
      <c r="AI164" s="140">
        <f t="shared" si="27"/>
        <v>2.16E-7</v>
      </c>
      <c r="AJ164" s="140">
        <f t="shared" si="28"/>
        <v>2.8800000000000004E-7</v>
      </c>
      <c r="AK164" s="140">
        <f t="shared" si="29"/>
        <v>3.6000000000000005E-7</v>
      </c>
      <c r="AL164" s="157">
        <f t="shared" si="30"/>
        <v>1.2</v>
      </c>
      <c r="AM164" s="156">
        <f t="shared" si="31"/>
        <v>9.9999999999999995E-8</v>
      </c>
      <c r="AO164" s="140">
        <f t="shared" si="32"/>
        <v>7.2000000000000005E-6</v>
      </c>
      <c r="AP164">
        <v>0.72</v>
      </c>
      <c r="AQ164" s="140">
        <f t="shared" si="33"/>
        <v>7.1999999999999983E-8</v>
      </c>
      <c r="AR164" s="140">
        <f t="shared" si="34"/>
        <v>1.4399999999999999E-7</v>
      </c>
      <c r="AS164" s="140">
        <f t="shared" si="35"/>
        <v>2.16E-7</v>
      </c>
      <c r="AT164" s="140">
        <f t="shared" si="36"/>
        <v>2.8800000000000004E-7</v>
      </c>
      <c r="AU164" s="140">
        <f t="shared" si="37"/>
        <v>3.6000000000000005E-7</v>
      </c>
      <c r="AV164" s="157">
        <f t="shared" si="38"/>
        <v>1.2</v>
      </c>
      <c r="AW164" s="156">
        <f t="shared" si="39"/>
        <v>9.9999999999999995E-8</v>
      </c>
      <c r="AY164" s="140">
        <f t="shared" si="40"/>
        <v>7.2000000000000005E-6</v>
      </c>
      <c r="AZ164">
        <v>0.72</v>
      </c>
      <c r="BA164" s="140">
        <f t="shared" si="41"/>
        <v>7.1999999999999983E-8</v>
      </c>
      <c r="BB164" s="140">
        <f t="shared" si="42"/>
        <v>1.4399999999999999E-7</v>
      </c>
      <c r="BC164" s="140">
        <f t="shared" si="43"/>
        <v>2.16E-7</v>
      </c>
      <c r="BD164" s="140">
        <f t="shared" si="44"/>
        <v>2.8800000000000004E-7</v>
      </c>
      <c r="BE164" s="140">
        <f t="shared" si="45"/>
        <v>3.6000000000000005E-7</v>
      </c>
      <c r="BF164" s="157">
        <f>IF(AY164&lt;$B$89*DATA!$H$1037,DATA!$H$1037,IF(AY164&gt;DATA!$H$1036*$B$89,DATA!$H$1036,1))</f>
        <v>1.2</v>
      </c>
      <c r="BG164" s="156">
        <f t="shared" si="46"/>
        <v>9.9999999999999995E-8</v>
      </c>
      <c r="BI164" s="140">
        <f t="shared" si="47"/>
        <v>7.2000000000000005E-6</v>
      </c>
      <c r="BJ164">
        <v>0.72</v>
      </c>
      <c r="BK164" s="140">
        <f t="shared" si="48"/>
        <v>7.1999999999999983E-8</v>
      </c>
      <c r="BL164" s="140">
        <f t="shared" si="49"/>
        <v>1.4399999999999999E-7</v>
      </c>
      <c r="BM164" s="140">
        <f t="shared" si="50"/>
        <v>2.16E-7</v>
      </c>
      <c r="BN164" s="140">
        <f t="shared" si="51"/>
        <v>2.8800000000000004E-7</v>
      </c>
      <c r="BO164" s="140">
        <f t="shared" si="52"/>
        <v>3.6000000000000005E-7</v>
      </c>
      <c r="BP164" s="157">
        <f>IF(BI164&lt;$B$105*DATA!$H$1037,DATA!$H$1037,IF(BI164&gt;DATA!$H$1036*$B$105,DATA!$H$1036,1))</f>
        <v>1.2</v>
      </c>
      <c r="BQ164" s="156">
        <f t="shared" si="53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4"/>
        <v>7.3999999999999974E-8</v>
      </c>
      <c r="D165" s="140">
        <f t="shared" si="54"/>
        <v>1.4799999999999998E-7</v>
      </c>
      <c r="E165" s="140">
        <f t="shared" si="54"/>
        <v>2.22E-7</v>
      </c>
      <c r="F165" s="140">
        <f t="shared" si="54"/>
        <v>2.96E-7</v>
      </c>
      <c r="G165" s="140">
        <f t="shared" si="54"/>
        <v>3.7000000000000006E-7</v>
      </c>
      <c r="H165" s="124">
        <f t="shared" si="6"/>
        <v>0.8</v>
      </c>
      <c r="I165" s="156">
        <f t="shared" si="7"/>
        <v>9.9999999999999995E-8</v>
      </c>
      <c r="K165" s="140">
        <f t="shared" si="8"/>
        <v>7.4000000000000003E-6</v>
      </c>
      <c r="L165">
        <v>0.74</v>
      </c>
      <c r="M165" s="140">
        <f t="shared" si="9"/>
        <v>7.3999999999999974E-8</v>
      </c>
      <c r="N165" s="140">
        <f t="shared" si="10"/>
        <v>1.4799999999999998E-7</v>
      </c>
      <c r="O165" s="140">
        <f t="shared" si="11"/>
        <v>2.22E-7</v>
      </c>
      <c r="P165" s="140">
        <f t="shared" si="12"/>
        <v>2.96E-7</v>
      </c>
      <c r="Q165" s="140">
        <f t="shared" si="13"/>
        <v>3.7000000000000006E-7</v>
      </c>
      <c r="R165" s="157">
        <f t="shared" si="14"/>
        <v>0.8</v>
      </c>
      <c r="S165" s="156">
        <f t="shared" si="15"/>
        <v>9.9999999999999995E-8</v>
      </c>
      <c r="U165" s="140">
        <f t="shared" si="16"/>
        <v>7.4000000000000003E-6</v>
      </c>
      <c r="V165">
        <v>0.74</v>
      </c>
      <c r="W165" s="140">
        <f t="shared" si="17"/>
        <v>7.3999999999999974E-8</v>
      </c>
      <c r="X165" s="140">
        <f t="shared" si="18"/>
        <v>1.4799999999999998E-7</v>
      </c>
      <c r="Y165" s="140">
        <f t="shared" si="19"/>
        <v>2.22E-7</v>
      </c>
      <c r="Z165" s="140">
        <f t="shared" si="20"/>
        <v>2.96E-7</v>
      </c>
      <c r="AA165" s="140">
        <f t="shared" si="21"/>
        <v>3.7000000000000006E-7</v>
      </c>
      <c r="AB165" s="157">
        <f t="shared" si="22"/>
        <v>0.8</v>
      </c>
      <c r="AC165" s="156">
        <f t="shared" si="23"/>
        <v>9.9999999999999995E-8</v>
      </c>
      <c r="AE165" s="140">
        <f t="shared" si="24"/>
        <v>7.4000000000000003E-6</v>
      </c>
      <c r="AF165">
        <v>0.74</v>
      </c>
      <c r="AG165" s="140">
        <f t="shared" si="25"/>
        <v>7.3999999999999974E-8</v>
      </c>
      <c r="AH165" s="140">
        <f t="shared" si="26"/>
        <v>1.4799999999999998E-7</v>
      </c>
      <c r="AI165" s="140">
        <f t="shared" si="27"/>
        <v>2.22E-7</v>
      </c>
      <c r="AJ165" s="140">
        <f t="shared" si="28"/>
        <v>2.96E-7</v>
      </c>
      <c r="AK165" s="140">
        <f t="shared" si="29"/>
        <v>3.7000000000000006E-7</v>
      </c>
      <c r="AL165" s="157">
        <f t="shared" si="30"/>
        <v>1.2</v>
      </c>
      <c r="AM165" s="156">
        <f t="shared" si="31"/>
        <v>9.9999999999999995E-8</v>
      </c>
      <c r="AO165" s="140">
        <f t="shared" si="32"/>
        <v>7.4000000000000003E-6</v>
      </c>
      <c r="AP165">
        <v>0.74</v>
      </c>
      <c r="AQ165" s="140">
        <f t="shared" si="33"/>
        <v>7.3999999999999974E-8</v>
      </c>
      <c r="AR165" s="140">
        <f t="shared" si="34"/>
        <v>1.4799999999999998E-7</v>
      </c>
      <c r="AS165" s="140">
        <f t="shared" si="35"/>
        <v>2.22E-7</v>
      </c>
      <c r="AT165" s="140">
        <f t="shared" si="36"/>
        <v>2.96E-7</v>
      </c>
      <c r="AU165" s="140">
        <f t="shared" si="37"/>
        <v>3.7000000000000006E-7</v>
      </c>
      <c r="AV165" s="157">
        <f t="shared" si="38"/>
        <v>1.2</v>
      </c>
      <c r="AW165" s="156">
        <f t="shared" si="39"/>
        <v>9.9999999999999995E-8</v>
      </c>
      <c r="AY165" s="140">
        <f t="shared" si="40"/>
        <v>7.4000000000000003E-6</v>
      </c>
      <c r="AZ165">
        <v>0.74</v>
      </c>
      <c r="BA165" s="140">
        <f t="shared" si="41"/>
        <v>7.3999999999999974E-8</v>
      </c>
      <c r="BB165" s="140">
        <f t="shared" si="42"/>
        <v>1.4799999999999998E-7</v>
      </c>
      <c r="BC165" s="140">
        <f t="shared" si="43"/>
        <v>2.22E-7</v>
      </c>
      <c r="BD165" s="140">
        <f t="shared" si="44"/>
        <v>2.96E-7</v>
      </c>
      <c r="BE165" s="140">
        <f t="shared" si="45"/>
        <v>3.7000000000000006E-7</v>
      </c>
      <c r="BF165" s="157">
        <f>IF(AY165&lt;$B$89*DATA!$H$1037,DATA!$H$1037,IF(AY165&gt;DATA!$H$1036*$B$89,DATA!$H$1036,1))</f>
        <v>1.2</v>
      </c>
      <c r="BG165" s="156">
        <f t="shared" si="46"/>
        <v>9.9999999999999995E-8</v>
      </c>
      <c r="BI165" s="140">
        <f t="shared" si="47"/>
        <v>7.4000000000000003E-6</v>
      </c>
      <c r="BJ165">
        <v>0.74</v>
      </c>
      <c r="BK165" s="140">
        <f t="shared" si="48"/>
        <v>7.3999999999999974E-8</v>
      </c>
      <c r="BL165" s="140">
        <f t="shared" si="49"/>
        <v>1.4799999999999998E-7</v>
      </c>
      <c r="BM165" s="140">
        <f t="shared" si="50"/>
        <v>2.22E-7</v>
      </c>
      <c r="BN165" s="140">
        <f t="shared" si="51"/>
        <v>2.96E-7</v>
      </c>
      <c r="BO165" s="140">
        <f t="shared" si="52"/>
        <v>3.7000000000000006E-7</v>
      </c>
      <c r="BP165" s="157">
        <f>IF(BI165&lt;$B$105*DATA!$H$1037,DATA!$H$1037,IF(BI165&gt;DATA!$H$1036*$B$105,DATA!$H$1036,1))</f>
        <v>1.2</v>
      </c>
      <c r="BQ165" s="156">
        <f t="shared" si="53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4"/>
        <v>7.5999999999999979E-8</v>
      </c>
      <c r="D166" s="140">
        <f t="shared" si="54"/>
        <v>1.5199999999999998E-7</v>
      </c>
      <c r="E166" s="140">
        <f t="shared" si="54"/>
        <v>2.2800000000000003E-7</v>
      </c>
      <c r="F166" s="140">
        <f t="shared" si="54"/>
        <v>3.0400000000000002E-7</v>
      </c>
      <c r="G166" s="140">
        <f t="shared" si="54"/>
        <v>3.8000000000000007E-7</v>
      </c>
      <c r="H166" s="124">
        <f t="shared" si="6"/>
        <v>0.8</v>
      </c>
      <c r="I166" s="156">
        <f t="shared" si="7"/>
        <v>9.9999999999999995E-8</v>
      </c>
      <c r="K166" s="140">
        <f t="shared" si="8"/>
        <v>7.6000000000000009E-6</v>
      </c>
      <c r="L166">
        <v>0.76</v>
      </c>
      <c r="M166" s="140">
        <f t="shared" si="9"/>
        <v>7.5999999999999979E-8</v>
      </c>
      <c r="N166" s="140">
        <f t="shared" si="10"/>
        <v>1.5199999999999998E-7</v>
      </c>
      <c r="O166" s="140">
        <f t="shared" si="11"/>
        <v>2.2800000000000003E-7</v>
      </c>
      <c r="P166" s="140">
        <f t="shared" si="12"/>
        <v>3.0400000000000002E-7</v>
      </c>
      <c r="Q166" s="140">
        <f t="shared" si="13"/>
        <v>3.8000000000000007E-7</v>
      </c>
      <c r="R166" s="157">
        <f t="shared" si="14"/>
        <v>0.8</v>
      </c>
      <c r="S166" s="156">
        <f t="shared" si="15"/>
        <v>9.9999999999999995E-8</v>
      </c>
      <c r="U166" s="140">
        <f t="shared" si="16"/>
        <v>7.6000000000000009E-6</v>
      </c>
      <c r="V166">
        <v>0.76</v>
      </c>
      <c r="W166" s="140">
        <f t="shared" si="17"/>
        <v>7.5999999999999979E-8</v>
      </c>
      <c r="X166" s="140">
        <f t="shared" si="18"/>
        <v>1.5199999999999998E-7</v>
      </c>
      <c r="Y166" s="140">
        <f t="shared" si="19"/>
        <v>2.2800000000000003E-7</v>
      </c>
      <c r="Z166" s="140">
        <f t="shared" si="20"/>
        <v>3.0400000000000002E-7</v>
      </c>
      <c r="AA166" s="140">
        <f t="shared" si="21"/>
        <v>3.8000000000000007E-7</v>
      </c>
      <c r="AB166" s="157">
        <f t="shared" si="22"/>
        <v>0.8</v>
      </c>
      <c r="AC166" s="156">
        <f t="shared" si="23"/>
        <v>9.9999999999999995E-8</v>
      </c>
      <c r="AE166" s="140">
        <f t="shared" si="24"/>
        <v>7.6000000000000009E-6</v>
      </c>
      <c r="AF166">
        <v>0.76</v>
      </c>
      <c r="AG166" s="140">
        <f t="shared" si="25"/>
        <v>7.5999999999999979E-8</v>
      </c>
      <c r="AH166" s="140">
        <f t="shared" si="26"/>
        <v>1.5199999999999998E-7</v>
      </c>
      <c r="AI166" s="140">
        <f t="shared" si="27"/>
        <v>2.2800000000000003E-7</v>
      </c>
      <c r="AJ166" s="140">
        <f t="shared" si="28"/>
        <v>3.0400000000000002E-7</v>
      </c>
      <c r="AK166" s="140">
        <f t="shared" si="29"/>
        <v>3.8000000000000007E-7</v>
      </c>
      <c r="AL166" s="157">
        <f t="shared" si="30"/>
        <v>1.2</v>
      </c>
      <c r="AM166" s="156">
        <f t="shared" si="31"/>
        <v>9.9999999999999995E-8</v>
      </c>
      <c r="AO166" s="140">
        <f t="shared" si="32"/>
        <v>7.6000000000000009E-6</v>
      </c>
      <c r="AP166">
        <v>0.76</v>
      </c>
      <c r="AQ166" s="140">
        <f t="shared" si="33"/>
        <v>7.5999999999999979E-8</v>
      </c>
      <c r="AR166" s="140">
        <f t="shared" si="34"/>
        <v>1.5199999999999998E-7</v>
      </c>
      <c r="AS166" s="140">
        <f t="shared" si="35"/>
        <v>2.2800000000000003E-7</v>
      </c>
      <c r="AT166" s="140">
        <f t="shared" si="36"/>
        <v>3.0400000000000002E-7</v>
      </c>
      <c r="AU166" s="140">
        <f t="shared" si="37"/>
        <v>3.8000000000000007E-7</v>
      </c>
      <c r="AV166" s="157">
        <f t="shared" si="38"/>
        <v>1.2</v>
      </c>
      <c r="AW166" s="156">
        <f t="shared" si="39"/>
        <v>9.9999999999999995E-8</v>
      </c>
      <c r="AY166" s="140">
        <f t="shared" si="40"/>
        <v>7.6000000000000009E-6</v>
      </c>
      <c r="AZ166">
        <v>0.76</v>
      </c>
      <c r="BA166" s="140">
        <f t="shared" si="41"/>
        <v>7.5999999999999979E-8</v>
      </c>
      <c r="BB166" s="140">
        <f t="shared" si="42"/>
        <v>1.5199999999999998E-7</v>
      </c>
      <c r="BC166" s="140">
        <f t="shared" si="43"/>
        <v>2.2800000000000003E-7</v>
      </c>
      <c r="BD166" s="140">
        <f t="shared" si="44"/>
        <v>3.0400000000000002E-7</v>
      </c>
      <c r="BE166" s="140">
        <f t="shared" si="45"/>
        <v>3.8000000000000007E-7</v>
      </c>
      <c r="BF166" s="157">
        <f>IF(AY166&lt;$B$89*DATA!$H$1037,DATA!$H$1037,IF(AY166&gt;DATA!$H$1036*$B$89,DATA!$H$1036,1))</f>
        <v>1.2</v>
      </c>
      <c r="BG166" s="156">
        <f t="shared" si="46"/>
        <v>9.9999999999999995E-8</v>
      </c>
      <c r="BI166" s="140">
        <f t="shared" si="47"/>
        <v>7.6000000000000009E-6</v>
      </c>
      <c r="BJ166">
        <v>0.76</v>
      </c>
      <c r="BK166" s="140">
        <f t="shared" si="48"/>
        <v>7.5999999999999979E-8</v>
      </c>
      <c r="BL166" s="140">
        <f t="shared" si="49"/>
        <v>1.5199999999999998E-7</v>
      </c>
      <c r="BM166" s="140">
        <f t="shared" si="50"/>
        <v>2.2800000000000003E-7</v>
      </c>
      <c r="BN166" s="140">
        <f t="shared" si="51"/>
        <v>3.0400000000000002E-7</v>
      </c>
      <c r="BO166" s="140">
        <f t="shared" si="52"/>
        <v>3.8000000000000007E-7</v>
      </c>
      <c r="BP166" s="157">
        <f>IF(BI166&lt;$B$105*DATA!$H$1037,DATA!$H$1037,IF(BI166&gt;DATA!$H$1036*$B$105,DATA!$H$1036,1))</f>
        <v>1.2</v>
      </c>
      <c r="BQ166" s="156">
        <f t="shared" si="53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4"/>
        <v>7.7999999999999984E-8</v>
      </c>
      <c r="D167" s="140">
        <f t="shared" si="54"/>
        <v>1.5600000000000002E-7</v>
      </c>
      <c r="E167" s="140">
        <f t="shared" si="54"/>
        <v>2.3400000000000003E-7</v>
      </c>
      <c r="F167" s="140">
        <f t="shared" si="54"/>
        <v>3.1200000000000009E-7</v>
      </c>
      <c r="G167" s="140">
        <f t="shared" si="54"/>
        <v>3.9000000000000008E-7</v>
      </c>
      <c r="H167" s="124">
        <f t="shared" si="6"/>
        <v>0.8</v>
      </c>
      <c r="I167" s="156">
        <f t="shared" si="7"/>
        <v>9.9999999999999995E-8</v>
      </c>
      <c r="K167" s="140">
        <f t="shared" si="8"/>
        <v>7.8000000000000016E-6</v>
      </c>
      <c r="L167">
        <v>0.78</v>
      </c>
      <c r="M167" s="140">
        <f t="shared" si="9"/>
        <v>7.7999999999999984E-8</v>
      </c>
      <c r="N167" s="140">
        <f t="shared" si="10"/>
        <v>1.5600000000000002E-7</v>
      </c>
      <c r="O167" s="140">
        <f t="shared" si="11"/>
        <v>2.3400000000000003E-7</v>
      </c>
      <c r="P167" s="140">
        <f t="shared" si="12"/>
        <v>3.1200000000000009E-7</v>
      </c>
      <c r="Q167" s="140">
        <f t="shared" si="13"/>
        <v>3.9000000000000008E-7</v>
      </c>
      <c r="R167" s="157">
        <f t="shared" si="14"/>
        <v>0.8</v>
      </c>
      <c r="S167" s="156">
        <f t="shared" si="15"/>
        <v>9.9999999999999995E-8</v>
      </c>
      <c r="U167" s="140">
        <f t="shared" si="16"/>
        <v>7.8000000000000016E-6</v>
      </c>
      <c r="V167">
        <v>0.78</v>
      </c>
      <c r="W167" s="140">
        <f t="shared" si="17"/>
        <v>7.7999999999999984E-8</v>
      </c>
      <c r="X167" s="140">
        <f t="shared" si="18"/>
        <v>1.5600000000000002E-7</v>
      </c>
      <c r="Y167" s="140">
        <f t="shared" si="19"/>
        <v>2.3400000000000003E-7</v>
      </c>
      <c r="Z167" s="140">
        <f t="shared" si="20"/>
        <v>3.1200000000000009E-7</v>
      </c>
      <c r="AA167" s="140">
        <f t="shared" si="21"/>
        <v>3.9000000000000008E-7</v>
      </c>
      <c r="AB167" s="157">
        <f t="shared" si="22"/>
        <v>0.8</v>
      </c>
      <c r="AC167" s="156">
        <f t="shared" si="23"/>
        <v>9.9999999999999995E-8</v>
      </c>
      <c r="AE167" s="140">
        <f t="shared" si="24"/>
        <v>7.8000000000000016E-6</v>
      </c>
      <c r="AF167">
        <v>0.78</v>
      </c>
      <c r="AG167" s="140">
        <f t="shared" si="25"/>
        <v>7.7999999999999984E-8</v>
      </c>
      <c r="AH167" s="140">
        <f t="shared" si="26"/>
        <v>1.5600000000000002E-7</v>
      </c>
      <c r="AI167" s="140">
        <f t="shared" si="27"/>
        <v>2.3400000000000003E-7</v>
      </c>
      <c r="AJ167" s="140">
        <f t="shared" si="28"/>
        <v>3.1200000000000009E-7</v>
      </c>
      <c r="AK167" s="140">
        <f t="shared" si="29"/>
        <v>3.9000000000000008E-7</v>
      </c>
      <c r="AL167" s="157">
        <f t="shared" si="30"/>
        <v>1.2</v>
      </c>
      <c r="AM167" s="156">
        <f t="shared" si="31"/>
        <v>9.9999999999999995E-8</v>
      </c>
      <c r="AO167" s="140">
        <f t="shared" si="32"/>
        <v>7.8000000000000016E-6</v>
      </c>
      <c r="AP167">
        <v>0.78</v>
      </c>
      <c r="AQ167" s="140">
        <f t="shared" si="33"/>
        <v>7.7999999999999984E-8</v>
      </c>
      <c r="AR167" s="140">
        <f t="shared" si="34"/>
        <v>1.5600000000000002E-7</v>
      </c>
      <c r="AS167" s="140">
        <f t="shared" si="35"/>
        <v>2.3400000000000003E-7</v>
      </c>
      <c r="AT167" s="140">
        <f t="shared" si="36"/>
        <v>3.1200000000000009E-7</v>
      </c>
      <c r="AU167" s="140">
        <f t="shared" si="37"/>
        <v>3.9000000000000008E-7</v>
      </c>
      <c r="AV167" s="157">
        <f t="shared" si="38"/>
        <v>1.2</v>
      </c>
      <c r="AW167" s="156">
        <f t="shared" si="39"/>
        <v>9.9999999999999995E-8</v>
      </c>
      <c r="AY167" s="140">
        <f t="shared" si="40"/>
        <v>7.8000000000000016E-6</v>
      </c>
      <c r="AZ167">
        <v>0.78</v>
      </c>
      <c r="BA167" s="140">
        <f t="shared" si="41"/>
        <v>7.7999999999999984E-8</v>
      </c>
      <c r="BB167" s="140">
        <f t="shared" si="42"/>
        <v>1.5600000000000002E-7</v>
      </c>
      <c r="BC167" s="140">
        <f t="shared" si="43"/>
        <v>2.3400000000000003E-7</v>
      </c>
      <c r="BD167" s="140">
        <f t="shared" si="44"/>
        <v>3.1200000000000009E-7</v>
      </c>
      <c r="BE167" s="140">
        <f t="shared" si="45"/>
        <v>3.9000000000000008E-7</v>
      </c>
      <c r="BF167" s="157">
        <f>IF(AY167&lt;$B$89*DATA!$H$1037,DATA!$H$1037,IF(AY167&gt;DATA!$H$1036*$B$89,DATA!$H$1036,1))</f>
        <v>1.2</v>
      </c>
      <c r="BG167" s="156">
        <f t="shared" si="46"/>
        <v>9.9999999999999995E-8</v>
      </c>
      <c r="BI167" s="140">
        <f t="shared" si="47"/>
        <v>7.8000000000000016E-6</v>
      </c>
      <c r="BJ167">
        <v>0.78</v>
      </c>
      <c r="BK167" s="140">
        <f t="shared" si="48"/>
        <v>7.7999999999999984E-8</v>
      </c>
      <c r="BL167" s="140">
        <f t="shared" si="49"/>
        <v>1.5600000000000002E-7</v>
      </c>
      <c r="BM167" s="140">
        <f t="shared" si="50"/>
        <v>2.3400000000000003E-7</v>
      </c>
      <c r="BN167" s="140">
        <f t="shared" si="51"/>
        <v>3.1200000000000009E-7</v>
      </c>
      <c r="BO167" s="140">
        <f t="shared" si="52"/>
        <v>3.9000000000000008E-7</v>
      </c>
      <c r="BP167" s="157">
        <f>IF(BI167&lt;$B$105*DATA!$H$1037,DATA!$H$1037,IF(BI167&gt;DATA!$H$1036*$B$105,DATA!$H$1036,1))</f>
        <v>1.2</v>
      </c>
      <c r="BQ167" s="156">
        <f t="shared" si="53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4"/>
        <v>7.9999999999999988E-8</v>
      </c>
      <c r="D168" s="140">
        <f t="shared" si="54"/>
        <v>1.6E-7</v>
      </c>
      <c r="E168" s="140">
        <f t="shared" si="54"/>
        <v>2.4000000000000003E-7</v>
      </c>
      <c r="F168" s="140">
        <f t="shared" si="54"/>
        <v>3.2000000000000006E-7</v>
      </c>
      <c r="G168" s="140">
        <f t="shared" si="54"/>
        <v>4.0000000000000009E-7</v>
      </c>
      <c r="H168" s="124">
        <f t="shared" si="6"/>
        <v>0.8</v>
      </c>
      <c r="I168" s="156">
        <f t="shared" si="7"/>
        <v>9.9999999999999995E-8</v>
      </c>
      <c r="K168" s="140">
        <f t="shared" si="8"/>
        <v>8.0000000000000013E-6</v>
      </c>
      <c r="L168">
        <v>0.8</v>
      </c>
      <c r="M168" s="140">
        <f t="shared" si="9"/>
        <v>7.9999999999999988E-8</v>
      </c>
      <c r="N168" s="140">
        <f t="shared" si="10"/>
        <v>1.6E-7</v>
      </c>
      <c r="O168" s="140">
        <f t="shared" si="11"/>
        <v>2.4000000000000003E-7</v>
      </c>
      <c r="P168" s="140">
        <f t="shared" si="12"/>
        <v>3.2000000000000006E-7</v>
      </c>
      <c r="Q168" s="140">
        <f t="shared" si="13"/>
        <v>4.0000000000000009E-7</v>
      </c>
      <c r="R168" s="157">
        <f t="shared" si="14"/>
        <v>0.8</v>
      </c>
      <c r="S168" s="156">
        <f t="shared" si="15"/>
        <v>9.9999999999999995E-8</v>
      </c>
      <c r="U168" s="140">
        <f t="shared" si="16"/>
        <v>8.0000000000000013E-6</v>
      </c>
      <c r="V168">
        <v>0.8</v>
      </c>
      <c r="W168" s="140">
        <f t="shared" si="17"/>
        <v>7.9999999999999988E-8</v>
      </c>
      <c r="X168" s="140">
        <f t="shared" si="18"/>
        <v>1.6E-7</v>
      </c>
      <c r="Y168" s="140">
        <f t="shared" si="19"/>
        <v>2.4000000000000003E-7</v>
      </c>
      <c r="Z168" s="140">
        <f t="shared" si="20"/>
        <v>3.2000000000000006E-7</v>
      </c>
      <c r="AA168" s="140">
        <f t="shared" si="21"/>
        <v>4.0000000000000009E-7</v>
      </c>
      <c r="AB168" s="157">
        <f t="shared" si="22"/>
        <v>0.8</v>
      </c>
      <c r="AC168" s="156">
        <f t="shared" si="23"/>
        <v>9.9999999999999995E-8</v>
      </c>
      <c r="AE168" s="140">
        <f t="shared" si="24"/>
        <v>8.0000000000000013E-6</v>
      </c>
      <c r="AF168">
        <v>0.8</v>
      </c>
      <c r="AG168" s="140">
        <f t="shared" si="25"/>
        <v>7.9999999999999988E-8</v>
      </c>
      <c r="AH168" s="140">
        <f t="shared" si="26"/>
        <v>1.6E-7</v>
      </c>
      <c r="AI168" s="140">
        <f t="shared" si="27"/>
        <v>2.4000000000000003E-7</v>
      </c>
      <c r="AJ168" s="140">
        <f t="shared" si="28"/>
        <v>3.2000000000000006E-7</v>
      </c>
      <c r="AK168" s="140">
        <f t="shared" si="29"/>
        <v>4.0000000000000009E-7</v>
      </c>
      <c r="AL168" s="157">
        <f t="shared" si="30"/>
        <v>1.2</v>
      </c>
      <c r="AM168" s="156">
        <f t="shared" si="31"/>
        <v>9.9999999999999995E-8</v>
      </c>
      <c r="AO168" s="140">
        <f t="shared" si="32"/>
        <v>8.0000000000000013E-6</v>
      </c>
      <c r="AP168">
        <v>0.8</v>
      </c>
      <c r="AQ168" s="140">
        <f t="shared" si="33"/>
        <v>7.9999999999999988E-8</v>
      </c>
      <c r="AR168" s="140">
        <f t="shared" si="34"/>
        <v>1.6E-7</v>
      </c>
      <c r="AS168" s="140">
        <f t="shared" si="35"/>
        <v>2.4000000000000003E-7</v>
      </c>
      <c r="AT168" s="140">
        <f t="shared" si="36"/>
        <v>3.2000000000000006E-7</v>
      </c>
      <c r="AU168" s="140">
        <f t="shared" si="37"/>
        <v>4.0000000000000009E-7</v>
      </c>
      <c r="AV168" s="157">
        <f t="shared" si="38"/>
        <v>1.2</v>
      </c>
      <c r="AW168" s="156">
        <f t="shared" si="39"/>
        <v>9.9999999999999995E-8</v>
      </c>
      <c r="AY168" s="140">
        <f t="shared" si="40"/>
        <v>8.0000000000000013E-6</v>
      </c>
      <c r="AZ168">
        <v>0.8</v>
      </c>
      <c r="BA168" s="140">
        <f t="shared" si="41"/>
        <v>7.9999999999999988E-8</v>
      </c>
      <c r="BB168" s="140">
        <f t="shared" si="42"/>
        <v>1.6E-7</v>
      </c>
      <c r="BC168" s="140">
        <f t="shared" si="43"/>
        <v>2.4000000000000003E-7</v>
      </c>
      <c r="BD168" s="140">
        <f t="shared" si="44"/>
        <v>3.2000000000000006E-7</v>
      </c>
      <c r="BE168" s="140">
        <f t="shared" si="45"/>
        <v>4.0000000000000009E-7</v>
      </c>
      <c r="BF168" s="157">
        <f>IF(AY168&lt;$B$89*DATA!$H$1037,DATA!$H$1037,IF(AY168&gt;DATA!$H$1036*$B$89,DATA!$H$1036,1))</f>
        <v>1.2</v>
      </c>
      <c r="BG168" s="156">
        <f t="shared" si="46"/>
        <v>9.9999999999999995E-8</v>
      </c>
      <c r="BI168" s="140">
        <f t="shared" si="47"/>
        <v>8.0000000000000013E-6</v>
      </c>
      <c r="BJ168">
        <v>0.8</v>
      </c>
      <c r="BK168" s="140">
        <f t="shared" si="48"/>
        <v>7.9999999999999988E-8</v>
      </c>
      <c r="BL168" s="140">
        <f t="shared" si="49"/>
        <v>1.6E-7</v>
      </c>
      <c r="BM168" s="140">
        <f t="shared" si="50"/>
        <v>2.4000000000000003E-7</v>
      </c>
      <c r="BN168" s="140">
        <f t="shared" si="51"/>
        <v>3.2000000000000006E-7</v>
      </c>
      <c r="BO168" s="140">
        <f t="shared" si="52"/>
        <v>4.0000000000000009E-7</v>
      </c>
      <c r="BP168" s="157">
        <f>IF(BI168&lt;$B$105*DATA!$H$1037,DATA!$H$1037,IF(BI168&gt;DATA!$H$1036*$B$105,DATA!$H$1036,1))</f>
        <v>1.2</v>
      </c>
      <c r="BQ168" s="156">
        <f t="shared" si="53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4"/>
        <v>8.1999999999999967E-8</v>
      </c>
      <c r="D169" s="140">
        <f t="shared" si="54"/>
        <v>1.6399999999999996E-7</v>
      </c>
      <c r="E169" s="140">
        <f t="shared" si="54"/>
        <v>2.4599999999999995E-7</v>
      </c>
      <c r="F169" s="140">
        <f t="shared" si="54"/>
        <v>3.2799999999999997E-7</v>
      </c>
      <c r="G169" s="140">
        <f t="shared" si="54"/>
        <v>4.0999999999999999E-7</v>
      </c>
      <c r="H169" s="124">
        <f t="shared" si="6"/>
        <v>0.8</v>
      </c>
      <c r="I169" s="156">
        <f t="shared" si="7"/>
        <v>9.9999999999999995E-8</v>
      </c>
      <c r="K169" s="140">
        <f t="shared" si="8"/>
        <v>8.1999999999999994E-6</v>
      </c>
      <c r="L169">
        <v>0.82</v>
      </c>
      <c r="M169" s="140">
        <f t="shared" si="9"/>
        <v>8.1999999999999967E-8</v>
      </c>
      <c r="N169" s="140">
        <f t="shared" si="10"/>
        <v>1.6399999999999996E-7</v>
      </c>
      <c r="O169" s="140">
        <f t="shared" si="11"/>
        <v>2.4599999999999995E-7</v>
      </c>
      <c r="P169" s="140">
        <f t="shared" si="12"/>
        <v>3.2799999999999997E-7</v>
      </c>
      <c r="Q169" s="140">
        <f t="shared" si="13"/>
        <v>4.0999999999999999E-7</v>
      </c>
      <c r="R169" s="157">
        <f t="shared" si="14"/>
        <v>0.8</v>
      </c>
      <c r="S169" s="156">
        <f t="shared" si="15"/>
        <v>9.9999999999999995E-8</v>
      </c>
      <c r="U169" s="140">
        <f t="shared" si="16"/>
        <v>8.1999999999999994E-6</v>
      </c>
      <c r="V169">
        <v>0.82</v>
      </c>
      <c r="W169" s="140">
        <f t="shared" si="17"/>
        <v>8.1999999999999967E-8</v>
      </c>
      <c r="X169" s="140">
        <f t="shared" si="18"/>
        <v>1.6399999999999996E-7</v>
      </c>
      <c r="Y169" s="140">
        <f t="shared" si="19"/>
        <v>2.4599999999999995E-7</v>
      </c>
      <c r="Z169" s="140">
        <f t="shared" si="20"/>
        <v>3.2799999999999997E-7</v>
      </c>
      <c r="AA169" s="140">
        <f t="shared" si="21"/>
        <v>4.0999999999999999E-7</v>
      </c>
      <c r="AB169" s="157">
        <f t="shared" si="22"/>
        <v>0.8</v>
      </c>
      <c r="AC169" s="156">
        <f t="shared" si="23"/>
        <v>9.9999999999999995E-8</v>
      </c>
      <c r="AE169" s="140">
        <f t="shared" si="24"/>
        <v>8.1999999999999994E-6</v>
      </c>
      <c r="AF169">
        <v>0.82</v>
      </c>
      <c r="AG169" s="140">
        <f t="shared" si="25"/>
        <v>8.1999999999999967E-8</v>
      </c>
      <c r="AH169" s="140">
        <f t="shared" si="26"/>
        <v>1.6399999999999996E-7</v>
      </c>
      <c r="AI169" s="140">
        <f t="shared" si="27"/>
        <v>2.4599999999999995E-7</v>
      </c>
      <c r="AJ169" s="140">
        <f t="shared" si="28"/>
        <v>3.2799999999999997E-7</v>
      </c>
      <c r="AK169" s="140">
        <f t="shared" si="29"/>
        <v>4.0999999999999999E-7</v>
      </c>
      <c r="AL169" s="157">
        <f t="shared" si="30"/>
        <v>1.2</v>
      </c>
      <c r="AM169" s="156">
        <f t="shared" si="31"/>
        <v>9.9999999999999995E-8</v>
      </c>
      <c r="AO169" s="140">
        <f t="shared" si="32"/>
        <v>8.1999999999999994E-6</v>
      </c>
      <c r="AP169">
        <v>0.82</v>
      </c>
      <c r="AQ169" s="140">
        <f t="shared" si="33"/>
        <v>8.1999999999999967E-8</v>
      </c>
      <c r="AR169" s="140">
        <f t="shared" si="34"/>
        <v>1.6399999999999996E-7</v>
      </c>
      <c r="AS169" s="140">
        <f t="shared" si="35"/>
        <v>2.4599999999999995E-7</v>
      </c>
      <c r="AT169" s="140">
        <f t="shared" si="36"/>
        <v>3.2799999999999997E-7</v>
      </c>
      <c r="AU169" s="140">
        <f t="shared" si="37"/>
        <v>4.0999999999999999E-7</v>
      </c>
      <c r="AV169" s="157">
        <f t="shared" si="38"/>
        <v>1.2</v>
      </c>
      <c r="AW169" s="156">
        <f t="shared" si="39"/>
        <v>9.9999999999999995E-8</v>
      </c>
      <c r="AY169" s="140">
        <f t="shared" si="40"/>
        <v>8.1999999999999994E-6</v>
      </c>
      <c r="AZ169">
        <v>0.82</v>
      </c>
      <c r="BA169" s="140">
        <f t="shared" si="41"/>
        <v>8.1999999999999967E-8</v>
      </c>
      <c r="BB169" s="140">
        <f t="shared" si="42"/>
        <v>1.6399999999999996E-7</v>
      </c>
      <c r="BC169" s="140">
        <f t="shared" si="43"/>
        <v>2.4599999999999995E-7</v>
      </c>
      <c r="BD169" s="140">
        <f t="shared" si="44"/>
        <v>3.2799999999999997E-7</v>
      </c>
      <c r="BE169" s="140">
        <f t="shared" si="45"/>
        <v>4.0999999999999999E-7</v>
      </c>
      <c r="BF169" s="157">
        <f>IF(AY169&lt;$B$89*DATA!$H$1037,DATA!$H$1037,IF(AY169&gt;DATA!$H$1036*$B$89,DATA!$H$1036,1))</f>
        <v>1.2</v>
      </c>
      <c r="BG169" s="156">
        <f t="shared" si="46"/>
        <v>9.9999999999999995E-8</v>
      </c>
      <c r="BI169" s="140">
        <f t="shared" si="47"/>
        <v>8.1999999999999994E-6</v>
      </c>
      <c r="BJ169">
        <v>0.82</v>
      </c>
      <c r="BK169" s="140">
        <f t="shared" si="48"/>
        <v>8.1999999999999967E-8</v>
      </c>
      <c r="BL169" s="140">
        <f t="shared" si="49"/>
        <v>1.6399999999999996E-7</v>
      </c>
      <c r="BM169" s="140">
        <f t="shared" si="50"/>
        <v>2.4599999999999995E-7</v>
      </c>
      <c r="BN169" s="140">
        <f t="shared" si="51"/>
        <v>3.2799999999999997E-7</v>
      </c>
      <c r="BO169" s="140">
        <f t="shared" si="52"/>
        <v>4.0999999999999999E-7</v>
      </c>
      <c r="BP169" s="157">
        <f>IF(BI169&lt;$B$105*DATA!$H$1037,DATA!$H$1037,IF(BI169&gt;DATA!$H$1036*$B$105,DATA!$H$1036,1))</f>
        <v>1.2</v>
      </c>
      <c r="BQ169" s="156">
        <f t="shared" si="53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4"/>
        <v>8.3999999999999985E-8</v>
      </c>
      <c r="D170" s="140">
        <f t="shared" si="54"/>
        <v>1.68E-7</v>
      </c>
      <c r="E170" s="140">
        <f t="shared" si="54"/>
        <v>2.5200000000000003E-7</v>
      </c>
      <c r="F170" s="140">
        <f t="shared" si="54"/>
        <v>3.3600000000000004E-7</v>
      </c>
      <c r="G170" s="140">
        <f t="shared" si="54"/>
        <v>4.2000000000000006E-7</v>
      </c>
      <c r="H170" s="124">
        <f t="shared" si="6"/>
        <v>0.8</v>
      </c>
      <c r="I170" s="156">
        <f t="shared" si="7"/>
        <v>9.9999999999999995E-8</v>
      </c>
      <c r="K170" s="140">
        <f t="shared" si="8"/>
        <v>8.4000000000000009E-6</v>
      </c>
      <c r="L170">
        <v>0.84</v>
      </c>
      <c r="M170" s="140">
        <f t="shared" si="9"/>
        <v>8.3999999999999985E-8</v>
      </c>
      <c r="N170" s="140">
        <f t="shared" si="10"/>
        <v>1.68E-7</v>
      </c>
      <c r="O170" s="140">
        <f t="shared" si="11"/>
        <v>2.5200000000000003E-7</v>
      </c>
      <c r="P170" s="140">
        <f t="shared" si="12"/>
        <v>3.3600000000000004E-7</v>
      </c>
      <c r="Q170" s="140">
        <f t="shared" si="13"/>
        <v>4.2000000000000006E-7</v>
      </c>
      <c r="R170" s="157">
        <f t="shared" si="14"/>
        <v>0.8</v>
      </c>
      <c r="S170" s="156">
        <f t="shared" si="15"/>
        <v>9.9999999999999995E-8</v>
      </c>
      <c r="U170" s="140">
        <f t="shared" si="16"/>
        <v>8.4000000000000009E-6</v>
      </c>
      <c r="V170">
        <v>0.84</v>
      </c>
      <c r="W170" s="140">
        <f t="shared" si="17"/>
        <v>8.3999999999999985E-8</v>
      </c>
      <c r="X170" s="140">
        <f t="shared" si="18"/>
        <v>1.68E-7</v>
      </c>
      <c r="Y170" s="140">
        <f t="shared" si="19"/>
        <v>2.5200000000000003E-7</v>
      </c>
      <c r="Z170" s="140">
        <f t="shared" si="20"/>
        <v>3.3600000000000004E-7</v>
      </c>
      <c r="AA170" s="140">
        <f t="shared" si="21"/>
        <v>4.2000000000000006E-7</v>
      </c>
      <c r="AB170" s="157">
        <f t="shared" si="22"/>
        <v>0.8</v>
      </c>
      <c r="AC170" s="156">
        <f t="shared" si="23"/>
        <v>9.9999999999999995E-8</v>
      </c>
      <c r="AE170" s="140">
        <f t="shared" si="24"/>
        <v>8.4000000000000009E-6</v>
      </c>
      <c r="AF170">
        <v>0.84</v>
      </c>
      <c r="AG170" s="140">
        <f t="shared" si="25"/>
        <v>8.3999999999999985E-8</v>
      </c>
      <c r="AH170" s="140">
        <f t="shared" si="26"/>
        <v>1.68E-7</v>
      </c>
      <c r="AI170" s="140">
        <f t="shared" si="27"/>
        <v>2.5200000000000003E-7</v>
      </c>
      <c r="AJ170" s="140">
        <f t="shared" si="28"/>
        <v>3.3600000000000004E-7</v>
      </c>
      <c r="AK170" s="140">
        <f t="shared" si="29"/>
        <v>4.2000000000000006E-7</v>
      </c>
      <c r="AL170" s="157">
        <f t="shared" si="30"/>
        <v>1.2</v>
      </c>
      <c r="AM170" s="156">
        <f t="shared" si="31"/>
        <v>9.9999999999999995E-8</v>
      </c>
      <c r="AO170" s="140">
        <f t="shared" si="32"/>
        <v>8.4000000000000009E-6</v>
      </c>
      <c r="AP170">
        <v>0.84</v>
      </c>
      <c r="AQ170" s="140">
        <f t="shared" si="33"/>
        <v>8.3999999999999985E-8</v>
      </c>
      <c r="AR170" s="140">
        <f t="shared" si="34"/>
        <v>1.68E-7</v>
      </c>
      <c r="AS170" s="140">
        <f t="shared" si="35"/>
        <v>2.5200000000000003E-7</v>
      </c>
      <c r="AT170" s="140">
        <f t="shared" si="36"/>
        <v>3.3600000000000004E-7</v>
      </c>
      <c r="AU170" s="140">
        <f t="shared" si="37"/>
        <v>4.2000000000000006E-7</v>
      </c>
      <c r="AV170" s="157">
        <f t="shared" si="38"/>
        <v>1.2</v>
      </c>
      <c r="AW170" s="156">
        <f t="shared" si="39"/>
        <v>9.9999999999999995E-8</v>
      </c>
      <c r="AY170" s="140">
        <f t="shared" si="40"/>
        <v>8.4000000000000009E-6</v>
      </c>
      <c r="AZ170">
        <v>0.84</v>
      </c>
      <c r="BA170" s="140">
        <f t="shared" si="41"/>
        <v>8.3999999999999985E-8</v>
      </c>
      <c r="BB170" s="140">
        <f t="shared" si="42"/>
        <v>1.68E-7</v>
      </c>
      <c r="BC170" s="140">
        <f t="shared" si="43"/>
        <v>2.5200000000000003E-7</v>
      </c>
      <c r="BD170" s="140">
        <f t="shared" si="44"/>
        <v>3.3600000000000004E-7</v>
      </c>
      <c r="BE170" s="140">
        <f t="shared" si="45"/>
        <v>4.2000000000000006E-7</v>
      </c>
      <c r="BF170" s="157">
        <f>IF(AY170&lt;$B$89*DATA!$H$1037,DATA!$H$1037,IF(AY170&gt;DATA!$H$1036*$B$89,DATA!$H$1036,1))</f>
        <v>1.2</v>
      </c>
      <c r="BG170" s="156">
        <f t="shared" si="46"/>
        <v>9.9999999999999995E-8</v>
      </c>
      <c r="BI170" s="140">
        <f t="shared" si="47"/>
        <v>8.4000000000000009E-6</v>
      </c>
      <c r="BJ170">
        <v>0.84</v>
      </c>
      <c r="BK170" s="140">
        <f t="shared" si="48"/>
        <v>8.3999999999999985E-8</v>
      </c>
      <c r="BL170" s="140">
        <f t="shared" si="49"/>
        <v>1.68E-7</v>
      </c>
      <c r="BM170" s="140">
        <f t="shared" si="50"/>
        <v>2.5200000000000003E-7</v>
      </c>
      <c r="BN170" s="140">
        <f t="shared" si="51"/>
        <v>3.3600000000000004E-7</v>
      </c>
      <c r="BO170" s="140">
        <f t="shared" si="52"/>
        <v>4.2000000000000006E-7</v>
      </c>
      <c r="BP170" s="157">
        <f>IF(BI170&lt;$B$105*DATA!$H$1037,DATA!$H$1037,IF(BI170&gt;DATA!$H$1036*$B$105,DATA!$H$1036,1))</f>
        <v>1.2</v>
      </c>
      <c r="BQ170" s="156">
        <f t="shared" si="53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4"/>
        <v>8.5999999999999976E-8</v>
      </c>
      <c r="D171" s="140">
        <f t="shared" si="54"/>
        <v>1.7199999999999998E-7</v>
      </c>
      <c r="E171" s="140">
        <f t="shared" si="54"/>
        <v>2.5800000000000001E-7</v>
      </c>
      <c r="F171" s="140">
        <f t="shared" si="54"/>
        <v>3.4400000000000001E-7</v>
      </c>
      <c r="G171" s="140">
        <f t="shared" si="54"/>
        <v>4.3000000000000007E-7</v>
      </c>
      <c r="H171" s="124">
        <f t="shared" si="6"/>
        <v>0.8</v>
      </c>
      <c r="I171" s="156">
        <f t="shared" si="7"/>
        <v>9.9999999999999995E-8</v>
      </c>
      <c r="K171" s="140">
        <f t="shared" si="8"/>
        <v>8.6000000000000007E-6</v>
      </c>
      <c r="L171">
        <v>0.86</v>
      </c>
      <c r="M171" s="140">
        <f t="shared" si="9"/>
        <v>8.5999999999999976E-8</v>
      </c>
      <c r="N171" s="140">
        <f t="shared" si="10"/>
        <v>1.7199999999999998E-7</v>
      </c>
      <c r="O171" s="140">
        <f t="shared" si="11"/>
        <v>2.5800000000000001E-7</v>
      </c>
      <c r="P171" s="140">
        <f t="shared" si="12"/>
        <v>3.4400000000000001E-7</v>
      </c>
      <c r="Q171" s="140">
        <f t="shared" si="13"/>
        <v>4.3000000000000007E-7</v>
      </c>
      <c r="R171" s="157">
        <f t="shared" si="14"/>
        <v>0.8</v>
      </c>
      <c r="S171" s="156">
        <f t="shared" si="15"/>
        <v>9.9999999999999995E-8</v>
      </c>
      <c r="U171" s="140">
        <f t="shared" si="16"/>
        <v>8.6000000000000007E-6</v>
      </c>
      <c r="V171">
        <v>0.86</v>
      </c>
      <c r="W171" s="140">
        <f t="shared" si="17"/>
        <v>8.5999999999999976E-8</v>
      </c>
      <c r="X171" s="140">
        <f t="shared" si="18"/>
        <v>1.7199999999999998E-7</v>
      </c>
      <c r="Y171" s="140">
        <f t="shared" si="19"/>
        <v>2.5800000000000001E-7</v>
      </c>
      <c r="Z171" s="140">
        <f t="shared" si="20"/>
        <v>3.4400000000000001E-7</v>
      </c>
      <c r="AA171" s="140">
        <f t="shared" si="21"/>
        <v>4.3000000000000007E-7</v>
      </c>
      <c r="AB171" s="157">
        <f t="shared" si="22"/>
        <v>0.8</v>
      </c>
      <c r="AC171" s="156">
        <f t="shared" si="23"/>
        <v>9.9999999999999995E-8</v>
      </c>
      <c r="AE171" s="140">
        <f t="shared" si="24"/>
        <v>8.6000000000000007E-6</v>
      </c>
      <c r="AF171">
        <v>0.86</v>
      </c>
      <c r="AG171" s="140">
        <f t="shared" si="25"/>
        <v>8.5999999999999976E-8</v>
      </c>
      <c r="AH171" s="140">
        <f t="shared" si="26"/>
        <v>1.7199999999999998E-7</v>
      </c>
      <c r="AI171" s="140">
        <f t="shared" si="27"/>
        <v>2.5800000000000001E-7</v>
      </c>
      <c r="AJ171" s="140">
        <f t="shared" si="28"/>
        <v>3.4400000000000001E-7</v>
      </c>
      <c r="AK171" s="140">
        <f t="shared" si="29"/>
        <v>4.3000000000000007E-7</v>
      </c>
      <c r="AL171" s="157">
        <f t="shared" si="30"/>
        <v>1.2</v>
      </c>
      <c r="AM171" s="156">
        <f t="shared" si="31"/>
        <v>9.9999999999999995E-8</v>
      </c>
      <c r="AO171" s="140">
        <f t="shared" si="32"/>
        <v>8.6000000000000007E-6</v>
      </c>
      <c r="AP171">
        <v>0.86</v>
      </c>
      <c r="AQ171" s="140">
        <f t="shared" si="33"/>
        <v>8.5999999999999976E-8</v>
      </c>
      <c r="AR171" s="140">
        <f t="shared" si="34"/>
        <v>1.7199999999999998E-7</v>
      </c>
      <c r="AS171" s="140">
        <f t="shared" si="35"/>
        <v>2.5800000000000001E-7</v>
      </c>
      <c r="AT171" s="140">
        <f t="shared" si="36"/>
        <v>3.4400000000000001E-7</v>
      </c>
      <c r="AU171" s="140">
        <f t="shared" si="37"/>
        <v>4.3000000000000007E-7</v>
      </c>
      <c r="AV171" s="157">
        <f t="shared" si="38"/>
        <v>1.2</v>
      </c>
      <c r="AW171" s="156">
        <f t="shared" si="39"/>
        <v>9.9999999999999995E-8</v>
      </c>
      <c r="AY171" s="140">
        <f t="shared" si="40"/>
        <v>8.6000000000000007E-6</v>
      </c>
      <c r="AZ171">
        <v>0.86</v>
      </c>
      <c r="BA171" s="140">
        <f t="shared" si="41"/>
        <v>8.5999999999999976E-8</v>
      </c>
      <c r="BB171" s="140">
        <f t="shared" si="42"/>
        <v>1.7199999999999998E-7</v>
      </c>
      <c r="BC171" s="140">
        <f t="shared" si="43"/>
        <v>2.5800000000000001E-7</v>
      </c>
      <c r="BD171" s="140">
        <f t="shared" si="44"/>
        <v>3.4400000000000001E-7</v>
      </c>
      <c r="BE171" s="140">
        <f t="shared" si="45"/>
        <v>4.3000000000000007E-7</v>
      </c>
      <c r="BF171" s="157">
        <f>IF(AY171&lt;$B$89*DATA!$H$1037,DATA!$H$1037,IF(AY171&gt;DATA!$H$1036*$B$89,DATA!$H$1036,1))</f>
        <v>1.2</v>
      </c>
      <c r="BG171" s="156">
        <f t="shared" si="46"/>
        <v>9.9999999999999995E-8</v>
      </c>
      <c r="BI171" s="140">
        <f t="shared" si="47"/>
        <v>8.6000000000000007E-6</v>
      </c>
      <c r="BJ171">
        <v>0.86</v>
      </c>
      <c r="BK171" s="140">
        <f t="shared" si="48"/>
        <v>8.5999999999999976E-8</v>
      </c>
      <c r="BL171" s="140">
        <f t="shared" si="49"/>
        <v>1.7199999999999998E-7</v>
      </c>
      <c r="BM171" s="140">
        <f t="shared" si="50"/>
        <v>2.5800000000000001E-7</v>
      </c>
      <c r="BN171" s="140">
        <f t="shared" si="51"/>
        <v>3.4400000000000001E-7</v>
      </c>
      <c r="BO171" s="140">
        <f t="shared" si="52"/>
        <v>4.3000000000000007E-7</v>
      </c>
      <c r="BP171" s="157">
        <f>IF(BI171&lt;$B$105*DATA!$H$1037,DATA!$H$1037,IF(BI171&gt;DATA!$H$1036*$B$105,DATA!$H$1036,1))</f>
        <v>1.2</v>
      </c>
      <c r="BQ171" s="156">
        <f t="shared" si="53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4"/>
        <v>8.8000000000000073E-8</v>
      </c>
      <c r="D172" s="140">
        <f t="shared" si="54"/>
        <v>1.7600000000000017E-7</v>
      </c>
      <c r="E172" s="140">
        <f t="shared" si="54"/>
        <v>2.640000000000003E-7</v>
      </c>
      <c r="F172" s="140">
        <f t="shared" si="54"/>
        <v>3.5200000000000045E-7</v>
      </c>
      <c r="G172" s="140">
        <f t="shared" si="54"/>
        <v>4.4000000000000055E-7</v>
      </c>
      <c r="H172" s="124">
        <f t="shared" si="6"/>
        <v>0.8</v>
      </c>
      <c r="I172" s="156">
        <f t="shared" si="7"/>
        <v>9.9999999999999995E-8</v>
      </c>
      <c r="K172" s="140">
        <f t="shared" si="8"/>
        <v>8.8000000000000106E-6</v>
      </c>
      <c r="L172">
        <v>0.880000000000001</v>
      </c>
      <c r="M172" s="140">
        <f t="shared" si="9"/>
        <v>8.8000000000000073E-8</v>
      </c>
      <c r="N172" s="140">
        <f t="shared" si="10"/>
        <v>1.7600000000000017E-7</v>
      </c>
      <c r="O172" s="140">
        <f t="shared" si="11"/>
        <v>2.640000000000003E-7</v>
      </c>
      <c r="P172" s="140">
        <f t="shared" si="12"/>
        <v>3.5200000000000045E-7</v>
      </c>
      <c r="Q172" s="140">
        <f t="shared" si="13"/>
        <v>4.4000000000000055E-7</v>
      </c>
      <c r="R172" s="157">
        <f t="shared" si="14"/>
        <v>0.8</v>
      </c>
      <c r="S172" s="156">
        <f t="shared" si="15"/>
        <v>9.9999999999999995E-8</v>
      </c>
      <c r="U172" s="140">
        <f t="shared" si="16"/>
        <v>8.8000000000000106E-6</v>
      </c>
      <c r="V172">
        <v>0.880000000000001</v>
      </c>
      <c r="W172" s="140">
        <f t="shared" si="17"/>
        <v>8.8000000000000073E-8</v>
      </c>
      <c r="X172" s="140">
        <f t="shared" si="18"/>
        <v>1.7600000000000017E-7</v>
      </c>
      <c r="Y172" s="140">
        <f t="shared" si="19"/>
        <v>2.640000000000003E-7</v>
      </c>
      <c r="Z172" s="140">
        <f t="shared" si="20"/>
        <v>3.5200000000000045E-7</v>
      </c>
      <c r="AA172" s="140">
        <f t="shared" si="21"/>
        <v>4.4000000000000055E-7</v>
      </c>
      <c r="AB172" s="157">
        <f t="shared" si="22"/>
        <v>0.8</v>
      </c>
      <c r="AC172" s="156">
        <f t="shared" si="23"/>
        <v>9.9999999999999995E-8</v>
      </c>
      <c r="AE172" s="140">
        <f t="shared" si="24"/>
        <v>8.8000000000000106E-6</v>
      </c>
      <c r="AF172">
        <v>0.880000000000001</v>
      </c>
      <c r="AG172" s="140">
        <f t="shared" si="25"/>
        <v>8.8000000000000073E-8</v>
      </c>
      <c r="AH172" s="140">
        <f t="shared" si="26"/>
        <v>1.7600000000000017E-7</v>
      </c>
      <c r="AI172" s="140">
        <f t="shared" si="27"/>
        <v>2.640000000000003E-7</v>
      </c>
      <c r="AJ172" s="140">
        <f t="shared" si="28"/>
        <v>3.5200000000000045E-7</v>
      </c>
      <c r="AK172" s="140">
        <f t="shared" si="29"/>
        <v>4.4000000000000055E-7</v>
      </c>
      <c r="AL172" s="157">
        <f t="shared" si="30"/>
        <v>1.2</v>
      </c>
      <c r="AM172" s="156">
        <f t="shared" si="31"/>
        <v>9.9999999999999995E-8</v>
      </c>
      <c r="AO172" s="140">
        <f t="shared" si="32"/>
        <v>8.8000000000000106E-6</v>
      </c>
      <c r="AP172">
        <v>0.880000000000001</v>
      </c>
      <c r="AQ172" s="140">
        <f t="shared" si="33"/>
        <v>8.8000000000000073E-8</v>
      </c>
      <c r="AR172" s="140">
        <f t="shared" si="34"/>
        <v>1.7600000000000017E-7</v>
      </c>
      <c r="AS172" s="140">
        <f t="shared" si="35"/>
        <v>2.640000000000003E-7</v>
      </c>
      <c r="AT172" s="140">
        <f t="shared" si="36"/>
        <v>3.5200000000000045E-7</v>
      </c>
      <c r="AU172" s="140">
        <f t="shared" si="37"/>
        <v>4.4000000000000055E-7</v>
      </c>
      <c r="AV172" s="157">
        <f t="shared" si="38"/>
        <v>1.2</v>
      </c>
      <c r="AW172" s="156">
        <f t="shared" si="39"/>
        <v>9.9999999999999995E-8</v>
      </c>
      <c r="AY172" s="140">
        <f t="shared" si="40"/>
        <v>8.8000000000000106E-6</v>
      </c>
      <c r="AZ172">
        <v>0.880000000000001</v>
      </c>
      <c r="BA172" s="140">
        <f t="shared" si="41"/>
        <v>8.8000000000000073E-8</v>
      </c>
      <c r="BB172" s="140">
        <f t="shared" si="42"/>
        <v>1.7600000000000017E-7</v>
      </c>
      <c r="BC172" s="140">
        <f t="shared" si="43"/>
        <v>2.640000000000003E-7</v>
      </c>
      <c r="BD172" s="140">
        <f t="shared" si="44"/>
        <v>3.5200000000000045E-7</v>
      </c>
      <c r="BE172" s="140">
        <f t="shared" si="45"/>
        <v>4.4000000000000055E-7</v>
      </c>
      <c r="BF172" s="157">
        <f>IF(AY172&lt;$B$89*DATA!$H$1037,DATA!$H$1037,IF(AY172&gt;DATA!$H$1036*$B$89,DATA!$H$1036,1))</f>
        <v>1.2</v>
      </c>
      <c r="BG172" s="156">
        <f t="shared" si="46"/>
        <v>9.9999999999999995E-8</v>
      </c>
      <c r="BI172" s="140">
        <f t="shared" si="47"/>
        <v>8.8000000000000106E-6</v>
      </c>
      <c r="BJ172">
        <v>0.880000000000001</v>
      </c>
      <c r="BK172" s="140">
        <f t="shared" si="48"/>
        <v>8.8000000000000073E-8</v>
      </c>
      <c r="BL172" s="140">
        <f t="shared" si="49"/>
        <v>1.7600000000000017E-7</v>
      </c>
      <c r="BM172" s="140">
        <f t="shared" si="50"/>
        <v>2.640000000000003E-7</v>
      </c>
      <c r="BN172" s="140">
        <f t="shared" si="51"/>
        <v>3.5200000000000045E-7</v>
      </c>
      <c r="BO172" s="140">
        <f t="shared" si="52"/>
        <v>4.4000000000000055E-7</v>
      </c>
      <c r="BP172" s="157">
        <f>IF(BI172&lt;$B$105*DATA!$H$1037,DATA!$H$1037,IF(BI172&gt;DATA!$H$1036*$B$105,DATA!$H$1036,1))</f>
        <v>1.2</v>
      </c>
      <c r="BQ172" s="156">
        <f t="shared" si="53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4"/>
        <v>9.0000000000000078E-8</v>
      </c>
      <c r="D173" s="140">
        <f t="shared" si="54"/>
        <v>1.8000000000000018E-7</v>
      </c>
      <c r="E173" s="140">
        <f t="shared" si="54"/>
        <v>2.7000000000000033E-7</v>
      </c>
      <c r="F173" s="140">
        <f t="shared" si="54"/>
        <v>3.6000000000000042E-7</v>
      </c>
      <c r="G173" s="140">
        <f t="shared" si="54"/>
        <v>4.5000000000000056E-7</v>
      </c>
      <c r="H173" s="124">
        <f t="shared" si="6"/>
        <v>0.8</v>
      </c>
      <c r="I173" s="156">
        <f t="shared" si="7"/>
        <v>9.9999999999999995E-8</v>
      </c>
      <c r="K173" s="140">
        <f t="shared" si="8"/>
        <v>9.0000000000000104E-6</v>
      </c>
      <c r="L173">
        <v>0.90000000000000102</v>
      </c>
      <c r="M173" s="140">
        <f t="shared" si="9"/>
        <v>9.0000000000000078E-8</v>
      </c>
      <c r="N173" s="140">
        <f t="shared" si="10"/>
        <v>1.8000000000000018E-7</v>
      </c>
      <c r="O173" s="140">
        <f t="shared" si="11"/>
        <v>2.7000000000000033E-7</v>
      </c>
      <c r="P173" s="140">
        <f t="shared" si="12"/>
        <v>3.6000000000000042E-7</v>
      </c>
      <c r="Q173" s="140">
        <f t="shared" si="13"/>
        <v>4.5000000000000056E-7</v>
      </c>
      <c r="R173" s="157">
        <f t="shared" si="14"/>
        <v>0.8</v>
      </c>
      <c r="S173" s="156">
        <f t="shared" si="15"/>
        <v>9.9999999999999995E-8</v>
      </c>
      <c r="U173" s="140">
        <f t="shared" si="16"/>
        <v>9.0000000000000104E-6</v>
      </c>
      <c r="V173">
        <v>0.90000000000000102</v>
      </c>
      <c r="W173" s="140">
        <f t="shared" si="17"/>
        <v>9.0000000000000078E-8</v>
      </c>
      <c r="X173" s="140">
        <f t="shared" si="18"/>
        <v>1.8000000000000018E-7</v>
      </c>
      <c r="Y173" s="140">
        <f t="shared" si="19"/>
        <v>2.7000000000000033E-7</v>
      </c>
      <c r="Z173" s="140">
        <f t="shared" si="20"/>
        <v>3.6000000000000042E-7</v>
      </c>
      <c r="AA173" s="140">
        <f t="shared" si="21"/>
        <v>4.5000000000000056E-7</v>
      </c>
      <c r="AB173" s="157">
        <f t="shared" si="22"/>
        <v>0.8</v>
      </c>
      <c r="AC173" s="156">
        <f t="shared" si="23"/>
        <v>9.9999999999999995E-8</v>
      </c>
      <c r="AE173" s="140">
        <f t="shared" si="24"/>
        <v>9.0000000000000104E-6</v>
      </c>
      <c r="AF173">
        <v>0.90000000000000102</v>
      </c>
      <c r="AG173" s="140">
        <f t="shared" si="25"/>
        <v>9.0000000000000078E-8</v>
      </c>
      <c r="AH173" s="140">
        <f t="shared" si="26"/>
        <v>1.8000000000000018E-7</v>
      </c>
      <c r="AI173" s="140">
        <f t="shared" si="27"/>
        <v>2.7000000000000033E-7</v>
      </c>
      <c r="AJ173" s="140">
        <f t="shared" si="28"/>
        <v>3.6000000000000042E-7</v>
      </c>
      <c r="AK173" s="140">
        <f t="shared" si="29"/>
        <v>4.5000000000000056E-7</v>
      </c>
      <c r="AL173" s="157">
        <f t="shared" si="30"/>
        <v>1.2</v>
      </c>
      <c r="AM173" s="156">
        <f t="shared" si="31"/>
        <v>9.9999999999999995E-8</v>
      </c>
      <c r="AO173" s="140">
        <f t="shared" si="32"/>
        <v>9.0000000000000104E-6</v>
      </c>
      <c r="AP173">
        <v>0.90000000000000102</v>
      </c>
      <c r="AQ173" s="140">
        <f t="shared" si="33"/>
        <v>9.0000000000000078E-8</v>
      </c>
      <c r="AR173" s="140">
        <f t="shared" si="34"/>
        <v>1.8000000000000018E-7</v>
      </c>
      <c r="AS173" s="140">
        <f t="shared" si="35"/>
        <v>2.7000000000000033E-7</v>
      </c>
      <c r="AT173" s="140">
        <f t="shared" si="36"/>
        <v>3.6000000000000042E-7</v>
      </c>
      <c r="AU173" s="140">
        <f t="shared" si="37"/>
        <v>4.5000000000000056E-7</v>
      </c>
      <c r="AV173" s="157">
        <f t="shared" si="38"/>
        <v>1.2</v>
      </c>
      <c r="AW173" s="156">
        <f t="shared" si="39"/>
        <v>9.9999999999999995E-8</v>
      </c>
      <c r="AY173" s="140">
        <f t="shared" si="40"/>
        <v>9.0000000000000104E-6</v>
      </c>
      <c r="AZ173">
        <v>0.90000000000000102</v>
      </c>
      <c r="BA173" s="140">
        <f t="shared" si="41"/>
        <v>9.0000000000000078E-8</v>
      </c>
      <c r="BB173" s="140">
        <f t="shared" si="42"/>
        <v>1.8000000000000018E-7</v>
      </c>
      <c r="BC173" s="140">
        <f t="shared" si="43"/>
        <v>2.7000000000000033E-7</v>
      </c>
      <c r="BD173" s="140">
        <f t="shared" si="44"/>
        <v>3.6000000000000042E-7</v>
      </c>
      <c r="BE173" s="140">
        <f t="shared" si="45"/>
        <v>4.5000000000000056E-7</v>
      </c>
      <c r="BF173" s="157">
        <f>IF(AY173&lt;$B$89*DATA!$H$1037,DATA!$H$1037,IF(AY173&gt;DATA!$H$1036*$B$89,DATA!$H$1036,1))</f>
        <v>1.2</v>
      </c>
      <c r="BG173" s="156">
        <f t="shared" si="46"/>
        <v>9.9999999999999995E-8</v>
      </c>
      <c r="BI173" s="140">
        <f t="shared" si="47"/>
        <v>9.0000000000000104E-6</v>
      </c>
      <c r="BJ173">
        <v>0.90000000000000102</v>
      </c>
      <c r="BK173" s="140">
        <f t="shared" si="48"/>
        <v>9.0000000000000078E-8</v>
      </c>
      <c r="BL173" s="140">
        <f t="shared" si="49"/>
        <v>1.8000000000000018E-7</v>
      </c>
      <c r="BM173" s="140">
        <f t="shared" si="50"/>
        <v>2.7000000000000033E-7</v>
      </c>
      <c r="BN173" s="140">
        <f t="shared" si="51"/>
        <v>3.6000000000000042E-7</v>
      </c>
      <c r="BO173" s="140">
        <f t="shared" si="52"/>
        <v>4.5000000000000056E-7</v>
      </c>
      <c r="BP173" s="157">
        <f>IF(BI173&lt;$B$105*DATA!$H$1037,DATA!$H$1037,IF(BI173&gt;DATA!$H$1036*$B$105,DATA!$H$1036,1))</f>
        <v>1.2</v>
      </c>
      <c r="BQ173" s="156">
        <f t="shared" si="53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4"/>
        <v>9.2000000000000083E-8</v>
      </c>
      <c r="D174" s="140">
        <f t="shared" si="54"/>
        <v>1.8400000000000022E-7</v>
      </c>
      <c r="E174" s="140">
        <f t="shared" si="54"/>
        <v>2.7600000000000035E-7</v>
      </c>
      <c r="F174" s="140">
        <f t="shared" si="54"/>
        <v>3.6800000000000049E-7</v>
      </c>
      <c r="G174" s="140">
        <f t="shared" si="54"/>
        <v>4.6000000000000063E-7</v>
      </c>
      <c r="H174" s="124">
        <f t="shared" si="6"/>
        <v>0.8</v>
      </c>
      <c r="I174" s="156">
        <f t="shared" si="7"/>
        <v>9.9999999999999995E-8</v>
      </c>
      <c r="K174" s="140">
        <f t="shared" si="8"/>
        <v>9.2000000000000119E-6</v>
      </c>
      <c r="L174">
        <v>0.92000000000000104</v>
      </c>
      <c r="M174" s="140">
        <f t="shared" si="9"/>
        <v>9.2000000000000083E-8</v>
      </c>
      <c r="N174" s="140">
        <f t="shared" si="10"/>
        <v>1.8400000000000022E-7</v>
      </c>
      <c r="O174" s="140">
        <f t="shared" si="11"/>
        <v>2.7600000000000035E-7</v>
      </c>
      <c r="P174" s="140">
        <f t="shared" si="12"/>
        <v>3.6800000000000049E-7</v>
      </c>
      <c r="Q174" s="140">
        <f t="shared" si="13"/>
        <v>4.6000000000000063E-7</v>
      </c>
      <c r="R174" s="157">
        <f t="shared" si="14"/>
        <v>0.8</v>
      </c>
      <c r="S174" s="156">
        <f t="shared" si="15"/>
        <v>9.9999999999999995E-8</v>
      </c>
      <c r="U174" s="140">
        <f t="shared" si="16"/>
        <v>9.2000000000000119E-6</v>
      </c>
      <c r="V174">
        <v>0.92000000000000104</v>
      </c>
      <c r="W174" s="140">
        <f t="shared" si="17"/>
        <v>9.2000000000000083E-8</v>
      </c>
      <c r="X174" s="140">
        <f t="shared" si="18"/>
        <v>1.8400000000000022E-7</v>
      </c>
      <c r="Y174" s="140">
        <f t="shared" si="19"/>
        <v>2.7600000000000035E-7</v>
      </c>
      <c r="Z174" s="140">
        <f t="shared" si="20"/>
        <v>3.6800000000000049E-7</v>
      </c>
      <c r="AA174" s="140">
        <f t="shared" si="21"/>
        <v>4.6000000000000063E-7</v>
      </c>
      <c r="AB174" s="157">
        <f t="shared" si="22"/>
        <v>0.8</v>
      </c>
      <c r="AC174" s="156">
        <f t="shared" si="23"/>
        <v>9.9999999999999995E-8</v>
      </c>
      <c r="AE174" s="140">
        <f t="shared" si="24"/>
        <v>9.2000000000000119E-6</v>
      </c>
      <c r="AF174">
        <v>0.92000000000000104</v>
      </c>
      <c r="AG174" s="140">
        <f t="shared" si="25"/>
        <v>9.2000000000000083E-8</v>
      </c>
      <c r="AH174" s="140">
        <f t="shared" si="26"/>
        <v>1.8400000000000022E-7</v>
      </c>
      <c r="AI174" s="140">
        <f t="shared" si="27"/>
        <v>2.7600000000000035E-7</v>
      </c>
      <c r="AJ174" s="140">
        <f t="shared" si="28"/>
        <v>3.6800000000000049E-7</v>
      </c>
      <c r="AK174" s="140">
        <f t="shared" si="29"/>
        <v>4.6000000000000063E-7</v>
      </c>
      <c r="AL174" s="157">
        <f t="shared" si="30"/>
        <v>1.2</v>
      </c>
      <c r="AM174" s="156">
        <f t="shared" si="31"/>
        <v>9.9999999999999995E-8</v>
      </c>
      <c r="AO174" s="140">
        <f t="shared" si="32"/>
        <v>9.2000000000000119E-6</v>
      </c>
      <c r="AP174">
        <v>0.92000000000000104</v>
      </c>
      <c r="AQ174" s="140">
        <f t="shared" si="33"/>
        <v>9.2000000000000083E-8</v>
      </c>
      <c r="AR174" s="140">
        <f t="shared" si="34"/>
        <v>1.8400000000000022E-7</v>
      </c>
      <c r="AS174" s="140">
        <f t="shared" si="35"/>
        <v>2.7600000000000035E-7</v>
      </c>
      <c r="AT174" s="140">
        <f t="shared" si="36"/>
        <v>3.6800000000000049E-7</v>
      </c>
      <c r="AU174" s="140">
        <f t="shared" si="37"/>
        <v>4.6000000000000063E-7</v>
      </c>
      <c r="AV174" s="157">
        <f t="shared" si="38"/>
        <v>1.2</v>
      </c>
      <c r="AW174" s="156">
        <f t="shared" si="39"/>
        <v>9.9999999999999995E-8</v>
      </c>
      <c r="AY174" s="140">
        <f t="shared" si="40"/>
        <v>9.2000000000000119E-6</v>
      </c>
      <c r="AZ174">
        <v>0.92000000000000104</v>
      </c>
      <c r="BA174" s="140">
        <f t="shared" si="41"/>
        <v>9.2000000000000083E-8</v>
      </c>
      <c r="BB174" s="140">
        <f t="shared" si="42"/>
        <v>1.8400000000000022E-7</v>
      </c>
      <c r="BC174" s="140">
        <f t="shared" si="43"/>
        <v>2.7600000000000035E-7</v>
      </c>
      <c r="BD174" s="140">
        <f t="shared" si="44"/>
        <v>3.6800000000000049E-7</v>
      </c>
      <c r="BE174" s="140">
        <f t="shared" si="45"/>
        <v>4.6000000000000063E-7</v>
      </c>
      <c r="BF174" s="157">
        <f>IF(AY174&lt;$B$89*DATA!$H$1037,DATA!$H$1037,IF(AY174&gt;DATA!$H$1036*$B$89,DATA!$H$1036,1))</f>
        <v>1.2</v>
      </c>
      <c r="BG174" s="156">
        <f t="shared" si="46"/>
        <v>9.9999999999999995E-8</v>
      </c>
      <c r="BI174" s="140">
        <f t="shared" si="47"/>
        <v>9.2000000000000119E-6</v>
      </c>
      <c r="BJ174">
        <v>0.92000000000000104</v>
      </c>
      <c r="BK174" s="140">
        <f t="shared" si="48"/>
        <v>9.2000000000000083E-8</v>
      </c>
      <c r="BL174" s="140">
        <f t="shared" si="49"/>
        <v>1.8400000000000022E-7</v>
      </c>
      <c r="BM174" s="140">
        <f t="shared" si="50"/>
        <v>2.7600000000000035E-7</v>
      </c>
      <c r="BN174" s="140">
        <f t="shared" si="51"/>
        <v>3.6800000000000049E-7</v>
      </c>
      <c r="BO174" s="140">
        <f t="shared" si="52"/>
        <v>4.6000000000000063E-7</v>
      </c>
      <c r="BP174" s="157">
        <f>IF(BI174&lt;$B$105*DATA!$H$1037,DATA!$H$1037,IF(BI174&gt;DATA!$H$1036*$B$105,DATA!$H$1036,1))</f>
        <v>1.2</v>
      </c>
      <c r="BQ174" s="156">
        <f t="shared" si="53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ref="C175:G190" si="55">C$142*$A175</f>
        <v>9.4000000000000074E-8</v>
      </c>
      <c r="D175" s="140">
        <f t="shared" si="55"/>
        <v>1.8800000000000017E-7</v>
      </c>
      <c r="E175" s="140">
        <f t="shared" si="55"/>
        <v>2.8200000000000028E-7</v>
      </c>
      <c r="F175" s="140">
        <f t="shared" si="55"/>
        <v>3.760000000000004E-7</v>
      </c>
      <c r="G175" s="140">
        <f t="shared" si="55"/>
        <v>4.7000000000000053E-7</v>
      </c>
      <c r="H175" s="124">
        <f t="shared" si="6"/>
        <v>0.8</v>
      </c>
      <c r="I175" s="156">
        <f t="shared" si="7"/>
        <v>9.9999999999999995E-8</v>
      </c>
      <c r="K175" s="140">
        <f t="shared" si="8"/>
        <v>9.40000000000001E-6</v>
      </c>
      <c r="L175">
        <v>0.94000000000000095</v>
      </c>
      <c r="M175" s="140">
        <f t="shared" si="9"/>
        <v>9.4000000000000074E-8</v>
      </c>
      <c r="N175" s="140">
        <f t="shared" si="10"/>
        <v>1.8800000000000017E-7</v>
      </c>
      <c r="O175" s="140">
        <f t="shared" si="11"/>
        <v>2.8200000000000028E-7</v>
      </c>
      <c r="P175" s="140">
        <f t="shared" si="12"/>
        <v>3.760000000000004E-7</v>
      </c>
      <c r="Q175" s="140">
        <f t="shared" si="13"/>
        <v>4.7000000000000053E-7</v>
      </c>
      <c r="R175" s="157">
        <f t="shared" si="14"/>
        <v>0.8</v>
      </c>
      <c r="S175" s="156">
        <f t="shared" si="15"/>
        <v>9.9999999999999995E-8</v>
      </c>
      <c r="U175" s="140">
        <f t="shared" si="16"/>
        <v>9.40000000000001E-6</v>
      </c>
      <c r="V175">
        <v>0.94000000000000095</v>
      </c>
      <c r="W175" s="140">
        <f t="shared" si="17"/>
        <v>9.4000000000000074E-8</v>
      </c>
      <c r="X175" s="140">
        <f t="shared" si="18"/>
        <v>1.8800000000000017E-7</v>
      </c>
      <c r="Y175" s="140">
        <f t="shared" si="19"/>
        <v>2.8200000000000028E-7</v>
      </c>
      <c r="Z175" s="140">
        <f t="shared" si="20"/>
        <v>3.760000000000004E-7</v>
      </c>
      <c r="AA175" s="140">
        <f t="shared" si="21"/>
        <v>4.7000000000000053E-7</v>
      </c>
      <c r="AB175" s="157">
        <f t="shared" si="22"/>
        <v>0.8</v>
      </c>
      <c r="AC175" s="156">
        <f t="shared" si="23"/>
        <v>9.9999999999999995E-8</v>
      </c>
      <c r="AE175" s="140">
        <f t="shared" si="24"/>
        <v>9.40000000000001E-6</v>
      </c>
      <c r="AF175">
        <v>0.94000000000000095</v>
      </c>
      <c r="AG175" s="140">
        <f t="shared" si="25"/>
        <v>9.4000000000000074E-8</v>
      </c>
      <c r="AH175" s="140">
        <f t="shared" si="26"/>
        <v>1.8800000000000017E-7</v>
      </c>
      <c r="AI175" s="140">
        <f t="shared" si="27"/>
        <v>2.8200000000000028E-7</v>
      </c>
      <c r="AJ175" s="140">
        <f t="shared" si="28"/>
        <v>3.760000000000004E-7</v>
      </c>
      <c r="AK175" s="140">
        <f t="shared" si="29"/>
        <v>4.7000000000000053E-7</v>
      </c>
      <c r="AL175" s="157">
        <f t="shared" si="30"/>
        <v>1.2</v>
      </c>
      <c r="AM175" s="156">
        <f t="shared" si="31"/>
        <v>9.9999999999999995E-8</v>
      </c>
      <c r="AO175" s="140">
        <f t="shared" si="32"/>
        <v>9.40000000000001E-6</v>
      </c>
      <c r="AP175">
        <v>0.94000000000000095</v>
      </c>
      <c r="AQ175" s="140">
        <f t="shared" si="33"/>
        <v>9.4000000000000074E-8</v>
      </c>
      <c r="AR175" s="140">
        <f t="shared" si="34"/>
        <v>1.8800000000000017E-7</v>
      </c>
      <c r="AS175" s="140">
        <f t="shared" si="35"/>
        <v>2.8200000000000028E-7</v>
      </c>
      <c r="AT175" s="140">
        <f t="shared" si="36"/>
        <v>3.760000000000004E-7</v>
      </c>
      <c r="AU175" s="140">
        <f t="shared" si="37"/>
        <v>4.7000000000000053E-7</v>
      </c>
      <c r="AV175" s="157">
        <f t="shared" si="38"/>
        <v>1.2</v>
      </c>
      <c r="AW175" s="156">
        <f t="shared" si="39"/>
        <v>9.9999999999999995E-8</v>
      </c>
      <c r="AY175" s="140">
        <f t="shared" si="40"/>
        <v>9.40000000000001E-6</v>
      </c>
      <c r="AZ175">
        <v>0.94000000000000095</v>
      </c>
      <c r="BA175" s="140">
        <f t="shared" si="41"/>
        <v>9.4000000000000074E-8</v>
      </c>
      <c r="BB175" s="140">
        <f t="shared" si="42"/>
        <v>1.8800000000000017E-7</v>
      </c>
      <c r="BC175" s="140">
        <f t="shared" si="43"/>
        <v>2.8200000000000028E-7</v>
      </c>
      <c r="BD175" s="140">
        <f t="shared" si="44"/>
        <v>3.760000000000004E-7</v>
      </c>
      <c r="BE175" s="140">
        <f t="shared" si="45"/>
        <v>4.7000000000000053E-7</v>
      </c>
      <c r="BF175" s="157">
        <f>IF(AY175&lt;$B$89*DATA!$H$1037,DATA!$H$1037,IF(AY175&gt;DATA!$H$1036*$B$89,DATA!$H$1036,1))</f>
        <v>1.2</v>
      </c>
      <c r="BG175" s="156">
        <f t="shared" si="46"/>
        <v>9.9999999999999995E-8</v>
      </c>
      <c r="BI175" s="140">
        <f t="shared" si="47"/>
        <v>9.40000000000001E-6</v>
      </c>
      <c r="BJ175">
        <v>0.94000000000000095</v>
      </c>
      <c r="BK175" s="140">
        <f t="shared" si="48"/>
        <v>9.4000000000000074E-8</v>
      </c>
      <c r="BL175" s="140">
        <f t="shared" si="49"/>
        <v>1.8800000000000017E-7</v>
      </c>
      <c r="BM175" s="140">
        <f t="shared" si="50"/>
        <v>2.8200000000000028E-7</v>
      </c>
      <c r="BN175" s="140">
        <f t="shared" si="51"/>
        <v>3.760000000000004E-7</v>
      </c>
      <c r="BO175" s="140">
        <f t="shared" si="52"/>
        <v>4.7000000000000053E-7</v>
      </c>
      <c r="BP175" s="157">
        <f>IF(BI175&lt;$B$105*DATA!$H$1037,DATA!$H$1037,IF(BI175&gt;DATA!$H$1036*$B$105,DATA!$H$1036,1))</f>
        <v>1.2</v>
      </c>
      <c r="BQ175" s="156">
        <f t="shared" si="53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si="55"/>
        <v>9.6000000000000066E-8</v>
      </c>
      <c r="D176" s="140">
        <f t="shared" si="55"/>
        <v>1.9200000000000016E-7</v>
      </c>
      <c r="E176" s="140">
        <f t="shared" si="55"/>
        <v>2.880000000000003E-7</v>
      </c>
      <c r="F176" s="140">
        <f t="shared" si="55"/>
        <v>3.8400000000000042E-7</v>
      </c>
      <c r="G176" s="140">
        <f t="shared" si="55"/>
        <v>4.8000000000000049E-7</v>
      </c>
      <c r="H176" s="124">
        <f t="shared" si="6"/>
        <v>0.8</v>
      </c>
      <c r="I176" s="156">
        <f t="shared" si="7"/>
        <v>9.9999999999999995E-8</v>
      </c>
      <c r="K176" s="140">
        <f t="shared" si="8"/>
        <v>9.6000000000000097E-6</v>
      </c>
      <c r="L176">
        <v>0.96000000000000096</v>
      </c>
      <c r="M176" s="140">
        <f t="shared" si="9"/>
        <v>9.6000000000000066E-8</v>
      </c>
      <c r="N176" s="140">
        <f t="shared" si="10"/>
        <v>1.9200000000000016E-7</v>
      </c>
      <c r="O176" s="140">
        <f t="shared" si="11"/>
        <v>2.880000000000003E-7</v>
      </c>
      <c r="P176" s="140">
        <f t="shared" si="12"/>
        <v>3.8400000000000042E-7</v>
      </c>
      <c r="Q176" s="140">
        <f t="shared" si="13"/>
        <v>4.8000000000000049E-7</v>
      </c>
      <c r="R176" s="157">
        <f t="shared" si="14"/>
        <v>0.8</v>
      </c>
      <c r="S176" s="156">
        <f t="shared" si="15"/>
        <v>9.9999999999999995E-8</v>
      </c>
      <c r="U176" s="140">
        <f t="shared" si="16"/>
        <v>9.6000000000000097E-6</v>
      </c>
      <c r="V176">
        <v>0.96000000000000096</v>
      </c>
      <c r="W176" s="140">
        <f t="shared" si="17"/>
        <v>9.6000000000000066E-8</v>
      </c>
      <c r="X176" s="140">
        <f t="shared" si="18"/>
        <v>1.9200000000000016E-7</v>
      </c>
      <c r="Y176" s="140">
        <f t="shared" si="19"/>
        <v>2.880000000000003E-7</v>
      </c>
      <c r="Z176" s="140">
        <f t="shared" si="20"/>
        <v>3.8400000000000042E-7</v>
      </c>
      <c r="AA176" s="140">
        <f t="shared" si="21"/>
        <v>4.8000000000000049E-7</v>
      </c>
      <c r="AB176" s="157">
        <f t="shared" si="22"/>
        <v>0.8</v>
      </c>
      <c r="AC176" s="156">
        <f t="shared" si="23"/>
        <v>9.9999999999999995E-8</v>
      </c>
      <c r="AE176" s="140">
        <f t="shared" si="24"/>
        <v>9.6000000000000097E-6</v>
      </c>
      <c r="AF176">
        <v>0.96000000000000096</v>
      </c>
      <c r="AG176" s="140">
        <f t="shared" si="25"/>
        <v>9.6000000000000066E-8</v>
      </c>
      <c r="AH176" s="140">
        <f t="shared" si="26"/>
        <v>1.9200000000000016E-7</v>
      </c>
      <c r="AI176" s="140">
        <f t="shared" si="27"/>
        <v>2.880000000000003E-7</v>
      </c>
      <c r="AJ176" s="140">
        <f t="shared" si="28"/>
        <v>3.8400000000000042E-7</v>
      </c>
      <c r="AK176" s="140">
        <f t="shared" si="29"/>
        <v>4.8000000000000049E-7</v>
      </c>
      <c r="AL176" s="157">
        <f t="shared" si="30"/>
        <v>1.2</v>
      </c>
      <c r="AM176" s="156">
        <f t="shared" si="31"/>
        <v>9.9999999999999995E-8</v>
      </c>
      <c r="AO176" s="140">
        <f t="shared" si="32"/>
        <v>9.6000000000000097E-6</v>
      </c>
      <c r="AP176">
        <v>0.96000000000000096</v>
      </c>
      <c r="AQ176" s="140">
        <f t="shared" si="33"/>
        <v>9.6000000000000066E-8</v>
      </c>
      <c r="AR176" s="140">
        <f t="shared" si="34"/>
        <v>1.9200000000000016E-7</v>
      </c>
      <c r="AS176" s="140">
        <f t="shared" si="35"/>
        <v>2.880000000000003E-7</v>
      </c>
      <c r="AT176" s="140">
        <f t="shared" si="36"/>
        <v>3.8400000000000042E-7</v>
      </c>
      <c r="AU176" s="140">
        <f t="shared" si="37"/>
        <v>4.8000000000000049E-7</v>
      </c>
      <c r="AV176" s="157">
        <f t="shared" si="38"/>
        <v>1.2</v>
      </c>
      <c r="AW176" s="156">
        <f t="shared" si="39"/>
        <v>9.9999999999999995E-8</v>
      </c>
      <c r="AY176" s="140">
        <f t="shared" si="40"/>
        <v>9.6000000000000097E-6</v>
      </c>
      <c r="AZ176">
        <v>0.96000000000000096</v>
      </c>
      <c r="BA176" s="140">
        <f t="shared" si="41"/>
        <v>9.6000000000000066E-8</v>
      </c>
      <c r="BB176" s="140">
        <f t="shared" si="42"/>
        <v>1.9200000000000016E-7</v>
      </c>
      <c r="BC176" s="140">
        <f t="shared" si="43"/>
        <v>2.880000000000003E-7</v>
      </c>
      <c r="BD176" s="140">
        <f t="shared" si="44"/>
        <v>3.8400000000000042E-7</v>
      </c>
      <c r="BE176" s="140">
        <f t="shared" si="45"/>
        <v>4.8000000000000049E-7</v>
      </c>
      <c r="BF176" s="157">
        <f>IF(AY176&lt;$B$89*DATA!$H$1037,DATA!$H$1037,IF(AY176&gt;DATA!$H$1036*$B$89,DATA!$H$1036,1))</f>
        <v>1.2</v>
      </c>
      <c r="BG176" s="156">
        <f t="shared" si="46"/>
        <v>9.9999999999999995E-8</v>
      </c>
      <c r="BI176" s="140">
        <f t="shared" si="47"/>
        <v>9.6000000000000097E-6</v>
      </c>
      <c r="BJ176">
        <v>0.96000000000000096</v>
      </c>
      <c r="BK176" s="140">
        <f t="shared" si="48"/>
        <v>9.6000000000000066E-8</v>
      </c>
      <c r="BL176" s="140">
        <f t="shared" si="49"/>
        <v>1.9200000000000016E-7</v>
      </c>
      <c r="BM176" s="140">
        <f t="shared" si="50"/>
        <v>2.880000000000003E-7</v>
      </c>
      <c r="BN176" s="140">
        <f t="shared" si="51"/>
        <v>3.8400000000000042E-7</v>
      </c>
      <c r="BO176" s="140">
        <f t="shared" si="52"/>
        <v>4.8000000000000049E-7</v>
      </c>
      <c r="BP176" s="157">
        <f>IF(BI176&lt;$B$105*DATA!$H$1037,DATA!$H$1037,IF(BI176&gt;DATA!$H$1036*$B$105,DATA!$H$1036,1))</f>
        <v>1.2</v>
      </c>
      <c r="BQ176" s="156">
        <f t="shared" si="53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55"/>
        <v>9.8000000000000083E-8</v>
      </c>
      <c r="D177" s="140">
        <f t="shared" si="55"/>
        <v>1.9600000000000019E-7</v>
      </c>
      <c r="E177" s="140">
        <f t="shared" si="55"/>
        <v>2.9400000000000033E-7</v>
      </c>
      <c r="F177" s="140">
        <f t="shared" si="55"/>
        <v>3.9200000000000044E-7</v>
      </c>
      <c r="G177" s="140">
        <f t="shared" si="55"/>
        <v>4.900000000000006E-7</v>
      </c>
      <c r="H177" s="124">
        <f t="shared" si="6"/>
        <v>0.8</v>
      </c>
      <c r="I177" s="156">
        <f t="shared" si="7"/>
        <v>9.9999999999999995E-8</v>
      </c>
      <c r="K177" s="140">
        <f t="shared" si="8"/>
        <v>9.8000000000000112E-6</v>
      </c>
      <c r="L177">
        <v>0.98000000000000098</v>
      </c>
      <c r="M177" s="140">
        <f t="shared" si="9"/>
        <v>9.8000000000000083E-8</v>
      </c>
      <c r="N177" s="140">
        <f t="shared" si="10"/>
        <v>1.9600000000000019E-7</v>
      </c>
      <c r="O177" s="140">
        <f t="shared" si="11"/>
        <v>2.9400000000000033E-7</v>
      </c>
      <c r="P177" s="140">
        <f t="shared" si="12"/>
        <v>3.9200000000000044E-7</v>
      </c>
      <c r="Q177" s="140">
        <f t="shared" si="13"/>
        <v>4.900000000000006E-7</v>
      </c>
      <c r="R177" s="157">
        <f t="shared" si="14"/>
        <v>0.8</v>
      </c>
      <c r="S177" s="156">
        <f t="shared" si="15"/>
        <v>9.9999999999999995E-8</v>
      </c>
      <c r="U177" s="140">
        <f t="shared" si="16"/>
        <v>9.8000000000000112E-6</v>
      </c>
      <c r="V177">
        <v>0.98000000000000098</v>
      </c>
      <c r="W177" s="140">
        <f t="shared" si="17"/>
        <v>9.8000000000000083E-8</v>
      </c>
      <c r="X177" s="140">
        <f t="shared" si="18"/>
        <v>1.9600000000000019E-7</v>
      </c>
      <c r="Y177" s="140">
        <f t="shared" si="19"/>
        <v>2.9400000000000033E-7</v>
      </c>
      <c r="Z177" s="140">
        <f t="shared" si="20"/>
        <v>3.9200000000000044E-7</v>
      </c>
      <c r="AA177" s="140">
        <f t="shared" si="21"/>
        <v>4.900000000000006E-7</v>
      </c>
      <c r="AB177" s="157">
        <f t="shared" si="22"/>
        <v>0.8</v>
      </c>
      <c r="AC177" s="156">
        <f t="shared" si="23"/>
        <v>9.9999999999999995E-8</v>
      </c>
      <c r="AE177" s="140">
        <f t="shared" si="24"/>
        <v>9.8000000000000112E-6</v>
      </c>
      <c r="AF177">
        <v>0.98000000000000098</v>
      </c>
      <c r="AG177" s="140">
        <f t="shared" si="25"/>
        <v>9.8000000000000083E-8</v>
      </c>
      <c r="AH177" s="140">
        <f t="shared" si="26"/>
        <v>1.9600000000000019E-7</v>
      </c>
      <c r="AI177" s="140">
        <f t="shared" si="27"/>
        <v>2.9400000000000033E-7</v>
      </c>
      <c r="AJ177" s="140">
        <f t="shared" si="28"/>
        <v>3.9200000000000044E-7</v>
      </c>
      <c r="AK177" s="140">
        <f t="shared" si="29"/>
        <v>4.900000000000006E-7</v>
      </c>
      <c r="AL177" s="157">
        <f t="shared" si="30"/>
        <v>1.2</v>
      </c>
      <c r="AM177" s="156">
        <f t="shared" si="31"/>
        <v>9.9999999999999995E-8</v>
      </c>
      <c r="AO177" s="140">
        <f t="shared" si="32"/>
        <v>9.8000000000000112E-6</v>
      </c>
      <c r="AP177">
        <v>0.98000000000000098</v>
      </c>
      <c r="AQ177" s="140">
        <f t="shared" si="33"/>
        <v>9.8000000000000083E-8</v>
      </c>
      <c r="AR177" s="140">
        <f t="shared" si="34"/>
        <v>1.9600000000000019E-7</v>
      </c>
      <c r="AS177" s="140">
        <f t="shared" si="35"/>
        <v>2.9400000000000033E-7</v>
      </c>
      <c r="AT177" s="140">
        <f t="shared" si="36"/>
        <v>3.9200000000000044E-7</v>
      </c>
      <c r="AU177" s="140">
        <f t="shared" si="37"/>
        <v>4.900000000000006E-7</v>
      </c>
      <c r="AV177" s="157">
        <f t="shared" si="38"/>
        <v>1.2</v>
      </c>
      <c r="AW177" s="156">
        <f t="shared" si="39"/>
        <v>9.9999999999999995E-8</v>
      </c>
      <c r="AY177" s="140">
        <f t="shared" si="40"/>
        <v>9.8000000000000112E-6</v>
      </c>
      <c r="AZ177">
        <v>0.98000000000000098</v>
      </c>
      <c r="BA177" s="140">
        <f t="shared" si="41"/>
        <v>9.8000000000000083E-8</v>
      </c>
      <c r="BB177" s="140">
        <f t="shared" si="42"/>
        <v>1.9600000000000019E-7</v>
      </c>
      <c r="BC177" s="140">
        <f t="shared" si="43"/>
        <v>2.9400000000000033E-7</v>
      </c>
      <c r="BD177" s="140">
        <f t="shared" si="44"/>
        <v>3.9200000000000044E-7</v>
      </c>
      <c r="BE177" s="140">
        <f t="shared" si="45"/>
        <v>4.900000000000006E-7</v>
      </c>
      <c r="BF177" s="157">
        <f>IF(AY177&lt;$B$89*DATA!$H$1037,DATA!$H$1037,IF(AY177&gt;DATA!$H$1036*$B$89,DATA!$H$1036,1))</f>
        <v>1.2</v>
      </c>
      <c r="BG177" s="156">
        <f t="shared" si="46"/>
        <v>9.9999999999999995E-8</v>
      </c>
      <c r="BI177" s="140">
        <f t="shared" si="47"/>
        <v>9.8000000000000112E-6</v>
      </c>
      <c r="BJ177">
        <v>0.98000000000000098</v>
      </c>
      <c r="BK177" s="140">
        <f t="shared" si="48"/>
        <v>9.8000000000000083E-8</v>
      </c>
      <c r="BL177" s="140">
        <f t="shared" si="49"/>
        <v>1.9600000000000019E-7</v>
      </c>
      <c r="BM177" s="140">
        <f t="shared" si="50"/>
        <v>2.9400000000000033E-7</v>
      </c>
      <c r="BN177" s="140">
        <f t="shared" si="51"/>
        <v>3.9200000000000044E-7</v>
      </c>
      <c r="BO177" s="140">
        <f t="shared" si="52"/>
        <v>4.900000000000006E-7</v>
      </c>
      <c r="BP177" s="157">
        <f>IF(BI177&lt;$B$105*DATA!$H$1037,DATA!$H$1037,IF(BI177&gt;DATA!$H$1036*$B$105,DATA!$H$1036,1))</f>
        <v>1.2</v>
      </c>
      <c r="BQ177" s="156">
        <f t="shared" si="53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55"/>
        <v>9.9999999999999969E-8</v>
      </c>
      <c r="D178" s="140">
        <f t="shared" si="55"/>
        <v>1.9999999999999999E-7</v>
      </c>
      <c r="E178" s="140">
        <f t="shared" si="55"/>
        <v>3.0000000000000004E-7</v>
      </c>
      <c r="F178" s="140">
        <f t="shared" si="55"/>
        <v>4.0000000000000003E-7</v>
      </c>
      <c r="G178" s="140">
        <f t="shared" si="55"/>
        <v>5.0000000000000008E-7</v>
      </c>
      <c r="H178" s="124">
        <f t="shared" si="6"/>
        <v>0.8</v>
      </c>
      <c r="I178" s="156">
        <f t="shared" si="7"/>
        <v>9.9999999999999995E-8</v>
      </c>
      <c r="K178" s="140">
        <f t="shared" si="8"/>
        <v>1.0000000000000001E-5</v>
      </c>
      <c r="L178">
        <v>1</v>
      </c>
      <c r="M178" s="140">
        <f t="shared" si="9"/>
        <v>9.9999999999999969E-8</v>
      </c>
      <c r="N178" s="140">
        <f t="shared" si="10"/>
        <v>1.9999999999999999E-7</v>
      </c>
      <c r="O178" s="140">
        <f t="shared" si="11"/>
        <v>3.0000000000000004E-7</v>
      </c>
      <c r="P178" s="140">
        <f t="shared" si="12"/>
        <v>4.0000000000000003E-7</v>
      </c>
      <c r="Q178" s="140">
        <f t="shared" si="13"/>
        <v>5.0000000000000008E-7</v>
      </c>
      <c r="R178" s="157">
        <f t="shared" si="14"/>
        <v>0.8</v>
      </c>
      <c r="S178" s="156">
        <f t="shared" si="15"/>
        <v>9.9999999999999995E-8</v>
      </c>
      <c r="U178" s="140">
        <f t="shared" si="16"/>
        <v>1.0000000000000001E-5</v>
      </c>
      <c r="V178">
        <v>1</v>
      </c>
      <c r="W178" s="140">
        <f t="shared" si="17"/>
        <v>9.9999999999999969E-8</v>
      </c>
      <c r="X178" s="140">
        <f t="shared" si="18"/>
        <v>1.9999999999999999E-7</v>
      </c>
      <c r="Y178" s="140">
        <f t="shared" si="19"/>
        <v>3.0000000000000004E-7</v>
      </c>
      <c r="Z178" s="140">
        <f t="shared" si="20"/>
        <v>4.0000000000000003E-7</v>
      </c>
      <c r="AA178" s="140">
        <f t="shared" si="21"/>
        <v>5.0000000000000008E-7</v>
      </c>
      <c r="AB178" s="157">
        <f t="shared" si="22"/>
        <v>0.8</v>
      </c>
      <c r="AC178" s="156">
        <f t="shared" si="23"/>
        <v>9.9999999999999995E-8</v>
      </c>
      <c r="AE178" s="140">
        <f t="shared" si="24"/>
        <v>1.0000000000000001E-5</v>
      </c>
      <c r="AF178">
        <v>1</v>
      </c>
      <c r="AG178" s="140">
        <f t="shared" si="25"/>
        <v>9.9999999999999969E-8</v>
      </c>
      <c r="AH178" s="140">
        <f t="shared" si="26"/>
        <v>1.9999999999999999E-7</v>
      </c>
      <c r="AI178" s="140">
        <f t="shared" si="27"/>
        <v>3.0000000000000004E-7</v>
      </c>
      <c r="AJ178" s="140">
        <f t="shared" si="28"/>
        <v>4.0000000000000003E-7</v>
      </c>
      <c r="AK178" s="140">
        <f t="shared" si="29"/>
        <v>5.0000000000000008E-7</v>
      </c>
      <c r="AL178" s="157">
        <f t="shared" si="30"/>
        <v>1.2</v>
      </c>
      <c r="AM178" s="156">
        <f t="shared" si="31"/>
        <v>9.9999999999999995E-8</v>
      </c>
      <c r="AO178" s="140">
        <f t="shared" si="32"/>
        <v>1.0000000000000001E-5</v>
      </c>
      <c r="AP178">
        <v>1</v>
      </c>
      <c r="AQ178" s="140">
        <f t="shared" si="33"/>
        <v>9.9999999999999969E-8</v>
      </c>
      <c r="AR178" s="140">
        <f t="shared" si="34"/>
        <v>1.9999999999999999E-7</v>
      </c>
      <c r="AS178" s="140">
        <f t="shared" si="35"/>
        <v>3.0000000000000004E-7</v>
      </c>
      <c r="AT178" s="140">
        <f t="shared" si="36"/>
        <v>4.0000000000000003E-7</v>
      </c>
      <c r="AU178" s="140">
        <f t="shared" si="37"/>
        <v>5.0000000000000008E-7</v>
      </c>
      <c r="AV178" s="157">
        <f t="shared" si="38"/>
        <v>1.2</v>
      </c>
      <c r="AW178" s="156">
        <f t="shared" si="39"/>
        <v>9.9999999999999995E-8</v>
      </c>
      <c r="AY178" s="140">
        <f t="shared" si="40"/>
        <v>1.0000000000000001E-5</v>
      </c>
      <c r="AZ178">
        <v>1</v>
      </c>
      <c r="BA178" s="140">
        <f t="shared" si="41"/>
        <v>9.9999999999999969E-8</v>
      </c>
      <c r="BB178" s="140">
        <f t="shared" si="42"/>
        <v>1.9999999999999999E-7</v>
      </c>
      <c r="BC178" s="140">
        <f t="shared" si="43"/>
        <v>3.0000000000000004E-7</v>
      </c>
      <c r="BD178" s="140">
        <f t="shared" si="44"/>
        <v>4.0000000000000003E-7</v>
      </c>
      <c r="BE178" s="140">
        <f t="shared" si="45"/>
        <v>5.0000000000000008E-7</v>
      </c>
      <c r="BF178" s="157">
        <f>IF(AY178&lt;$B$89*DATA!$H$1037,DATA!$H$1037,IF(AY178&gt;DATA!$H$1036*$B$89,DATA!$H$1036,1))</f>
        <v>1.2</v>
      </c>
      <c r="BG178" s="156">
        <f t="shared" si="46"/>
        <v>9.9999999999999995E-8</v>
      </c>
      <c r="BI178" s="140">
        <f t="shared" si="47"/>
        <v>1.0000000000000001E-5</v>
      </c>
      <c r="BJ178">
        <v>1</v>
      </c>
      <c r="BK178" s="140">
        <f t="shared" si="48"/>
        <v>9.9999999999999969E-8</v>
      </c>
      <c r="BL178" s="140">
        <f t="shared" si="49"/>
        <v>1.9999999999999999E-7</v>
      </c>
      <c r="BM178" s="140">
        <f t="shared" si="50"/>
        <v>3.0000000000000004E-7</v>
      </c>
      <c r="BN178" s="140">
        <f t="shared" si="51"/>
        <v>4.0000000000000003E-7</v>
      </c>
      <c r="BO178" s="140">
        <f t="shared" si="52"/>
        <v>5.0000000000000008E-7</v>
      </c>
      <c r="BP178" s="157">
        <f>IF(BI178&lt;$B$105*DATA!$H$1037,DATA!$H$1037,IF(BI178&gt;DATA!$H$1036*$B$105,DATA!$H$1036,1))</f>
        <v>1.2</v>
      </c>
      <c r="BQ178" s="156">
        <f t="shared" si="53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55"/>
        <v>1.0199999999999997E-7</v>
      </c>
      <c r="D179" s="140">
        <f t="shared" si="55"/>
        <v>2.0399999999999997E-7</v>
      </c>
      <c r="E179" s="140">
        <f t="shared" si="55"/>
        <v>3.0600000000000001E-7</v>
      </c>
      <c r="F179" s="140">
        <f t="shared" si="55"/>
        <v>4.0800000000000005E-7</v>
      </c>
      <c r="G179" s="140">
        <f t="shared" si="55"/>
        <v>5.1000000000000009E-7</v>
      </c>
      <c r="H179" s="124">
        <f t="shared" si="6"/>
        <v>0.8</v>
      </c>
      <c r="I179" s="156">
        <f t="shared" si="7"/>
        <v>9.9999999999999995E-8</v>
      </c>
      <c r="K179" s="140">
        <f t="shared" si="8"/>
        <v>1.0200000000000001E-5</v>
      </c>
      <c r="L179">
        <v>1.02</v>
      </c>
      <c r="M179" s="140">
        <f t="shared" si="9"/>
        <v>1.0199999999999997E-7</v>
      </c>
      <c r="N179" s="140">
        <f t="shared" si="10"/>
        <v>2.0399999999999997E-7</v>
      </c>
      <c r="O179" s="140">
        <f t="shared" si="11"/>
        <v>3.0600000000000001E-7</v>
      </c>
      <c r="P179" s="140">
        <f t="shared" si="12"/>
        <v>4.0800000000000005E-7</v>
      </c>
      <c r="Q179" s="140">
        <f t="shared" si="13"/>
        <v>5.1000000000000009E-7</v>
      </c>
      <c r="R179" s="157">
        <f t="shared" si="14"/>
        <v>0.8</v>
      </c>
      <c r="S179" s="156">
        <f t="shared" si="15"/>
        <v>9.9999999999999995E-8</v>
      </c>
      <c r="U179" s="140">
        <f t="shared" si="16"/>
        <v>1.0200000000000001E-5</v>
      </c>
      <c r="V179">
        <v>1.02</v>
      </c>
      <c r="W179" s="140">
        <f t="shared" si="17"/>
        <v>1.0199999999999997E-7</v>
      </c>
      <c r="X179" s="140">
        <f t="shared" si="18"/>
        <v>2.0399999999999997E-7</v>
      </c>
      <c r="Y179" s="140">
        <f t="shared" si="19"/>
        <v>3.0600000000000001E-7</v>
      </c>
      <c r="Z179" s="140">
        <f t="shared" si="20"/>
        <v>4.0800000000000005E-7</v>
      </c>
      <c r="AA179" s="140">
        <f t="shared" si="21"/>
        <v>5.1000000000000009E-7</v>
      </c>
      <c r="AB179" s="157">
        <f t="shared" si="22"/>
        <v>0.8</v>
      </c>
      <c r="AC179" s="156">
        <f t="shared" si="23"/>
        <v>9.9999999999999995E-8</v>
      </c>
      <c r="AE179" s="140">
        <f t="shared" si="24"/>
        <v>1.0200000000000001E-5</v>
      </c>
      <c r="AF179">
        <v>1.02</v>
      </c>
      <c r="AG179" s="140">
        <f t="shared" si="25"/>
        <v>1.0199999999999997E-7</v>
      </c>
      <c r="AH179" s="140">
        <f t="shared" si="26"/>
        <v>2.0399999999999997E-7</v>
      </c>
      <c r="AI179" s="140">
        <f t="shared" si="27"/>
        <v>3.0600000000000001E-7</v>
      </c>
      <c r="AJ179" s="140">
        <f t="shared" si="28"/>
        <v>4.0800000000000005E-7</v>
      </c>
      <c r="AK179" s="140">
        <f t="shared" si="29"/>
        <v>5.1000000000000009E-7</v>
      </c>
      <c r="AL179" s="157">
        <f t="shared" si="30"/>
        <v>1.2</v>
      </c>
      <c r="AM179" s="156">
        <f t="shared" si="31"/>
        <v>9.9999999999999995E-8</v>
      </c>
      <c r="AO179" s="140">
        <f t="shared" si="32"/>
        <v>1.0200000000000001E-5</v>
      </c>
      <c r="AP179">
        <v>1.02</v>
      </c>
      <c r="AQ179" s="140">
        <f t="shared" si="33"/>
        <v>1.0199999999999997E-7</v>
      </c>
      <c r="AR179" s="140">
        <f t="shared" si="34"/>
        <v>2.0399999999999997E-7</v>
      </c>
      <c r="AS179" s="140">
        <f t="shared" si="35"/>
        <v>3.0600000000000001E-7</v>
      </c>
      <c r="AT179" s="140">
        <f t="shared" si="36"/>
        <v>4.0800000000000005E-7</v>
      </c>
      <c r="AU179" s="140">
        <f t="shared" si="37"/>
        <v>5.1000000000000009E-7</v>
      </c>
      <c r="AV179" s="157">
        <f t="shared" si="38"/>
        <v>1.2</v>
      </c>
      <c r="AW179" s="156">
        <f t="shared" si="39"/>
        <v>9.9999999999999995E-8</v>
      </c>
      <c r="AY179" s="140">
        <f t="shared" si="40"/>
        <v>1.0200000000000001E-5</v>
      </c>
      <c r="AZ179">
        <v>1.02</v>
      </c>
      <c r="BA179" s="140">
        <f t="shared" si="41"/>
        <v>1.0199999999999997E-7</v>
      </c>
      <c r="BB179" s="140">
        <f t="shared" si="42"/>
        <v>2.0399999999999997E-7</v>
      </c>
      <c r="BC179" s="140">
        <f t="shared" si="43"/>
        <v>3.0600000000000001E-7</v>
      </c>
      <c r="BD179" s="140">
        <f t="shared" si="44"/>
        <v>4.0800000000000005E-7</v>
      </c>
      <c r="BE179" s="140">
        <f t="shared" si="45"/>
        <v>5.1000000000000009E-7</v>
      </c>
      <c r="BF179" s="157">
        <f>IF(AY179&lt;$B$89*DATA!$H$1037,DATA!$H$1037,IF(AY179&gt;DATA!$H$1036*$B$89,DATA!$H$1036,1))</f>
        <v>1.2</v>
      </c>
      <c r="BG179" s="156">
        <f t="shared" si="46"/>
        <v>9.9999999999999995E-8</v>
      </c>
      <c r="BI179" s="140">
        <f t="shared" si="47"/>
        <v>1.0200000000000001E-5</v>
      </c>
      <c r="BJ179">
        <v>1.02</v>
      </c>
      <c r="BK179" s="140">
        <f t="shared" si="48"/>
        <v>1.0199999999999997E-7</v>
      </c>
      <c r="BL179" s="140">
        <f t="shared" si="49"/>
        <v>2.0399999999999997E-7</v>
      </c>
      <c r="BM179" s="140">
        <f t="shared" si="50"/>
        <v>3.0600000000000001E-7</v>
      </c>
      <c r="BN179" s="140">
        <f t="shared" si="51"/>
        <v>4.0800000000000005E-7</v>
      </c>
      <c r="BO179" s="140">
        <f t="shared" si="52"/>
        <v>5.1000000000000009E-7</v>
      </c>
      <c r="BP179" s="157">
        <f>IF(BI179&lt;$B$105*DATA!$H$1037,DATA!$H$1037,IF(BI179&gt;DATA!$H$1036*$B$105,DATA!$H$1036,1))</f>
        <v>1.2</v>
      </c>
      <c r="BQ179" s="156">
        <f t="shared" si="53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55"/>
        <v>1.0399999999999997E-7</v>
      </c>
      <c r="D180" s="140">
        <f t="shared" si="55"/>
        <v>2.0799999999999998E-7</v>
      </c>
      <c r="E180" s="140">
        <f t="shared" si="55"/>
        <v>3.1199999999999999E-7</v>
      </c>
      <c r="F180" s="140">
        <f t="shared" si="55"/>
        <v>4.1600000000000002E-7</v>
      </c>
      <c r="G180" s="140">
        <f t="shared" si="55"/>
        <v>5.2E-7</v>
      </c>
      <c r="H180" s="124">
        <f t="shared" si="6"/>
        <v>0.8</v>
      </c>
      <c r="I180" s="156">
        <f t="shared" si="7"/>
        <v>9.9999999999999995E-8</v>
      </c>
      <c r="K180" s="140">
        <f t="shared" si="8"/>
        <v>1.04E-5</v>
      </c>
      <c r="L180">
        <v>1.04</v>
      </c>
      <c r="M180" s="140">
        <f t="shared" si="9"/>
        <v>1.0399999999999997E-7</v>
      </c>
      <c r="N180" s="140">
        <f t="shared" si="10"/>
        <v>2.0799999999999998E-7</v>
      </c>
      <c r="O180" s="140">
        <f t="shared" si="11"/>
        <v>3.1199999999999999E-7</v>
      </c>
      <c r="P180" s="140">
        <f t="shared" si="12"/>
        <v>4.1600000000000002E-7</v>
      </c>
      <c r="Q180" s="140">
        <f t="shared" si="13"/>
        <v>5.2E-7</v>
      </c>
      <c r="R180" s="157">
        <f t="shared" si="14"/>
        <v>0.8</v>
      </c>
      <c r="S180" s="156">
        <f t="shared" si="15"/>
        <v>9.9999999999999995E-8</v>
      </c>
      <c r="U180" s="140">
        <f t="shared" si="16"/>
        <v>1.04E-5</v>
      </c>
      <c r="V180">
        <v>1.04</v>
      </c>
      <c r="W180" s="140">
        <f t="shared" si="17"/>
        <v>1.0399999999999997E-7</v>
      </c>
      <c r="X180" s="140">
        <f t="shared" si="18"/>
        <v>2.0799999999999998E-7</v>
      </c>
      <c r="Y180" s="140">
        <f t="shared" si="19"/>
        <v>3.1199999999999999E-7</v>
      </c>
      <c r="Z180" s="140">
        <f t="shared" si="20"/>
        <v>4.1600000000000002E-7</v>
      </c>
      <c r="AA180" s="140">
        <f t="shared" si="21"/>
        <v>5.2E-7</v>
      </c>
      <c r="AB180" s="157">
        <f t="shared" si="22"/>
        <v>0.8</v>
      </c>
      <c r="AC180" s="156">
        <f t="shared" si="23"/>
        <v>9.9999999999999995E-8</v>
      </c>
      <c r="AE180" s="140">
        <f t="shared" si="24"/>
        <v>1.04E-5</v>
      </c>
      <c r="AF180">
        <v>1.04</v>
      </c>
      <c r="AG180" s="140">
        <f t="shared" si="25"/>
        <v>1.0399999999999997E-7</v>
      </c>
      <c r="AH180" s="140">
        <f t="shared" si="26"/>
        <v>2.0799999999999998E-7</v>
      </c>
      <c r="AI180" s="140">
        <f t="shared" si="27"/>
        <v>3.1199999999999999E-7</v>
      </c>
      <c r="AJ180" s="140">
        <f t="shared" si="28"/>
        <v>4.1600000000000002E-7</v>
      </c>
      <c r="AK180" s="140">
        <f t="shared" si="29"/>
        <v>5.2E-7</v>
      </c>
      <c r="AL180" s="157">
        <f t="shared" si="30"/>
        <v>1.2</v>
      </c>
      <c r="AM180" s="156">
        <f t="shared" si="31"/>
        <v>9.9999999999999995E-8</v>
      </c>
      <c r="AO180" s="140">
        <f t="shared" si="32"/>
        <v>1.04E-5</v>
      </c>
      <c r="AP180">
        <v>1.04</v>
      </c>
      <c r="AQ180" s="140">
        <f t="shared" si="33"/>
        <v>1.0399999999999997E-7</v>
      </c>
      <c r="AR180" s="140">
        <f t="shared" si="34"/>
        <v>2.0799999999999998E-7</v>
      </c>
      <c r="AS180" s="140">
        <f t="shared" si="35"/>
        <v>3.1199999999999999E-7</v>
      </c>
      <c r="AT180" s="140">
        <f t="shared" si="36"/>
        <v>4.1600000000000002E-7</v>
      </c>
      <c r="AU180" s="140">
        <f t="shared" si="37"/>
        <v>5.2E-7</v>
      </c>
      <c r="AV180" s="157">
        <f t="shared" si="38"/>
        <v>1.2</v>
      </c>
      <c r="AW180" s="156">
        <f t="shared" si="39"/>
        <v>9.9999999999999995E-8</v>
      </c>
      <c r="AY180" s="140">
        <f t="shared" si="40"/>
        <v>1.04E-5</v>
      </c>
      <c r="AZ180">
        <v>1.04</v>
      </c>
      <c r="BA180" s="140">
        <f t="shared" si="41"/>
        <v>1.0399999999999997E-7</v>
      </c>
      <c r="BB180" s="140">
        <f t="shared" si="42"/>
        <v>2.0799999999999998E-7</v>
      </c>
      <c r="BC180" s="140">
        <f t="shared" si="43"/>
        <v>3.1199999999999999E-7</v>
      </c>
      <c r="BD180" s="140">
        <f t="shared" si="44"/>
        <v>4.1600000000000002E-7</v>
      </c>
      <c r="BE180" s="140">
        <f t="shared" si="45"/>
        <v>5.2E-7</v>
      </c>
      <c r="BF180" s="157">
        <f>IF(AY180&lt;$B$89*DATA!$H$1037,DATA!$H$1037,IF(AY180&gt;DATA!$H$1036*$B$89,DATA!$H$1036,1))</f>
        <v>1.2</v>
      </c>
      <c r="BG180" s="156">
        <f t="shared" si="46"/>
        <v>9.9999999999999995E-8</v>
      </c>
      <c r="BI180" s="140">
        <f t="shared" si="47"/>
        <v>1.04E-5</v>
      </c>
      <c r="BJ180">
        <v>1.04</v>
      </c>
      <c r="BK180" s="140">
        <f t="shared" si="48"/>
        <v>1.0399999999999997E-7</v>
      </c>
      <c r="BL180" s="140">
        <f t="shared" si="49"/>
        <v>2.0799999999999998E-7</v>
      </c>
      <c r="BM180" s="140">
        <f t="shared" si="50"/>
        <v>3.1199999999999999E-7</v>
      </c>
      <c r="BN180" s="140">
        <f t="shared" si="51"/>
        <v>4.1600000000000002E-7</v>
      </c>
      <c r="BO180" s="140">
        <f t="shared" si="52"/>
        <v>5.2E-7</v>
      </c>
      <c r="BP180" s="157">
        <f>IF(BI180&lt;$B$105*DATA!$H$1037,DATA!$H$1037,IF(BI180&gt;DATA!$H$1036*$B$105,DATA!$H$1036,1))</f>
        <v>1.2</v>
      </c>
      <c r="BQ180" s="156">
        <f t="shared" si="53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55"/>
        <v>1.0599999999999998E-7</v>
      </c>
      <c r="D181" s="140">
        <f t="shared" si="55"/>
        <v>2.1199999999999999E-7</v>
      </c>
      <c r="E181" s="140">
        <f t="shared" si="55"/>
        <v>3.1800000000000007E-7</v>
      </c>
      <c r="F181" s="140">
        <f t="shared" si="55"/>
        <v>4.2400000000000009E-7</v>
      </c>
      <c r="G181" s="140">
        <f t="shared" si="55"/>
        <v>5.3000000000000011E-7</v>
      </c>
      <c r="H181" s="124">
        <f t="shared" si="6"/>
        <v>0.8</v>
      </c>
      <c r="I181" s="156">
        <f t="shared" si="7"/>
        <v>9.9999999999999995E-8</v>
      </c>
      <c r="K181" s="140">
        <f t="shared" si="8"/>
        <v>1.0600000000000002E-5</v>
      </c>
      <c r="L181">
        <v>1.06</v>
      </c>
      <c r="M181" s="140">
        <f t="shared" si="9"/>
        <v>1.0599999999999998E-7</v>
      </c>
      <c r="N181" s="140">
        <f t="shared" si="10"/>
        <v>2.1199999999999999E-7</v>
      </c>
      <c r="O181" s="140">
        <f t="shared" si="11"/>
        <v>3.1800000000000007E-7</v>
      </c>
      <c r="P181" s="140">
        <f t="shared" si="12"/>
        <v>4.2400000000000009E-7</v>
      </c>
      <c r="Q181" s="140">
        <f t="shared" si="13"/>
        <v>5.3000000000000011E-7</v>
      </c>
      <c r="R181" s="157">
        <f t="shared" si="14"/>
        <v>0.8</v>
      </c>
      <c r="S181" s="156">
        <f t="shared" si="15"/>
        <v>9.9999999999999995E-8</v>
      </c>
      <c r="U181" s="140">
        <f t="shared" si="16"/>
        <v>1.0600000000000002E-5</v>
      </c>
      <c r="V181">
        <v>1.06</v>
      </c>
      <c r="W181" s="140">
        <f t="shared" si="17"/>
        <v>1.0599999999999998E-7</v>
      </c>
      <c r="X181" s="140">
        <f t="shared" si="18"/>
        <v>2.1199999999999999E-7</v>
      </c>
      <c r="Y181" s="140">
        <f t="shared" si="19"/>
        <v>3.1800000000000007E-7</v>
      </c>
      <c r="Z181" s="140">
        <f t="shared" si="20"/>
        <v>4.2400000000000009E-7</v>
      </c>
      <c r="AA181" s="140">
        <f t="shared" si="21"/>
        <v>5.3000000000000011E-7</v>
      </c>
      <c r="AB181" s="157">
        <f t="shared" si="22"/>
        <v>0.8</v>
      </c>
      <c r="AC181" s="156">
        <f t="shared" si="23"/>
        <v>9.9999999999999995E-8</v>
      </c>
      <c r="AE181" s="140">
        <f t="shared" si="24"/>
        <v>1.0600000000000002E-5</v>
      </c>
      <c r="AF181">
        <v>1.06</v>
      </c>
      <c r="AG181" s="140">
        <f t="shared" si="25"/>
        <v>1.0599999999999998E-7</v>
      </c>
      <c r="AH181" s="140">
        <f t="shared" si="26"/>
        <v>2.1199999999999999E-7</v>
      </c>
      <c r="AI181" s="140">
        <f t="shared" si="27"/>
        <v>3.1800000000000007E-7</v>
      </c>
      <c r="AJ181" s="140">
        <f t="shared" si="28"/>
        <v>4.2400000000000009E-7</v>
      </c>
      <c r="AK181" s="140">
        <f t="shared" si="29"/>
        <v>5.3000000000000011E-7</v>
      </c>
      <c r="AL181" s="157">
        <f t="shared" si="30"/>
        <v>1.2</v>
      </c>
      <c r="AM181" s="156">
        <f t="shared" si="31"/>
        <v>9.9999999999999995E-8</v>
      </c>
      <c r="AO181" s="140">
        <f t="shared" si="32"/>
        <v>1.0600000000000002E-5</v>
      </c>
      <c r="AP181">
        <v>1.06</v>
      </c>
      <c r="AQ181" s="140">
        <f t="shared" si="33"/>
        <v>1.0599999999999998E-7</v>
      </c>
      <c r="AR181" s="140">
        <f t="shared" si="34"/>
        <v>2.1199999999999999E-7</v>
      </c>
      <c r="AS181" s="140">
        <f t="shared" si="35"/>
        <v>3.1800000000000007E-7</v>
      </c>
      <c r="AT181" s="140">
        <f t="shared" si="36"/>
        <v>4.2400000000000009E-7</v>
      </c>
      <c r="AU181" s="140">
        <f t="shared" si="37"/>
        <v>5.3000000000000011E-7</v>
      </c>
      <c r="AV181" s="157">
        <f t="shared" si="38"/>
        <v>1.2</v>
      </c>
      <c r="AW181" s="156">
        <f t="shared" si="39"/>
        <v>9.9999999999999995E-8</v>
      </c>
      <c r="AY181" s="140">
        <f t="shared" si="40"/>
        <v>1.0600000000000002E-5</v>
      </c>
      <c r="AZ181">
        <v>1.06</v>
      </c>
      <c r="BA181" s="140">
        <f t="shared" si="41"/>
        <v>1.0599999999999998E-7</v>
      </c>
      <c r="BB181" s="140">
        <f t="shared" si="42"/>
        <v>2.1199999999999999E-7</v>
      </c>
      <c r="BC181" s="140">
        <f t="shared" si="43"/>
        <v>3.1800000000000007E-7</v>
      </c>
      <c r="BD181" s="140">
        <f t="shared" si="44"/>
        <v>4.2400000000000009E-7</v>
      </c>
      <c r="BE181" s="140">
        <f t="shared" si="45"/>
        <v>5.3000000000000011E-7</v>
      </c>
      <c r="BF181" s="157">
        <f>IF(AY181&lt;$B$89*DATA!$H$1037,DATA!$H$1037,IF(AY181&gt;DATA!$H$1036*$B$89,DATA!$H$1036,1))</f>
        <v>1.2</v>
      </c>
      <c r="BG181" s="156">
        <f t="shared" si="46"/>
        <v>9.9999999999999995E-8</v>
      </c>
      <c r="BI181" s="140">
        <f t="shared" si="47"/>
        <v>1.0600000000000002E-5</v>
      </c>
      <c r="BJ181">
        <v>1.06</v>
      </c>
      <c r="BK181" s="140">
        <f t="shared" si="48"/>
        <v>1.0599999999999998E-7</v>
      </c>
      <c r="BL181" s="140">
        <f t="shared" si="49"/>
        <v>2.1199999999999999E-7</v>
      </c>
      <c r="BM181" s="140">
        <f t="shared" si="50"/>
        <v>3.1800000000000007E-7</v>
      </c>
      <c r="BN181" s="140">
        <f t="shared" si="51"/>
        <v>4.2400000000000009E-7</v>
      </c>
      <c r="BO181" s="140">
        <f t="shared" si="52"/>
        <v>5.3000000000000011E-7</v>
      </c>
      <c r="BP181" s="157">
        <f>IF(BI181&lt;$B$105*DATA!$H$1037,DATA!$H$1037,IF(BI181&gt;DATA!$H$1036*$B$105,DATA!$H$1036,1))</f>
        <v>1.2</v>
      </c>
      <c r="BQ181" s="156">
        <f t="shared" si="53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55"/>
        <v>1.0799999999999997E-7</v>
      </c>
      <c r="D182" s="140">
        <f t="shared" si="55"/>
        <v>2.16E-7</v>
      </c>
      <c r="E182" s="140">
        <f t="shared" si="55"/>
        <v>3.2400000000000004E-7</v>
      </c>
      <c r="F182" s="140">
        <f t="shared" si="55"/>
        <v>4.3200000000000006E-7</v>
      </c>
      <c r="G182" s="140">
        <f t="shared" si="55"/>
        <v>5.4000000000000012E-7</v>
      </c>
      <c r="H182" s="124">
        <f t="shared" si="6"/>
        <v>0.8</v>
      </c>
      <c r="I182" s="156">
        <f t="shared" si="7"/>
        <v>9.9999999999999995E-8</v>
      </c>
      <c r="K182" s="140">
        <f t="shared" si="8"/>
        <v>1.0800000000000002E-5</v>
      </c>
      <c r="L182">
        <v>1.08</v>
      </c>
      <c r="M182" s="140">
        <f t="shared" si="9"/>
        <v>1.0799999999999997E-7</v>
      </c>
      <c r="N182" s="140">
        <f t="shared" si="10"/>
        <v>2.16E-7</v>
      </c>
      <c r="O182" s="140">
        <f t="shared" si="11"/>
        <v>3.2400000000000004E-7</v>
      </c>
      <c r="P182" s="140">
        <f t="shared" si="12"/>
        <v>4.3200000000000006E-7</v>
      </c>
      <c r="Q182" s="140">
        <f t="shared" si="13"/>
        <v>5.4000000000000012E-7</v>
      </c>
      <c r="R182" s="157">
        <f t="shared" si="14"/>
        <v>0.8</v>
      </c>
      <c r="S182" s="156">
        <f t="shared" si="15"/>
        <v>9.9999999999999995E-8</v>
      </c>
      <c r="U182" s="140">
        <f t="shared" si="16"/>
        <v>1.0800000000000002E-5</v>
      </c>
      <c r="V182">
        <v>1.08</v>
      </c>
      <c r="W182" s="140">
        <f t="shared" si="17"/>
        <v>1.0799999999999997E-7</v>
      </c>
      <c r="X182" s="140">
        <f t="shared" si="18"/>
        <v>2.16E-7</v>
      </c>
      <c r="Y182" s="140">
        <f t="shared" si="19"/>
        <v>3.2400000000000004E-7</v>
      </c>
      <c r="Z182" s="140">
        <f t="shared" si="20"/>
        <v>4.3200000000000006E-7</v>
      </c>
      <c r="AA182" s="140">
        <f t="shared" si="21"/>
        <v>5.4000000000000012E-7</v>
      </c>
      <c r="AB182" s="157">
        <f t="shared" si="22"/>
        <v>0.8</v>
      </c>
      <c r="AC182" s="156">
        <f t="shared" si="23"/>
        <v>9.9999999999999995E-8</v>
      </c>
      <c r="AE182" s="140">
        <f t="shared" si="24"/>
        <v>1.0800000000000002E-5</v>
      </c>
      <c r="AF182">
        <v>1.08</v>
      </c>
      <c r="AG182" s="140">
        <f t="shared" si="25"/>
        <v>1.0799999999999997E-7</v>
      </c>
      <c r="AH182" s="140">
        <f t="shared" si="26"/>
        <v>2.16E-7</v>
      </c>
      <c r="AI182" s="140">
        <f t="shared" si="27"/>
        <v>3.2400000000000004E-7</v>
      </c>
      <c r="AJ182" s="140">
        <f t="shared" si="28"/>
        <v>4.3200000000000006E-7</v>
      </c>
      <c r="AK182" s="140">
        <f t="shared" si="29"/>
        <v>5.4000000000000012E-7</v>
      </c>
      <c r="AL182" s="157">
        <f t="shared" si="30"/>
        <v>1.2</v>
      </c>
      <c r="AM182" s="156">
        <f t="shared" si="31"/>
        <v>9.9999999999999995E-8</v>
      </c>
      <c r="AO182" s="140">
        <f t="shared" si="32"/>
        <v>1.0800000000000002E-5</v>
      </c>
      <c r="AP182">
        <v>1.08</v>
      </c>
      <c r="AQ182" s="140">
        <f t="shared" si="33"/>
        <v>1.0799999999999997E-7</v>
      </c>
      <c r="AR182" s="140">
        <f t="shared" si="34"/>
        <v>2.16E-7</v>
      </c>
      <c r="AS182" s="140">
        <f t="shared" si="35"/>
        <v>3.2400000000000004E-7</v>
      </c>
      <c r="AT182" s="140">
        <f t="shared" si="36"/>
        <v>4.3200000000000006E-7</v>
      </c>
      <c r="AU182" s="140">
        <f t="shared" si="37"/>
        <v>5.4000000000000012E-7</v>
      </c>
      <c r="AV182" s="157">
        <f t="shared" si="38"/>
        <v>1.2</v>
      </c>
      <c r="AW182" s="156">
        <f t="shared" si="39"/>
        <v>9.9999999999999995E-8</v>
      </c>
      <c r="AY182" s="140">
        <f t="shared" si="40"/>
        <v>1.0800000000000002E-5</v>
      </c>
      <c r="AZ182">
        <v>1.08</v>
      </c>
      <c r="BA182" s="140">
        <f t="shared" si="41"/>
        <v>1.0799999999999997E-7</v>
      </c>
      <c r="BB182" s="140">
        <f t="shared" si="42"/>
        <v>2.16E-7</v>
      </c>
      <c r="BC182" s="140">
        <f t="shared" si="43"/>
        <v>3.2400000000000004E-7</v>
      </c>
      <c r="BD182" s="140">
        <f t="shared" si="44"/>
        <v>4.3200000000000006E-7</v>
      </c>
      <c r="BE182" s="140">
        <f t="shared" si="45"/>
        <v>5.4000000000000012E-7</v>
      </c>
      <c r="BF182" s="157">
        <f>IF(AY182&lt;$B$89*DATA!$H$1037,DATA!$H$1037,IF(AY182&gt;DATA!$H$1036*$B$89,DATA!$H$1036,1))</f>
        <v>1.2</v>
      </c>
      <c r="BG182" s="156">
        <f t="shared" si="46"/>
        <v>9.9999999999999995E-8</v>
      </c>
      <c r="BI182" s="140">
        <f t="shared" si="47"/>
        <v>1.0800000000000002E-5</v>
      </c>
      <c r="BJ182">
        <v>1.08</v>
      </c>
      <c r="BK182" s="140">
        <f t="shared" si="48"/>
        <v>1.0799999999999997E-7</v>
      </c>
      <c r="BL182" s="140">
        <f t="shared" si="49"/>
        <v>2.16E-7</v>
      </c>
      <c r="BM182" s="140">
        <f t="shared" si="50"/>
        <v>3.2400000000000004E-7</v>
      </c>
      <c r="BN182" s="140">
        <f t="shared" si="51"/>
        <v>4.3200000000000006E-7</v>
      </c>
      <c r="BO182" s="140">
        <f t="shared" si="52"/>
        <v>5.4000000000000012E-7</v>
      </c>
      <c r="BP182" s="157">
        <f>IF(BI182&lt;$B$105*DATA!$H$1037,DATA!$H$1037,IF(BI182&gt;DATA!$H$1036*$B$105,DATA!$H$1036,1))</f>
        <v>1.2</v>
      </c>
      <c r="BQ182" s="156">
        <f t="shared" si="53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55"/>
        <v>1.0999999999999998E-7</v>
      </c>
      <c r="D183" s="140">
        <f t="shared" si="55"/>
        <v>2.1999999999999998E-7</v>
      </c>
      <c r="E183" s="140">
        <f t="shared" si="55"/>
        <v>3.3000000000000002E-7</v>
      </c>
      <c r="F183" s="140">
        <f t="shared" si="55"/>
        <v>4.4000000000000008E-7</v>
      </c>
      <c r="G183" s="140">
        <f t="shared" si="55"/>
        <v>5.5000000000000013E-7</v>
      </c>
      <c r="H183" s="124">
        <f t="shared" si="6"/>
        <v>0.8</v>
      </c>
      <c r="I183" s="156">
        <f t="shared" si="7"/>
        <v>9.9999999999999995E-8</v>
      </c>
      <c r="K183" s="140">
        <f t="shared" si="8"/>
        <v>1.1000000000000001E-5</v>
      </c>
      <c r="L183">
        <v>1.1000000000000001</v>
      </c>
      <c r="M183" s="140">
        <f t="shared" si="9"/>
        <v>1.0999999999999998E-7</v>
      </c>
      <c r="N183" s="140">
        <f t="shared" si="10"/>
        <v>2.1999999999999998E-7</v>
      </c>
      <c r="O183" s="140">
        <f t="shared" si="11"/>
        <v>3.3000000000000002E-7</v>
      </c>
      <c r="P183" s="140">
        <f t="shared" si="12"/>
        <v>4.4000000000000008E-7</v>
      </c>
      <c r="Q183" s="140">
        <f t="shared" si="13"/>
        <v>5.5000000000000013E-7</v>
      </c>
      <c r="R183" s="157">
        <f t="shared" si="14"/>
        <v>0.8</v>
      </c>
      <c r="S183" s="156">
        <f t="shared" si="15"/>
        <v>9.9999999999999995E-8</v>
      </c>
      <c r="U183" s="140">
        <f t="shared" si="16"/>
        <v>1.1000000000000001E-5</v>
      </c>
      <c r="V183">
        <v>1.1000000000000001</v>
      </c>
      <c r="W183" s="140">
        <f t="shared" si="17"/>
        <v>1.0999999999999998E-7</v>
      </c>
      <c r="X183" s="140">
        <f t="shared" si="18"/>
        <v>2.1999999999999998E-7</v>
      </c>
      <c r="Y183" s="140">
        <f t="shared" si="19"/>
        <v>3.3000000000000002E-7</v>
      </c>
      <c r="Z183" s="140">
        <f t="shared" si="20"/>
        <v>4.4000000000000008E-7</v>
      </c>
      <c r="AA183" s="140">
        <f t="shared" si="21"/>
        <v>5.5000000000000013E-7</v>
      </c>
      <c r="AB183" s="157">
        <f t="shared" si="22"/>
        <v>0.8</v>
      </c>
      <c r="AC183" s="156">
        <f t="shared" si="23"/>
        <v>9.9999999999999995E-8</v>
      </c>
      <c r="AE183" s="140">
        <f t="shared" si="24"/>
        <v>1.1000000000000001E-5</v>
      </c>
      <c r="AF183">
        <v>1.1000000000000001</v>
      </c>
      <c r="AG183" s="140">
        <f t="shared" si="25"/>
        <v>1.0999999999999998E-7</v>
      </c>
      <c r="AH183" s="140">
        <f t="shared" si="26"/>
        <v>2.1999999999999998E-7</v>
      </c>
      <c r="AI183" s="140">
        <f t="shared" si="27"/>
        <v>3.3000000000000002E-7</v>
      </c>
      <c r="AJ183" s="140">
        <f t="shared" si="28"/>
        <v>4.4000000000000008E-7</v>
      </c>
      <c r="AK183" s="140">
        <f t="shared" si="29"/>
        <v>5.5000000000000013E-7</v>
      </c>
      <c r="AL183" s="157">
        <f t="shared" si="30"/>
        <v>1.2</v>
      </c>
      <c r="AM183" s="156">
        <f t="shared" si="31"/>
        <v>9.9999999999999995E-8</v>
      </c>
      <c r="AO183" s="140">
        <f t="shared" si="32"/>
        <v>1.1000000000000001E-5</v>
      </c>
      <c r="AP183">
        <v>1.1000000000000001</v>
      </c>
      <c r="AQ183" s="140">
        <f t="shared" si="33"/>
        <v>1.0999999999999998E-7</v>
      </c>
      <c r="AR183" s="140">
        <f t="shared" si="34"/>
        <v>2.1999999999999998E-7</v>
      </c>
      <c r="AS183" s="140">
        <f t="shared" si="35"/>
        <v>3.3000000000000002E-7</v>
      </c>
      <c r="AT183" s="140">
        <f t="shared" si="36"/>
        <v>4.4000000000000008E-7</v>
      </c>
      <c r="AU183" s="140">
        <f t="shared" si="37"/>
        <v>5.5000000000000013E-7</v>
      </c>
      <c r="AV183" s="157">
        <f t="shared" si="38"/>
        <v>1.2</v>
      </c>
      <c r="AW183" s="156">
        <f t="shared" si="39"/>
        <v>9.9999999999999995E-8</v>
      </c>
      <c r="AY183" s="140">
        <f t="shared" si="40"/>
        <v>1.1000000000000001E-5</v>
      </c>
      <c r="AZ183">
        <v>1.1000000000000001</v>
      </c>
      <c r="BA183" s="140">
        <f t="shared" si="41"/>
        <v>1.0999999999999998E-7</v>
      </c>
      <c r="BB183" s="140">
        <f t="shared" si="42"/>
        <v>2.1999999999999998E-7</v>
      </c>
      <c r="BC183" s="140">
        <f t="shared" si="43"/>
        <v>3.3000000000000002E-7</v>
      </c>
      <c r="BD183" s="140">
        <f t="shared" si="44"/>
        <v>4.4000000000000008E-7</v>
      </c>
      <c r="BE183" s="140">
        <f t="shared" si="45"/>
        <v>5.5000000000000013E-7</v>
      </c>
      <c r="BF183" s="157">
        <f>IF(AY183&lt;$B$89*DATA!$H$1037,DATA!$H$1037,IF(AY183&gt;DATA!$H$1036*$B$89,DATA!$H$1036,1))</f>
        <v>1.2</v>
      </c>
      <c r="BG183" s="156">
        <f t="shared" si="46"/>
        <v>9.9999999999999995E-8</v>
      </c>
      <c r="BI183" s="140">
        <f t="shared" si="47"/>
        <v>1.1000000000000001E-5</v>
      </c>
      <c r="BJ183">
        <v>1.1000000000000001</v>
      </c>
      <c r="BK183" s="140">
        <f t="shared" si="48"/>
        <v>1.0999999999999998E-7</v>
      </c>
      <c r="BL183" s="140">
        <f t="shared" si="49"/>
        <v>2.1999999999999998E-7</v>
      </c>
      <c r="BM183" s="140">
        <f t="shared" si="50"/>
        <v>3.3000000000000002E-7</v>
      </c>
      <c r="BN183" s="140">
        <f t="shared" si="51"/>
        <v>4.4000000000000008E-7</v>
      </c>
      <c r="BO183" s="140">
        <f t="shared" si="52"/>
        <v>5.5000000000000013E-7</v>
      </c>
      <c r="BP183" s="157">
        <f>IF(BI183&lt;$B$105*DATA!$H$1037,DATA!$H$1037,IF(BI183&gt;DATA!$H$1036*$B$105,DATA!$H$1036,1))</f>
        <v>1.2</v>
      </c>
      <c r="BQ183" s="156">
        <f t="shared" si="53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55"/>
        <v>1.1199999999999997E-7</v>
      </c>
      <c r="D184" s="140">
        <f t="shared" si="55"/>
        <v>2.2399999999999999E-7</v>
      </c>
      <c r="E184" s="140">
        <f t="shared" si="55"/>
        <v>3.3600000000000004E-7</v>
      </c>
      <c r="F184" s="140">
        <f t="shared" si="55"/>
        <v>4.4800000000000004E-7</v>
      </c>
      <c r="G184" s="140">
        <f t="shared" si="55"/>
        <v>5.6000000000000004E-7</v>
      </c>
      <c r="H184" s="124">
        <f t="shared" si="6"/>
        <v>0.8</v>
      </c>
      <c r="I184" s="156">
        <f t="shared" si="7"/>
        <v>9.9999999999999995E-8</v>
      </c>
      <c r="K184" s="140">
        <f t="shared" si="8"/>
        <v>1.1200000000000001E-5</v>
      </c>
      <c r="L184">
        <v>1.1200000000000001</v>
      </c>
      <c r="M184" s="140">
        <f t="shared" si="9"/>
        <v>1.1199999999999997E-7</v>
      </c>
      <c r="N184" s="140">
        <f t="shared" si="10"/>
        <v>2.2399999999999999E-7</v>
      </c>
      <c r="O184" s="140">
        <f t="shared" si="11"/>
        <v>3.3600000000000004E-7</v>
      </c>
      <c r="P184" s="140">
        <f t="shared" si="12"/>
        <v>4.4800000000000004E-7</v>
      </c>
      <c r="Q184" s="140">
        <f t="shared" si="13"/>
        <v>5.6000000000000004E-7</v>
      </c>
      <c r="R184" s="157">
        <f t="shared" si="14"/>
        <v>0.8</v>
      </c>
      <c r="S184" s="156">
        <f t="shared" si="15"/>
        <v>9.9999999999999995E-8</v>
      </c>
      <c r="U184" s="140">
        <f t="shared" si="16"/>
        <v>1.1200000000000001E-5</v>
      </c>
      <c r="V184">
        <v>1.1200000000000001</v>
      </c>
      <c r="W184" s="140">
        <f t="shared" si="17"/>
        <v>1.1199999999999997E-7</v>
      </c>
      <c r="X184" s="140">
        <f t="shared" si="18"/>
        <v>2.2399999999999999E-7</v>
      </c>
      <c r="Y184" s="140">
        <f t="shared" si="19"/>
        <v>3.3600000000000004E-7</v>
      </c>
      <c r="Z184" s="140">
        <f t="shared" si="20"/>
        <v>4.4800000000000004E-7</v>
      </c>
      <c r="AA184" s="140">
        <f t="shared" si="21"/>
        <v>5.6000000000000004E-7</v>
      </c>
      <c r="AB184" s="157">
        <f t="shared" si="22"/>
        <v>0.8</v>
      </c>
      <c r="AC184" s="156">
        <f t="shared" si="23"/>
        <v>9.9999999999999995E-8</v>
      </c>
      <c r="AE184" s="140">
        <f t="shared" si="24"/>
        <v>1.1200000000000001E-5</v>
      </c>
      <c r="AF184">
        <v>1.1200000000000001</v>
      </c>
      <c r="AG184" s="140">
        <f t="shared" si="25"/>
        <v>1.1199999999999997E-7</v>
      </c>
      <c r="AH184" s="140">
        <f t="shared" si="26"/>
        <v>2.2399999999999999E-7</v>
      </c>
      <c r="AI184" s="140">
        <f t="shared" si="27"/>
        <v>3.3600000000000004E-7</v>
      </c>
      <c r="AJ184" s="140">
        <f t="shared" si="28"/>
        <v>4.4800000000000004E-7</v>
      </c>
      <c r="AK184" s="140">
        <f t="shared" si="29"/>
        <v>5.6000000000000004E-7</v>
      </c>
      <c r="AL184" s="157">
        <f t="shared" si="30"/>
        <v>1.2</v>
      </c>
      <c r="AM184" s="156">
        <f t="shared" si="31"/>
        <v>9.9999999999999995E-8</v>
      </c>
      <c r="AO184" s="140">
        <f t="shared" si="32"/>
        <v>1.1200000000000001E-5</v>
      </c>
      <c r="AP184">
        <v>1.1200000000000001</v>
      </c>
      <c r="AQ184" s="140">
        <f t="shared" si="33"/>
        <v>1.1199999999999997E-7</v>
      </c>
      <c r="AR184" s="140">
        <f t="shared" si="34"/>
        <v>2.2399999999999999E-7</v>
      </c>
      <c r="AS184" s="140">
        <f t="shared" si="35"/>
        <v>3.3600000000000004E-7</v>
      </c>
      <c r="AT184" s="140">
        <f t="shared" si="36"/>
        <v>4.4800000000000004E-7</v>
      </c>
      <c r="AU184" s="140">
        <f t="shared" si="37"/>
        <v>5.6000000000000004E-7</v>
      </c>
      <c r="AV184" s="157">
        <f t="shared" si="38"/>
        <v>1.2</v>
      </c>
      <c r="AW184" s="156">
        <f t="shared" si="39"/>
        <v>9.9999999999999995E-8</v>
      </c>
      <c r="AY184" s="140">
        <f t="shared" si="40"/>
        <v>1.1200000000000001E-5</v>
      </c>
      <c r="AZ184">
        <v>1.1200000000000001</v>
      </c>
      <c r="BA184" s="140">
        <f t="shared" si="41"/>
        <v>1.1199999999999997E-7</v>
      </c>
      <c r="BB184" s="140">
        <f t="shared" si="42"/>
        <v>2.2399999999999999E-7</v>
      </c>
      <c r="BC184" s="140">
        <f t="shared" si="43"/>
        <v>3.3600000000000004E-7</v>
      </c>
      <c r="BD184" s="140">
        <f t="shared" si="44"/>
        <v>4.4800000000000004E-7</v>
      </c>
      <c r="BE184" s="140">
        <f t="shared" si="45"/>
        <v>5.6000000000000004E-7</v>
      </c>
      <c r="BF184" s="157">
        <f>IF(AY184&lt;$B$89*DATA!$H$1037,DATA!$H$1037,IF(AY184&gt;DATA!$H$1036*$B$89,DATA!$H$1036,1))</f>
        <v>1.2</v>
      </c>
      <c r="BG184" s="156">
        <f t="shared" si="46"/>
        <v>9.9999999999999995E-8</v>
      </c>
      <c r="BI184" s="140">
        <f t="shared" si="47"/>
        <v>1.1200000000000001E-5</v>
      </c>
      <c r="BJ184">
        <v>1.1200000000000001</v>
      </c>
      <c r="BK184" s="140">
        <f t="shared" si="48"/>
        <v>1.1199999999999997E-7</v>
      </c>
      <c r="BL184" s="140">
        <f t="shared" si="49"/>
        <v>2.2399999999999999E-7</v>
      </c>
      <c r="BM184" s="140">
        <f t="shared" si="50"/>
        <v>3.3600000000000004E-7</v>
      </c>
      <c r="BN184" s="140">
        <f t="shared" si="51"/>
        <v>4.4800000000000004E-7</v>
      </c>
      <c r="BO184" s="140">
        <f t="shared" si="52"/>
        <v>5.6000000000000004E-7</v>
      </c>
      <c r="BP184" s="157">
        <f>IF(BI184&lt;$B$105*DATA!$H$1037,DATA!$H$1037,IF(BI184&gt;DATA!$H$1036*$B$105,DATA!$H$1036,1))</f>
        <v>1.2</v>
      </c>
      <c r="BQ184" s="156">
        <f t="shared" si="53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55"/>
        <v>1.1399999999999996E-7</v>
      </c>
      <c r="D185" s="140">
        <f t="shared" si="55"/>
        <v>2.2799999999999995E-7</v>
      </c>
      <c r="E185" s="140">
        <f t="shared" si="55"/>
        <v>3.4199999999999997E-7</v>
      </c>
      <c r="F185" s="140">
        <f t="shared" si="55"/>
        <v>4.5599999999999995E-7</v>
      </c>
      <c r="G185" s="140">
        <f t="shared" si="55"/>
        <v>5.6999999999999994E-7</v>
      </c>
      <c r="H185" s="124">
        <f t="shared" si="6"/>
        <v>0.8</v>
      </c>
      <c r="I185" s="156">
        <f t="shared" si="7"/>
        <v>9.9999999999999995E-8</v>
      </c>
      <c r="K185" s="140">
        <f t="shared" si="8"/>
        <v>1.1399999999999999E-5</v>
      </c>
      <c r="L185">
        <v>1.1399999999999999</v>
      </c>
      <c r="M185" s="140">
        <f t="shared" si="9"/>
        <v>1.1399999999999996E-7</v>
      </c>
      <c r="N185" s="140">
        <f t="shared" si="10"/>
        <v>2.2799999999999995E-7</v>
      </c>
      <c r="O185" s="140">
        <f t="shared" si="11"/>
        <v>3.4199999999999997E-7</v>
      </c>
      <c r="P185" s="140">
        <f t="shared" si="12"/>
        <v>4.5599999999999995E-7</v>
      </c>
      <c r="Q185" s="140">
        <f t="shared" si="13"/>
        <v>5.6999999999999994E-7</v>
      </c>
      <c r="R185" s="157">
        <f t="shared" si="14"/>
        <v>0.8</v>
      </c>
      <c r="S185" s="156">
        <f t="shared" si="15"/>
        <v>9.9999999999999995E-8</v>
      </c>
      <c r="U185" s="140">
        <f t="shared" si="16"/>
        <v>1.1399999999999999E-5</v>
      </c>
      <c r="V185">
        <v>1.1399999999999999</v>
      </c>
      <c r="W185" s="140">
        <f t="shared" si="17"/>
        <v>1.1399999999999996E-7</v>
      </c>
      <c r="X185" s="140">
        <f t="shared" si="18"/>
        <v>2.2799999999999995E-7</v>
      </c>
      <c r="Y185" s="140">
        <f t="shared" si="19"/>
        <v>3.4199999999999997E-7</v>
      </c>
      <c r="Z185" s="140">
        <f t="shared" si="20"/>
        <v>4.5599999999999995E-7</v>
      </c>
      <c r="AA185" s="140">
        <f t="shared" si="21"/>
        <v>5.6999999999999994E-7</v>
      </c>
      <c r="AB185" s="157">
        <f t="shared" si="22"/>
        <v>0.8</v>
      </c>
      <c r="AC185" s="156">
        <f t="shared" si="23"/>
        <v>9.9999999999999995E-8</v>
      </c>
      <c r="AE185" s="140">
        <f t="shared" si="24"/>
        <v>1.1399999999999999E-5</v>
      </c>
      <c r="AF185">
        <v>1.1399999999999999</v>
      </c>
      <c r="AG185" s="140">
        <f t="shared" si="25"/>
        <v>1.1399999999999996E-7</v>
      </c>
      <c r="AH185" s="140">
        <f t="shared" si="26"/>
        <v>2.2799999999999995E-7</v>
      </c>
      <c r="AI185" s="140">
        <f t="shared" si="27"/>
        <v>3.4199999999999997E-7</v>
      </c>
      <c r="AJ185" s="140">
        <f t="shared" si="28"/>
        <v>4.5599999999999995E-7</v>
      </c>
      <c r="AK185" s="140">
        <f t="shared" si="29"/>
        <v>5.6999999999999994E-7</v>
      </c>
      <c r="AL185" s="157">
        <f t="shared" si="30"/>
        <v>1.2</v>
      </c>
      <c r="AM185" s="156">
        <f t="shared" si="31"/>
        <v>9.9999999999999995E-8</v>
      </c>
      <c r="AO185" s="140">
        <f t="shared" si="32"/>
        <v>1.1399999999999999E-5</v>
      </c>
      <c r="AP185">
        <v>1.1399999999999999</v>
      </c>
      <c r="AQ185" s="140">
        <f t="shared" si="33"/>
        <v>1.1399999999999996E-7</v>
      </c>
      <c r="AR185" s="140">
        <f t="shared" si="34"/>
        <v>2.2799999999999995E-7</v>
      </c>
      <c r="AS185" s="140">
        <f t="shared" si="35"/>
        <v>3.4199999999999997E-7</v>
      </c>
      <c r="AT185" s="140">
        <f t="shared" si="36"/>
        <v>4.5599999999999995E-7</v>
      </c>
      <c r="AU185" s="140">
        <f t="shared" si="37"/>
        <v>5.6999999999999994E-7</v>
      </c>
      <c r="AV185" s="157">
        <f t="shared" si="38"/>
        <v>1.2</v>
      </c>
      <c r="AW185" s="156">
        <f t="shared" si="39"/>
        <v>9.9999999999999995E-8</v>
      </c>
      <c r="AY185" s="140">
        <f t="shared" si="40"/>
        <v>1.1399999999999999E-5</v>
      </c>
      <c r="AZ185">
        <v>1.1399999999999999</v>
      </c>
      <c r="BA185" s="140">
        <f t="shared" si="41"/>
        <v>1.1399999999999996E-7</v>
      </c>
      <c r="BB185" s="140">
        <f t="shared" si="42"/>
        <v>2.2799999999999995E-7</v>
      </c>
      <c r="BC185" s="140">
        <f t="shared" si="43"/>
        <v>3.4199999999999997E-7</v>
      </c>
      <c r="BD185" s="140">
        <f t="shared" si="44"/>
        <v>4.5599999999999995E-7</v>
      </c>
      <c r="BE185" s="140">
        <f t="shared" si="45"/>
        <v>5.6999999999999994E-7</v>
      </c>
      <c r="BF185" s="157">
        <f>IF(AY185&lt;$B$89*DATA!$H$1037,DATA!$H$1037,IF(AY185&gt;DATA!$H$1036*$B$89,DATA!$H$1036,1))</f>
        <v>1.2</v>
      </c>
      <c r="BG185" s="156">
        <f t="shared" si="46"/>
        <v>9.9999999999999995E-8</v>
      </c>
      <c r="BI185" s="140">
        <f t="shared" si="47"/>
        <v>1.1399999999999999E-5</v>
      </c>
      <c r="BJ185">
        <v>1.1399999999999999</v>
      </c>
      <c r="BK185" s="140">
        <f t="shared" si="48"/>
        <v>1.1399999999999996E-7</v>
      </c>
      <c r="BL185" s="140">
        <f t="shared" si="49"/>
        <v>2.2799999999999995E-7</v>
      </c>
      <c r="BM185" s="140">
        <f t="shared" si="50"/>
        <v>3.4199999999999997E-7</v>
      </c>
      <c r="BN185" s="140">
        <f t="shared" si="51"/>
        <v>4.5599999999999995E-7</v>
      </c>
      <c r="BO185" s="140">
        <f t="shared" si="52"/>
        <v>5.6999999999999994E-7</v>
      </c>
      <c r="BP185" s="157">
        <f>IF(BI185&lt;$B$105*DATA!$H$1037,DATA!$H$1037,IF(BI185&gt;DATA!$H$1036*$B$105,DATA!$H$1036,1))</f>
        <v>1.2</v>
      </c>
      <c r="BQ185" s="156">
        <f t="shared" si="53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55"/>
        <v>1.1599999999999997E-7</v>
      </c>
      <c r="D186" s="140">
        <f t="shared" si="55"/>
        <v>2.3199999999999999E-7</v>
      </c>
      <c r="E186" s="140">
        <f t="shared" si="55"/>
        <v>3.4799999999999999E-7</v>
      </c>
      <c r="F186" s="140">
        <f t="shared" si="55"/>
        <v>4.6400000000000003E-7</v>
      </c>
      <c r="G186" s="140">
        <f t="shared" si="55"/>
        <v>5.8000000000000006E-7</v>
      </c>
      <c r="H186" s="124">
        <f t="shared" si="6"/>
        <v>0.8</v>
      </c>
      <c r="I186" s="156">
        <f t="shared" si="7"/>
        <v>9.9999999999999995E-8</v>
      </c>
      <c r="K186" s="140">
        <f t="shared" si="8"/>
        <v>1.1600000000000001E-5</v>
      </c>
      <c r="L186">
        <v>1.1599999999999999</v>
      </c>
      <c r="M186" s="140">
        <f t="shared" si="9"/>
        <v>1.1599999999999997E-7</v>
      </c>
      <c r="N186" s="140">
        <f t="shared" si="10"/>
        <v>2.3199999999999999E-7</v>
      </c>
      <c r="O186" s="140">
        <f t="shared" si="11"/>
        <v>3.4799999999999999E-7</v>
      </c>
      <c r="P186" s="140">
        <f t="shared" si="12"/>
        <v>4.6400000000000003E-7</v>
      </c>
      <c r="Q186" s="140">
        <f t="shared" si="13"/>
        <v>5.8000000000000006E-7</v>
      </c>
      <c r="R186" s="157">
        <f t="shared" si="14"/>
        <v>0.8</v>
      </c>
      <c r="S186" s="156">
        <f t="shared" si="15"/>
        <v>9.9999999999999995E-8</v>
      </c>
      <c r="U186" s="140">
        <f t="shared" si="16"/>
        <v>1.1600000000000001E-5</v>
      </c>
      <c r="V186">
        <v>1.1599999999999999</v>
      </c>
      <c r="W186" s="140">
        <f t="shared" si="17"/>
        <v>1.1599999999999997E-7</v>
      </c>
      <c r="X186" s="140">
        <f t="shared" si="18"/>
        <v>2.3199999999999999E-7</v>
      </c>
      <c r="Y186" s="140">
        <f t="shared" si="19"/>
        <v>3.4799999999999999E-7</v>
      </c>
      <c r="Z186" s="140">
        <f t="shared" si="20"/>
        <v>4.6400000000000003E-7</v>
      </c>
      <c r="AA186" s="140">
        <f t="shared" si="21"/>
        <v>5.8000000000000006E-7</v>
      </c>
      <c r="AB186" s="157">
        <f t="shared" si="22"/>
        <v>0.8</v>
      </c>
      <c r="AC186" s="156">
        <f t="shared" si="23"/>
        <v>9.9999999999999995E-8</v>
      </c>
      <c r="AE186" s="140">
        <f t="shared" si="24"/>
        <v>1.1600000000000001E-5</v>
      </c>
      <c r="AF186">
        <v>1.1599999999999999</v>
      </c>
      <c r="AG186" s="140">
        <f t="shared" si="25"/>
        <v>1.1599999999999997E-7</v>
      </c>
      <c r="AH186" s="140">
        <f t="shared" si="26"/>
        <v>2.3199999999999999E-7</v>
      </c>
      <c r="AI186" s="140">
        <f t="shared" si="27"/>
        <v>3.4799999999999999E-7</v>
      </c>
      <c r="AJ186" s="140">
        <f t="shared" si="28"/>
        <v>4.6400000000000003E-7</v>
      </c>
      <c r="AK186" s="140">
        <f t="shared" si="29"/>
        <v>5.8000000000000006E-7</v>
      </c>
      <c r="AL186" s="157">
        <f t="shared" si="30"/>
        <v>1.2</v>
      </c>
      <c r="AM186" s="156">
        <f t="shared" si="31"/>
        <v>9.9999999999999995E-8</v>
      </c>
      <c r="AO186" s="140">
        <f t="shared" si="32"/>
        <v>1.1600000000000001E-5</v>
      </c>
      <c r="AP186">
        <v>1.1599999999999999</v>
      </c>
      <c r="AQ186" s="140">
        <f t="shared" si="33"/>
        <v>1.1599999999999997E-7</v>
      </c>
      <c r="AR186" s="140">
        <f t="shared" si="34"/>
        <v>2.3199999999999999E-7</v>
      </c>
      <c r="AS186" s="140">
        <f t="shared" si="35"/>
        <v>3.4799999999999999E-7</v>
      </c>
      <c r="AT186" s="140">
        <f t="shared" si="36"/>
        <v>4.6400000000000003E-7</v>
      </c>
      <c r="AU186" s="140">
        <f t="shared" si="37"/>
        <v>5.8000000000000006E-7</v>
      </c>
      <c r="AV186" s="157">
        <f t="shared" si="38"/>
        <v>1.2</v>
      </c>
      <c r="AW186" s="156">
        <f t="shared" si="39"/>
        <v>9.9999999999999995E-8</v>
      </c>
      <c r="AY186" s="140">
        <f t="shared" si="40"/>
        <v>1.1600000000000001E-5</v>
      </c>
      <c r="AZ186">
        <v>1.1599999999999999</v>
      </c>
      <c r="BA186" s="140">
        <f t="shared" si="41"/>
        <v>1.1599999999999997E-7</v>
      </c>
      <c r="BB186" s="140">
        <f t="shared" si="42"/>
        <v>2.3199999999999999E-7</v>
      </c>
      <c r="BC186" s="140">
        <f t="shared" si="43"/>
        <v>3.4799999999999999E-7</v>
      </c>
      <c r="BD186" s="140">
        <f t="shared" si="44"/>
        <v>4.6400000000000003E-7</v>
      </c>
      <c r="BE186" s="140">
        <f t="shared" si="45"/>
        <v>5.8000000000000006E-7</v>
      </c>
      <c r="BF186" s="157">
        <f>IF(AY186&lt;$B$89*DATA!$H$1037,DATA!$H$1037,IF(AY186&gt;DATA!$H$1036*$B$89,DATA!$H$1036,1))</f>
        <v>1.2</v>
      </c>
      <c r="BG186" s="156">
        <f t="shared" si="46"/>
        <v>9.9999999999999995E-8</v>
      </c>
      <c r="BI186" s="140">
        <f t="shared" si="47"/>
        <v>1.1600000000000001E-5</v>
      </c>
      <c r="BJ186">
        <v>1.1599999999999999</v>
      </c>
      <c r="BK186" s="140">
        <f t="shared" si="48"/>
        <v>1.1599999999999997E-7</v>
      </c>
      <c r="BL186" s="140">
        <f t="shared" si="49"/>
        <v>2.3199999999999999E-7</v>
      </c>
      <c r="BM186" s="140">
        <f t="shared" si="50"/>
        <v>3.4799999999999999E-7</v>
      </c>
      <c r="BN186" s="140">
        <f t="shared" si="51"/>
        <v>4.6400000000000003E-7</v>
      </c>
      <c r="BO186" s="140">
        <f t="shared" si="52"/>
        <v>5.8000000000000006E-7</v>
      </c>
      <c r="BP186" s="157">
        <f>IF(BI186&lt;$B$105*DATA!$H$1037,DATA!$H$1037,IF(BI186&gt;DATA!$H$1036*$B$105,DATA!$H$1036,1))</f>
        <v>1.2</v>
      </c>
      <c r="BQ186" s="156">
        <f t="shared" si="53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55"/>
        <v>1.1799999999999997E-7</v>
      </c>
      <c r="D187" s="140">
        <f t="shared" si="55"/>
        <v>2.3599999999999997E-7</v>
      </c>
      <c r="E187" s="140">
        <f t="shared" si="55"/>
        <v>3.5400000000000002E-7</v>
      </c>
      <c r="F187" s="140">
        <f t="shared" si="55"/>
        <v>4.7200000000000004E-7</v>
      </c>
      <c r="G187" s="140">
        <f t="shared" si="55"/>
        <v>5.9000000000000007E-7</v>
      </c>
      <c r="H187" s="124">
        <f t="shared" si="6"/>
        <v>0.8</v>
      </c>
      <c r="I187" s="156">
        <f t="shared" si="7"/>
        <v>9.9999999999999995E-8</v>
      </c>
      <c r="K187" s="140">
        <f t="shared" si="8"/>
        <v>1.1800000000000001E-5</v>
      </c>
      <c r="L187">
        <v>1.18</v>
      </c>
      <c r="M187" s="140">
        <f t="shared" si="9"/>
        <v>1.1799999999999997E-7</v>
      </c>
      <c r="N187" s="140">
        <f t="shared" si="10"/>
        <v>2.3599999999999997E-7</v>
      </c>
      <c r="O187" s="140">
        <f t="shared" si="11"/>
        <v>3.5400000000000002E-7</v>
      </c>
      <c r="P187" s="140">
        <f t="shared" si="12"/>
        <v>4.7200000000000004E-7</v>
      </c>
      <c r="Q187" s="140">
        <f t="shared" si="13"/>
        <v>5.9000000000000007E-7</v>
      </c>
      <c r="R187" s="157">
        <f t="shared" si="14"/>
        <v>0.8</v>
      </c>
      <c r="S187" s="156">
        <f t="shared" si="15"/>
        <v>9.9999999999999995E-8</v>
      </c>
      <c r="U187" s="140">
        <f t="shared" si="16"/>
        <v>1.1800000000000001E-5</v>
      </c>
      <c r="V187">
        <v>1.18</v>
      </c>
      <c r="W187" s="140">
        <f t="shared" si="17"/>
        <v>1.1799999999999997E-7</v>
      </c>
      <c r="X187" s="140">
        <f t="shared" si="18"/>
        <v>2.3599999999999997E-7</v>
      </c>
      <c r="Y187" s="140">
        <f t="shared" si="19"/>
        <v>3.5400000000000002E-7</v>
      </c>
      <c r="Z187" s="140">
        <f t="shared" si="20"/>
        <v>4.7200000000000004E-7</v>
      </c>
      <c r="AA187" s="140">
        <f t="shared" si="21"/>
        <v>5.9000000000000007E-7</v>
      </c>
      <c r="AB187" s="157">
        <f t="shared" si="22"/>
        <v>0.8</v>
      </c>
      <c r="AC187" s="156">
        <f t="shared" si="23"/>
        <v>9.9999999999999995E-8</v>
      </c>
      <c r="AE187" s="140">
        <f t="shared" si="24"/>
        <v>1.1800000000000001E-5</v>
      </c>
      <c r="AF187">
        <v>1.18</v>
      </c>
      <c r="AG187" s="140">
        <f t="shared" si="25"/>
        <v>1.1799999999999997E-7</v>
      </c>
      <c r="AH187" s="140">
        <f t="shared" si="26"/>
        <v>2.3599999999999997E-7</v>
      </c>
      <c r="AI187" s="140">
        <f t="shared" si="27"/>
        <v>3.5400000000000002E-7</v>
      </c>
      <c r="AJ187" s="140">
        <f t="shared" si="28"/>
        <v>4.7200000000000004E-7</v>
      </c>
      <c r="AK187" s="140">
        <f t="shared" si="29"/>
        <v>5.9000000000000007E-7</v>
      </c>
      <c r="AL187" s="157">
        <f t="shared" si="30"/>
        <v>1.2</v>
      </c>
      <c r="AM187" s="156">
        <f t="shared" si="31"/>
        <v>9.9999999999999995E-8</v>
      </c>
      <c r="AO187" s="140">
        <f t="shared" si="32"/>
        <v>1.1800000000000001E-5</v>
      </c>
      <c r="AP187">
        <v>1.18</v>
      </c>
      <c r="AQ187" s="140">
        <f t="shared" si="33"/>
        <v>1.1799999999999997E-7</v>
      </c>
      <c r="AR187" s="140">
        <f t="shared" si="34"/>
        <v>2.3599999999999997E-7</v>
      </c>
      <c r="AS187" s="140">
        <f t="shared" si="35"/>
        <v>3.5400000000000002E-7</v>
      </c>
      <c r="AT187" s="140">
        <f t="shared" si="36"/>
        <v>4.7200000000000004E-7</v>
      </c>
      <c r="AU187" s="140">
        <f t="shared" si="37"/>
        <v>5.9000000000000007E-7</v>
      </c>
      <c r="AV187" s="157">
        <f t="shared" si="38"/>
        <v>1.2</v>
      </c>
      <c r="AW187" s="156">
        <f t="shared" si="39"/>
        <v>9.9999999999999995E-8</v>
      </c>
      <c r="AY187" s="140">
        <f t="shared" si="40"/>
        <v>1.1800000000000001E-5</v>
      </c>
      <c r="AZ187">
        <v>1.18</v>
      </c>
      <c r="BA187" s="140">
        <f t="shared" si="41"/>
        <v>1.1799999999999997E-7</v>
      </c>
      <c r="BB187" s="140">
        <f t="shared" si="42"/>
        <v>2.3599999999999997E-7</v>
      </c>
      <c r="BC187" s="140">
        <f t="shared" si="43"/>
        <v>3.5400000000000002E-7</v>
      </c>
      <c r="BD187" s="140">
        <f t="shared" si="44"/>
        <v>4.7200000000000004E-7</v>
      </c>
      <c r="BE187" s="140">
        <f t="shared" si="45"/>
        <v>5.9000000000000007E-7</v>
      </c>
      <c r="BF187" s="157">
        <f>IF(AY187&lt;$B$89*DATA!$H$1037,DATA!$H$1037,IF(AY187&gt;DATA!$H$1036*$B$89,DATA!$H$1036,1))</f>
        <v>1.2</v>
      </c>
      <c r="BG187" s="156">
        <f t="shared" si="46"/>
        <v>9.9999999999999995E-8</v>
      </c>
      <c r="BI187" s="140">
        <f t="shared" si="47"/>
        <v>1.1800000000000001E-5</v>
      </c>
      <c r="BJ187">
        <v>1.18</v>
      </c>
      <c r="BK187" s="140">
        <f t="shared" si="48"/>
        <v>1.1799999999999997E-7</v>
      </c>
      <c r="BL187" s="140">
        <f t="shared" si="49"/>
        <v>2.3599999999999997E-7</v>
      </c>
      <c r="BM187" s="140">
        <f t="shared" si="50"/>
        <v>3.5400000000000002E-7</v>
      </c>
      <c r="BN187" s="140">
        <f t="shared" si="51"/>
        <v>4.7200000000000004E-7</v>
      </c>
      <c r="BO187" s="140">
        <f t="shared" si="52"/>
        <v>5.9000000000000007E-7</v>
      </c>
      <c r="BP187" s="157">
        <f>IF(BI187&lt;$B$105*DATA!$H$1037,DATA!$H$1037,IF(BI187&gt;DATA!$H$1036*$B$105,DATA!$H$1036,1))</f>
        <v>1.2</v>
      </c>
      <c r="BQ187" s="156">
        <f t="shared" si="53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55"/>
        <v>1.1999999999999996E-7</v>
      </c>
      <c r="D188" s="140">
        <f t="shared" si="55"/>
        <v>2.3999999999999998E-7</v>
      </c>
      <c r="E188" s="140">
        <f t="shared" si="55"/>
        <v>3.5999999999999999E-7</v>
      </c>
      <c r="F188" s="140">
        <f t="shared" si="55"/>
        <v>4.8000000000000006E-7</v>
      </c>
      <c r="G188" s="140">
        <f t="shared" si="55"/>
        <v>6.0000000000000008E-7</v>
      </c>
      <c r="H188" s="124">
        <f t="shared" si="6"/>
        <v>0.8</v>
      </c>
      <c r="I188" s="156">
        <f t="shared" si="7"/>
        <v>9.9999999999999995E-8</v>
      </c>
      <c r="K188" s="140">
        <f t="shared" si="8"/>
        <v>1.2E-5</v>
      </c>
      <c r="L188">
        <v>1.2</v>
      </c>
      <c r="M188" s="140">
        <f t="shared" si="9"/>
        <v>1.1999999999999996E-7</v>
      </c>
      <c r="N188" s="140">
        <f t="shared" si="10"/>
        <v>2.3999999999999998E-7</v>
      </c>
      <c r="O188" s="140">
        <f t="shared" si="11"/>
        <v>3.5999999999999999E-7</v>
      </c>
      <c r="P188" s="140">
        <f t="shared" si="12"/>
        <v>4.8000000000000006E-7</v>
      </c>
      <c r="Q188" s="140">
        <f t="shared" si="13"/>
        <v>6.0000000000000008E-7</v>
      </c>
      <c r="R188" s="157">
        <f t="shared" si="14"/>
        <v>0.8</v>
      </c>
      <c r="S188" s="156">
        <f t="shared" si="15"/>
        <v>9.9999999999999995E-8</v>
      </c>
      <c r="U188" s="140">
        <f t="shared" si="16"/>
        <v>1.2E-5</v>
      </c>
      <c r="V188">
        <v>1.2</v>
      </c>
      <c r="W188" s="140">
        <f t="shared" si="17"/>
        <v>1.1999999999999996E-7</v>
      </c>
      <c r="X188" s="140">
        <f t="shared" si="18"/>
        <v>2.3999999999999998E-7</v>
      </c>
      <c r="Y188" s="140">
        <f t="shared" si="19"/>
        <v>3.5999999999999999E-7</v>
      </c>
      <c r="Z188" s="140">
        <f t="shared" si="20"/>
        <v>4.8000000000000006E-7</v>
      </c>
      <c r="AA188" s="140">
        <f t="shared" si="21"/>
        <v>6.0000000000000008E-7</v>
      </c>
      <c r="AB188" s="157">
        <f t="shared" si="22"/>
        <v>0.8</v>
      </c>
      <c r="AC188" s="156">
        <f t="shared" si="23"/>
        <v>9.9999999999999995E-8</v>
      </c>
      <c r="AE188" s="140">
        <f t="shared" si="24"/>
        <v>1.2E-5</v>
      </c>
      <c r="AF188">
        <v>1.2</v>
      </c>
      <c r="AG188" s="140">
        <f t="shared" si="25"/>
        <v>1.1999999999999996E-7</v>
      </c>
      <c r="AH188" s="140">
        <f t="shared" si="26"/>
        <v>2.3999999999999998E-7</v>
      </c>
      <c r="AI188" s="140">
        <f t="shared" si="27"/>
        <v>3.5999999999999999E-7</v>
      </c>
      <c r="AJ188" s="140">
        <f t="shared" si="28"/>
        <v>4.8000000000000006E-7</v>
      </c>
      <c r="AK188" s="140">
        <f t="shared" si="29"/>
        <v>6.0000000000000008E-7</v>
      </c>
      <c r="AL188" s="157">
        <f t="shared" si="30"/>
        <v>1.2</v>
      </c>
      <c r="AM188" s="156">
        <f t="shared" si="31"/>
        <v>9.9999999999999995E-8</v>
      </c>
      <c r="AO188" s="140">
        <f t="shared" si="32"/>
        <v>1.2E-5</v>
      </c>
      <c r="AP188">
        <v>1.2</v>
      </c>
      <c r="AQ188" s="140">
        <f t="shared" si="33"/>
        <v>1.1999999999999996E-7</v>
      </c>
      <c r="AR188" s="140">
        <f t="shared" si="34"/>
        <v>2.3999999999999998E-7</v>
      </c>
      <c r="AS188" s="140">
        <f t="shared" si="35"/>
        <v>3.5999999999999999E-7</v>
      </c>
      <c r="AT188" s="140">
        <f t="shared" si="36"/>
        <v>4.8000000000000006E-7</v>
      </c>
      <c r="AU188" s="140">
        <f t="shared" si="37"/>
        <v>6.0000000000000008E-7</v>
      </c>
      <c r="AV188" s="157">
        <f t="shared" si="38"/>
        <v>1.2</v>
      </c>
      <c r="AW188" s="156">
        <f t="shared" si="39"/>
        <v>9.9999999999999995E-8</v>
      </c>
      <c r="AY188" s="140">
        <f t="shared" si="40"/>
        <v>1.2E-5</v>
      </c>
      <c r="AZ188">
        <v>1.2</v>
      </c>
      <c r="BA188" s="140">
        <f t="shared" si="41"/>
        <v>1.1999999999999996E-7</v>
      </c>
      <c r="BB188" s="140">
        <f t="shared" si="42"/>
        <v>2.3999999999999998E-7</v>
      </c>
      <c r="BC188" s="140">
        <f t="shared" si="43"/>
        <v>3.5999999999999999E-7</v>
      </c>
      <c r="BD188" s="140">
        <f t="shared" si="44"/>
        <v>4.8000000000000006E-7</v>
      </c>
      <c r="BE188" s="140">
        <f t="shared" si="45"/>
        <v>6.0000000000000008E-7</v>
      </c>
      <c r="BF188" s="157">
        <f>IF(AY188&lt;$B$89*DATA!$H$1037,DATA!$H$1037,IF(AY188&gt;DATA!$H$1036*$B$89,DATA!$H$1036,1))</f>
        <v>1.2</v>
      </c>
      <c r="BG188" s="156">
        <f t="shared" si="46"/>
        <v>9.9999999999999995E-8</v>
      </c>
      <c r="BI188" s="140">
        <f t="shared" si="47"/>
        <v>1.2E-5</v>
      </c>
      <c r="BJ188">
        <v>1.2</v>
      </c>
      <c r="BK188" s="140">
        <f t="shared" si="48"/>
        <v>1.1999999999999996E-7</v>
      </c>
      <c r="BL188" s="140">
        <f t="shared" si="49"/>
        <v>2.3999999999999998E-7</v>
      </c>
      <c r="BM188" s="140">
        <f t="shared" si="50"/>
        <v>3.5999999999999999E-7</v>
      </c>
      <c r="BN188" s="140">
        <f t="shared" si="51"/>
        <v>4.8000000000000006E-7</v>
      </c>
      <c r="BO188" s="140">
        <f t="shared" si="52"/>
        <v>6.0000000000000008E-7</v>
      </c>
      <c r="BP188" s="157">
        <f>IF(BI188&lt;$B$105*DATA!$H$1037,DATA!$H$1037,IF(BI188&gt;DATA!$H$1036*$B$105,DATA!$H$1036,1))</f>
        <v>1.2</v>
      </c>
      <c r="BQ188" s="156">
        <f t="shared" si="53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55"/>
        <v>1.2199999999999995E-7</v>
      </c>
      <c r="D189" s="140">
        <f t="shared" si="55"/>
        <v>2.4399999999999996E-7</v>
      </c>
      <c r="E189" s="140">
        <f t="shared" si="55"/>
        <v>3.6599999999999997E-7</v>
      </c>
      <c r="F189" s="140">
        <f t="shared" si="55"/>
        <v>4.8800000000000003E-7</v>
      </c>
      <c r="G189" s="140">
        <f t="shared" si="55"/>
        <v>6.1000000000000009E-7</v>
      </c>
      <c r="H189" s="124">
        <f t="shared" si="6"/>
        <v>0.8</v>
      </c>
      <c r="I189" s="156">
        <f t="shared" si="7"/>
        <v>9.9999999999999995E-8</v>
      </c>
      <c r="K189" s="140">
        <f t="shared" si="8"/>
        <v>1.22E-5</v>
      </c>
      <c r="L189">
        <v>1.22</v>
      </c>
      <c r="M189" s="140">
        <f t="shared" si="9"/>
        <v>1.2199999999999995E-7</v>
      </c>
      <c r="N189" s="140">
        <f t="shared" si="10"/>
        <v>2.4399999999999996E-7</v>
      </c>
      <c r="O189" s="140">
        <f t="shared" si="11"/>
        <v>3.6599999999999997E-7</v>
      </c>
      <c r="P189" s="140">
        <f t="shared" si="12"/>
        <v>4.8800000000000003E-7</v>
      </c>
      <c r="Q189" s="140">
        <f t="shared" si="13"/>
        <v>6.1000000000000009E-7</v>
      </c>
      <c r="R189" s="157">
        <f t="shared" si="14"/>
        <v>0.8</v>
      </c>
      <c r="S189" s="156">
        <f t="shared" si="15"/>
        <v>9.9999999999999995E-8</v>
      </c>
      <c r="U189" s="140">
        <f t="shared" si="16"/>
        <v>1.22E-5</v>
      </c>
      <c r="V189">
        <v>1.22</v>
      </c>
      <c r="W189" s="140">
        <f t="shared" si="17"/>
        <v>1.2199999999999995E-7</v>
      </c>
      <c r="X189" s="140">
        <f t="shared" si="18"/>
        <v>2.4399999999999996E-7</v>
      </c>
      <c r="Y189" s="140">
        <f t="shared" si="19"/>
        <v>3.6599999999999997E-7</v>
      </c>
      <c r="Z189" s="140">
        <f t="shared" si="20"/>
        <v>4.8800000000000003E-7</v>
      </c>
      <c r="AA189" s="140">
        <f t="shared" si="21"/>
        <v>6.1000000000000009E-7</v>
      </c>
      <c r="AB189" s="157">
        <f t="shared" si="22"/>
        <v>0.8</v>
      </c>
      <c r="AC189" s="156">
        <f t="shared" si="23"/>
        <v>9.9999999999999995E-8</v>
      </c>
      <c r="AE189" s="140">
        <f t="shared" si="24"/>
        <v>1.22E-5</v>
      </c>
      <c r="AF189">
        <v>1.22</v>
      </c>
      <c r="AG189" s="140">
        <f t="shared" si="25"/>
        <v>1.2199999999999995E-7</v>
      </c>
      <c r="AH189" s="140">
        <f t="shared" si="26"/>
        <v>2.4399999999999996E-7</v>
      </c>
      <c r="AI189" s="140">
        <f t="shared" si="27"/>
        <v>3.6599999999999997E-7</v>
      </c>
      <c r="AJ189" s="140">
        <f t="shared" si="28"/>
        <v>4.8800000000000003E-7</v>
      </c>
      <c r="AK189" s="140">
        <f t="shared" si="29"/>
        <v>6.1000000000000009E-7</v>
      </c>
      <c r="AL189" s="157">
        <f t="shared" si="30"/>
        <v>1.2</v>
      </c>
      <c r="AM189" s="156">
        <f t="shared" si="31"/>
        <v>9.9999999999999995E-8</v>
      </c>
      <c r="AO189" s="140">
        <f t="shared" si="32"/>
        <v>1.22E-5</v>
      </c>
      <c r="AP189">
        <v>1.22</v>
      </c>
      <c r="AQ189" s="140">
        <f t="shared" si="33"/>
        <v>1.2199999999999995E-7</v>
      </c>
      <c r="AR189" s="140">
        <f t="shared" si="34"/>
        <v>2.4399999999999996E-7</v>
      </c>
      <c r="AS189" s="140">
        <f t="shared" si="35"/>
        <v>3.6599999999999997E-7</v>
      </c>
      <c r="AT189" s="140">
        <f t="shared" si="36"/>
        <v>4.8800000000000003E-7</v>
      </c>
      <c r="AU189" s="140">
        <f t="shared" si="37"/>
        <v>6.1000000000000009E-7</v>
      </c>
      <c r="AV189" s="157">
        <f t="shared" si="38"/>
        <v>1.2</v>
      </c>
      <c r="AW189" s="156">
        <f t="shared" si="39"/>
        <v>9.9999999999999995E-8</v>
      </c>
      <c r="AY189" s="140">
        <f t="shared" si="40"/>
        <v>1.22E-5</v>
      </c>
      <c r="AZ189">
        <v>1.22</v>
      </c>
      <c r="BA189" s="140">
        <f t="shared" si="41"/>
        <v>1.2199999999999995E-7</v>
      </c>
      <c r="BB189" s="140">
        <f t="shared" si="42"/>
        <v>2.4399999999999996E-7</v>
      </c>
      <c r="BC189" s="140">
        <f t="shared" si="43"/>
        <v>3.6599999999999997E-7</v>
      </c>
      <c r="BD189" s="140">
        <f t="shared" si="44"/>
        <v>4.8800000000000003E-7</v>
      </c>
      <c r="BE189" s="140">
        <f t="shared" si="45"/>
        <v>6.1000000000000009E-7</v>
      </c>
      <c r="BF189" s="157">
        <f>IF(AY189&lt;$B$89*DATA!$H$1037,DATA!$H$1037,IF(AY189&gt;DATA!$H$1036*$B$89,DATA!$H$1036,1))</f>
        <v>1.2</v>
      </c>
      <c r="BG189" s="156">
        <f t="shared" si="46"/>
        <v>9.9999999999999995E-8</v>
      </c>
      <c r="BI189" s="140">
        <f t="shared" si="47"/>
        <v>1.22E-5</v>
      </c>
      <c r="BJ189">
        <v>1.22</v>
      </c>
      <c r="BK189" s="140">
        <f t="shared" si="48"/>
        <v>1.2199999999999995E-7</v>
      </c>
      <c r="BL189" s="140">
        <f t="shared" si="49"/>
        <v>2.4399999999999996E-7</v>
      </c>
      <c r="BM189" s="140">
        <f t="shared" si="50"/>
        <v>3.6599999999999997E-7</v>
      </c>
      <c r="BN189" s="140">
        <f t="shared" si="51"/>
        <v>4.8800000000000003E-7</v>
      </c>
      <c r="BO189" s="140">
        <f t="shared" si="52"/>
        <v>6.1000000000000009E-7</v>
      </c>
      <c r="BP189" s="157">
        <f>IF(BI189&lt;$B$105*DATA!$H$1037,DATA!$H$1037,IF(BI189&gt;DATA!$H$1036*$B$105,DATA!$H$1036,1))</f>
        <v>1.2</v>
      </c>
      <c r="BQ189" s="156">
        <f t="shared" si="53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55"/>
        <v>1.2399999999999997E-7</v>
      </c>
      <c r="D190" s="140">
        <f t="shared" si="55"/>
        <v>2.48E-7</v>
      </c>
      <c r="E190" s="140">
        <f t="shared" si="55"/>
        <v>3.7200000000000005E-7</v>
      </c>
      <c r="F190" s="140">
        <f t="shared" si="55"/>
        <v>4.960000000000001E-7</v>
      </c>
      <c r="G190" s="140">
        <f t="shared" si="55"/>
        <v>6.200000000000001E-7</v>
      </c>
      <c r="H190" s="124">
        <f t="shared" si="6"/>
        <v>0.8</v>
      </c>
      <c r="I190" s="156">
        <f t="shared" si="7"/>
        <v>9.9999999999999995E-8</v>
      </c>
      <c r="K190" s="140">
        <f t="shared" si="8"/>
        <v>1.2400000000000002E-5</v>
      </c>
      <c r="L190">
        <v>1.24</v>
      </c>
      <c r="M190" s="140">
        <f t="shared" si="9"/>
        <v>1.2399999999999997E-7</v>
      </c>
      <c r="N190" s="140">
        <f t="shared" si="10"/>
        <v>2.48E-7</v>
      </c>
      <c r="O190" s="140">
        <f t="shared" si="11"/>
        <v>3.7200000000000005E-7</v>
      </c>
      <c r="P190" s="140">
        <f t="shared" si="12"/>
        <v>4.960000000000001E-7</v>
      </c>
      <c r="Q190" s="140">
        <f t="shared" si="13"/>
        <v>6.200000000000001E-7</v>
      </c>
      <c r="R190" s="157">
        <f t="shared" si="14"/>
        <v>0.8</v>
      </c>
      <c r="S190" s="156">
        <f t="shared" si="15"/>
        <v>9.9999999999999995E-8</v>
      </c>
      <c r="U190" s="140">
        <f t="shared" si="16"/>
        <v>1.2400000000000002E-5</v>
      </c>
      <c r="V190">
        <v>1.24</v>
      </c>
      <c r="W190" s="140">
        <f t="shared" si="17"/>
        <v>1.2399999999999997E-7</v>
      </c>
      <c r="X190" s="140">
        <f t="shared" si="18"/>
        <v>2.48E-7</v>
      </c>
      <c r="Y190" s="140">
        <f t="shared" si="19"/>
        <v>3.7200000000000005E-7</v>
      </c>
      <c r="Z190" s="140">
        <f t="shared" si="20"/>
        <v>4.960000000000001E-7</v>
      </c>
      <c r="AA190" s="140">
        <f t="shared" si="21"/>
        <v>6.200000000000001E-7</v>
      </c>
      <c r="AB190" s="157">
        <f t="shared" si="22"/>
        <v>0.8</v>
      </c>
      <c r="AC190" s="156">
        <f t="shared" si="23"/>
        <v>9.9999999999999995E-8</v>
      </c>
      <c r="AE190" s="140">
        <f t="shared" si="24"/>
        <v>1.2400000000000002E-5</v>
      </c>
      <c r="AF190">
        <v>1.24</v>
      </c>
      <c r="AG190" s="140">
        <f t="shared" si="25"/>
        <v>1.2399999999999997E-7</v>
      </c>
      <c r="AH190" s="140">
        <f t="shared" si="26"/>
        <v>2.48E-7</v>
      </c>
      <c r="AI190" s="140">
        <f t="shared" si="27"/>
        <v>3.7200000000000005E-7</v>
      </c>
      <c r="AJ190" s="140">
        <f t="shared" si="28"/>
        <v>4.960000000000001E-7</v>
      </c>
      <c r="AK190" s="140">
        <f t="shared" si="29"/>
        <v>6.200000000000001E-7</v>
      </c>
      <c r="AL190" s="157">
        <f t="shared" si="30"/>
        <v>1.2</v>
      </c>
      <c r="AM190" s="156">
        <f t="shared" si="31"/>
        <v>9.9999999999999995E-8</v>
      </c>
      <c r="AO190" s="140">
        <f t="shared" si="32"/>
        <v>1.2400000000000002E-5</v>
      </c>
      <c r="AP190">
        <v>1.24</v>
      </c>
      <c r="AQ190" s="140">
        <f t="shared" si="33"/>
        <v>1.2399999999999997E-7</v>
      </c>
      <c r="AR190" s="140">
        <f t="shared" si="34"/>
        <v>2.48E-7</v>
      </c>
      <c r="AS190" s="140">
        <f t="shared" si="35"/>
        <v>3.7200000000000005E-7</v>
      </c>
      <c r="AT190" s="140">
        <f t="shared" si="36"/>
        <v>4.960000000000001E-7</v>
      </c>
      <c r="AU190" s="140">
        <f t="shared" si="37"/>
        <v>6.200000000000001E-7</v>
      </c>
      <c r="AV190" s="157">
        <f t="shared" si="38"/>
        <v>1.2</v>
      </c>
      <c r="AW190" s="156">
        <f t="shared" si="39"/>
        <v>9.9999999999999995E-8</v>
      </c>
      <c r="AY190" s="140">
        <f t="shared" si="40"/>
        <v>1.2400000000000002E-5</v>
      </c>
      <c r="AZ190">
        <v>1.24</v>
      </c>
      <c r="BA190" s="140">
        <f t="shared" si="41"/>
        <v>1.2399999999999997E-7</v>
      </c>
      <c r="BB190" s="140">
        <f t="shared" si="42"/>
        <v>2.48E-7</v>
      </c>
      <c r="BC190" s="140">
        <f t="shared" si="43"/>
        <v>3.7200000000000005E-7</v>
      </c>
      <c r="BD190" s="140">
        <f t="shared" si="44"/>
        <v>4.960000000000001E-7</v>
      </c>
      <c r="BE190" s="140">
        <f t="shared" si="45"/>
        <v>6.200000000000001E-7</v>
      </c>
      <c r="BF190" s="157">
        <f>IF(AY190&lt;$B$89*DATA!$H$1037,DATA!$H$1037,IF(AY190&gt;DATA!$H$1036*$B$89,DATA!$H$1036,1))</f>
        <v>1.2</v>
      </c>
      <c r="BG190" s="156">
        <f t="shared" si="46"/>
        <v>9.9999999999999995E-8</v>
      </c>
      <c r="BI190" s="140">
        <f t="shared" si="47"/>
        <v>1.2400000000000002E-5</v>
      </c>
      <c r="BJ190">
        <v>1.24</v>
      </c>
      <c r="BK190" s="140">
        <f t="shared" si="48"/>
        <v>1.2399999999999997E-7</v>
      </c>
      <c r="BL190" s="140">
        <f t="shared" si="49"/>
        <v>2.48E-7</v>
      </c>
      <c r="BM190" s="140">
        <f t="shared" si="50"/>
        <v>3.7200000000000005E-7</v>
      </c>
      <c r="BN190" s="140">
        <f t="shared" si="51"/>
        <v>4.960000000000001E-7</v>
      </c>
      <c r="BO190" s="140">
        <f t="shared" si="52"/>
        <v>6.200000000000001E-7</v>
      </c>
      <c r="BP190" s="157">
        <f>IF(BI190&lt;$B$105*DATA!$H$1037,DATA!$H$1037,IF(BI190&gt;DATA!$H$1036*$B$105,DATA!$H$1036,1))</f>
        <v>1.2</v>
      </c>
      <c r="BQ190" s="156">
        <f t="shared" si="53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ref="C191:G206" si="56">C$142*$A191</f>
        <v>1.2599999999999996E-7</v>
      </c>
      <c r="D191" s="140">
        <f t="shared" si="56"/>
        <v>2.5199999999999998E-7</v>
      </c>
      <c r="E191" s="140">
        <f t="shared" si="56"/>
        <v>3.7800000000000002E-7</v>
      </c>
      <c r="F191" s="140">
        <f t="shared" si="56"/>
        <v>5.0400000000000007E-7</v>
      </c>
      <c r="G191" s="140">
        <f t="shared" si="56"/>
        <v>6.3000000000000011E-7</v>
      </c>
      <c r="H191" s="124">
        <f t="shared" si="6"/>
        <v>0.8</v>
      </c>
      <c r="I191" s="156">
        <f t="shared" si="7"/>
        <v>9.9999999999999995E-8</v>
      </c>
      <c r="K191" s="140">
        <f t="shared" si="8"/>
        <v>1.2600000000000001E-5</v>
      </c>
      <c r="L191">
        <v>1.26</v>
      </c>
      <c r="M191" s="140">
        <f t="shared" si="9"/>
        <v>1.2599999999999996E-7</v>
      </c>
      <c r="N191" s="140">
        <f t="shared" si="10"/>
        <v>2.5199999999999998E-7</v>
      </c>
      <c r="O191" s="140">
        <f t="shared" si="11"/>
        <v>3.7800000000000002E-7</v>
      </c>
      <c r="P191" s="140">
        <f t="shared" si="12"/>
        <v>5.0400000000000007E-7</v>
      </c>
      <c r="Q191" s="140">
        <f t="shared" si="13"/>
        <v>6.3000000000000011E-7</v>
      </c>
      <c r="R191" s="157">
        <f t="shared" si="14"/>
        <v>0.8</v>
      </c>
      <c r="S191" s="156">
        <f t="shared" si="15"/>
        <v>9.9999999999999995E-8</v>
      </c>
      <c r="U191" s="140">
        <f t="shared" si="16"/>
        <v>1.2600000000000001E-5</v>
      </c>
      <c r="V191">
        <v>1.26</v>
      </c>
      <c r="W191" s="140">
        <f t="shared" si="17"/>
        <v>1.2599999999999996E-7</v>
      </c>
      <c r="X191" s="140">
        <f t="shared" si="18"/>
        <v>2.5199999999999998E-7</v>
      </c>
      <c r="Y191" s="140">
        <f t="shared" si="19"/>
        <v>3.7800000000000002E-7</v>
      </c>
      <c r="Z191" s="140">
        <f t="shared" si="20"/>
        <v>5.0400000000000007E-7</v>
      </c>
      <c r="AA191" s="140">
        <f t="shared" si="21"/>
        <v>6.3000000000000011E-7</v>
      </c>
      <c r="AB191" s="157">
        <f t="shared" si="22"/>
        <v>0.8</v>
      </c>
      <c r="AC191" s="156">
        <f t="shared" si="23"/>
        <v>9.9999999999999995E-8</v>
      </c>
      <c r="AE191" s="140">
        <f t="shared" si="24"/>
        <v>1.2600000000000001E-5</v>
      </c>
      <c r="AF191">
        <v>1.26</v>
      </c>
      <c r="AG191" s="140">
        <f t="shared" si="25"/>
        <v>1.2599999999999996E-7</v>
      </c>
      <c r="AH191" s="140">
        <f t="shared" si="26"/>
        <v>2.5199999999999998E-7</v>
      </c>
      <c r="AI191" s="140">
        <f t="shared" si="27"/>
        <v>3.7800000000000002E-7</v>
      </c>
      <c r="AJ191" s="140">
        <f t="shared" si="28"/>
        <v>5.0400000000000007E-7</v>
      </c>
      <c r="AK191" s="140">
        <f t="shared" si="29"/>
        <v>6.3000000000000011E-7</v>
      </c>
      <c r="AL191" s="157">
        <f t="shared" si="30"/>
        <v>1.2</v>
      </c>
      <c r="AM191" s="156">
        <f t="shared" si="31"/>
        <v>9.9999999999999995E-8</v>
      </c>
      <c r="AO191" s="140">
        <f t="shared" si="32"/>
        <v>1.2600000000000001E-5</v>
      </c>
      <c r="AP191">
        <v>1.26</v>
      </c>
      <c r="AQ191" s="140">
        <f t="shared" si="33"/>
        <v>1.2599999999999996E-7</v>
      </c>
      <c r="AR191" s="140">
        <f t="shared" si="34"/>
        <v>2.5199999999999998E-7</v>
      </c>
      <c r="AS191" s="140">
        <f t="shared" si="35"/>
        <v>3.7800000000000002E-7</v>
      </c>
      <c r="AT191" s="140">
        <f t="shared" si="36"/>
        <v>5.0400000000000007E-7</v>
      </c>
      <c r="AU191" s="140">
        <f t="shared" si="37"/>
        <v>6.3000000000000011E-7</v>
      </c>
      <c r="AV191" s="157">
        <f t="shared" si="38"/>
        <v>1.2</v>
      </c>
      <c r="AW191" s="156">
        <f t="shared" si="39"/>
        <v>9.9999999999999995E-8</v>
      </c>
      <c r="AY191" s="140">
        <f t="shared" si="40"/>
        <v>1.2600000000000001E-5</v>
      </c>
      <c r="AZ191">
        <v>1.26</v>
      </c>
      <c r="BA191" s="140">
        <f t="shared" si="41"/>
        <v>1.2599999999999996E-7</v>
      </c>
      <c r="BB191" s="140">
        <f t="shared" si="42"/>
        <v>2.5199999999999998E-7</v>
      </c>
      <c r="BC191" s="140">
        <f t="shared" si="43"/>
        <v>3.7800000000000002E-7</v>
      </c>
      <c r="BD191" s="140">
        <f t="shared" si="44"/>
        <v>5.0400000000000007E-7</v>
      </c>
      <c r="BE191" s="140">
        <f t="shared" si="45"/>
        <v>6.3000000000000011E-7</v>
      </c>
      <c r="BF191" s="157">
        <f>IF(AY191&lt;$B$89*DATA!$H$1037,DATA!$H$1037,IF(AY191&gt;DATA!$H$1036*$B$89,DATA!$H$1036,1))</f>
        <v>1.2</v>
      </c>
      <c r="BG191" s="156">
        <f t="shared" si="46"/>
        <v>9.9999999999999995E-8</v>
      </c>
      <c r="BI191" s="140">
        <f t="shared" si="47"/>
        <v>1.2600000000000001E-5</v>
      </c>
      <c r="BJ191">
        <v>1.26</v>
      </c>
      <c r="BK191" s="140">
        <f t="shared" si="48"/>
        <v>1.2599999999999996E-7</v>
      </c>
      <c r="BL191" s="140">
        <f t="shared" si="49"/>
        <v>2.5199999999999998E-7</v>
      </c>
      <c r="BM191" s="140">
        <f t="shared" si="50"/>
        <v>3.7800000000000002E-7</v>
      </c>
      <c r="BN191" s="140">
        <f t="shared" si="51"/>
        <v>5.0400000000000007E-7</v>
      </c>
      <c r="BO191" s="140">
        <f t="shared" si="52"/>
        <v>6.3000000000000011E-7</v>
      </c>
      <c r="BP191" s="157">
        <f>IF(BI191&lt;$B$105*DATA!$H$1037,DATA!$H$1037,IF(BI191&gt;DATA!$H$1036*$B$105,DATA!$H$1036,1))</f>
        <v>1.2</v>
      </c>
      <c r="BQ191" s="156">
        <f t="shared" si="53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56"/>
        <v>1.2799999999999998E-7</v>
      </c>
      <c r="D192" s="140">
        <f t="shared" si="56"/>
        <v>2.5599999999999996E-7</v>
      </c>
      <c r="E192" s="140">
        <f t="shared" si="56"/>
        <v>3.84E-7</v>
      </c>
      <c r="F192" s="140">
        <f t="shared" si="56"/>
        <v>5.1200000000000003E-7</v>
      </c>
      <c r="G192" s="140">
        <f t="shared" si="56"/>
        <v>6.4000000000000012E-7</v>
      </c>
      <c r="H192" s="124">
        <f t="shared" si="6"/>
        <v>0.8</v>
      </c>
      <c r="I192" s="156">
        <f t="shared" si="7"/>
        <v>9.9999999999999995E-8</v>
      </c>
      <c r="K192" s="140">
        <f t="shared" si="8"/>
        <v>1.2800000000000001E-5</v>
      </c>
      <c r="L192">
        <v>1.28</v>
      </c>
      <c r="M192" s="140">
        <f t="shared" si="9"/>
        <v>1.2799999999999998E-7</v>
      </c>
      <c r="N192" s="140">
        <f t="shared" si="10"/>
        <v>2.5599999999999996E-7</v>
      </c>
      <c r="O192" s="140">
        <f t="shared" si="11"/>
        <v>3.84E-7</v>
      </c>
      <c r="P192" s="140">
        <f t="shared" si="12"/>
        <v>5.1200000000000003E-7</v>
      </c>
      <c r="Q192" s="140">
        <f t="shared" si="13"/>
        <v>6.4000000000000012E-7</v>
      </c>
      <c r="R192" s="157">
        <f t="shared" si="14"/>
        <v>0.8</v>
      </c>
      <c r="S192" s="156">
        <f t="shared" si="15"/>
        <v>9.9999999999999995E-8</v>
      </c>
      <c r="U192" s="140">
        <f t="shared" si="16"/>
        <v>1.2800000000000001E-5</v>
      </c>
      <c r="V192">
        <v>1.28</v>
      </c>
      <c r="W192" s="140">
        <f t="shared" si="17"/>
        <v>1.2799999999999998E-7</v>
      </c>
      <c r="X192" s="140">
        <f t="shared" si="18"/>
        <v>2.5599999999999996E-7</v>
      </c>
      <c r="Y192" s="140">
        <f t="shared" si="19"/>
        <v>3.84E-7</v>
      </c>
      <c r="Z192" s="140">
        <f t="shared" si="20"/>
        <v>5.1200000000000003E-7</v>
      </c>
      <c r="AA192" s="140">
        <f t="shared" si="21"/>
        <v>6.4000000000000012E-7</v>
      </c>
      <c r="AB192" s="157">
        <f t="shared" si="22"/>
        <v>0.8</v>
      </c>
      <c r="AC192" s="156">
        <f t="shared" si="23"/>
        <v>9.9999999999999995E-8</v>
      </c>
      <c r="AE192" s="140">
        <f t="shared" si="24"/>
        <v>1.2800000000000001E-5</v>
      </c>
      <c r="AF192">
        <v>1.28</v>
      </c>
      <c r="AG192" s="140">
        <f t="shared" si="25"/>
        <v>1.2799999999999998E-7</v>
      </c>
      <c r="AH192" s="140">
        <f t="shared" si="26"/>
        <v>2.5599999999999996E-7</v>
      </c>
      <c r="AI192" s="140">
        <f t="shared" si="27"/>
        <v>3.84E-7</v>
      </c>
      <c r="AJ192" s="140">
        <f t="shared" si="28"/>
        <v>5.1200000000000003E-7</v>
      </c>
      <c r="AK192" s="140">
        <f t="shared" si="29"/>
        <v>6.4000000000000012E-7</v>
      </c>
      <c r="AL192" s="157">
        <f t="shared" si="30"/>
        <v>1.2</v>
      </c>
      <c r="AM192" s="156">
        <f t="shared" si="31"/>
        <v>9.9999999999999995E-8</v>
      </c>
      <c r="AO192" s="140">
        <f t="shared" si="32"/>
        <v>1.2800000000000001E-5</v>
      </c>
      <c r="AP192">
        <v>1.28</v>
      </c>
      <c r="AQ192" s="140">
        <f t="shared" si="33"/>
        <v>1.2799999999999998E-7</v>
      </c>
      <c r="AR192" s="140">
        <f t="shared" si="34"/>
        <v>2.5599999999999996E-7</v>
      </c>
      <c r="AS192" s="140">
        <f t="shared" si="35"/>
        <v>3.84E-7</v>
      </c>
      <c r="AT192" s="140">
        <f t="shared" si="36"/>
        <v>5.1200000000000003E-7</v>
      </c>
      <c r="AU192" s="140">
        <f t="shared" si="37"/>
        <v>6.4000000000000012E-7</v>
      </c>
      <c r="AV192" s="157">
        <f t="shared" si="38"/>
        <v>1.2</v>
      </c>
      <c r="AW192" s="156">
        <f t="shared" si="39"/>
        <v>9.9999999999999995E-8</v>
      </c>
      <c r="AY192" s="140">
        <f t="shared" si="40"/>
        <v>1.2800000000000001E-5</v>
      </c>
      <c r="AZ192">
        <v>1.28</v>
      </c>
      <c r="BA192" s="140">
        <f t="shared" si="41"/>
        <v>1.2799999999999998E-7</v>
      </c>
      <c r="BB192" s="140">
        <f t="shared" si="42"/>
        <v>2.5599999999999996E-7</v>
      </c>
      <c r="BC192" s="140">
        <f t="shared" si="43"/>
        <v>3.84E-7</v>
      </c>
      <c r="BD192" s="140">
        <f t="shared" si="44"/>
        <v>5.1200000000000003E-7</v>
      </c>
      <c r="BE192" s="140">
        <f t="shared" si="45"/>
        <v>6.4000000000000012E-7</v>
      </c>
      <c r="BF192" s="157">
        <f>IF(AY192&lt;$B$89*DATA!$H$1037,DATA!$H$1037,IF(AY192&gt;DATA!$H$1036*$B$89,DATA!$H$1036,1))</f>
        <v>1.2</v>
      </c>
      <c r="BG192" s="156">
        <f t="shared" si="46"/>
        <v>9.9999999999999995E-8</v>
      </c>
      <c r="BI192" s="140">
        <f t="shared" si="47"/>
        <v>1.2800000000000001E-5</v>
      </c>
      <c r="BJ192">
        <v>1.28</v>
      </c>
      <c r="BK192" s="140">
        <f t="shared" si="48"/>
        <v>1.2799999999999998E-7</v>
      </c>
      <c r="BL192" s="140">
        <f t="shared" si="49"/>
        <v>2.5599999999999996E-7</v>
      </c>
      <c r="BM192" s="140">
        <f t="shared" si="50"/>
        <v>3.84E-7</v>
      </c>
      <c r="BN192" s="140">
        <f t="shared" si="51"/>
        <v>5.1200000000000003E-7</v>
      </c>
      <c r="BO192" s="140">
        <f t="shared" si="52"/>
        <v>6.4000000000000012E-7</v>
      </c>
      <c r="BP192" s="157">
        <f>IF(BI192&lt;$B$105*DATA!$H$1037,DATA!$H$1037,IF(BI192&gt;DATA!$H$1036*$B$105,DATA!$H$1036,1))</f>
        <v>1.2</v>
      </c>
      <c r="BQ192" s="156">
        <f t="shared" si="53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56"/>
        <v>1.2999999999999997E-7</v>
      </c>
      <c r="D193" s="140">
        <f t="shared" si="56"/>
        <v>2.6E-7</v>
      </c>
      <c r="E193" s="140">
        <f t="shared" si="56"/>
        <v>3.9000000000000002E-7</v>
      </c>
      <c r="F193" s="140">
        <f t="shared" si="56"/>
        <v>5.2E-7</v>
      </c>
      <c r="G193" s="140">
        <f t="shared" si="56"/>
        <v>6.5000000000000013E-7</v>
      </c>
      <c r="H193" s="124">
        <f t="shared" si="6"/>
        <v>0.8</v>
      </c>
      <c r="I193" s="156">
        <f t="shared" si="7"/>
        <v>9.9999999999999995E-8</v>
      </c>
      <c r="K193" s="140">
        <f t="shared" si="8"/>
        <v>1.3000000000000001E-5</v>
      </c>
      <c r="L193">
        <v>1.3</v>
      </c>
      <c r="M193" s="140">
        <f t="shared" si="9"/>
        <v>1.2999999999999997E-7</v>
      </c>
      <c r="N193" s="140">
        <f t="shared" si="10"/>
        <v>2.6E-7</v>
      </c>
      <c r="O193" s="140">
        <f t="shared" si="11"/>
        <v>3.9000000000000002E-7</v>
      </c>
      <c r="P193" s="140">
        <f t="shared" si="12"/>
        <v>5.2E-7</v>
      </c>
      <c r="Q193" s="140">
        <f t="shared" si="13"/>
        <v>6.5000000000000013E-7</v>
      </c>
      <c r="R193" s="157">
        <f t="shared" si="14"/>
        <v>0.8</v>
      </c>
      <c r="S193" s="156">
        <f t="shared" si="15"/>
        <v>9.9999999999999995E-8</v>
      </c>
      <c r="U193" s="140">
        <f t="shared" si="16"/>
        <v>1.3000000000000001E-5</v>
      </c>
      <c r="V193">
        <v>1.3</v>
      </c>
      <c r="W193" s="140">
        <f t="shared" si="17"/>
        <v>1.2999999999999997E-7</v>
      </c>
      <c r="X193" s="140">
        <f t="shared" si="18"/>
        <v>2.6E-7</v>
      </c>
      <c r="Y193" s="140">
        <f t="shared" si="19"/>
        <v>3.9000000000000002E-7</v>
      </c>
      <c r="Z193" s="140">
        <f t="shared" si="20"/>
        <v>5.2E-7</v>
      </c>
      <c r="AA193" s="140">
        <f t="shared" si="21"/>
        <v>6.5000000000000013E-7</v>
      </c>
      <c r="AB193" s="157">
        <f t="shared" si="22"/>
        <v>0.8</v>
      </c>
      <c r="AC193" s="156">
        <f t="shared" si="23"/>
        <v>9.9999999999999995E-8</v>
      </c>
      <c r="AE193" s="140">
        <f t="shared" si="24"/>
        <v>1.3000000000000001E-5</v>
      </c>
      <c r="AF193">
        <v>1.3</v>
      </c>
      <c r="AG193" s="140">
        <f t="shared" si="25"/>
        <v>1.2999999999999997E-7</v>
      </c>
      <c r="AH193" s="140">
        <f t="shared" si="26"/>
        <v>2.6E-7</v>
      </c>
      <c r="AI193" s="140">
        <f t="shared" si="27"/>
        <v>3.9000000000000002E-7</v>
      </c>
      <c r="AJ193" s="140">
        <f t="shared" si="28"/>
        <v>5.2E-7</v>
      </c>
      <c r="AK193" s="140">
        <f t="shared" si="29"/>
        <v>6.5000000000000013E-7</v>
      </c>
      <c r="AL193" s="157">
        <f t="shared" si="30"/>
        <v>1.2</v>
      </c>
      <c r="AM193" s="156">
        <f t="shared" si="31"/>
        <v>9.9999999999999995E-8</v>
      </c>
      <c r="AO193" s="140">
        <f t="shared" si="32"/>
        <v>1.3000000000000001E-5</v>
      </c>
      <c r="AP193">
        <v>1.3</v>
      </c>
      <c r="AQ193" s="140">
        <f t="shared" si="33"/>
        <v>1.2999999999999997E-7</v>
      </c>
      <c r="AR193" s="140">
        <f t="shared" si="34"/>
        <v>2.6E-7</v>
      </c>
      <c r="AS193" s="140">
        <f t="shared" si="35"/>
        <v>3.9000000000000002E-7</v>
      </c>
      <c r="AT193" s="140">
        <f t="shared" si="36"/>
        <v>5.2E-7</v>
      </c>
      <c r="AU193" s="140">
        <f t="shared" si="37"/>
        <v>6.5000000000000013E-7</v>
      </c>
      <c r="AV193" s="157">
        <f t="shared" si="38"/>
        <v>1.2</v>
      </c>
      <c r="AW193" s="156">
        <f t="shared" si="39"/>
        <v>9.9999999999999995E-8</v>
      </c>
      <c r="AY193" s="140">
        <f t="shared" si="40"/>
        <v>1.3000000000000001E-5</v>
      </c>
      <c r="AZ193">
        <v>1.3</v>
      </c>
      <c r="BA193" s="140">
        <f t="shared" si="41"/>
        <v>1.2999999999999997E-7</v>
      </c>
      <c r="BB193" s="140">
        <f t="shared" si="42"/>
        <v>2.6E-7</v>
      </c>
      <c r="BC193" s="140">
        <f t="shared" si="43"/>
        <v>3.9000000000000002E-7</v>
      </c>
      <c r="BD193" s="140">
        <f t="shared" si="44"/>
        <v>5.2E-7</v>
      </c>
      <c r="BE193" s="140">
        <f t="shared" si="45"/>
        <v>6.5000000000000013E-7</v>
      </c>
      <c r="BF193" s="157">
        <f>IF(AY193&lt;$B$89*DATA!$H$1037,DATA!$H$1037,IF(AY193&gt;DATA!$H$1036*$B$89,DATA!$H$1036,1))</f>
        <v>1.2</v>
      </c>
      <c r="BG193" s="156">
        <f t="shared" si="46"/>
        <v>9.9999999999999995E-8</v>
      </c>
      <c r="BI193" s="140">
        <f t="shared" si="47"/>
        <v>1.3000000000000001E-5</v>
      </c>
      <c r="BJ193">
        <v>1.3</v>
      </c>
      <c r="BK193" s="140">
        <f t="shared" si="48"/>
        <v>1.2999999999999997E-7</v>
      </c>
      <c r="BL193" s="140">
        <f t="shared" si="49"/>
        <v>2.6E-7</v>
      </c>
      <c r="BM193" s="140">
        <f t="shared" si="50"/>
        <v>3.9000000000000002E-7</v>
      </c>
      <c r="BN193" s="140">
        <f t="shared" si="51"/>
        <v>5.2E-7</v>
      </c>
      <c r="BO193" s="140">
        <f t="shared" si="52"/>
        <v>6.5000000000000013E-7</v>
      </c>
      <c r="BP193" s="157">
        <f>IF(BI193&lt;$B$105*DATA!$H$1037,DATA!$H$1037,IF(BI193&gt;DATA!$H$1036*$B$105,DATA!$H$1036,1))</f>
        <v>1.2</v>
      </c>
      <c r="BQ193" s="156">
        <f t="shared" si="53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56"/>
        <v>1.3199999999999999E-7</v>
      </c>
      <c r="D194" s="140">
        <f t="shared" si="56"/>
        <v>2.6399999999999998E-7</v>
      </c>
      <c r="E194" s="140">
        <f t="shared" si="56"/>
        <v>3.9600000000000005E-7</v>
      </c>
      <c r="F194" s="140">
        <f t="shared" si="56"/>
        <v>5.2800000000000007E-7</v>
      </c>
      <c r="G194" s="140">
        <f t="shared" si="56"/>
        <v>6.6000000000000014E-7</v>
      </c>
      <c r="H194" s="124">
        <f t="shared" si="6"/>
        <v>0.8</v>
      </c>
      <c r="I194" s="156">
        <f t="shared" si="7"/>
        <v>9.9999999999999995E-8</v>
      </c>
      <c r="K194" s="140">
        <f t="shared" si="8"/>
        <v>1.3200000000000002E-5</v>
      </c>
      <c r="L194">
        <v>1.32</v>
      </c>
      <c r="M194" s="140">
        <f t="shared" si="9"/>
        <v>1.3199999999999999E-7</v>
      </c>
      <c r="N194" s="140">
        <f t="shared" si="10"/>
        <v>2.6399999999999998E-7</v>
      </c>
      <c r="O194" s="140">
        <f t="shared" si="11"/>
        <v>3.9600000000000005E-7</v>
      </c>
      <c r="P194" s="140">
        <f t="shared" si="12"/>
        <v>5.2800000000000007E-7</v>
      </c>
      <c r="Q194" s="140">
        <f t="shared" si="13"/>
        <v>6.6000000000000014E-7</v>
      </c>
      <c r="R194" s="157">
        <f t="shared" si="14"/>
        <v>0.8</v>
      </c>
      <c r="S194" s="156">
        <f t="shared" si="15"/>
        <v>9.9999999999999995E-8</v>
      </c>
      <c r="U194" s="140">
        <f t="shared" si="16"/>
        <v>1.3200000000000002E-5</v>
      </c>
      <c r="V194">
        <v>1.32</v>
      </c>
      <c r="W194" s="140">
        <f t="shared" si="17"/>
        <v>1.3199999999999999E-7</v>
      </c>
      <c r="X194" s="140">
        <f t="shared" si="18"/>
        <v>2.6399999999999998E-7</v>
      </c>
      <c r="Y194" s="140">
        <f t="shared" si="19"/>
        <v>3.9600000000000005E-7</v>
      </c>
      <c r="Z194" s="140">
        <f t="shared" si="20"/>
        <v>5.2800000000000007E-7</v>
      </c>
      <c r="AA194" s="140">
        <f t="shared" si="21"/>
        <v>6.6000000000000014E-7</v>
      </c>
      <c r="AB194" s="157">
        <f t="shared" si="22"/>
        <v>0.8</v>
      </c>
      <c r="AC194" s="156">
        <f t="shared" si="23"/>
        <v>9.9999999999999995E-8</v>
      </c>
      <c r="AE194" s="140">
        <f t="shared" si="24"/>
        <v>1.3200000000000002E-5</v>
      </c>
      <c r="AF194">
        <v>1.32</v>
      </c>
      <c r="AG194" s="140">
        <f t="shared" si="25"/>
        <v>1.3199999999999999E-7</v>
      </c>
      <c r="AH194" s="140">
        <f t="shared" si="26"/>
        <v>2.6399999999999998E-7</v>
      </c>
      <c r="AI194" s="140">
        <f t="shared" si="27"/>
        <v>3.9600000000000005E-7</v>
      </c>
      <c r="AJ194" s="140">
        <f t="shared" si="28"/>
        <v>5.2800000000000007E-7</v>
      </c>
      <c r="AK194" s="140">
        <f t="shared" si="29"/>
        <v>6.6000000000000014E-7</v>
      </c>
      <c r="AL194" s="157">
        <f t="shared" si="30"/>
        <v>1.2</v>
      </c>
      <c r="AM194" s="156">
        <f t="shared" si="31"/>
        <v>9.9999999999999995E-8</v>
      </c>
      <c r="AO194" s="140">
        <f t="shared" si="32"/>
        <v>1.3200000000000002E-5</v>
      </c>
      <c r="AP194">
        <v>1.32</v>
      </c>
      <c r="AQ194" s="140">
        <f t="shared" si="33"/>
        <v>1.3199999999999999E-7</v>
      </c>
      <c r="AR194" s="140">
        <f t="shared" si="34"/>
        <v>2.6399999999999998E-7</v>
      </c>
      <c r="AS194" s="140">
        <f t="shared" si="35"/>
        <v>3.9600000000000005E-7</v>
      </c>
      <c r="AT194" s="140">
        <f t="shared" si="36"/>
        <v>5.2800000000000007E-7</v>
      </c>
      <c r="AU194" s="140">
        <f t="shared" si="37"/>
        <v>6.6000000000000014E-7</v>
      </c>
      <c r="AV194" s="157">
        <f t="shared" si="38"/>
        <v>1.2</v>
      </c>
      <c r="AW194" s="156">
        <f t="shared" si="39"/>
        <v>9.9999999999999995E-8</v>
      </c>
      <c r="AY194" s="140">
        <f t="shared" si="40"/>
        <v>1.3200000000000002E-5</v>
      </c>
      <c r="AZ194">
        <v>1.32</v>
      </c>
      <c r="BA194" s="140">
        <f t="shared" si="41"/>
        <v>1.3199999999999999E-7</v>
      </c>
      <c r="BB194" s="140">
        <f t="shared" si="42"/>
        <v>2.6399999999999998E-7</v>
      </c>
      <c r="BC194" s="140">
        <f t="shared" si="43"/>
        <v>3.9600000000000005E-7</v>
      </c>
      <c r="BD194" s="140">
        <f t="shared" si="44"/>
        <v>5.2800000000000007E-7</v>
      </c>
      <c r="BE194" s="140">
        <f t="shared" si="45"/>
        <v>6.6000000000000014E-7</v>
      </c>
      <c r="BF194" s="157">
        <f>IF(AY194&lt;$B$89*DATA!$H$1037,DATA!$H$1037,IF(AY194&gt;DATA!$H$1036*$B$89,DATA!$H$1036,1))</f>
        <v>1.2</v>
      </c>
      <c r="BG194" s="156">
        <f t="shared" si="46"/>
        <v>9.9999999999999995E-8</v>
      </c>
      <c r="BI194" s="140">
        <f t="shared" si="47"/>
        <v>1.3200000000000002E-5</v>
      </c>
      <c r="BJ194">
        <v>1.32</v>
      </c>
      <c r="BK194" s="140">
        <f t="shared" si="48"/>
        <v>1.3199999999999999E-7</v>
      </c>
      <c r="BL194" s="140">
        <f t="shared" si="49"/>
        <v>2.6399999999999998E-7</v>
      </c>
      <c r="BM194" s="140">
        <f t="shared" si="50"/>
        <v>3.9600000000000005E-7</v>
      </c>
      <c r="BN194" s="140">
        <f t="shared" si="51"/>
        <v>5.2800000000000007E-7</v>
      </c>
      <c r="BO194" s="140">
        <f t="shared" si="52"/>
        <v>6.6000000000000014E-7</v>
      </c>
      <c r="BP194" s="157">
        <f>IF(BI194&lt;$B$105*DATA!$H$1037,DATA!$H$1037,IF(BI194&gt;DATA!$H$1036*$B$105,DATA!$H$1036,1))</f>
        <v>1.2</v>
      </c>
      <c r="BQ194" s="156">
        <f t="shared" si="53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56"/>
        <v>1.3399999999999998E-7</v>
      </c>
      <c r="D195" s="140">
        <f t="shared" si="56"/>
        <v>2.6800000000000002E-7</v>
      </c>
      <c r="E195" s="140">
        <f t="shared" si="56"/>
        <v>4.0200000000000003E-7</v>
      </c>
      <c r="F195" s="140">
        <f t="shared" si="56"/>
        <v>5.3600000000000014E-7</v>
      </c>
      <c r="G195" s="140">
        <f t="shared" si="56"/>
        <v>6.7000000000000015E-7</v>
      </c>
      <c r="H195" s="124">
        <f t="shared" si="6"/>
        <v>0.8</v>
      </c>
      <c r="I195" s="156">
        <f t="shared" si="7"/>
        <v>9.9999999999999995E-8</v>
      </c>
      <c r="K195" s="140">
        <f t="shared" si="8"/>
        <v>1.3400000000000002E-5</v>
      </c>
      <c r="L195">
        <v>1.34</v>
      </c>
      <c r="M195" s="140">
        <f t="shared" si="9"/>
        <v>1.3399999999999998E-7</v>
      </c>
      <c r="N195" s="140">
        <f t="shared" si="10"/>
        <v>2.6800000000000002E-7</v>
      </c>
      <c r="O195" s="140">
        <f t="shared" si="11"/>
        <v>4.0200000000000003E-7</v>
      </c>
      <c r="P195" s="140">
        <f t="shared" si="12"/>
        <v>5.3600000000000014E-7</v>
      </c>
      <c r="Q195" s="140">
        <f t="shared" si="13"/>
        <v>6.7000000000000015E-7</v>
      </c>
      <c r="R195" s="157">
        <f t="shared" si="14"/>
        <v>0.8</v>
      </c>
      <c r="S195" s="156">
        <f t="shared" si="15"/>
        <v>9.9999999999999995E-8</v>
      </c>
      <c r="U195" s="140">
        <f t="shared" si="16"/>
        <v>1.3400000000000002E-5</v>
      </c>
      <c r="V195">
        <v>1.34</v>
      </c>
      <c r="W195" s="140">
        <f t="shared" si="17"/>
        <v>1.3399999999999998E-7</v>
      </c>
      <c r="X195" s="140">
        <f t="shared" si="18"/>
        <v>2.6800000000000002E-7</v>
      </c>
      <c r="Y195" s="140">
        <f t="shared" si="19"/>
        <v>4.0200000000000003E-7</v>
      </c>
      <c r="Z195" s="140">
        <f t="shared" si="20"/>
        <v>5.3600000000000014E-7</v>
      </c>
      <c r="AA195" s="140">
        <f t="shared" si="21"/>
        <v>6.7000000000000015E-7</v>
      </c>
      <c r="AB195" s="157">
        <f t="shared" si="22"/>
        <v>0.8</v>
      </c>
      <c r="AC195" s="156">
        <f t="shared" si="23"/>
        <v>9.9999999999999995E-8</v>
      </c>
      <c r="AE195" s="140">
        <f t="shared" si="24"/>
        <v>1.3400000000000002E-5</v>
      </c>
      <c r="AF195">
        <v>1.34</v>
      </c>
      <c r="AG195" s="140">
        <f t="shared" si="25"/>
        <v>1.3399999999999998E-7</v>
      </c>
      <c r="AH195" s="140">
        <f t="shared" si="26"/>
        <v>2.6800000000000002E-7</v>
      </c>
      <c r="AI195" s="140">
        <f t="shared" si="27"/>
        <v>4.0200000000000003E-7</v>
      </c>
      <c r="AJ195" s="140">
        <f t="shared" si="28"/>
        <v>5.3600000000000014E-7</v>
      </c>
      <c r="AK195" s="140">
        <f t="shared" si="29"/>
        <v>6.7000000000000015E-7</v>
      </c>
      <c r="AL195" s="157">
        <f t="shared" si="30"/>
        <v>1.2</v>
      </c>
      <c r="AM195" s="156">
        <f t="shared" si="31"/>
        <v>9.9999999999999995E-8</v>
      </c>
      <c r="AO195" s="140">
        <f t="shared" si="32"/>
        <v>1.3400000000000002E-5</v>
      </c>
      <c r="AP195">
        <v>1.34</v>
      </c>
      <c r="AQ195" s="140">
        <f t="shared" si="33"/>
        <v>1.3399999999999998E-7</v>
      </c>
      <c r="AR195" s="140">
        <f t="shared" si="34"/>
        <v>2.6800000000000002E-7</v>
      </c>
      <c r="AS195" s="140">
        <f t="shared" si="35"/>
        <v>4.0200000000000003E-7</v>
      </c>
      <c r="AT195" s="140">
        <f t="shared" si="36"/>
        <v>5.3600000000000014E-7</v>
      </c>
      <c r="AU195" s="140">
        <f t="shared" si="37"/>
        <v>6.7000000000000015E-7</v>
      </c>
      <c r="AV195" s="157">
        <f t="shared" si="38"/>
        <v>1.2</v>
      </c>
      <c r="AW195" s="156">
        <f t="shared" si="39"/>
        <v>9.9999999999999995E-8</v>
      </c>
      <c r="AY195" s="140">
        <f t="shared" si="40"/>
        <v>1.3400000000000002E-5</v>
      </c>
      <c r="AZ195">
        <v>1.34</v>
      </c>
      <c r="BA195" s="140">
        <f t="shared" si="41"/>
        <v>1.3399999999999998E-7</v>
      </c>
      <c r="BB195" s="140">
        <f t="shared" si="42"/>
        <v>2.6800000000000002E-7</v>
      </c>
      <c r="BC195" s="140">
        <f t="shared" si="43"/>
        <v>4.0200000000000003E-7</v>
      </c>
      <c r="BD195" s="140">
        <f t="shared" si="44"/>
        <v>5.3600000000000014E-7</v>
      </c>
      <c r="BE195" s="140">
        <f t="shared" si="45"/>
        <v>6.7000000000000015E-7</v>
      </c>
      <c r="BF195" s="157">
        <f>IF(AY195&lt;$B$89*DATA!$H$1037,DATA!$H$1037,IF(AY195&gt;DATA!$H$1036*$B$89,DATA!$H$1036,1))</f>
        <v>1.2</v>
      </c>
      <c r="BG195" s="156">
        <f t="shared" si="46"/>
        <v>9.9999999999999995E-8</v>
      </c>
      <c r="BI195" s="140">
        <f t="shared" si="47"/>
        <v>1.3400000000000002E-5</v>
      </c>
      <c r="BJ195">
        <v>1.34</v>
      </c>
      <c r="BK195" s="140">
        <f t="shared" si="48"/>
        <v>1.3399999999999998E-7</v>
      </c>
      <c r="BL195" s="140">
        <f t="shared" si="49"/>
        <v>2.6800000000000002E-7</v>
      </c>
      <c r="BM195" s="140">
        <f t="shared" si="50"/>
        <v>4.0200000000000003E-7</v>
      </c>
      <c r="BN195" s="140">
        <f t="shared" si="51"/>
        <v>5.3600000000000014E-7</v>
      </c>
      <c r="BO195" s="140">
        <f t="shared" si="52"/>
        <v>6.7000000000000015E-7</v>
      </c>
      <c r="BP195" s="157">
        <f>IF(BI195&lt;$B$105*DATA!$H$1037,DATA!$H$1037,IF(BI195&gt;DATA!$H$1036*$B$105,DATA!$H$1036,1))</f>
        <v>1.2</v>
      </c>
      <c r="BQ195" s="156">
        <f t="shared" si="53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56"/>
        <v>1.3599999999999997E-7</v>
      </c>
      <c r="D196" s="140">
        <f t="shared" si="56"/>
        <v>2.72E-7</v>
      </c>
      <c r="E196" s="140">
        <f t="shared" si="56"/>
        <v>4.0800000000000005E-7</v>
      </c>
      <c r="F196" s="140">
        <f t="shared" si="56"/>
        <v>5.4400000000000011E-7</v>
      </c>
      <c r="G196" s="140">
        <f t="shared" si="56"/>
        <v>6.8000000000000016E-7</v>
      </c>
      <c r="H196" s="124">
        <f t="shared" si="6"/>
        <v>0.8</v>
      </c>
      <c r="I196" s="156">
        <f t="shared" si="7"/>
        <v>9.9999999999999995E-8</v>
      </c>
      <c r="K196" s="140">
        <f t="shared" si="8"/>
        <v>1.3600000000000002E-5</v>
      </c>
      <c r="L196">
        <v>1.36</v>
      </c>
      <c r="M196" s="140">
        <f t="shared" si="9"/>
        <v>1.3599999999999997E-7</v>
      </c>
      <c r="N196" s="140">
        <f t="shared" si="10"/>
        <v>2.72E-7</v>
      </c>
      <c r="O196" s="140">
        <f t="shared" si="11"/>
        <v>4.0800000000000005E-7</v>
      </c>
      <c r="P196" s="140">
        <f t="shared" si="12"/>
        <v>5.4400000000000011E-7</v>
      </c>
      <c r="Q196" s="140">
        <f t="shared" si="13"/>
        <v>6.8000000000000016E-7</v>
      </c>
      <c r="R196" s="157">
        <f t="shared" si="14"/>
        <v>0.8</v>
      </c>
      <c r="S196" s="156">
        <f t="shared" si="15"/>
        <v>9.9999999999999995E-8</v>
      </c>
      <c r="U196" s="140">
        <f t="shared" si="16"/>
        <v>1.3600000000000002E-5</v>
      </c>
      <c r="V196">
        <v>1.36</v>
      </c>
      <c r="W196" s="140">
        <f t="shared" si="17"/>
        <v>1.3599999999999997E-7</v>
      </c>
      <c r="X196" s="140">
        <f t="shared" si="18"/>
        <v>2.72E-7</v>
      </c>
      <c r="Y196" s="140">
        <f t="shared" si="19"/>
        <v>4.0800000000000005E-7</v>
      </c>
      <c r="Z196" s="140">
        <f t="shared" si="20"/>
        <v>5.4400000000000011E-7</v>
      </c>
      <c r="AA196" s="140">
        <f t="shared" si="21"/>
        <v>6.8000000000000016E-7</v>
      </c>
      <c r="AB196" s="157">
        <f t="shared" si="22"/>
        <v>0.8</v>
      </c>
      <c r="AC196" s="156">
        <f t="shared" si="23"/>
        <v>9.9999999999999995E-8</v>
      </c>
      <c r="AE196" s="140">
        <f t="shared" si="24"/>
        <v>1.3600000000000002E-5</v>
      </c>
      <c r="AF196">
        <v>1.36</v>
      </c>
      <c r="AG196" s="140">
        <f t="shared" si="25"/>
        <v>1.3599999999999997E-7</v>
      </c>
      <c r="AH196" s="140">
        <f t="shared" si="26"/>
        <v>2.72E-7</v>
      </c>
      <c r="AI196" s="140">
        <f t="shared" si="27"/>
        <v>4.0800000000000005E-7</v>
      </c>
      <c r="AJ196" s="140">
        <f t="shared" si="28"/>
        <v>5.4400000000000011E-7</v>
      </c>
      <c r="AK196" s="140">
        <f t="shared" si="29"/>
        <v>6.8000000000000016E-7</v>
      </c>
      <c r="AL196" s="157">
        <f t="shared" si="30"/>
        <v>1.2</v>
      </c>
      <c r="AM196" s="156">
        <f t="shared" si="31"/>
        <v>9.9999999999999995E-8</v>
      </c>
      <c r="AO196" s="140">
        <f t="shared" si="32"/>
        <v>1.3600000000000002E-5</v>
      </c>
      <c r="AP196">
        <v>1.36</v>
      </c>
      <c r="AQ196" s="140">
        <f t="shared" si="33"/>
        <v>1.3599999999999997E-7</v>
      </c>
      <c r="AR196" s="140">
        <f t="shared" si="34"/>
        <v>2.72E-7</v>
      </c>
      <c r="AS196" s="140">
        <f t="shared" si="35"/>
        <v>4.0800000000000005E-7</v>
      </c>
      <c r="AT196" s="140">
        <f t="shared" si="36"/>
        <v>5.4400000000000011E-7</v>
      </c>
      <c r="AU196" s="140">
        <f t="shared" si="37"/>
        <v>6.8000000000000016E-7</v>
      </c>
      <c r="AV196" s="157">
        <f t="shared" si="38"/>
        <v>1.2</v>
      </c>
      <c r="AW196" s="156">
        <f t="shared" si="39"/>
        <v>9.9999999999999995E-8</v>
      </c>
      <c r="AY196" s="140">
        <f t="shared" si="40"/>
        <v>1.3600000000000002E-5</v>
      </c>
      <c r="AZ196">
        <v>1.36</v>
      </c>
      <c r="BA196" s="140">
        <f t="shared" si="41"/>
        <v>1.3599999999999997E-7</v>
      </c>
      <c r="BB196" s="140">
        <f t="shared" si="42"/>
        <v>2.72E-7</v>
      </c>
      <c r="BC196" s="140">
        <f t="shared" si="43"/>
        <v>4.0800000000000005E-7</v>
      </c>
      <c r="BD196" s="140">
        <f t="shared" si="44"/>
        <v>5.4400000000000011E-7</v>
      </c>
      <c r="BE196" s="140">
        <f t="shared" si="45"/>
        <v>6.8000000000000016E-7</v>
      </c>
      <c r="BF196" s="157">
        <f>IF(AY196&lt;$B$89*DATA!$H$1037,DATA!$H$1037,IF(AY196&gt;DATA!$H$1036*$B$89,DATA!$H$1036,1))</f>
        <v>1.2</v>
      </c>
      <c r="BG196" s="156">
        <f t="shared" si="46"/>
        <v>9.9999999999999995E-8</v>
      </c>
      <c r="BI196" s="140">
        <f t="shared" si="47"/>
        <v>1.3600000000000002E-5</v>
      </c>
      <c r="BJ196">
        <v>1.36</v>
      </c>
      <c r="BK196" s="140">
        <f t="shared" si="48"/>
        <v>1.3599999999999997E-7</v>
      </c>
      <c r="BL196" s="140">
        <f t="shared" si="49"/>
        <v>2.72E-7</v>
      </c>
      <c r="BM196" s="140">
        <f t="shared" si="50"/>
        <v>4.0800000000000005E-7</v>
      </c>
      <c r="BN196" s="140">
        <f t="shared" si="51"/>
        <v>5.4400000000000011E-7</v>
      </c>
      <c r="BO196" s="140">
        <f t="shared" si="52"/>
        <v>6.8000000000000016E-7</v>
      </c>
      <c r="BP196" s="157">
        <f>IF(BI196&lt;$B$105*DATA!$H$1037,DATA!$H$1037,IF(BI196&gt;DATA!$H$1036*$B$105,DATA!$H$1036,1))</f>
        <v>1.2</v>
      </c>
      <c r="BQ196" s="156">
        <f t="shared" si="53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56"/>
        <v>1.3799999999999997E-7</v>
      </c>
      <c r="D197" s="140">
        <f t="shared" si="56"/>
        <v>2.7599999999999998E-7</v>
      </c>
      <c r="E197" s="140">
        <f t="shared" si="56"/>
        <v>4.1399999999999997E-7</v>
      </c>
      <c r="F197" s="140">
        <f t="shared" si="56"/>
        <v>5.5199999999999997E-7</v>
      </c>
      <c r="G197" s="140">
        <f t="shared" si="56"/>
        <v>6.9000000000000006E-7</v>
      </c>
      <c r="H197" s="124">
        <f t="shared" si="6"/>
        <v>0.8</v>
      </c>
      <c r="I197" s="156">
        <f t="shared" si="7"/>
        <v>9.9999999999999995E-8</v>
      </c>
      <c r="K197" s="140">
        <f t="shared" si="8"/>
        <v>1.38E-5</v>
      </c>
      <c r="L197">
        <v>1.38</v>
      </c>
      <c r="M197" s="140">
        <f t="shared" si="9"/>
        <v>1.3799999999999997E-7</v>
      </c>
      <c r="N197" s="140">
        <f t="shared" si="10"/>
        <v>2.7599999999999998E-7</v>
      </c>
      <c r="O197" s="140">
        <f t="shared" si="11"/>
        <v>4.1399999999999997E-7</v>
      </c>
      <c r="P197" s="140">
        <f t="shared" si="12"/>
        <v>5.5199999999999997E-7</v>
      </c>
      <c r="Q197" s="140">
        <f t="shared" si="13"/>
        <v>6.9000000000000006E-7</v>
      </c>
      <c r="R197" s="157">
        <f t="shared" si="14"/>
        <v>0.8</v>
      </c>
      <c r="S197" s="156">
        <f t="shared" si="15"/>
        <v>9.9999999999999995E-8</v>
      </c>
      <c r="U197" s="140">
        <f t="shared" si="16"/>
        <v>1.38E-5</v>
      </c>
      <c r="V197">
        <v>1.38</v>
      </c>
      <c r="W197" s="140">
        <f t="shared" si="17"/>
        <v>1.3799999999999997E-7</v>
      </c>
      <c r="X197" s="140">
        <f t="shared" si="18"/>
        <v>2.7599999999999998E-7</v>
      </c>
      <c r="Y197" s="140">
        <f t="shared" si="19"/>
        <v>4.1399999999999997E-7</v>
      </c>
      <c r="Z197" s="140">
        <f t="shared" si="20"/>
        <v>5.5199999999999997E-7</v>
      </c>
      <c r="AA197" s="140">
        <f t="shared" si="21"/>
        <v>6.9000000000000006E-7</v>
      </c>
      <c r="AB197" s="157">
        <f t="shared" si="22"/>
        <v>0.8</v>
      </c>
      <c r="AC197" s="156">
        <f t="shared" si="23"/>
        <v>9.9999999999999995E-8</v>
      </c>
      <c r="AE197" s="140">
        <f t="shared" si="24"/>
        <v>1.38E-5</v>
      </c>
      <c r="AF197">
        <v>1.38</v>
      </c>
      <c r="AG197" s="140">
        <f t="shared" si="25"/>
        <v>1.3799999999999997E-7</v>
      </c>
      <c r="AH197" s="140">
        <f t="shared" si="26"/>
        <v>2.7599999999999998E-7</v>
      </c>
      <c r="AI197" s="140">
        <f t="shared" si="27"/>
        <v>4.1399999999999997E-7</v>
      </c>
      <c r="AJ197" s="140">
        <f t="shared" si="28"/>
        <v>5.5199999999999997E-7</v>
      </c>
      <c r="AK197" s="140">
        <f t="shared" si="29"/>
        <v>6.9000000000000006E-7</v>
      </c>
      <c r="AL197" s="157">
        <f t="shared" si="30"/>
        <v>1.2</v>
      </c>
      <c r="AM197" s="156">
        <f t="shared" si="31"/>
        <v>9.9999999999999995E-8</v>
      </c>
      <c r="AO197" s="140">
        <f t="shared" si="32"/>
        <v>1.38E-5</v>
      </c>
      <c r="AP197">
        <v>1.38</v>
      </c>
      <c r="AQ197" s="140">
        <f t="shared" si="33"/>
        <v>1.3799999999999997E-7</v>
      </c>
      <c r="AR197" s="140">
        <f t="shared" si="34"/>
        <v>2.7599999999999998E-7</v>
      </c>
      <c r="AS197" s="140">
        <f t="shared" si="35"/>
        <v>4.1399999999999997E-7</v>
      </c>
      <c r="AT197" s="140">
        <f t="shared" si="36"/>
        <v>5.5199999999999997E-7</v>
      </c>
      <c r="AU197" s="140">
        <f t="shared" si="37"/>
        <v>6.9000000000000006E-7</v>
      </c>
      <c r="AV197" s="157">
        <f t="shared" si="38"/>
        <v>1.2</v>
      </c>
      <c r="AW197" s="156">
        <f t="shared" si="39"/>
        <v>9.9999999999999995E-8</v>
      </c>
      <c r="AY197" s="140">
        <f t="shared" si="40"/>
        <v>1.38E-5</v>
      </c>
      <c r="AZ197">
        <v>1.38</v>
      </c>
      <c r="BA197" s="140">
        <f t="shared" si="41"/>
        <v>1.3799999999999997E-7</v>
      </c>
      <c r="BB197" s="140">
        <f t="shared" si="42"/>
        <v>2.7599999999999998E-7</v>
      </c>
      <c r="BC197" s="140">
        <f t="shared" si="43"/>
        <v>4.1399999999999997E-7</v>
      </c>
      <c r="BD197" s="140">
        <f t="shared" si="44"/>
        <v>5.5199999999999997E-7</v>
      </c>
      <c r="BE197" s="140">
        <f t="shared" si="45"/>
        <v>6.9000000000000006E-7</v>
      </c>
      <c r="BF197" s="157">
        <f>IF(AY197&lt;$B$89*DATA!$H$1037,DATA!$H$1037,IF(AY197&gt;DATA!$H$1036*$B$89,DATA!$H$1036,1))</f>
        <v>1.2</v>
      </c>
      <c r="BG197" s="156">
        <f t="shared" si="46"/>
        <v>9.9999999999999995E-8</v>
      </c>
      <c r="BI197" s="140">
        <f t="shared" si="47"/>
        <v>1.38E-5</v>
      </c>
      <c r="BJ197">
        <v>1.38</v>
      </c>
      <c r="BK197" s="140">
        <f t="shared" si="48"/>
        <v>1.3799999999999997E-7</v>
      </c>
      <c r="BL197" s="140">
        <f t="shared" si="49"/>
        <v>2.7599999999999998E-7</v>
      </c>
      <c r="BM197" s="140">
        <f t="shared" si="50"/>
        <v>4.1399999999999997E-7</v>
      </c>
      <c r="BN197" s="140">
        <f t="shared" si="51"/>
        <v>5.5199999999999997E-7</v>
      </c>
      <c r="BO197" s="140">
        <f t="shared" si="52"/>
        <v>6.9000000000000006E-7</v>
      </c>
      <c r="BP197" s="157">
        <f>IF(BI197&lt;$B$105*DATA!$H$1037,DATA!$H$1037,IF(BI197&gt;DATA!$H$1036*$B$105,DATA!$H$1036,1))</f>
        <v>1.2</v>
      </c>
      <c r="BQ197" s="156">
        <f t="shared" si="53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56"/>
        <v>1.3999999999999996E-7</v>
      </c>
      <c r="D198" s="140">
        <f t="shared" si="56"/>
        <v>2.7999999999999997E-7</v>
      </c>
      <c r="E198" s="140">
        <f t="shared" si="56"/>
        <v>4.2E-7</v>
      </c>
      <c r="F198" s="140">
        <f t="shared" si="56"/>
        <v>5.6000000000000004E-7</v>
      </c>
      <c r="G198" s="140">
        <f t="shared" si="56"/>
        <v>7.0000000000000007E-7</v>
      </c>
      <c r="H198" s="124">
        <f t="shared" si="6"/>
        <v>0.8</v>
      </c>
      <c r="I198" s="156">
        <f t="shared" si="7"/>
        <v>9.9999999999999995E-8</v>
      </c>
      <c r="K198" s="140">
        <f t="shared" si="8"/>
        <v>1.4E-5</v>
      </c>
      <c r="L198">
        <v>1.4</v>
      </c>
      <c r="M198" s="140">
        <f t="shared" si="9"/>
        <v>1.3999999999999996E-7</v>
      </c>
      <c r="N198" s="140">
        <f t="shared" si="10"/>
        <v>2.7999999999999997E-7</v>
      </c>
      <c r="O198" s="140">
        <f t="shared" si="11"/>
        <v>4.2E-7</v>
      </c>
      <c r="P198" s="140">
        <f t="shared" si="12"/>
        <v>5.6000000000000004E-7</v>
      </c>
      <c r="Q198" s="140">
        <f t="shared" si="13"/>
        <v>7.0000000000000007E-7</v>
      </c>
      <c r="R198" s="157">
        <f t="shared" si="14"/>
        <v>0.8</v>
      </c>
      <c r="S198" s="156">
        <f t="shared" si="15"/>
        <v>9.9999999999999995E-8</v>
      </c>
      <c r="U198" s="140">
        <f t="shared" si="16"/>
        <v>1.4E-5</v>
      </c>
      <c r="V198">
        <v>1.4</v>
      </c>
      <c r="W198" s="140">
        <f t="shared" si="17"/>
        <v>1.3999999999999996E-7</v>
      </c>
      <c r="X198" s="140">
        <f t="shared" si="18"/>
        <v>2.7999999999999997E-7</v>
      </c>
      <c r="Y198" s="140">
        <f t="shared" si="19"/>
        <v>4.2E-7</v>
      </c>
      <c r="Z198" s="140">
        <f t="shared" si="20"/>
        <v>5.6000000000000004E-7</v>
      </c>
      <c r="AA198" s="140">
        <f t="shared" si="21"/>
        <v>7.0000000000000007E-7</v>
      </c>
      <c r="AB198" s="157">
        <f t="shared" si="22"/>
        <v>0.8</v>
      </c>
      <c r="AC198" s="156">
        <f t="shared" si="23"/>
        <v>9.9999999999999995E-8</v>
      </c>
      <c r="AE198" s="140">
        <f t="shared" si="24"/>
        <v>1.4E-5</v>
      </c>
      <c r="AF198">
        <v>1.4</v>
      </c>
      <c r="AG198" s="140">
        <f t="shared" si="25"/>
        <v>1.3999999999999996E-7</v>
      </c>
      <c r="AH198" s="140">
        <f t="shared" si="26"/>
        <v>2.7999999999999997E-7</v>
      </c>
      <c r="AI198" s="140">
        <f t="shared" si="27"/>
        <v>4.2E-7</v>
      </c>
      <c r="AJ198" s="140">
        <f t="shared" si="28"/>
        <v>5.6000000000000004E-7</v>
      </c>
      <c r="AK198" s="140">
        <f t="shared" si="29"/>
        <v>7.0000000000000007E-7</v>
      </c>
      <c r="AL198" s="157">
        <f t="shared" si="30"/>
        <v>1.2</v>
      </c>
      <c r="AM198" s="156">
        <f t="shared" si="31"/>
        <v>9.9999999999999995E-8</v>
      </c>
      <c r="AO198" s="140">
        <f t="shared" si="32"/>
        <v>1.4E-5</v>
      </c>
      <c r="AP198">
        <v>1.4</v>
      </c>
      <c r="AQ198" s="140">
        <f t="shared" si="33"/>
        <v>1.3999999999999996E-7</v>
      </c>
      <c r="AR198" s="140">
        <f t="shared" si="34"/>
        <v>2.7999999999999997E-7</v>
      </c>
      <c r="AS198" s="140">
        <f t="shared" si="35"/>
        <v>4.2E-7</v>
      </c>
      <c r="AT198" s="140">
        <f t="shared" si="36"/>
        <v>5.6000000000000004E-7</v>
      </c>
      <c r="AU198" s="140">
        <f t="shared" si="37"/>
        <v>7.0000000000000007E-7</v>
      </c>
      <c r="AV198" s="157">
        <f t="shared" si="38"/>
        <v>1.2</v>
      </c>
      <c r="AW198" s="156">
        <f t="shared" si="39"/>
        <v>9.9999999999999995E-8</v>
      </c>
      <c r="AY198" s="140">
        <f t="shared" si="40"/>
        <v>1.4E-5</v>
      </c>
      <c r="AZ198">
        <v>1.4</v>
      </c>
      <c r="BA198" s="140">
        <f t="shared" si="41"/>
        <v>1.3999999999999996E-7</v>
      </c>
      <c r="BB198" s="140">
        <f t="shared" si="42"/>
        <v>2.7999999999999997E-7</v>
      </c>
      <c r="BC198" s="140">
        <f t="shared" si="43"/>
        <v>4.2E-7</v>
      </c>
      <c r="BD198" s="140">
        <f t="shared" si="44"/>
        <v>5.6000000000000004E-7</v>
      </c>
      <c r="BE198" s="140">
        <f t="shared" si="45"/>
        <v>7.0000000000000007E-7</v>
      </c>
      <c r="BF198" s="157">
        <f>IF(AY198&lt;$B$89*DATA!$H$1037,DATA!$H$1037,IF(AY198&gt;DATA!$H$1036*$B$89,DATA!$H$1036,1))</f>
        <v>1.2</v>
      </c>
      <c r="BG198" s="156">
        <f t="shared" si="46"/>
        <v>9.9999999999999995E-8</v>
      </c>
      <c r="BI198" s="140">
        <f t="shared" si="47"/>
        <v>1.4E-5</v>
      </c>
      <c r="BJ198">
        <v>1.4</v>
      </c>
      <c r="BK198" s="140">
        <f t="shared" si="48"/>
        <v>1.3999999999999996E-7</v>
      </c>
      <c r="BL198" s="140">
        <f t="shared" si="49"/>
        <v>2.7999999999999997E-7</v>
      </c>
      <c r="BM198" s="140">
        <f t="shared" si="50"/>
        <v>4.2E-7</v>
      </c>
      <c r="BN198" s="140">
        <f t="shared" si="51"/>
        <v>5.6000000000000004E-7</v>
      </c>
      <c r="BO198" s="140">
        <f t="shared" si="52"/>
        <v>7.0000000000000007E-7</v>
      </c>
      <c r="BP198" s="157">
        <f>IF(BI198&lt;$B$105*DATA!$H$1037,DATA!$H$1037,IF(BI198&gt;DATA!$H$1036*$B$105,DATA!$H$1036,1))</f>
        <v>1.2</v>
      </c>
      <c r="BQ198" s="156">
        <f t="shared" si="53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56"/>
        <v>1.4199999999999997E-7</v>
      </c>
      <c r="D199" s="140">
        <f t="shared" si="56"/>
        <v>2.84E-7</v>
      </c>
      <c r="E199" s="140">
        <f t="shared" si="56"/>
        <v>4.2600000000000003E-7</v>
      </c>
      <c r="F199" s="140">
        <f t="shared" si="56"/>
        <v>5.6800000000000011E-7</v>
      </c>
      <c r="G199" s="140">
        <f t="shared" si="56"/>
        <v>7.1000000000000008E-7</v>
      </c>
      <c r="H199" s="124">
        <f t="shared" si="6"/>
        <v>0.8</v>
      </c>
      <c r="I199" s="156">
        <f t="shared" si="7"/>
        <v>9.9999999999999995E-8</v>
      </c>
      <c r="K199" s="140">
        <f t="shared" si="8"/>
        <v>1.4200000000000001E-5</v>
      </c>
      <c r="L199">
        <v>1.42</v>
      </c>
      <c r="M199" s="140">
        <f t="shared" si="9"/>
        <v>1.4199999999999997E-7</v>
      </c>
      <c r="N199" s="140">
        <f t="shared" si="10"/>
        <v>2.84E-7</v>
      </c>
      <c r="O199" s="140">
        <f t="shared" si="11"/>
        <v>4.2600000000000003E-7</v>
      </c>
      <c r="P199" s="140">
        <f t="shared" si="12"/>
        <v>5.6800000000000011E-7</v>
      </c>
      <c r="Q199" s="140">
        <f t="shared" si="13"/>
        <v>7.1000000000000008E-7</v>
      </c>
      <c r="R199" s="157">
        <f t="shared" si="14"/>
        <v>0.8</v>
      </c>
      <c r="S199" s="156">
        <f t="shared" si="15"/>
        <v>9.9999999999999995E-8</v>
      </c>
      <c r="U199" s="140">
        <f t="shared" si="16"/>
        <v>1.4200000000000001E-5</v>
      </c>
      <c r="V199">
        <v>1.42</v>
      </c>
      <c r="W199" s="140">
        <f t="shared" si="17"/>
        <v>1.4199999999999997E-7</v>
      </c>
      <c r="X199" s="140">
        <f t="shared" si="18"/>
        <v>2.84E-7</v>
      </c>
      <c r="Y199" s="140">
        <f t="shared" si="19"/>
        <v>4.2600000000000003E-7</v>
      </c>
      <c r="Z199" s="140">
        <f t="shared" si="20"/>
        <v>5.6800000000000011E-7</v>
      </c>
      <c r="AA199" s="140">
        <f t="shared" si="21"/>
        <v>7.1000000000000008E-7</v>
      </c>
      <c r="AB199" s="157">
        <f t="shared" si="22"/>
        <v>0.8</v>
      </c>
      <c r="AC199" s="156">
        <f t="shared" si="23"/>
        <v>9.9999999999999995E-8</v>
      </c>
      <c r="AE199" s="140">
        <f t="shared" si="24"/>
        <v>1.4200000000000001E-5</v>
      </c>
      <c r="AF199">
        <v>1.42</v>
      </c>
      <c r="AG199" s="140">
        <f t="shared" si="25"/>
        <v>1.4199999999999997E-7</v>
      </c>
      <c r="AH199" s="140">
        <f t="shared" si="26"/>
        <v>2.84E-7</v>
      </c>
      <c r="AI199" s="140">
        <f t="shared" si="27"/>
        <v>4.2600000000000003E-7</v>
      </c>
      <c r="AJ199" s="140">
        <f t="shared" si="28"/>
        <v>5.6800000000000011E-7</v>
      </c>
      <c r="AK199" s="140">
        <f t="shared" si="29"/>
        <v>7.1000000000000008E-7</v>
      </c>
      <c r="AL199" s="157">
        <f t="shared" si="30"/>
        <v>1.2</v>
      </c>
      <c r="AM199" s="156">
        <f t="shared" si="31"/>
        <v>9.9999999999999995E-8</v>
      </c>
      <c r="AO199" s="140">
        <f t="shared" si="32"/>
        <v>1.4200000000000001E-5</v>
      </c>
      <c r="AP199">
        <v>1.42</v>
      </c>
      <c r="AQ199" s="140">
        <f t="shared" si="33"/>
        <v>1.4199999999999997E-7</v>
      </c>
      <c r="AR199" s="140">
        <f t="shared" si="34"/>
        <v>2.84E-7</v>
      </c>
      <c r="AS199" s="140">
        <f t="shared" si="35"/>
        <v>4.2600000000000003E-7</v>
      </c>
      <c r="AT199" s="140">
        <f t="shared" si="36"/>
        <v>5.6800000000000011E-7</v>
      </c>
      <c r="AU199" s="140">
        <f t="shared" si="37"/>
        <v>7.1000000000000008E-7</v>
      </c>
      <c r="AV199" s="157">
        <f t="shared" si="38"/>
        <v>1.2</v>
      </c>
      <c r="AW199" s="156">
        <f t="shared" si="39"/>
        <v>9.9999999999999995E-8</v>
      </c>
      <c r="AY199" s="140">
        <f t="shared" si="40"/>
        <v>1.4200000000000001E-5</v>
      </c>
      <c r="AZ199">
        <v>1.42</v>
      </c>
      <c r="BA199" s="140">
        <f t="shared" si="41"/>
        <v>1.4199999999999997E-7</v>
      </c>
      <c r="BB199" s="140">
        <f t="shared" si="42"/>
        <v>2.84E-7</v>
      </c>
      <c r="BC199" s="140">
        <f t="shared" si="43"/>
        <v>4.2600000000000003E-7</v>
      </c>
      <c r="BD199" s="140">
        <f t="shared" si="44"/>
        <v>5.6800000000000011E-7</v>
      </c>
      <c r="BE199" s="140">
        <f t="shared" si="45"/>
        <v>7.1000000000000008E-7</v>
      </c>
      <c r="BF199" s="157">
        <f>IF(AY199&lt;$B$89*DATA!$H$1037,DATA!$H$1037,IF(AY199&gt;DATA!$H$1036*$B$89,DATA!$H$1036,1))</f>
        <v>1.2</v>
      </c>
      <c r="BG199" s="156">
        <f t="shared" si="46"/>
        <v>9.9999999999999995E-8</v>
      </c>
      <c r="BI199" s="140">
        <f t="shared" si="47"/>
        <v>1.4200000000000001E-5</v>
      </c>
      <c r="BJ199">
        <v>1.42</v>
      </c>
      <c r="BK199" s="140">
        <f t="shared" si="48"/>
        <v>1.4199999999999997E-7</v>
      </c>
      <c r="BL199" s="140">
        <f t="shared" si="49"/>
        <v>2.84E-7</v>
      </c>
      <c r="BM199" s="140">
        <f t="shared" si="50"/>
        <v>4.2600000000000003E-7</v>
      </c>
      <c r="BN199" s="140">
        <f t="shared" si="51"/>
        <v>5.6800000000000011E-7</v>
      </c>
      <c r="BO199" s="140">
        <f t="shared" si="52"/>
        <v>7.1000000000000008E-7</v>
      </c>
      <c r="BP199" s="157">
        <f>IF(BI199&lt;$B$105*DATA!$H$1037,DATA!$H$1037,IF(BI199&gt;DATA!$H$1036*$B$105,DATA!$H$1036,1))</f>
        <v>1.2</v>
      </c>
      <c r="BQ199" s="156">
        <f t="shared" si="53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56"/>
        <v>1.4399999999999997E-7</v>
      </c>
      <c r="D200" s="140">
        <f t="shared" si="56"/>
        <v>2.8799999999999998E-7</v>
      </c>
      <c r="E200" s="140">
        <f t="shared" si="56"/>
        <v>4.32E-7</v>
      </c>
      <c r="F200" s="140">
        <f t="shared" si="56"/>
        <v>5.7600000000000008E-7</v>
      </c>
      <c r="G200" s="140">
        <f t="shared" si="56"/>
        <v>7.2000000000000009E-7</v>
      </c>
      <c r="H200" s="124">
        <f t="shared" si="6"/>
        <v>0.8</v>
      </c>
      <c r="I200" s="156">
        <f t="shared" si="7"/>
        <v>9.9999999999999995E-8</v>
      </c>
      <c r="K200" s="140">
        <f t="shared" si="8"/>
        <v>1.4400000000000001E-5</v>
      </c>
      <c r="L200">
        <v>1.44</v>
      </c>
      <c r="M200" s="140">
        <f t="shared" si="9"/>
        <v>1.4399999999999997E-7</v>
      </c>
      <c r="N200" s="140">
        <f t="shared" si="10"/>
        <v>2.8799999999999998E-7</v>
      </c>
      <c r="O200" s="140">
        <f t="shared" si="11"/>
        <v>4.32E-7</v>
      </c>
      <c r="P200" s="140">
        <f t="shared" si="12"/>
        <v>5.7600000000000008E-7</v>
      </c>
      <c r="Q200" s="140">
        <f t="shared" si="13"/>
        <v>7.2000000000000009E-7</v>
      </c>
      <c r="R200" s="157">
        <f t="shared" si="14"/>
        <v>0.8</v>
      </c>
      <c r="S200" s="156">
        <f t="shared" si="15"/>
        <v>9.9999999999999995E-8</v>
      </c>
      <c r="U200" s="140">
        <f t="shared" si="16"/>
        <v>1.4400000000000001E-5</v>
      </c>
      <c r="V200">
        <v>1.44</v>
      </c>
      <c r="W200" s="140">
        <f t="shared" si="17"/>
        <v>1.4399999999999997E-7</v>
      </c>
      <c r="X200" s="140">
        <f t="shared" si="18"/>
        <v>2.8799999999999998E-7</v>
      </c>
      <c r="Y200" s="140">
        <f t="shared" si="19"/>
        <v>4.32E-7</v>
      </c>
      <c r="Z200" s="140">
        <f t="shared" si="20"/>
        <v>5.7600000000000008E-7</v>
      </c>
      <c r="AA200" s="140">
        <f t="shared" si="21"/>
        <v>7.2000000000000009E-7</v>
      </c>
      <c r="AB200" s="157">
        <f t="shared" si="22"/>
        <v>0.8</v>
      </c>
      <c r="AC200" s="156">
        <f t="shared" si="23"/>
        <v>9.9999999999999995E-8</v>
      </c>
      <c r="AE200" s="140">
        <f t="shared" si="24"/>
        <v>1.4400000000000001E-5</v>
      </c>
      <c r="AF200">
        <v>1.44</v>
      </c>
      <c r="AG200" s="140">
        <f t="shared" si="25"/>
        <v>1.4399999999999997E-7</v>
      </c>
      <c r="AH200" s="140">
        <f t="shared" si="26"/>
        <v>2.8799999999999998E-7</v>
      </c>
      <c r="AI200" s="140">
        <f t="shared" si="27"/>
        <v>4.32E-7</v>
      </c>
      <c r="AJ200" s="140">
        <f t="shared" si="28"/>
        <v>5.7600000000000008E-7</v>
      </c>
      <c r="AK200" s="140">
        <f t="shared" si="29"/>
        <v>7.2000000000000009E-7</v>
      </c>
      <c r="AL200" s="157">
        <f t="shared" si="30"/>
        <v>1.2</v>
      </c>
      <c r="AM200" s="156">
        <f t="shared" si="31"/>
        <v>9.9999999999999995E-8</v>
      </c>
      <c r="AO200" s="140">
        <f t="shared" si="32"/>
        <v>1.4400000000000001E-5</v>
      </c>
      <c r="AP200">
        <v>1.44</v>
      </c>
      <c r="AQ200" s="140">
        <f t="shared" si="33"/>
        <v>1.4399999999999997E-7</v>
      </c>
      <c r="AR200" s="140">
        <f t="shared" si="34"/>
        <v>2.8799999999999998E-7</v>
      </c>
      <c r="AS200" s="140">
        <f t="shared" si="35"/>
        <v>4.32E-7</v>
      </c>
      <c r="AT200" s="140">
        <f t="shared" si="36"/>
        <v>5.7600000000000008E-7</v>
      </c>
      <c r="AU200" s="140">
        <f t="shared" si="37"/>
        <v>7.2000000000000009E-7</v>
      </c>
      <c r="AV200" s="157">
        <f t="shared" si="38"/>
        <v>1.2</v>
      </c>
      <c r="AW200" s="156">
        <f t="shared" si="39"/>
        <v>9.9999999999999995E-8</v>
      </c>
      <c r="AY200" s="140">
        <f t="shared" si="40"/>
        <v>1.4400000000000001E-5</v>
      </c>
      <c r="AZ200">
        <v>1.44</v>
      </c>
      <c r="BA200" s="140">
        <f t="shared" si="41"/>
        <v>1.4399999999999997E-7</v>
      </c>
      <c r="BB200" s="140">
        <f t="shared" si="42"/>
        <v>2.8799999999999998E-7</v>
      </c>
      <c r="BC200" s="140">
        <f t="shared" si="43"/>
        <v>4.32E-7</v>
      </c>
      <c r="BD200" s="140">
        <f t="shared" si="44"/>
        <v>5.7600000000000008E-7</v>
      </c>
      <c r="BE200" s="140">
        <f t="shared" si="45"/>
        <v>7.2000000000000009E-7</v>
      </c>
      <c r="BF200" s="157">
        <f>IF(AY200&lt;$B$89*DATA!$H$1037,DATA!$H$1037,IF(AY200&gt;DATA!$H$1036*$B$89,DATA!$H$1036,1))</f>
        <v>1.2</v>
      </c>
      <c r="BG200" s="156">
        <f t="shared" si="46"/>
        <v>9.9999999999999995E-8</v>
      </c>
      <c r="BI200" s="140">
        <f t="shared" si="47"/>
        <v>1.4400000000000001E-5</v>
      </c>
      <c r="BJ200">
        <v>1.44</v>
      </c>
      <c r="BK200" s="140">
        <f t="shared" si="48"/>
        <v>1.4399999999999997E-7</v>
      </c>
      <c r="BL200" s="140">
        <f t="shared" si="49"/>
        <v>2.8799999999999998E-7</v>
      </c>
      <c r="BM200" s="140">
        <f t="shared" si="50"/>
        <v>4.32E-7</v>
      </c>
      <c r="BN200" s="140">
        <f t="shared" si="51"/>
        <v>5.7600000000000008E-7</v>
      </c>
      <c r="BO200" s="140">
        <f t="shared" si="52"/>
        <v>7.2000000000000009E-7</v>
      </c>
      <c r="BP200" s="157">
        <f>IF(BI200&lt;$B$105*DATA!$H$1037,DATA!$H$1037,IF(BI200&gt;DATA!$H$1036*$B$105,DATA!$H$1036,1))</f>
        <v>1.2</v>
      </c>
      <c r="BQ200" s="156">
        <f t="shared" si="53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56"/>
        <v>1.4599999999999996E-7</v>
      </c>
      <c r="D201" s="140">
        <f t="shared" si="56"/>
        <v>2.9199999999999997E-7</v>
      </c>
      <c r="E201" s="140">
        <f t="shared" si="56"/>
        <v>4.3800000000000003E-7</v>
      </c>
      <c r="F201" s="140">
        <f t="shared" si="56"/>
        <v>5.8400000000000004E-7</v>
      </c>
      <c r="G201" s="140">
        <f t="shared" si="56"/>
        <v>7.300000000000001E-7</v>
      </c>
      <c r="H201" s="124">
        <f t="shared" si="6"/>
        <v>0.8</v>
      </c>
      <c r="I201" s="156">
        <f t="shared" si="7"/>
        <v>9.9999999999999995E-8</v>
      </c>
      <c r="K201" s="140">
        <f t="shared" si="8"/>
        <v>1.4600000000000001E-5</v>
      </c>
      <c r="L201">
        <v>1.46</v>
      </c>
      <c r="M201" s="140">
        <f t="shared" si="9"/>
        <v>1.4599999999999996E-7</v>
      </c>
      <c r="N201" s="140">
        <f t="shared" si="10"/>
        <v>2.9199999999999997E-7</v>
      </c>
      <c r="O201" s="140">
        <f t="shared" si="11"/>
        <v>4.3800000000000003E-7</v>
      </c>
      <c r="P201" s="140">
        <f t="shared" si="12"/>
        <v>5.8400000000000004E-7</v>
      </c>
      <c r="Q201" s="140">
        <f t="shared" si="13"/>
        <v>7.300000000000001E-7</v>
      </c>
      <c r="R201" s="157">
        <f t="shared" si="14"/>
        <v>0.8</v>
      </c>
      <c r="S201" s="156">
        <f t="shared" si="15"/>
        <v>9.9999999999999995E-8</v>
      </c>
      <c r="U201" s="140">
        <f t="shared" si="16"/>
        <v>1.4600000000000001E-5</v>
      </c>
      <c r="V201">
        <v>1.46</v>
      </c>
      <c r="W201" s="140">
        <f t="shared" si="17"/>
        <v>1.4599999999999996E-7</v>
      </c>
      <c r="X201" s="140">
        <f t="shared" si="18"/>
        <v>2.9199999999999997E-7</v>
      </c>
      <c r="Y201" s="140">
        <f t="shared" si="19"/>
        <v>4.3800000000000003E-7</v>
      </c>
      <c r="Z201" s="140">
        <f t="shared" si="20"/>
        <v>5.8400000000000004E-7</v>
      </c>
      <c r="AA201" s="140">
        <f t="shared" si="21"/>
        <v>7.300000000000001E-7</v>
      </c>
      <c r="AB201" s="157">
        <f t="shared" si="22"/>
        <v>0.8</v>
      </c>
      <c r="AC201" s="156">
        <f t="shared" si="23"/>
        <v>9.9999999999999995E-8</v>
      </c>
      <c r="AE201" s="140">
        <f t="shared" si="24"/>
        <v>1.4600000000000001E-5</v>
      </c>
      <c r="AF201">
        <v>1.46</v>
      </c>
      <c r="AG201" s="140">
        <f t="shared" si="25"/>
        <v>1.4599999999999996E-7</v>
      </c>
      <c r="AH201" s="140">
        <f t="shared" si="26"/>
        <v>2.9199999999999997E-7</v>
      </c>
      <c r="AI201" s="140">
        <f t="shared" si="27"/>
        <v>4.3800000000000003E-7</v>
      </c>
      <c r="AJ201" s="140">
        <f t="shared" si="28"/>
        <v>5.8400000000000004E-7</v>
      </c>
      <c r="AK201" s="140">
        <f t="shared" si="29"/>
        <v>7.300000000000001E-7</v>
      </c>
      <c r="AL201" s="157">
        <f t="shared" si="30"/>
        <v>1.2</v>
      </c>
      <c r="AM201" s="156">
        <f t="shared" si="31"/>
        <v>9.9999999999999995E-8</v>
      </c>
      <c r="AO201" s="140">
        <f t="shared" si="32"/>
        <v>1.4600000000000001E-5</v>
      </c>
      <c r="AP201">
        <v>1.46</v>
      </c>
      <c r="AQ201" s="140">
        <f t="shared" si="33"/>
        <v>1.4599999999999996E-7</v>
      </c>
      <c r="AR201" s="140">
        <f t="shared" si="34"/>
        <v>2.9199999999999997E-7</v>
      </c>
      <c r="AS201" s="140">
        <f t="shared" si="35"/>
        <v>4.3800000000000003E-7</v>
      </c>
      <c r="AT201" s="140">
        <f t="shared" si="36"/>
        <v>5.8400000000000004E-7</v>
      </c>
      <c r="AU201" s="140">
        <f t="shared" si="37"/>
        <v>7.300000000000001E-7</v>
      </c>
      <c r="AV201" s="157">
        <f t="shared" si="38"/>
        <v>1.2</v>
      </c>
      <c r="AW201" s="156">
        <f t="shared" si="39"/>
        <v>9.9999999999999995E-8</v>
      </c>
      <c r="AY201" s="140">
        <f t="shared" si="40"/>
        <v>1.4600000000000001E-5</v>
      </c>
      <c r="AZ201">
        <v>1.46</v>
      </c>
      <c r="BA201" s="140">
        <f t="shared" si="41"/>
        <v>1.4599999999999996E-7</v>
      </c>
      <c r="BB201" s="140">
        <f t="shared" si="42"/>
        <v>2.9199999999999997E-7</v>
      </c>
      <c r="BC201" s="140">
        <f t="shared" si="43"/>
        <v>4.3800000000000003E-7</v>
      </c>
      <c r="BD201" s="140">
        <f t="shared" si="44"/>
        <v>5.8400000000000004E-7</v>
      </c>
      <c r="BE201" s="140">
        <f t="shared" si="45"/>
        <v>7.300000000000001E-7</v>
      </c>
      <c r="BF201" s="157">
        <f>IF(AY201&lt;$B$89*DATA!$H$1037,DATA!$H$1037,IF(AY201&gt;DATA!$H$1036*$B$89,DATA!$H$1036,1))</f>
        <v>1.2</v>
      </c>
      <c r="BG201" s="156">
        <f t="shared" si="46"/>
        <v>9.9999999999999995E-8</v>
      </c>
      <c r="BI201" s="140">
        <f t="shared" si="47"/>
        <v>1.4600000000000001E-5</v>
      </c>
      <c r="BJ201">
        <v>1.46</v>
      </c>
      <c r="BK201" s="140">
        <f t="shared" si="48"/>
        <v>1.4599999999999996E-7</v>
      </c>
      <c r="BL201" s="140">
        <f t="shared" si="49"/>
        <v>2.9199999999999997E-7</v>
      </c>
      <c r="BM201" s="140">
        <f t="shared" si="50"/>
        <v>4.3800000000000003E-7</v>
      </c>
      <c r="BN201" s="140">
        <f t="shared" si="51"/>
        <v>5.8400000000000004E-7</v>
      </c>
      <c r="BO201" s="140">
        <f t="shared" si="52"/>
        <v>7.300000000000001E-7</v>
      </c>
      <c r="BP201" s="157">
        <f>IF(BI201&lt;$B$105*DATA!$H$1037,DATA!$H$1037,IF(BI201&gt;DATA!$H$1036*$B$105,DATA!$H$1036,1))</f>
        <v>1.2</v>
      </c>
      <c r="BQ201" s="156">
        <f t="shared" si="53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56"/>
        <v>1.4799999999999995E-7</v>
      </c>
      <c r="D202" s="140">
        <f t="shared" si="56"/>
        <v>2.9599999999999995E-7</v>
      </c>
      <c r="E202" s="140">
        <f t="shared" si="56"/>
        <v>4.4400000000000001E-7</v>
      </c>
      <c r="F202" s="140">
        <f t="shared" si="56"/>
        <v>5.9200000000000001E-7</v>
      </c>
      <c r="G202" s="140">
        <f t="shared" si="56"/>
        <v>7.4000000000000011E-7</v>
      </c>
      <c r="H202" s="124">
        <f t="shared" si="6"/>
        <v>0.8</v>
      </c>
      <c r="I202" s="156">
        <f t="shared" si="7"/>
        <v>9.9999999999999995E-8</v>
      </c>
      <c r="K202" s="140">
        <f t="shared" si="8"/>
        <v>1.4800000000000001E-5</v>
      </c>
      <c r="L202">
        <v>1.48</v>
      </c>
      <c r="M202" s="140">
        <f t="shared" si="9"/>
        <v>1.4799999999999995E-7</v>
      </c>
      <c r="N202" s="140">
        <f t="shared" si="10"/>
        <v>2.9599999999999995E-7</v>
      </c>
      <c r="O202" s="140">
        <f t="shared" si="11"/>
        <v>4.4400000000000001E-7</v>
      </c>
      <c r="P202" s="140">
        <f t="shared" si="12"/>
        <v>5.9200000000000001E-7</v>
      </c>
      <c r="Q202" s="140">
        <f t="shared" si="13"/>
        <v>7.4000000000000011E-7</v>
      </c>
      <c r="R202" s="157">
        <f t="shared" si="14"/>
        <v>0.8</v>
      </c>
      <c r="S202" s="156">
        <f t="shared" si="15"/>
        <v>9.9999999999999995E-8</v>
      </c>
      <c r="U202" s="140">
        <f t="shared" si="16"/>
        <v>1.4800000000000001E-5</v>
      </c>
      <c r="V202">
        <v>1.48</v>
      </c>
      <c r="W202" s="140">
        <f t="shared" si="17"/>
        <v>1.4799999999999995E-7</v>
      </c>
      <c r="X202" s="140">
        <f t="shared" si="18"/>
        <v>2.9599999999999995E-7</v>
      </c>
      <c r="Y202" s="140">
        <f t="shared" si="19"/>
        <v>4.4400000000000001E-7</v>
      </c>
      <c r="Z202" s="140">
        <f t="shared" si="20"/>
        <v>5.9200000000000001E-7</v>
      </c>
      <c r="AA202" s="140">
        <f t="shared" si="21"/>
        <v>7.4000000000000011E-7</v>
      </c>
      <c r="AB202" s="157">
        <f t="shared" si="22"/>
        <v>0.8</v>
      </c>
      <c r="AC202" s="156">
        <f t="shared" si="23"/>
        <v>9.9999999999999995E-8</v>
      </c>
      <c r="AE202" s="140">
        <f t="shared" si="24"/>
        <v>1.4800000000000001E-5</v>
      </c>
      <c r="AF202">
        <v>1.48</v>
      </c>
      <c r="AG202" s="140">
        <f t="shared" si="25"/>
        <v>1.4799999999999995E-7</v>
      </c>
      <c r="AH202" s="140">
        <f t="shared" si="26"/>
        <v>2.9599999999999995E-7</v>
      </c>
      <c r="AI202" s="140">
        <f t="shared" si="27"/>
        <v>4.4400000000000001E-7</v>
      </c>
      <c r="AJ202" s="140">
        <f t="shared" si="28"/>
        <v>5.9200000000000001E-7</v>
      </c>
      <c r="AK202" s="140">
        <f t="shared" si="29"/>
        <v>7.4000000000000011E-7</v>
      </c>
      <c r="AL202" s="157">
        <f t="shared" si="30"/>
        <v>1.2</v>
      </c>
      <c r="AM202" s="156">
        <f t="shared" si="31"/>
        <v>9.9999999999999995E-8</v>
      </c>
      <c r="AO202" s="140">
        <f t="shared" si="32"/>
        <v>1.4800000000000001E-5</v>
      </c>
      <c r="AP202">
        <v>1.48</v>
      </c>
      <c r="AQ202" s="140">
        <f t="shared" si="33"/>
        <v>1.4799999999999995E-7</v>
      </c>
      <c r="AR202" s="140">
        <f t="shared" si="34"/>
        <v>2.9599999999999995E-7</v>
      </c>
      <c r="AS202" s="140">
        <f t="shared" si="35"/>
        <v>4.4400000000000001E-7</v>
      </c>
      <c r="AT202" s="140">
        <f t="shared" si="36"/>
        <v>5.9200000000000001E-7</v>
      </c>
      <c r="AU202" s="140">
        <f t="shared" si="37"/>
        <v>7.4000000000000011E-7</v>
      </c>
      <c r="AV202" s="157">
        <f t="shared" si="38"/>
        <v>1.2</v>
      </c>
      <c r="AW202" s="156">
        <f t="shared" si="39"/>
        <v>9.9999999999999995E-8</v>
      </c>
      <c r="AY202" s="140">
        <f t="shared" si="40"/>
        <v>1.4800000000000001E-5</v>
      </c>
      <c r="AZ202">
        <v>1.48</v>
      </c>
      <c r="BA202" s="140">
        <f t="shared" si="41"/>
        <v>1.4799999999999995E-7</v>
      </c>
      <c r="BB202" s="140">
        <f t="shared" si="42"/>
        <v>2.9599999999999995E-7</v>
      </c>
      <c r="BC202" s="140">
        <f t="shared" si="43"/>
        <v>4.4400000000000001E-7</v>
      </c>
      <c r="BD202" s="140">
        <f t="shared" si="44"/>
        <v>5.9200000000000001E-7</v>
      </c>
      <c r="BE202" s="140">
        <f t="shared" si="45"/>
        <v>7.4000000000000011E-7</v>
      </c>
      <c r="BF202" s="157">
        <f>IF(AY202&lt;$B$89*DATA!$H$1037,DATA!$H$1037,IF(AY202&gt;DATA!$H$1036*$B$89,DATA!$H$1036,1))</f>
        <v>1.2</v>
      </c>
      <c r="BG202" s="156">
        <f t="shared" si="46"/>
        <v>9.9999999999999995E-8</v>
      </c>
      <c r="BI202" s="140">
        <f t="shared" si="47"/>
        <v>1.4800000000000001E-5</v>
      </c>
      <c r="BJ202">
        <v>1.48</v>
      </c>
      <c r="BK202" s="140">
        <f t="shared" si="48"/>
        <v>1.4799999999999995E-7</v>
      </c>
      <c r="BL202" s="140">
        <f t="shared" si="49"/>
        <v>2.9599999999999995E-7</v>
      </c>
      <c r="BM202" s="140">
        <f t="shared" si="50"/>
        <v>4.4400000000000001E-7</v>
      </c>
      <c r="BN202" s="140">
        <f t="shared" si="51"/>
        <v>5.9200000000000001E-7</v>
      </c>
      <c r="BO202" s="140">
        <f t="shared" si="52"/>
        <v>7.4000000000000011E-7</v>
      </c>
      <c r="BP202" s="157">
        <f>IF(BI202&lt;$B$105*DATA!$H$1037,DATA!$H$1037,IF(BI202&gt;DATA!$H$1036*$B$105,DATA!$H$1036,1))</f>
        <v>1.2</v>
      </c>
      <c r="BQ202" s="156">
        <f t="shared" si="53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56"/>
        <v>1.4999999999999997E-7</v>
      </c>
      <c r="D203" s="140">
        <f t="shared" si="56"/>
        <v>2.9999999999999999E-7</v>
      </c>
      <c r="E203" s="140">
        <f t="shared" si="56"/>
        <v>4.5000000000000003E-7</v>
      </c>
      <c r="F203" s="140">
        <f t="shared" si="56"/>
        <v>6.0000000000000008E-7</v>
      </c>
      <c r="G203" s="140">
        <f t="shared" si="56"/>
        <v>7.5000000000000012E-7</v>
      </c>
      <c r="H203" s="124">
        <f t="shared" si="6"/>
        <v>0.8</v>
      </c>
      <c r="I203" s="156">
        <f t="shared" si="7"/>
        <v>9.9999999999999995E-8</v>
      </c>
      <c r="K203" s="140">
        <f t="shared" si="8"/>
        <v>1.5000000000000002E-5</v>
      </c>
      <c r="L203">
        <v>1.5</v>
      </c>
      <c r="M203" s="140">
        <f t="shared" si="9"/>
        <v>1.4999999999999997E-7</v>
      </c>
      <c r="N203" s="140">
        <f t="shared" si="10"/>
        <v>2.9999999999999999E-7</v>
      </c>
      <c r="O203" s="140">
        <f t="shared" si="11"/>
        <v>4.5000000000000003E-7</v>
      </c>
      <c r="P203" s="140">
        <f t="shared" si="12"/>
        <v>6.0000000000000008E-7</v>
      </c>
      <c r="Q203" s="140">
        <f t="shared" si="13"/>
        <v>7.5000000000000012E-7</v>
      </c>
      <c r="R203" s="157">
        <f t="shared" si="14"/>
        <v>0.8</v>
      </c>
      <c r="S203" s="156">
        <f t="shared" si="15"/>
        <v>9.9999999999999995E-8</v>
      </c>
      <c r="U203" s="140">
        <f t="shared" si="16"/>
        <v>1.5000000000000002E-5</v>
      </c>
      <c r="V203">
        <v>1.5</v>
      </c>
      <c r="W203" s="140">
        <f t="shared" si="17"/>
        <v>1.4999999999999997E-7</v>
      </c>
      <c r="X203" s="140">
        <f t="shared" si="18"/>
        <v>2.9999999999999999E-7</v>
      </c>
      <c r="Y203" s="140">
        <f t="shared" si="19"/>
        <v>4.5000000000000003E-7</v>
      </c>
      <c r="Z203" s="140">
        <f t="shared" si="20"/>
        <v>6.0000000000000008E-7</v>
      </c>
      <c r="AA203" s="140">
        <f t="shared" si="21"/>
        <v>7.5000000000000012E-7</v>
      </c>
      <c r="AB203" s="157">
        <f t="shared" si="22"/>
        <v>0.8</v>
      </c>
      <c r="AC203" s="156">
        <f t="shared" si="23"/>
        <v>9.9999999999999995E-8</v>
      </c>
      <c r="AE203" s="140">
        <f t="shared" si="24"/>
        <v>1.5000000000000002E-5</v>
      </c>
      <c r="AF203">
        <v>1.5</v>
      </c>
      <c r="AG203" s="140">
        <f t="shared" si="25"/>
        <v>1.4999999999999997E-7</v>
      </c>
      <c r="AH203" s="140">
        <f t="shared" si="26"/>
        <v>2.9999999999999999E-7</v>
      </c>
      <c r="AI203" s="140">
        <f t="shared" si="27"/>
        <v>4.5000000000000003E-7</v>
      </c>
      <c r="AJ203" s="140">
        <f t="shared" si="28"/>
        <v>6.0000000000000008E-7</v>
      </c>
      <c r="AK203" s="140">
        <f t="shared" si="29"/>
        <v>7.5000000000000012E-7</v>
      </c>
      <c r="AL203" s="157">
        <f t="shared" si="30"/>
        <v>1.2</v>
      </c>
      <c r="AM203" s="156">
        <f t="shared" si="31"/>
        <v>9.9999999999999995E-8</v>
      </c>
      <c r="AO203" s="140">
        <f t="shared" si="32"/>
        <v>1.5000000000000002E-5</v>
      </c>
      <c r="AP203">
        <v>1.5</v>
      </c>
      <c r="AQ203" s="140">
        <f t="shared" si="33"/>
        <v>1.4999999999999997E-7</v>
      </c>
      <c r="AR203" s="140">
        <f t="shared" si="34"/>
        <v>2.9999999999999999E-7</v>
      </c>
      <c r="AS203" s="140">
        <f t="shared" si="35"/>
        <v>4.5000000000000003E-7</v>
      </c>
      <c r="AT203" s="140">
        <f t="shared" si="36"/>
        <v>6.0000000000000008E-7</v>
      </c>
      <c r="AU203" s="140">
        <f t="shared" si="37"/>
        <v>7.5000000000000012E-7</v>
      </c>
      <c r="AV203" s="157">
        <f t="shared" si="38"/>
        <v>1.2</v>
      </c>
      <c r="AW203" s="156">
        <f t="shared" si="39"/>
        <v>9.9999999999999995E-8</v>
      </c>
      <c r="AY203" s="140">
        <f t="shared" si="40"/>
        <v>1.5000000000000002E-5</v>
      </c>
      <c r="AZ203">
        <v>1.5</v>
      </c>
      <c r="BA203" s="140">
        <f t="shared" si="41"/>
        <v>1.4999999999999997E-7</v>
      </c>
      <c r="BB203" s="140">
        <f t="shared" si="42"/>
        <v>2.9999999999999999E-7</v>
      </c>
      <c r="BC203" s="140">
        <f t="shared" si="43"/>
        <v>4.5000000000000003E-7</v>
      </c>
      <c r="BD203" s="140">
        <f t="shared" si="44"/>
        <v>6.0000000000000008E-7</v>
      </c>
      <c r="BE203" s="140">
        <f t="shared" si="45"/>
        <v>7.5000000000000012E-7</v>
      </c>
      <c r="BF203" s="157">
        <f>IF(AY203&lt;$B$89*DATA!$H$1037,DATA!$H$1037,IF(AY203&gt;DATA!$H$1036*$B$89,DATA!$H$1036,1))</f>
        <v>1.2</v>
      </c>
      <c r="BG203" s="156">
        <f t="shared" si="46"/>
        <v>9.9999999999999995E-8</v>
      </c>
      <c r="BI203" s="140">
        <f t="shared" si="47"/>
        <v>1.5000000000000002E-5</v>
      </c>
      <c r="BJ203">
        <v>1.5</v>
      </c>
      <c r="BK203" s="140">
        <f t="shared" si="48"/>
        <v>1.4999999999999997E-7</v>
      </c>
      <c r="BL203" s="140">
        <f t="shared" si="49"/>
        <v>2.9999999999999999E-7</v>
      </c>
      <c r="BM203" s="140">
        <f t="shared" si="50"/>
        <v>4.5000000000000003E-7</v>
      </c>
      <c r="BN203" s="140">
        <f t="shared" si="51"/>
        <v>6.0000000000000008E-7</v>
      </c>
      <c r="BO203" s="140">
        <f t="shared" si="52"/>
        <v>7.5000000000000012E-7</v>
      </c>
      <c r="BP203" s="157">
        <f>IF(BI203&lt;$B$105*DATA!$H$1037,DATA!$H$1037,IF(BI203&gt;DATA!$H$1036*$B$105,DATA!$H$1036,1))</f>
        <v>1.2</v>
      </c>
      <c r="BQ203" s="156">
        <f t="shared" si="53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56"/>
        <v>1.5199999999999996E-7</v>
      </c>
      <c r="D204" s="140">
        <f t="shared" si="56"/>
        <v>3.0399999999999997E-7</v>
      </c>
      <c r="E204" s="140">
        <f t="shared" si="56"/>
        <v>4.5600000000000006E-7</v>
      </c>
      <c r="F204" s="140">
        <f t="shared" si="56"/>
        <v>6.0800000000000004E-7</v>
      </c>
      <c r="G204" s="140">
        <f t="shared" si="56"/>
        <v>7.6000000000000014E-7</v>
      </c>
      <c r="H204" s="124">
        <f t="shared" si="6"/>
        <v>0.8</v>
      </c>
      <c r="I204" s="156">
        <f t="shared" si="7"/>
        <v>9.9999999999999995E-8</v>
      </c>
      <c r="K204" s="140">
        <f t="shared" si="8"/>
        <v>1.5200000000000002E-5</v>
      </c>
      <c r="L204">
        <v>1.52</v>
      </c>
      <c r="M204" s="140">
        <f t="shared" si="9"/>
        <v>1.5199999999999996E-7</v>
      </c>
      <c r="N204" s="140">
        <f t="shared" si="10"/>
        <v>3.0399999999999997E-7</v>
      </c>
      <c r="O204" s="140">
        <f t="shared" si="11"/>
        <v>4.5600000000000006E-7</v>
      </c>
      <c r="P204" s="140">
        <f t="shared" si="12"/>
        <v>6.0800000000000004E-7</v>
      </c>
      <c r="Q204" s="140">
        <f t="shared" si="13"/>
        <v>7.6000000000000014E-7</v>
      </c>
      <c r="R204" s="157">
        <f t="shared" si="14"/>
        <v>0.8</v>
      </c>
      <c r="S204" s="156">
        <f t="shared" si="15"/>
        <v>9.9999999999999995E-8</v>
      </c>
      <c r="U204" s="140">
        <f t="shared" si="16"/>
        <v>1.5200000000000002E-5</v>
      </c>
      <c r="V204">
        <v>1.52</v>
      </c>
      <c r="W204" s="140">
        <f t="shared" si="17"/>
        <v>1.5199999999999996E-7</v>
      </c>
      <c r="X204" s="140">
        <f t="shared" si="18"/>
        <v>3.0399999999999997E-7</v>
      </c>
      <c r="Y204" s="140">
        <f t="shared" si="19"/>
        <v>4.5600000000000006E-7</v>
      </c>
      <c r="Z204" s="140">
        <f t="shared" si="20"/>
        <v>6.0800000000000004E-7</v>
      </c>
      <c r="AA204" s="140">
        <f t="shared" si="21"/>
        <v>7.6000000000000014E-7</v>
      </c>
      <c r="AB204" s="157">
        <f t="shared" si="22"/>
        <v>0.8</v>
      </c>
      <c r="AC204" s="156">
        <f t="shared" si="23"/>
        <v>9.9999999999999995E-8</v>
      </c>
      <c r="AE204" s="140">
        <f t="shared" si="24"/>
        <v>1.5200000000000002E-5</v>
      </c>
      <c r="AF204">
        <v>1.52</v>
      </c>
      <c r="AG204" s="140">
        <f t="shared" si="25"/>
        <v>1.5199999999999996E-7</v>
      </c>
      <c r="AH204" s="140">
        <f t="shared" si="26"/>
        <v>3.0399999999999997E-7</v>
      </c>
      <c r="AI204" s="140">
        <f t="shared" si="27"/>
        <v>4.5600000000000006E-7</v>
      </c>
      <c r="AJ204" s="140">
        <f t="shared" si="28"/>
        <v>6.0800000000000004E-7</v>
      </c>
      <c r="AK204" s="140">
        <f t="shared" si="29"/>
        <v>7.6000000000000014E-7</v>
      </c>
      <c r="AL204" s="157">
        <f t="shared" si="30"/>
        <v>1.2</v>
      </c>
      <c r="AM204" s="156">
        <f t="shared" si="31"/>
        <v>9.9999999999999995E-8</v>
      </c>
      <c r="AO204" s="140">
        <f t="shared" si="32"/>
        <v>1.5200000000000002E-5</v>
      </c>
      <c r="AP204">
        <v>1.52</v>
      </c>
      <c r="AQ204" s="140">
        <f t="shared" si="33"/>
        <v>1.5199999999999996E-7</v>
      </c>
      <c r="AR204" s="140">
        <f t="shared" si="34"/>
        <v>3.0399999999999997E-7</v>
      </c>
      <c r="AS204" s="140">
        <f t="shared" si="35"/>
        <v>4.5600000000000006E-7</v>
      </c>
      <c r="AT204" s="140">
        <f t="shared" si="36"/>
        <v>6.0800000000000004E-7</v>
      </c>
      <c r="AU204" s="140">
        <f t="shared" si="37"/>
        <v>7.6000000000000014E-7</v>
      </c>
      <c r="AV204" s="157">
        <f t="shared" si="38"/>
        <v>1.2</v>
      </c>
      <c r="AW204" s="156">
        <f t="shared" si="39"/>
        <v>9.9999999999999995E-8</v>
      </c>
      <c r="AY204" s="140">
        <f t="shared" si="40"/>
        <v>1.5200000000000002E-5</v>
      </c>
      <c r="AZ204">
        <v>1.52</v>
      </c>
      <c r="BA204" s="140">
        <f t="shared" si="41"/>
        <v>1.5199999999999996E-7</v>
      </c>
      <c r="BB204" s="140">
        <f t="shared" si="42"/>
        <v>3.0399999999999997E-7</v>
      </c>
      <c r="BC204" s="140">
        <f t="shared" si="43"/>
        <v>4.5600000000000006E-7</v>
      </c>
      <c r="BD204" s="140">
        <f t="shared" si="44"/>
        <v>6.0800000000000004E-7</v>
      </c>
      <c r="BE204" s="140">
        <f t="shared" si="45"/>
        <v>7.6000000000000014E-7</v>
      </c>
      <c r="BF204" s="157">
        <f>IF(AY204&lt;$B$89*DATA!$H$1037,DATA!$H$1037,IF(AY204&gt;DATA!$H$1036*$B$89,DATA!$H$1036,1))</f>
        <v>1.2</v>
      </c>
      <c r="BG204" s="156">
        <f t="shared" si="46"/>
        <v>9.9999999999999995E-8</v>
      </c>
      <c r="BI204" s="140">
        <f t="shared" si="47"/>
        <v>1.5200000000000002E-5</v>
      </c>
      <c r="BJ204">
        <v>1.52</v>
      </c>
      <c r="BK204" s="140">
        <f t="shared" si="48"/>
        <v>1.5199999999999996E-7</v>
      </c>
      <c r="BL204" s="140">
        <f t="shared" si="49"/>
        <v>3.0399999999999997E-7</v>
      </c>
      <c r="BM204" s="140">
        <f t="shared" si="50"/>
        <v>4.5600000000000006E-7</v>
      </c>
      <c r="BN204" s="140">
        <f t="shared" si="51"/>
        <v>6.0800000000000004E-7</v>
      </c>
      <c r="BO204" s="140">
        <f t="shared" si="52"/>
        <v>7.6000000000000014E-7</v>
      </c>
      <c r="BP204" s="157">
        <f>IF(BI204&lt;$B$105*DATA!$H$1037,DATA!$H$1037,IF(BI204&gt;DATA!$H$1036*$B$105,DATA!$H$1036,1))</f>
        <v>1.2</v>
      </c>
      <c r="BQ204" s="156">
        <f t="shared" si="53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56"/>
        <v>1.5399999999999998E-7</v>
      </c>
      <c r="D205" s="140">
        <f t="shared" si="56"/>
        <v>3.0800000000000001E-7</v>
      </c>
      <c r="E205" s="140">
        <f t="shared" si="56"/>
        <v>4.6200000000000003E-7</v>
      </c>
      <c r="F205" s="140">
        <f t="shared" si="56"/>
        <v>6.1600000000000012E-7</v>
      </c>
      <c r="G205" s="140">
        <f t="shared" si="56"/>
        <v>7.7000000000000015E-7</v>
      </c>
      <c r="H205" s="124">
        <f t="shared" si="6"/>
        <v>0.8</v>
      </c>
      <c r="I205" s="156">
        <f t="shared" si="7"/>
        <v>9.9999999999999995E-8</v>
      </c>
      <c r="K205" s="140">
        <f t="shared" si="8"/>
        <v>1.5400000000000002E-5</v>
      </c>
      <c r="L205">
        <v>1.54</v>
      </c>
      <c r="M205" s="140">
        <f t="shared" si="9"/>
        <v>1.5399999999999998E-7</v>
      </c>
      <c r="N205" s="140">
        <f t="shared" si="10"/>
        <v>3.0800000000000001E-7</v>
      </c>
      <c r="O205" s="140">
        <f t="shared" si="11"/>
        <v>4.6200000000000003E-7</v>
      </c>
      <c r="P205" s="140">
        <f t="shared" si="12"/>
        <v>6.1600000000000012E-7</v>
      </c>
      <c r="Q205" s="140">
        <f t="shared" si="13"/>
        <v>7.7000000000000015E-7</v>
      </c>
      <c r="R205" s="157">
        <f t="shared" si="14"/>
        <v>0.8</v>
      </c>
      <c r="S205" s="156">
        <f t="shared" si="15"/>
        <v>9.9999999999999995E-8</v>
      </c>
      <c r="U205" s="140">
        <f t="shared" si="16"/>
        <v>1.5400000000000002E-5</v>
      </c>
      <c r="V205">
        <v>1.54</v>
      </c>
      <c r="W205" s="140">
        <f t="shared" si="17"/>
        <v>1.5399999999999998E-7</v>
      </c>
      <c r="X205" s="140">
        <f t="shared" si="18"/>
        <v>3.0800000000000001E-7</v>
      </c>
      <c r="Y205" s="140">
        <f t="shared" si="19"/>
        <v>4.6200000000000003E-7</v>
      </c>
      <c r="Z205" s="140">
        <f t="shared" si="20"/>
        <v>6.1600000000000012E-7</v>
      </c>
      <c r="AA205" s="140">
        <f t="shared" si="21"/>
        <v>7.7000000000000015E-7</v>
      </c>
      <c r="AB205" s="157">
        <f t="shared" si="22"/>
        <v>0.8</v>
      </c>
      <c r="AC205" s="156">
        <f t="shared" si="23"/>
        <v>9.9999999999999995E-8</v>
      </c>
      <c r="AE205" s="140">
        <f t="shared" si="24"/>
        <v>1.5400000000000002E-5</v>
      </c>
      <c r="AF205">
        <v>1.54</v>
      </c>
      <c r="AG205" s="140">
        <f t="shared" si="25"/>
        <v>1.5399999999999998E-7</v>
      </c>
      <c r="AH205" s="140">
        <f t="shared" si="26"/>
        <v>3.0800000000000001E-7</v>
      </c>
      <c r="AI205" s="140">
        <f t="shared" si="27"/>
        <v>4.6200000000000003E-7</v>
      </c>
      <c r="AJ205" s="140">
        <f t="shared" si="28"/>
        <v>6.1600000000000012E-7</v>
      </c>
      <c r="AK205" s="140">
        <f t="shared" si="29"/>
        <v>7.7000000000000015E-7</v>
      </c>
      <c r="AL205" s="157">
        <f t="shared" si="30"/>
        <v>1.2</v>
      </c>
      <c r="AM205" s="156">
        <f t="shared" si="31"/>
        <v>9.9999999999999995E-8</v>
      </c>
      <c r="AO205" s="140">
        <f t="shared" si="32"/>
        <v>1.5400000000000002E-5</v>
      </c>
      <c r="AP205">
        <v>1.54</v>
      </c>
      <c r="AQ205" s="140">
        <f t="shared" si="33"/>
        <v>1.5399999999999998E-7</v>
      </c>
      <c r="AR205" s="140">
        <f t="shared" si="34"/>
        <v>3.0800000000000001E-7</v>
      </c>
      <c r="AS205" s="140">
        <f t="shared" si="35"/>
        <v>4.6200000000000003E-7</v>
      </c>
      <c r="AT205" s="140">
        <f t="shared" si="36"/>
        <v>6.1600000000000012E-7</v>
      </c>
      <c r="AU205" s="140">
        <f t="shared" si="37"/>
        <v>7.7000000000000015E-7</v>
      </c>
      <c r="AV205" s="157">
        <f t="shared" si="38"/>
        <v>1.2</v>
      </c>
      <c r="AW205" s="156">
        <f t="shared" si="39"/>
        <v>9.9999999999999995E-8</v>
      </c>
      <c r="AY205" s="140">
        <f t="shared" si="40"/>
        <v>1.5400000000000002E-5</v>
      </c>
      <c r="AZ205">
        <v>1.54</v>
      </c>
      <c r="BA205" s="140">
        <f t="shared" si="41"/>
        <v>1.5399999999999998E-7</v>
      </c>
      <c r="BB205" s="140">
        <f t="shared" si="42"/>
        <v>3.0800000000000001E-7</v>
      </c>
      <c r="BC205" s="140">
        <f t="shared" si="43"/>
        <v>4.6200000000000003E-7</v>
      </c>
      <c r="BD205" s="140">
        <f t="shared" si="44"/>
        <v>6.1600000000000012E-7</v>
      </c>
      <c r="BE205" s="140">
        <f t="shared" si="45"/>
        <v>7.7000000000000015E-7</v>
      </c>
      <c r="BF205" s="157">
        <f>IF(AY205&lt;$B$89*DATA!$H$1037,DATA!$H$1037,IF(AY205&gt;DATA!$H$1036*$B$89,DATA!$H$1036,1))</f>
        <v>1.2</v>
      </c>
      <c r="BG205" s="156">
        <f t="shared" si="46"/>
        <v>9.9999999999999995E-8</v>
      </c>
      <c r="BI205" s="140">
        <f t="shared" si="47"/>
        <v>1.5400000000000002E-5</v>
      </c>
      <c r="BJ205">
        <v>1.54</v>
      </c>
      <c r="BK205" s="140">
        <f t="shared" si="48"/>
        <v>1.5399999999999998E-7</v>
      </c>
      <c r="BL205" s="140">
        <f t="shared" si="49"/>
        <v>3.0800000000000001E-7</v>
      </c>
      <c r="BM205" s="140">
        <f t="shared" si="50"/>
        <v>4.6200000000000003E-7</v>
      </c>
      <c r="BN205" s="140">
        <f t="shared" si="51"/>
        <v>6.1600000000000012E-7</v>
      </c>
      <c r="BO205" s="140">
        <f t="shared" si="52"/>
        <v>7.7000000000000015E-7</v>
      </c>
      <c r="BP205" s="157">
        <f>IF(BI205&lt;$B$105*DATA!$H$1037,DATA!$H$1037,IF(BI205&gt;DATA!$H$1036*$B$105,DATA!$H$1036,1))</f>
        <v>1.2</v>
      </c>
      <c r="BQ205" s="156">
        <f t="shared" si="53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56"/>
        <v>1.5599999999999997E-7</v>
      </c>
      <c r="D206" s="140">
        <f t="shared" si="56"/>
        <v>3.1200000000000004E-7</v>
      </c>
      <c r="E206" s="140">
        <f t="shared" si="56"/>
        <v>4.6800000000000006E-7</v>
      </c>
      <c r="F206" s="140">
        <f t="shared" si="56"/>
        <v>6.2400000000000019E-7</v>
      </c>
      <c r="G206" s="140">
        <f t="shared" si="56"/>
        <v>7.8000000000000016E-7</v>
      </c>
      <c r="H206" s="124">
        <f t="shared" si="6"/>
        <v>0.8</v>
      </c>
      <c r="I206" s="156">
        <f t="shared" si="7"/>
        <v>9.9999999999999995E-8</v>
      </c>
      <c r="K206" s="140">
        <f t="shared" si="8"/>
        <v>1.5600000000000003E-5</v>
      </c>
      <c r="L206">
        <v>1.56</v>
      </c>
      <c r="M206" s="140">
        <f t="shared" si="9"/>
        <v>1.5599999999999997E-7</v>
      </c>
      <c r="N206" s="140">
        <f t="shared" si="10"/>
        <v>3.1200000000000004E-7</v>
      </c>
      <c r="O206" s="140">
        <f t="shared" si="11"/>
        <v>4.6800000000000006E-7</v>
      </c>
      <c r="P206" s="140">
        <f t="shared" si="12"/>
        <v>6.2400000000000019E-7</v>
      </c>
      <c r="Q206" s="140">
        <f t="shared" si="13"/>
        <v>7.8000000000000016E-7</v>
      </c>
      <c r="R206" s="157">
        <f t="shared" si="14"/>
        <v>0.8</v>
      </c>
      <c r="S206" s="156">
        <f t="shared" si="15"/>
        <v>9.9999999999999995E-8</v>
      </c>
      <c r="U206" s="140">
        <f t="shared" si="16"/>
        <v>1.5600000000000003E-5</v>
      </c>
      <c r="V206">
        <v>1.56</v>
      </c>
      <c r="W206" s="140">
        <f t="shared" si="17"/>
        <v>1.5599999999999997E-7</v>
      </c>
      <c r="X206" s="140">
        <f t="shared" si="18"/>
        <v>3.1200000000000004E-7</v>
      </c>
      <c r="Y206" s="140">
        <f t="shared" si="19"/>
        <v>4.6800000000000006E-7</v>
      </c>
      <c r="Z206" s="140">
        <f t="shared" si="20"/>
        <v>6.2400000000000019E-7</v>
      </c>
      <c r="AA206" s="140">
        <f t="shared" si="21"/>
        <v>7.8000000000000016E-7</v>
      </c>
      <c r="AB206" s="157">
        <f t="shared" si="22"/>
        <v>0.8</v>
      </c>
      <c r="AC206" s="156">
        <f t="shared" si="23"/>
        <v>9.9999999999999995E-8</v>
      </c>
      <c r="AE206" s="140">
        <f t="shared" si="24"/>
        <v>1.5600000000000003E-5</v>
      </c>
      <c r="AF206">
        <v>1.56</v>
      </c>
      <c r="AG206" s="140">
        <f t="shared" si="25"/>
        <v>1.5599999999999997E-7</v>
      </c>
      <c r="AH206" s="140">
        <f t="shared" si="26"/>
        <v>3.1200000000000004E-7</v>
      </c>
      <c r="AI206" s="140">
        <f t="shared" si="27"/>
        <v>4.6800000000000006E-7</v>
      </c>
      <c r="AJ206" s="140">
        <f t="shared" si="28"/>
        <v>6.2400000000000019E-7</v>
      </c>
      <c r="AK206" s="140">
        <f t="shared" si="29"/>
        <v>7.8000000000000016E-7</v>
      </c>
      <c r="AL206" s="157">
        <f t="shared" si="30"/>
        <v>1.2</v>
      </c>
      <c r="AM206" s="156">
        <f t="shared" si="31"/>
        <v>9.9999999999999995E-8</v>
      </c>
      <c r="AO206" s="140">
        <f t="shared" si="32"/>
        <v>1.5600000000000003E-5</v>
      </c>
      <c r="AP206">
        <v>1.56</v>
      </c>
      <c r="AQ206" s="140">
        <f t="shared" si="33"/>
        <v>1.5599999999999997E-7</v>
      </c>
      <c r="AR206" s="140">
        <f t="shared" si="34"/>
        <v>3.1200000000000004E-7</v>
      </c>
      <c r="AS206" s="140">
        <f t="shared" si="35"/>
        <v>4.6800000000000006E-7</v>
      </c>
      <c r="AT206" s="140">
        <f t="shared" si="36"/>
        <v>6.2400000000000019E-7</v>
      </c>
      <c r="AU206" s="140">
        <f t="shared" si="37"/>
        <v>7.8000000000000016E-7</v>
      </c>
      <c r="AV206" s="157">
        <f t="shared" si="38"/>
        <v>1.2</v>
      </c>
      <c r="AW206" s="156">
        <f t="shared" si="39"/>
        <v>9.9999999999999995E-8</v>
      </c>
      <c r="AY206" s="140">
        <f t="shared" si="40"/>
        <v>1.5600000000000003E-5</v>
      </c>
      <c r="AZ206">
        <v>1.56</v>
      </c>
      <c r="BA206" s="140">
        <f t="shared" si="41"/>
        <v>1.5599999999999997E-7</v>
      </c>
      <c r="BB206" s="140">
        <f t="shared" si="42"/>
        <v>3.1200000000000004E-7</v>
      </c>
      <c r="BC206" s="140">
        <f t="shared" si="43"/>
        <v>4.6800000000000006E-7</v>
      </c>
      <c r="BD206" s="140">
        <f t="shared" si="44"/>
        <v>6.2400000000000019E-7</v>
      </c>
      <c r="BE206" s="140">
        <f t="shared" si="45"/>
        <v>7.8000000000000016E-7</v>
      </c>
      <c r="BF206" s="157">
        <f>IF(AY206&lt;$B$89*DATA!$H$1037,DATA!$H$1037,IF(AY206&gt;DATA!$H$1036*$B$89,DATA!$H$1036,1))</f>
        <v>1.2</v>
      </c>
      <c r="BG206" s="156">
        <f t="shared" si="46"/>
        <v>9.9999999999999995E-8</v>
      </c>
      <c r="BI206" s="140">
        <f t="shared" si="47"/>
        <v>1.5600000000000003E-5</v>
      </c>
      <c r="BJ206">
        <v>1.56</v>
      </c>
      <c r="BK206" s="140">
        <f t="shared" si="48"/>
        <v>1.5599999999999997E-7</v>
      </c>
      <c r="BL206" s="140">
        <f t="shared" si="49"/>
        <v>3.1200000000000004E-7</v>
      </c>
      <c r="BM206" s="140">
        <f t="shared" si="50"/>
        <v>4.6800000000000006E-7</v>
      </c>
      <c r="BN206" s="140">
        <f t="shared" si="51"/>
        <v>6.2400000000000019E-7</v>
      </c>
      <c r="BO206" s="140">
        <f t="shared" si="52"/>
        <v>7.8000000000000016E-7</v>
      </c>
      <c r="BP206" s="157">
        <f>IF(BI206&lt;$B$105*DATA!$H$1037,DATA!$H$1037,IF(BI206&gt;DATA!$H$1036*$B$105,DATA!$H$1036,1))</f>
        <v>1.2</v>
      </c>
      <c r="BQ206" s="156">
        <f t="shared" si="53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ref="C207:G222" si="57">C$142*$A207</f>
        <v>1.5799999999999996E-7</v>
      </c>
      <c r="D207" s="140">
        <f t="shared" si="57"/>
        <v>3.1599999999999997E-7</v>
      </c>
      <c r="E207" s="140">
        <f t="shared" si="57"/>
        <v>4.7400000000000004E-7</v>
      </c>
      <c r="F207" s="140">
        <f t="shared" si="57"/>
        <v>6.3200000000000005E-7</v>
      </c>
      <c r="G207" s="140">
        <f t="shared" si="57"/>
        <v>7.9000000000000006E-7</v>
      </c>
      <c r="H207" s="124">
        <f t="shared" si="6"/>
        <v>0.8</v>
      </c>
      <c r="I207" s="156">
        <f t="shared" si="7"/>
        <v>9.9999999999999995E-8</v>
      </c>
      <c r="K207" s="140">
        <f t="shared" si="8"/>
        <v>1.5800000000000001E-5</v>
      </c>
      <c r="L207">
        <v>1.58</v>
      </c>
      <c r="M207" s="140">
        <f t="shared" si="9"/>
        <v>1.5799999999999996E-7</v>
      </c>
      <c r="N207" s="140">
        <f t="shared" si="10"/>
        <v>3.1599999999999997E-7</v>
      </c>
      <c r="O207" s="140">
        <f t="shared" si="11"/>
        <v>4.7400000000000004E-7</v>
      </c>
      <c r="P207" s="140">
        <f t="shared" ref="P207:P270" si="58">P$142*$K207</f>
        <v>6.3200000000000005E-7</v>
      </c>
      <c r="Q207" s="140">
        <f t="shared" si="13"/>
        <v>7.9000000000000006E-7</v>
      </c>
      <c r="R207" s="157">
        <f t="shared" si="14"/>
        <v>0.8</v>
      </c>
      <c r="S207" s="156">
        <f t="shared" si="15"/>
        <v>9.9999999999999995E-8</v>
      </c>
      <c r="U207" s="140">
        <f t="shared" si="16"/>
        <v>1.5800000000000001E-5</v>
      </c>
      <c r="V207">
        <v>1.58</v>
      </c>
      <c r="W207" s="140">
        <f t="shared" si="17"/>
        <v>1.5799999999999996E-7</v>
      </c>
      <c r="X207" s="140">
        <f t="shared" si="18"/>
        <v>3.1599999999999997E-7</v>
      </c>
      <c r="Y207" s="140">
        <f t="shared" si="19"/>
        <v>4.7400000000000004E-7</v>
      </c>
      <c r="Z207" s="140">
        <f t="shared" si="20"/>
        <v>6.3200000000000005E-7</v>
      </c>
      <c r="AA207" s="140">
        <f t="shared" si="21"/>
        <v>7.9000000000000006E-7</v>
      </c>
      <c r="AB207" s="157">
        <f t="shared" si="22"/>
        <v>0.8</v>
      </c>
      <c r="AC207" s="156">
        <f t="shared" si="23"/>
        <v>9.9999999999999995E-8</v>
      </c>
      <c r="AE207" s="140">
        <f t="shared" si="24"/>
        <v>1.5800000000000001E-5</v>
      </c>
      <c r="AF207">
        <v>1.58</v>
      </c>
      <c r="AG207" s="140">
        <f t="shared" si="25"/>
        <v>1.5799999999999996E-7</v>
      </c>
      <c r="AH207" s="140">
        <f t="shared" si="26"/>
        <v>3.1599999999999997E-7</v>
      </c>
      <c r="AI207" s="140">
        <f t="shared" si="27"/>
        <v>4.7400000000000004E-7</v>
      </c>
      <c r="AJ207" s="140">
        <f t="shared" si="28"/>
        <v>6.3200000000000005E-7</v>
      </c>
      <c r="AK207" s="140">
        <f t="shared" si="29"/>
        <v>7.9000000000000006E-7</v>
      </c>
      <c r="AL207" s="157">
        <f t="shared" si="30"/>
        <v>1.2</v>
      </c>
      <c r="AM207" s="156">
        <f t="shared" si="31"/>
        <v>9.9999999999999995E-8</v>
      </c>
      <c r="AO207" s="140">
        <f t="shared" si="32"/>
        <v>1.5800000000000001E-5</v>
      </c>
      <c r="AP207">
        <v>1.58</v>
      </c>
      <c r="AQ207" s="140">
        <f t="shared" si="33"/>
        <v>1.5799999999999996E-7</v>
      </c>
      <c r="AR207" s="140">
        <f t="shared" si="34"/>
        <v>3.1599999999999997E-7</v>
      </c>
      <c r="AS207" s="140">
        <f t="shared" si="35"/>
        <v>4.7400000000000004E-7</v>
      </c>
      <c r="AT207" s="140">
        <f t="shared" si="36"/>
        <v>6.3200000000000005E-7</v>
      </c>
      <c r="AU207" s="140">
        <f t="shared" si="37"/>
        <v>7.9000000000000006E-7</v>
      </c>
      <c r="AV207" s="157">
        <f t="shared" si="38"/>
        <v>1.2</v>
      </c>
      <c r="AW207" s="156">
        <f t="shared" si="39"/>
        <v>9.9999999999999995E-8</v>
      </c>
      <c r="AY207" s="140">
        <f t="shared" si="40"/>
        <v>1.5800000000000001E-5</v>
      </c>
      <c r="AZ207">
        <v>1.58</v>
      </c>
      <c r="BA207" s="140">
        <f t="shared" si="41"/>
        <v>1.5799999999999996E-7</v>
      </c>
      <c r="BB207" s="140">
        <f t="shared" si="42"/>
        <v>3.1599999999999997E-7</v>
      </c>
      <c r="BC207" s="140">
        <f t="shared" si="43"/>
        <v>4.7400000000000004E-7</v>
      </c>
      <c r="BD207" s="140">
        <f t="shared" si="44"/>
        <v>6.3200000000000005E-7</v>
      </c>
      <c r="BE207" s="140">
        <f t="shared" si="45"/>
        <v>7.9000000000000006E-7</v>
      </c>
      <c r="BF207" s="157">
        <f>IF(AY207&lt;$B$89*DATA!$H$1037,DATA!$H$1037,IF(AY207&gt;DATA!$H$1036*$B$89,DATA!$H$1036,1))</f>
        <v>1.2</v>
      </c>
      <c r="BG207" s="156">
        <f t="shared" si="46"/>
        <v>9.9999999999999995E-8</v>
      </c>
      <c r="BI207" s="140">
        <f t="shared" si="47"/>
        <v>1.5800000000000001E-5</v>
      </c>
      <c r="BJ207">
        <v>1.58</v>
      </c>
      <c r="BK207" s="140">
        <f t="shared" si="48"/>
        <v>1.5799999999999996E-7</v>
      </c>
      <c r="BL207" s="140">
        <f t="shared" si="49"/>
        <v>3.1599999999999997E-7</v>
      </c>
      <c r="BM207" s="140">
        <f t="shared" si="50"/>
        <v>4.7400000000000004E-7</v>
      </c>
      <c r="BN207" s="140">
        <f t="shared" si="51"/>
        <v>6.3200000000000005E-7</v>
      </c>
      <c r="BO207" s="140">
        <f t="shared" si="52"/>
        <v>7.9000000000000006E-7</v>
      </c>
      <c r="BP207" s="157">
        <f>IF(BI207&lt;$B$105*DATA!$H$1037,DATA!$H$1037,IF(BI207&gt;DATA!$H$1036*$B$105,DATA!$H$1036,1))</f>
        <v>1.2</v>
      </c>
      <c r="BQ207" s="156">
        <f t="shared" si="53"/>
        <v>9.9999999999999995E-8</v>
      </c>
    </row>
    <row r="208" spans="1:69">
      <c r="A208" s="140">
        <f t="shared" ref="A208:A271" si="59">B208*B$136</f>
        <v>1.6000000000000003E-5</v>
      </c>
      <c r="B208">
        <v>1.6</v>
      </c>
      <c r="C208" s="140">
        <f t="shared" si="57"/>
        <v>1.5999999999999998E-7</v>
      </c>
      <c r="D208" s="140">
        <f t="shared" si="57"/>
        <v>3.2000000000000001E-7</v>
      </c>
      <c r="E208" s="140">
        <f t="shared" si="57"/>
        <v>4.8000000000000006E-7</v>
      </c>
      <c r="F208" s="140">
        <f t="shared" si="57"/>
        <v>6.4000000000000012E-7</v>
      </c>
      <c r="G208" s="140">
        <f t="shared" si="57"/>
        <v>8.0000000000000018E-7</v>
      </c>
      <c r="H208" s="124">
        <f t="shared" ref="H208:H271" si="60">IF(A208&lt;$B$9*0.8,0.8,IF(A208&gt;1.2*$B$9,1.2,1))</f>
        <v>0.8</v>
      </c>
      <c r="I208" s="156">
        <f t="shared" ref="I208:I271" si="61">IF(OR(B$134=0,B$133=0),0.0000001,IF(H208=1,B$134,A208*((B$134*B$138)/(H208*B$133)+0.023*LOG10(H208*B$133/A208))/B$138))</f>
        <v>9.9999999999999995E-8</v>
      </c>
      <c r="K208" s="140">
        <f t="shared" ref="K208:K271" si="62">L208*L$136</f>
        <v>1.6000000000000003E-5</v>
      </c>
      <c r="L208">
        <v>1.6</v>
      </c>
      <c r="M208" s="140">
        <f t="shared" ref="M208:M271" si="63">M$142*K208</f>
        <v>1.5999999999999998E-7</v>
      </c>
      <c r="N208" s="140">
        <f t="shared" ref="N208:N271" si="64">N$142*K208</f>
        <v>3.2000000000000001E-7</v>
      </c>
      <c r="O208" s="140">
        <f t="shared" ref="O208:O271" si="65">O$142*K208</f>
        <v>4.8000000000000006E-7</v>
      </c>
      <c r="P208" s="140">
        <f t="shared" si="58"/>
        <v>6.4000000000000012E-7</v>
      </c>
      <c r="Q208" s="140">
        <f t="shared" ref="Q208:Q271" si="66">Q$142*K208</f>
        <v>8.0000000000000018E-7</v>
      </c>
      <c r="R208" s="157">
        <f t="shared" ref="R208:R271" si="67">IF(K208&lt;$B$25*0.8,0.8,IF(K208&gt;1.2*$B$25,1.2,1))</f>
        <v>0.8</v>
      </c>
      <c r="S208" s="156">
        <f t="shared" ref="S208:S271" si="68">IF(OR(L$134=0,L$133=0),0.0000001,IF(R208=1,L$134,K208*((L$134*L$138)/(R208*L$133)+0.023*LOG10(R208*L$133/K208))/L$138))</f>
        <v>9.9999999999999995E-8</v>
      </c>
      <c r="U208" s="140">
        <f t="shared" ref="U208:U271" si="69">V208*V$136</f>
        <v>1.6000000000000003E-5</v>
      </c>
      <c r="V208">
        <v>1.6</v>
      </c>
      <c r="W208" s="140">
        <f t="shared" ref="W208:W271" si="70">W$142*U208</f>
        <v>1.5999999999999998E-7</v>
      </c>
      <c r="X208" s="140">
        <f t="shared" ref="X208:X271" si="71">X$142*U208</f>
        <v>3.2000000000000001E-7</v>
      </c>
      <c r="Y208" s="140">
        <f t="shared" ref="Y208:Y271" si="72">Y$142*U208</f>
        <v>4.8000000000000006E-7</v>
      </c>
      <c r="Z208" s="140">
        <f t="shared" ref="Z208:Z271" si="73">Z$142*U208</f>
        <v>6.4000000000000012E-7</v>
      </c>
      <c r="AA208" s="140">
        <f t="shared" ref="AA208:AA271" si="74">AA$142*U208</f>
        <v>8.0000000000000018E-7</v>
      </c>
      <c r="AB208" s="157">
        <f t="shared" ref="AB208:AB271" si="75">IF(U208&lt;$B$41*0.8,0.8,IF(U208&gt;1.2*$B$41,1.2,1))</f>
        <v>0.8</v>
      </c>
      <c r="AC208" s="156">
        <f t="shared" ref="AC208:AC271" si="76">IF(OR(V$134=0,V$133=0),0.0000001,IF(AB208=1,V$134,U208*((V$134*V$138)/(AB208*V$133)+0.023*LOG10(AB208*V$133/U208))/V$138))</f>
        <v>9.9999999999999995E-8</v>
      </c>
      <c r="AE208" s="140">
        <f t="shared" ref="AE208:AE271" si="77">AF208*AF$136</f>
        <v>1.6000000000000003E-5</v>
      </c>
      <c r="AF208">
        <v>1.6</v>
      </c>
      <c r="AG208" s="140">
        <f t="shared" ref="AG208:AG271" si="78">AG$142*AE208</f>
        <v>1.5999999999999998E-7</v>
      </c>
      <c r="AH208" s="140">
        <f t="shared" ref="AH208:AH271" si="79">AH$142*AE208</f>
        <v>3.2000000000000001E-7</v>
      </c>
      <c r="AI208" s="140">
        <f t="shared" ref="AI208:AI271" si="80">AI$142*AE208</f>
        <v>4.8000000000000006E-7</v>
      </c>
      <c r="AJ208" s="140">
        <f t="shared" ref="AJ208:AJ271" si="81">AJ$142*AE208</f>
        <v>6.4000000000000012E-7</v>
      </c>
      <c r="AK208" s="140">
        <f t="shared" ref="AK208:AK271" si="82">AK$142*AE208</f>
        <v>8.0000000000000018E-7</v>
      </c>
      <c r="AL208" s="157">
        <f t="shared" ref="AL208:AL271" si="83">IF(AE208&lt;$B$57*0.8,0.8,IF(AE208&gt;1.2*$B$57,1.2,1))</f>
        <v>1.2</v>
      </c>
      <c r="AM208" s="156">
        <f t="shared" ref="AM208:AM271" si="84">IF(OR(AF$134=0,AF$133=0),0.0000001,IF(AL208=1,AF$134,AE208*((AF$134*AF$138)/(AL208*AF$133)+0.023*LOG10(AL208*AF$133/AE208))/AF$138))</f>
        <v>9.9999999999999995E-8</v>
      </c>
      <c r="AO208" s="140">
        <f t="shared" ref="AO208:AO271" si="85">AP208*AP$136</f>
        <v>1.6000000000000003E-5</v>
      </c>
      <c r="AP208">
        <v>1.6</v>
      </c>
      <c r="AQ208" s="140">
        <f t="shared" ref="AQ208:AQ271" si="86">AQ$142*AO208</f>
        <v>1.5999999999999998E-7</v>
      </c>
      <c r="AR208" s="140">
        <f t="shared" ref="AR208:AR271" si="87">AR$142*AO208</f>
        <v>3.2000000000000001E-7</v>
      </c>
      <c r="AS208" s="140">
        <f t="shared" ref="AS208:AS271" si="88">AS$142*AO208</f>
        <v>4.8000000000000006E-7</v>
      </c>
      <c r="AT208" s="140">
        <f t="shared" ref="AT208:AT271" si="89">AT$142*AO208</f>
        <v>6.4000000000000012E-7</v>
      </c>
      <c r="AU208" s="140">
        <f t="shared" ref="AU208:AU271" si="90">AU$142*AO208</f>
        <v>8.0000000000000018E-7</v>
      </c>
      <c r="AV208" s="157">
        <f t="shared" ref="AV208:AV271" si="91">IF(AO208&lt;$B$73*0.8,0.8,IF(AO208&gt;1.2*$B$73,1.2,1))</f>
        <v>1.2</v>
      </c>
      <c r="AW208" s="156">
        <f t="shared" ref="AW208:AW271" si="92">IF(OR(AP$134=0,AP$133=0),0.0000001,IF(AV208=1,AP$134,AO208*((AP$134*AP$138)/(AV208*AP$133)+0.023*LOG10(AV208*AP$133/AO208))/AP$138))</f>
        <v>9.9999999999999995E-8</v>
      </c>
      <c r="AY208" s="140">
        <f t="shared" ref="AY208:AY271" si="93">AZ208*AZ$136</f>
        <v>1.6000000000000003E-5</v>
      </c>
      <c r="AZ208">
        <v>1.6</v>
      </c>
      <c r="BA208" s="140">
        <f t="shared" ref="BA208:BA271" si="94">BA$142*AY208</f>
        <v>1.5999999999999998E-7</v>
      </c>
      <c r="BB208" s="140">
        <f t="shared" ref="BB208:BB271" si="95">BB$142*AY208</f>
        <v>3.2000000000000001E-7</v>
      </c>
      <c r="BC208" s="140">
        <f t="shared" ref="BC208:BC271" si="96">BC$142*AY208</f>
        <v>4.8000000000000006E-7</v>
      </c>
      <c r="BD208" s="140">
        <f t="shared" ref="BD208:BD271" si="97">BD$142*AY208</f>
        <v>6.4000000000000012E-7</v>
      </c>
      <c r="BE208" s="140">
        <f t="shared" ref="BE208:BE271" si="98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9">IF(OR(AZ$134=0,AZ$133=0),0.0000001,IF(BF208=1,AZ$134,AY208*((AZ$134*AZ$138)/(BF208*AZ$133)+0.023*LOG10(BF208*AZ$133/AY208))/AZ$138))</f>
        <v>9.9999999999999995E-8</v>
      </c>
      <c r="BI208" s="140">
        <f t="shared" ref="BI208:BI271" si="100">BJ208*BJ$136</f>
        <v>1.6000000000000003E-5</v>
      </c>
      <c r="BJ208">
        <v>1.6</v>
      </c>
      <c r="BK208" s="140">
        <f t="shared" ref="BK208:BK271" si="101">BK$142*BI208</f>
        <v>1.5999999999999998E-7</v>
      </c>
      <c r="BL208" s="140">
        <f t="shared" ref="BL208:BL271" si="102">BL$142*BI208</f>
        <v>3.2000000000000001E-7</v>
      </c>
      <c r="BM208" s="140">
        <f t="shared" ref="BM208:BM271" si="103">BM$142*BI208</f>
        <v>4.8000000000000006E-7</v>
      </c>
      <c r="BN208" s="140">
        <f t="shared" ref="BN208:BN271" si="104">BN$142*BI208</f>
        <v>6.4000000000000012E-7</v>
      </c>
      <c r="BO208" s="140">
        <f t="shared" ref="BO208:BO271" si="105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106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9"/>
        <v>1.6200000000000001E-5</v>
      </c>
      <c r="B209">
        <v>1.62</v>
      </c>
      <c r="C209" s="140">
        <f t="shared" si="57"/>
        <v>1.6199999999999994E-7</v>
      </c>
      <c r="D209" s="140">
        <f t="shared" si="57"/>
        <v>3.2399999999999999E-7</v>
      </c>
      <c r="E209" s="140">
        <f t="shared" si="57"/>
        <v>4.8599999999999998E-7</v>
      </c>
      <c r="F209" s="140">
        <f t="shared" si="57"/>
        <v>6.4800000000000009E-7</v>
      </c>
      <c r="G209" s="140">
        <f t="shared" si="57"/>
        <v>8.1000000000000008E-7</v>
      </c>
      <c r="H209" s="124">
        <f t="shared" si="60"/>
        <v>0.8</v>
      </c>
      <c r="I209" s="156">
        <f t="shared" si="61"/>
        <v>9.9999999999999995E-8</v>
      </c>
      <c r="K209" s="140">
        <f t="shared" si="62"/>
        <v>1.6200000000000001E-5</v>
      </c>
      <c r="L209">
        <v>1.62</v>
      </c>
      <c r="M209" s="140">
        <f t="shared" si="63"/>
        <v>1.6199999999999994E-7</v>
      </c>
      <c r="N209" s="140">
        <f t="shared" si="64"/>
        <v>3.2399999999999999E-7</v>
      </c>
      <c r="O209" s="140">
        <f t="shared" si="65"/>
        <v>4.8599999999999998E-7</v>
      </c>
      <c r="P209" s="140">
        <f t="shared" si="58"/>
        <v>6.4800000000000009E-7</v>
      </c>
      <c r="Q209" s="140">
        <f t="shared" si="66"/>
        <v>8.1000000000000008E-7</v>
      </c>
      <c r="R209" s="157">
        <f t="shared" si="67"/>
        <v>0.8</v>
      </c>
      <c r="S209" s="156">
        <f t="shared" si="68"/>
        <v>9.9999999999999995E-8</v>
      </c>
      <c r="U209" s="140">
        <f t="shared" si="69"/>
        <v>1.6200000000000001E-5</v>
      </c>
      <c r="V209">
        <v>1.62</v>
      </c>
      <c r="W209" s="140">
        <f t="shared" si="70"/>
        <v>1.6199999999999994E-7</v>
      </c>
      <c r="X209" s="140">
        <f t="shared" si="71"/>
        <v>3.2399999999999999E-7</v>
      </c>
      <c r="Y209" s="140">
        <f t="shared" si="72"/>
        <v>4.8599999999999998E-7</v>
      </c>
      <c r="Z209" s="140">
        <f t="shared" si="73"/>
        <v>6.4800000000000009E-7</v>
      </c>
      <c r="AA209" s="140">
        <f t="shared" si="74"/>
        <v>8.1000000000000008E-7</v>
      </c>
      <c r="AB209" s="157">
        <f t="shared" si="75"/>
        <v>0.8</v>
      </c>
      <c r="AC209" s="156">
        <f t="shared" si="76"/>
        <v>9.9999999999999995E-8</v>
      </c>
      <c r="AE209" s="140">
        <f t="shared" si="77"/>
        <v>1.6200000000000001E-5</v>
      </c>
      <c r="AF209">
        <v>1.62</v>
      </c>
      <c r="AG209" s="140">
        <f t="shared" si="78"/>
        <v>1.6199999999999994E-7</v>
      </c>
      <c r="AH209" s="140">
        <f t="shared" si="79"/>
        <v>3.2399999999999999E-7</v>
      </c>
      <c r="AI209" s="140">
        <f t="shared" si="80"/>
        <v>4.8599999999999998E-7</v>
      </c>
      <c r="AJ209" s="140">
        <f t="shared" si="81"/>
        <v>6.4800000000000009E-7</v>
      </c>
      <c r="AK209" s="140">
        <f t="shared" si="82"/>
        <v>8.1000000000000008E-7</v>
      </c>
      <c r="AL209" s="157">
        <f t="shared" si="83"/>
        <v>1.2</v>
      </c>
      <c r="AM209" s="156">
        <f t="shared" si="84"/>
        <v>9.9999999999999995E-8</v>
      </c>
      <c r="AO209" s="140">
        <f t="shared" si="85"/>
        <v>1.6200000000000001E-5</v>
      </c>
      <c r="AP209">
        <v>1.62</v>
      </c>
      <c r="AQ209" s="140">
        <f t="shared" si="86"/>
        <v>1.6199999999999994E-7</v>
      </c>
      <c r="AR209" s="140">
        <f t="shared" si="87"/>
        <v>3.2399999999999999E-7</v>
      </c>
      <c r="AS209" s="140">
        <f t="shared" si="88"/>
        <v>4.8599999999999998E-7</v>
      </c>
      <c r="AT209" s="140">
        <f t="shared" si="89"/>
        <v>6.4800000000000009E-7</v>
      </c>
      <c r="AU209" s="140">
        <f t="shared" si="90"/>
        <v>8.1000000000000008E-7</v>
      </c>
      <c r="AV209" s="157">
        <f t="shared" si="91"/>
        <v>1.2</v>
      </c>
      <c r="AW209" s="156">
        <f t="shared" si="92"/>
        <v>9.9999999999999995E-8</v>
      </c>
      <c r="AY209" s="140">
        <f t="shared" si="93"/>
        <v>1.6200000000000001E-5</v>
      </c>
      <c r="AZ209">
        <v>1.62</v>
      </c>
      <c r="BA209" s="140">
        <f t="shared" si="94"/>
        <v>1.6199999999999994E-7</v>
      </c>
      <c r="BB209" s="140">
        <f t="shared" si="95"/>
        <v>3.2399999999999999E-7</v>
      </c>
      <c r="BC209" s="140">
        <f t="shared" si="96"/>
        <v>4.8599999999999998E-7</v>
      </c>
      <c r="BD209" s="140">
        <f t="shared" si="97"/>
        <v>6.4800000000000009E-7</v>
      </c>
      <c r="BE209" s="140">
        <f t="shared" si="98"/>
        <v>8.1000000000000008E-7</v>
      </c>
      <c r="BF209" s="157">
        <f>IF(AY209&lt;$B$89*DATA!$H$1037,DATA!$H$1037,IF(AY209&gt;DATA!$H$1036*$B$89,DATA!$H$1036,1))</f>
        <v>1.2</v>
      </c>
      <c r="BG209" s="156">
        <f t="shared" si="99"/>
        <v>9.9999999999999995E-8</v>
      </c>
      <c r="BI209" s="140">
        <f t="shared" si="100"/>
        <v>1.6200000000000001E-5</v>
      </c>
      <c r="BJ209">
        <v>1.62</v>
      </c>
      <c r="BK209" s="140">
        <f t="shared" si="101"/>
        <v>1.6199999999999994E-7</v>
      </c>
      <c r="BL209" s="140">
        <f t="shared" si="102"/>
        <v>3.2399999999999999E-7</v>
      </c>
      <c r="BM209" s="140">
        <f t="shared" si="103"/>
        <v>4.8599999999999998E-7</v>
      </c>
      <c r="BN209" s="140">
        <f t="shared" si="104"/>
        <v>6.4800000000000009E-7</v>
      </c>
      <c r="BO209" s="140">
        <f t="shared" si="105"/>
        <v>8.1000000000000008E-7</v>
      </c>
      <c r="BP209" s="157">
        <f>IF(BI209&lt;$B$105*DATA!$H$1037,DATA!$H$1037,IF(BI209&gt;DATA!$H$1036*$B$105,DATA!$H$1036,1))</f>
        <v>1.2</v>
      </c>
      <c r="BQ209" s="156">
        <f t="shared" si="106"/>
        <v>9.9999999999999995E-8</v>
      </c>
    </row>
    <row r="210" spans="1:69">
      <c r="A210" s="140">
        <f t="shared" si="59"/>
        <v>1.6399999999999999E-5</v>
      </c>
      <c r="B210">
        <v>1.64</v>
      </c>
      <c r="C210" s="140">
        <f t="shared" si="57"/>
        <v>1.6399999999999993E-7</v>
      </c>
      <c r="D210" s="140">
        <f t="shared" si="57"/>
        <v>3.2799999999999992E-7</v>
      </c>
      <c r="E210" s="140">
        <f t="shared" si="57"/>
        <v>4.9199999999999991E-7</v>
      </c>
      <c r="F210" s="140">
        <f t="shared" si="57"/>
        <v>6.5599999999999994E-7</v>
      </c>
      <c r="G210" s="140">
        <f t="shared" si="57"/>
        <v>8.1999999999999998E-7</v>
      </c>
      <c r="H210" s="124">
        <f t="shared" si="60"/>
        <v>0.8</v>
      </c>
      <c r="I210" s="156">
        <f t="shared" si="61"/>
        <v>9.9999999999999995E-8</v>
      </c>
      <c r="K210" s="140">
        <f t="shared" si="62"/>
        <v>1.6399999999999999E-5</v>
      </c>
      <c r="L210">
        <v>1.64</v>
      </c>
      <c r="M210" s="140">
        <f t="shared" si="63"/>
        <v>1.6399999999999993E-7</v>
      </c>
      <c r="N210" s="140">
        <f t="shared" si="64"/>
        <v>3.2799999999999992E-7</v>
      </c>
      <c r="O210" s="140">
        <f t="shared" si="65"/>
        <v>4.9199999999999991E-7</v>
      </c>
      <c r="P210" s="140">
        <f t="shared" si="58"/>
        <v>6.5599999999999994E-7</v>
      </c>
      <c r="Q210" s="140">
        <f t="shared" si="66"/>
        <v>8.1999999999999998E-7</v>
      </c>
      <c r="R210" s="157">
        <f t="shared" si="67"/>
        <v>0.8</v>
      </c>
      <c r="S210" s="156">
        <f t="shared" si="68"/>
        <v>9.9999999999999995E-8</v>
      </c>
      <c r="U210" s="140">
        <f t="shared" si="69"/>
        <v>1.6399999999999999E-5</v>
      </c>
      <c r="V210">
        <v>1.64</v>
      </c>
      <c r="W210" s="140">
        <f t="shared" si="70"/>
        <v>1.6399999999999993E-7</v>
      </c>
      <c r="X210" s="140">
        <f t="shared" si="71"/>
        <v>3.2799999999999992E-7</v>
      </c>
      <c r="Y210" s="140">
        <f t="shared" si="72"/>
        <v>4.9199999999999991E-7</v>
      </c>
      <c r="Z210" s="140">
        <f t="shared" si="73"/>
        <v>6.5599999999999994E-7</v>
      </c>
      <c r="AA210" s="140">
        <f t="shared" si="74"/>
        <v>8.1999999999999998E-7</v>
      </c>
      <c r="AB210" s="157">
        <f t="shared" si="75"/>
        <v>0.8</v>
      </c>
      <c r="AC210" s="156">
        <f t="shared" si="76"/>
        <v>9.9999999999999995E-8</v>
      </c>
      <c r="AE210" s="140">
        <f t="shared" si="77"/>
        <v>1.6399999999999999E-5</v>
      </c>
      <c r="AF210">
        <v>1.64</v>
      </c>
      <c r="AG210" s="140">
        <f t="shared" si="78"/>
        <v>1.6399999999999993E-7</v>
      </c>
      <c r="AH210" s="140">
        <f t="shared" si="79"/>
        <v>3.2799999999999992E-7</v>
      </c>
      <c r="AI210" s="140">
        <f t="shared" si="80"/>
        <v>4.9199999999999991E-7</v>
      </c>
      <c r="AJ210" s="140">
        <f t="shared" si="81"/>
        <v>6.5599999999999994E-7</v>
      </c>
      <c r="AK210" s="140">
        <f t="shared" si="82"/>
        <v>8.1999999999999998E-7</v>
      </c>
      <c r="AL210" s="157">
        <f t="shared" si="83"/>
        <v>1.2</v>
      </c>
      <c r="AM210" s="156">
        <f t="shared" si="84"/>
        <v>9.9999999999999995E-8</v>
      </c>
      <c r="AO210" s="140">
        <f t="shared" si="85"/>
        <v>1.6399999999999999E-5</v>
      </c>
      <c r="AP210">
        <v>1.64</v>
      </c>
      <c r="AQ210" s="140">
        <f t="shared" si="86"/>
        <v>1.6399999999999993E-7</v>
      </c>
      <c r="AR210" s="140">
        <f t="shared" si="87"/>
        <v>3.2799999999999992E-7</v>
      </c>
      <c r="AS210" s="140">
        <f t="shared" si="88"/>
        <v>4.9199999999999991E-7</v>
      </c>
      <c r="AT210" s="140">
        <f t="shared" si="89"/>
        <v>6.5599999999999994E-7</v>
      </c>
      <c r="AU210" s="140">
        <f t="shared" si="90"/>
        <v>8.1999999999999998E-7</v>
      </c>
      <c r="AV210" s="157">
        <f t="shared" si="91"/>
        <v>1.2</v>
      </c>
      <c r="AW210" s="156">
        <f t="shared" si="92"/>
        <v>9.9999999999999995E-8</v>
      </c>
      <c r="AY210" s="140">
        <f t="shared" si="93"/>
        <v>1.6399999999999999E-5</v>
      </c>
      <c r="AZ210">
        <v>1.64</v>
      </c>
      <c r="BA210" s="140">
        <f t="shared" si="94"/>
        <v>1.6399999999999993E-7</v>
      </c>
      <c r="BB210" s="140">
        <f t="shared" si="95"/>
        <v>3.2799999999999992E-7</v>
      </c>
      <c r="BC210" s="140">
        <f t="shared" si="96"/>
        <v>4.9199999999999991E-7</v>
      </c>
      <c r="BD210" s="140">
        <f t="shared" si="97"/>
        <v>6.5599999999999994E-7</v>
      </c>
      <c r="BE210" s="140">
        <f t="shared" si="98"/>
        <v>8.1999999999999998E-7</v>
      </c>
      <c r="BF210" s="157">
        <f>IF(AY210&lt;$B$89*DATA!$H$1037,DATA!$H$1037,IF(AY210&gt;DATA!$H$1036*$B$89,DATA!$H$1036,1))</f>
        <v>1.2</v>
      </c>
      <c r="BG210" s="156">
        <f t="shared" si="99"/>
        <v>9.9999999999999995E-8</v>
      </c>
      <c r="BI210" s="140">
        <f t="shared" si="100"/>
        <v>1.6399999999999999E-5</v>
      </c>
      <c r="BJ210">
        <v>1.64</v>
      </c>
      <c r="BK210" s="140">
        <f t="shared" si="101"/>
        <v>1.6399999999999993E-7</v>
      </c>
      <c r="BL210" s="140">
        <f t="shared" si="102"/>
        <v>3.2799999999999992E-7</v>
      </c>
      <c r="BM210" s="140">
        <f t="shared" si="103"/>
        <v>4.9199999999999991E-7</v>
      </c>
      <c r="BN210" s="140">
        <f t="shared" si="104"/>
        <v>6.5599999999999994E-7</v>
      </c>
      <c r="BO210" s="140">
        <f t="shared" si="105"/>
        <v>8.1999999999999998E-7</v>
      </c>
      <c r="BP210" s="157">
        <f>IF(BI210&lt;$B$105*DATA!$H$1037,DATA!$H$1037,IF(BI210&gt;DATA!$H$1036*$B$105,DATA!$H$1036,1))</f>
        <v>1.2</v>
      </c>
      <c r="BQ210" s="156">
        <f t="shared" si="106"/>
        <v>9.9999999999999995E-8</v>
      </c>
    </row>
    <row r="211" spans="1:69">
      <c r="A211" s="140">
        <f t="shared" si="59"/>
        <v>1.66E-5</v>
      </c>
      <c r="B211">
        <v>1.66</v>
      </c>
      <c r="C211" s="140">
        <f t="shared" si="57"/>
        <v>1.6599999999999995E-7</v>
      </c>
      <c r="D211" s="140">
        <f t="shared" si="57"/>
        <v>3.3199999999999996E-7</v>
      </c>
      <c r="E211" s="140">
        <f t="shared" si="57"/>
        <v>4.9800000000000004E-7</v>
      </c>
      <c r="F211" s="140">
        <f t="shared" si="57"/>
        <v>6.6400000000000002E-7</v>
      </c>
      <c r="G211" s="140">
        <f t="shared" si="57"/>
        <v>8.300000000000001E-7</v>
      </c>
      <c r="H211" s="124">
        <f t="shared" si="60"/>
        <v>0.8</v>
      </c>
      <c r="I211" s="156">
        <f t="shared" si="61"/>
        <v>9.9999999999999995E-8</v>
      </c>
      <c r="K211" s="140">
        <f t="shared" si="62"/>
        <v>1.66E-5</v>
      </c>
      <c r="L211">
        <v>1.66</v>
      </c>
      <c r="M211" s="140">
        <f t="shared" si="63"/>
        <v>1.6599999999999995E-7</v>
      </c>
      <c r="N211" s="140">
        <f t="shared" si="64"/>
        <v>3.3199999999999996E-7</v>
      </c>
      <c r="O211" s="140">
        <f t="shared" si="65"/>
        <v>4.9800000000000004E-7</v>
      </c>
      <c r="P211" s="140">
        <f t="shared" si="58"/>
        <v>6.6400000000000002E-7</v>
      </c>
      <c r="Q211" s="140">
        <f t="shared" si="66"/>
        <v>8.300000000000001E-7</v>
      </c>
      <c r="R211" s="157">
        <f t="shared" si="67"/>
        <v>0.8</v>
      </c>
      <c r="S211" s="156">
        <f t="shared" si="68"/>
        <v>9.9999999999999995E-8</v>
      </c>
      <c r="U211" s="140">
        <f t="shared" si="69"/>
        <v>1.66E-5</v>
      </c>
      <c r="V211">
        <v>1.66</v>
      </c>
      <c r="W211" s="140">
        <f t="shared" si="70"/>
        <v>1.6599999999999995E-7</v>
      </c>
      <c r="X211" s="140">
        <f t="shared" si="71"/>
        <v>3.3199999999999996E-7</v>
      </c>
      <c r="Y211" s="140">
        <f t="shared" si="72"/>
        <v>4.9800000000000004E-7</v>
      </c>
      <c r="Z211" s="140">
        <f t="shared" si="73"/>
        <v>6.6400000000000002E-7</v>
      </c>
      <c r="AA211" s="140">
        <f t="shared" si="74"/>
        <v>8.300000000000001E-7</v>
      </c>
      <c r="AB211" s="157">
        <f t="shared" si="75"/>
        <v>0.8</v>
      </c>
      <c r="AC211" s="156">
        <f t="shared" si="76"/>
        <v>9.9999999999999995E-8</v>
      </c>
      <c r="AE211" s="140">
        <f t="shared" si="77"/>
        <v>1.66E-5</v>
      </c>
      <c r="AF211">
        <v>1.66</v>
      </c>
      <c r="AG211" s="140">
        <f t="shared" si="78"/>
        <v>1.6599999999999995E-7</v>
      </c>
      <c r="AH211" s="140">
        <f t="shared" si="79"/>
        <v>3.3199999999999996E-7</v>
      </c>
      <c r="AI211" s="140">
        <f t="shared" si="80"/>
        <v>4.9800000000000004E-7</v>
      </c>
      <c r="AJ211" s="140">
        <f t="shared" si="81"/>
        <v>6.6400000000000002E-7</v>
      </c>
      <c r="AK211" s="140">
        <f t="shared" si="82"/>
        <v>8.300000000000001E-7</v>
      </c>
      <c r="AL211" s="157">
        <f t="shared" si="83"/>
        <v>1.2</v>
      </c>
      <c r="AM211" s="156">
        <f t="shared" si="84"/>
        <v>9.9999999999999995E-8</v>
      </c>
      <c r="AO211" s="140">
        <f t="shared" si="85"/>
        <v>1.66E-5</v>
      </c>
      <c r="AP211">
        <v>1.66</v>
      </c>
      <c r="AQ211" s="140">
        <f t="shared" si="86"/>
        <v>1.6599999999999995E-7</v>
      </c>
      <c r="AR211" s="140">
        <f t="shared" si="87"/>
        <v>3.3199999999999996E-7</v>
      </c>
      <c r="AS211" s="140">
        <f t="shared" si="88"/>
        <v>4.9800000000000004E-7</v>
      </c>
      <c r="AT211" s="140">
        <f t="shared" si="89"/>
        <v>6.6400000000000002E-7</v>
      </c>
      <c r="AU211" s="140">
        <f t="shared" si="90"/>
        <v>8.300000000000001E-7</v>
      </c>
      <c r="AV211" s="157">
        <f t="shared" si="91"/>
        <v>1.2</v>
      </c>
      <c r="AW211" s="156">
        <f t="shared" si="92"/>
        <v>9.9999999999999995E-8</v>
      </c>
      <c r="AY211" s="140">
        <f t="shared" si="93"/>
        <v>1.66E-5</v>
      </c>
      <c r="AZ211">
        <v>1.66</v>
      </c>
      <c r="BA211" s="140">
        <f t="shared" si="94"/>
        <v>1.6599999999999995E-7</v>
      </c>
      <c r="BB211" s="140">
        <f t="shared" si="95"/>
        <v>3.3199999999999996E-7</v>
      </c>
      <c r="BC211" s="140">
        <f t="shared" si="96"/>
        <v>4.9800000000000004E-7</v>
      </c>
      <c r="BD211" s="140">
        <f t="shared" si="97"/>
        <v>6.6400000000000002E-7</v>
      </c>
      <c r="BE211" s="140">
        <f t="shared" si="98"/>
        <v>8.300000000000001E-7</v>
      </c>
      <c r="BF211" s="157">
        <f>IF(AY211&lt;$B$89*DATA!$H$1037,DATA!$H$1037,IF(AY211&gt;DATA!$H$1036*$B$89,DATA!$H$1036,1))</f>
        <v>1.2</v>
      </c>
      <c r="BG211" s="156">
        <f t="shared" si="99"/>
        <v>9.9999999999999995E-8</v>
      </c>
      <c r="BI211" s="140">
        <f t="shared" si="100"/>
        <v>1.66E-5</v>
      </c>
      <c r="BJ211">
        <v>1.66</v>
      </c>
      <c r="BK211" s="140">
        <f t="shared" si="101"/>
        <v>1.6599999999999995E-7</v>
      </c>
      <c r="BL211" s="140">
        <f t="shared" si="102"/>
        <v>3.3199999999999996E-7</v>
      </c>
      <c r="BM211" s="140">
        <f t="shared" si="103"/>
        <v>4.9800000000000004E-7</v>
      </c>
      <c r="BN211" s="140">
        <f t="shared" si="104"/>
        <v>6.6400000000000002E-7</v>
      </c>
      <c r="BO211" s="140">
        <f t="shared" si="105"/>
        <v>8.300000000000001E-7</v>
      </c>
      <c r="BP211" s="157">
        <f>IF(BI211&lt;$B$105*DATA!$H$1037,DATA!$H$1037,IF(BI211&gt;DATA!$H$1036*$B$105,DATA!$H$1036,1))</f>
        <v>1.2</v>
      </c>
      <c r="BQ211" s="156">
        <f t="shared" si="106"/>
        <v>9.9999999999999995E-8</v>
      </c>
    </row>
    <row r="212" spans="1:69">
      <c r="A212" s="140">
        <f t="shared" si="59"/>
        <v>1.6800000000000002E-5</v>
      </c>
      <c r="B212">
        <v>1.68</v>
      </c>
      <c r="C212" s="140">
        <f t="shared" si="57"/>
        <v>1.6799999999999997E-7</v>
      </c>
      <c r="D212" s="140">
        <f t="shared" si="57"/>
        <v>3.3599999999999999E-7</v>
      </c>
      <c r="E212" s="140">
        <f t="shared" si="57"/>
        <v>5.0400000000000007E-7</v>
      </c>
      <c r="F212" s="140">
        <f t="shared" si="57"/>
        <v>6.7200000000000009E-7</v>
      </c>
      <c r="G212" s="140">
        <f t="shared" si="57"/>
        <v>8.4000000000000011E-7</v>
      </c>
      <c r="H212" s="124">
        <f t="shared" si="60"/>
        <v>0.8</v>
      </c>
      <c r="I212" s="156">
        <f t="shared" si="61"/>
        <v>9.9999999999999995E-8</v>
      </c>
      <c r="K212" s="140">
        <f t="shared" si="62"/>
        <v>1.6800000000000002E-5</v>
      </c>
      <c r="L212">
        <v>1.68</v>
      </c>
      <c r="M212" s="140">
        <f t="shared" si="63"/>
        <v>1.6799999999999997E-7</v>
      </c>
      <c r="N212" s="140">
        <f t="shared" si="64"/>
        <v>3.3599999999999999E-7</v>
      </c>
      <c r="O212" s="140">
        <f t="shared" si="65"/>
        <v>5.0400000000000007E-7</v>
      </c>
      <c r="P212" s="140">
        <f t="shared" si="58"/>
        <v>6.7200000000000009E-7</v>
      </c>
      <c r="Q212" s="140">
        <f t="shared" si="66"/>
        <v>8.4000000000000011E-7</v>
      </c>
      <c r="R212" s="157">
        <f t="shared" si="67"/>
        <v>0.8</v>
      </c>
      <c r="S212" s="156">
        <f t="shared" si="68"/>
        <v>9.9999999999999995E-8</v>
      </c>
      <c r="U212" s="140">
        <f t="shared" si="69"/>
        <v>1.6800000000000002E-5</v>
      </c>
      <c r="V212">
        <v>1.68</v>
      </c>
      <c r="W212" s="140">
        <f t="shared" si="70"/>
        <v>1.6799999999999997E-7</v>
      </c>
      <c r="X212" s="140">
        <f t="shared" si="71"/>
        <v>3.3599999999999999E-7</v>
      </c>
      <c r="Y212" s="140">
        <f t="shared" si="72"/>
        <v>5.0400000000000007E-7</v>
      </c>
      <c r="Z212" s="140">
        <f t="shared" si="73"/>
        <v>6.7200000000000009E-7</v>
      </c>
      <c r="AA212" s="140">
        <f t="shared" si="74"/>
        <v>8.4000000000000011E-7</v>
      </c>
      <c r="AB212" s="157">
        <f t="shared" si="75"/>
        <v>0.8</v>
      </c>
      <c r="AC212" s="156">
        <f t="shared" si="76"/>
        <v>9.9999999999999995E-8</v>
      </c>
      <c r="AE212" s="140">
        <f t="shared" si="77"/>
        <v>1.6800000000000002E-5</v>
      </c>
      <c r="AF212">
        <v>1.68</v>
      </c>
      <c r="AG212" s="140">
        <f t="shared" si="78"/>
        <v>1.6799999999999997E-7</v>
      </c>
      <c r="AH212" s="140">
        <f t="shared" si="79"/>
        <v>3.3599999999999999E-7</v>
      </c>
      <c r="AI212" s="140">
        <f t="shared" si="80"/>
        <v>5.0400000000000007E-7</v>
      </c>
      <c r="AJ212" s="140">
        <f t="shared" si="81"/>
        <v>6.7200000000000009E-7</v>
      </c>
      <c r="AK212" s="140">
        <f t="shared" si="82"/>
        <v>8.4000000000000011E-7</v>
      </c>
      <c r="AL212" s="157">
        <f t="shared" si="83"/>
        <v>1.2</v>
      </c>
      <c r="AM212" s="156">
        <f t="shared" si="84"/>
        <v>9.9999999999999995E-8</v>
      </c>
      <c r="AO212" s="140">
        <f t="shared" si="85"/>
        <v>1.6800000000000002E-5</v>
      </c>
      <c r="AP212">
        <v>1.68</v>
      </c>
      <c r="AQ212" s="140">
        <f t="shared" si="86"/>
        <v>1.6799999999999997E-7</v>
      </c>
      <c r="AR212" s="140">
        <f t="shared" si="87"/>
        <v>3.3599999999999999E-7</v>
      </c>
      <c r="AS212" s="140">
        <f t="shared" si="88"/>
        <v>5.0400000000000007E-7</v>
      </c>
      <c r="AT212" s="140">
        <f t="shared" si="89"/>
        <v>6.7200000000000009E-7</v>
      </c>
      <c r="AU212" s="140">
        <f t="shared" si="90"/>
        <v>8.4000000000000011E-7</v>
      </c>
      <c r="AV212" s="157">
        <f t="shared" si="91"/>
        <v>1.2</v>
      </c>
      <c r="AW212" s="156">
        <f t="shared" si="92"/>
        <v>9.9999999999999995E-8</v>
      </c>
      <c r="AY212" s="140">
        <f t="shared" si="93"/>
        <v>1.6800000000000002E-5</v>
      </c>
      <c r="AZ212">
        <v>1.68</v>
      </c>
      <c r="BA212" s="140">
        <f t="shared" si="94"/>
        <v>1.6799999999999997E-7</v>
      </c>
      <c r="BB212" s="140">
        <f t="shared" si="95"/>
        <v>3.3599999999999999E-7</v>
      </c>
      <c r="BC212" s="140">
        <f t="shared" si="96"/>
        <v>5.0400000000000007E-7</v>
      </c>
      <c r="BD212" s="140">
        <f t="shared" si="97"/>
        <v>6.7200000000000009E-7</v>
      </c>
      <c r="BE212" s="140">
        <f t="shared" si="98"/>
        <v>8.4000000000000011E-7</v>
      </c>
      <c r="BF212" s="157">
        <f>IF(AY212&lt;$B$89*DATA!$H$1037,DATA!$H$1037,IF(AY212&gt;DATA!$H$1036*$B$89,DATA!$H$1036,1))</f>
        <v>1.2</v>
      </c>
      <c r="BG212" s="156">
        <f t="shared" si="99"/>
        <v>9.9999999999999995E-8</v>
      </c>
      <c r="BI212" s="140">
        <f t="shared" si="100"/>
        <v>1.6800000000000002E-5</v>
      </c>
      <c r="BJ212">
        <v>1.68</v>
      </c>
      <c r="BK212" s="140">
        <f t="shared" si="101"/>
        <v>1.6799999999999997E-7</v>
      </c>
      <c r="BL212" s="140">
        <f t="shared" si="102"/>
        <v>3.3599999999999999E-7</v>
      </c>
      <c r="BM212" s="140">
        <f t="shared" si="103"/>
        <v>5.0400000000000007E-7</v>
      </c>
      <c r="BN212" s="140">
        <f t="shared" si="104"/>
        <v>6.7200000000000009E-7</v>
      </c>
      <c r="BO212" s="140">
        <f t="shared" si="105"/>
        <v>8.4000000000000011E-7</v>
      </c>
      <c r="BP212" s="157">
        <f>IF(BI212&lt;$B$105*DATA!$H$1037,DATA!$H$1037,IF(BI212&gt;DATA!$H$1036*$B$105,DATA!$H$1036,1))</f>
        <v>1.2</v>
      </c>
      <c r="BQ212" s="156">
        <f t="shared" si="106"/>
        <v>9.9999999999999995E-8</v>
      </c>
    </row>
    <row r="213" spans="1:69">
      <c r="A213" s="140">
        <f t="shared" si="59"/>
        <v>1.7E-5</v>
      </c>
      <c r="B213">
        <v>1.7</v>
      </c>
      <c r="C213" s="140">
        <f t="shared" si="57"/>
        <v>1.6999999999999993E-7</v>
      </c>
      <c r="D213" s="140">
        <f t="shared" si="57"/>
        <v>3.3999999999999992E-7</v>
      </c>
      <c r="E213" s="140">
        <f t="shared" si="57"/>
        <v>5.0999999999999999E-7</v>
      </c>
      <c r="F213" s="140">
        <f t="shared" si="57"/>
        <v>6.8000000000000005E-7</v>
      </c>
      <c r="G213" s="140">
        <f t="shared" si="57"/>
        <v>8.5000000000000001E-7</v>
      </c>
      <c r="H213" s="124">
        <f t="shared" si="60"/>
        <v>0.8</v>
      </c>
      <c r="I213" s="156">
        <f t="shared" si="61"/>
        <v>9.9999999999999995E-8</v>
      </c>
      <c r="K213" s="140">
        <f t="shared" si="62"/>
        <v>1.7E-5</v>
      </c>
      <c r="L213">
        <v>1.7</v>
      </c>
      <c r="M213" s="140">
        <f t="shared" si="63"/>
        <v>1.6999999999999993E-7</v>
      </c>
      <c r="N213" s="140">
        <f t="shared" si="64"/>
        <v>3.3999999999999992E-7</v>
      </c>
      <c r="O213" s="140">
        <f t="shared" si="65"/>
        <v>5.0999999999999999E-7</v>
      </c>
      <c r="P213" s="140">
        <f t="shared" si="58"/>
        <v>6.8000000000000005E-7</v>
      </c>
      <c r="Q213" s="140">
        <f t="shared" si="66"/>
        <v>8.5000000000000001E-7</v>
      </c>
      <c r="R213" s="157">
        <f t="shared" si="67"/>
        <v>0.8</v>
      </c>
      <c r="S213" s="156">
        <f t="shared" si="68"/>
        <v>9.9999999999999995E-8</v>
      </c>
      <c r="U213" s="140">
        <f t="shared" si="69"/>
        <v>1.7E-5</v>
      </c>
      <c r="V213">
        <v>1.7</v>
      </c>
      <c r="W213" s="140">
        <f t="shared" si="70"/>
        <v>1.6999999999999993E-7</v>
      </c>
      <c r="X213" s="140">
        <f t="shared" si="71"/>
        <v>3.3999999999999992E-7</v>
      </c>
      <c r="Y213" s="140">
        <f t="shared" si="72"/>
        <v>5.0999999999999999E-7</v>
      </c>
      <c r="Z213" s="140">
        <f t="shared" si="73"/>
        <v>6.8000000000000005E-7</v>
      </c>
      <c r="AA213" s="140">
        <f t="shared" si="74"/>
        <v>8.5000000000000001E-7</v>
      </c>
      <c r="AB213" s="157">
        <f t="shared" si="75"/>
        <v>0.8</v>
      </c>
      <c r="AC213" s="156">
        <f t="shared" si="76"/>
        <v>9.9999999999999995E-8</v>
      </c>
      <c r="AE213" s="140">
        <f t="shared" si="77"/>
        <v>1.7E-5</v>
      </c>
      <c r="AF213">
        <v>1.7</v>
      </c>
      <c r="AG213" s="140">
        <f t="shared" si="78"/>
        <v>1.6999999999999993E-7</v>
      </c>
      <c r="AH213" s="140">
        <f t="shared" si="79"/>
        <v>3.3999999999999992E-7</v>
      </c>
      <c r="AI213" s="140">
        <f t="shared" si="80"/>
        <v>5.0999999999999999E-7</v>
      </c>
      <c r="AJ213" s="140">
        <f t="shared" si="81"/>
        <v>6.8000000000000005E-7</v>
      </c>
      <c r="AK213" s="140">
        <f t="shared" si="82"/>
        <v>8.5000000000000001E-7</v>
      </c>
      <c r="AL213" s="157">
        <f t="shared" si="83"/>
        <v>1.2</v>
      </c>
      <c r="AM213" s="156">
        <f t="shared" si="84"/>
        <v>9.9999999999999995E-8</v>
      </c>
      <c r="AO213" s="140">
        <f t="shared" si="85"/>
        <v>1.7E-5</v>
      </c>
      <c r="AP213">
        <v>1.7</v>
      </c>
      <c r="AQ213" s="140">
        <f t="shared" si="86"/>
        <v>1.6999999999999993E-7</v>
      </c>
      <c r="AR213" s="140">
        <f t="shared" si="87"/>
        <v>3.3999999999999992E-7</v>
      </c>
      <c r="AS213" s="140">
        <f t="shared" si="88"/>
        <v>5.0999999999999999E-7</v>
      </c>
      <c r="AT213" s="140">
        <f t="shared" si="89"/>
        <v>6.8000000000000005E-7</v>
      </c>
      <c r="AU213" s="140">
        <f t="shared" si="90"/>
        <v>8.5000000000000001E-7</v>
      </c>
      <c r="AV213" s="157">
        <f t="shared" si="91"/>
        <v>1.2</v>
      </c>
      <c r="AW213" s="156">
        <f t="shared" si="92"/>
        <v>9.9999999999999995E-8</v>
      </c>
      <c r="AY213" s="140">
        <f t="shared" si="93"/>
        <v>1.7E-5</v>
      </c>
      <c r="AZ213">
        <v>1.7</v>
      </c>
      <c r="BA213" s="140">
        <f t="shared" si="94"/>
        <v>1.6999999999999993E-7</v>
      </c>
      <c r="BB213" s="140">
        <f t="shared" si="95"/>
        <v>3.3999999999999992E-7</v>
      </c>
      <c r="BC213" s="140">
        <f t="shared" si="96"/>
        <v>5.0999999999999999E-7</v>
      </c>
      <c r="BD213" s="140">
        <f t="shared" si="97"/>
        <v>6.8000000000000005E-7</v>
      </c>
      <c r="BE213" s="140">
        <f t="shared" si="98"/>
        <v>8.5000000000000001E-7</v>
      </c>
      <c r="BF213" s="157">
        <f>IF(AY213&lt;$B$89*DATA!$H$1037,DATA!$H$1037,IF(AY213&gt;DATA!$H$1036*$B$89,DATA!$H$1036,1))</f>
        <v>1.2</v>
      </c>
      <c r="BG213" s="156">
        <f t="shared" si="99"/>
        <v>9.9999999999999995E-8</v>
      </c>
      <c r="BI213" s="140">
        <f t="shared" si="100"/>
        <v>1.7E-5</v>
      </c>
      <c r="BJ213">
        <v>1.7</v>
      </c>
      <c r="BK213" s="140">
        <f t="shared" si="101"/>
        <v>1.6999999999999993E-7</v>
      </c>
      <c r="BL213" s="140">
        <f t="shared" si="102"/>
        <v>3.3999999999999992E-7</v>
      </c>
      <c r="BM213" s="140">
        <f t="shared" si="103"/>
        <v>5.0999999999999999E-7</v>
      </c>
      <c r="BN213" s="140">
        <f t="shared" si="104"/>
        <v>6.8000000000000005E-7</v>
      </c>
      <c r="BO213" s="140">
        <f t="shared" si="105"/>
        <v>8.5000000000000001E-7</v>
      </c>
      <c r="BP213" s="157">
        <f>IF(BI213&lt;$B$105*DATA!$H$1037,DATA!$H$1037,IF(BI213&gt;DATA!$H$1036*$B$105,DATA!$H$1036,1))</f>
        <v>1.2</v>
      </c>
      <c r="BQ213" s="156">
        <f t="shared" si="106"/>
        <v>9.9999999999999995E-8</v>
      </c>
    </row>
    <row r="214" spans="1:69">
      <c r="A214" s="140">
        <f t="shared" si="59"/>
        <v>1.7200000000000001E-5</v>
      </c>
      <c r="B214">
        <v>1.72</v>
      </c>
      <c r="C214" s="140">
        <f t="shared" si="57"/>
        <v>1.7199999999999995E-7</v>
      </c>
      <c r="D214" s="140">
        <f t="shared" si="57"/>
        <v>3.4399999999999996E-7</v>
      </c>
      <c r="E214" s="140">
        <f t="shared" si="57"/>
        <v>5.1600000000000001E-7</v>
      </c>
      <c r="F214" s="140">
        <f t="shared" si="57"/>
        <v>6.8800000000000002E-7</v>
      </c>
      <c r="G214" s="140">
        <f t="shared" si="57"/>
        <v>8.6000000000000013E-7</v>
      </c>
      <c r="H214" s="124">
        <f t="shared" si="60"/>
        <v>0.8</v>
      </c>
      <c r="I214" s="156">
        <f t="shared" si="61"/>
        <v>9.9999999999999995E-8</v>
      </c>
      <c r="K214" s="140">
        <f t="shared" si="62"/>
        <v>1.7200000000000001E-5</v>
      </c>
      <c r="L214">
        <v>1.72</v>
      </c>
      <c r="M214" s="140">
        <f t="shared" si="63"/>
        <v>1.7199999999999995E-7</v>
      </c>
      <c r="N214" s="140">
        <f t="shared" si="64"/>
        <v>3.4399999999999996E-7</v>
      </c>
      <c r="O214" s="140">
        <f t="shared" si="65"/>
        <v>5.1600000000000001E-7</v>
      </c>
      <c r="P214" s="140">
        <f t="shared" si="58"/>
        <v>6.8800000000000002E-7</v>
      </c>
      <c r="Q214" s="140">
        <f t="shared" si="66"/>
        <v>8.6000000000000013E-7</v>
      </c>
      <c r="R214" s="157">
        <f t="shared" si="67"/>
        <v>0.8</v>
      </c>
      <c r="S214" s="156">
        <f t="shared" si="68"/>
        <v>9.9999999999999995E-8</v>
      </c>
      <c r="U214" s="140">
        <f t="shared" si="69"/>
        <v>1.7200000000000001E-5</v>
      </c>
      <c r="V214">
        <v>1.72</v>
      </c>
      <c r="W214" s="140">
        <f t="shared" si="70"/>
        <v>1.7199999999999995E-7</v>
      </c>
      <c r="X214" s="140">
        <f t="shared" si="71"/>
        <v>3.4399999999999996E-7</v>
      </c>
      <c r="Y214" s="140">
        <f t="shared" si="72"/>
        <v>5.1600000000000001E-7</v>
      </c>
      <c r="Z214" s="140">
        <f t="shared" si="73"/>
        <v>6.8800000000000002E-7</v>
      </c>
      <c r="AA214" s="140">
        <f t="shared" si="74"/>
        <v>8.6000000000000013E-7</v>
      </c>
      <c r="AB214" s="157">
        <f t="shared" si="75"/>
        <v>0.8</v>
      </c>
      <c r="AC214" s="156">
        <f t="shared" si="76"/>
        <v>9.9999999999999995E-8</v>
      </c>
      <c r="AE214" s="140">
        <f t="shared" si="77"/>
        <v>1.7200000000000001E-5</v>
      </c>
      <c r="AF214">
        <v>1.72</v>
      </c>
      <c r="AG214" s="140">
        <f t="shared" si="78"/>
        <v>1.7199999999999995E-7</v>
      </c>
      <c r="AH214" s="140">
        <f t="shared" si="79"/>
        <v>3.4399999999999996E-7</v>
      </c>
      <c r="AI214" s="140">
        <f t="shared" si="80"/>
        <v>5.1600000000000001E-7</v>
      </c>
      <c r="AJ214" s="140">
        <f t="shared" si="81"/>
        <v>6.8800000000000002E-7</v>
      </c>
      <c r="AK214" s="140">
        <f t="shared" si="82"/>
        <v>8.6000000000000013E-7</v>
      </c>
      <c r="AL214" s="157">
        <f t="shared" si="83"/>
        <v>1.2</v>
      </c>
      <c r="AM214" s="156">
        <f t="shared" si="84"/>
        <v>9.9999999999999995E-8</v>
      </c>
      <c r="AO214" s="140">
        <f t="shared" si="85"/>
        <v>1.7200000000000001E-5</v>
      </c>
      <c r="AP214">
        <v>1.72</v>
      </c>
      <c r="AQ214" s="140">
        <f t="shared" si="86"/>
        <v>1.7199999999999995E-7</v>
      </c>
      <c r="AR214" s="140">
        <f t="shared" si="87"/>
        <v>3.4399999999999996E-7</v>
      </c>
      <c r="AS214" s="140">
        <f t="shared" si="88"/>
        <v>5.1600000000000001E-7</v>
      </c>
      <c r="AT214" s="140">
        <f t="shared" si="89"/>
        <v>6.8800000000000002E-7</v>
      </c>
      <c r="AU214" s="140">
        <f t="shared" si="90"/>
        <v>8.6000000000000013E-7</v>
      </c>
      <c r="AV214" s="157">
        <f t="shared" si="91"/>
        <v>1.2</v>
      </c>
      <c r="AW214" s="156">
        <f t="shared" si="92"/>
        <v>9.9999999999999995E-8</v>
      </c>
      <c r="AY214" s="140">
        <f t="shared" si="93"/>
        <v>1.7200000000000001E-5</v>
      </c>
      <c r="AZ214">
        <v>1.72</v>
      </c>
      <c r="BA214" s="140">
        <f t="shared" si="94"/>
        <v>1.7199999999999995E-7</v>
      </c>
      <c r="BB214" s="140">
        <f t="shared" si="95"/>
        <v>3.4399999999999996E-7</v>
      </c>
      <c r="BC214" s="140">
        <f t="shared" si="96"/>
        <v>5.1600000000000001E-7</v>
      </c>
      <c r="BD214" s="140">
        <f t="shared" si="97"/>
        <v>6.8800000000000002E-7</v>
      </c>
      <c r="BE214" s="140">
        <f t="shared" si="98"/>
        <v>8.6000000000000013E-7</v>
      </c>
      <c r="BF214" s="157">
        <f>IF(AY214&lt;$B$89*DATA!$H$1037,DATA!$H$1037,IF(AY214&gt;DATA!$H$1036*$B$89,DATA!$H$1036,1))</f>
        <v>1.2</v>
      </c>
      <c r="BG214" s="156">
        <f t="shared" si="99"/>
        <v>9.9999999999999995E-8</v>
      </c>
      <c r="BI214" s="140">
        <f t="shared" si="100"/>
        <v>1.7200000000000001E-5</v>
      </c>
      <c r="BJ214">
        <v>1.72</v>
      </c>
      <c r="BK214" s="140">
        <f t="shared" si="101"/>
        <v>1.7199999999999995E-7</v>
      </c>
      <c r="BL214" s="140">
        <f t="shared" si="102"/>
        <v>3.4399999999999996E-7</v>
      </c>
      <c r="BM214" s="140">
        <f t="shared" si="103"/>
        <v>5.1600000000000001E-7</v>
      </c>
      <c r="BN214" s="140">
        <f t="shared" si="104"/>
        <v>6.8800000000000002E-7</v>
      </c>
      <c r="BO214" s="140">
        <f t="shared" si="105"/>
        <v>8.6000000000000013E-7</v>
      </c>
      <c r="BP214" s="157">
        <f>IF(BI214&lt;$B$105*DATA!$H$1037,DATA!$H$1037,IF(BI214&gt;DATA!$H$1036*$B$105,DATA!$H$1036,1))</f>
        <v>1.2</v>
      </c>
      <c r="BQ214" s="156">
        <f t="shared" si="106"/>
        <v>9.9999999999999995E-8</v>
      </c>
    </row>
    <row r="215" spans="1:69">
      <c r="A215" s="140">
        <f t="shared" si="59"/>
        <v>1.7400000000000003E-5</v>
      </c>
      <c r="B215">
        <v>1.74</v>
      </c>
      <c r="C215" s="140">
        <f t="shared" si="57"/>
        <v>1.7399999999999997E-7</v>
      </c>
      <c r="D215" s="140">
        <f t="shared" si="57"/>
        <v>3.4799999999999999E-7</v>
      </c>
      <c r="E215" s="140">
        <f t="shared" si="57"/>
        <v>5.2200000000000004E-7</v>
      </c>
      <c r="F215" s="140">
        <f t="shared" si="57"/>
        <v>6.9600000000000009E-7</v>
      </c>
      <c r="G215" s="140">
        <f t="shared" si="57"/>
        <v>8.7000000000000014E-7</v>
      </c>
      <c r="H215" s="124">
        <f t="shared" si="60"/>
        <v>0.8</v>
      </c>
      <c r="I215" s="156">
        <f t="shared" si="61"/>
        <v>9.9999999999999995E-8</v>
      </c>
      <c r="K215" s="140">
        <f t="shared" si="62"/>
        <v>1.7400000000000003E-5</v>
      </c>
      <c r="L215">
        <v>1.74</v>
      </c>
      <c r="M215" s="140">
        <f t="shared" si="63"/>
        <v>1.7399999999999997E-7</v>
      </c>
      <c r="N215" s="140">
        <f t="shared" si="64"/>
        <v>3.4799999999999999E-7</v>
      </c>
      <c r="O215" s="140">
        <f t="shared" si="65"/>
        <v>5.2200000000000004E-7</v>
      </c>
      <c r="P215" s="140">
        <f t="shared" si="58"/>
        <v>6.9600000000000009E-7</v>
      </c>
      <c r="Q215" s="140">
        <f t="shared" si="66"/>
        <v>8.7000000000000014E-7</v>
      </c>
      <c r="R215" s="157">
        <f t="shared" si="67"/>
        <v>0.8</v>
      </c>
      <c r="S215" s="156">
        <f t="shared" si="68"/>
        <v>9.9999999999999995E-8</v>
      </c>
      <c r="U215" s="140">
        <f t="shared" si="69"/>
        <v>1.7400000000000003E-5</v>
      </c>
      <c r="V215">
        <v>1.74</v>
      </c>
      <c r="W215" s="140">
        <f t="shared" si="70"/>
        <v>1.7399999999999997E-7</v>
      </c>
      <c r="X215" s="140">
        <f t="shared" si="71"/>
        <v>3.4799999999999999E-7</v>
      </c>
      <c r="Y215" s="140">
        <f t="shared" si="72"/>
        <v>5.2200000000000004E-7</v>
      </c>
      <c r="Z215" s="140">
        <f t="shared" si="73"/>
        <v>6.9600000000000009E-7</v>
      </c>
      <c r="AA215" s="140">
        <f t="shared" si="74"/>
        <v>8.7000000000000014E-7</v>
      </c>
      <c r="AB215" s="157">
        <f t="shared" si="75"/>
        <v>0.8</v>
      </c>
      <c r="AC215" s="156">
        <f t="shared" si="76"/>
        <v>9.9999999999999995E-8</v>
      </c>
      <c r="AE215" s="140">
        <f t="shared" si="77"/>
        <v>1.7400000000000003E-5</v>
      </c>
      <c r="AF215">
        <v>1.74</v>
      </c>
      <c r="AG215" s="140">
        <f t="shared" si="78"/>
        <v>1.7399999999999997E-7</v>
      </c>
      <c r="AH215" s="140">
        <f t="shared" si="79"/>
        <v>3.4799999999999999E-7</v>
      </c>
      <c r="AI215" s="140">
        <f t="shared" si="80"/>
        <v>5.2200000000000004E-7</v>
      </c>
      <c r="AJ215" s="140">
        <f t="shared" si="81"/>
        <v>6.9600000000000009E-7</v>
      </c>
      <c r="AK215" s="140">
        <f t="shared" si="82"/>
        <v>8.7000000000000014E-7</v>
      </c>
      <c r="AL215" s="157">
        <f t="shared" si="83"/>
        <v>1.2</v>
      </c>
      <c r="AM215" s="156">
        <f t="shared" si="84"/>
        <v>9.9999999999999995E-8</v>
      </c>
      <c r="AO215" s="140">
        <f t="shared" si="85"/>
        <v>1.7400000000000003E-5</v>
      </c>
      <c r="AP215">
        <v>1.74</v>
      </c>
      <c r="AQ215" s="140">
        <f t="shared" si="86"/>
        <v>1.7399999999999997E-7</v>
      </c>
      <c r="AR215" s="140">
        <f t="shared" si="87"/>
        <v>3.4799999999999999E-7</v>
      </c>
      <c r="AS215" s="140">
        <f t="shared" si="88"/>
        <v>5.2200000000000004E-7</v>
      </c>
      <c r="AT215" s="140">
        <f t="shared" si="89"/>
        <v>6.9600000000000009E-7</v>
      </c>
      <c r="AU215" s="140">
        <f t="shared" si="90"/>
        <v>8.7000000000000014E-7</v>
      </c>
      <c r="AV215" s="157">
        <f t="shared" si="91"/>
        <v>1.2</v>
      </c>
      <c r="AW215" s="156">
        <f t="shared" si="92"/>
        <v>9.9999999999999995E-8</v>
      </c>
      <c r="AY215" s="140">
        <f t="shared" si="93"/>
        <v>1.7400000000000003E-5</v>
      </c>
      <c r="AZ215">
        <v>1.74</v>
      </c>
      <c r="BA215" s="140">
        <f t="shared" si="94"/>
        <v>1.7399999999999997E-7</v>
      </c>
      <c r="BB215" s="140">
        <f t="shared" si="95"/>
        <v>3.4799999999999999E-7</v>
      </c>
      <c r="BC215" s="140">
        <f t="shared" si="96"/>
        <v>5.2200000000000004E-7</v>
      </c>
      <c r="BD215" s="140">
        <f t="shared" si="97"/>
        <v>6.9600000000000009E-7</v>
      </c>
      <c r="BE215" s="140">
        <f t="shared" si="98"/>
        <v>8.7000000000000014E-7</v>
      </c>
      <c r="BF215" s="157">
        <f>IF(AY215&lt;$B$89*DATA!$H$1037,DATA!$H$1037,IF(AY215&gt;DATA!$H$1036*$B$89,DATA!$H$1036,1))</f>
        <v>1.2</v>
      </c>
      <c r="BG215" s="156">
        <f t="shared" si="99"/>
        <v>9.9999999999999995E-8</v>
      </c>
      <c r="BI215" s="140">
        <f t="shared" si="100"/>
        <v>1.7400000000000003E-5</v>
      </c>
      <c r="BJ215">
        <v>1.74</v>
      </c>
      <c r="BK215" s="140">
        <f t="shared" si="101"/>
        <v>1.7399999999999997E-7</v>
      </c>
      <c r="BL215" s="140">
        <f t="shared" si="102"/>
        <v>3.4799999999999999E-7</v>
      </c>
      <c r="BM215" s="140">
        <f t="shared" si="103"/>
        <v>5.2200000000000004E-7</v>
      </c>
      <c r="BN215" s="140">
        <f t="shared" si="104"/>
        <v>6.9600000000000009E-7</v>
      </c>
      <c r="BO215" s="140">
        <f t="shared" si="105"/>
        <v>8.7000000000000014E-7</v>
      </c>
      <c r="BP215" s="157">
        <f>IF(BI215&lt;$B$105*DATA!$H$1037,DATA!$H$1037,IF(BI215&gt;DATA!$H$1036*$B$105,DATA!$H$1036,1))</f>
        <v>1.2</v>
      </c>
      <c r="BQ215" s="156">
        <f t="shared" si="106"/>
        <v>9.9999999999999995E-8</v>
      </c>
    </row>
    <row r="216" spans="1:69">
      <c r="A216" s="140">
        <f t="shared" si="59"/>
        <v>1.7600000000000001E-5</v>
      </c>
      <c r="B216">
        <v>1.76</v>
      </c>
      <c r="C216" s="140">
        <f t="shared" si="57"/>
        <v>1.7599999999999996E-7</v>
      </c>
      <c r="D216" s="140">
        <f t="shared" si="57"/>
        <v>3.5199999999999998E-7</v>
      </c>
      <c r="E216" s="140">
        <f t="shared" si="57"/>
        <v>5.2799999999999996E-7</v>
      </c>
      <c r="F216" s="140">
        <f t="shared" si="57"/>
        <v>7.0400000000000006E-7</v>
      </c>
      <c r="G216" s="140">
        <f t="shared" si="57"/>
        <v>8.8000000000000004E-7</v>
      </c>
      <c r="H216" s="124">
        <f t="shared" si="60"/>
        <v>0.8</v>
      </c>
      <c r="I216" s="156">
        <f t="shared" si="61"/>
        <v>9.9999999999999995E-8</v>
      </c>
      <c r="K216" s="140">
        <f t="shared" si="62"/>
        <v>1.7600000000000001E-5</v>
      </c>
      <c r="L216">
        <v>1.76</v>
      </c>
      <c r="M216" s="140">
        <f t="shared" si="63"/>
        <v>1.7599999999999996E-7</v>
      </c>
      <c r="N216" s="140">
        <f t="shared" si="64"/>
        <v>3.5199999999999998E-7</v>
      </c>
      <c r="O216" s="140">
        <f t="shared" si="65"/>
        <v>5.2799999999999996E-7</v>
      </c>
      <c r="P216" s="140">
        <f t="shared" si="58"/>
        <v>7.0400000000000006E-7</v>
      </c>
      <c r="Q216" s="140">
        <f t="shared" si="66"/>
        <v>8.8000000000000004E-7</v>
      </c>
      <c r="R216" s="157">
        <f t="shared" si="67"/>
        <v>0.8</v>
      </c>
      <c r="S216" s="156">
        <f t="shared" si="68"/>
        <v>9.9999999999999995E-8</v>
      </c>
      <c r="U216" s="140">
        <f t="shared" si="69"/>
        <v>1.7600000000000001E-5</v>
      </c>
      <c r="V216">
        <v>1.76</v>
      </c>
      <c r="W216" s="140">
        <f t="shared" si="70"/>
        <v>1.7599999999999996E-7</v>
      </c>
      <c r="X216" s="140">
        <f t="shared" si="71"/>
        <v>3.5199999999999998E-7</v>
      </c>
      <c r="Y216" s="140">
        <f t="shared" si="72"/>
        <v>5.2799999999999996E-7</v>
      </c>
      <c r="Z216" s="140">
        <f t="shared" si="73"/>
        <v>7.0400000000000006E-7</v>
      </c>
      <c r="AA216" s="140">
        <f t="shared" si="74"/>
        <v>8.8000000000000004E-7</v>
      </c>
      <c r="AB216" s="157">
        <f t="shared" si="75"/>
        <v>0.8</v>
      </c>
      <c r="AC216" s="156">
        <f t="shared" si="76"/>
        <v>9.9999999999999995E-8</v>
      </c>
      <c r="AE216" s="140">
        <f t="shared" si="77"/>
        <v>1.7600000000000001E-5</v>
      </c>
      <c r="AF216">
        <v>1.76</v>
      </c>
      <c r="AG216" s="140">
        <f t="shared" si="78"/>
        <v>1.7599999999999996E-7</v>
      </c>
      <c r="AH216" s="140">
        <f t="shared" si="79"/>
        <v>3.5199999999999998E-7</v>
      </c>
      <c r="AI216" s="140">
        <f t="shared" si="80"/>
        <v>5.2799999999999996E-7</v>
      </c>
      <c r="AJ216" s="140">
        <f t="shared" si="81"/>
        <v>7.0400000000000006E-7</v>
      </c>
      <c r="AK216" s="140">
        <f t="shared" si="82"/>
        <v>8.8000000000000004E-7</v>
      </c>
      <c r="AL216" s="157">
        <f t="shared" si="83"/>
        <v>1.2</v>
      </c>
      <c r="AM216" s="156">
        <f t="shared" si="84"/>
        <v>9.9999999999999995E-8</v>
      </c>
      <c r="AO216" s="140">
        <f t="shared" si="85"/>
        <v>1.7600000000000001E-5</v>
      </c>
      <c r="AP216">
        <v>1.76</v>
      </c>
      <c r="AQ216" s="140">
        <f t="shared" si="86"/>
        <v>1.7599999999999996E-7</v>
      </c>
      <c r="AR216" s="140">
        <f t="shared" si="87"/>
        <v>3.5199999999999998E-7</v>
      </c>
      <c r="AS216" s="140">
        <f t="shared" si="88"/>
        <v>5.2799999999999996E-7</v>
      </c>
      <c r="AT216" s="140">
        <f t="shared" si="89"/>
        <v>7.0400000000000006E-7</v>
      </c>
      <c r="AU216" s="140">
        <f t="shared" si="90"/>
        <v>8.8000000000000004E-7</v>
      </c>
      <c r="AV216" s="157">
        <f t="shared" si="91"/>
        <v>1.2</v>
      </c>
      <c r="AW216" s="156">
        <f t="shared" si="92"/>
        <v>9.9999999999999995E-8</v>
      </c>
      <c r="AY216" s="140">
        <f t="shared" si="93"/>
        <v>1.7600000000000001E-5</v>
      </c>
      <c r="AZ216">
        <v>1.76</v>
      </c>
      <c r="BA216" s="140">
        <f t="shared" si="94"/>
        <v>1.7599999999999996E-7</v>
      </c>
      <c r="BB216" s="140">
        <f t="shared" si="95"/>
        <v>3.5199999999999998E-7</v>
      </c>
      <c r="BC216" s="140">
        <f t="shared" si="96"/>
        <v>5.2799999999999996E-7</v>
      </c>
      <c r="BD216" s="140">
        <f t="shared" si="97"/>
        <v>7.0400000000000006E-7</v>
      </c>
      <c r="BE216" s="140">
        <f t="shared" si="98"/>
        <v>8.8000000000000004E-7</v>
      </c>
      <c r="BF216" s="157">
        <f>IF(AY216&lt;$B$89*DATA!$H$1037,DATA!$H$1037,IF(AY216&gt;DATA!$H$1036*$B$89,DATA!$H$1036,1))</f>
        <v>1.2</v>
      </c>
      <c r="BG216" s="156">
        <f t="shared" si="99"/>
        <v>9.9999999999999995E-8</v>
      </c>
      <c r="BI216" s="140">
        <f t="shared" si="100"/>
        <v>1.7600000000000001E-5</v>
      </c>
      <c r="BJ216">
        <v>1.76</v>
      </c>
      <c r="BK216" s="140">
        <f t="shared" si="101"/>
        <v>1.7599999999999996E-7</v>
      </c>
      <c r="BL216" s="140">
        <f t="shared" si="102"/>
        <v>3.5199999999999998E-7</v>
      </c>
      <c r="BM216" s="140">
        <f t="shared" si="103"/>
        <v>5.2799999999999996E-7</v>
      </c>
      <c r="BN216" s="140">
        <f t="shared" si="104"/>
        <v>7.0400000000000006E-7</v>
      </c>
      <c r="BO216" s="140">
        <f t="shared" si="105"/>
        <v>8.8000000000000004E-7</v>
      </c>
      <c r="BP216" s="157">
        <f>IF(BI216&lt;$B$105*DATA!$H$1037,DATA!$H$1037,IF(BI216&gt;DATA!$H$1036*$B$105,DATA!$H$1036,1))</f>
        <v>1.2</v>
      </c>
      <c r="BQ216" s="156">
        <f t="shared" si="106"/>
        <v>9.9999999999999995E-8</v>
      </c>
    </row>
    <row r="217" spans="1:69">
      <c r="A217" s="140">
        <f t="shared" si="59"/>
        <v>1.7800000000000002E-5</v>
      </c>
      <c r="B217">
        <v>1.78</v>
      </c>
      <c r="C217" s="140">
        <f t="shared" si="57"/>
        <v>1.7799999999999995E-7</v>
      </c>
      <c r="D217" s="140">
        <f t="shared" si="57"/>
        <v>3.5600000000000001E-7</v>
      </c>
      <c r="E217" s="140">
        <f t="shared" si="57"/>
        <v>5.340000000000001E-7</v>
      </c>
      <c r="F217" s="140">
        <f t="shared" si="57"/>
        <v>7.1200000000000013E-7</v>
      </c>
      <c r="G217" s="140">
        <f t="shared" si="57"/>
        <v>8.9000000000000016E-7</v>
      </c>
      <c r="H217" s="124">
        <f t="shared" si="60"/>
        <v>0.8</v>
      </c>
      <c r="I217" s="156">
        <f t="shared" si="61"/>
        <v>9.9999999999999995E-8</v>
      </c>
      <c r="K217" s="140">
        <f t="shared" si="62"/>
        <v>1.7800000000000002E-5</v>
      </c>
      <c r="L217">
        <v>1.78</v>
      </c>
      <c r="M217" s="140">
        <f t="shared" si="63"/>
        <v>1.7799999999999995E-7</v>
      </c>
      <c r="N217" s="140">
        <f t="shared" si="64"/>
        <v>3.5600000000000001E-7</v>
      </c>
      <c r="O217" s="140">
        <f t="shared" si="65"/>
        <v>5.340000000000001E-7</v>
      </c>
      <c r="P217" s="140">
        <f t="shared" si="58"/>
        <v>7.1200000000000013E-7</v>
      </c>
      <c r="Q217" s="140">
        <f t="shared" si="66"/>
        <v>8.9000000000000016E-7</v>
      </c>
      <c r="R217" s="157">
        <f t="shared" si="67"/>
        <v>0.8</v>
      </c>
      <c r="S217" s="156">
        <f t="shared" si="68"/>
        <v>9.9999999999999995E-8</v>
      </c>
      <c r="U217" s="140">
        <f t="shared" si="69"/>
        <v>1.7800000000000002E-5</v>
      </c>
      <c r="V217">
        <v>1.78</v>
      </c>
      <c r="W217" s="140">
        <f t="shared" si="70"/>
        <v>1.7799999999999995E-7</v>
      </c>
      <c r="X217" s="140">
        <f t="shared" si="71"/>
        <v>3.5600000000000001E-7</v>
      </c>
      <c r="Y217" s="140">
        <f t="shared" si="72"/>
        <v>5.340000000000001E-7</v>
      </c>
      <c r="Z217" s="140">
        <f t="shared" si="73"/>
        <v>7.1200000000000013E-7</v>
      </c>
      <c r="AA217" s="140">
        <f t="shared" si="74"/>
        <v>8.9000000000000016E-7</v>
      </c>
      <c r="AB217" s="157">
        <f t="shared" si="75"/>
        <v>0.8</v>
      </c>
      <c r="AC217" s="156">
        <f t="shared" si="76"/>
        <v>9.9999999999999995E-8</v>
      </c>
      <c r="AE217" s="140">
        <f t="shared" si="77"/>
        <v>1.7800000000000002E-5</v>
      </c>
      <c r="AF217">
        <v>1.78</v>
      </c>
      <c r="AG217" s="140">
        <f t="shared" si="78"/>
        <v>1.7799999999999995E-7</v>
      </c>
      <c r="AH217" s="140">
        <f t="shared" si="79"/>
        <v>3.5600000000000001E-7</v>
      </c>
      <c r="AI217" s="140">
        <f t="shared" si="80"/>
        <v>5.340000000000001E-7</v>
      </c>
      <c r="AJ217" s="140">
        <f t="shared" si="81"/>
        <v>7.1200000000000013E-7</v>
      </c>
      <c r="AK217" s="140">
        <f t="shared" si="82"/>
        <v>8.9000000000000016E-7</v>
      </c>
      <c r="AL217" s="157">
        <f t="shared" si="83"/>
        <v>1.2</v>
      </c>
      <c r="AM217" s="156">
        <f t="shared" si="84"/>
        <v>9.9999999999999995E-8</v>
      </c>
      <c r="AO217" s="140">
        <f t="shared" si="85"/>
        <v>1.7800000000000002E-5</v>
      </c>
      <c r="AP217">
        <v>1.78</v>
      </c>
      <c r="AQ217" s="140">
        <f t="shared" si="86"/>
        <v>1.7799999999999995E-7</v>
      </c>
      <c r="AR217" s="140">
        <f t="shared" si="87"/>
        <v>3.5600000000000001E-7</v>
      </c>
      <c r="AS217" s="140">
        <f t="shared" si="88"/>
        <v>5.340000000000001E-7</v>
      </c>
      <c r="AT217" s="140">
        <f t="shared" si="89"/>
        <v>7.1200000000000013E-7</v>
      </c>
      <c r="AU217" s="140">
        <f t="shared" si="90"/>
        <v>8.9000000000000016E-7</v>
      </c>
      <c r="AV217" s="157">
        <f t="shared" si="91"/>
        <v>1.2</v>
      </c>
      <c r="AW217" s="156">
        <f t="shared" si="92"/>
        <v>9.9999999999999995E-8</v>
      </c>
      <c r="AY217" s="140">
        <f t="shared" si="93"/>
        <v>1.7800000000000002E-5</v>
      </c>
      <c r="AZ217">
        <v>1.78</v>
      </c>
      <c r="BA217" s="140">
        <f t="shared" si="94"/>
        <v>1.7799999999999995E-7</v>
      </c>
      <c r="BB217" s="140">
        <f t="shared" si="95"/>
        <v>3.5600000000000001E-7</v>
      </c>
      <c r="BC217" s="140">
        <f t="shared" si="96"/>
        <v>5.340000000000001E-7</v>
      </c>
      <c r="BD217" s="140">
        <f t="shared" si="97"/>
        <v>7.1200000000000013E-7</v>
      </c>
      <c r="BE217" s="140">
        <f t="shared" si="98"/>
        <v>8.9000000000000016E-7</v>
      </c>
      <c r="BF217" s="157">
        <f>IF(AY217&lt;$B$89*DATA!$H$1037,DATA!$H$1037,IF(AY217&gt;DATA!$H$1036*$B$89,DATA!$H$1036,1))</f>
        <v>1.2</v>
      </c>
      <c r="BG217" s="156">
        <f t="shared" si="99"/>
        <v>9.9999999999999995E-8</v>
      </c>
      <c r="BI217" s="140">
        <f t="shared" si="100"/>
        <v>1.7800000000000002E-5</v>
      </c>
      <c r="BJ217">
        <v>1.78</v>
      </c>
      <c r="BK217" s="140">
        <f t="shared" si="101"/>
        <v>1.7799999999999995E-7</v>
      </c>
      <c r="BL217" s="140">
        <f t="shared" si="102"/>
        <v>3.5600000000000001E-7</v>
      </c>
      <c r="BM217" s="140">
        <f t="shared" si="103"/>
        <v>5.340000000000001E-7</v>
      </c>
      <c r="BN217" s="140">
        <f t="shared" si="104"/>
        <v>7.1200000000000013E-7</v>
      </c>
      <c r="BO217" s="140">
        <f t="shared" si="105"/>
        <v>8.9000000000000016E-7</v>
      </c>
      <c r="BP217" s="157">
        <f>IF(BI217&lt;$B$105*DATA!$H$1037,DATA!$H$1037,IF(BI217&gt;DATA!$H$1036*$B$105,DATA!$H$1036,1))</f>
        <v>1.2</v>
      </c>
      <c r="BQ217" s="156">
        <f t="shared" si="106"/>
        <v>9.9999999999999995E-8</v>
      </c>
    </row>
    <row r="218" spans="1:69">
      <c r="A218" s="140">
        <f t="shared" si="59"/>
        <v>1.8E-5</v>
      </c>
      <c r="B218">
        <v>1.8</v>
      </c>
      <c r="C218" s="140">
        <f t="shared" si="57"/>
        <v>1.7999999999999994E-7</v>
      </c>
      <c r="D218" s="140">
        <f t="shared" si="57"/>
        <v>3.5999999999999994E-7</v>
      </c>
      <c r="E218" s="140">
        <f t="shared" si="57"/>
        <v>5.4000000000000002E-7</v>
      </c>
      <c r="F218" s="140">
        <f t="shared" si="57"/>
        <v>7.1999999999999999E-7</v>
      </c>
      <c r="G218" s="140">
        <f t="shared" si="57"/>
        <v>9.0000000000000007E-7</v>
      </c>
      <c r="H218" s="124">
        <f t="shared" si="60"/>
        <v>0.8</v>
      </c>
      <c r="I218" s="156">
        <f t="shared" si="61"/>
        <v>9.9999999999999995E-8</v>
      </c>
      <c r="K218" s="140">
        <f t="shared" si="62"/>
        <v>1.8E-5</v>
      </c>
      <c r="L218">
        <v>1.8</v>
      </c>
      <c r="M218" s="140">
        <f t="shared" si="63"/>
        <v>1.7999999999999994E-7</v>
      </c>
      <c r="N218" s="140">
        <f t="shared" si="64"/>
        <v>3.5999999999999994E-7</v>
      </c>
      <c r="O218" s="140">
        <f t="shared" si="65"/>
        <v>5.4000000000000002E-7</v>
      </c>
      <c r="P218" s="140">
        <f t="shared" si="58"/>
        <v>7.1999999999999999E-7</v>
      </c>
      <c r="Q218" s="140">
        <f t="shared" si="66"/>
        <v>9.0000000000000007E-7</v>
      </c>
      <c r="R218" s="157">
        <f t="shared" si="67"/>
        <v>0.8</v>
      </c>
      <c r="S218" s="156">
        <f t="shared" si="68"/>
        <v>9.9999999999999995E-8</v>
      </c>
      <c r="U218" s="140">
        <f t="shared" si="69"/>
        <v>1.8E-5</v>
      </c>
      <c r="V218">
        <v>1.8</v>
      </c>
      <c r="W218" s="140">
        <f t="shared" si="70"/>
        <v>1.7999999999999994E-7</v>
      </c>
      <c r="X218" s="140">
        <f t="shared" si="71"/>
        <v>3.5999999999999994E-7</v>
      </c>
      <c r="Y218" s="140">
        <f t="shared" si="72"/>
        <v>5.4000000000000002E-7</v>
      </c>
      <c r="Z218" s="140">
        <f t="shared" si="73"/>
        <v>7.1999999999999999E-7</v>
      </c>
      <c r="AA218" s="140">
        <f t="shared" si="74"/>
        <v>9.0000000000000007E-7</v>
      </c>
      <c r="AB218" s="157">
        <f t="shared" si="75"/>
        <v>0.8</v>
      </c>
      <c r="AC218" s="156">
        <f t="shared" si="76"/>
        <v>9.9999999999999995E-8</v>
      </c>
      <c r="AE218" s="140">
        <f t="shared" si="77"/>
        <v>1.8E-5</v>
      </c>
      <c r="AF218">
        <v>1.8</v>
      </c>
      <c r="AG218" s="140">
        <f t="shared" si="78"/>
        <v>1.7999999999999994E-7</v>
      </c>
      <c r="AH218" s="140">
        <f t="shared" si="79"/>
        <v>3.5999999999999994E-7</v>
      </c>
      <c r="AI218" s="140">
        <f t="shared" si="80"/>
        <v>5.4000000000000002E-7</v>
      </c>
      <c r="AJ218" s="140">
        <f t="shared" si="81"/>
        <v>7.1999999999999999E-7</v>
      </c>
      <c r="AK218" s="140">
        <f t="shared" si="82"/>
        <v>9.0000000000000007E-7</v>
      </c>
      <c r="AL218" s="157">
        <f t="shared" si="83"/>
        <v>1.2</v>
      </c>
      <c r="AM218" s="156">
        <f t="shared" si="84"/>
        <v>9.9999999999999995E-8</v>
      </c>
      <c r="AO218" s="140">
        <f t="shared" si="85"/>
        <v>1.8E-5</v>
      </c>
      <c r="AP218">
        <v>1.8</v>
      </c>
      <c r="AQ218" s="140">
        <f t="shared" si="86"/>
        <v>1.7999999999999994E-7</v>
      </c>
      <c r="AR218" s="140">
        <f t="shared" si="87"/>
        <v>3.5999999999999994E-7</v>
      </c>
      <c r="AS218" s="140">
        <f t="shared" si="88"/>
        <v>5.4000000000000002E-7</v>
      </c>
      <c r="AT218" s="140">
        <f t="shared" si="89"/>
        <v>7.1999999999999999E-7</v>
      </c>
      <c r="AU218" s="140">
        <f t="shared" si="90"/>
        <v>9.0000000000000007E-7</v>
      </c>
      <c r="AV218" s="157">
        <f t="shared" si="91"/>
        <v>1.2</v>
      </c>
      <c r="AW218" s="156">
        <f t="shared" si="92"/>
        <v>9.9999999999999995E-8</v>
      </c>
      <c r="AY218" s="140">
        <f t="shared" si="93"/>
        <v>1.8E-5</v>
      </c>
      <c r="AZ218">
        <v>1.8</v>
      </c>
      <c r="BA218" s="140">
        <f t="shared" si="94"/>
        <v>1.7999999999999994E-7</v>
      </c>
      <c r="BB218" s="140">
        <f t="shared" si="95"/>
        <v>3.5999999999999994E-7</v>
      </c>
      <c r="BC218" s="140">
        <f t="shared" si="96"/>
        <v>5.4000000000000002E-7</v>
      </c>
      <c r="BD218" s="140">
        <f t="shared" si="97"/>
        <v>7.1999999999999999E-7</v>
      </c>
      <c r="BE218" s="140">
        <f t="shared" si="98"/>
        <v>9.0000000000000007E-7</v>
      </c>
      <c r="BF218" s="157">
        <f>IF(AY218&lt;$B$89*DATA!$H$1037,DATA!$H$1037,IF(AY218&gt;DATA!$H$1036*$B$89,DATA!$H$1036,1))</f>
        <v>1.2</v>
      </c>
      <c r="BG218" s="156">
        <f t="shared" si="99"/>
        <v>9.9999999999999995E-8</v>
      </c>
      <c r="BI218" s="140">
        <f t="shared" si="100"/>
        <v>1.8E-5</v>
      </c>
      <c r="BJ218">
        <v>1.8</v>
      </c>
      <c r="BK218" s="140">
        <f t="shared" si="101"/>
        <v>1.7999999999999994E-7</v>
      </c>
      <c r="BL218" s="140">
        <f t="shared" si="102"/>
        <v>3.5999999999999994E-7</v>
      </c>
      <c r="BM218" s="140">
        <f t="shared" si="103"/>
        <v>5.4000000000000002E-7</v>
      </c>
      <c r="BN218" s="140">
        <f t="shared" si="104"/>
        <v>7.1999999999999999E-7</v>
      </c>
      <c r="BO218" s="140">
        <f t="shared" si="105"/>
        <v>9.0000000000000007E-7</v>
      </c>
      <c r="BP218" s="157">
        <f>IF(BI218&lt;$B$105*DATA!$H$1037,DATA!$H$1037,IF(BI218&gt;DATA!$H$1036*$B$105,DATA!$H$1036,1))</f>
        <v>1.2</v>
      </c>
      <c r="BQ218" s="156">
        <f t="shared" si="106"/>
        <v>9.9999999999999995E-8</v>
      </c>
    </row>
    <row r="219" spans="1:69">
      <c r="A219" s="140">
        <f t="shared" si="59"/>
        <v>1.8200000000000002E-5</v>
      </c>
      <c r="B219">
        <v>1.82</v>
      </c>
      <c r="C219" s="140">
        <f t="shared" si="57"/>
        <v>1.8199999999999996E-7</v>
      </c>
      <c r="D219" s="140">
        <f t="shared" si="57"/>
        <v>3.6399999999999998E-7</v>
      </c>
      <c r="E219" s="140">
        <f t="shared" si="57"/>
        <v>5.4600000000000005E-7</v>
      </c>
      <c r="F219" s="140">
        <f t="shared" si="57"/>
        <v>7.2800000000000006E-7</v>
      </c>
      <c r="G219" s="140">
        <f t="shared" si="57"/>
        <v>9.1000000000000018E-7</v>
      </c>
      <c r="H219" s="124">
        <f t="shared" si="60"/>
        <v>0.8</v>
      </c>
      <c r="I219" s="156">
        <f t="shared" si="61"/>
        <v>9.9999999999999995E-8</v>
      </c>
      <c r="K219" s="140">
        <f t="shared" si="62"/>
        <v>1.8200000000000002E-5</v>
      </c>
      <c r="L219">
        <v>1.82</v>
      </c>
      <c r="M219" s="140">
        <f t="shared" si="63"/>
        <v>1.8199999999999996E-7</v>
      </c>
      <c r="N219" s="140">
        <f t="shared" si="64"/>
        <v>3.6399999999999998E-7</v>
      </c>
      <c r="O219" s="140">
        <f t="shared" si="65"/>
        <v>5.4600000000000005E-7</v>
      </c>
      <c r="P219" s="140">
        <f t="shared" si="58"/>
        <v>7.2800000000000006E-7</v>
      </c>
      <c r="Q219" s="140">
        <f t="shared" si="66"/>
        <v>9.1000000000000018E-7</v>
      </c>
      <c r="R219" s="157">
        <f t="shared" si="67"/>
        <v>0.8</v>
      </c>
      <c r="S219" s="156">
        <f t="shared" si="68"/>
        <v>9.9999999999999995E-8</v>
      </c>
      <c r="U219" s="140">
        <f t="shared" si="69"/>
        <v>1.8200000000000002E-5</v>
      </c>
      <c r="V219">
        <v>1.82</v>
      </c>
      <c r="W219" s="140">
        <f t="shared" si="70"/>
        <v>1.8199999999999996E-7</v>
      </c>
      <c r="X219" s="140">
        <f t="shared" si="71"/>
        <v>3.6399999999999998E-7</v>
      </c>
      <c r="Y219" s="140">
        <f t="shared" si="72"/>
        <v>5.4600000000000005E-7</v>
      </c>
      <c r="Z219" s="140">
        <f t="shared" si="73"/>
        <v>7.2800000000000006E-7</v>
      </c>
      <c r="AA219" s="140">
        <f t="shared" si="74"/>
        <v>9.1000000000000018E-7</v>
      </c>
      <c r="AB219" s="157">
        <f t="shared" si="75"/>
        <v>0.8</v>
      </c>
      <c r="AC219" s="156">
        <f t="shared" si="76"/>
        <v>9.9999999999999995E-8</v>
      </c>
      <c r="AE219" s="140">
        <f t="shared" si="77"/>
        <v>1.8200000000000002E-5</v>
      </c>
      <c r="AF219">
        <v>1.82</v>
      </c>
      <c r="AG219" s="140">
        <f t="shared" si="78"/>
        <v>1.8199999999999996E-7</v>
      </c>
      <c r="AH219" s="140">
        <f t="shared" si="79"/>
        <v>3.6399999999999998E-7</v>
      </c>
      <c r="AI219" s="140">
        <f t="shared" si="80"/>
        <v>5.4600000000000005E-7</v>
      </c>
      <c r="AJ219" s="140">
        <f t="shared" si="81"/>
        <v>7.2800000000000006E-7</v>
      </c>
      <c r="AK219" s="140">
        <f t="shared" si="82"/>
        <v>9.1000000000000018E-7</v>
      </c>
      <c r="AL219" s="157">
        <f t="shared" si="83"/>
        <v>1.2</v>
      </c>
      <c r="AM219" s="156">
        <f t="shared" si="84"/>
        <v>9.9999999999999995E-8</v>
      </c>
      <c r="AO219" s="140">
        <f t="shared" si="85"/>
        <v>1.8200000000000002E-5</v>
      </c>
      <c r="AP219">
        <v>1.82</v>
      </c>
      <c r="AQ219" s="140">
        <f t="shared" si="86"/>
        <v>1.8199999999999996E-7</v>
      </c>
      <c r="AR219" s="140">
        <f t="shared" si="87"/>
        <v>3.6399999999999998E-7</v>
      </c>
      <c r="AS219" s="140">
        <f t="shared" si="88"/>
        <v>5.4600000000000005E-7</v>
      </c>
      <c r="AT219" s="140">
        <f t="shared" si="89"/>
        <v>7.2800000000000006E-7</v>
      </c>
      <c r="AU219" s="140">
        <f t="shared" si="90"/>
        <v>9.1000000000000018E-7</v>
      </c>
      <c r="AV219" s="157">
        <f t="shared" si="91"/>
        <v>1.2</v>
      </c>
      <c r="AW219" s="156">
        <f t="shared" si="92"/>
        <v>9.9999999999999995E-8</v>
      </c>
      <c r="AY219" s="140">
        <f t="shared" si="93"/>
        <v>1.8200000000000002E-5</v>
      </c>
      <c r="AZ219">
        <v>1.82</v>
      </c>
      <c r="BA219" s="140">
        <f t="shared" si="94"/>
        <v>1.8199999999999996E-7</v>
      </c>
      <c r="BB219" s="140">
        <f t="shared" si="95"/>
        <v>3.6399999999999998E-7</v>
      </c>
      <c r="BC219" s="140">
        <f t="shared" si="96"/>
        <v>5.4600000000000005E-7</v>
      </c>
      <c r="BD219" s="140">
        <f t="shared" si="97"/>
        <v>7.2800000000000006E-7</v>
      </c>
      <c r="BE219" s="140">
        <f t="shared" si="98"/>
        <v>9.1000000000000018E-7</v>
      </c>
      <c r="BF219" s="157">
        <f>IF(AY219&lt;$B$89*DATA!$H$1037,DATA!$H$1037,IF(AY219&gt;DATA!$H$1036*$B$89,DATA!$H$1036,1))</f>
        <v>1.2</v>
      </c>
      <c r="BG219" s="156">
        <f t="shared" si="99"/>
        <v>9.9999999999999995E-8</v>
      </c>
      <c r="BI219" s="140">
        <f t="shared" si="100"/>
        <v>1.8200000000000002E-5</v>
      </c>
      <c r="BJ219">
        <v>1.82</v>
      </c>
      <c r="BK219" s="140">
        <f t="shared" si="101"/>
        <v>1.8199999999999996E-7</v>
      </c>
      <c r="BL219" s="140">
        <f t="shared" si="102"/>
        <v>3.6399999999999998E-7</v>
      </c>
      <c r="BM219" s="140">
        <f t="shared" si="103"/>
        <v>5.4600000000000005E-7</v>
      </c>
      <c r="BN219" s="140">
        <f t="shared" si="104"/>
        <v>7.2800000000000006E-7</v>
      </c>
      <c r="BO219" s="140">
        <f t="shared" si="105"/>
        <v>9.1000000000000018E-7</v>
      </c>
      <c r="BP219" s="157">
        <f>IF(BI219&lt;$B$105*DATA!$H$1037,DATA!$H$1037,IF(BI219&gt;DATA!$H$1036*$B$105,DATA!$H$1036,1))</f>
        <v>1.2</v>
      </c>
      <c r="BQ219" s="156">
        <f t="shared" si="106"/>
        <v>9.9999999999999995E-8</v>
      </c>
    </row>
    <row r="220" spans="1:69">
      <c r="A220" s="140">
        <f t="shared" si="59"/>
        <v>1.8400000000000003E-5</v>
      </c>
      <c r="B220">
        <v>1.84</v>
      </c>
      <c r="C220" s="140">
        <f t="shared" si="57"/>
        <v>1.8399999999999998E-7</v>
      </c>
      <c r="D220" s="140">
        <f t="shared" si="57"/>
        <v>3.6800000000000001E-7</v>
      </c>
      <c r="E220" s="140">
        <f t="shared" si="57"/>
        <v>5.5200000000000007E-7</v>
      </c>
      <c r="F220" s="140">
        <f t="shared" si="57"/>
        <v>7.3600000000000013E-7</v>
      </c>
      <c r="G220" s="140">
        <f t="shared" si="57"/>
        <v>9.2000000000000019E-7</v>
      </c>
      <c r="H220" s="124">
        <f t="shared" si="60"/>
        <v>0.8</v>
      </c>
      <c r="I220" s="156">
        <f t="shared" si="61"/>
        <v>9.9999999999999995E-8</v>
      </c>
      <c r="K220" s="140">
        <f t="shared" si="62"/>
        <v>1.8400000000000003E-5</v>
      </c>
      <c r="L220">
        <v>1.84</v>
      </c>
      <c r="M220" s="140">
        <f t="shared" si="63"/>
        <v>1.8399999999999998E-7</v>
      </c>
      <c r="N220" s="140">
        <f t="shared" si="64"/>
        <v>3.6800000000000001E-7</v>
      </c>
      <c r="O220" s="140">
        <f t="shared" si="65"/>
        <v>5.5200000000000007E-7</v>
      </c>
      <c r="P220" s="140">
        <f t="shared" si="58"/>
        <v>7.3600000000000013E-7</v>
      </c>
      <c r="Q220" s="140">
        <f t="shared" si="66"/>
        <v>9.2000000000000019E-7</v>
      </c>
      <c r="R220" s="157">
        <f t="shared" si="67"/>
        <v>0.8</v>
      </c>
      <c r="S220" s="156">
        <f t="shared" si="68"/>
        <v>9.9999999999999995E-8</v>
      </c>
      <c r="U220" s="140">
        <f t="shared" si="69"/>
        <v>1.8400000000000003E-5</v>
      </c>
      <c r="V220">
        <v>1.84</v>
      </c>
      <c r="W220" s="140">
        <f t="shared" si="70"/>
        <v>1.8399999999999998E-7</v>
      </c>
      <c r="X220" s="140">
        <f t="shared" si="71"/>
        <v>3.6800000000000001E-7</v>
      </c>
      <c r="Y220" s="140">
        <f t="shared" si="72"/>
        <v>5.5200000000000007E-7</v>
      </c>
      <c r="Z220" s="140">
        <f t="shared" si="73"/>
        <v>7.3600000000000013E-7</v>
      </c>
      <c r="AA220" s="140">
        <f t="shared" si="74"/>
        <v>9.2000000000000019E-7</v>
      </c>
      <c r="AB220" s="157">
        <f t="shared" si="75"/>
        <v>0.8</v>
      </c>
      <c r="AC220" s="156">
        <f t="shared" si="76"/>
        <v>9.9999999999999995E-8</v>
      </c>
      <c r="AE220" s="140">
        <f t="shared" si="77"/>
        <v>1.8400000000000003E-5</v>
      </c>
      <c r="AF220">
        <v>1.84</v>
      </c>
      <c r="AG220" s="140">
        <f t="shared" si="78"/>
        <v>1.8399999999999998E-7</v>
      </c>
      <c r="AH220" s="140">
        <f t="shared" si="79"/>
        <v>3.6800000000000001E-7</v>
      </c>
      <c r="AI220" s="140">
        <f t="shared" si="80"/>
        <v>5.5200000000000007E-7</v>
      </c>
      <c r="AJ220" s="140">
        <f t="shared" si="81"/>
        <v>7.3600000000000013E-7</v>
      </c>
      <c r="AK220" s="140">
        <f t="shared" si="82"/>
        <v>9.2000000000000019E-7</v>
      </c>
      <c r="AL220" s="157">
        <f t="shared" si="83"/>
        <v>1.2</v>
      </c>
      <c r="AM220" s="156">
        <f t="shared" si="84"/>
        <v>9.9999999999999995E-8</v>
      </c>
      <c r="AO220" s="140">
        <f t="shared" si="85"/>
        <v>1.8400000000000003E-5</v>
      </c>
      <c r="AP220">
        <v>1.84</v>
      </c>
      <c r="AQ220" s="140">
        <f t="shared" si="86"/>
        <v>1.8399999999999998E-7</v>
      </c>
      <c r="AR220" s="140">
        <f t="shared" si="87"/>
        <v>3.6800000000000001E-7</v>
      </c>
      <c r="AS220" s="140">
        <f t="shared" si="88"/>
        <v>5.5200000000000007E-7</v>
      </c>
      <c r="AT220" s="140">
        <f t="shared" si="89"/>
        <v>7.3600000000000013E-7</v>
      </c>
      <c r="AU220" s="140">
        <f t="shared" si="90"/>
        <v>9.2000000000000019E-7</v>
      </c>
      <c r="AV220" s="157">
        <f t="shared" si="91"/>
        <v>1.2</v>
      </c>
      <c r="AW220" s="156">
        <f t="shared" si="92"/>
        <v>9.9999999999999995E-8</v>
      </c>
      <c r="AY220" s="140">
        <f t="shared" si="93"/>
        <v>1.8400000000000003E-5</v>
      </c>
      <c r="AZ220">
        <v>1.84</v>
      </c>
      <c r="BA220" s="140">
        <f t="shared" si="94"/>
        <v>1.8399999999999998E-7</v>
      </c>
      <c r="BB220" s="140">
        <f t="shared" si="95"/>
        <v>3.6800000000000001E-7</v>
      </c>
      <c r="BC220" s="140">
        <f t="shared" si="96"/>
        <v>5.5200000000000007E-7</v>
      </c>
      <c r="BD220" s="140">
        <f t="shared" si="97"/>
        <v>7.3600000000000013E-7</v>
      </c>
      <c r="BE220" s="140">
        <f t="shared" si="98"/>
        <v>9.2000000000000019E-7</v>
      </c>
      <c r="BF220" s="157">
        <f>IF(AY220&lt;$B$89*DATA!$H$1037,DATA!$H$1037,IF(AY220&gt;DATA!$H$1036*$B$89,DATA!$H$1036,1))</f>
        <v>1.2</v>
      </c>
      <c r="BG220" s="156">
        <f t="shared" si="99"/>
        <v>9.9999999999999995E-8</v>
      </c>
      <c r="BI220" s="140">
        <f t="shared" si="100"/>
        <v>1.8400000000000003E-5</v>
      </c>
      <c r="BJ220">
        <v>1.84</v>
      </c>
      <c r="BK220" s="140">
        <f t="shared" si="101"/>
        <v>1.8399999999999998E-7</v>
      </c>
      <c r="BL220" s="140">
        <f t="shared" si="102"/>
        <v>3.6800000000000001E-7</v>
      </c>
      <c r="BM220" s="140">
        <f t="shared" si="103"/>
        <v>5.5200000000000007E-7</v>
      </c>
      <c r="BN220" s="140">
        <f t="shared" si="104"/>
        <v>7.3600000000000013E-7</v>
      </c>
      <c r="BO220" s="140">
        <f t="shared" si="105"/>
        <v>9.2000000000000019E-7</v>
      </c>
      <c r="BP220" s="157">
        <f>IF(BI220&lt;$B$105*DATA!$H$1037,DATA!$H$1037,IF(BI220&gt;DATA!$H$1036*$B$105,DATA!$H$1036,1))</f>
        <v>1.2</v>
      </c>
      <c r="BQ220" s="156">
        <f t="shared" si="106"/>
        <v>9.9999999999999995E-8</v>
      </c>
    </row>
    <row r="221" spans="1:69">
      <c r="A221" s="140">
        <f t="shared" si="59"/>
        <v>1.8600000000000001E-5</v>
      </c>
      <c r="B221">
        <v>1.86</v>
      </c>
      <c r="C221" s="140">
        <f t="shared" si="57"/>
        <v>1.8599999999999994E-7</v>
      </c>
      <c r="D221" s="140">
        <f t="shared" si="57"/>
        <v>3.72E-7</v>
      </c>
      <c r="E221" s="140">
        <f t="shared" si="57"/>
        <v>5.5799999999999999E-7</v>
      </c>
      <c r="F221" s="140">
        <f t="shared" si="57"/>
        <v>7.440000000000001E-7</v>
      </c>
      <c r="G221" s="140">
        <f t="shared" si="57"/>
        <v>9.300000000000001E-7</v>
      </c>
      <c r="H221" s="124">
        <f t="shared" si="60"/>
        <v>0.8</v>
      </c>
      <c r="I221" s="156">
        <f t="shared" si="61"/>
        <v>9.9999999999999995E-8</v>
      </c>
      <c r="K221" s="140">
        <f t="shared" si="62"/>
        <v>1.8600000000000001E-5</v>
      </c>
      <c r="L221">
        <v>1.86</v>
      </c>
      <c r="M221" s="140">
        <f t="shared" si="63"/>
        <v>1.8599999999999994E-7</v>
      </c>
      <c r="N221" s="140">
        <f t="shared" si="64"/>
        <v>3.72E-7</v>
      </c>
      <c r="O221" s="140">
        <f t="shared" si="65"/>
        <v>5.5799999999999999E-7</v>
      </c>
      <c r="P221" s="140">
        <f t="shared" si="58"/>
        <v>7.440000000000001E-7</v>
      </c>
      <c r="Q221" s="140">
        <f t="shared" si="66"/>
        <v>9.300000000000001E-7</v>
      </c>
      <c r="R221" s="157">
        <f t="shared" si="67"/>
        <v>0.8</v>
      </c>
      <c r="S221" s="156">
        <f t="shared" si="68"/>
        <v>9.9999999999999995E-8</v>
      </c>
      <c r="U221" s="140">
        <f t="shared" si="69"/>
        <v>1.8600000000000001E-5</v>
      </c>
      <c r="V221">
        <v>1.86</v>
      </c>
      <c r="W221" s="140">
        <f t="shared" si="70"/>
        <v>1.8599999999999994E-7</v>
      </c>
      <c r="X221" s="140">
        <f t="shared" si="71"/>
        <v>3.72E-7</v>
      </c>
      <c r="Y221" s="140">
        <f t="shared" si="72"/>
        <v>5.5799999999999999E-7</v>
      </c>
      <c r="Z221" s="140">
        <f t="shared" si="73"/>
        <v>7.440000000000001E-7</v>
      </c>
      <c r="AA221" s="140">
        <f t="shared" si="74"/>
        <v>9.300000000000001E-7</v>
      </c>
      <c r="AB221" s="157">
        <f t="shared" si="75"/>
        <v>0.8</v>
      </c>
      <c r="AC221" s="156">
        <f t="shared" si="76"/>
        <v>9.9999999999999995E-8</v>
      </c>
      <c r="AE221" s="140">
        <f t="shared" si="77"/>
        <v>1.8600000000000001E-5</v>
      </c>
      <c r="AF221">
        <v>1.86</v>
      </c>
      <c r="AG221" s="140">
        <f t="shared" si="78"/>
        <v>1.8599999999999994E-7</v>
      </c>
      <c r="AH221" s="140">
        <f t="shared" si="79"/>
        <v>3.72E-7</v>
      </c>
      <c r="AI221" s="140">
        <f t="shared" si="80"/>
        <v>5.5799999999999999E-7</v>
      </c>
      <c r="AJ221" s="140">
        <f t="shared" si="81"/>
        <v>7.440000000000001E-7</v>
      </c>
      <c r="AK221" s="140">
        <f t="shared" si="82"/>
        <v>9.300000000000001E-7</v>
      </c>
      <c r="AL221" s="157">
        <f t="shared" si="83"/>
        <v>1.2</v>
      </c>
      <c r="AM221" s="156">
        <f t="shared" si="84"/>
        <v>9.9999999999999995E-8</v>
      </c>
      <c r="AO221" s="140">
        <f t="shared" si="85"/>
        <v>1.8600000000000001E-5</v>
      </c>
      <c r="AP221">
        <v>1.86</v>
      </c>
      <c r="AQ221" s="140">
        <f t="shared" si="86"/>
        <v>1.8599999999999994E-7</v>
      </c>
      <c r="AR221" s="140">
        <f t="shared" si="87"/>
        <v>3.72E-7</v>
      </c>
      <c r="AS221" s="140">
        <f t="shared" si="88"/>
        <v>5.5799999999999999E-7</v>
      </c>
      <c r="AT221" s="140">
        <f t="shared" si="89"/>
        <v>7.440000000000001E-7</v>
      </c>
      <c r="AU221" s="140">
        <f t="shared" si="90"/>
        <v>9.300000000000001E-7</v>
      </c>
      <c r="AV221" s="157">
        <f t="shared" si="91"/>
        <v>1.2</v>
      </c>
      <c r="AW221" s="156">
        <f t="shared" si="92"/>
        <v>9.9999999999999995E-8</v>
      </c>
      <c r="AY221" s="140">
        <f t="shared" si="93"/>
        <v>1.8600000000000001E-5</v>
      </c>
      <c r="AZ221">
        <v>1.86</v>
      </c>
      <c r="BA221" s="140">
        <f t="shared" si="94"/>
        <v>1.8599999999999994E-7</v>
      </c>
      <c r="BB221" s="140">
        <f t="shared" si="95"/>
        <v>3.72E-7</v>
      </c>
      <c r="BC221" s="140">
        <f t="shared" si="96"/>
        <v>5.5799999999999999E-7</v>
      </c>
      <c r="BD221" s="140">
        <f t="shared" si="97"/>
        <v>7.440000000000001E-7</v>
      </c>
      <c r="BE221" s="140">
        <f t="shared" si="98"/>
        <v>9.300000000000001E-7</v>
      </c>
      <c r="BF221" s="157">
        <f>IF(AY221&lt;$B$89*DATA!$H$1037,DATA!$H$1037,IF(AY221&gt;DATA!$H$1036*$B$89,DATA!$H$1036,1))</f>
        <v>1.2</v>
      </c>
      <c r="BG221" s="156">
        <f t="shared" si="99"/>
        <v>9.9999999999999995E-8</v>
      </c>
      <c r="BI221" s="140">
        <f t="shared" si="100"/>
        <v>1.8600000000000001E-5</v>
      </c>
      <c r="BJ221">
        <v>1.86</v>
      </c>
      <c r="BK221" s="140">
        <f t="shared" si="101"/>
        <v>1.8599999999999994E-7</v>
      </c>
      <c r="BL221" s="140">
        <f t="shared" si="102"/>
        <v>3.72E-7</v>
      </c>
      <c r="BM221" s="140">
        <f t="shared" si="103"/>
        <v>5.5799999999999999E-7</v>
      </c>
      <c r="BN221" s="140">
        <f t="shared" si="104"/>
        <v>7.440000000000001E-7</v>
      </c>
      <c r="BO221" s="140">
        <f t="shared" si="105"/>
        <v>9.300000000000001E-7</v>
      </c>
      <c r="BP221" s="157">
        <f>IF(BI221&lt;$B$105*DATA!$H$1037,DATA!$H$1037,IF(BI221&gt;DATA!$H$1036*$B$105,DATA!$H$1036,1))</f>
        <v>1.2</v>
      </c>
      <c r="BQ221" s="156">
        <f t="shared" si="106"/>
        <v>9.9999999999999995E-8</v>
      </c>
    </row>
    <row r="222" spans="1:69">
      <c r="A222" s="140">
        <f t="shared" si="59"/>
        <v>1.88E-5</v>
      </c>
      <c r="B222">
        <v>1.88</v>
      </c>
      <c r="C222" s="140">
        <f t="shared" si="57"/>
        <v>1.8799999999999994E-7</v>
      </c>
      <c r="D222" s="140">
        <f t="shared" si="57"/>
        <v>3.7599999999999993E-7</v>
      </c>
      <c r="E222" s="140">
        <f t="shared" si="57"/>
        <v>5.6399999999999992E-7</v>
      </c>
      <c r="F222" s="140">
        <f t="shared" si="57"/>
        <v>7.5199999999999996E-7</v>
      </c>
      <c r="G222" s="140">
        <f t="shared" si="57"/>
        <v>9.4E-7</v>
      </c>
      <c r="H222" s="124">
        <f t="shared" si="60"/>
        <v>0.8</v>
      </c>
      <c r="I222" s="156">
        <f t="shared" si="61"/>
        <v>9.9999999999999995E-8</v>
      </c>
      <c r="K222" s="140">
        <f t="shared" si="62"/>
        <v>1.88E-5</v>
      </c>
      <c r="L222">
        <v>1.88</v>
      </c>
      <c r="M222" s="140">
        <f t="shared" si="63"/>
        <v>1.8799999999999994E-7</v>
      </c>
      <c r="N222" s="140">
        <f t="shared" si="64"/>
        <v>3.7599999999999993E-7</v>
      </c>
      <c r="O222" s="140">
        <f t="shared" si="65"/>
        <v>5.6399999999999992E-7</v>
      </c>
      <c r="P222" s="140">
        <f t="shared" si="58"/>
        <v>7.5199999999999996E-7</v>
      </c>
      <c r="Q222" s="140">
        <f t="shared" si="66"/>
        <v>9.4E-7</v>
      </c>
      <c r="R222" s="157">
        <f t="shared" si="67"/>
        <v>0.8</v>
      </c>
      <c r="S222" s="156">
        <f t="shared" si="68"/>
        <v>9.9999999999999995E-8</v>
      </c>
      <c r="U222" s="140">
        <f t="shared" si="69"/>
        <v>1.88E-5</v>
      </c>
      <c r="V222">
        <v>1.88</v>
      </c>
      <c r="W222" s="140">
        <f t="shared" si="70"/>
        <v>1.8799999999999994E-7</v>
      </c>
      <c r="X222" s="140">
        <f t="shared" si="71"/>
        <v>3.7599999999999993E-7</v>
      </c>
      <c r="Y222" s="140">
        <f t="shared" si="72"/>
        <v>5.6399999999999992E-7</v>
      </c>
      <c r="Z222" s="140">
        <f t="shared" si="73"/>
        <v>7.5199999999999996E-7</v>
      </c>
      <c r="AA222" s="140">
        <f t="shared" si="74"/>
        <v>9.4E-7</v>
      </c>
      <c r="AB222" s="157">
        <f t="shared" si="75"/>
        <v>0.8</v>
      </c>
      <c r="AC222" s="156">
        <f t="shared" si="76"/>
        <v>9.9999999999999995E-8</v>
      </c>
      <c r="AE222" s="140">
        <f t="shared" si="77"/>
        <v>1.88E-5</v>
      </c>
      <c r="AF222">
        <v>1.88</v>
      </c>
      <c r="AG222" s="140">
        <f t="shared" si="78"/>
        <v>1.8799999999999994E-7</v>
      </c>
      <c r="AH222" s="140">
        <f t="shared" si="79"/>
        <v>3.7599999999999993E-7</v>
      </c>
      <c r="AI222" s="140">
        <f t="shared" si="80"/>
        <v>5.6399999999999992E-7</v>
      </c>
      <c r="AJ222" s="140">
        <f t="shared" si="81"/>
        <v>7.5199999999999996E-7</v>
      </c>
      <c r="AK222" s="140">
        <f t="shared" si="82"/>
        <v>9.4E-7</v>
      </c>
      <c r="AL222" s="157">
        <f t="shared" si="83"/>
        <v>1.2</v>
      </c>
      <c r="AM222" s="156">
        <f t="shared" si="84"/>
        <v>9.9999999999999995E-8</v>
      </c>
      <c r="AO222" s="140">
        <f t="shared" si="85"/>
        <v>1.88E-5</v>
      </c>
      <c r="AP222">
        <v>1.88</v>
      </c>
      <c r="AQ222" s="140">
        <f t="shared" si="86"/>
        <v>1.8799999999999994E-7</v>
      </c>
      <c r="AR222" s="140">
        <f t="shared" si="87"/>
        <v>3.7599999999999993E-7</v>
      </c>
      <c r="AS222" s="140">
        <f t="shared" si="88"/>
        <v>5.6399999999999992E-7</v>
      </c>
      <c r="AT222" s="140">
        <f t="shared" si="89"/>
        <v>7.5199999999999996E-7</v>
      </c>
      <c r="AU222" s="140">
        <f t="shared" si="90"/>
        <v>9.4E-7</v>
      </c>
      <c r="AV222" s="157">
        <f t="shared" si="91"/>
        <v>1.2</v>
      </c>
      <c r="AW222" s="156">
        <f t="shared" si="92"/>
        <v>9.9999999999999995E-8</v>
      </c>
      <c r="AY222" s="140">
        <f t="shared" si="93"/>
        <v>1.88E-5</v>
      </c>
      <c r="AZ222">
        <v>1.88</v>
      </c>
      <c r="BA222" s="140">
        <f t="shared" si="94"/>
        <v>1.8799999999999994E-7</v>
      </c>
      <c r="BB222" s="140">
        <f t="shared" si="95"/>
        <v>3.7599999999999993E-7</v>
      </c>
      <c r="BC222" s="140">
        <f t="shared" si="96"/>
        <v>5.6399999999999992E-7</v>
      </c>
      <c r="BD222" s="140">
        <f t="shared" si="97"/>
        <v>7.5199999999999996E-7</v>
      </c>
      <c r="BE222" s="140">
        <f t="shared" si="98"/>
        <v>9.4E-7</v>
      </c>
      <c r="BF222" s="157">
        <f>IF(AY222&lt;$B$89*DATA!$H$1037,DATA!$H$1037,IF(AY222&gt;DATA!$H$1036*$B$89,DATA!$H$1036,1))</f>
        <v>1.2</v>
      </c>
      <c r="BG222" s="156">
        <f t="shared" si="99"/>
        <v>9.9999999999999995E-8</v>
      </c>
      <c r="BI222" s="140">
        <f t="shared" si="100"/>
        <v>1.88E-5</v>
      </c>
      <c r="BJ222">
        <v>1.88</v>
      </c>
      <c r="BK222" s="140">
        <f t="shared" si="101"/>
        <v>1.8799999999999994E-7</v>
      </c>
      <c r="BL222" s="140">
        <f t="shared" si="102"/>
        <v>3.7599999999999993E-7</v>
      </c>
      <c r="BM222" s="140">
        <f t="shared" si="103"/>
        <v>5.6399999999999992E-7</v>
      </c>
      <c r="BN222" s="140">
        <f t="shared" si="104"/>
        <v>7.5199999999999996E-7</v>
      </c>
      <c r="BO222" s="140">
        <f t="shared" si="105"/>
        <v>9.4E-7</v>
      </c>
      <c r="BP222" s="157">
        <f>IF(BI222&lt;$B$105*DATA!$H$1037,DATA!$H$1037,IF(BI222&gt;DATA!$H$1036*$B$105,DATA!$H$1036,1))</f>
        <v>1.2</v>
      </c>
      <c r="BQ222" s="156">
        <f t="shared" si="106"/>
        <v>9.9999999999999995E-8</v>
      </c>
    </row>
    <row r="223" spans="1:69">
      <c r="A223" s="140">
        <f t="shared" si="59"/>
        <v>1.9000000000000001E-5</v>
      </c>
      <c r="B223">
        <v>1.9</v>
      </c>
      <c r="C223" s="140">
        <f t="shared" ref="C223:G238" si="107">C$142*$A223</f>
        <v>1.8999999999999995E-7</v>
      </c>
      <c r="D223" s="140">
        <f t="shared" si="107"/>
        <v>3.7999999999999996E-7</v>
      </c>
      <c r="E223" s="140">
        <f t="shared" si="107"/>
        <v>5.7000000000000005E-7</v>
      </c>
      <c r="F223" s="140">
        <f t="shared" si="107"/>
        <v>7.6000000000000003E-7</v>
      </c>
      <c r="G223" s="140">
        <f t="shared" si="107"/>
        <v>9.5000000000000012E-7</v>
      </c>
      <c r="H223" s="124">
        <f t="shared" si="60"/>
        <v>0.8</v>
      </c>
      <c r="I223" s="156">
        <f t="shared" si="61"/>
        <v>9.9999999999999995E-8</v>
      </c>
      <c r="K223" s="140">
        <f t="shared" si="62"/>
        <v>1.9000000000000001E-5</v>
      </c>
      <c r="L223">
        <v>1.9</v>
      </c>
      <c r="M223" s="140">
        <f t="shared" si="63"/>
        <v>1.8999999999999995E-7</v>
      </c>
      <c r="N223" s="140">
        <f t="shared" si="64"/>
        <v>3.7999999999999996E-7</v>
      </c>
      <c r="O223" s="140">
        <f t="shared" si="65"/>
        <v>5.7000000000000005E-7</v>
      </c>
      <c r="P223" s="140">
        <f t="shared" si="58"/>
        <v>7.6000000000000003E-7</v>
      </c>
      <c r="Q223" s="140">
        <f t="shared" si="66"/>
        <v>9.5000000000000012E-7</v>
      </c>
      <c r="R223" s="157">
        <f t="shared" si="67"/>
        <v>0.8</v>
      </c>
      <c r="S223" s="156">
        <f t="shared" si="68"/>
        <v>9.9999999999999995E-8</v>
      </c>
      <c r="U223" s="140">
        <f t="shared" si="69"/>
        <v>1.9000000000000001E-5</v>
      </c>
      <c r="V223">
        <v>1.9</v>
      </c>
      <c r="W223" s="140">
        <f t="shared" si="70"/>
        <v>1.8999999999999995E-7</v>
      </c>
      <c r="X223" s="140">
        <f t="shared" si="71"/>
        <v>3.7999999999999996E-7</v>
      </c>
      <c r="Y223" s="140">
        <f t="shared" si="72"/>
        <v>5.7000000000000005E-7</v>
      </c>
      <c r="Z223" s="140">
        <f t="shared" si="73"/>
        <v>7.6000000000000003E-7</v>
      </c>
      <c r="AA223" s="140">
        <f t="shared" si="74"/>
        <v>9.5000000000000012E-7</v>
      </c>
      <c r="AB223" s="157">
        <f t="shared" si="75"/>
        <v>0.8</v>
      </c>
      <c r="AC223" s="156">
        <f t="shared" si="76"/>
        <v>9.9999999999999995E-8</v>
      </c>
      <c r="AE223" s="140">
        <f t="shared" si="77"/>
        <v>1.9000000000000001E-5</v>
      </c>
      <c r="AF223">
        <v>1.9</v>
      </c>
      <c r="AG223" s="140">
        <f t="shared" si="78"/>
        <v>1.8999999999999995E-7</v>
      </c>
      <c r="AH223" s="140">
        <f t="shared" si="79"/>
        <v>3.7999999999999996E-7</v>
      </c>
      <c r="AI223" s="140">
        <f t="shared" si="80"/>
        <v>5.7000000000000005E-7</v>
      </c>
      <c r="AJ223" s="140">
        <f t="shared" si="81"/>
        <v>7.6000000000000003E-7</v>
      </c>
      <c r="AK223" s="140">
        <f t="shared" si="82"/>
        <v>9.5000000000000012E-7</v>
      </c>
      <c r="AL223" s="157">
        <f t="shared" si="83"/>
        <v>1.2</v>
      </c>
      <c r="AM223" s="156">
        <f t="shared" si="84"/>
        <v>9.9999999999999995E-8</v>
      </c>
      <c r="AO223" s="140">
        <f t="shared" si="85"/>
        <v>1.9000000000000001E-5</v>
      </c>
      <c r="AP223">
        <v>1.9</v>
      </c>
      <c r="AQ223" s="140">
        <f t="shared" si="86"/>
        <v>1.8999999999999995E-7</v>
      </c>
      <c r="AR223" s="140">
        <f t="shared" si="87"/>
        <v>3.7999999999999996E-7</v>
      </c>
      <c r="AS223" s="140">
        <f t="shared" si="88"/>
        <v>5.7000000000000005E-7</v>
      </c>
      <c r="AT223" s="140">
        <f t="shared" si="89"/>
        <v>7.6000000000000003E-7</v>
      </c>
      <c r="AU223" s="140">
        <f t="shared" si="90"/>
        <v>9.5000000000000012E-7</v>
      </c>
      <c r="AV223" s="157">
        <f t="shared" si="91"/>
        <v>1.2</v>
      </c>
      <c r="AW223" s="156">
        <f t="shared" si="92"/>
        <v>9.9999999999999995E-8</v>
      </c>
      <c r="AY223" s="140">
        <f t="shared" si="93"/>
        <v>1.9000000000000001E-5</v>
      </c>
      <c r="AZ223">
        <v>1.9</v>
      </c>
      <c r="BA223" s="140">
        <f t="shared" si="94"/>
        <v>1.8999999999999995E-7</v>
      </c>
      <c r="BB223" s="140">
        <f t="shared" si="95"/>
        <v>3.7999999999999996E-7</v>
      </c>
      <c r="BC223" s="140">
        <f t="shared" si="96"/>
        <v>5.7000000000000005E-7</v>
      </c>
      <c r="BD223" s="140">
        <f t="shared" si="97"/>
        <v>7.6000000000000003E-7</v>
      </c>
      <c r="BE223" s="140">
        <f t="shared" si="98"/>
        <v>9.5000000000000012E-7</v>
      </c>
      <c r="BF223" s="157">
        <f>IF(AY223&lt;$B$89*DATA!$H$1037,DATA!$H$1037,IF(AY223&gt;DATA!$H$1036*$B$89,DATA!$H$1036,1))</f>
        <v>1.2</v>
      </c>
      <c r="BG223" s="156">
        <f t="shared" si="99"/>
        <v>9.9999999999999995E-8</v>
      </c>
      <c r="BI223" s="140">
        <f t="shared" si="100"/>
        <v>1.9000000000000001E-5</v>
      </c>
      <c r="BJ223">
        <v>1.9</v>
      </c>
      <c r="BK223" s="140">
        <f t="shared" si="101"/>
        <v>1.8999999999999995E-7</v>
      </c>
      <c r="BL223" s="140">
        <f t="shared" si="102"/>
        <v>3.7999999999999996E-7</v>
      </c>
      <c r="BM223" s="140">
        <f t="shared" si="103"/>
        <v>5.7000000000000005E-7</v>
      </c>
      <c r="BN223" s="140">
        <f t="shared" si="104"/>
        <v>7.6000000000000003E-7</v>
      </c>
      <c r="BO223" s="140">
        <f t="shared" si="105"/>
        <v>9.5000000000000012E-7</v>
      </c>
      <c r="BP223" s="157">
        <f>IF(BI223&lt;$B$105*DATA!$H$1037,DATA!$H$1037,IF(BI223&gt;DATA!$H$1036*$B$105,DATA!$H$1036,1))</f>
        <v>1.2</v>
      </c>
      <c r="BQ223" s="156">
        <f t="shared" si="106"/>
        <v>9.9999999999999995E-8</v>
      </c>
    </row>
    <row r="224" spans="1:69">
      <c r="A224" s="140">
        <f t="shared" si="59"/>
        <v>1.9200000000000003E-5</v>
      </c>
      <c r="B224">
        <v>1.92</v>
      </c>
      <c r="C224" s="140">
        <f t="shared" si="107"/>
        <v>1.9199999999999997E-7</v>
      </c>
      <c r="D224" s="140">
        <f t="shared" si="107"/>
        <v>3.84E-7</v>
      </c>
      <c r="E224" s="140">
        <f t="shared" si="107"/>
        <v>5.7600000000000008E-7</v>
      </c>
      <c r="F224" s="140">
        <f t="shared" si="107"/>
        <v>7.680000000000001E-7</v>
      </c>
      <c r="G224" s="140">
        <f t="shared" si="107"/>
        <v>9.6000000000000013E-7</v>
      </c>
      <c r="H224" s="124">
        <f t="shared" si="60"/>
        <v>0.8</v>
      </c>
      <c r="I224" s="156">
        <f t="shared" si="61"/>
        <v>9.9999999999999995E-8</v>
      </c>
      <c r="K224" s="140">
        <f t="shared" si="62"/>
        <v>1.9200000000000003E-5</v>
      </c>
      <c r="L224">
        <v>1.92</v>
      </c>
      <c r="M224" s="140">
        <f t="shared" si="63"/>
        <v>1.9199999999999997E-7</v>
      </c>
      <c r="N224" s="140">
        <f t="shared" si="64"/>
        <v>3.84E-7</v>
      </c>
      <c r="O224" s="140">
        <f t="shared" si="65"/>
        <v>5.7600000000000008E-7</v>
      </c>
      <c r="P224" s="140">
        <f t="shared" si="58"/>
        <v>7.680000000000001E-7</v>
      </c>
      <c r="Q224" s="140">
        <f t="shared" si="66"/>
        <v>9.6000000000000013E-7</v>
      </c>
      <c r="R224" s="157">
        <f t="shared" si="67"/>
        <v>0.8</v>
      </c>
      <c r="S224" s="156">
        <f t="shared" si="68"/>
        <v>9.9999999999999995E-8</v>
      </c>
      <c r="U224" s="140">
        <f t="shared" si="69"/>
        <v>1.9200000000000003E-5</v>
      </c>
      <c r="V224">
        <v>1.92</v>
      </c>
      <c r="W224" s="140">
        <f t="shared" si="70"/>
        <v>1.9199999999999997E-7</v>
      </c>
      <c r="X224" s="140">
        <f t="shared" si="71"/>
        <v>3.84E-7</v>
      </c>
      <c r="Y224" s="140">
        <f t="shared" si="72"/>
        <v>5.7600000000000008E-7</v>
      </c>
      <c r="Z224" s="140">
        <f t="shared" si="73"/>
        <v>7.680000000000001E-7</v>
      </c>
      <c r="AA224" s="140">
        <f t="shared" si="74"/>
        <v>9.6000000000000013E-7</v>
      </c>
      <c r="AB224" s="157">
        <f t="shared" si="75"/>
        <v>0.8</v>
      </c>
      <c r="AC224" s="156">
        <f t="shared" si="76"/>
        <v>9.9999999999999995E-8</v>
      </c>
      <c r="AE224" s="140">
        <f t="shared" si="77"/>
        <v>1.9200000000000003E-5</v>
      </c>
      <c r="AF224">
        <v>1.92</v>
      </c>
      <c r="AG224" s="140">
        <f t="shared" si="78"/>
        <v>1.9199999999999997E-7</v>
      </c>
      <c r="AH224" s="140">
        <f t="shared" si="79"/>
        <v>3.84E-7</v>
      </c>
      <c r="AI224" s="140">
        <f t="shared" si="80"/>
        <v>5.7600000000000008E-7</v>
      </c>
      <c r="AJ224" s="140">
        <f t="shared" si="81"/>
        <v>7.680000000000001E-7</v>
      </c>
      <c r="AK224" s="140">
        <f t="shared" si="82"/>
        <v>9.6000000000000013E-7</v>
      </c>
      <c r="AL224" s="157">
        <f t="shared" si="83"/>
        <v>1.2</v>
      </c>
      <c r="AM224" s="156">
        <f t="shared" si="84"/>
        <v>9.9999999999999995E-8</v>
      </c>
      <c r="AO224" s="140">
        <f t="shared" si="85"/>
        <v>1.9200000000000003E-5</v>
      </c>
      <c r="AP224">
        <v>1.92</v>
      </c>
      <c r="AQ224" s="140">
        <f t="shared" si="86"/>
        <v>1.9199999999999997E-7</v>
      </c>
      <c r="AR224" s="140">
        <f t="shared" si="87"/>
        <v>3.84E-7</v>
      </c>
      <c r="AS224" s="140">
        <f t="shared" si="88"/>
        <v>5.7600000000000008E-7</v>
      </c>
      <c r="AT224" s="140">
        <f t="shared" si="89"/>
        <v>7.680000000000001E-7</v>
      </c>
      <c r="AU224" s="140">
        <f t="shared" si="90"/>
        <v>9.6000000000000013E-7</v>
      </c>
      <c r="AV224" s="157">
        <f t="shared" si="91"/>
        <v>1.2</v>
      </c>
      <c r="AW224" s="156">
        <f t="shared" si="92"/>
        <v>9.9999999999999995E-8</v>
      </c>
      <c r="AY224" s="140">
        <f t="shared" si="93"/>
        <v>1.9200000000000003E-5</v>
      </c>
      <c r="AZ224">
        <v>1.92</v>
      </c>
      <c r="BA224" s="140">
        <f t="shared" si="94"/>
        <v>1.9199999999999997E-7</v>
      </c>
      <c r="BB224" s="140">
        <f t="shared" si="95"/>
        <v>3.84E-7</v>
      </c>
      <c r="BC224" s="140">
        <f t="shared" si="96"/>
        <v>5.7600000000000008E-7</v>
      </c>
      <c r="BD224" s="140">
        <f t="shared" si="97"/>
        <v>7.680000000000001E-7</v>
      </c>
      <c r="BE224" s="140">
        <f t="shared" si="98"/>
        <v>9.6000000000000013E-7</v>
      </c>
      <c r="BF224" s="157">
        <f>IF(AY224&lt;$B$89*DATA!$H$1037,DATA!$H$1037,IF(AY224&gt;DATA!$H$1036*$B$89,DATA!$H$1036,1))</f>
        <v>1.2</v>
      </c>
      <c r="BG224" s="156">
        <f t="shared" si="99"/>
        <v>9.9999999999999995E-8</v>
      </c>
      <c r="BI224" s="140">
        <f t="shared" si="100"/>
        <v>1.9200000000000003E-5</v>
      </c>
      <c r="BJ224">
        <v>1.92</v>
      </c>
      <c r="BK224" s="140">
        <f t="shared" si="101"/>
        <v>1.9199999999999997E-7</v>
      </c>
      <c r="BL224" s="140">
        <f t="shared" si="102"/>
        <v>3.84E-7</v>
      </c>
      <c r="BM224" s="140">
        <f t="shared" si="103"/>
        <v>5.7600000000000008E-7</v>
      </c>
      <c r="BN224" s="140">
        <f t="shared" si="104"/>
        <v>7.680000000000001E-7</v>
      </c>
      <c r="BO224" s="140">
        <f t="shared" si="105"/>
        <v>9.6000000000000013E-7</v>
      </c>
      <c r="BP224" s="157">
        <f>IF(BI224&lt;$B$105*DATA!$H$1037,DATA!$H$1037,IF(BI224&gt;DATA!$H$1036*$B$105,DATA!$H$1036,1))</f>
        <v>1.2</v>
      </c>
      <c r="BQ224" s="156">
        <f t="shared" si="106"/>
        <v>9.9999999999999995E-8</v>
      </c>
    </row>
    <row r="225" spans="1:69">
      <c r="A225" s="140">
        <f t="shared" si="59"/>
        <v>1.9400000000000001E-5</v>
      </c>
      <c r="B225">
        <v>1.94</v>
      </c>
      <c r="C225" s="140">
        <f t="shared" si="107"/>
        <v>1.9399999999999994E-7</v>
      </c>
      <c r="D225" s="140">
        <f t="shared" si="107"/>
        <v>3.8799999999999993E-7</v>
      </c>
      <c r="E225" s="140">
        <f t="shared" si="107"/>
        <v>5.82E-7</v>
      </c>
      <c r="F225" s="140">
        <f t="shared" si="107"/>
        <v>7.7600000000000007E-7</v>
      </c>
      <c r="G225" s="140">
        <f t="shared" si="107"/>
        <v>9.7000000000000003E-7</v>
      </c>
      <c r="H225" s="124">
        <f t="shared" si="60"/>
        <v>0.8</v>
      </c>
      <c r="I225" s="156">
        <f t="shared" si="61"/>
        <v>9.9999999999999995E-8</v>
      </c>
      <c r="K225" s="140">
        <f t="shared" si="62"/>
        <v>1.9400000000000001E-5</v>
      </c>
      <c r="L225">
        <v>1.94</v>
      </c>
      <c r="M225" s="140">
        <f t="shared" si="63"/>
        <v>1.9399999999999994E-7</v>
      </c>
      <c r="N225" s="140">
        <f t="shared" si="64"/>
        <v>3.8799999999999993E-7</v>
      </c>
      <c r="O225" s="140">
        <f t="shared" si="65"/>
        <v>5.82E-7</v>
      </c>
      <c r="P225" s="140">
        <f t="shared" si="58"/>
        <v>7.7600000000000007E-7</v>
      </c>
      <c r="Q225" s="140">
        <f t="shared" si="66"/>
        <v>9.7000000000000003E-7</v>
      </c>
      <c r="R225" s="157">
        <f t="shared" si="67"/>
        <v>0.8</v>
      </c>
      <c r="S225" s="156">
        <f t="shared" si="68"/>
        <v>9.9999999999999995E-8</v>
      </c>
      <c r="U225" s="140">
        <f t="shared" si="69"/>
        <v>1.9400000000000001E-5</v>
      </c>
      <c r="V225">
        <v>1.94</v>
      </c>
      <c r="W225" s="140">
        <f t="shared" si="70"/>
        <v>1.9399999999999994E-7</v>
      </c>
      <c r="X225" s="140">
        <f t="shared" si="71"/>
        <v>3.8799999999999993E-7</v>
      </c>
      <c r="Y225" s="140">
        <f t="shared" si="72"/>
        <v>5.82E-7</v>
      </c>
      <c r="Z225" s="140">
        <f t="shared" si="73"/>
        <v>7.7600000000000007E-7</v>
      </c>
      <c r="AA225" s="140">
        <f t="shared" si="74"/>
        <v>9.7000000000000003E-7</v>
      </c>
      <c r="AB225" s="157">
        <f t="shared" si="75"/>
        <v>0.8</v>
      </c>
      <c r="AC225" s="156">
        <f t="shared" si="76"/>
        <v>9.9999999999999995E-8</v>
      </c>
      <c r="AE225" s="140">
        <f t="shared" si="77"/>
        <v>1.9400000000000001E-5</v>
      </c>
      <c r="AF225">
        <v>1.94</v>
      </c>
      <c r="AG225" s="140">
        <f t="shared" si="78"/>
        <v>1.9399999999999994E-7</v>
      </c>
      <c r="AH225" s="140">
        <f t="shared" si="79"/>
        <v>3.8799999999999993E-7</v>
      </c>
      <c r="AI225" s="140">
        <f t="shared" si="80"/>
        <v>5.82E-7</v>
      </c>
      <c r="AJ225" s="140">
        <f t="shared" si="81"/>
        <v>7.7600000000000007E-7</v>
      </c>
      <c r="AK225" s="140">
        <f t="shared" si="82"/>
        <v>9.7000000000000003E-7</v>
      </c>
      <c r="AL225" s="157">
        <f t="shared" si="83"/>
        <v>1.2</v>
      </c>
      <c r="AM225" s="156">
        <f t="shared" si="84"/>
        <v>9.9999999999999995E-8</v>
      </c>
      <c r="AO225" s="140">
        <f t="shared" si="85"/>
        <v>1.9400000000000001E-5</v>
      </c>
      <c r="AP225">
        <v>1.94</v>
      </c>
      <c r="AQ225" s="140">
        <f t="shared" si="86"/>
        <v>1.9399999999999994E-7</v>
      </c>
      <c r="AR225" s="140">
        <f t="shared" si="87"/>
        <v>3.8799999999999993E-7</v>
      </c>
      <c r="AS225" s="140">
        <f t="shared" si="88"/>
        <v>5.82E-7</v>
      </c>
      <c r="AT225" s="140">
        <f t="shared" si="89"/>
        <v>7.7600000000000007E-7</v>
      </c>
      <c r="AU225" s="140">
        <f t="shared" si="90"/>
        <v>9.7000000000000003E-7</v>
      </c>
      <c r="AV225" s="157">
        <f t="shared" si="91"/>
        <v>1.2</v>
      </c>
      <c r="AW225" s="156">
        <f t="shared" si="92"/>
        <v>9.9999999999999995E-8</v>
      </c>
      <c r="AY225" s="140">
        <f t="shared" si="93"/>
        <v>1.9400000000000001E-5</v>
      </c>
      <c r="AZ225">
        <v>1.94</v>
      </c>
      <c r="BA225" s="140">
        <f t="shared" si="94"/>
        <v>1.9399999999999994E-7</v>
      </c>
      <c r="BB225" s="140">
        <f t="shared" si="95"/>
        <v>3.8799999999999993E-7</v>
      </c>
      <c r="BC225" s="140">
        <f t="shared" si="96"/>
        <v>5.82E-7</v>
      </c>
      <c r="BD225" s="140">
        <f t="shared" si="97"/>
        <v>7.7600000000000007E-7</v>
      </c>
      <c r="BE225" s="140">
        <f t="shared" si="98"/>
        <v>9.7000000000000003E-7</v>
      </c>
      <c r="BF225" s="157">
        <f>IF(AY225&lt;$B$89*DATA!$H$1037,DATA!$H$1037,IF(AY225&gt;DATA!$H$1036*$B$89,DATA!$H$1036,1))</f>
        <v>1.2</v>
      </c>
      <c r="BG225" s="156">
        <f t="shared" si="99"/>
        <v>9.9999999999999995E-8</v>
      </c>
      <c r="BI225" s="140">
        <f t="shared" si="100"/>
        <v>1.9400000000000001E-5</v>
      </c>
      <c r="BJ225">
        <v>1.94</v>
      </c>
      <c r="BK225" s="140">
        <f t="shared" si="101"/>
        <v>1.9399999999999994E-7</v>
      </c>
      <c r="BL225" s="140">
        <f t="shared" si="102"/>
        <v>3.8799999999999993E-7</v>
      </c>
      <c r="BM225" s="140">
        <f t="shared" si="103"/>
        <v>5.82E-7</v>
      </c>
      <c r="BN225" s="140">
        <f t="shared" si="104"/>
        <v>7.7600000000000007E-7</v>
      </c>
      <c r="BO225" s="140">
        <f t="shared" si="105"/>
        <v>9.7000000000000003E-7</v>
      </c>
      <c r="BP225" s="157">
        <f>IF(BI225&lt;$B$105*DATA!$H$1037,DATA!$H$1037,IF(BI225&gt;DATA!$H$1036*$B$105,DATA!$H$1036,1))</f>
        <v>1.2</v>
      </c>
      <c r="BQ225" s="156">
        <f t="shared" si="106"/>
        <v>9.9999999999999995E-8</v>
      </c>
    </row>
    <row r="226" spans="1:69">
      <c r="A226" s="140">
        <f t="shared" si="59"/>
        <v>1.9600000000000002E-5</v>
      </c>
      <c r="B226">
        <v>1.96</v>
      </c>
      <c r="C226" s="140">
        <f t="shared" si="107"/>
        <v>1.9599999999999996E-7</v>
      </c>
      <c r="D226" s="140">
        <f t="shared" si="107"/>
        <v>3.9199999999999996E-7</v>
      </c>
      <c r="E226" s="140">
        <f t="shared" si="107"/>
        <v>5.8800000000000002E-7</v>
      </c>
      <c r="F226" s="140">
        <f t="shared" si="107"/>
        <v>7.8400000000000014E-7</v>
      </c>
      <c r="G226" s="140">
        <f t="shared" si="107"/>
        <v>9.8000000000000015E-7</v>
      </c>
      <c r="H226" s="124">
        <f t="shared" si="60"/>
        <v>0.8</v>
      </c>
      <c r="I226" s="156">
        <f t="shared" si="61"/>
        <v>9.9999999999999995E-8</v>
      </c>
      <c r="K226" s="140">
        <f t="shared" si="62"/>
        <v>1.9600000000000002E-5</v>
      </c>
      <c r="L226">
        <v>1.96</v>
      </c>
      <c r="M226" s="140">
        <f t="shared" si="63"/>
        <v>1.9599999999999996E-7</v>
      </c>
      <c r="N226" s="140">
        <f t="shared" si="64"/>
        <v>3.9199999999999996E-7</v>
      </c>
      <c r="O226" s="140">
        <f t="shared" si="65"/>
        <v>5.8800000000000002E-7</v>
      </c>
      <c r="P226" s="140">
        <f t="shared" si="58"/>
        <v>7.8400000000000014E-7</v>
      </c>
      <c r="Q226" s="140">
        <f t="shared" si="66"/>
        <v>9.8000000000000015E-7</v>
      </c>
      <c r="R226" s="157">
        <f t="shared" si="67"/>
        <v>0.8</v>
      </c>
      <c r="S226" s="156">
        <f t="shared" si="68"/>
        <v>9.9999999999999995E-8</v>
      </c>
      <c r="U226" s="140">
        <f t="shared" si="69"/>
        <v>1.9600000000000002E-5</v>
      </c>
      <c r="V226">
        <v>1.96</v>
      </c>
      <c r="W226" s="140">
        <f t="shared" si="70"/>
        <v>1.9599999999999996E-7</v>
      </c>
      <c r="X226" s="140">
        <f t="shared" si="71"/>
        <v>3.9199999999999996E-7</v>
      </c>
      <c r="Y226" s="140">
        <f t="shared" si="72"/>
        <v>5.8800000000000002E-7</v>
      </c>
      <c r="Z226" s="140">
        <f t="shared" si="73"/>
        <v>7.8400000000000014E-7</v>
      </c>
      <c r="AA226" s="140">
        <f t="shared" si="74"/>
        <v>9.8000000000000015E-7</v>
      </c>
      <c r="AB226" s="157">
        <f t="shared" si="75"/>
        <v>0.8</v>
      </c>
      <c r="AC226" s="156">
        <f t="shared" si="76"/>
        <v>9.9999999999999995E-8</v>
      </c>
      <c r="AE226" s="140">
        <f t="shared" si="77"/>
        <v>1.9600000000000002E-5</v>
      </c>
      <c r="AF226">
        <v>1.96</v>
      </c>
      <c r="AG226" s="140">
        <f t="shared" si="78"/>
        <v>1.9599999999999996E-7</v>
      </c>
      <c r="AH226" s="140">
        <f t="shared" si="79"/>
        <v>3.9199999999999996E-7</v>
      </c>
      <c r="AI226" s="140">
        <f t="shared" si="80"/>
        <v>5.8800000000000002E-7</v>
      </c>
      <c r="AJ226" s="140">
        <f t="shared" si="81"/>
        <v>7.8400000000000014E-7</v>
      </c>
      <c r="AK226" s="140">
        <f t="shared" si="82"/>
        <v>9.8000000000000015E-7</v>
      </c>
      <c r="AL226" s="157">
        <f t="shared" si="83"/>
        <v>1.2</v>
      </c>
      <c r="AM226" s="156">
        <f t="shared" si="84"/>
        <v>9.9999999999999995E-8</v>
      </c>
      <c r="AO226" s="140">
        <f t="shared" si="85"/>
        <v>1.9600000000000002E-5</v>
      </c>
      <c r="AP226">
        <v>1.96</v>
      </c>
      <c r="AQ226" s="140">
        <f t="shared" si="86"/>
        <v>1.9599999999999996E-7</v>
      </c>
      <c r="AR226" s="140">
        <f t="shared" si="87"/>
        <v>3.9199999999999996E-7</v>
      </c>
      <c r="AS226" s="140">
        <f t="shared" si="88"/>
        <v>5.8800000000000002E-7</v>
      </c>
      <c r="AT226" s="140">
        <f t="shared" si="89"/>
        <v>7.8400000000000014E-7</v>
      </c>
      <c r="AU226" s="140">
        <f t="shared" si="90"/>
        <v>9.8000000000000015E-7</v>
      </c>
      <c r="AV226" s="157">
        <f t="shared" si="91"/>
        <v>1.2</v>
      </c>
      <c r="AW226" s="156">
        <f t="shared" si="92"/>
        <v>9.9999999999999995E-8</v>
      </c>
      <c r="AY226" s="140">
        <f t="shared" si="93"/>
        <v>1.9600000000000002E-5</v>
      </c>
      <c r="AZ226">
        <v>1.96</v>
      </c>
      <c r="BA226" s="140">
        <f t="shared" si="94"/>
        <v>1.9599999999999996E-7</v>
      </c>
      <c r="BB226" s="140">
        <f t="shared" si="95"/>
        <v>3.9199999999999996E-7</v>
      </c>
      <c r="BC226" s="140">
        <f t="shared" si="96"/>
        <v>5.8800000000000002E-7</v>
      </c>
      <c r="BD226" s="140">
        <f t="shared" si="97"/>
        <v>7.8400000000000014E-7</v>
      </c>
      <c r="BE226" s="140">
        <f t="shared" si="98"/>
        <v>9.8000000000000015E-7</v>
      </c>
      <c r="BF226" s="157">
        <f>IF(AY226&lt;$B$89*DATA!$H$1037,DATA!$H$1037,IF(AY226&gt;DATA!$H$1036*$B$89,DATA!$H$1036,1))</f>
        <v>1.2</v>
      </c>
      <c r="BG226" s="156">
        <f t="shared" si="99"/>
        <v>9.9999999999999995E-8</v>
      </c>
      <c r="BI226" s="140">
        <f t="shared" si="100"/>
        <v>1.9600000000000002E-5</v>
      </c>
      <c r="BJ226">
        <v>1.96</v>
      </c>
      <c r="BK226" s="140">
        <f t="shared" si="101"/>
        <v>1.9599999999999996E-7</v>
      </c>
      <c r="BL226" s="140">
        <f t="shared" si="102"/>
        <v>3.9199999999999996E-7</v>
      </c>
      <c r="BM226" s="140">
        <f t="shared" si="103"/>
        <v>5.8800000000000002E-7</v>
      </c>
      <c r="BN226" s="140">
        <f t="shared" si="104"/>
        <v>7.8400000000000014E-7</v>
      </c>
      <c r="BO226" s="140">
        <f t="shared" si="105"/>
        <v>9.8000000000000015E-7</v>
      </c>
      <c r="BP226" s="157">
        <f>IF(BI226&lt;$B$105*DATA!$H$1037,DATA!$H$1037,IF(BI226&gt;DATA!$H$1036*$B$105,DATA!$H$1036,1))</f>
        <v>1.2</v>
      </c>
      <c r="BQ226" s="156">
        <f t="shared" si="106"/>
        <v>9.9999999999999995E-8</v>
      </c>
    </row>
    <row r="227" spans="1:69">
      <c r="A227" s="140">
        <f t="shared" si="59"/>
        <v>1.98E-5</v>
      </c>
      <c r="B227">
        <v>1.98</v>
      </c>
      <c r="C227" s="140">
        <f t="shared" si="107"/>
        <v>1.9799999999999995E-7</v>
      </c>
      <c r="D227" s="140">
        <f t="shared" si="107"/>
        <v>3.9599999999999995E-7</v>
      </c>
      <c r="E227" s="140">
        <f t="shared" si="107"/>
        <v>5.9399999999999995E-7</v>
      </c>
      <c r="F227" s="140">
        <f t="shared" si="107"/>
        <v>7.92E-7</v>
      </c>
      <c r="G227" s="140">
        <f t="shared" si="107"/>
        <v>9.9000000000000005E-7</v>
      </c>
      <c r="H227" s="124">
        <f t="shared" si="60"/>
        <v>0.8</v>
      </c>
      <c r="I227" s="156">
        <f t="shared" si="61"/>
        <v>9.9999999999999995E-8</v>
      </c>
      <c r="K227" s="140">
        <f t="shared" si="62"/>
        <v>1.98E-5</v>
      </c>
      <c r="L227">
        <v>1.98</v>
      </c>
      <c r="M227" s="140">
        <f t="shared" si="63"/>
        <v>1.9799999999999995E-7</v>
      </c>
      <c r="N227" s="140">
        <f t="shared" si="64"/>
        <v>3.9599999999999995E-7</v>
      </c>
      <c r="O227" s="140">
        <f t="shared" si="65"/>
        <v>5.9399999999999995E-7</v>
      </c>
      <c r="P227" s="140">
        <f t="shared" si="58"/>
        <v>7.92E-7</v>
      </c>
      <c r="Q227" s="140">
        <f t="shared" si="66"/>
        <v>9.9000000000000005E-7</v>
      </c>
      <c r="R227" s="157">
        <f t="shared" si="67"/>
        <v>0.8</v>
      </c>
      <c r="S227" s="156">
        <f t="shared" si="68"/>
        <v>9.9999999999999995E-8</v>
      </c>
      <c r="U227" s="140">
        <f t="shared" si="69"/>
        <v>1.98E-5</v>
      </c>
      <c r="V227">
        <v>1.98</v>
      </c>
      <c r="W227" s="140">
        <f t="shared" si="70"/>
        <v>1.9799999999999995E-7</v>
      </c>
      <c r="X227" s="140">
        <f t="shared" si="71"/>
        <v>3.9599999999999995E-7</v>
      </c>
      <c r="Y227" s="140">
        <f t="shared" si="72"/>
        <v>5.9399999999999995E-7</v>
      </c>
      <c r="Z227" s="140">
        <f t="shared" si="73"/>
        <v>7.92E-7</v>
      </c>
      <c r="AA227" s="140">
        <f t="shared" si="74"/>
        <v>9.9000000000000005E-7</v>
      </c>
      <c r="AB227" s="157">
        <f t="shared" si="75"/>
        <v>0.8</v>
      </c>
      <c r="AC227" s="156">
        <f t="shared" si="76"/>
        <v>9.9999999999999995E-8</v>
      </c>
      <c r="AE227" s="140">
        <f t="shared" si="77"/>
        <v>1.98E-5</v>
      </c>
      <c r="AF227">
        <v>1.98</v>
      </c>
      <c r="AG227" s="140">
        <f t="shared" si="78"/>
        <v>1.9799999999999995E-7</v>
      </c>
      <c r="AH227" s="140">
        <f t="shared" si="79"/>
        <v>3.9599999999999995E-7</v>
      </c>
      <c r="AI227" s="140">
        <f t="shared" si="80"/>
        <v>5.9399999999999995E-7</v>
      </c>
      <c r="AJ227" s="140">
        <f t="shared" si="81"/>
        <v>7.92E-7</v>
      </c>
      <c r="AK227" s="140">
        <f t="shared" si="82"/>
        <v>9.9000000000000005E-7</v>
      </c>
      <c r="AL227" s="157">
        <f t="shared" si="83"/>
        <v>1.2</v>
      </c>
      <c r="AM227" s="156">
        <f t="shared" si="84"/>
        <v>9.9999999999999995E-8</v>
      </c>
      <c r="AO227" s="140">
        <f t="shared" si="85"/>
        <v>1.98E-5</v>
      </c>
      <c r="AP227">
        <v>1.98</v>
      </c>
      <c r="AQ227" s="140">
        <f t="shared" si="86"/>
        <v>1.9799999999999995E-7</v>
      </c>
      <c r="AR227" s="140">
        <f t="shared" si="87"/>
        <v>3.9599999999999995E-7</v>
      </c>
      <c r="AS227" s="140">
        <f t="shared" si="88"/>
        <v>5.9399999999999995E-7</v>
      </c>
      <c r="AT227" s="140">
        <f t="shared" si="89"/>
        <v>7.92E-7</v>
      </c>
      <c r="AU227" s="140">
        <f t="shared" si="90"/>
        <v>9.9000000000000005E-7</v>
      </c>
      <c r="AV227" s="157">
        <f t="shared" si="91"/>
        <v>1.2</v>
      </c>
      <c r="AW227" s="156">
        <f t="shared" si="92"/>
        <v>9.9999999999999995E-8</v>
      </c>
      <c r="AY227" s="140">
        <f t="shared" si="93"/>
        <v>1.98E-5</v>
      </c>
      <c r="AZ227">
        <v>1.98</v>
      </c>
      <c r="BA227" s="140">
        <f t="shared" si="94"/>
        <v>1.9799999999999995E-7</v>
      </c>
      <c r="BB227" s="140">
        <f t="shared" si="95"/>
        <v>3.9599999999999995E-7</v>
      </c>
      <c r="BC227" s="140">
        <f t="shared" si="96"/>
        <v>5.9399999999999995E-7</v>
      </c>
      <c r="BD227" s="140">
        <f t="shared" si="97"/>
        <v>7.92E-7</v>
      </c>
      <c r="BE227" s="140">
        <f t="shared" si="98"/>
        <v>9.9000000000000005E-7</v>
      </c>
      <c r="BF227" s="157">
        <f>IF(AY227&lt;$B$89*DATA!$H$1037,DATA!$H$1037,IF(AY227&gt;DATA!$H$1036*$B$89,DATA!$H$1036,1))</f>
        <v>1.2</v>
      </c>
      <c r="BG227" s="156">
        <f t="shared" si="99"/>
        <v>9.9999999999999995E-8</v>
      </c>
      <c r="BI227" s="140">
        <f t="shared" si="100"/>
        <v>1.98E-5</v>
      </c>
      <c r="BJ227">
        <v>1.98</v>
      </c>
      <c r="BK227" s="140">
        <f t="shared" si="101"/>
        <v>1.9799999999999995E-7</v>
      </c>
      <c r="BL227" s="140">
        <f t="shared" si="102"/>
        <v>3.9599999999999995E-7</v>
      </c>
      <c r="BM227" s="140">
        <f t="shared" si="103"/>
        <v>5.9399999999999995E-7</v>
      </c>
      <c r="BN227" s="140">
        <f t="shared" si="104"/>
        <v>7.92E-7</v>
      </c>
      <c r="BO227" s="140">
        <f t="shared" si="105"/>
        <v>9.9000000000000005E-7</v>
      </c>
      <c r="BP227" s="157">
        <f>IF(BI227&lt;$B$105*DATA!$H$1037,DATA!$H$1037,IF(BI227&gt;DATA!$H$1036*$B$105,DATA!$H$1036,1))</f>
        <v>1.2</v>
      </c>
      <c r="BQ227" s="156">
        <f t="shared" si="106"/>
        <v>9.9999999999999995E-8</v>
      </c>
    </row>
    <row r="228" spans="1:69">
      <c r="A228" s="140">
        <f t="shared" si="59"/>
        <v>2.0000000000000002E-5</v>
      </c>
      <c r="B228">
        <v>2</v>
      </c>
      <c r="C228" s="140">
        <f t="shared" si="107"/>
        <v>1.9999999999999994E-7</v>
      </c>
      <c r="D228" s="140">
        <f t="shared" si="107"/>
        <v>3.9999999999999998E-7</v>
      </c>
      <c r="E228" s="140">
        <f t="shared" si="107"/>
        <v>6.0000000000000008E-7</v>
      </c>
      <c r="F228" s="140">
        <f t="shared" si="107"/>
        <v>8.0000000000000007E-7</v>
      </c>
      <c r="G228" s="140">
        <f t="shared" si="107"/>
        <v>1.0000000000000002E-6</v>
      </c>
      <c r="H228" s="124">
        <f t="shared" si="60"/>
        <v>0.8</v>
      </c>
      <c r="I228" s="156">
        <f t="shared" si="61"/>
        <v>9.9999999999999995E-8</v>
      </c>
      <c r="K228" s="140">
        <f t="shared" si="62"/>
        <v>2.0000000000000002E-5</v>
      </c>
      <c r="L228">
        <v>2</v>
      </c>
      <c r="M228" s="140">
        <f t="shared" si="63"/>
        <v>1.9999999999999994E-7</v>
      </c>
      <c r="N228" s="140">
        <f t="shared" si="64"/>
        <v>3.9999999999999998E-7</v>
      </c>
      <c r="O228" s="140">
        <f t="shared" si="65"/>
        <v>6.0000000000000008E-7</v>
      </c>
      <c r="P228" s="140">
        <f t="shared" si="58"/>
        <v>8.0000000000000007E-7</v>
      </c>
      <c r="Q228" s="140">
        <f t="shared" si="66"/>
        <v>1.0000000000000002E-6</v>
      </c>
      <c r="R228" s="157">
        <f t="shared" si="67"/>
        <v>0.8</v>
      </c>
      <c r="S228" s="156">
        <f t="shared" si="68"/>
        <v>9.9999999999999995E-8</v>
      </c>
      <c r="U228" s="140">
        <f t="shared" si="69"/>
        <v>2.0000000000000002E-5</v>
      </c>
      <c r="V228">
        <v>2</v>
      </c>
      <c r="W228" s="140">
        <f t="shared" si="70"/>
        <v>1.9999999999999994E-7</v>
      </c>
      <c r="X228" s="140">
        <f t="shared" si="71"/>
        <v>3.9999999999999998E-7</v>
      </c>
      <c r="Y228" s="140">
        <f t="shared" si="72"/>
        <v>6.0000000000000008E-7</v>
      </c>
      <c r="Z228" s="140">
        <f t="shared" si="73"/>
        <v>8.0000000000000007E-7</v>
      </c>
      <c r="AA228" s="140">
        <f t="shared" si="74"/>
        <v>1.0000000000000002E-6</v>
      </c>
      <c r="AB228" s="157">
        <f t="shared" si="75"/>
        <v>0.8</v>
      </c>
      <c r="AC228" s="156">
        <f t="shared" si="76"/>
        <v>9.9999999999999995E-8</v>
      </c>
      <c r="AE228" s="140">
        <f t="shared" si="77"/>
        <v>2.0000000000000002E-5</v>
      </c>
      <c r="AF228">
        <v>2</v>
      </c>
      <c r="AG228" s="140">
        <f t="shared" si="78"/>
        <v>1.9999999999999994E-7</v>
      </c>
      <c r="AH228" s="140">
        <f t="shared" si="79"/>
        <v>3.9999999999999998E-7</v>
      </c>
      <c r="AI228" s="140">
        <f t="shared" si="80"/>
        <v>6.0000000000000008E-7</v>
      </c>
      <c r="AJ228" s="140">
        <f t="shared" si="81"/>
        <v>8.0000000000000007E-7</v>
      </c>
      <c r="AK228" s="140">
        <f t="shared" si="82"/>
        <v>1.0000000000000002E-6</v>
      </c>
      <c r="AL228" s="157">
        <f t="shared" si="83"/>
        <v>1.2</v>
      </c>
      <c r="AM228" s="156">
        <f t="shared" si="84"/>
        <v>9.9999999999999995E-8</v>
      </c>
      <c r="AO228" s="140">
        <f t="shared" si="85"/>
        <v>2.0000000000000002E-5</v>
      </c>
      <c r="AP228">
        <v>2</v>
      </c>
      <c r="AQ228" s="140">
        <f t="shared" si="86"/>
        <v>1.9999999999999994E-7</v>
      </c>
      <c r="AR228" s="140">
        <f t="shared" si="87"/>
        <v>3.9999999999999998E-7</v>
      </c>
      <c r="AS228" s="140">
        <f t="shared" si="88"/>
        <v>6.0000000000000008E-7</v>
      </c>
      <c r="AT228" s="140">
        <f t="shared" si="89"/>
        <v>8.0000000000000007E-7</v>
      </c>
      <c r="AU228" s="140">
        <f t="shared" si="90"/>
        <v>1.0000000000000002E-6</v>
      </c>
      <c r="AV228" s="157">
        <f t="shared" si="91"/>
        <v>1.2</v>
      </c>
      <c r="AW228" s="156">
        <f t="shared" si="92"/>
        <v>9.9999999999999995E-8</v>
      </c>
      <c r="AY228" s="140">
        <f t="shared" si="93"/>
        <v>2.0000000000000002E-5</v>
      </c>
      <c r="AZ228">
        <v>2</v>
      </c>
      <c r="BA228" s="140">
        <f t="shared" si="94"/>
        <v>1.9999999999999994E-7</v>
      </c>
      <c r="BB228" s="140">
        <f t="shared" si="95"/>
        <v>3.9999999999999998E-7</v>
      </c>
      <c r="BC228" s="140">
        <f t="shared" si="96"/>
        <v>6.0000000000000008E-7</v>
      </c>
      <c r="BD228" s="140">
        <f t="shared" si="97"/>
        <v>8.0000000000000007E-7</v>
      </c>
      <c r="BE228" s="140">
        <f t="shared" si="98"/>
        <v>1.0000000000000002E-6</v>
      </c>
      <c r="BF228" s="157">
        <f>IF(AY228&lt;$B$89*DATA!$H$1037,DATA!$H$1037,IF(AY228&gt;DATA!$H$1036*$B$89,DATA!$H$1036,1))</f>
        <v>1.2</v>
      </c>
      <c r="BG228" s="156">
        <f t="shared" si="99"/>
        <v>9.9999999999999995E-8</v>
      </c>
      <c r="BI228" s="140">
        <f t="shared" si="100"/>
        <v>2.0000000000000002E-5</v>
      </c>
      <c r="BJ228">
        <v>2</v>
      </c>
      <c r="BK228" s="140">
        <f t="shared" si="101"/>
        <v>1.9999999999999994E-7</v>
      </c>
      <c r="BL228" s="140">
        <f t="shared" si="102"/>
        <v>3.9999999999999998E-7</v>
      </c>
      <c r="BM228" s="140">
        <f t="shared" si="103"/>
        <v>6.0000000000000008E-7</v>
      </c>
      <c r="BN228" s="140">
        <f t="shared" si="104"/>
        <v>8.0000000000000007E-7</v>
      </c>
      <c r="BO228" s="140">
        <f t="shared" si="105"/>
        <v>1.0000000000000002E-6</v>
      </c>
      <c r="BP228" s="157">
        <f>IF(BI228&lt;$B$105*DATA!$H$1037,DATA!$H$1037,IF(BI228&gt;DATA!$H$1036*$B$105,DATA!$H$1036,1))</f>
        <v>1.2</v>
      </c>
      <c r="BQ228" s="156">
        <f t="shared" si="106"/>
        <v>9.9999999999999995E-8</v>
      </c>
    </row>
    <row r="229" spans="1:69">
      <c r="A229" s="140">
        <f t="shared" si="59"/>
        <v>2.0200000000000003E-5</v>
      </c>
      <c r="B229">
        <v>2.02</v>
      </c>
      <c r="C229" s="140">
        <f t="shared" si="107"/>
        <v>2.0199999999999996E-7</v>
      </c>
      <c r="D229" s="140">
        <f t="shared" si="107"/>
        <v>4.0400000000000002E-7</v>
      </c>
      <c r="E229" s="140">
        <f t="shared" si="107"/>
        <v>6.0600000000000011E-7</v>
      </c>
      <c r="F229" s="140">
        <f t="shared" si="107"/>
        <v>8.0800000000000014E-7</v>
      </c>
      <c r="G229" s="140">
        <f t="shared" si="107"/>
        <v>1.0100000000000003E-6</v>
      </c>
      <c r="H229" s="124">
        <f t="shared" si="60"/>
        <v>0.8</v>
      </c>
      <c r="I229" s="156">
        <f t="shared" si="61"/>
        <v>9.9999999999999995E-8</v>
      </c>
      <c r="K229" s="140">
        <f t="shared" si="62"/>
        <v>2.0200000000000003E-5</v>
      </c>
      <c r="L229">
        <v>2.02</v>
      </c>
      <c r="M229" s="140">
        <f t="shared" si="63"/>
        <v>2.0199999999999996E-7</v>
      </c>
      <c r="N229" s="140">
        <f t="shared" si="64"/>
        <v>4.0400000000000002E-7</v>
      </c>
      <c r="O229" s="140">
        <f t="shared" si="65"/>
        <v>6.0600000000000011E-7</v>
      </c>
      <c r="P229" s="140">
        <f t="shared" si="58"/>
        <v>8.0800000000000014E-7</v>
      </c>
      <c r="Q229" s="140">
        <f t="shared" si="66"/>
        <v>1.0100000000000003E-6</v>
      </c>
      <c r="R229" s="157">
        <f t="shared" si="67"/>
        <v>0.8</v>
      </c>
      <c r="S229" s="156">
        <f t="shared" si="68"/>
        <v>9.9999999999999995E-8</v>
      </c>
      <c r="U229" s="140">
        <f t="shared" si="69"/>
        <v>2.0200000000000003E-5</v>
      </c>
      <c r="V229">
        <v>2.02</v>
      </c>
      <c r="W229" s="140">
        <f t="shared" si="70"/>
        <v>2.0199999999999996E-7</v>
      </c>
      <c r="X229" s="140">
        <f t="shared" si="71"/>
        <v>4.0400000000000002E-7</v>
      </c>
      <c r="Y229" s="140">
        <f t="shared" si="72"/>
        <v>6.0600000000000011E-7</v>
      </c>
      <c r="Z229" s="140">
        <f t="shared" si="73"/>
        <v>8.0800000000000014E-7</v>
      </c>
      <c r="AA229" s="140">
        <f t="shared" si="74"/>
        <v>1.0100000000000003E-6</v>
      </c>
      <c r="AB229" s="157">
        <f t="shared" si="75"/>
        <v>0.8</v>
      </c>
      <c r="AC229" s="156">
        <f t="shared" si="76"/>
        <v>9.9999999999999995E-8</v>
      </c>
      <c r="AE229" s="140">
        <f t="shared" si="77"/>
        <v>2.0200000000000003E-5</v>
      </c>
      <c r="AF229">
        <v>2.02</v>
      </c>
      <c r="AG229" s="140">
        <f t="shared" si="78"/>
        <v>2.0199999999999996E-7</v>
      </c>
      <c r="AH229" s="140">
        <f t="shared" si="79"/>
        <v>4.0400000000000002E-7</v>
      </c>
      <c r="AI229" s="140">
        <f t="shared" si="80"/>
        <v>6.0600000000000011E-7</v>
      </c>
      <c r="AJ229" s="140">
        <f t="shared" si="81"/>
        <v>8.0800000000000014E-7</v>
      </c>
      <c r="AK229" s="140">
        <f t="shared" si="82"/>
        <v>1.0100000000000003E-6</v>
      </c>
      <c r="AL229" s="157">
        <f t="shared" si="83"/>
        <v>1.2</v>
      </c>
      <c r="AM229" s="156">
        <f t="shared" si="84"/>
        <v>9.9999999999999995E-8</v>
      </c>
      <c r="AO229" s="140">
        <f t="shared" si="85"/>
        <v>2.0200000000000003E-5</v>
      </c>
      <c r="AP229">
        <v>2.02</v>
      </c>
      <c r="AQ229" s="140">
        <f t="shared" si="86"/>
        <v>2.0199999999999996E-7</v>
      </c>
      <c r="AR229" s="140">
        <f t="shared" si="87"/>
        <v>4.0400000000000002E-7</v>
      </c>
      <c r="AS229" s="140">
        <f t="shared" si="88"/>
        <v>6.0600000000000011E-7</v>
      </c>
      <c r="AT229" s="140">
        <f t="shared" si="89"/>
        <v>8.0800000000000014E-7</v>
      </c>
      <c r="AU229" s="140">
        <f t="shared" si="90"/>
        <v>1.0100000000000003E-6</v>
      </c>
      <c r="AV229" s="157">
        <f t="shared" si="91"/>
        <v>1.2</v>
      </c>
      <c r="AW229" s="156">
        <f t="shared" si="92"/>
        <v>9.9999999999999995E-8</v>
      </c>
      <c r="AY229" s="140">
        <f t="shared" si="93"/>
        <v>2.0200000000000003E-5</v>
      </c>
      <c r="AZ229">
        <v>2.02</v>
      </c>
      <c r="BA229" s="140">
        <f t="shared" si="94"/>
        <v>2.0199999999999996E-7</v>
      </c>
      <c r="BB229" s="140">
        <f t="shared" si="95"/>
        <v>4.0400000000000002E-7</v>
      </c>
      <c r="BC229" s="140">
        <f t="shared" si="96"/>
        <v>6.0600000000000011E-7</v>
      </c>
      <c r="BD229" s="140">
        <f t="shared" si="97"/>
        <v>8.0800000000000014E-7</v>
      </c>
      <c r="BE229" s="140">
        <f t="shared" si="98"/>
        <v>1.0100000000000003E-6</v>
      </c>
      <c r="BF229" s="157">
        <f>IF(AY229&lt;$B$89*DATA!$H$1037,DATA!$H$1037,IF(AY229&gt;DATA!$H$1036*$B$89,DATA!$H$1036,1))</f>
        <v>1.2</v>
      </c>
      <c r="BG229" s="156">
        <f t="shared" si="99"/>
        <v>9.9999999999999995E-8</v>
      </c>
      <c r="BI229" s="140">
        <f t="shared" si="100"/>
        <v>2.0200000000000003E-5</v>
      </c>
      <c r="BJ229">
        <v>2.02</v>
      </c>
      <c r="BK229" s="140">
        <f t="shared" si="101"/>
        <v>2.0199999999999996E-7</v>
      </c>
      <c r="BL229" s="140">
        <f t="shared" si="102"/>
        <v>4.0400000000000002E-7</v>
      </c>
      <c r="BM229" s="140">
        <f t="shared" si="103"/>
        <v>6.0600000000000011E-7</v>
      </c>
      <c r="BN229" s="140">
        <f t="shared" si="104"/>
        <v>8.0800000000000014E-7</v>
      </c>
      <c r="BO229" s="140">
        <f t="shared" si="105"/>
        <v>1.0100000000000003E-6</v>
      </c>
      <c r="BP229" s="157">
        <f>IF(BI229&lt;$B$105*DATA!$H$1037,DATA!$H$1037,IF(BI229&gt;DATA!$H$1036*$B$105,DATA!$H$1036,1))</f>
        <v>1.2</v>
      </c>
      <c r="BQ229" s="156">
        <f t="shared" si="106"/>
        <v>9.9999999999999995E-8</v>
      </c>
    </row>
    <row r="230" spans="1:69">
      <c r="A230" s="140">
        <f t="shared" si="59"/>
        <v>2.0400000000000001E-5</v>
      </c>
      <c r="B230">
        <v>2.04</v>
      </c>
      <c r="C230" s="140">
        <f t="shared" si="107"/>
        <v>2.0399999999999995E-7</v>
      </c>
      <c r="D230" s="140">
        <f t="shared" si="107"/>
        <v>4.0799999999999995E-7</v>
      </c>
      <c r="E230" s="140">
        <f t="shared" si="107"/>
        <v>6.1200000000000003E-7</v>
      </c>
      <c r="F230" s="140">
        <f t="shared" si="107"/>
        <v>8.1600000000000011E-7</v>
      </c>
      <c r="G230" s="140">
        <f t="shared" si="107"/>
        <v>1.0200000000000002E-6</v>
      </c>
      <c r="H230" s="124">
        <f t="shared" si="60"/>
        <v>0.8</v>
      </c>
      <c r="I230" s="156">
        <f t="shared" si="61"/>
        <v>9.9999999999999995E-8</v>
      </c>
      <c r="K230" s="140">
        <f t="shared" si="62"/>
        <v>2.0400000000000001E-5</v>
      </c>
      <c r="L230">
        <v>2.04</v>
      </c>
      <c r="M230" s="140">
        <f t="shared" si="63"/>
        <v>2.0399999999999995E-7</v>
      </c>
      <c r="N230" s="140">
        <f t="shared" si="64"/>
        <v>4.0799999999999995E-7</v>
      </c>
      <c r="O230" s="140">
        <f t="shared" si="65"/>
        <v>6.1200000000000003E-7</v>
      </c>
      <c r="P230" s="140">
        <f t="shared" si="58"/>
        <v>8.1600000000000011E-7</v>
      </c>
      <c r="Q230" s="140">
        <f t="shared" si="66"/>
        <v>1.0200000000000002E-6</v>
      </c>
      <c r="R230" s="157">
        <f t="shared" si="67"/>
        <v>0.8</v>
      </c>
      <c r="S230" s="156">
        <f t="shared" si="68"/>
        <v>9.9999999999999995E-8</v>
      </c>
      <c r="U230" s="140">
        <f t="shared" si="69"/>
        <v>2.0400000000000001E-5</v>
      </c>
      <c r="V230">
        <v>2.04</v>
      </c>
      <c r="W230" s="140">
        <f t="shared" si="70"/>
        <v>2.0399999999999995E-7</v>
      </c>
      <c r="X230" s="140">
        <f t="shared" si="71"/>
        <v>4.0799999999999995E-7</v>
      </c>
      <c r="Y230" s="140">
        <f t="shared" si="72"/>
        <v>6.1200000000000003E-7</v>
      </c>
      <c r="Z230" s="140">
        <f t="shared" si="73"/>
        <v>8.1600000000000011E-7</v>
      </c>
      <c r="AA230" s="140">
        <f t="shared" si="74"/>
        <v>1.0200000000000002E-6</v>
      </c>
      <c r="AB230" s="157">
        <f t="shared" si="75"/>
        <v>0.8</v>
      </c>
      <c r="AC230" s="156">
        <f t="shared" si="76"/>
        <v>9.9999999999999995E-8</v>
      </c>
      <c r="AE230" s="140">
        <f t="shared" si="77"/>
        <v>2.0400000000000001E-5</v>
      </c>
      <c r="AF230">
        <v>2.04</v>
      </c>
      <c r="AG230" s="140">
        <f t="shared" si="78"/>
        <v>2.0399999999999995E-7</v>
      </c>
      <c r="AH230" s="140">
        <f t="shared" si="79"/>
        <v>4.0799999999999995E-7</v>
      </c>
      <c r="AI230" s="140">
        <f t="shared" si="80"/>
        <v>6.1200000000000003E-7</v>
      </c>
      <c r="AJ230" s="140">
        <f t="shared" si="81"/>
        <v>8.1600000000000011E-7</v>
      </c>
      <c r="AK230" s="140">
        <f t="shared" si="82"/>
        <v>1.0200000000000002E-6</v>
      </c>
      <c r="AL230" s="157">
        <f t="shared" si="83"/>
        <v>1.2</v>
      </c>
      <c r="AM230" s="156">
        <f t="shared" si="84"/>
        <v>9.9999999999999995E-8</v>
      </c>
      <c r="AO230" s="140">
        <f t="shared" si="85"/>
        <v>2.0400000000000001E-5</v>
      </c>
      <c r="AP230">
        <v>2.04</v>
      </c>
      <c r="AQ230" s="140">
        <f t="shared" si="86"/>
        <v>2.0399999999999995E-7</v>
      </c>
      <c r="AR230" s="140">
        <f t="shared" si="87"/>
        <v>4.0799999999999995E-7</v>
      </c>
      <c r="AS230" s="140">
        <f t="shared" si="88"/>
        <v>6.1200000000000003E-7</v>
      </c>
      <c r="AT230" s="140">
        <f t="shared" si="89"/>
        <v>8.1600000000000011E-7</v>
      </c>
      <c r="AU230" s="140">
        <f t="shared" si="90"/>
        <v>1.0200000000000002E-6</v>
      </c>
      <c r="AV230" s="157">
        <f t="shared" si="91"/>
        <v>1.2</v>
      </c>
      <c r="AW230" s="156">
        <f t="shared" si="92"/>
        <v>9.9999999999999995E-8</v>
      </c>
      <c r="AY230" s="140">
        <f t="shared" si="93"/>
        <v>2.0400000000000001E-5</v>
      </c>
      <c r="AZ230">
        <v>2.04</v>
      </c>
      <c r="BA230" s="140">
        <f t="shared" si="94"/>
        <v>2.0399999999999995E-7</v>
      </c>
      <c r="BB230" s="140">
        <f t="shared" si="95"/>
        <v>4.0799999999999995E-7</v>
      </c>
      <c r="BC230" s="140">
        <f t="shared" si="96"/>
        <v>6.1200000000000003E-7</v>
      </c>
      <c r="BD230" s="140">
        <f t="shared" si="97"/>
        <v>8.1600000000000011E-7</v>
      </c>
      <c r="BE230" s="140">
        <f t="shared" si="98"/>
        <v>1.0200000000000002E-6</v>
      </c>
      <c r="BF230" s="157">
        <f>IF(AY230&lt;$B$89*DATA!$H$1037,DATA!$H$1037,IF(AY230&gt;DATA!$H$1036*$B$89,DATA!$H$1036,1))</f>
        <v>1.2</v>
      </c>
      <c r="BG230" s="156">
        <f t="shared" si="99"/>
        <v>9.9999999999999995E-8</v>
      </c>
      <c r="BI230" s="140">
        <f t="shared" si="100"/>
        <v>2.0400000000000001E-5</v>
      </c>
      <c r="BJ230">
        <v>2.04</v>
      </c>
      <c r="BK230" s="140">
        <f t="shared" si="101"/>
        <v>2.0399999999999995E-7</v>
      </c>
      <c r="BL230" s="140">
        <f t="shared" si="102"/>
        <v>4.0799999999999995E-7</v>
      </c>
      <c r="BM230" s="140">
        <f t="shared" si="103"/>
        <v>6.1200000000000003E-7</v>
      </c>
      <c r="BN230" s="140">
        <f t="shared" si="104"/>
        <v>8.1600000000000011E-7</v>
      </c>
      <c r="BO230" s="140">
        <f t="shared" si="105"/>
        <v>1.0200000000000002E-6</v>
      </c>
      <c r="BP230" s="157">
        <f>IF(BI230&lt;$B$105*DATA!$H$1037,DATA!$H$1037,IF(BI230&gt;DATA!$H$1036*$B$105,DATA!$H$1036,1))</f>
        <v>1.2</v>
      </c>
      <c r="BQ230" s="156">
        <f t="shared" si="106"/>
        <v>9.9999999999999995E-8</v>
      </c>
    </row>
    <row r="231" spans="1:69">
      <c r="A231" s="140">
        <f t="shared" si="59"/>
        <v>2.0600000000000003E-5</v>
      </c>
      <c r="B231">
        <v>2.06</v>
      </c>
      <c r="C231" s="140">
        <f t="shared" si="107"/>
        <v>2.0599999999999997E-7</v>
      </c>
      <c r="D231" s="140">
        <f t="shared" si="107"/>
        <v>4.1199999999999998E-7</v>
      </c>
      <c r="E231" s="140">
        <f t="shared" si="107"/>
        <v>6.1800000000000005E-7</v>
      </c>
      <c r="F231" s="140">
        <f t="shared" si="107"/>
        <v>8.2400000000000007E-7</v>
      </c>
      <c r="G231" s="140">
        <f t="shared" si="107"/>
        <v>1.0300000000000001E-6</v>
      </c>
      <c r="H231" s="124">
        <f t="shared" si="60"/>
        <v>0.8</v>
      </c>
      <c r="I231" s="156">
        <f t="shared" si="61"/>
        <v>9.9999999999999995E-8</v>
      </c>
      <c r="K231" s="140">
        <f t="shared" si="62"/>
        <v>2.0600000000000003E-5</v>
      </c>
      <c r="L231">
        <v>2.06</v>
      </c>
      <c r="M231" s="140">
        <f t="shared" si="63"/>
        <v>2.0599999999999997E-7</v>
      </c>
      <c r="N231" s="140">
        <f t="shared" si="64"/>
        <v>4.1199999999999998E-7</v>
      </c>
      <c r="O231" s="140">
        <f t="shared" si="65"/>
        <v>6.1800000000000005E-7</v>
      </c>
      <c r="P231" s="140">
        <f t="shared" si="58"/>
        <v>8.2400000000000007E-7</v>
      </c>
      <c r="Q231" s="140">
        <f t="shared" si="66"/>
        <v>1.0300000000000001E-6</v>
      </c>
      <c r="R231" s="157">
        <f t="shared" si="67"/>
        <v>0.8</v>
      </c>
      <c r="S231" s="156">
        <f t="shared" si="68"/>
        <v>9.9999999999999995E-8</v>
      </c>
      <c r="U231" s="140">
        <f t="shared" si="69"/>
        <v>2.0600000000000003E-5</v>
      </c>
      <c r="V231">
        <v>2.06</v>
      </c>
      <c r="W231" s="140">
        <f t="shared" si="70"/>
        <v>2.0599999999999997E-7</v>
      </c>
      <c r="X231" s="140">
        <f t="shared" si="71"/>
        <v>4.1199999999999998E-7</v>
      </c>
      <c r="Y231" s="140">
        <f t="shared" si="72"/>
        <v>6.1800000000000005E-7</v>
      </c>
      <c r="Z231" s="140">
        <f t="shared" si="73"/>
        <v>8.2400000000000007E-7</v>
      </c>
      <c r="AA231" s="140">
        <f t="shared" si="74"/>
        <v>1.0300000000000001E-6</v>
      </c>
      <c r="AB231" s="157">
        <f t="shared" si="75"/>
        <v>0.8</v>
      </c>
      <c r="AC231" s="156">
        <f t="shared" si="76"/>
        <v>9.9999999999999995E-8</v>
      </c>
      <c r="AE231" s="140">
        <f t="shared" si="77"/>
        <v>2.0600000000000003E-5</v>
      </c>
      <c r="AF231">
        <v>2.06</v>
      </c>
      <c r="AG231" s="140">
        <f t="shared" si="78"/>
        <v>2.0599999999999997E-7</v>
      </c>
      <c r="AH231" s="140">
        <f t="shared" si="79"/>
        <v>4.1199999999999998E-7</v>
      </c>
      <c r="AI231" s="140">
        <f t="shared" si="80"/>
        <v>6.1800000000000005E-7</v>
      </c>
      <c r="AJ231" s="140">
        <f t="shared" si="81"/>
        <v>8.2400000000000007E-7</v>
      </c>
      <c r="AK231" s="140">
        <f t="shared" si="82"/>
        <v>1.0300000000000001E-6</v>
      </c>
      <c r="AL231" s="157">
        <f t="shared" si="83"/>
        <v>1.2</v>
      </c>
      <c r="AM231" s="156">
        <f t="shared" si="84"/>
        <v>9.9999999999999995E-8</v>
      </c>
      <c r="AO231" s="140">
        <f t="shared" si="85"/>
        <v>2.0600000000000003E-5</v>
      </c>
      <c r="AP231">
        <v>2.06</v>
      </c>
      <c r="AQ231" s="140">
        <f t="shared" si="86"/>
        <v>2.0599999999999997E-7</v>
      </c>
      <c r="AR231" s="140">
        <f t="shared" si="87"/>
        <v>4.1199999999999998E-7</v>
      </c>
      <c r="AS231" s="140">
        <f t="shared" si="88"/>
        <v>6.1800000000000005E-7</v>
      </c>
      <c r="AT231" s="140">
        <f t="shared" si="89"/>
        <v>8.2400000000000007E-7</v>
      </c>
      <c r="AU231" s="140">
        <f t="shared" si="90"/>
        <v>1.0300000000000001E-6</v>
      </c>
      <c r="AV231" s="157">
        <f t="shared" si="91"/>
        <v>1.2</v>
      </c>
      <c r="AW231" s="156">
        <f t="shared" si="92"/>
        <v>9.9999999999999995E-8</v>
      </c>
      <c r="AY231" s="140">
        <f t="shared" si="93"/>
        <v>2.0600000000000003E-5</v>
      </c>
      <c r="AZ231">
        <v>2.06</v>
      </c>
      <c r="BA231" s="140">
        <f t="shared" si="94"/>
        <v>2.0599999999999997E-7</v>
      </c>
      <c r="BB231" s="140">
        <f t="shared" si="95"/>
        <v>4.1199999999999998E-7</v>
      </c>
      <c r="BC231" s="140">
        <f t="shared" si="96"/>
        <v>6.1800000000000005E-7</v>
      </c>
      <c r="BD231" s="140">
        <f t="shared" si="97"/>
        <v>8.2400000000000007E-7</v>
      </c>
      <c r="BE231" s="140">
        <f t="shared" si="98"/>
        <v>1.0300000000000001E-6</v>
      </c>
      <c r="BF231" s="157">
        <f>IF(AY231&lt;$B$89*DATA!$H$1037,DATA!$H$1037,IF(AY231&gt;DATA!$H$1036*$B$89,DATA!$H$1036,1))</f>
        <v>1.2</v>
      </c>
      <c r="BG231" s="156">
        <f t="shared" si="99"/>
        <v>9.9999999999999995E-8</v>
      </c>
      <c r="BI231" s="140">
        <f t="shared" si="100"/>
        <v>2.0600000000000003E-5</v>
      </c>
      <c r="BJ231">
        <v>2.06</v>
      </c>
      <c r="BK231" s="140">
        <f t="shared" si="101"/>
        <v>2.0599999999999997E-7</v>
      </c>
      <c r="BL231" s="140">
        <f t="shared" si="102"/>
        <v>4.1199999999999998E-7</v>
      </c>
      <c r="BM231" s="140">
        <f t="shared" si="103"/>
        <v>6.1800000000000005E-7</v>
      </c>
      <c r="BN231" s="140">
        <f t="shared" si="104"/>
        <v>8.2400000000000007E-7</v>
      </c>
      <c r="BO231" s="140">
        <f t="shared" si="105"/>
        <v>1.0300000000000001E-6</v>
      </c>
      <c r="BP231" s="157">
        <f>IF(BI231&lt;$B$105*DATA!$H$1037,DATA!$H$1037,IF(BI231&gt;DATA!$H$1036*$B$105,DATA!$H$1036,1))</f>
        <v>1.2</v>
      </c>
      <c r="BQ231" s="156">
        <f t="shared" si="106"/>
        <v>9.9999999999999995E-8</v>
      </c>
    </row>
    <row r="232" spans="1:69">
      <c r="A232" s="140">
        <f t="shared" si="59"/>
        <v>2.0800000000000001E-5</v>
      </c>
      <c r="B232">
        <v>2.08</v>
      </c>
      <c r="C232" s="140">
        <f t="shared" si="107"/>
        <v>2.0799999999999993E-7</v>
      </c>
      <c r="D232" s="140">
        <f t="shared" si="107"/>
        <v>4.1599999999999997E-7</v>
      </c>
      <c r="E232" s="140">
        <f t="shared" si="107"/>
        <v>6.2399999999999998E-7</v>
      </c>
      <c r="F232" s="140">
        <f t="shared" si="107"/>
        <v>8.3200000000000004E-7</v>
      </c>
      <c r="G232" s="140">
        <f t="shared" si="107"/>
        <v>1.04E-6</v>
      </c>
      <c r="H232" s="124">
        <f t="shared" si="60"/>
        <v>0.8</v>
      </c>
      <c r="I232" s="156">
        <f t="shared" si="61"/>
        <v>9.9999999999999995E-8</v>
      </c>
      <c r="K232" s="140">
        <f t="shared" si="62"/>
        <v>2.0800000000000001E-5</v>
      </c>
      <c r="L232">
        <v>2.08</v>
      </c>
      <c r="M232" s="140">
        <f t="shared" si="63"/>
        <v>2.0799999999999993E-7</v>
      </c>
      <c r="N232" s="140">
        <f t="shared" si="64"/>
        <v>4.1599999999999997E-7</v>
      </c>
      <c r="O232" s="140">
        <f t="shared" si="65"/>
        <v>6.2399999999999998E-7</v>
      </c>
      <c r="P232" s="140">
        <f t="shared" si="58"/>
        <v>8.3200000000000004E-7</v>
      </c>
      <c r="Q232" s="140">
        <f t="shared" si="66"/>
        <v>1.04E-6</v>
      </c>
      <c r="R232" s="157">
        <f t="shared" si="67"/>
        <v>0.8</v>
      </c>
      <c r="S232" s="156">
        <f t="shared" si="68"/>
        <v>9.9999999999999995E-8</v>
      </c>
      <c r="U232" s="140">
        <f t="shared" si="69"/>
        <v>2.0800000000000001E-5</v>
      </c>
      <c r="V232">
        <v>2.08</v>
      </c>
      <c r="W232" s="140">
        <f t="shared" si="70"/>
        <v>2.0799999999999993E-7</v>
      </c>
      <c r="X232" s="140">
        <f t="shared" si="71"/>
        <v>4.1599999999999997E-7</v>
      </c>
      <c r="Y232" s="140">
        <f t="shared" si="72"/>
        <v>6.2399999999999998E-7</v>
      </c>
      <c r="Z232" s="140">
        <f t="shared" si="73"/>
        <v>8.3200000000000004E-7</v>
      </c>
      <c r="AA232" s="140">
        <f t="shared" si="74"/>
        <v>1.04E-6</v>
      </c>
      <c r="AB232" s="157">
        <f t="shared" si="75"/>
        <v>0.8</v>
      </c>
      <c r="AC232" s="156">
        <f t="shared" si="76"/>
        <v>9.9999999999999995E-8</v>
      </c>
      <c r="AE232" s="140">
        <f t="shared" si="77"/>
        <v>2.0800000000000001E-5</v>
      </c>
      <c r="AF232">
        <v>2.08</v>
      </c>
      <c r="AG232" s="140">
        <f t="shared" si="78"/>
        <v>2.0799999999999993E-7</v>
      </c>
      <c r="AH232" s="140">
        <f t="shared" si="79"/>
        <v>4.1599999999999997E-7</v>
      </c>
      <c r="AI232" s="140">
        <f t="shared" si="80"/>
        <v>6.2399999999999998E-7</v>
      </c>
      <c r="AJ232" s="140">
        <f t="shared" si="81"/>
        <v>8.3200000000000004E-7</v>
      </c>
      <c r="AK232" s="140">
        <f t="shared" si="82"/>
        <v>1.04E-6</v>
      </c>
      <c r="AL232" s="157">
        <f t="shared" si="83"/>
        <v>1.2</v>
      </c>
      <c r="AM232" s="156">
        <f t="shared" si="84"/>
        <v>9.9999999999999995E-8</v>
      </c>
      <c r="AO232" s="140">
        <f t="shared" si="85"/>
        <v>2.0800000000000001E-5</v>
      </c>
      <c r="AP232">
        <v>2.08</v>
      </c>
      <c r="AQ232" s="140">
        <f t="shared" si="86"/>
        <v>2.0799999999999993E-7</v>
      </c>
      <c r="AR232" s="140">
        <f t="shared" si="87"/>
        <v>4.1599999999999997E-7</v>
      </c>
      <c r="AS232" s="140">
        <f t="shared" si="88"/>
        <v>6.2399999999999998E-7</v>
      </c>
      <c r="AT232" s="140">
        <f t="shared" si="89"/>
        <v>8.3200000000000004E-7</v>
      </c>
      <c r="AU232" s="140">
        <f t="shared" si="90"/>
        <v>1.04E-6</v>
      </c>
      <c r="AV232" s="157">
        <f t="shared" si="91"/>
        <v>1.2</v>
      </c>
      <c r="AW232" s="156">
        <f t="shared" si="92"/>
        <v>9.9999999999999995E-8</v>
      </c>
      <c r="AY232" s="140">
        <f t="shared" si="93"/>
        <v>2.0800000000000001E-5</v>
      </c>
      <c r="AZ232">
        <v>2.08</v>
      </c>
      <c r="BA232" s="140">
        <f t="shared" si="94"/>
        <v>2.0799999999999993E-7</v>
      </c>
      <c r="BB232" s="140">
        <f t="shared" si="95"/>
        <v>4.1599999999999997E-7</v>
      </c>
      <c r="BC232" s="140">
        <f t="shared" si="96"/>
        <v>6.2399999999999998E-7</v>
      </c>
      <c r="BD232" s="140">
        <f t="shared" si="97"/>
        <v>8.3200000000000004E-7</v>
      </c>
      <c r="BE232" s="140">
        <f t="shared" si="98"/>
        <v>1.04E-6</v>
      </c>
      <c r="BF232" s="157">
        <f>IF(AY232&lt;$B$89*DATA!$H$1037,DATA!$H$1037,IF(AY232&gt;DATA!$H$1036*$B$89,DATA!$H$1036,1))</f>
        <v>1.2</v>
      </c>
      <c r="BG232" s="156">
        <f t="shared" si="99"/>
        <v>9.9999999999999995E-8</v>
      </c>
      <c r="BI232" s="140">
        <f t="shared" si="100"/>
        <v>2.0800000000000001E-5</v>
      </c>
      <c r="BJ232">
        <v>2.08</v>
      </c>
      <c r="BK232" s="140">
        <f t="shared" si="101"/>
        <v>2.0799999999999993E-7</v>
      </c>
      <c r="BL232" s="140">
        <f t="shared" si="102"/>
        <v>4.1599999999999997E-7</v>
      </c>
      <c r="BM232" s="140">
        <f t="shared" si="103"/>
        <v>6.2399999999999998E-7</v>
      </c>
      <c r="BN232" s="140">
        <f t="shared" si="104"/>
        <v>8.3200000000000004E-7</v>
      </c>
      <c r="BO232" s="140">
        <f t="shared" si="105"/>
        <v>1.04E-6</v>
      </c>
      <c r="BP232" s="157">
        <f>IF(BI232&lt;$B$105*DATA!$H$1037,DATA!$H$1037,IF(BI232&gt;DATA!$H$1036*$B$105,DATA!$H$1036,1))</f>
        <v>1.2</v>
      </c>
      <c r="BQ232" s="156">
        <f t="shared" si="106"/>
        <v>9.9999999999999995E-8</v>
      </c>
    </row>
    <row r="233" spans="1:69">
      <c r="A233" s="140">
        <f t="shared" si="59"/>
        <v>2.1000000000000002E-5</v>
      </c>
      <c r="B233">
        <v>2.1</v>
      </c>
      <c r="C233" s="140">
        <f t="shared" si="107"/>
        <v>2.0999999999999995E-7</v>
      </c>
      <c r="D233" s="140">
        <f t="shared" si="107"/>
        <v>4.2E-7</v>
      </c>
      <c r="E233" s="140">
        <f t="shared" si="107"/>
        <v>6.3E-7</v>
      </c>
      <c r="F233" s="140">
        <f t="shared" si="107"/>
        <v>8.4000000000000011E-7</v>
      </c>
      <c r="G233" s="140">
        <f t="shared" si="107"/>
        <v>1.0500000000000001E-6</v>
      </c>
      <c r="H233" s="124">
        <f t="shared" si="60"/>
        <v>0.8</v>
      </c>
      <c r="I233" s="156">
        <f t="shared" si="61"/>
        <v>9.9999999999999995E-8</v>
      </c>
      <c r="K233" s="140">
        <f t="shared" si="62"/>
        <v>2.1000000000000002E-5</v>
      </c>
      <c r="L233">
        <v>2.1</v>
      </c>
      <c r="M233" s="140">
        <f t="shared" si="63"/>
        <v>2.0999999999999995E-7</v>
      </c>
      <c r="N233" s="140">
        <f t="shared" si="64"/>
        <v>4.2E-7</v>
      </c>
      <c r="O233" s="140">
        <f t="shared" si="65"/>
        <v>6.3E-7</v>
      </c>
      <c r="P233" s="140">
        <f t="shared" si="58"/>
        <v>8.4000000000000011E-7</v>
      </c>
      <c r="Q233" s="140">
        <f t="shared" si="66"/>
        <v>1.0500000000000001E-6</v>
      </c>
      <c r="R233" s="157">
        <f t="shared" si="67"/>
        <v>0.8</v>
      </c>
      <c r="S233" s="156">
        <f t="shared" si="68"/>
        <v>9.9999999999999995E-8</v>
      </c>
      <c r="U233" s="140">
        <f t="shared" si="69"/>
        <v>2.1000000000000002E-5</v>
      </c>
      <c r="V233">
        <v>2.1</v>
      </c>
      <c r="W233" s="140">
        <f t="shared" si="70"/>
        <v>2.0999999999999995E-7</v>
      </c>
      <c r="X233" s="140">
        <f t="shared" si="71"/>
        <v>4.2E-7</v>
      </c>
      <c r="Y233" s="140">
        <f t="shared" si="72"/>
        <v>6.3E-7</v>
      </c>
      <c r="Z233" s="140">
        <f t="shared" si="73"/>
        <v>8.4000000000000011E-7</v>
      </c>
      <c r="AA233" s="140">
        <f t="shared" si="74"/>
        <v>1.0500000000000001E-6</v>
      </c>
      <c r="AB233" s="157">
        <f t="shared" si="75"/>
        <v>0.8</v>
      </c>
      <c r="AC233" s="156">
        <f t="shared" si="76"/>
        <v>9.9999999999999995E-8</v>
      </c>
      <c r="AE233" s="140">
        <f t="shared" si="77"/>
        <v>2.1000000000000002E-5</v>
      </c>
      <c r="AF233">
        <v>2.1</v>
      </c>
      <c r="AG233" s="140">
        <f t="shared" si="78"/>
        <v>2.0999999999999995E-7</v>
      </c>
      <c r="AH233" s="140">
        <f t="shared" si="79"/>
        <v>4.2E-7</v>
      </c>
      <c r="AI233" s="140">
        <f t="shared" si="80"/>
        <v>6.3E-7</v>
      </c>
      <c r="AJ233" s="140">
        <f t="shared" si="81"/>
        <v>8.4000000000000011E-7</v>
      </c>
      <c r="AK233" s="140">
        <f t="shared" si="82"/>
        <v>1.0500000000000001E-6</v>
      </c>
      <c r="AL233" s="157">
        <f t="shared" si="83"/>
        <v>1.2</v>
      </c>
      <c r="AM233" s="156">
        <f t="shared" si="84"/>
        <v>9.9999999999999995E-8</v>
      </c>
      <c r="AO233" s="140">
        <f t="shared" si="85"/>
        <v>2.1000000000000002E-5</v>
      </c>
      <c r="AP233">
        <v>2.1</v>
      </c>
      <c r="AQ233" s="140">
        <f t="shared" si="86"/>
        <v>2.0999999999999995E-7</v>
      </c>
      <c r="AR233" s="140">
        <f t="shared" si="87"/>
        <v>4.2E-7</v>
      </c>
      <c r="AS233" s="140">
        <f t="shared" si="88"/>
        <v>6.3E-7</v>
      </c>
      <c r="AT233" s="140">
        <f t="shared" si="89"/>
        <v>8.4000000000000011E-7</v>
      </c>
      <c r="AU233" s="140">
        <f t="shared" si="90"/>
        <v>1.0500000000000001E-6</v>
      </c>
      <c r="AV233" s="157">
        <f t="shared" si="91"/>
        <v>1.2</v>
      </c>
      <c r="AW233" s="156">
        <f t="shared" si="92"/>
        <v>9.9999999999999995E-8</v>
      </c>
      <c r="AY233" s="140">
        <f t="shared" si="93"/>
        <v>2.1000000000000002E-5</v>
      </c>
      <c r="AZ233">
        <v>2.1</v>
      </c>
      <c r="BA233" s="140">
        <f t="shared" si="94"/>
        <v>2.0999999999999995E-7</v>
      </c>
      <c r="BB233" s="140">
        <f t="shared" si="95"/>
        <v>4.2E-7</v>
      </c>
      <c r="BC233" s="140">
        <f t="shared" si="96"/>
        <v>6.3E-7</v>
      </c>
      <c r="BD233" s="140">
        <f t="shared" si="97"/>
        <v>8.4000000000000011E-7</v>
      </c>
      <c r="BE233" s="140">
        <f t="shared" si="98"/>
        <v>1.0500000000000001E-6</v>
      </c>
      <c r="BF233" s="157">
        <f>IF(AY233&lt;$B$89*DATA!$H$1037,DATA!$H$1037,IF(AY233&gt;DATA!$H$1036*$B$89,DATA!$H$1036,1))</f>
        <v>1.2</v>
      </c>
      <c r="BG233" s="156">
        <f t="shared" si="99"/>
        <v>9.9999999999999995E-8</v>
      </c>
      <c r="BI233" s="140">
        <f t="shared" si="100"/>
        <v>2.1000000000000002E-5</v>
      </c>
      <c r="BJ233">
        <v>2.1</v>
      </c>
      <c r="BK233" s="140">
        <f t="shared" si="101"/>
        <v>2.0999999999999995E-7</v>
      </c>
      <c r="BL233" s="140">
        <f t="shared" si="102"/>
        <v>4.2E-7</v>
      </c>
      <c r="BM233" s="140">
        <f t="shared" si="103"/>
        <v>6.3E-7</v>
      </c>
      <c r="BN233" s="140">
        <f t="shared" si="104"/>
        <v>8.4000000000000011E-7</v>
      </c>
      <c r="BO233" s="140">
        <f t="shared" si="105"/>
        <v>1.0500000000000001E-6</v>
      </c>
      <c r="BP233" s="157">
        <f>IF(BI233&lt;$B$105*DATA!$H$1037,DATA!$H$1037,IF(BI233&gt;DATA!$H$1036*$B$105,DATA!$H$1036,1))</f>
        <v>1.2</v>
      </c>
      <c r="BQ233" s="156">
        <f t="shared" si="106"/>
        <v>9.9999999999999995E-8</v>
      </c>
    </row>
    <row r="234" spans="1:69">
      <c r="A234" s="140">
        <f t="shared" si="59"/>
        <v>2.1200000000000004E-5</v>
      </c>
      <c r="B234">
        <v>2.12</v>
      </c>
      <c r="C234" s="140">
        <f t="shared" si="107"/>
        <v>2.1199999999999997E-7</v>
      </c>
      <c r="D234" s="140">
        <f t="shared" si="107"/>
        <v>4.2399999999999999E-7</v>
      </c>
      <c r="E234" s="140">
        <f t="shared" si="107"/>
        <v>6.3600000000000014E-7</v>
      </c>
      <c r="F234" s="140">
        <f t="shared" si="107"/>
        <v>8.4800000000000018E-7</v>
      </c>
      <c r="G234" s="140">
        <f t="shared" si="107"/>
        <v>1.0600000000000002E-6</v>
      </c>
      <c r="H234" s="124">
        <f t="shared" si="60"/>
        <v>0.8</v>
      </c>
      <c r="I234" s="156">
        <f t="shared" si="61"/>
        <v>9.9999999999999995E-8</v>
      </c>
      <c r="K234" s="140">
        <f t="shared" si="62"/>
        <v>2.1200000000000004E-5</v>
      </c>
      <c r="L234">
        <v>2.12</v>
      </c>
      <c r="M234" s="140">
        <f t="shared" si="63"/>
        <v>2.1199999999999997E-7</v>
      </c>
      <c r="N234" s="140">
        <f t="shared" si="64"/>
        <v>4.2399999999999999E-7</v>
      </c>
      <c r="O234" s="140">
        <f t="shared" si="65"/>
        <v>6.3600000000000014E-7</v>
      </c>
      <c r="P234" s="140">
        <f t="shared" si="58"/>
        <v>8.4800000000000018E-7</v>
      </c>
      <c r="Q234" s="140">
        <f t="shared" si="66"/>
        <v>1.0600000000000002E-6</v>
      </c>
      <c r="R234" s="157">
        <f t="shared" si="67"/>
        <v>0.8</v>
      </c>
      <c r="S234" s="156">
        <f t="shared" si="68"/>
        <v>9.9999999999999995E-8</v>
      </c>
      <c r="U234" s="140">
        <f t="shared" si="69"/>
        <v>2.1200000000000004E-5</v>
      </c>
      <c r="V234">
        <v>2.12</v>
      </c>
      <c r="W234" s="140">
        <f t="shared" si="70"/>
        <v>2.1199999999999997E-7</v>
      </c>
      <c r="X234" s="140">
        <f t="shared" si="71"/>
        <v>4.2399999999999999E-7</v>
      </c>
      <c r="Y234" s="140">
        <f t="shared" si="72"/>
        <v>6.3600000000000014E-7</v>
      </c>
      <c r="Z234" s="140">
        <f t="shared" si="73"/>
        <v>8.4800000000000018E-7</v>
      </c>
      <c r="AA234" s="140">
        <f t="shared" si="74"/>
        <v>1.0600000000000002E-6</v>
      </c>
      <c r="AB234" s="157">
        <f t="shared" si="75"/>
        <v>0.8</v>
      </c>
      <c r="AC234" s="156">
        <f t="shared" si="76"/>
        <v>9.9999999999999995E-8</v>
      </c>
      <c r="AE234" s="140">
        <f t="shared" si="77"/>
        <v>2.1200000000000004E-5</v>
      </c>
      <c r="AF234">
        <v>2.12</v>
      </c>
      <c r="AG234" s="140">
        <f t="shared" si="78"/>
        <v>2.1199999999999997E-7</v>
      </c>
      <c r="AH234" s="140">
        <f t="shared" si="79"/>
        <v>4.2399999999999999E-7</v>
      </c>
      <c r="AI234" s="140">
        <f t="shared" si="80"/>
        <v>6.3600000000000014E-7</v>
      </c>
      <c r="AJ234" s="140">
        <f t="shared" si="81"/>
        <v>8.4800000000000018E-7</v>
      </c>
      <c r="AK234" s="140">
        <f t="shared" si="82"/>
        <v>1.0600000000000002E-6</v>
      </c>
      <c r="AL234" s="157">
        <f t="shared" si="83"/>
        <v>1.2</v>
      </c>
      <c r="AM234" s="156">
        <f t="shared" si="84"/>
        <v>9.9999999999999995E-8</v>
      </c>
      <c r="AO234" s="140">
        <f t="shared" si="85"/>
        <v>2.1200000000000004E-5</v>
      </c>
      <c r="AP234">
        <v>2.12</v>
      </c>
      <c r="AQ234" s="140">
        <f t="shared" si="86"/>
        <v>2.1199999999999997E-7</v>
      </c>
      <c r="AR234" s="140">
        <f t="shared" si="87"/>
        <v>4.2399999999999999E-7</v>
      </c>
      <c r="AS234" s="140">
        <f t="shared" si="88"/>
        <v>6.3600000000000014E-7</v>
      </c>
      <c r="AT234" s="140">
        <f t="shared" si="89"/>
        <v>8.4800000000000018E-7</v>
      </c>
      <c r="AU234" s="140">
        <f t="shared" si="90"/>
        <v>1.0600000000000002E-6</v>
      </c>
      <c r="AV234" s="157">
        <f t="shared" si="91"/>
        <v>1.2</v>
      </c>
      <c r="AW234" s="156">
        <f t="shared" si="92"/>
        <v>9.9999999999999995E-8</v>
      </c>
      <c r="AY234" s="140">
        <f t="shared" si="93"/>
        <v>2.1200000000000004E-5</v>
      </c>
      <c r="AZ234">
        <v>2.12</v>
      </c>
      <c r="BA234" s="140">
        <f t="shared" si="94"/>
        <v>2.1199999999999997E-7</v>
      </c>
      <c r="BB234" s="140">
        <f t="shared" si="95"/>
        <v>4.2399999999999999E-7</v>
      </c>
      <c r="BC234" s="140">
        <f t="shared" si="96"/>
        <v>6.3600000000000014E-7</v>
      </c>
      <c r="BD234" s="140">
        <f t="shared" si="97"/>
        <v>8.4800000000000018E-7</v>
      </c>
      <c r="BE234" s="140">
        <f t="shared" si="98"/>
        <v>1.0600000000000002E-6</v>
      </c>
      <c r="BF234" s="157">
        <f>IF(AY234&lt;$B$89*DATA!$H$1037,DATA!$H$1037,IF(AY234&gt;DATA!$H$1036*$B$89,DATA!$H$1036,1))</f>
        <v>1.2</v>
      </c>
      <c r="BG234" s="156">
        <f t="shared" si="99"/>
        <v>9.9999999999999995E-8</v>
      </c>
      <c r="BI234" s="140">
        <f t="shared" si="100"/>
        <v>2.1200000000000004E-5</v>
      </c>
      <c r="BJ234">
        <v>2.12</v>
      </c>
      <c r="BK234" s="140">
        <f t="shared" si="101"/>
        <v>2.1199999999999997E-7</v>
      </c>
      <c r="BL234" s="140">
        <f t="shared" si="102"/>
        <v>4.2399999999999999E-7</v>
      </c>
      <c r="BM234" s="140">
        <f t="shared" si="103"/>
        <v>6.3600000000000014E-7</v>
      </c>
      <c r="BN234" s="140">
        <f t="shared" si="104"/>
        <v>8.4800000000000018E-7</v>
      </c>
      <c r="BO234" s="140">
        <f t="shared" si="105"/>
        <v>1.0600000000000002E-6</v>
      </c>
      <c r="BP234" s="157">
        <f>IF(BI234&lt;$B$105*DATA!$H$1037,DATA!$H$1037,IF(BI234&gt;DATA!$H$1036*$B$105,DATA!$H$1036,1))</f>
        <v>1.2</v>
      </c>
      <c r="BQ234" s="156">
        <f t="shared" si="106"/>
        <v>9.9999999999999995E-8</v>
      </c>
    </row>
    <row r="235" spans="1:69">
      <c r="A235" s="140">
        <f t="shared" si="59"/>
        <v>2.1400000000000002E-5</v>
      </c>
      <c r="B235">
        <v>2.14</v>
      </c>
      <c r="C235" s="140">
        <f t="shared" si="107"/>
        <v>2.1399999999999996E-7</v>
      </c>
      <c r="D235" s="140">
        <f t="shared" si="107"/>
        <v>4.2799999999999997E-7</v>
      </c>
      <c r="E235" s="140">
        <f t="shared" si="107"/>
        <v>6.4200000000000006E-7</v>
      </c>
      <c r="F235" s="140">
        <f t="shared" si="107"/>
        <v>8.5600000000000004E-7</v>
      </c>
      <c r="G235" s="140">
        <f t="shared" si="107"/>
        <v>1.0700000000000001E-6</v>
      </c>
      <c r="H235" s="124">
        <f t="shared" si="60"/>
        <v>0.8</v>
      </c>
      <c r="I235" s="156">
        <f t="shared" si="61"/>
        <v>9.9999999999999995E-8</v>
      </c>
      <c r="K235" s="140">
        <f t="shared" si="62"/>
        <v>2.1400000000000002E-5</v>
      </c>
      <c r="L235">
        <v>2.14</v>
      </c>
      <c r="M235" s="140">
        <f t="shared" si="63"/>
        <v>2.1399999999999996E-7</v>
      </c>
      <c r="N235" s="140">
        <f t="shared" si="64"/>
        <v>4.2799999999999997E-7</v>
      </c>
      <c r="O235" s="140">
        <f t="shared" si="65"/>
        <v>6.4200000000000006E-7</v>
      </c>
      <c r="P235" s="140">
        <f t="shared" si="58"/>
        <v>8.5600000000000004E-7</v>
      </c>
      <c r="Q235" s="140">
        <f t="shared" si="66"/>
        <v>1.0700000000000001E-6</v>
      </c>
      <c r="R235" s="157">
        <f t="shared" si="67"/>
        <v>0.8</v>
      </c>
      <c r="S235" s="156">
        <f t="shared" si="68"/>
        <v>9.9999999999999995E-8</v>
      </c>
      <c r="U235" s="140">
        <f t="shared" si="69"/>
        <v>2.1400000000000002E-5</v>
      </c>
      <c r="V235">
        <v>2.14</v>
      </c>
      <c r="W235" s="140">
        <f t="shared" si="70"/>
        <v>2.1399999999999996E-7</v>
      </c>
      <c r="X235" s="140">
        <f t="shared" si="71"/>
        <v>4.2799999999999997E-7</v>
      </c>
      <c r="Y235" s="140">
        <f t="shared" si="72"/>
        <v>6.4200000000000006E-7</v>
      </c>
      <c r="Z235" s="140">
        <f t="shared" si="73"/>
        <v>8.5600000000000004E-7</v>
      </c>
      <c r="AA235" s="140">
        <f t="shared" si="74"/>
        <v>1.0700000000000001E-6</v>
      </c>
      <c r="AB235" s="157">
        <f t="shared" si="75"/>
        <v>0.8</v>
      </c>
      <c r="AC235" s="156">
        <f t="shared" si="76"/>
        <v>9.9999999999999995E-8</v>
      </c>
      <c r="AE235" s="140">
        <f t="shared" si="77"/>
        <v>2.1400000000000002E-5</v>
      </c>
      <c r="AF235">
        <v>2.14</v>
      </c>
      <c r="AG235" s="140">
        <f t="shared" si="78"/>
        <v>2.1399999999999996E-7</v>
      </c>
      <c r="AH235" s="140">
        <f t="shared" si="79"/>
        <v>4.2799999999999997E-7</v>
      </c>
      <c r="AI235" s="140">
        <f t="shared" si="80"/>
        <v>6.4200000000000006E-7</v>
      </c>
      <c r="AJ235" s="140">
        <f t="shared" si="81"/>
        <v>8.5600000000000004E-7</v>
      </c>
      <c r="AK235" s="140">
        <f t="shared" si="82"/>
        <v>1.0700000000000001E-6</v>
      </c>
      <c r="AL235" s="157">
        <f t="shared" si="83"/>
        <v>1.2</v>
      </c>
      <c r="AM235" s="156">
        <f t="shared" si="84"/>
        <v>9.9999999999999995E-8</v>
      </c>
      <c r="AO235" s="140">
        <f t="shared" si="85"/>
        <v>2.1400000000000002E-5</v>
      </c>
      <c r="AP235">
        <v>2.14</v>
      </c>
      <c r="AQ235" s="140">
        <f t="shared" si="86"/>
        <v>2.1399999999999996E-7</v>
      </c>
      <c r="AR235" s="140">
        <f t="shared" si="87"/>
        <v>4.2799999999999997E-7</v>
      </c>
      <c r="AS235" s="140">
        <f t="shared" si="88"/>
        <v>6.4200000000000006E-7</v>
      </c>
      <c r="AT235" s="140">
        <f t="shared" si="89"/>
        <v>8.5600000000000004E-7</v>
      </c>
      <c r="AU235" s="140">
        <f t="shared" si="90"/>
        <v>1.0700000000000001E-6</v>
      </c>
      <c r="AV235" s="157">
        <f t="shared" si="91"/>
        <v>1.2</v>
      </c>
      <c r="AW235" s="156">
        <f t="shared" si="92"/>
        <v>9.9999999999999995E-8</v>
      </c>
      <c r="AY235" s="140">
        <f t="shared" si="93"/>
        <v>2.1400000000000002E-5</v>
      </c>
      <c r="AZ235">
        <v>2.14</v>
      </c>
      <c r="BA235" s="140">
        <f t="shared" si="94"/>
        <v>2.1399999999999996E-7</v>
      </c>
      <c r="BB235" s="140">
        <f t="shared" si="95"/>
        <v>4.2799999999999997E-7</v>
      </c>
      <c r="BC235" s="140">
        <f t="shared" si="96"/>
        <v>6.4200000000000006E-7</v>
      </c>
      <c r="BD235" s="140">
        <f t="shared" si="97"/>
        <v>8.5600000000000004E-7</v>
      </c>
      <c r="BE235" s="140">
        <f t="shared" si="98"/>
        <v>1.0700000000000001E-6</v>
      </c>
      <c r="BF235" s="157">
        <f>IF(AY235&lt;$B$89*DATA!$H$1037,DATA!$H$1037,IF(AY235&gt;DATA!$H$1036*$B$89,DATA!$H$1036,1))</f>
        <v>1.2</v>
      </c>
      <c r="BG235" s="156">
        <f t="shared" si="99"/>
        <v>9.9999999999999995E-8</v>
      </c>
      <c r="BI235" s="140">
        <f t="shared" si="100"/>
        <v>2.1400000000000002E-5</v>
      </c>
      <c r="BJ235">
        <v>2.14</v>
      </c>
      <c r="BK235" s="140">
        <f t="shared" si="101"/>
        <v>2.1399999999999996E-7</v>
      </c>
      <c r="BL235" s="140">
        <f t="shared" si="102"/>
        <v>4.2799999999999997E-7</v>
      </c>
      <c r="BM235" s="140">
        <f t="shared" si="103"/>
        <v>6.4200000000000006E-7</v>
      </c>
      <c r="BN235" s="140">
        <f t="shared" si="104"/>
        <v>8.5600000000000004E-7</v>
      </c>
      <c r="BO235" s="140">
        <f t="shared" si="105"/>
        <v>1.0700000000000001E-6</v>
      </c>
      <c r="BP235" s="157">
        <f>IF(BI235&lt;$B$105*DATA!$H$1037,DATA!$H$1037,IF(BI235&gt;DATA!$H$1036*$B$105,DATA!$H$1036,1))</f>
        <v>1.2</v>
      </c>
      <c r="BQ235" s="156">
        <f t="shared" si="106"/>
        <v>9.9999999999999995E-8</v>
      </c>
    </row>
    <row r="236" spans="1:69">
      <c r="A236" s="140">
        <f t="shared" si="59"/>
        <v>2.1600000000000003E-5</v>
      </c>
      <c r="B236">
        <v>2.16</v>
      </c>
      <c r="C236" s="140">
        <f t="shared" si="107"/>
        <v>2.1599999999999995E-7</v>
      </c>
      <c r="D236" s="140">
        <f t="shared" si="107"/>
        <v>4.32E-7</v>
      </c>
      <c r="E236" s="140">
        <f t="shared" si="107"/>
        <v>6.4800000000000009E-7</v>
      </c>
      <c r="F236" s="140">
        <f t="shared" si="107"/>
        <v>8.6400000000000011E-7</v>
      </c>
      <c r="G236" s="140">
        <f t="shared" si="107"/>
        <v>1.0800000000000002E-6</v>
      </c>
      <c r="H236" s="124">
        <f t="shared" si="60"/>
        <v>0.8</v>
      </c>
      <c r="I236" s="156">
        <f t="shared" si="61"/>
        <v>9.9999999999999995E-8</v>
      </c>
      <c r="K236" s="140">
        <f t="shared" si="62"/>
        <v>2.1600000000000003E-5</v>
      </c>
      <c r="L236">
        <v>2.16</v>
      </c>
      <c r="M236" s="140">
        <f t="shared" si="63"/>
        <v>2.1599999999999995E-7</v>
      </c>
      <c r="N236" s="140">
        <f t="shared" si="64"/>
        <v>4.32E-7</v>
      </c>
      <c r="O236" s="140">
        <f t="shared" si="65"/>
        <v>6.4800000000000009E-7</v>
      </c>
      <c r="P236" s="140">
        <f t="shared" si="58"/>
        <v>8.6400000000000011E-7</v>
      </c>
      <c r="Q236" s="140">
        <f t="shared" si="66"/>
        <v>1.0800000000000002E-6</v>
      </c>
      <c r="R236" s="157">
        <f t="shared" si="67"/>
        <v>0.8</v>
      </c>
      <c r="S236" s="156">
        <f t="shared" si="68"/>
        <v>9.9999999999999995E-8</v>
      </c>
      <c r="U236" s="140">
        <f t="shared" si="69"/>
        <v>2.1600000000000003E-5</v>
      </c>
      <c r="V236">
        <v>2.16</v>
      </c>
      <c r="W236" s="140">
        <f t="shared" si="70"/>
        <v>2.1599999999999995E-7</v>
      </c>
      <c r="X236" s="140">
        <f t="shared" si="71"/>
        <v>4.32E-7</v>
      </c>
      <c r="Y236" s="140">
        <f t="shared" si="72"/>
        <v>6.4800000000000009E-7</v>
      </c>
      <c r="Z236" s="140">
        <f t="shared" si="73"/>
        <v>8.6400000000000011E-7</v>
      </c>
      <c r="AA236" s="140">
        <f t="shared" si="74"/>
        <v>1.0800000000000002E-6</v>
      </c>
      <c r="AB236" s="157">
        <f t="shared" si="75"/>
        <v>0.8</v>
      </c>
      <c r="AC236" s="156">
        <f t="shared" si="76"/>
        <v>9.9999999999999995E-8</v>
      </c>
      <c r="AE236" s="140">
        <f t="shared" si="77"/>
        <v>2.1600000000000003E-5</v>
      </c>
      <c r="AF236">
        <v>2.16</v>
      </c>
      <c r="AG236" s="140">
        <f t="shared" si="78"/>
        <v>2.1599999999999995E-7</v>
      </c>
      <c r="AH236" s="140">
        <f t="shared" si="79"/>
        <v>4.32E-7</v>
      </c>
      <c r="AI236" s="140">
        <f t="shared" si="80"/>
        <v>6.4800000000000009E-7</v>
      </c>
      <c r="AJ236" s="140">
        <f t="shared" si="81"/>
        <v>8.6400000000000011E-7</v>
      </c>
      <c r="AK236" s="140">
        <f t="shared" si="82"/>
        <v>1.0800000000000002E-6</v>
      </c>
      <c r="AL236" s="157">
        <f t="shared" si="83"/>
        <v>1.2</v>
      </c>
      <c r="AM236" s="156">
        <f t="shared" si="84"/>
        <v>9.9999999999999995E-8</v>
      </c>
      <c r="AO236" s="140">
        <f t="shared" si="85"/>
        <v>2.1600000000000003E-5</v>
      </c>
      <c r="AP236">
        <v>2.16</v>
      </c>
      <c r="AQ236" s="140">
        <f t="shared" si="86"/>
        <v>2.1599999999999995E-7</v>
      </c>
      <c r="AR236" s="140">
        <f t="shared" si="87"/>
        <v>4.32E-7</v>
      </c>
      <c r="AS236" s="140">
        <f t="shared" si="88"/>
        <v>6.4800000000000009E-7</v>
      </c>
      <c r="AT236" s="140">
        <f t="shared" si="89"/>
        <v>8.6400000000000011E-7</v>
      </c>
      <c r="AU236" s="140">
        <f t="shared" si="90"/>
        <v>1.0800000000000002E-6</v>
      </c>
      <c r="AV236" s="157">
        <f t="shared" si="91"/>
        <v>1.2</v>
      </c>
      <c r="AW236" s="156">
        <f t="shared" si="92"/>
        <v>9.9999999999999995E-8</v>
      </c>
      <c r="AY236" s="140">
        <f t="shared" si="93"/>
        <v>2.1600000000000003E-5</v>
      </c>
      <c r="AZ236">
        <v>2.16</v>
      </c>
      <c r="BA236" s="140">
        <f t="shared" si="94"/>
        <v>2.1599999999999995E-7</v>
      </c>
      <c r="BB236" s="140">
        <f t="shared" si="95"/>
        <v>4.32E-7</v>
      </c>
      <c r="BC236" s="140">
        <f t="shared" si="96"/>
        <v>6.4800000000000009E-7</v>
      </c>
      <c r="BD236" s="140">
        <f t="shared" si="97"/>
        <v>8.6400000000000011E-7</v>
      </c>
      <c r="BE236" s="140">
        <f t="shared" si="98"/>
        <v>1.0800000000000002E-6</v>
      </c>
      <c r="BF236" s="157">
        <f>IF(AY236&lt;$B$89*DATA!$H$1037,DATA!$H$1037,IF(AY236&gt;DATA!$H$1036*$B$89,DATA!$H$1036,1))</f>
        <v>1.2</v>
      </c>
      <c r="BG236" s="156">
        <f t="shared" si="99"/>
        <v>9.9999999999999995E-8</v>
      </c>
      <c r="BI236" s="140">
        <f t="shared" si="100"/>
        <v>2.1600000000000003E-5</v>
      </c>
      <c r="BJ236">
        <v>2.16</v>
      </c>
      <c r="BK236" s="140">
        <f t="shared" si="101"/>
        <v>2.1599999999999995E-7</v>
      </c>
      <c r="BL236" s="140">
        <f t="shared" si="102"/>
        <v>4.32E-7</v>
      </c>
      <c r="BM236" s="140">
        <f t="shared" si="103"/>
        <v>6.4800000000000009E-7</v>
      </c>
      <c r="BN236" s="140">
        <f t="shared" si="104"/>
        <v>8.6400000000000011E-7</v>
      </c>
      <c r="BO236" s="140">
        <f t="shared" si="105"/>
        <v>1.0800000000000002E-6</v>
      </c>
      <c r="BP236" s="157">
        <f>IF(BI236&lt;$B$105*DATA!$H$1037,DATA!$H$1037,IF(BI236&gt;DATA!$H$1036*$B$105,DATA!$H$1036,1))</f>
        <v>1.2</v>
      </c>
      <c r="BQ236" s="156">
        <f t="shared" si="106"/>
        <v>9.9999999999999995E-8</v>
      </c>
    </row>
    <row r="237" spans="1:69">
      <c r="A237" s="140">
        <f t="shared" si="59"/>
        <v>2.1800000000000005E-5</v>
      </c>
      <c r="B237">
        <v>2.1800000000000002</v>
      </c>
      <c r="C237" s="140">
        <f t="shared" si="107"/>
        <v>2.1799999999999997E-7</v>
      </c>
      <c r="D237" s="140">
        <f t="shared" si="107"/>
        <v>4.3600000000000004E-7</v>
      </c>
      <c r="E237" s="140">
        <f t="shared" si="107"/>
        <v>6.5400000000000011E-7</v>
      </c>
      <c r="F237" s="140">
        <f t="shared" si="107"/>
        <v>8.7200000000000019E-7</v>
      </c>
      <c r="G237" s="140">
        <f t="shared" si="107"/>
        <v>1.0900000000000004E-6</v>
      </c>
      <c r="H237" s="124">
        <f t="shared" si="60"/>
        <v>0.8</v>
      </c>
      <c r="I237" s="156">
        <f t="shared" si="61"/>
        <v>9.9999999999999995E-8</v>
      </c>
      <c r="K237" s="140">
        <f t="shared" si="62"/>
        <v>2.1800000000000005E-5</v>
      </c>
      <c r="L237">
        <v>2.1800000000000002</v>
      </c>
      <c r="M237" s="140">
        <f t="shared" si="63"/>
        <v>2.1799999999999997E-7</v>
      </c>
      <c r="N237" s="140">
        <f t="shared" si="64"/>
        <v>4.3600000000000004E-7</v>
      </c>
      <c r="O237" s="140">
        <f t="shared" si="65"/>
        <v>6.5400000000000011E-7</v>
      </c>
      <c r="P237" s="140">
        <f t="shared" si="58"/>
        <v>8.7200000000000019E-7</v>
      </c>
      <c r="Q237" s="140">
        <f t="shared" si="66"/>
        <v>1.0900000000000004E-6</v>
      </c>
      <c r="R237" s="157">
        <f t="shared" si="67"/>
        <v>0.8</v>
      </c>
      <c r="S237" s="156">
        <f t="shared" si="68"/>
        <v>9.9999999999999995E-8</v>
      </c>
      <c r="U237" s="140">
        <f t="shared" si="69"/>
        <v>2.1800000000000005E-5</v>
      </c>
      <c r="V237">
        <v>2.1800000000000002</v>
      </c>
      <c r="W237" s="140">
        <f t="shared" si="70"/>
        <v>2.1799999999999997E-7</v>
      </c>
      <c r="X237" s="140">
        <f t="shared" si="71"/>
        <v>4.3600000000000004E-7</v>
      </c>
      <c r="Y237" s="140">
        <f t="shared" si="72"/>
        <v>6.5400000000000011E-7</v>
      </c>
      <c r="Z237" s="140">
        <f t="shared" si="73"/>
        <v>8.7200000000000019E-7</v>
      </c>
      <c r="AA237" s="140">
        <f t="shared" si="74"/>
        <v>1.0900000000000004E-6</v>
      </c>
      <c r="AB237" s="157">
        <f t="shared" si="75"/>
        <v>0.8</v>
      </c>
      <c r="AC237" s="156">
        <f t="shared" si="76"/>
        <v>9.9999999999999995E-8</v>
      </c>
      <c r="AE237" s="140">
        <f t="shared" si="77"/>
        <v>2.1800000000000005E-5</v>
      </c>
      <c r="AF237">
        <v>2.1800000000000002</v>
      </c>
      <c r="AG237" s="140">
        <f t="shared" si="78"/>
        <v>2.1799999999999997E-7</v>
      </c>
      <c r="AH237" s="140">
        <f t="shared" si="79"/>
        <v>4.3600000000000004E-7</v>
      </c>
      <c r="AI237" s="140">
        <f t="shared" si="80"/>
        <v>6.5400000000000011E-7</v>
      </c>
      <c r="AJ237" s="140">
        <f t="shared" si="81"/>
        <v>8.7200000000000019E-7</v>
      </c>
      <c r="AK237" s="140">
        <f t="shared" si="82"/>
        <v>1.0900000000000004E-6</v>
      </c>
      <c r="AL237" s="157">
        <f t="shared" si="83"/>
        <v>1.2</v>
      </c>
      <c r="AM237" s="156">
        <f t="shared" si="84"/>
        <v>9.9999999999999995E-8</v>
      </c>
      <c r="AO237" s="140">
        <f t="shared" si="85"/>
        <v>2.1800000000000005E-5</v>
      </c>
      <c r="AP237">
        <v>2.1800000000000002</v>
      </c>
      <c r="AQ237" s="140">
        <f t="shared" si="86"/>
        <v>2.1799999999999997E-7</v>
      </c>
      <c r="AR237" s="140">
        <f t="shared" si="87"/>
        <v>4.3600000000000004E-7</v>
      </c>
      <c r="AS237" s="140">
        <f t="shared" si="88"/>
        <v>6.5400000000000011E-7</v>
      </c>
      <c r="AT237" s="140">
        <f t="shared" si="89"/>
        <v>8.7200000000000019E-7</v>
      </c>
      <c r="AU237" s="140">
        <f t="shared" si="90"/>
        <v>1.0900000000000004E-6</v>
      </c>
      <c r="AV237" s="157">
        <f t="shared" si="91"/>
        <v>1.2</v>
      </c>
      <c r="AW237" s="156">
        <f t="shared" si="92"/>
        <v>9.9999999999999995E-8</v>
      </c>
      <c r="AY237" s="140">
        <f t="shared" si="93"/>
        <v>2.1800000000000005E-5</v>
      </c>
      <c r="AZ237">
        <v>2.1800000000000002</v>
      </c>
      <c r="BA237" s="140">
        <f t="shared" si="94"/>
        <v>2.1799999999999997E-7</v>
      </c>
      <c r="BB237" s="140">
        <f t="shared" si="95"/>
        <v>4.3600000000000004E-7</v>
      </c>
      <c r="BC237" s="140">
        <f t="shared" si="96"/>
        <v>6.5400000000000011E-7</v>
      </c>
      <c r="BD237" s="140">
        <f t="shared" si="97"/>
        <v>8.7200000000000019E-7</v>
      </c>
      <c r="BE237" s="140">
        <f t="shared" si="98"/>
        <v>1.0900000000000004E-6</v>
      </c>
      <c r="BF237" s="157">
        <f>IF(AY237&lt;$B$89*DATA!$H$1037,DATA!$H$1037,IF(AY237&gt;DATA!$H$1036*$B$89,DATA!$H$1036,1))</f>
        <v>1.2</v>
      </c>
      <c r="BG237" s="156">
        <f t="shared" si="99"/>
        <v>9.9999999999999995E-8</v>
      </c>
      <c r="BI237" s="140">
        <f t="shared" si="100"/>
        <v>2.1800000000000005E-5</v>
      </c>
      <c r="BJ237">
        <v>2.1800000000000002</v>
      </c>
      <c r="BK237" s="140">
        <f t="shared" si="101"/>
        <v>2.1799999999999997E-7</v>
      </c>
      <c r="BL237" s="140">
        <f t="shared" si="102"/>
        <v>4.3600000000000004E-7</v>
      </c>
      <c r="BM237" s="140">
        <f t="shared" si="103"/>
        <v>6.5400000000000011E-7</v>
      </c>
      <c r="BN237" s="140">
        <f t="shared" si="104"/>
        <v>8.7200000000000019E-7</v>
      </c>
      <c r="BO237" s="140">
        <f t="shared" si="105"/>
        <v>1.0900000000000004E-6</v>
      </c>
      <c r="BP237" s="157">
        <f>IF(BI237&lt;$B$105*DATA!$H$1037,DATA!$H$1037,IF(BI237&gt;DATA!$H$1036*$B$105,DATA!$H$1036,1))</f>
        <v>1.2</v>
      </c>
      <c r="BQ237" s="156">
        <f t="shared" si="106"/>
        <v>9.9999999999999995E-8</v>
      </c>
    </row>
    <row r="238" spans="1:69">
      <c r="A238" s="140">
        <f t="shared" si="59"/>
        <v>2.2000000000000003E-5</v>
      </c>
      <c r="B238">
        <v>2.2000000000000002</v>
      </c>
      <c r="C238" s="140">
        <f t="shared" si="107"/>
        <v>2.1999999999999996E-7</v>
      </c>
      <c r="D238" s="140">
        <f t="shared" si="107"/>
        <v>4.3999999999999997E-7</v>
      </c>
      <c r="E238" s="140">
        <f t="shared" si="107"/>
        <v>6.6000000000000003E-7</v>
      </c>
      <c r="F238" s="140">
        <f t="shared" si="107"/>
        <v>8.8000000000000015E-7</v>
      </c>
      <c r="G238" s="140">
        <f t="shared" si="107"/>
        <v>1.1000000000000003E-6</v>
      </c>
      <c r="H238" s="124">
        <f t="shared" si="60"/>
        <v>0.8</v>
      </c>
      <c r="I238" s="156">
        <f t="shared" si="61"/>
        <v>9.9999999999999995E-8</v>
      </c>
      <c r="K238" s="140">
        <f t="shared" si="62"/>
        <v>2.2000000000000003E-5</v>
      </c>
      <c r="L238">
        <v>2.2000000000000002</v>
      </c>
      <c r="M238" s="140">
        <f t="shared" si="63"/>
        <v>2.1999999999999996E-7</v>
      </c>
      <c r="N238" s="140">
        <f t="shared" si="64"/>
        <v>4.3999999999999997E-7</v>
      </c>
      <c r="O238" s="140">
        <f t="shared" si="65"/>
        <v>6.6000000000000003E-7</v>
      </c>
      <c r="P238" s="140">
        <f t="shared" si="58"/>
        <v>8.8000000000000015E-7</v>
      </c>
      <c r="Q238" s="140">
        <f t="shared" si="66"/>
        <v>1.1000000000000003E-6</v>
      </c>
      <c r="R238" s="157">
        <f t="shared" si="67"/>
        <v>0.8</v>
      </c>
      <c r="S238" s="156">
        <f t="shared" si="68"/>
        <v>9.9999999999999995E-8</v>
      </c>
      <c r="U238" s="140">
        <f t="shared" si="69"/>
        <v>2.2000000000000003E-5</v>
      </c>
      <c r="V238">
        <v>2.2000000000000002</v>
      </c>
      <c r="W238" s="140">
        <f t="shared" si="70"/>
        <v>2.1999999999999996E-7</v>
      </c>
      <c r="X238" s="140">
        <f t="shared" si="71"/>
        <v>4.3999999999999997E-7</v>
      </c>
      <c r="Y238" s="140">
        <f t="shared" si="72"/>
        <v>6.6000000000000003E-7</v>
      </c>
      <c r="Z238" s="140">
        <f t="shared" si="73"/>
        <v>8.8000000000000015E-7</v>
      </c>
      <c r="AA238" s="140">
        <f t="shared" si="74"/>
        <v>1.1000000000000003E-6</v>
      </c>
      <c r="AB238" s="157">
        <f t="shared" si="75"/>
        <v>0.8</v>
      </c>
      <c r="AC238" s="156">
        <f t="shared" si="76"/>
        <v>9.9999999999999995E-8</v>
      </c>
      <c r="AE238" s="140">
        <f t="shared" si="77"/>
        <v>2.2000000000000003E-5</v>
      </c>
      <c r="AF238">
        <v>2.2000000000000002</v>
      </c>
      <c r="AG238" s="140">
        <f t="shared" si="78"/>
        <v>2.1999999999999996E-7</v>
      </c>
      <c r="AH238" s="140">
        <f t="shared" si="79"/>
        <v>4.3999999999999997E-7</v>
      </c>
      <c r="AI238" s="140">
        <f t="shared" si="80"/>
        <v>6.6000000000000003E-7</v>
      </c>
      <c r="AJ238" s="140">
        <f t="shared" si="81"/>
        <v>8.8000000000000015E-7</v>
      </c>
      <c r="AK238" s="140">
        <f t="shared" si="82"/>
        <v>1.1000000000000003E-6</v>
      </c>
      <c r="AL238" s="157">
        <f t="shared" si="83"/>
        <v>1.2</v>
      </c>
      <c r="AM238" s="156">
        <f t="shared" si="84"/>
        <v>9.9999999999999995E-8</v>
      </c>
      <c r="AO238" s="140">
        <f t="shared" si="85"/>
        <v>2.2000000000000003E-5</v>
      </c>
      <c r="AP238">
        <v>2.2000000000000002</v>
      </c>
      <c r="AQ238" s="140">
        <f t="shared" si="86"/>
        <v>2.1999999999999996E-7</v>
      </c>
      <c r="AR238" s="140">
        <f t="shared" si="87"/>
        <v>4.3999999999999997E-7</v>
      </c>
      <c r="AS238" s="140">
        <f t="shared" si="88"/>
        <v>6.6000000000000003E-7</v>
      </c>
      <c r="AT238" s="140">
        <f t="shared" si="89"/>
        <v>8.8000000000000015E-7</v>
      </c>
      <c r="AU238" s="140">
        <f t="shared" si="90"/>
        <v>1.1000000000000003E-6</v>
      </c>
      <c r="AV238" s="157">
        <f t="shared" si="91"/>
        <v>1.2</v>
      </c>
      <c r="AW238" s="156">
        <f t="shared" si="92"/>
        <v>9.9999999999999995E-8</v>
      </c>
      <c r="AY238" s="140">
        <f t="shared" si="93"/>
        <v>2.2000000000000003E-5</v>
      </c>
      <c r="AZ238">
        <v>2.2000000000000002</v>
      </c>
      <c r="BA238" s="140">
        <f t="shared" si="94"/>
        <v>2.1999999999999996E-7</v>
      </c>
      <c r="BB238" s="140">
        <f t="shared" si="95"/>
        <v>4.3999999999999997E-7</v>
      </c>
      <c r="BC238" s="140">
        <f t="shared" si="96"/>
        <v>6.6000000000000003E-7</v>
      </c>
      <c r="BD238" s="140">
        <f t="shared" si="97"/>
        <v>8.8000000000000015E-7</v>
      </c>
      <c r="BE238" s="140">
        <f t="shared" si="98"/>
        <v>1.1000000000000003E-6</v>
      </c>
      <c r="BF238" s="157">
        <f>IF(AY238&lt;$B$89*DATA!$H$1037,DATA!$H$1037,IF(AY238&gt;DATA!$H$1036*$B$89,DATA!$H$1036,1))</f>
        <v>1.2</v>
      </c>
      <c r="BG238" s="156">
        <f t="shared" si="99"/>
        <v>9.9999999999999995E-8</v>
      </c>
      <c r="BI238" s="140">
        <f t="shared" si="100"/>
        <v>2.2000000000000003E-5</v>
      </c>
      <c r="BJ238">
        <v>2.2000000000000002</v>
      </c>
      <c r="BK238" s="140">
        <f t="shared" si="101"/>
        <v>2.1999999999999996E-7</v>
      </c>
      <c r="BL238" s="140">
        <f t="shared" si="102"/>
        <v>4.3999999999999997E-7</v>
      </c>
      <c r="BM238" s="140">
        <f t="shared" si="103"/>
        <v>6.6000000000000003E-7</v>
      </c>
      <c r="BN238" s="140">
        <f t="shared" si="104"/>
        <v>8.8000000000000015E-7</v>
      </c>
      <c r="BO238" s="140">
        <f t="shared" si="105"/>
        <v>1.1000000000000003E-6</v>
      </c>
      <c r="BP238" s="157">
        <f>IF(BI238&lt;$B$105*DATA!$H$1037,DATA!$H$1037,IF(BI238&gt;DATA!$H$1036*$B$105,DATA!$H$1036,1))</f>
        <v>1.2</v>
      </c>
      <c r="BQ238" s="156">
        <f t="shared" si="106"/>
        <v>9.9999999999999995E-8</v>
      </c>
    </row>
    <row r="239" spans="1:69">
      <c r="A239" s="140">
        <f t="shared" si="59"/>
        <v>2.2200000000000004E-5</v>
      </c>
      <c r="B239">
        <v>2.2200000000000002</v>
      </c>
      <c r="C239" s="140">
        <f t="shared" ref="C239:G254" si="108">C$142*$A239</f>
        <v>2.2199999999999998E-7</v>
      </c>
      <c r="D239" s="140">
        <f t="shared" si="108"/>
        <v>4.4400000000000001E-7</v>
      </c>
      <c r="E239" s="140">
        <f t="shared" si="108"/>
        <v>6.6600000000000006E-7</v>
      </c>
      <c r="F239" s="140">
        <f t="shared" si="108"/>
        <v>8.8800000000000022E-7</v>
      </c>
      <c r="G239" s="140">
        <f t="shared" si="108"/>
        <v>1.1100000000000002E-6</v>
      </c>
      <c r="H239" s="124">
        <f t="shared" si="60"/>
        <v>0.8</v>
      </c>
      <c r="I239" s="156">
        <f t="shared" si="61"/>
        <v>9.9999999999999995E-8</v>
      </c>
      <c r="K239" s="140">
        <f t="shared" si="62"/>
        <v>2.2200000000000004E-5</v>
      </c>
      <c r="L239">
        <v>2.2200000000000002</v>
      </c>
      <c r="M239" s="140">
        <f t="shared" si="63"/>
        <v>2.2199999999999998E-7</v>
      </c>
      <c r="N239" s="140">
        <f t="shared" si="64"/>
        <v>4.4400000000000001E-7</v>
      </c>
      <c r="O239" s="140">
        <f t="shared" si="65"/>
        <v>6.6600000000000006E-7</v>
      </c>
      <c r="P239" s="140">
        <f t="shared" si="58"/>
        <v>8.8800000000000022E-7</v>
      </c>
      <c r="Q239" s="140">
        <f t="shared" si="66"/>
        <v>1.1100000000000002E-6</v>
      </c>
      <c r="R239" s="157">
        <f t="shared" si="67"/>
        <v>0.8</v>
      </c>
      <c r="S239" s="156">
        <f t="shared" si="68"/>
        <v>9.9999999999999995E-8</v>
      </c>
      <c r="U239" s="140">
        <f t="shared" si="69"/>
        <v>2.2200000000000004E-5</v>
      </c>
      <c r="V239">
        <v>2.2200000000000002</v>
      </c>
      <c r="W239" s="140">
        <f t="shared" si="70"/>
        <v>2.2199999999999998E-7</v>
      </c>
      <c r="X239" s="140">
        <f t="shared" si="71"/>
        <v>4.4400000000000001E-7</v>
      </c>
      <c r="Y239" s="140">
        <f t="shared" si="72"/>
        <v>6.6600000000000006E-7</v>
      </c>
      <c r="Z239" s="140">
        <f t="shared" si="73"/>
        <v>8.8800000000000022E-7</v>
      </c>
      <c r="AA239" s="140">
        <f t="shared" si="74"/>
        <v>1.1100000000000002E-6</v>
      </c>
      <c r="AB239" s="157">
        <f t="shared" si="75"/>
        <v>0.8</v>
      </c>
      <c r="AC239" s="156">
        <f t="shared" si="76"/>
        <v>9.9999999999999995E-8</v>
      </c>
      <c r="AE239" s="140">
        <f t="shared" si="77"/>
        <v>2.2200000000000004E-5</v>
      </c>
      <c r="AF239">
        <v>2.2200000000000002</v>
      </c>
      <c r="AG239" s="140">
        <f t="shared" si="78"/>
        <v>2.2199999999999998E-7</v>
      </c>
      <c r="AH239" s="140">
        <f t="shared" si="79"/>
        <v>4.4400000000000001E-7</v>
      </c>
      <c r="AI239" s="140">
        <f t="shared" si="80"/>
        <v>6.6600000000000006E-7</v>
      </c>
      <c r="AJ239" s="140">
        <f t="shared" si="81"/>
        <v>8.8800000000000022E-7</v>
      </c>
      <c r="AK239" s="140">
        <f t="shared" si="82"/>
        <v>1.1100000000000002E-6</v>
      </c>
      <c r="AL239" s="157">
        <f t="shared" si="83"/>
        <v>1.2</v>
      </c>
      <c r="AM239" s="156">
        <f t="shared" si="84"/>
        <v>9.9999999999999995E-8</v>
      </c>
      <c r="AO239" s="140">
        <f t="shared" si="85"/>
        <v>2.2200000000000004E-5</v>
      </c>
      <c r="AP239">
        <v>2.2200000000000002</v>
      </c>
      <c r="AQ239" s="140">
        <f t="shared" si="86"/>
        <v>2.2199999999999998E-7</v>
      </c>
      <c r="AR239" s="140">
        <f t="shared" si="87"/>
        <v>4.4400000000000001E-7</v>
      </c>
      <c r="AS239" s="140">
        <f t="shared" si="88"/>
        <v>6.6600000000000006E-7</v>
      </c>
      <c r="AT239" s="140">
        <f t="shared" si="89"/>
        <v>8.8800000000000022E-7</v>
      </c>
      <c r="AU239" s="140">
        <f t="shared" si="90"/>
        <v>1.1100000000000002E-6</v>
      </c>
      <c r="AV239" s="157">
        <f t="shared" si="91"/>
        <v>1.2</v>
      </c>
      <c r="AW239" s="156">
        <f t="shared" si="92"/>
        <v>9.9999999999999995E-8</v>
      </c>
      <c r="AY239" s="140">
        <f t="shared" si="93"/>
        <v>2.2200000000000004E-5</v>
      </c>
      <c r="AZ239">
        <v>2.2200000000000002</v>
      </c>
      <c r="BA239" s="140">
        <f t="shared" si="94"/>
        <v>2.2199999999999998E-7</v>
      </c>
      <c r="BB239" s="140">
        <f t="shared" si="95"/>
        <v>4.4400000000000001E-7</v>
      </c>
      <c r="BC239" s="140">
        <f t="shared" si="96"/>
        <v>6.6600000000000006E-7</v>
      </c>
      <c r="BD239" s="140">
        <f t="shared" si="97"/>
        <v>8.8800000000000022E-7</v>
      </c>
      <c r="BE239" s="140">
        <f t="shared" si="98"/>
        <v>1.1100000000000002E-6</v>
      </c>
      <c r="BF239" s="157">
        <f>IF(AY239&lt;$B$89*DATA!$H$1037,DATA!$H$1037,IF(AY239&gt;DATA!$H$1036*$B$89,DATA!$H$1036,1))</f>
        <v>1.2</v>
      </c>
      <c r="BG239" s="156">
        <f t="shared" si="99"/>
        <v>9.9999999999999995E-8</v>
      </c>
      <c r="BI239" s="140">
        <f t="shared" si="100"/>
        <v>2.2200000000000004E-5</v>
      </c>
      <c r="BJ239">
        <v>2.2200000000000002</v>
      </c>
      <c r="BK239" s="140">
        <f t="shared" si="101"/>
        <v>2.2199999999999998E-7</v>
      </c>
      <c r="BL239" s="140">
        <f t="shared" si="102"/>
        <v>4.4400000000000001E-7</v>
      </c>
      <c r="BM239" s="140">
        <f t="shared" si="103"/>
        <v>6.6600000000000006E-7</v>
      </c>
      <c r="BN239" s="140">
        <f t="shared" si="104"/>
        <v>8.8800000000000022E-7</v>
      </c>
      <c r="BO239" s="140">
        <f t="shared" si="105"/>
        <v>1.1100000000000002E-6</v>
      </c>
      <c r="BP239" s="157">
        <f>IF(BI239&lt;$B$105*DATA!$H$1037,DATA!$H$1037,IF(BI239&gt;DATA!$H$1036*$B$105,DATA!$H$1036,1))</f>
        <v>1.2</v>
      </c>
      <c r="BQ239" s="156">
        <f t="shared" si="106"/>
        <v>9.9999999999999995E-8</v>
      </c>
    </row>
    <row r="240" spans="1:69">
      <c r="A240" s="140">
        <f t="shared" si="59"/>
        <v>2.2400000000000002E-5</v>
      </c>
      <c r="B240">
        <v>2.2400000000000002</v>
      </c>
      <c r="C240" s="140">
        <f t="shared" si="108"/>
        <v>2.2399999999999994E-7</v>
      </c>
      <c r="D240" s="140">
        <f t="shared" si="108"/>
        <v>4.4799999999999999E-7</v>
      </c>
      <c r="E240" s="140">
        <f t="shared" si="108"/>
        <v>6.7200000000000009E-7</v>
      </c>
      <c r="F240" s="140">
        <f t="shared" si="108"/>
        <v>8.9600000000000008E-7</v>
      </c>
      <c r="G240" s="140">
        <f t="shared" si="108"/>
        <v>1.1200000000000001E-6</v>
      </c>
      <c r="H240" s="124">
        <f t="shared" si="60"/>
        <v>0.8</v>
      </c>
      <c r="I240" s="156">
        <f t="shared" si="61"/>
        <v>9.9999999999999995E-8</v>
      </c>
      <c r="K240" s="140">
        <f t="shared" si="62"/>
        <v>2.2400000000000002E-5</v>
      </c>
      <c r="L240">
        <v>2.2400000000000002</v>
      </c>
      <c r="M240" s="140">
        <f t="shared" si="63"/>
        <v>2.2399999999999994E-7</v>
      </c>
      <c r="N240" s="140">
        <f t="shared" si="64"/>
        <v>4.4799999999999999E-7</v>
      </c>
      <c r="O240" s="140">
        <f t="shared" si="65"/>
        <v>6.7200000000000009E-7</v>
      </c>
      <c r="P240" s="140">
        <f t="shared" si="58"/>
        <v>8.9600000000000008E-7</v>
      </c>
      <c r="Q240" s="140">
        <f t="shared" si="66"/>
        <v>1.1200000000000001E-6</v>
      </c>
      <c r="R240" s="157">
        <f t="shared" si="67"/>
        <v>0.8</v>
      </c>
      <c r="S240" s="156">
        <f t="shared" si="68"/>
        <v>9.9999999999999995E-8</v>
      </c>
      <c r="U240" s="140">
        <f t="shared" si="69"/>
        <v>2.2400000000000002E-5</v>
      </c>
      <c r="V240">
        <v>2.2400000000000002</v>
      </c>
      <c r="W240" s="140">
        <f t="shared" si="70"/>
        <v>2.2399999999999994E-7</v>
      </c>
      <c r="X240" s="140">
        <f t="shared" si="71"/>
        <v>4.4799999999999999E-7</v>
      </c>
      <c r="Y240" s="140">
        <f t="shared" si="72"/>
        <v>6.7200000000000009E-7</v>
      </c>
      <c r="Z240" s="140">
        <f t="shared" si="73"/>
        <v>8.9600000000000008E-7</v>
      </c>
      <c r="AA240" s="140">
        <f t="shared" si="74"/>
        <v>1.1200000000000001E-6</v>
      </c>
      <c r="AB240" s="157">
        <f t="shared" si="75"/>
        <v>0.8</v>
      </c>
      <c r="AC240" s="156">
        <f t="shared" si="76"/>
        <v>9.9999999999999995E-8</v>
      </c>
      <c r="AE240" s="140">
        <f t="shared" si="77"/>
        <v>2.2400000000000002E-5</v>
      </c>
      <c r="AF240">
        <v>2.2400000000000002</v>
      </c>
      <c r="AG240" s="140">
        <f t="shared" si="78"/>
        <v>2.2399999999999994E-7</v>
      </c>
      <c r="AH240" s="140">
        <f t="shared" si="79"/>
        <v>4.4799999999999999E-7</v>
      </c>
      <c r="AI240" s="140">
        <f t="shared" si="80"/>
        <v>6.7200000000000009E-7</v>
      </c>
      <c r="AJ240" s="140">
        <f t="shared" si="81"/>
        <v>8.9600000000000008E-7</v>
      </c>
      <c r="AK240" s="140">
        <f t="shared" si="82"/>
        <v>1.1200000000000001E-6</v>
      </c>
      <c r="AL240" s="157">
        <f t="shared" si="83"/>
        <v>1.2</v>
      </c>
      <c r="AM240" s="156">
        <f t="shared" si="84"/>
        <v>9.9999999999999995E-8</v>
      </c>
      <c r="AO240" s="140">
        <f t="shared" si="85"/>
        <v>2.2400000000000002E-5</v>
      </c>
      <c r="AP240">
        <v>2.2400000000000002</v>
      </c>
      <c r="AQ240" s="140">
        <f t="shared" si="86"/>
        <v>2.2399999999999994E-7</v>
      </c>
      <c r="AR240" s="140">
        <f t="shared" si="87"/>
        <v>4.4799999999999999E-7</v>
      </c>
      <c r="AS240" s="140">
        <f t="shared" si="88"/>
        <v>6.7200000000000009E-7</v>
      </c>
      <c r="AT240" s="140">
        <f t="shared" si="89"/>
        <v>8.9600000000000008E-7</v>
      </c>
      <c r="AU240" s="140">
        <f t="shared" si="90"/>
        <v>1.1200000000000001E-6</v>
      </c>
      <c r="AV240" s="157">
        <f t="shared" si="91"/>
        <v>1.2</v>
      </c>
      <c r="AW240" s="156">
        <f t="shared" si="92"/>
        <v>9.9999999999999995E-8</v>
      </c>
      <c r="AY240" s="140">
        <f t="shared" si="93"/>
        <v>2.2400000000000002E-5</v>
      </c>
      <c r="AZ240">
        <v>2.2400000000000002</v>
      </c>
      <c r="BA240" s="140">
        <f t="shared" si="94"/>
        <v>2.2399999999999994E-7</v>
      </c>
      <c r="BB240" s="140">
        <f t="shared" si="95"/>
        <v>4.4799999999999999E-7</v>
      </c>
      <c r="BC240" s="140">
        <f t="shared" si="96"/>
        <v>6.7200000000000009E-7</v>
      </c>
      <c r="BD240" s="140">
        <f t="shared" si="97"/>
        <v>8.9600000000000008E-7</v>
      </c>
      <c r="BE240" s="140">
        <f t="shared" si="98"/>
        <v>1.1200000000000001E-6</v>
      </c>
      <c r="BF240" s="157">
        <f>IF(AY240&lt;$B$89*DATA!$H$1037,DATA!$H$1037,IF(AY240&gt;DATA!$H$1036*$B$89,DATA!$H$1036,1))</f>
        <v>1.2</v>
      </c>
      <c r="BG240" s="156">
        <f t="shared" si="99"/>
        <v>9.9999999999999995E-8</v>
      </c>
      <c r="BI240" s="140">
        <f t="shared" si="100"/>
        <v>2.2400000000000002E-5</v>
      </c>
      <c r="BJ240">
        <v>2.2400000000000002</v>
      </c>
      <c r="BK240" s="140">
        <f t="shared" si="101"/>
        <v>2.2399999999999994E-7</v>
      </c>
      <c r="BL240" s="140">
        <f t="shared" si="102"/>
        <v>4.4799999999999999E-7</v>
      </c>
      <c r="BM240" s="140">
        <f t="shared" si="103"/>
        <v>6.7200000000000009E-7</v>
      </c>
      <c r="BN240" s="140">
        <f t="shared" si="104"/>
        <v>8.9600000000000008E-7</v>
      </c>
      <c r="BO240" s="140">
        <f t="shared" si="105"/>
        <v>1.1200000000000001E-6</v>
      </c>
      <c r="BP240" s="157">
        <f>IF(BI240&lt;$B$105*DATA!$H$1037,DATA!$H$1037,IF(BI240&gt;DATA!$H$1036*$B$105,DATA!$H$1036,1))</f>
        <v>1.2</v>
      </c>
      <c r="BQ240" s="156">
        <f t="shared" si="106"/>
        <v>9.9999999999999995E-8</v>
      </c>
    </row>
    <row r="241" spans="1:69">
      <c r="A241" s="140">
        <f t="shared" si="59"/>
        <v>2.26E-5</v>
      </c>
      <c r="B241">
        <v>2.2599999999999998</v>
      </c>
      <c r="C241" s="140">
        <f t="shared" si="108"/>
        <v>2.2599999999999993E-7</v>
      </c>
      <c r="D241" s="140">
        <f t="shared" si="108"/>
        <v>4.5199999999999992E-7</v>
      </c>
      <c r="E241" s="140">
        <f t="shared" si="108"/>
        <v>6.7800000000000001E-7</v>
      </c>
      <c r="F241" s="140">
        <f t="shared" si="108"/>
        <v>9.0400000000000005E-7</v>
      </c>
      <c r="G241" s="140">
        <f t="shared" si="108"/>
        <v>1.13E-6</v>
      </c>
      <c r="H241" s="124">
        <f t="shared" si="60"/>
        <v>0.8</v>
      </c>
      <c r="I241" s="156">
        <f t="shared" si="61"/>
        <v>9.9999999999999995E-8</v>
      </c>
      <c r="K241" s="140">
        <f t="shared" si="62"/>
        <v>2.26E-5</v>
      </c>
      <c r="L241">
        <v>2.2599999999999998</v>
      </c>
      <c r="M241" s="140">
        <f t="shared" si="63"/>
        <v>2.2599999999999993E-7</v>
      </c>
      <c r="N241" s="140">
        <f t="shared" si="64"/>
        <v>4.5199999999999992E-7</v>
      </c>
      <c r="O241" s="140">
        <f t="shared" si="65"/>
        <v>6.7800000000000001E-7</v>
      </c>
      <c r="P241" s="140">
        <f t="shared" si="58"/>
        <v>9.0400000000000005E-7</v>
      </c>
      <c r="Q241" s="140">
        <f t="shared" si="66"/>
        <v>1.13E-6</v>
      </c>
      <c r="R241" s="157">
        <f t="shared" si="67"/>
        <v>0.8</v>
      </c>
      <c r="S241" s="156">
        <f t="shared" si="68"/>
        <v>9.9999999999999995E-8</v>
      </c>
      <c r="U241" s="140">
        <f t="shared" si="69"/>
        <v>2.26E-5</v>
      </c>
      <c r="V241">
        <v>2.2599999999999998</v>
      </c>
      <c r="W241" s="140">
        <f t="shared" si="70"/>
        <v>2.2599999999999993E-7</v>
      </c>
      <c r="X241" s="140">
        <f t="shared" si="71"/>
        <v>4.5199999999999992E-7</v>
      </c>
      <c r="Y241" s="140">
        <f t="shared" si="72"/>
        <v>6.7800000000000001E-7</v>
      </c>
      <c r="Z241" s="140">
        <f t="shared" si="73"/>
        <v>9.0400000000000005E-7</v>
      </c>
      <c r="AA241" s="140">
        <f t="shared" si="74"/>
        <v>1.13E-6</v>
      </c>
      <c r="AB241" s="157">
        <f t="shared" si="75"/>
        <v>0.8</v>
      </c>
      <c r="AC241" s="156">
        <f t="shared" si="76"/>
        <v>9.9999999999999995E-8</v>
      </c>
      <c r="AE241" s="140">
        <f t="shared" si="77"/>
        <v>2.26E-5</v>
      </c>
      <c r="AF241">
        <v>2.2599999999999998</v>
      </c>
      <c r="AG241" s="140">
        <f t="shared" si="78"/>
        <v>2.2599999999999993E-7</v>
      </c>
      <c r="AH241" s="140">
        <f t="shared" si="79"/>
        <v>4.5199999999999992E-7</v>
      </c>
      <c r="AI241" s="140">
        <f t="shared" si="80"/>
        <v>6.7800000000000001E-7</v>
      </c>
      <c r="AJ241" s="140">
        <f t="shared" si="81"/>
        <v>9.0400000000000005E-7</v>
      </c>
      <c r="AK241" s="140">
        <f t="shared" si="82"/>
        <v>1.13E-6</v>
      </c>
      <c r="AL241" s="157">
        <f t="shared" si="83"/>
        <v>1.2</v>
      </c>
      <c r="AM241" s="156">
        <f t="shared" si="84"/>
        <v>9.9999999999999995E-8</v>
      </c>
      <c r="AO241" s="140">
        <f t="shared" si="85"/>
        <v>2.26E-5</v>
      </c>
      <c r="AP241">
        <v>2.2599999999999998</v>
      </c>
      <c r="AQ241" s="140">
        <f t="shared" si="86"/>
        <v>2.2599999999999993E-7</v>
      </c>
      <c r="AR241" s="140">
        <f t="shared" si="87"/>
        <v>4.5199999999999992E-7</v>
      </c>
      <c r="AS241" s="140">
        <f t="shared" si="88"/>
        <v>6.7800000000000001E-7</v>
      </c>
      <c r="AT241" s="140">
        <f t="shared" si="89"/>
        <v>9.0400000000000005E-7</v>
      </c>
      <c r="AU241" s="140">
        <f t="shared" si="90"/>
        <v>1.13E-6</v>
      </c>
      <c r="AV241" s="157">
        <f t="shared" si="91"/>
        <v>1.2</v>
      </c>
      <c r="AW241" s="156">
        <f t="shared" si="92"/>
        <v>9.9999999999999995E-8</v>
      </c>
      <c r="AY241" s="140">
        <f t="shared" si="93"/>
        <v>2.26E-5</v>
      </c>
      <c r="AZ241">
        <v>2.2599999999999998</v>
      </c>
      <c r="BA241" s="140">
        <f t="shared" si="94"/>
        <v>2.2599999999999993E-7</v>
      </c>
      <c r="BB241" s="140">
        <f t="shared" si="95"/>
        <v>4.5199999999999992E-7</v>
      </c>
      <c r="BC241" s="140">
        <f t="shared" si="96"/>
        <v>6.7800000000000001E-7</v>
      </c>
      <c r="BD241" s="140">
        <f t="shared" si="97"/>
        <v>9.0400000000000005E-7</v>
      </c>
      <c r="BE241" s="140">
        <f t="shared" si="98"/>
        <v>1.13E-6</v>
      </c>
      <c r="BF241" s="157">
        <f>IF(AY241&lt;$B$89*DATA!$H$1037,DATA!$H$1037,IF(AY241&gt;DATA!$H$1036*$B$89,DATA!$H$1036,1))</f>
        <v>1.2</v>
      </c>
      <c r="BG241" s="156">
        <f t="shared" si="99"/>
        <v>9.9999999999999995E-8</v>
      </c>
      <c r="BI241" s="140">
        <f t="shared" si="100"/>
        <v>2.26E-5</v>
      </c>
      <c r="BJ241">
        <v>2.2599999999999998</v>
      </c>
      <c r="BK241" s="140">
        <f t="shared" si="101"/>
        <v>2.2599999999999993E-7</v>
      </c>
      <c r="BL241" s="140">
        <f t="shared" si="102"/>
        <v>4.5199999999999992E-7</v>
      </c>
      <c r="BM241" s="140">
        <f t="shared" si="103"/>
        <v>6.7800000000000001E-7</v>
      </c>
      <c r="BN241" s="140">
        <f t="shared" si="104"/>
        <v>9.0400000000000005E-7</v>
      </c>
      <c r="BO241" s="140">
        <f t="shared" si="105"/>
        <v>1.13E-6</v>
      </c>
      <c r="BP241" s="157">
        <f>IF(BI241&lt;$B$105*DATA!$H$1037,DATA!$H$1037,IF(BI241&gt;DATA!$H$1036*$B$105,DATA!$H$1036,1))</f>
        <v>1.2</v>
      </c>
      <c r="BQ241" s="156">
        <f t="shared" si="106"/>
        <v>9.9999999999999995E-8</v>
      </c>
    </row>
    <row r="242" spans="1:69">
      <c r="A242" s="140">
        <f t="shared" si="59"/>
        <v>2.2799999999999999E-5</v>
      </c>
      <c r="B242">
        <v>2.2799999999999998</v>
      </c>
      <c r="C242" s="140">
        <f t="shared" si="108"/>
        <v>2.2799999999999992E-7</v>
      </c>
      <c r="D242" s="140">
        <f t="shared" si="108"/>
        <v>4.559999999999999E-7</v>
      </c>
      <c r="E242" s="140">
        <f t="shared" si="108"/>
        <v>6.8399999999999993E-7</v>
      </c>
      <c r="F242" s="140">
        <f t="shared" si="108"/>
        <v>9.1199999999999991E-7</v>
      </c>
      <c r="G242" s="140">
        <f t="shared" si="108"/>
        <v>1.1399999999999999E-6</v>
      </c>
      <c r="H242" s="124">
        <f t="shared" si="60"/>
        <v>0.8</v>
      </c>
      <c r="I242" s="156">
        <f t="shared" si="61"/>
        <v>9.9999999999999995E-8</v>
      </c>
      <c r="K242" s="140">
        <f t="shared" si="62"/>
        <v>2.2799999999999999E-5</v>
      </c>
      <c r="L242">
        <v>2.2799999999999998</v>
      </c>
      <c r="M242" s="140">
        <f t="shared" si="63"/>
        <v>2.2799999999999992E-7</v>
      </c>
      <c r="N242" s="140">
        <f t="shared" si="64"/>
        <v>4.559999999999999E-7</v>
      </c>
      <c r="O242" s="140">
        <f t="shared" si="65"/>
        <v>6.8399999999999993E-7</v>
      </c>
      <c r="P242" s="140">
        <f t="shared" si="58"/>
        <v>9.1199999999999991E-7</v>
      </c>
      <c r="Q242" s="140">
        <f t="shared" si="66"/>
        <v>1.1399999999999999E-6</v>
      </c>
      <c r="R242" s="157">
        <f t="shared" si="67"/>
        <v>0.8</v>
      </c>
      <c r="S242" s="156">
        <f t="shared" si="68"/>
        <v>9.9999999999999995E-8</v>
      </c>
      <c r="U242" s="140">
        <f t="shared" si="69"/>
        <v>2.2799999999999999E-5</v>
      </c>
      <c r="V242">
        <v>2.2799999999999998</v>
      </c>
      <c r="W242" s="140">
        <f t="shared" si="70"/>
        <v>2.2799999999999992E-7</v>
      </c>
      <c r="X242" s="140">
        <f t="shared" si="71"/>
        <v>4.559999999999999E-7</v>
      </c>
      <c r="Y242" s="140">
        <f t="shared" si="72"/>
        <v>6.8399999999999993E-7</v>
      </c>
      <c r="Z242" s="140">
        <f t="shared" si="73"/>
        <v>9.1199999999999991E-7</v>
      </c>
      <c r="AA242" s="140">
        <f t="shared" si="74"/>
        <v>1.1399999999999999E-6</v>
      </c>
      <c r="AB242" s="157">
        <f t="shared" si="75"/>
        <v>0.8</v>
      </c>
      <c r="AC242" s="156">
        <f t="shared" si="76"/>
        <v>9.9999999999999995E-8</v>
      </c>
      <c r="AE242" s="140">
        <f t="shared" si="77"/>
        <v>2.2799999999999999E-5</v>
      </c>
      <c r="AF242">
        <v>2.2799999999999998</v>
      </c>
      <c r="AG242" s="140">
        <f t="shared" si="78"/>
        <v>2.2799999999999992E-7</v>
      </c>
      <c r="AH242" s="140">
        <f t="shared" si="79"/>
        <v>4.559999999999999E-7</v>
      </c>
      <c r="AI242" s="140">
        <f t="shared" si="80"/>
        <v>6.8399999999999993E-7</v>
      </c>
      <c r="AJ242" s="140">
        <f t="shared" si="81"/>
        <v>9.1199999999999991E-7</v>
      </c>
      <c r="AK242" s="140">
        <f t="shared" si="82"/>
        <v>1.1399999999999999E-6</v>
      </c>
      <c r="AL242" s="157">
        <f t="shared" si="83"/>
        <v>1.2</v>
      </c>
      <c r="AM242" s="156">
        <f t="shared" si="84"/>
        <v>9.9999999999999995E-8</v>
      </c>
      <c r="AO242" s="140">
        <f t="shared" si="85"/>
        <v>2.2799999999999999E-5</v>
      </c>
      <c r="AP242">
        <v>2.2799999999999998</v>
      </c>
      <c r="AQ242" s="140">
        <f t="shared" si="86"/>
        <v>2.2799999999999992E-7</v>
      </c>
      <c r="AR242" s="140">
        <f t="shared" si="87"/>
        <v>4.559999999999999E-7</v>
      </c>
      <c r="AS242" s="140">
        <f t="shared" si="88"/>
        <v>6.8399999999999993E-7</v>
      </c>
      <c r="AT242" s="140">
        <f t="shared" si="89"/>
        <v>9.1199999999999991E-7</v>
      </c>
      <c r="AU242" s="140">
        <f t="shared" si="90"/>
        <v>1.1399999999999999E-6</v>
      </c>
      <c r="AV242" s="157">
        <f t="shared" si="91"/>
        <v>1.2</v>
      </c>
      <c r="AW242" s="156">
        <f t="shared" si="92"/>
        <v>9.9999999999999995E-8</v>
      </c>
      <c r="AY242" s="140">
        <f t="shared" si="93"/>
        <v>2.2799999999999999E-5</v>
      </c>
      <c r="AZ242">
        <v>2.2799999999999998</v>
      </c>
      <c r="BA242" s="140">
        <f t="shared" si="94"/>
        <v>2.2799999999999992E-7</v>
      </c>
      <c r="BB242" s="140">
        <f t="shared" si="95"/>
        <v>4.559999999999999E-7</v>
      </c>
      <c r="BC242" s="140">
        <f t="shared" si="96"/>
        <v>6.8399999999999993E-7</v>
      </c>
      <c r="BD242" s="140">
        <f t="shared" si="97"/>
        <v>9.1199999999999991E-7</v>
      </c>
      <c r="BE242" s="140">
        <f t="shared" si="98"/>
        <v>1.1399999999999999E-6</v>
      </c>
      <c r="BF242" s="157">
        <f>IF(AY242&lt;$B$89*DATA!$H$1037,DATA!$H$1037,IF(AY242&gt;DATA!$H$1036*$B$89,DATA!$H$1036,1))</f>
        <v>1.2</v>
      </c>
      <c r="BG242" s="156">
        <f t="shared" si="99"/>
        <v>9.9999999999999995E-8</v>
      </c>
      <c r="BI242" s="140">
        <f t="shared" si="100"/>
        <v>2.2799999999999999E-5</v>
      </c>
      <c r="BJ242">
        <v>2.2799999999999998</v>
      </c>
      <c r="BK242" s="140">
        <f t="shared" si="101"/>
        <v>2.2799999999999992E-7</v>
      </c>
      <c r="BL242" s="140">
        <f t="shared" si="102"/>
        <v>4.559999999999999E-7</v>
      </c>
      <c r="BM242" s="140">
        <f t="shared" si="103"/>
        <v>6.8399999999999993E-7</v>
      </c>
      <c r="BN242" s="140">
        <f t="shared" si="104"/>
        <v>9.1199999999999991E-7</v>
      </c>
      <c r="BO242" s="140">
        <f t="shared" si="105"/>
        <v>1.1399999999999999E-6</v>
      </c>
      <c r="BP242" s="157">
        <f>IF(BI242&lt;$B$105*DATA!$H$1037,DATA!$H$1037,IF(BI242&gt;DATA!$H$1036*$B$105,DATA!$H$1036,1))</f>
        <v>1.2</v>
      </c>
      <c r="BQ242" s="156">
        <f t="shared" si="106"/>
        <v>9.9999999999999995E-8</v>
      </c>
    </row>
    <row r="243" spans="1:69">
      <c r="A243" s="140">
        <f t="shared" si="59"/>
        <v>2.3E-5</v>
      </c>
      <c r="B243">
        <v>2.2999999999999998</v>
      </c>
      <c r="C243" s="140">
        <f t="shared" si="108"/>
        <v>2.2999999999999992E-7</v>
      </c>
      <c r="D243" s="140">
        <f t="shared" si="108"/>
        <v>4.5999999999999994E-7</v>
      </c>
      <c r="E243" s="140">
        <f t="shared" si="108"/>
        <v>6.8999999999999996E-7</v>
      </c>
      <c r="F243" s="140">
        <f t="shared" si="108"/>
        <v>9.1999999999999998E-7</v>
      </c>
      <c r="G243" s="140">
        <f t="shared" si="108"/>
        <v>1.15E-6</v>
      </c>
      <c r="H243" s="124">
        <f t="shared" si="60"/>
        <v>0.8</v>
      </c>
      <c r="I243" s="156">
        <f t="shared" si="61"/>
        <v>9.9999999999999995E-8</v>
      </c>
      <c r="K243" s="140">
        <f t="shared" si="62"/>
        <v>2.3E-5</v>
      </c>
      <c r="L243">
        <v>2.2999999999999998</v>
      </c>
      <c r="M243" s="140">
        <f t="shared" si="63"/>
        <v>2.2999999999999992E-7</v>
      </c>
      <c r="N243" s="140">
        <f t="shared" si="64"/>
        <v>4.5999999999999994E-7</v>
      </c>
      <c r="O243" s="140">
        <f t="shared" si="65"/>
        <v>6.8999999999999996E-7</v>
      </c>
      <c r="P243" s="140">
        <f t="shared" si="58"/>
        <v>9.1999999999999998E-7</v>
      </c>
      <c r="Q243" s="140">
        <f t="shared" si="66"/>
        <v>1.15E-6</v>
      </c>
      <c r="R243" s="157">
        <f t="shared" si="67"/>
        <v>0.8</v>
      </c>
      <c r="S243" s="156">
        <f t="shared" si="68"/>
        <v>9.9999999999999995E-8</v>
      </c>
      <c r="U243" s="140">
        <f t="shared" si="69"/>
        <v>2.3E-5</v>
      </c>
      <c r="V243">
        <v>2.2999999999999998</v>
      </c>
      <c r="W243" s="140">
        <f t="shared" si="70"/>
        <v>2.2999999999999992E-7</v>
      </c>
      <c r="X243" s="140">
        <f t="shared" si="71"/>
        <v>4.5999999999999994E-7</v>
      </c>
      <c r="Y243" s="140">
        <f t="shared" si="72"/>
        <v>6.8999999999999996E-7</v>
      </c>
      <c r="Z243" s="140">
        <f t="shared" si="73"/>
        <v>9.1999999999999998E-7</v>
      </c>
      <c r="AA243" s="140">
        <f t="shared" si="74"/>
        <v>1.15E-6</v>
      </c>
      <c r="AB243" s="157">
        <f t="shared" si="75"/>
        <v>0.8</v>
      </c>
      <c r="AC243" s="156">
        <f t="shared" si="76"/>
        <v>9.9999999999999995E-8</v>
      </c>
      <c r="AE243" s="140">
        <f t="shared" si="77"/>
        <v>2.3E-5</v>
      </c>
      <c r="AF243">
        <v>2.2999999999999998</v>
      </c>
      <c r="AG243" s="140">
        <f t="shared" si="78"/>
        <v>2.2999999999999992E-7</v>
      </c>
      <c r="AH243" s="140">
        <f t="shared" si="79"/>
        <v>4.5999999999999994E-7</v>
      </c>
      <c r="AI243" s="140">
        <f t="shared" si="80"/>
        <v>6.8999999999999996E-7</v>
      </c>
      <c r="AJ243" s="140">
        <f t="shared" si="81"/>
        <v>9.1999999999999998E-7</v>
      </c>
      <c r="AK243" s="140">
        <f t="shared" si="82"/>
        <v>1.15E-6</v>
      </c>
      <c r="AL243" s="157">
        <f t="shared" si="83"/>
        <v>1.2</v>
      </c>
      <c r="AM243" s="156">
        <f t="shared" si="84"/>
        <v>9.9999999999999995E-8</v>
      </c>
      <c r="AO243" s="140">
        <f t="shared" si="85"/>
        <v>2.3E-5</v>
      </c>
      <c r="AP243">
        <v>2.2999999999999998</v>
      </c>
      <c r="AQ243" s="140">
        <f t="shared" si="86"/>
        <v>2.2999999999999992E-7</v>
      </c>
      <c r="AR243" s="140">
        <f t="shared" si="87"/>
        <v>4.5999999999999994E-7</v>
      </c>
      <c r="AS243" s="140">
        <f t="shared" si="88"/>
        <v>6.8999999999999996E-7</v>
      </c>
      <c r="AT243" s="140">
        <f t="shared" si="89"/>
        <v>9.1999999999999998E-7</v>
      </c>
      <c r="AU243" s="140">
        <f t="shared" si="90"/>
        <v>1.15E-6</v>
      </c>
      <c r="AV243" s="157">
        <f t="shared" si="91"/>
        <v>1.2</v>
      </c>
      <c r="AW243" s="156">
        <f t="shared" si="92"/>
        <v>9.9999999999999995E-8</v>
      </c>
      <c r="AY243" s="140">
        <f t="shared" si="93"/>
        <v>2.3E-5</v>
      </c>
      <c r="AZ243">
        <v>2.2999999999999998</v>
      </c>
      <c r="BA243" s="140">
        <f t="shared" si="94"/>
        <v>2.2999999999999992E-7</v>
      </c>
      <c r="BB243" s="140">
        <f t="shared" si="95"/>
        <v>4.5999999999999994E-7</v>
      </c>
      <c r="BC243" s="140">
        <f t="shared" si="96"/>
        <v>6.8999999999999996E-7</v>
      </c>
      <c r="BD243" s="140">
        <f t="shared" si="97"/>
        <v>9.1999999999999998E-7</v>
      </c>
      <c r="BE243" s="140">
        <f t="shared" si="98"/>
        <v>1.15E-6</v>
      </c>
      <c r="BF243" s="157">
        <f>IF(AY243&lt;$B$89*DATA!$H$1037,DATA!$H$1037,IF(AY243&gt;DATA!$H$1036*$B$89,DATA!$H$1036,1))</f>
        <v>1.2</v>
      </c>
      <c r="BG243" s="156">
        <f t="shared" si="99"/>
        <v>9.9999999999999995E-8</v>
      </c>
      <c r="BI243" s="140">
        <f t="shared" si="100"/>
        <v>2.3E-5</v>
      </c>
      <c r="BJ243">
        <v>2.2999999999999998</v>
      </c>
      <c r="BK243" s="140">
        <f t="shared" si="101"/>
        <v>2.2999999999999992E-7</v>
      </c>
      <c r="BL243" s="140">
        <f t="shared" si="102"/>
        <v>4.5999999999999994E-7</v>
      </c>
      <c r="BM243" s="140">
        <f t="shared" si="103"/>
        <v>6.8999999999999996E-7</v>
      </c>
      <c r="BN243" s="140">
        <f t="shared" si="104"/>
        <v>9.1999999999999998E-7</v>
      </c>
      <c r="BO243" s="140">
        <f t="shared" si="105"/>
        <v>1.15E-6</v>
      </c>
      <c r="BP243" s="157">
        <f>IF(BI243&lt;$B$105*DATA!$H$1037,DATA!$H$1037,IF(BI243&gt;DATA!$H$1036*$B$105,DATA!$H$1036,1))</f>
        <v>1.2</v>
      </c>
      <c r="BQ243" s="156">
        <f t="shared" si="106"/>
        <v>9.9999999999999995E-8</v>
      </c>
    </row>
    <row r="244" spans="1:69">
      <c r="A244" s="140">
        <f t="shared" si="59"/>
        <v>2.3200000000000001E-5</v>
      </c>
      <c r="B244">
        <v>2.3199999999999998</v>
      </c>
      <c r="C244" s="140">
        <f t="shared" si="108"/>
        <v>2.3199999999999993E-7</v>
      </c>
      <c r="D244" s="140">
        <f t="shared" si="108"/>
        <v>4.6399999999999997E-7</v>
      </c>
      <c r="E244" s="140">
        <f t="shared" si="108"/>
        <v>6.9599999999999999E-7</v>
      </c>
      <c r="F244" s="140">
        <f t="shared" si="108"/>
        <v>9.2800000000000005E-7</v>
      </c>
      <c r="G244" s="140">
        <f t="shared" si="108"/>
        <v>1.1600000000000001E-6</v>
      </c>
      <c r="H244" s="124">
        <f t="shared" si="60"/>
        <v>0.8</v>
      </c>
      <c r="I244" s="156">
        <f t="shared" si="61"/>
        <v>9.9999999999999995E-8</v>
      </c>
      <c r="K244" s="140">
        <f t="shared" si="62"/>
        <v>2.3200000000000001E-5</v>
      </c>
      <c r="L244">
        <v>2.3199999999999998</v>
      </c>
      <c r="M244" s="140">
        <f t="shared" si="63"/>
        <v>2.3199999999999993E-7</v>
      </c>
      <c r="N244" s="140">
        <f t="shared" si="64"/>
        <v>4.6399999999999997E-7</v>
      </c>
      <c r="O244" s="140">
        <f t="shared" si="65"/>
        <v>6.9599999999999999E-7</v>
      </c>
      <c r="P244" s="140">
        <f t="shared" si="58"/>
        <v>9.2800000000000005E-7</v>
      </c>
      <c r="Q244" s="140">
        <f t="shared" si="66"/>
        <v>1.1600000000000001E-6</v>
      </c>
      <c r="R244" s="157">
        <f t="shared" si="67"/>
        <v>0.8</v>
      </c>
      <c r="S244" s="156">
        <f t="shared" si="68"/>
        <v>9.9999999999999995E-8</v>
      </c>
      <c r="U244" s="140">
        <f t="shared" si="69"/>
        <v>2.3200000000000001E-5</v>
      </c>
      <c r="V244">
        <v>2.3199999999999998</v>
      </c>
      <c r="W244" s="140">
        <f t="shared" si="70"/>
        <v>2.3199999999999993E-7</v>
      </c>
      <c r="X244" s="140">
        <f t="shared" si="71"/>
        <v>4.6399999999999997E-7</v>
      </c>
      <c r="Y244" s="140">
        <f t="shared" si="72"/>
        <v>6.9599999999999999E-7</v>
      </c>
      <c r="Z244" s="140">
        <f t="shared" si="73"/>
        <v>9.2800000000000005E-7</v>
      </c>
      <c r="AA244" s="140">
        <f t="shared" si="74"/>
        <v>1.1600000000000001E-6</v>
      </c>
      <c r="AB244" s="157">
        <f t="shared" si="75"/>
        <v>0.8</v>
      </c>
      <c r="AC244" s="156">
        <f t="shared" si="76"/>
        <v>9.9999999999999995E-8</v>
      </c>
      <c r="AE244" s="140">
        <f t="shared" si="77"/>
        <v>2.3200000000000001E-5</v>
      </c>
      <c r="AF244">
        <v>2.3199999999999998</v>
      </c>
      <c r="AG244" s="140">
        <f t="shared" si="78"/>
        <v>2.3199999999999993E-7</v>
      </c>
      <c r="AH244" s="140">
        <f t="shared" si="79"/>
        <v>4.6399999999999997E-7</v>
      </c>
      <c r="AI244" s="140">
        <f t="shared" si="80"/>
        <v>6.9599999999999999E-7</v>
      </c>
      <c r="AJ244" s="140">
        <f t="shared" si="81"/>
        <v>9.2800000000000005E-7</v>
      </c>
      <c r="AK244" s="140">
        <f t="shared" si="82"/>
        <v>1.1600000000000001E-6</v>
      </c>
      <c r="AL244" s="157">
        <f t="shared" si="83"/>
        <v>1.2</v>
      </c>
      <c r="AM244" s="156">
        <f t="shared" si="84"/>
        <v>9.9999999999999995E-8</v>
      </c>
      <c r="AO244" s="140">
        <f t="shared" si="85"/>
        <v>2.3200000000000001E-5</v>
      </c>
      <c r="AP244">
        <v>2.3199999999999998</v>
      </c>
      <c r="AQ244" s="140">
        <f t="shared" si="86"/>
        <v>2.3199999999999993E-7</v>
      </c>
      <c r="AR244" s="140">
        <f t="shared" si="87"/>
        <v>4.6399999999999997E-7</v>
      </c>
      <c r="AS244" s="140">
        <f t="shared" si="88"/>
        <v>6.9599999999999999E-7</v>
      </c>
      <c r="AT244" s="140">
        <f t="shared" si="89"/>
        <v>9.2800000000000005E-7</v>
      </c>
      <c r="AU244" s="140">
        <f t="shared" si="90"/>
        <v>1.1600000000000001E-6</v>
      </c>
      <c r="AV244" s="157">
        <f t="shared" si="91"/>
        <v>1.2</v>
      </c>
      <c r="AW244" s="156">
        <f t="shared" si="92"/>
        <v>9.9999999999999995E-8</v>
      </c>
      <c r="AY244" s="140">
        <f t="shared" si="93"/>
        <v>2.3200000000000001E-5</v>
      </c>
      <c r="AZ244">
        <v>2.3199999999999998</v>
      </c>
      <c r="BA244" s="140">
        <f t="shared" si="94"/>
        <v>2.3199999999999993E-7</v>
      </c>
      <c r="BB244" s="140">
        <f t="shared" si="95"/>
        <v>4.6399999999999997E-7</v>
      </c>
      <c r="BC244" s="140">
        <f t="shared" si="96"/>
        <v>6.9599999999999999E-7</v>
      </c>
      <c r="BD244" s="140">
        <f t="shared" si="97"/>
        <v>9.2800000000000005E-7</v>
      </c>
      <c r="BE244" s="140">
        <f t="shared" si="98"/>
        <v>1.1600000000000001E-6</v>
      </c>
      <c r="BF244" s="157">
        <f>IF(AY244&lt;$B$89*DATA!$H$1037,DATA!$H$1037,IF(AY244&gt;DATA!$H$1036*$B$89,DATA!$H$1036,1))</f>
        <v>1.2</v>
      </c>
      <c r="BG244" s="156">
        <f t="shared" si="99"/>
        <v>9.9999999999999995E-8</v>
      </c>
      <c r="BI244" s="140">
        <f t="shared" si="100"/>
        <v>2.3200000000000001E-5</v>
      </c>
      <c r="BJ244">
        <v>2.3199999999999998</v>
      </c>
      <c r="BK244" s="140">
        <f t="shared" si="101"/>
        <v>2.3199999999999993E-7</v>
      </c>
      <c r="BL244" s="140">
        <f t="shared" si="102"/>
        <v>4.6399999999999997E-7</v>
      </c>
      <c r="BM244" s="140">
        <f t="shared" si="103"/>
        <v>6.9599999999999999E-7</v>
      </c>
      <c r="BN244" s="140">
        <f t="shared" si="104"/>
        <v>9.2800000000000005E-7</v>
      </c>
      <c r="BO244" s="140">
        <f t="shared" si="105"/>
        <v>1.1600000000000001E-6</v>
      </c>
      <c r="BP244" s="157">
        <f>IF(BI244&lt;$B$105*DATA!$H$1037,DATA!$H$1037,IF(BI244&gt;DATA!$H$1036*$B$105,DATA!$H$1036,1))</f>
        <v>1.2</v>
      </c>
      <c r="BQ244" s="156">
        <f t="shared" si="106"/>
        <v>9.9999999999999995E-8</v>
      </c>
    </row>
    <row r="245" spans="1:69">
      <c r="A245" s="140">
        <f t="shared" si="59"/>
        <v>2.34E-5</v>
      </c>
      <c r="B245">
        <v>2.34</v>
      </c>
      <c r="C245" s="140">
        <f t="shared" si="108"/>
        <v>2.3399999999999992E-7</v>
      </c>
      <c r="D245" s="140">
        <f t="shared" si="108"/>
        <v>4.679999999999999E-7</v>
      </c>
      <c r="E245" s="140">
        <f t="shared" si="108"/>
        <v>7.0200000000000001E-7</v>
      </c>
      <c r="F245" s="140">
        <f t="shared" si="108"/>
        <v>9.3600000000000002E-7</v>
      </c>
      <c r="G245" s="140">
        <f t="shared" si="108"/>
        <v>1.17E-6</v>
      </c>
      <c r="H245" s="124">
        <f t="shared" si="60"/>
        <v>0.8</v>
      </c>
      <c r="I245" s="156">
        <f t="shared" si="61"/>
        <v>9.9999999999999995E-8</v>
      </c>
      <c r="K245" s="140">
        <f t="shared" si="62"/>
        <v>2.34E-5</v>
      </c>
      <c r="L245">
        <v>2.34</v>
      </c>
      <c r="M245" s="140">
        <f t="shared" si="63"/>
        <v>2.3399999999999992E-7</v>
      </c>
      <c r="N245" s="140">
        <f t="shared" si="64"/>
        <v>4.679999999999999E-7</v>
      </c>
      <c r="O245" s="140">
        <f t="shared" si="65"/>
        <v>7.0200000000000001E-7</v>
      </c>
      <c r="P245" s="140">
        <f t="shared" si="58"/>
        <v>9.3600000000000002E-7</v>
      </c>
      <c r="Q245" s="140">
        <f t="shared" si="66"/>
        <v>1.17E-6</v>
      </c>
      <c r="R245" s="157">
        <f t="shared" si="67"/>
        <v>0.8</v>
      </c>
      <c r="S245" s="156">
        <f t="shared" si="68"/>
        <v>9.9999999999999995E-8</v>
      </c>
      <c r="U245" s="140">
        <f t="shared" si="69"/>
        <v>2.34E-5</v>
      </c>
      <c r="V245">
        <v>2.34</v>
      </c>
      <c r="W245" s="140">
        <f t="shared" si="70"/>
        <v>2.3399999999999992E-7</v>
      </c>
      <c r="X245" s="140">
        <f t="shared" si="71"/>
        <v>4.679999999999999E-7</v>
      </c>
      <c r="Y245" s="140">
        <f t="shared" si="72"/>
        <v>7.0200000000000001E-7</v>
      </c>
      <c r="Z245" s="140">
        <f t="shared" si="73"/>
        <v>9.3600000000000002E-7</v>
      </c>
      <c r="AA245" s="140">
        <f t="shared" si="74"/>
        <v>1.17E-6</v>
      </c>
      <c r="AB245" s="157">
        <f t="shared" si="75"/>
        <v>0.8</v>
      </c>
      <c r="AC245" s="156">
        <f t="shared" si="76"/>
        <v>9.9999999999999995E-8</v>
      </c>
      <c r="AE245" s="140">
        <f t="shared" si="77"/>
        <v>2.34E-5</v>
      </c>
      <c r="AF245">
        <v>2.34</v>
      </c>
      <c r="AG245" s="140">
        <f t="shared" si="78"/>
        <v>2.3399999999999992E-7</v>
      </c>
      <c r="AH245" s="140">
        <f t="shared" si="79"/>
        <v>4.679999999999999E-7</v>
      </c>
      <c r="AI245" s="140">
        <f t="shared" si="80"/>
        <v>7.0200000000000001E-7</v>
      </c>
      <c r="AJ245" s="140">
        <f t="shared" si="81"/>
        <v>9.3600000000000002E-7</v>
      </c>
      <c r="AK245" s="140">
        <f t="shared" si="82"/>
        <v>1.17E-6</v>
      </c>
      <c r="AL245" s="157">
        <f t="shared" si="83"/>
        <v>1.2</v>
      </c>
      <c r="AM245" s="156">
        <f t="shared" si="84"/>
        <v>9.9999999999999995E-8</v>
      </c>
      <c r="AO245" s="140">
        <f t="shared" si="85"/>
        <v>2.34E-5</v>
      </c>
      <c r="AP245">
        <v>2.34</v>
      </c>
      <c r="AQ245" s="140">
        <f t="shared" si="86"/>
        <v>2.3399999999999992E-7</v>
      </c>
      <c r="AR245" s="140">
        <f t="shared" si="87"/>
        <v>4.679999999999999E-7</v>
      </c>
      <c r="AS245" s="140">
        <f t="shared" si="88"/>
        <v>7.0200000000000001E-7</v>
      </c>
      <c r="AT245" s="140">
        <f t="shared" si="89"/>
        <v>9.3600000000000002E-7</v>
      </c>
      <c r="AU245" s="140">
        <f t="shared" si="90"/>
        <v>1.17E-6</v>
      </c>
      <c r="AV245" s="157">
        <f t="shared" si="91"/>
        <v>1.2</v>
      </c>
      <c r="AW245" s="156">
        <f t="shared" si="92"/>
        <v>9.9999999999999995E-8</v>
      </c>
      <c r="AY245" s="140">
        <f t="shared" si="93"/>
        <v>2.34E-5</v>
      </c>
      <c r="AZ245">
        <v>2.34</v>
      </c>
      <c r="BA245" s="140">
        <f t="shared" si="94"/>
        <v>2.3399999999999992E-7</v>
      </c>
      <c r="BB245" s="140">
        <f t="shared" si="95"/>
        <v>4.679999999999999E-7</v>
      </c>
      <c r="BC245" s="140">
        <f t="shared" si="96"/>
        <v>7.0200000000000001E-7</v>
      </c>
      <c r="BD245" s="140">
        <f t="shared" si="97"/>
        <v>9.3600000000000002E-7</v>
      </c>
      <c r="BE245" s="140">
        <f t="shared" si="98"/>
        <v>1.17E-6</v>
      </c>
      <c r="BF245" s="157">
        <f>IF(AY245&lt;$B$89*DATA!$H$1037,DATA!$H$1037,IF(AY245&gt;DATA!$H$1036*$B$89,DATA!$H$1036,1))</f>
        <v>1.2</v>
      </c>
      <c r="BG245" s="156">
        <f t="shared" si="99"/>
        <v>9.9999999999999995E-8</v>
      </c>
      <c r="BI245" s="140">
        <f t="shared" si="100"/>
        <v>2.34E-5</v>
      </c>
      <c r="BJ245">
        <v>2.34</v>
      </c>
      <c r="BK245" s="140">
        <f t="shared" si="101"/>
        <v>2.3399999999999992E-7</v>
      </c>
      <c r="BL245" s="140">
        <f t="shared" si="102"/>
        <v>4.679999999999999E-7</v>
      </c>
      <c r="BM245" s="140">
        <f t="shared" si="103"/>
        <v>7.0200000000000001E-7</v>
      </c>
      <c r="BN245" s="140">
        <f t="shared" si="104"/>
        <v>9.3600000000000002E-7</v>
      </c>
      <c r="BO245" s="140">
        <f t="shared" si="105"/>
        <v>1.17E-6</v>
      </c>
      <c r="BP245" s="157">
        <f>IF(BI245&lt;$B$105*DATA!$H$1037,DATA!$H$1037,IF(BI245&gt;DATA!$H$1036*$B$105,DATA!$H$1036,1))</f>
        <v>1.2</v>
      </c>
      <c r="BQ245" s="156">
        <f t="shared" si="106"/>
        <v>9.9999999999999995E-8</v>
      </c>
    </row>
    <row r="246" spans="1:69">
      <c r="A246" s="140">
        <f t="shared" si="59"/>
        <v>2.3600000000000001E-5</v>
      </c>
      <c r="B246">
        <v>2.36</v>
      </c>
      <c r="C246" s="140">
        <f t="shared" si="108"/>
        <v>2.3599999999999994E-7</v>
      </c>
      <c r="D246" s="140">
        <f t="shared" si="108"/>
        <v>4.7199999999999994E-7</v>
      </c>
      <c r="E246" s="140">
        <f t="shared" si="108"/>
        <v>7.0800000000000004E-7</v>
      </c>
      <c r="F246" s="140">
        <f t="shared" si="108"/>
        <v>9.4400000000000009E-7</v>
      </c>
      <c r="G246" s="140">
        <f t="shared" si="108"/>
        <v>1.1800000000000001E-6</v>
      </c>
      <c r="H246" s="124">
        <f t="shared" si="60"/>
        <v>0.8</v>
      </c>
      <c r="I246" s="156">
        <f t="shared" si="61"/>
        <v>9.9999999999999995E-8</v>
      </c>
      <c r="K246" s="140">
        <f t="shared" si="62"/>
        <v>2.3600000000000001E-5</v>
      </c>
      <c r="L246">
        <v>2.36</v>
      </c>
      <c r="M246" s="140">
        <f t="shared" si="63"/>
        <v>2.3599999999999994E-7</v>
      </c>
      <c r="N246" s="140">
        <f t="shared" si="64"/>
        <v>4.7199999999999994E-7</v>
      </c>
      <c r="O246" s="140">
        <f t="shared" si="65"/>
        <v>7.0800000000000004E-7</v>
      </c>
      <c r="P246" s="140">
        <f t="shared" si="58"/>
        <v>9.4400000000000009E-7</v>
      </c>
      <c r="Q246" s="140">
        <f t="shared" si="66"/>
        <v>1.1800000000000001E-6</v>
      </c>
      <c r="R246" s="157">
        <f t="shared" si="67"/>
        <v>0.8</v>
      </c>
      <c r="S246" s="156">
        <f t="shared" si="68"/>
        <v>9.9999999999999995E-8</v>
      </c>
      <c r="U246" s="140">
        <f t="shared" si="69"/>
        <v>2.3600000000000001E-5</v>
      </c>
      <c r="V246">
        <v>2.36</v>
      </c>
      <c r="W246" s="140">
        <f t="shared" si="70"/>
        <v>2.3599999999999994E-7</v>
      </c>
      <c r="X246" s="140">
        <f t="shared" si="71"/>
        <v>4.7199999999999994E-7</v>
      </c>
      <c r="Y246" s="140">
        <f t="shared" si="72"/>
        <v>7.0800000000000004E-7</v>
      </c>
      <c r="Z246" s="140">
        <f t="shared" si="73"/>
        <v>9.4400000000000009E-7</v>
      </c>
      <c r="AA246" s="140">
        <f t="shared" si="74"/>
        <v>1.1800000000000001E-6</v>
      </c>
      <c r="AB246" s="157">
        <f t="shared" si="75"/>
        <v>0.8</v>
      </c>
      <c r="AC246" s="156">
        <f t="shared" si="76"/>
        <v>9.9999999999999995E-8</v>
      </c>
      <c r="AE246" s="140">
        <f t="shared" si="77"/>
        <v>2.3600000000000001E-5</v>
      </c>
      <c r="AF246">
        <v>2.36</v>
      </c>
      <c r="AG246" s="140">
        <f t="shared" si="78"/>
        <v>2.3599999999999994E-7</v>
      </c>
      <c r="AH246" s="140">
        <f t="shared" si="79"/>
        <v>4.7199999999999994E-7</v>
      </c>
      <c r="AI246" s="140">
        <f t="shared" si="80"/>
        <v>7.0800000000000004E-7</v>
      </c>
      <c r="AJ246" s="140">
        <f t="shared" si="81"/>
        <v>9.4400000000000009E-7</v>
      </c>
      <c r="AK246" s="140">
        <f t="shared" si="82"/>
        <v>1.1800000000000001E-6</v>
      </c>
      <c r="AL246" s="157">
        <f t="shared" si="83"/>
        <v>1.2</v>
      </c>
      <c r="AM246" s="156">
        <f t="shared" si="84"/>
        <v>9.9999999999999995E-8</v>
      </c>
      <c r="AO246" s="140">
        <f t="shared" si="85"/>
        <v>2.3600000000000001E-5</v>
      </c>
      <c r="AP246">
        <v>2.36</v>
      </c>
      <c r="AQ246" s="140">
        <f t="shared" si="86"/>
        <v>2.3599999999999994E-7</v>
      </c>
      <c r="AR246" s="140">
        <f t="shared" si="87"/>
        <v>4.7199999999999994E-7</v>
      </c>
      <c r="AS246" s="140">
        <f t="shared" si="88"/>
        <v>7.0800000000000004E-7</v>
      </c>
      <c r="AT246" s="140">
        <f t="shared" si="89"/>
        <v>9.4400000000000009E-7</v>
      </c>
      <c r="AU246" s="140">
        <f t="shared" si="90"/>
        <v>1.1800000000000001E-6</v>
      </c>
      <c r="AV246" s="157">
        <f t="shared" si="91"/>
        <v>1.2</v>
      </c>
      <c r="AW246" s="156">
        <f t="shared" si="92"/>
        <v>9.9999999999999995E-8</v>
      </c>
      <c r="AY246" s="140">
        <f t="shared" si="93"/>
        <v>2.3600000000000001E-5</v>
      </c>
      <c r="AZ246">
        <v>2.36</v>
      </c>
      <c r="BA246" s="140">
        <f t="shared" si="94"/>
        <v>2.3599999999999994E-7</v>
      </c>
      <c r="BB246" s="140">
        <f t="shared" si="95"/>
        <v>4.7199999999999994E-7</v>
      </c>
      <c r="BC246" s="140">
        <f t="shared" si="96"/>
        <v>7.0800000000000004E-7</v>
      </c>
      <c r="BD246" s="140">
        <f t="shared" si="97"/>
        <v>9.4400000000000009E-7</v>
      </c>
      <c r="BE246" s="140">
        <f t="shared" si="98"/>
        <v>1.1800000000000001E-6</v>
      </c>
      <c r="BF246" s="157">
        <f>IF(AY246&lt;$B$89*DATA!$H$1037,DATA!$H$1037,IF(AY246&gt;DATA!$H$1036*$B$89,DATA!$H$1036,1))</f>
        <v>1.2</v>
      </c>
      <c r="BG246" s="156">
        <f t="shared" si="99"/>
        <v>9.9999999999999995E-8</v>
      </c>
      <c r="BI246" s="140">
        <f t="shared" si="100"/>
        <v>2.3600000000000001E-5</v>
      </c>
      <c r="BJ246">
        <v>2.36</v>
      </c>
      <c r="BK246" s="140">
        <f t="shared" si="101"/>
        <v>2.3599999999999994E-7</v>
      </c>
      <c r="BL246" s="140">
        <f t="shared" si="102"/>
        <v>4.7199999999999994E-7</v>
      </c>
      <c r="BM246" s="140">
        <f t="shared" si="103"/>
        <v>7.0800000000000004E-7</v>
      </c>
      <c r="BN246" s="140">
        <f t="shared" si="104"/>
        <v>9.4400000000000009E-7</v>
      </c>
      <c r="BO246" s="140">
        <f t="shared" si="105"/>
        <v>1.1800000000000001E-6</v>
      </c>
      <c r="BP246" s="157">
        <f>IF(BI246&lt;$B$105*DATA!$H$1037,DATA!$H$1037,IF(BI246&gt;DATA!$H$1036*$B$105,DATA!$H$1036,1))</f>
        <v>1.2</v>
      </c>
      <c r="BQ246" s="156">
        <f t="shared" si="106"/>
        <v>9.9999999999999995E-8</v>
      </c>
    </row>
    <row r="247" spans="1:69">
      <c r="A247" s="140">
        <f t="shared" si="59"/>
        <v>2.3800000000000003E-5</v>
      </c>
      <c r="B247">
        <v>2.38</v>
      </c>
      <c r="C247" s="140">
        <f t="shared" si="108"/>
        <v>2.3799999999999996E-7</v>
      </c>
      <c r="D247" s="140">
        <f t="shared" si="108"/>
        <v>4.7599999999999997E-7</v>
      </c>
      <c r="E247" s="140">
        <f t="shared" si="108"/>
        <v>7.1400000000000007E-7</v>
      </c>
      <c r="F247" s="140">
        <f t="shared" si="108"/>
        <v>9.5200000000000016E-7</v>
      </c>
      <c r="G247" s="140">
        <f t="shared" si="108"/>
        <v>1.1900000000000003E-6</v>
      </c>
      <c r="H247" s="124">
        <f t="shared" si="60"/>
        <v>0.8</v>
      </c>
      <c r="I247" s="156">
        <f t="shared" si="61"/>
        <v>9.9999999999999995E-8</v>
      </c>
      <c r="K247" s="140">
        <f t="shared" si="62"/>
        <v>2.3800000000000003E-5</v>
      </c>
      <c r="L247">
        <v>2.38</v>
      </c>
      <c r="M247" s="140">
        <f t="shared" si="63"/>
        <v>2.3799999999999996E-7</v>
      </c>
      <c r="N247" s="140">
        <f t="shared" si="64"/>
        <v>4.7599999999999997E-7</v>
      </c>
      <c r="O247" s="140">
        <f t="shared" si="65"/>
        <v>7.1400000000000007E-7</v>
      </c>
      <c r="P247" s="140">
        <f t="shared" si="58"/>
        <v>9.5200000000000016E-7</v>
      </c>
      <c r="Q247" s="140">
        <f t="shared" si="66"/>
        <v>1.1900000000000003E-6</v>
      </c>
      <c r="R247" s="157">
        <f t="shared" si="67"/>
        <v>0.8</v>
      </c>
      <c r="S247" s="156">
        <f t="shared" si="68"/>
        <v>9.9999999999999995E-8</v>
      </c>
      <c r="U247" s="140">
        <f t="shared" si="69"/>
        <v>2.3800000000000003E-5</v>
      </c>
      <c r="V247">
        <v>2.38</v>
      </c>
      <c r="W247" s="140">
        <f t="shared" si="70"/>
        <v>2.3799999999999996E-7</v>
      </c>
      <c r="X247" s="140">
        <f t="shared" si="71"/>
        <v>4.7599999999999997E-7</v>
      </c>
      <c r="Y247" s="140">
        <f t="shared" si="72"/>
        <v>7.1400000000000007E-7</v>
      </c>
      <c r="Z247" s="140">
        <f t="shared" si="73"/>
        <v>9.5200000000000016E-7</v>
      </c>
      <c r="AA247" s="140">
        <f t="shared" si="74"/>
        <v>1.1900000000000003E-6</v>
      </c>
      <c r="AB247" s="157">
        <f t="shared" si="75"/>
        <v>0.8</v>
      </c>
      <c r="AC247" s="156">
        <f t="shared" si="76"/>
        <v>9.9999999999999995E-8</v>
      </c>
      <c r="AE247" s="140">
        <f t="shared" si="77"/>
        <v>2.3800000000000003E-5</v>
      </c>
      <c r="AF247">
        <v>2.38</v>
      </c>
      <c r="AG247" s="140">
        <f t="shared" si="78"/>
        <v>2.3799999999999996E-7</v>
      </c>
      <c r="AH247" s="140">
        <f t="shared" si="79"/>
        <v>4.7599999999999997E-7</v>
      </c>
      <c r="AI247" s="140">
        <f t="shared" si="80"/>
        <v>7.1400000000000007E-7</v>
      </c>
      <c r="AJ247" s="140">
        <f t="shared" si="81"/>
        <v>9.5200000000000016E-7</v>
      </c>
      <c r="AK247" s="140">
        <f t="shared" si="82"/>
        <v>1.1900000000000003E-6</v>
      </c>
      <c r="AL247" s="157">
        <f t="shared" si="83"/>
        <v>1.2</v>
      </c>
      <c r="AM247" s="156">
        <f t="shared" si="84"/>
        <v>9.9999999999999995E-8</v>
      </c>
      <c r="AO247" s="140">
        <f t="shared" si="85"/>
        <v>2.3800000000000003E-5</v>
      </c>
      <c r="AP247">
        <v>2.38</v>
      </c>
      <c r="AQ247" s="140">
        <f t="shared" si="86"/>
        <v>2.3799999999999996E-7</v>
      </c>
      <c r="AR247" s="140">
        <f t="shared" si="87"/>
        <v>4.7599999999999997E-7</v>
      </c>
      <c r="AS247" s="140">
        <f t="shared" si="88"/>
        <v>7.1400000000000007E-7</v>
      </c>
      <c r="AT247" s="140">
        <f t="shared" si="89"/>
        <v>9.5200000000000016E-7</v>
      </c>
      <c r="AU247" s="140">
        <f t="shared" si="90"/>
        <v>1.1900000000000003E-6</v>
      </c>
      <c r="AV247" s="157">
        <f t="shared" si="91"/>
        <v>1.2</v>
      </c>
      <c r="AW247" s="156">
        <f t="shared" si="92"/>
        <v>9.9999999999999995E-8</v>
      </c>
      <c r="AY247" s="140">
        <f t="shared" si="93"/>
        <v>2.3800000000000003E-5</v>
      </c>
      <c r="AZ247">
        <v>2.38</v>
      </c>
      <c r="BA247" s="140">
        <f t="shared" si="94"/>
        <v>2.3799999999999996E-7</v>
      </c>
      <c r="BB247" s="140">
        <f t="shared" si="95"/>
        <v>4.7599999999999997E-7</v>
      </c>
      <c r="BC247" s="140">
        <f t="shared" si="96"/>
        <v>7.1400000000000007E-7</v>
      </c>
      <c r="BD247" s="140">
        <f t="shared" si="97"/>
        <v>9.5200000000000016E-7</v>
      </c>
      <c r="BE247" s="140">
        <f t="shared" si="98"/>
        <v>1.1900000000000003E-6</v>
      </c>
      <c r="BF247" s="157">
        <f>IF(AY247&lt;$B$89*DATA!$H$1037,DATA!$H$1037,IF(AY247&gt;DATA!$H$1036*$B$89,DATA!$H$1036,1))</f>
        <v>1.2</v>
      </c>
      <c r="BG247" s="156">
        <f t="shared" si="99"/>
        <v>9.9999999999999995E-8</v>
      </c>
      <c r="BI247" s="140">
        <f t="shared" si="100"/>
        <v>2.3800000000000003E-5</v>
      </c>
      <c r="BJ247">
        <v>2.38</v>
      </c>
      <c r="BK247" s="140">
        <f t="shared" si="101"/>
        <v>2.3799999999999996E-7</v>
      </c>
      <c r="BL247" s="140">
        <f t="shared" si="102"/>
        <v>4.7599999999999997E-7</v>
      </c>
      <c r="BM247" s="140">
        <f t="shared" si="103"/>
        <v>7.1400000000000007E-7</v>
      </c>
      <c r="BN247" s="140">
        <f t="shared" si="104"/>
        <v>9.5200000000000016E-7</v>
      </c>
      <c r="BO247" s="140">
        <f t="shared" si="105"/>
        <v>1.1900000000000003E-6</v>
      </c>
      <c r="BP247" s="157">
        <f>IF(BI247&lt;$B$105*DATA!$H$1037,DATA!$H$1037,IF(BI247&gt;DATA!$H$1036*$B$105,DATA!$H$1036,1))</f>
        <v>1.2</v>
      </c>
      <c r="BQ247" s="156">
        <f t="shared" si="106"/>
        <v>9.9999999999999995E-8</v>
      </c>
    </row>
    <row r="248" spans="1:69">
      <c r="A248" s="140">
        <f t="shared" si="59"/>
        <v>2.4000000000000001E-5</v>
      </c>
      <c r="B248">
        <v>2.4</v>
      </c>
      <c r="C248" s="140">
        <f t="shared" si="108"/>
        <v>2.3999999999999993E-7</v>
      </c>
      <c r="D248" s="140">
        <f t="shared" si="108"/>
        <v>4.7999999999999996E-7</v>
      </c>
      <c r="E248" s="140">
        <f t="shared" si="108"/>
        <v>7.1999999999999999E-7</v>
      </c>
      <c r="F248" s="140">
        <f t="shared" si="108"/>
        <v>9.6000000000000013E-7</v>
      </c>
      <c r="G248" s="140">
        <f t="shared" si="108"/>
        <v>1.2000000000000002E-6</v>
      </c>
      <c r="H248" s="124">
        <f t="shared" si="60"/>
        <v>0.8</v>
      </c>
      <c r="I248" s="156">
        <f t="shared" si="61"/>
        <v>9.9999999999999995E-8</v>
      </c>
      <c r="K248" s="140">
        <f t="shared" si="62"/>
        <v>2.4000000000000001E-5</v>
      </c>
      <c r="L248">
        <v>2.4</v>
      </c>
      <c r="M248" s="140">
        <f t="shared" si="63"/>
        <v>2.3999999999999993E-7</v>
      </c>
      <c r="N248" s="140">
        <f t="shared" si="64"/>
        <v>4.7999999999999996E-7</v>
      </c>
      <c r="O248" s="140">
        <f t="shared" si="65"/>
        <v>7.1999999999999999E-7</v>
      </c>
      <c r="P248" s="140">
        <f t="shared" si="58"/>
        <v>9.6000000000000013E-7</v>
      </c>
      <c r="Q248" s="140">
        <f t="shared" si="66"/>
        <v>1.2000000000000002E-6</v>
      </c>
      <c r="R248" s="157">
        <f t="shared" si="67"/>
        <v>0.8</v>
      </c>
      <c r="S248" s="156">
        <f t="shared" si="68"/>
        <v>9.9999999999999995E-8</v>
      </c>
      <c r="U248" s="140">
        <f t="shared" si="69"/>
        <v>2.4000000000000001E-5</v>
      </c>
      <c r="V248">
        <v>2.4</v>
      </c>
      <c r="W248" s="140">
        <f t="shared" si="70"/>
        <v>2.3999999999999993E-7</v>
      </c>
      <c r="X248" s="140">
        <f t="shared" si="71"/>
        <v>4.7999999999999996E-7</v>
      </c>
      <c r="Y248" s="140">
        <f t="shared" si="72"/>
        <v>7.1999999999999999E-7</v>
      </c>
      <c r="Z248" s="140">
        <f t="shared" si="73"/>
        <v>9.6000000000000013E-7</v>
      </c>
      <c r="AA248" s="140">
        <f t="shared" si="74"/>
        <v>1.2000000000000002E-6</v>
      </c>
      <c r="AB248" s="157">
        <f t="shared" si="75"/>
        <v>0.8</v>
      </c>
      <c r="AC248" s="156">
        <f t="shared" si="76"/>
        <v>9.9999999999999995E-8</v>
      </c>
      <c r="AE248" s="140">
        <f t="shared" si="77"/>
        <v>2.4000000000000001E-5</v>
      </c>
      <c r="AF248">
        <v>2.4</v>
      </c>
      <c r="AG248" s="140">
        <f t="shared" si="78"/>
        <v>2.3999999999999993E-7</v>
      </c>
      <c r="AH248" s="140">
        <f t="shared" si="79"/>
        <v>4.7999999999999996E-7</v>
      </c>
      <c r="AI248" s="140">
        <f t="shared" si="80"/>
        <v>7.1999999999999999E-7</v>
      </c>
      <c r="AJ248" s="140">
        <f t="shared" si="81"/>
        <v>9.6000000000000013E-7</v>
      </c>
      <c r="AK248" s="140">
        <f t="shared" si="82"/>
        <v>1.2000000000000002E-6</v>
      </c>
      <c r="AL248" s="157">
        <f t="shared" si="83"/>
        <v>1.2</v>
      </c>
      <c r="AM248" s="156">
        <f t="shared" si="84"/>
        <v>9.9999999999999995E-8</v>
      </c>
      <c r="AO248" s="140">
        <f t="shared" si="85"/>
        <v>2.4000000000000001E-5</v>
      </c>
      <c r="AP248">
        <v>2.4</v>
      </c>
      <c r="AQ248" s="140">
        <f t="shared" si="86"/>
        <v>2.3999999999999993E-7</v>
      </c>
      <c r="AR248" s="140">
        <f t="shared" si="87"/>
        <v>4.7999999999999996E-7</v>
      </c>
      <c r="AS248" s="140">
        <f t="shared" si="88"/>
        <v>7.1999999999999999E-7</v>
      </c>
      <c r="AT248" s="140">
        <f t="shared" si="89"/>
        <v>9.6000000000000013E-7</v>
      </c>
      <c r="AU248" s="140">
        <f t="shared" si="90"/>
        <v>1.2000000000000002E-6</v>
      </c>
      <c r="AV248" s="157">
        <f t="shared" si="91"/>
        <v>1.2</v>
      </c>
      <c r="AW248" s="156">
        <f t="shared" si="92"/>
        <v>9.9999999999999995E-8</v>
      </c>
      <c r="AY248" s="140">
        <f t="shared" si="93"/>
        <v>2.4000000000000001E-5</v>
      </c>
      <c r="AZ248">
        <v>2.4</v>
      </c>
      <c r="BA248" s="140">
        <f t="shared" si="94"/>
        <v>2.3999999999999993E-7</v>
      </c>
      <c r="BB248" s="140">
        <f t="shared" si="95"/>
        <v>4.7999999999999996E-7</v>
      </c>
      <c r="BC248" s="140">
        <f t="shared" si="96"/>
        <v>7.1999999999999999E-7</v>
      </c>
      <c r="BD248" s="140">
        <f t="shared" si="97"/>
        <v>9.6000000000000013E-7</v>
      </c>
      <c r="BE248" s="140">
        <f t="shared" si="98"/>
        <v>1.2000000000000002E-6</v>
      </c>
      <c r="BF248" s="157">
        <f>IF(AY248&lt;$B$89*DATA!$H$1037,DATA!$H$1037,IF(AY248&gt;DATA!$H$1036*$B$89,DATA!$H$1036,1))</f>
        <v>1.2</v>
      </c>
      <c r="BG248" s="156">
        <f t="shared" si="99"/>
        <v>9.9999999999999995E-8</v>
      </c>
      <c r="BI248" s="140">
        <f t="shared" si="100"/>
        <v>2.4000000000000001E-5</v>
      </c>
      <c r="BJ248">
        <v>2.4</v>
      </c>
      <c r="BK248" s="140">
        <f t="shared" si="101"/>
        <v>2.3999999999999993E-7</v>
      </c>
      <c r="BL248" s="140">
        <f t="shared" si="102"/>
        <v>4.7999999999999996E-7</v>
      </c>
      <c r="BM248" s="140">
        <f t="shared" si="103"/>
        <v>7.1999999999999999E-7</v>
      </c>
      <c r="BN248" s="140">
        <f t="shared" si="104"/>
        <v>9.6000000000000013E-7</v>
      </c>
      <c r="BO248" s="140">
        <f t="shared" si="105"/>
        <v>1.2000000000000002E-6</v>
      </c>
      <c r="BP248" s="157">
        <f>IF(BI248&lt;$B$105*DATA!$H$1037,DATA!$H$1037,IF(BI248&gt;DATA!$H$1036*$B$105,DATA!$H$1036,1))</f>
        <v>1.2</v>
      </c>
      <c r="BQ248" s="156">
        <f t="shared" si="106"/>
        <v>9.9999999999999995E-8</v>
      </c>
    </row>
    <row r="249" spans="1:69">
      <c r="A249" s="140">
        <f t="shared" si="59"/>
        <v>2.4200000000000002E-5</v>
      </c>
      <c r="B249">
        <v>2.42</v>
      </c>
      <c r="C249" s="140">
        <f t="shared" si="108"/>
        <v>2.4199999999999992E-7</v>
      </c>
      <c r="D249" s="140">
        <f t="shared" si="108"/>
        <v>4.8399999999999994E-7</v>
      </c>
      <c r="E249" s="140">
        <f t="shared" si="108"/>
        <v>7.2600000000000002E-7</v>
      </c>
      <c r="F249" s="140">
        <f t="shared" si="108"/>
        <v>9.6800000000000009E-7</v>
      </c>
      <c r="G249" s="140">
        <f t="shared" si="108"/>
        <v>1.2100000000000003E-6</v>
      </c>
      <c r="H249" s="124">
        <f t="shared" si="60"/>
        <v>0.8</v>
      </c>
      <c r="I249" s="156">
        <f t="shared" si="61"/>
        <v>9.9999999999999995E-8</v>
      </c>
      <c r="K249" s="140">
        <f t="shared" si="62"/>
        <v>2.4200000000000002E-5</v>
      </c>
      <c r="L249">
        <v>2.42</v>
      </c>
      <c r="M249" s="140">
        <f t="shared" si="63"/>
        <v>2.4199999999999992E-7</v>
      </c>
      <c r="N249" s="140">
        <f t="shared" si="64"/>
        <v>4.8399999999999994E-7</v>
      </c>
      <c r="O249" s="140">
        <f t="shared" si="65"/>
        <v>7.2600000000000002E-7</v>
      </c>
      <c r="P249" s="140">
        <f t="shared" si="58"/>
        <v>9.6800000000000009E-7</v>
      </c>
      <c r="Q249" s="140">
        <f t="shared" si="66"/>
        <v>1.2100000000000003E-6</v>
      </c>
      <c r="R249" s="157">
        <f t="shared" si="67"/>
        <v>0.8</v>
      </c>
      <c r="S249" s="156">
        <f t="shared" si="68"/>
        <v>9.9999999999999995E-8</v>
      </c>
      <c r="U249" s="140">
        <f t="shared" si="69"/>
        <v>2.4200000000000002E-5</v>
      </c>
      <c r="V249">
        <v>2.42</v>
      </c>
      <c r="W249" s="140">
        <f t="shared" si="70"/>
        <v>2.4199999999999992E-7</v>
      </c>
      <c r="X249" s="140">
        <f t="shared" si="71"/>
        <v>4.8399999999999994E-7</v>
      </c>
      <c r="Y249" s="140">
        <f t="shared" si="72"/>
        <v>7.2600000000000002E-7</v>
      </c>
      <c r="Z249" s="140">
        <f t="shared" si="73"/>
        <v>9.6800000000000009E-7</v>
      </c>
      <c r="AA249" s="140">
        <f t="shared" si="74"/>
        <v>1.2100000000000003E-6</v>
      </c>
      <c r="AB249" s="157">
        <f t="shared" si="75"/>
        <v>0.8</v>
      </c>
      <c r="AC249" s="156">
        <f t="shared" si="76"/>
        <v>9.9999999999999995E-8</v>
      </c>
      <c r="AE249" s="140">
        <f t="shared" si="77"/>
        <v>2.4200000000000002E-5</v>
      </c>
      <c r="AF249">
        <v>2.42</v>
      </c>
      <c r="AG249" s="140">
        <f t="shared" si="78"/>
        <v>2.4199999999999992E-7</v>
      </c>
      <c r="AH249" s="140">
        <f t="shared" si="79"/>
        <v>4.8399999999999994E-7</v>
      </c>
      <c r="AI249" s="140">
        <f t="shared" si="80"/>
        <v>7.2600000000000002E-7</v>
      </c>
      <c r="AJ249" s="140">
        <f t="shared" si="81"/>
        <v>9.6800000000000009E-7</v>
      </c>
      <c r="AK249" s="140">
        <f t="shared" si="82"/>
        <v>1.2100000000000003E-6</v>
      </c>
      <c r="AL249" s="157">
        <f t="shared" si="83"/>
        <v>1.2</v>
      </c>
      <c r="AM249" s="156">
        <f t="shared" si="84"/>
        <v>9.9999999999999995E-8</v>
      </c>
      <c r="AO249" s="140">
        <f t="shared" si="85"/>
        <v>2.4200000000000002E-5</v>
      </c>
      <c r="AP249">
        <v>2.42</v>
      </c>
      <c r="AQ249" s="140">
        <f t="shared" si="86"/>
        <v>2.4199999999999992E-7</v>
      </c>
      <c r="AR249" s="140">
        <f t="shared" si="87"/>
        <v>4.8399999999999994E-7</v>
      </c>
      <c r="AS249" s="140">
        <f t="shared" si="88"/>
        <v>7.2600000000000002E-7</v>
      </c>
      <c r="AT249" s="140">
        <f t="shared" si="89"/>
        <v>9.6800000000000009E-7</v>
      </c>
      <c r="AU249" s="140">
        <f t="shared" si="90"/>
        <v>1.2100000000000003E-6</v>
      </c>
      <c r="AV249" s="157">
        <f t="shared" si="91"/>
        <v>1.2</v>
      </c>
      <c r="AW249" s="156">
        <f t="shared" si="92"/>
        <v>9.9999999999999995E-8</v>
      </c>
      <c r="AY249" s="140">
        <f t="shared" si="93"/>
        <v>2.4200000000000002E-5</v>
      </c>
      <c r="AZ249">
        <v>2.42</v>
      </c>
      <c r="BA249" s="140">
        <f t="shared" si="94"/>
        <v>2.4199999999999992E-7</v>
      </c>
      <c r="BB249" s="140">
        <f t="shared" si="95"/>
        <v>4.8399999999999994E-7</v>
      </c>
      <c r="BC249" s="140">
        <f t="shared" si="96"/>
        <v>7.2600000000000002E-7</v>
      </c>
      <c r="BD249" s="140">
        <f t="shared" si="97"/>
        <v>9.6800000000000009E-7</v>
      </c>
      <c r="BE249" s="140">
        <f t="shared" si="98"/>
        <v>1.2100000000000003E-6</v>
      </c>
      <c r="BF249" s="157">
        <f>IF(AY249&lt;$B$89*DATA!$H$1037,DATA!$H$1037,IF(AY249&gt;DATA!$H$1036*$B$89,DATA!$H$1036,1))</f>
        <v>1.2</v>
      </c>
      <c r="BG249" s="156">
        <f t="shared" si="99"/>
        <v>9.9999999999999995E-8</v>
      </c>
      <c r="BI249" s="140">
        <f t="shared" si="100"/>
        <v>2.4200000000000002E-5</v>
      </c>
      <c r="BJ249">
        <v>2.42</v>
      </c>
      <c r="BK249" s="140">
        <f t="shared" si="101"/>
        <v>2.4199999999999992E-7</v>
      </c>
      <c r="BL249" s="140">
        <f t="shared" si="102"/>
        <v>4.8399999999999994E-7</v>
      </c>
      <c r="BM249" s="140">
        <f t="shared" si="103"/>
        <v>7.2600000000000002E-7</v>
      </c>
      <c r="BN249" s="140">
        <f t="shared" si="104"/>
        <v>9.6800000000000009E-7</v>
      </c>
      <c r="BO249" s="140">
        <f t="shared" si="105"/>
        <v>1.2100000000000003E-6</v>
      </c>
      <c r="BP249" s="157">
        <f>IF(BI249&lt;$B$105*DATA!$H$1037,DATA!$H$1037,IF(BI249&gt;DATA!$H$1036*$B$105,DATA!$H$1036,1))</f>
        <v>1.2</v>
      </c>
      <c r="BQ249" s="156">
        <f t="shared" si="106"/>
        <v>9.9999999999999995E-8</v>
      </c>
    </row>
    <row r="250" spans="1:69">
      <c r="A250" s="140">
        <f t="shared" si="59"/>
        <v>2.44E-5</v>
      </c>
      <c r="B250">
        <v>2.44</v>
      </c>
      <c r="C250" s="140">
        <f t="shared" si="108"/>
        <v>2.4399999999999991E-7</v>
      </c>
      <c r="D250" s="140">
        <f t="shared" si="108"/>
        <v>4.8799999999999992E-7</v>
      </c>
      <c r="E250" s="140">
        <f t="shared" si="108"/>
        <v>7.3199999999999994E-7</v>
      </c>
      <c r="F250" s="140">
        <f t="shared" si="108"/>
        <v>9.7600000000000006E-7</v>
      </c>
      <c r="G250" s="140">
        <f t="shared" si="108"/>
        <v>1.2200000000000002E-6</v>
      </c>
      <c r="H250" s="124">
        <f t="shared" si="60"/>
        <v>0.8</v>
      </c>
      <c r="I250" s="156">
        <f t="shared" si="61"/>
        <v>9.9999999999999995E-8</v>
      </c>
      <c r="K250" s="140">
        <f t="shared" si="62"/>
        <v>2.44E-5</v>
      </c>
      <c r="L250">
        <v>2.44</v>
      </c>
      <c r="M250" s="140">
        <f t="shared" si="63"/>
        <v>2.4399999999999991E-7</v>
      </c>
      <c r="N250" s="140">
        <f t="shared" si="64"/>
        <v>4.8799999999999992E-7</v>
      </c>
      <c r="O250" s="140">
        <f t="shared" si="65"/>
        <v>7.3199999999999994E-7</v>
      </c>
      <c r="P250" s="140">
        <f t="shared" si="58"/>
        <v>9.7600000000000006E-7</v>
      </c>
      <c r="Q250" s="140">
        <f t="shared" si="66"/>
        <v>1.2200000000000002E-6</v>
      </c>
      <c r="R250" s="157">
        <f t="shared" si="67"/>
        <v>0.8</v>
      </c>
      <c r="S250" s="156">
        <f t="shared" si="68"/>
        <v>9.9999999999999995E-8</v>
      </c>
      <c r="U250" s="140">
        <f t="shared" si="69"/>
        <v>2.44E-5</v>
      </c>
      <c r="V250">
        <v>2.44</v>
      </c>
      <c r="W250" s="140">
        <f t="shared" si="70"/>
        <v>2.4399999999999991E-7</v>
      </c>
      <c r="X250" s="140">
        <f t="shared" si="71"/>
        <v>4.8799999999999992E-7</v>
      </c>
      <c r="Y250" s="140">
        <f t="shared" si="72"/>
        <v>7.3199999999999994E-7</v>
      </c>
      <c r="Z250" s="140">
        <f t="shared" si="73"/>
        <v>9.7600000000000006E-7</v>
      </c>
      <c r="AA250" s="140">
        <f t="shared" si="74"/>
        <v>1.2200000000000002E-6</v>
      </c>
      <c r="AB250" s="157">
        <f t="shared" si="75"/>
        <v>0.8</v>
      </c>
      <c r="AC250" s="156">
        <f t="shared" si="76"/>
        <v>9.9999999999999995E-8</v>
      </c>
      <c r="AE250" s="140">
        <f t="shared" si="77"/>
        <v>2.44E-5</v>
      </c>
      <c r="AF250">
        <v>2.44</v>
      </c>
      <c r="AG250" s="140">
        <f t="shared" si="78"/>
        <v>2.4399999999999991E-7</v>
      </c>
      <c r="AH250" s="140">
        <f t="shared" si="79"/>
        <v>4.8799999999999992E-7</v>
      </c>
      <c r="AI250" s="140">
        <f t="shared" si="80"/>
        <v>7.3199999999999994E-7</v>
      </c>
      <c r="AJ250" s="140">
        <f t="shared" si="81"/>
        <v>9.7600000000000006E-7</v>
      </c>
      <c r="AK250" s="140">
        <f t="shared" si="82"/>
        <v>1.2200000000000002E-6</v>
      </c>
      <c r="AL250" s="157">
        <f t="shared" si="83"/>
        <v>1.2</v>
      </c>
      <c r="AM250" s="156">
        <f t="shared" si="84"/>
        <v>9.9999999999999995E-8</v>
      </c>
      <c r="AO250" s="140">
        <f t="shared" si="85"/>
        <v>2.44E-5</v>
      </c>
      <c r="AP250">
        <v>2.44</v>
      </c>
      <c r="AQ250" s="140">
        <f t="shared" si="86"/>
        <v>2.4399999999999991E-7</v>
      </c>
      <c r="AR250" s="140">
        <f t="shared" si="87"/>
        <v>4.8799999999999992E-7</v>
      </c>
      <c r="AS250" s="140">
        <f t="shared" si="88"/>
        <v>7.3199999999999994E-7</v>
      </c>
      <c r="AT250" s="140">
        <f t="shared" si="89"/>
        <v>9.7600000000000006E-7</v>
      </c>
      <c r="AU250" s="140">
        <f t="shared" si="90"/>
        <v>1.2200000000000002E-6</v>
      </c>
      <c r="AV250" s="157">
        <f t="shared" si="91"/>
        <v>1.2</v>
      </c>
      <c r="AW250" s="156">
        <f t="shared" si="92"/>
        <v>9.9999999999999995E-8</v>
      </c>
      <c r="AY250" s="140">
        <f t="shared" si="93"/>
        <v>2.44E-5</v>
      </c>
      <c r="AZ250">
        <v>2.44</v>
      </c>
      <c r="BA250" s="140">
        <f t="shared" si="94"/>
        <v>2.4399999999999991E-7</v>
      </c>
      <c r="BB250" s="140">
        <f t="shared" si="95"/>
        <v>4.8799999999999992E-7</v>
      </c>
      <c r="BC250" s="140">
        <f t="shared" si="96"/>
        <v>7.3199999999999994E-7</v>
      </c>
      <c r="BD250" s="140">
        <f t="shared" si="97"/>
        <v>9.7600000000000006E-7</v>
      </c>
      <c r="BE250" s="140">
        <f t="shared" si="98"/>
        <v>1.2200000000000002E-6</v>
      </c>
      <c r="BF250" s="157">
        <f>IF(AY250&lt;$B$89*DATA!$H$1037,DATA!$H$1037,IF(AY250&gt;DATA!$H$1036*$B$89,DATA!$H$1036,1))</f>
        <v>1.2</v>
      </c>
      <c r="BG250" s="156">
        <f t="shared" si="99"/>
        <v>9.9999999999999995E-8</v>
      </c>
      <c r="BI250" s="140">
        <f t="shared" si="100"/>
        <v>2.44E-5</v>
      </c>
      <c r="BJ250">
        <v>2.44</v>
      </c>
      <c r="BK250" s="140">
        <f t="shared" si="101"/>
        <v>2.4399999999999991E-7</v>
      </c>
      <c r="BL250" s="140">
        <f t="shared" si="102"/>
        <v>4.8799999999999992E-7</v>
      </c>
      <c r="BM250" s="140">
        <f t="shared" si="103"/>
        <v>7.3199999999999994E-7</v>
      </c>
      <c r="BN250" s="140">
        <f t="shared" si="104"/>
        <v>9.7600000000000006E-7</v>
      </c>
      <c r="BO250" s="140">
        <f t="shared" si="105"/>
        <v>1.2200000000000002E-6</v>
      </c>
      <c r="BP250" s="157">
        <f>IF(BI250&lt;$B$105*DATA!$H$1037,DATA!$H$1037,IF(BI250&gt;DATA!$H$1036*$B$105,DATA!$H$1036,1))</f>
        <v>1.2</v>
      </c>
      <c r="BQ250" s="156">
        <f t="shared" si="106"/>
        <v>9.9999999999999995E-8</v>
      </c>
    </row>
    <row r="251" spans="1:69">
      <c r="A251" s="140">
        <f t="shared" si="59"/>
        <v>2.4600000000000002E-5</v>
      </c>
      <c r="B251">
        <v>2.46</v>
      </c>
      <c r="C251" s="140">
        <f t="shared" si="108"/>
        <v>2.4599999999999995E-7</v>
      </c>
      <c r="D251" s="140">
        <f t="shared" si="108"/>
        <v>4.9199999999999991E-7</v>
      </c>
      <c r="E251" s="140">
        <f t="shared" si="108"/>
        <v>7.3800000000000007E-7</v>
      </c>
      <c r="F251" s="140">
        <f t="shared" si="108"/>
        <v>9.8400000000000002E-7</v>
      </c>
      <c r="G251" s="140">
        <f t="shared" si="108"/>
        <v>1.2300000000000001E-6</v>
      </c>
      <c r="H251" s="124">
        <f t="shared" si="60"/>
        <v>0.8</v>
      </c>
      <c r="I251" s="156">
        <f t="shared" si="61"/>
        <v>9.9999999999999995E-8</v>
      </c>
      <c r="K251" s="140">
        <f t="shared" si="62"/>
        <v>2.4600000000000002E-5</v>
      </c>
      <c r="L251">
        <v>2.46</v>
      </c>
      <c r="M251" s="140">
        <f t="shared" si="63"/>
        <v>2.4599999999999995E-7</v>
      </c>
      <c r="N251" s="140">
        <f t="shared" si="64"/>
        <v>4.9199999999999991E-7</v>
      </c>
      <c r="O251" s="140">
        <f t="shared" si="65"/>
        <v>7.3800000000000007E-7</v>
      </c>
      <c r="P251" s="140">
        <f t="shared" si="58"/>
        <v>9.8400000000000002E-7</v>
      </c>
      <c r="Q251" s="140">
        <f t="shared" si="66"/>
        <v>1.2300000000000001E-6</v>
      </c>
      <c r="R251" s="157">
        <f t="shared" si="67"/>
        <v>0.8</v>
      </c>
      <c r="S251" s="156">
        <f t="shared" si="68"/>
        <v>9.9999999999999995E-8</v>
      </c>
      <c r="U251" s="140">
        <f t="shared" si="69"/>
        <v>2.4600000000000002E-5</v>
      </c>
      <c r="V251">
        <v>2.46</v>
      </c>
      <c r="W251" s="140">
        <f t="shared" si="70"/>
        <v>2.4599999999999995E-7</v>
      </c>
      <c r="X251" s="140">
        <f t="shared" si="71"/>
        <v>4.9199999999999991E-7</v>
      </c>
      <c r="Y251" s="140">
        <f t="shared" si="72"/>
        <v>7.3800000000000007E-7</v>
      </c>
      <c r="Z251" s="140">
        <f t="shared" si="73"/>
        <v>9.8400000000000002E-7</v>
      </c>
      <c r="AA251" s="140">
        <f t="shared" si="74"/>
        <v>1.2300000000000001E-6</v>
      </c>
      <c r="AB251" s="157">
        <f t="shared" si="75"/>
        <v>0.8</v>
      </c>
      <c r="AC251" s="156">
        <f t="shared" si="76"/>
        <v>9.9999999999999995E-8</v>
      </c>
      <c r="AE251" s="140">
        <f t="shared" si="77"/>
        <v>2.4600000000000002E-5</v>
      </c>
      <c r="AF251">
        <v>2.46</v>
      </c>
      <c r="AG251" s="140">
        <f t="shared" si="78"/>
        <v>2.4599999999999995E-7</v>
      </c>
      <c r="AH251" s="140">
        <f t="shared" si="79"/>
        <v>4.9199999999999991E-7</v>
      </c>
      <c r="AI251" s="140">
        <f t="shared" si="80"/>
        <v>7.3800000000000007E-7</v>
      </c>
      <c r="AJ251" s="140">
        <f t="shared" si="81"/>
        <v>9.8400000000000002E-7</v>
      </c>
      <c r="AK251" s="140">
        <f t="shared" si="82"/>
        <v>1.2300000000000001E-6</v>
      </c>
      <c r="AL251" s="157">
        <f t="shared" si="83"/>
        <v>1.2</v>
      </c>
      <c r="AM251" s="156">
        <f t="shared" si="84"/>
        <v>9.9999999999999995E-8</v>
      </c>
      <c r="AO251" s="140">
        <f t="shared" si="85"/>
        <v>2.4600000000000002E-5</v>
      </c>
      <c r="AP251">
        <v>2.46</v>
      </c>
      <c r="AQ251" s="140">
        <f t="shared" si="86"/>
        <v>2.4599999999999995E-7</v>
      </c>
      <c r="AR251" s="140">
        <f t="shared" si="87"/>
        <v>4.9199999999999991E-7</v>
      </c>
      <c r="AS251" s="140">
        <f t="shared" si="88"/>
        <v>7.3800000000000007E-7</v>
      </c>
      <c r="AT251" s="140">
        <f t="shared" si="89"/>
        <v>9.8400000000000002E-7</v>
      </c>
      <c r="AU251" s="140">
        <f t="shared" si="90"/>
        <v>1.2300000000000001E-6</v>
      </c>
      <c r="AV251" s="157">
        <f t="shared" si="91"/>
        <v>1.2</v>
      </c>
      <c r="AW251" s="156">
        <f t="shared" si="92"/>
        <v>9.9999999999999995E-8</v>
      </c>
      <c r="AY251" s="140">
        <f t="shared" si="93"/>
        <v>2.4600000000000002E-5</v>
      </c>
      <c r="AZ251">
        <v>2.46</v>
      </c>
      <c r="BA251" s="140">
        <f t="shared" si="94"/>
        <v>2.4599999999999995E-7</v>
      </c>
      <c r="BB251" s="140">
        <f t="shared" si="95"/>
        <v>4.9199999999999991E-7</v>
      </c>
      <c r="BC251" s="140">
        <f t="shared" si="96"/>
        <v>7.3800000000000007E-7</v>
      </c>
      <c r="BD251" s="140">
        <f t="shared" si="97"/>
        <v>9.8400000000000002E-7</v>
      </c>
      <c r="BE251" s="140">
        <f t="shared" si="98"/>
        <v>1.2300000000000001E-6</v>
      </c>
      <c r="BF251" s="157">
        <f>IF(AY251&lt;$B$89*DATA!$H$1037,DATA!$H$1037,IF(AY251&gt;DATA!$H$1036*$B$89,DATA!$H$1036,1))</f>
        <v>1.2</v>
      </c>
      <c r="BG251" s="156">
        <f t="shared" si="99"/>
        <v>9.9999999999999995E-8</v>
      </c>
      <c r="BI251" s="140">
        <f t="shared" si="100"/>
        <v>2.4600000000000002E-5</v>
      </c>
      <c r="BJ251">
        <v>2.46</v>
      </c>
      <c r="BK251" s="140">
        <f t="shared" si="101"/>
        <v>2.4599999999999995E-7</v>
      </c>
      <c r="BL251" s="140">
        <f t="shared" si="102"/>
        <v>4.9199999999999991E-7</v>
      </c>
      <c r="BM251" s="140">
        <f t="shared" si="103"/>
        <v>7.3800000000000007E-7</v>
      </c>
      <c r="BN251" s="140">
        <f t="shared" si="104"/>
        <v>9.8400000000000002E-7</v>
      </c>
      <c r="BO251" s="140">
        <f t="shared" si="105"/>
        <v>1.2300000000000001E-6</v>
      </c>
      <c r="BP251" s="157">
        <f>IF(BI251&lt;$B$105*DATA!$H$1037,DATA!$H$1037,IF(BI251&gt;DATA!$H$1036*$B$105,DATA!$H$1036,1))</f>
        <v>1.2</v>
      </c>
      <c r="BQ251" s="156">
        <f t="shared" si="106"/>
        <v>9.9999999999999995E-8</v>
      </c>
    </row>
    <row r="252" spans="1:69">
      <c r="A252" s="140">
        <f t="shared" si="59"/>
        <v>2.4800000000000003E-5</v>
      </c>
      <c r="B252">
        <v>2.48</v>
      </c>
      <c r="C252" s="140">
        <f t="shared" si="108"/>
        <v>2.4799999999999994E-7</v>
      </c>
      <c r="D252" s="140">
        <f t="shared" si="108"/>
        <v>4.9599999999999999E-7</v>
      </c>
      <c r="E252" s="140">
        <f t="shared" si="108"/>
        <v>7.440000000000001E-7</v>
      </c>
      <c r="F252" s="140">
        <f t="shared" si="108"/>
        <v>9.920000000000002E-7</v>
      </c>
      <c r="G252" s="140">
        <f t="shared" si="108"/>
        <v>1.2400000000000002E-6</v>
      </c>
      <c r="H252" s="124">
        <f t="shared" si="60"/>
        <v>0.8</v>
      </c>
      <c r="I252" s="156">
        <f t="shared" si="61"/>
        <v>9.9999999999999995E-8</v>
      </c>
      <c r="K252" s="140">
        <f t="shared" si="62"/>
        <v>2.4800000000000003E-5</v>
      </c>
      <c r="L252">
        <v>2.48</v>
      </c>
      <c r="M252" s="140">
        <f t="shared" si="63"/>
        <v>2.4799999999999994E-7</v>
      </c>
      <c r="N252" s="140">
        <f t="shared" si="64"/>
        <v>4.9599999999999999E-7</v>
      </c>
      <c r="O252" s="140">
        <f t="shared" si="65"/>
        <v>7.440000000000001E-7</v>
      </c>
      <c r="P252" s="140">
        <f t="shared" si="58"/>
        <v>9.920000000000002E-7</v>
      </c>
      <c r="Q252" s="140">
        <f t="shared" si="66"/>
        <v>1.2400000000000002E-6</v>
      </c>
      <c r="R252" s="157">
        <f t="shared" si="67"/>
        <v>0.8</v>
      </c>
      <c r="S252" s="156">
        <f t="shared" si="68"/>
        <v>9.9999999999999995E-8</v>
      </c>
      <c r="U252" s="140">
        <f t="shared" si="69"/>
        <v>2.4800000000000003E-5</v>
      </c>
      <c r="V252">
        <v>2.48</v>
      </c>
      <c r="W252" s="140">
        <f t="shared" si="70"/>
        <v>2.4799999999999994E-7</v>
      </c>
      <c r="X252" s="140">
        <f t="shared" si="71"/>
        <v>4.9599999999999999E-7</v>
      </c>
      <c r="Y252" s="140">
        <f t="shared" si="72"/>
        <v>7.440000000000001E-7</v>
      </c>
      <c r="Z252" s="140">
        <f t="shared" si="73"/>
        <v>9.920000000000002E-7</v>
      </c>
      <c r="AA252" s="140">
        <f t="shared" si="74"/>
        <v>1.2400000000000002E-6</v>
      </c>
      <c r="AB252" s="157">
        <f t="shared" si="75"/>
        <v>0.8</v>
      </c>
      <c r="AC252" s="156">
        <f t="shared" si="76"/>
        <v>9.9999999999999995E-8</v>
      </c>
      <c r="AE252" s="140">
        <f t="shared" si="77"/>
        <v>2.4800000000000003E-5</v>
      </c>
      <c r="AF252">
        <v>2.48</v>
      </c>
      <c r="AG252" s="140">
        <f t="shared" si="78"/>
        <v>2.4799999999999994E-7</v>
      </c>
      <c r="AH252" s="140">
        <f t="shared" si="79"/>
        <v>4.9599999999999999E-7</v>
      </c>
      <c r="AI252" s="140">
        <f t="shared" si="80"/>
        <v>7.440000000000001E-7</v>
      </c>
      <c r="AJ252" s="140">
        <f t="shared" si="81"/>
        <v>9.920000000000002E-7</v>
      </c>
      <c r="AK252" s="140">
        <f t="shared" si="82"/>
        <v>1.2400000000000002E-6</v>
      </c>
      <c r="AL252" s="157">
        <f t="shared" si="83"/>
        <v>1.2</v>
      </c>
      <c r="AM252" s="156">
        <f t="shared" si="84"/>
        <v>9.9999999999999995E-8</v>
      </c>
      <c r="AO252" s="140">
        <f t="shared" si="85"/>
        <v>2.4800000000000003E-5</v>
      </c>
      <c r="AP252">
        <v>2.48</v>
      </c>
      <c r="AQ252" s="140">
        <f t="shared" si="86"/>
        <v>2.4799999999999994E-7</v>
      </c>
      <c r="AR252" s="140">
        <f t="shared" si="87"/>
        <v>4.9599999999999999E-7</v>
      </c>
      <c r="AS252" s="140">
        <f t="shared" si="88"/>
        <v>7.440000000000001E-7</v>
      </c>
      <c r="AT252" s="140">
        <f t="shared" si="89"/>
        <v>9.920000000000002E-7</v>
      </c>
      <c r="AU252" s="140">
        <f t="shared" si="90"/>
        <v>1.2400000000000002E-6</v>
      </c>
      <c r="AV252" s="157">
        <f t="shared" si="91"/>
        <v>1.2</v>
      </c>
      <c r="AW252" s="156">
        <f t="shared" si="92"/>
        <v>9.9999999999999995E-8</v>
      </c>
      <c r="AY252" s="140">
        <f t="shared" si="93"/>
        <v>2.4800000000000003E-5</v>
      </c>
      <c r="AZ252">
        <v>2.48</v>
      </c>
      <c r="BA252" s="140">
        <f t="shared" si="94"/>
        <v>2.4799999999999994E-7</v>
      </c>
      <c r="BB252" s="140">
        <f t="shared" si="95"/>
        <v>4.9599999999999999E-7</v>
      </c>
      <c r="BC252" s="140">
        <f t="shared" si="96"/>
        <v>7.440000000000001E-7</v>
      </c>
      <c r="BD252" s="140">
        <f t="shared" si="97"/>
        <v>9.920000000000002E-7</v>
      </c>
      <c r="BE252" s="140">
        <f t="shared" si="98"/>
        <v>1.2400000000000002E-6</v>
      </c>
      <c r="BF252" s="157">
        <f>IF(AY252&lt;$B$89*DATA!$H$1037,DATA!$H$1037,IF(AY252&gt;DATA!$H$1036*$B$89,DATA!$H$1036,1))</f>
        <v>1.2</v>
      </c>
      <c r="BG252" s="156">
        <f t="shared" si="99"/>
        <v>9.9999999999999995E-8</v>
      </c>
      <c r="BI252" s="140">
        <f t="shared" si="100"/>
        <v>2.4800000000000003E-5</v>
      </c>
      <c r="BJ252">
        <v>2.48</v>
      </c>
      <c r="BK252" s="140">
        <f t="shared" si="101"/>
        <v>2.4799999999999994E-7</v>
      </c>
      <c r="BL252" s="140">
        <f t="shared" si="102"/>
        <v>4.9599999999999999E-7</v>
      </c>
      <c r="BM252" s="140">
        <f t="shared" si="103"/>
        <v>7.440000000000001E-7</v>
      </c>
      <c r="BN252" s="140">
        <f t="shared" si="104"/>
        <v>9.920000000000002E-7</v>
      </c>
      <c r="BO252" s="140">
        <f t="shared" si="105"/>
        <v>1.2400000000000002E-6</v>
      </c>
      <c r="BP252" s="157">
        <f>IF(BI252&lt;$B$105*DATA!$H$1037,DATA!$H$1037,IF(BI252&gt;DATA!$H$1036*$B$105,DATA!$H$1036,1))</f>
        <v>1.2</v>
      </c>
      <c r="BQ252" s="156">
        <f t="shared" si="106"/>
        <v>9.9999999999999995E-8</v>
      </c>
    </row>
    <row r="253" spans="1:69">
      <c r="A253" s="140">
        <f t="shared" si="59"/>
        <v>2.5000000000000001E-5</v>
      </c>
      <c r="B253">
        <v>2.5</v>
      </c>
      <c r="C253" s="140">
        <f t="shared" si="108"/>
        <v>2.4999999999999994E-7</v>
      </c>
      <c r="D253" s="140">
        <f t="shared" si="108"/>
        <v>4.9999999999999998E-7</v>
      </c>
      <c r="E253" s="140">
        <f t="shared" si="108"/>
        <v>7.5000000000000002E-7</v>
      </c>
      <c r="F253" s="140">
        <f t="shared" si="108"/>
        <v>1.0000000000000002E-6</v>
      </c>
      <c r="G253" s="140">
        <f t="shared" si="108"/>
        <v>1.2500000000000001E-6</v>
      </c>
      <c r="H253" s="124">
        <f t="shared" si="60"/>
        <v>0.8</v>
      </c>
      <c r="I253" s="156">
        <f t="shared" si="61"/>
        <v>9.9999999999999995E-8</v>
      </c>
      <c r="K253" s="140">
        <f t="shared" si="62"/>
        <v>2.5000000000000001E-5</v>
      </c>
      <c r="L253">
        <v>2.5</v>
      </c>
      <c r="M253" s="140">
        <f t="shared" si="63"/>
        <v>2.4999999999999994E-7</v>
      </c>
      <c r="N253" s="140">
        <f t="shared" si="64"/>
        <v>4.9999999999999998E-7</v>
      </c>
      <c r="O253" s="140">
        <f t="shared" si="65"/>
        <v>7.5000000000000002E-7</v>
      </c>
      <c r="P253" s="140">
        <f t="shared" si="58"/>
        <v>1.0000000000000002E-6</v>
      </c>
      <c r="Q253" s="140">
        <f t="shared" si="66"/>
        <v>1.2500000000000001E-6</v>
      </c>
      <c r="R253" s="157">
        <f t="shared" si="67"/>
        <v>0.8</v>
      </c>
      <c r="S253" s="156">
        <f t="shared" si="68"/>
        <v>9.9999999999999995E-8</v>
      </c>
      <c r="U253" s="140">
        <f t="shared" si="69"/>
        <v>2.5000000000000001E-5</v>
      </c>
      <c r="V253">
        <v>2.5</v>
      </c>
      <c r="W253" s="140">
        <f t="shared" si="70"/>
        <v>2.4999999999999994E-7</v>
      </c>
      <c r="X253" s="140">
        <f t="shared" si="71"/>
        <v>4.9999999999999998E-7</v>
      </c>
      <c r="Y253" s="140">
        <f t="shared" si="72"/>
        <v>7.5000000000000002E-7</v>
      </c>
      <c r="Z253" s="140">
        <f t="shared" si="73"/>
        <v>1.0000000000000002E-6</v>
      </c>
      <c r="AA253" s="140">
        <f t="shared" si="74"/>
        <v>1.2500000000000001E-6</v>
      </c>
      <c r="AB253" s="157">
        <f t="shared" si="75"/>
        <v>0.8</v>
      </c>
      <c r="AC253" s="156">
        <f t="shared" si="76"/>
        <v>9.9999999999999995E-8</v>
      </c>
      <c r="AE253" s="140">
        <f t="shared" si="77"/>
        <v>2.5000000000000001E-5</v>
      </c>
      <c r="AF253">
        <v>2.5</v>
      </c>
      <c r="AG253" s="140">
        <f t="shared" si="78"/>
        <v>2.4999999999999994E-7</v>
      </c>
      <c r="AH253" s="140">
        <f t="shared" si="79"/>
        <v>4.9999999999999998E-7</v>
      </c>
      <c r="AI253" s="140">
        <f t="shared" si="80"/>
        <v>7.5000000000000002E-7</v>
      </c>
      <c r="AJ253" s="140">
        <f t="shared" si="81"/>
        <v>1.0000000000000002E-6</v>
      </c>
      <c r="AK253" s="140">
        <f t="shared" si="82"/>
        <v>1.2500000000000001E-6</v>
      </c>
      <c r="AL253" s="157">
        <f t="shared" si="83"/>
        <v>1.2</v>
      </c>
      <c r="AM253" s="156">
        <f t="shared" si="84"/>
        <v>9.9999999999999995E-8</v>
      </c>
      <c r="AO253" s="140">
        <f t="shared" si="85"/>
        <v>2.5000000000000001E-5</v>
      </c>
      <c r="AP253">
        <v>2.5</v>
      </c>
      <c r="AQ253" s="140">
        <f t="shared" si="86"/>
        <v>2.4999999999999994E-7</v>
      </c>
      <c r="AR253" s="140">
        <f t="shared" si="87"/>
        <v>4.9999999999999998E-7</v>
      </c>
      <c r="AS253" s="140">
        <f t="shared" si="88"/>
        <v>7.5000000000000002E-7</v>
      </c>
      <c r="AT253" s="140">
        <f t="shared" si="89"/>
        <v>1.0000000000000002E-6</v>
      </c>
      <c r="AU253" s="140">
        <f t="shared" si="90"/>
        <v>1.2500000000000001E-6</v>
      </c>
      <c r="AV253" s="157">
        <f t="shared" si="91"/>
        <v>1.2</v>
      </c>
      <c r="AW253" s="156">
        <f t="shared" si="92"/>
        <v>9.9999999999999995E-8</v>
      </c>
      <c r="AY253" s="140">
        <f t="shared" si="93"/>
        <v>2.5000000000000001E-5</v>
      </c>
      <c r="AZ253">
        <v>2.5</v>
      </c>
      <c r="BA253" s="140">
        <f t="shared" si="94"/>
        <v>2.4999999999999994E-7</v>
      </c>
      <c r="BB253" s="140">
        <f t="shared" si="95"/>
        <v>4.9999999999999998E-7</v>
      </c>
      <c r="BC253" s="140">
        <f t="shared" si="96"/>
        <v>7.5000000000000002E-7</v>
      </c>
      <c r="BD253" s="140">
        <f t="shared" si="97"/>
        <v>1.0000000000000002E-6</v>
      </c>
      <c r="BE253" s="140">
        <f t="shared" si="98"/>
        <v>1.2500000000000001E-6</v>
      </c>
      <c r="BF253" s="157">
        <f>IF(AY253&lt;$B$89*DATA!$H$1037,DATA!$H$1037,IF(AY253&gt;DATA!$H$1036*$B$89,DATA!$H$1036,1))</f>
        <v>1.2</v>
      </c>
      <c r="BG253" s="156">
        <f t="shared" si="99"/>
        <v>9.9999999999999995E-8</v>
      </c>
      <c r="BI253" s="140">
        <f t="shared" si="100"/>
        <v>2.5000000000000001E-5</v>
      </c>
      <c r="BJ253">
        <v>2.5</v>
      </c>
      <c r="BK253" s="140">
        <f t="shared" si="101"/>
        <v>2.4999999999999994E-7</v>
      </c>
      <c r="BL253" s="140">
        <f t="shared" si="102"/>
        <v>4.9999999999999998E-7</v>
      </c>
      <c r="BM253" s="140">
        <f t="shared" si="103"/>
        <v>7.5000000000000002E-7</v>
      </c>
      <c r="BN253" s="140">
        <f t="shared" si="104"/>
        <v>1.0000000000000002E-6</v>
      </c>
      <c r="BO253" s="140">
        <f t="shared" si="105"/>
        <v>1.2500000000000001E-6</v>
      </c>
      <c r="BP253" s="157">
        <f>IF(BI253&lt;$B$105*DATA!$H$1037,DATA!$H$1037,IF(BI253&gt;DATA!$H$1036*$B$105,DATA!$H$1036,1))</f>
        <v>1.2</v>
      </c>
      <c r="BQ253" s="156">
        <f t="shared" si="106"/>
        <v>9.9999999999999995E-8</v>
      </c>
    </row>
    <row r="254" spans="1:69">
      <c r="A254" s="140">
        <f t="shared" si="59"/>
        <v>2.5200000000000003E-5</v>
      </c>
      <c r="B254">
        <v>2.52</v>
      </c>
      <c r="C254" s="140">
        <f t="shared" si="108"/>
        <v>2.5199999999999993E-7</v>
      </c>
      <c r="D254" s="140">
        <f t="shared" si="108"/>
        <v>5.0399999999999996E-7</v>
      </c>
      <c r="E254" s="140">
        <f t="shared" si="108"/>
        <v>7.5600000000000005E-7</v>
      </c>
      <c r="F254" s="140">
        <f t="shared" si="108"/>
        <v>1.0080000000000001E-6</v>
      </c>
      <c r="G254" s="140">
        <f t="shared" si="108"/>
        <v>1.2600000000000002E-6</v>
      </c>
      <c r="H254" s="124">
        <f t="shared" si="60"/>
        <v>0.8</v>
      </c>
      <c r="I254" s="156">
        <f t="shared" si="61"/>
        <v>9.9999999999999995E-8</v>
      </c>
      <c r="K254" s="140">
        <f t="shared" si="62"/>
        <v>2.5200000000000003E-5</v>
      </c>
      <c r="L254">
        <v>2.52</v>
      </c>
      <c r="M254" s="140">
        <f t="shared" si="63"/>
        <v>2.5199999999999993E-7</v>
      </c>
      <c r="N254" s="140">
        <f t="shared" si="64"/>
        <v>5.0399999999999996E-7</v>
      </c>
      <c r="O254" s="140">
        <f t="shared" si="65"/>
        <v>7.5600000000000005E-7</v>
      </c>
      <c r="P254" s="140">
        <f t="shared" si="58"/>
        <v>1.0080000000000001E-6</v>
      </c>
      <c r="Q254" s="140">
        <f t="shared" si="66"/>
        <v>1.2600000000000002E-6</v>
      </c>
      <c r="R254" s="157">
        <f t="shared" si="67"/>
        <v>0.8</v>
      </c>
      <c r="S254" s="156">
        <f t="shared" si="68"/>
        <v>9.9999999999999995E-8</v>
      </c>
      <c r="U254" s="140">
        <f t="shared" si="69"/>
        <v>2.5200000000000003E-5</v>
      </c>
      <c r="V254">
        <v>2.52</v>
      </c>
      <c r="W254" s="140">
        <f t="shared" si="70"/>
        <v>2.5199999999999993E-7</v>
      </c>
      <c r="X254" s="140">
        <f t="shared" si="71"/>
        <v>5.0399999999999996E-7</v>
      </c>
      <c r="Y254" s="140">
        <f t="shared" si="72"/>
        <v>7.5600000000000005E-7</v>
      </c>
      <c r="Z254" s="140">
        <f t="shared" si="73"/>
        <v>1.0080000000000001E-6</v>
      </c>
      <c r="AA254" s="140">
        <f t="shared" si="74"/>
        <v>1.2600000000000002E-6</v>
      </c>
      <c r="AB254" s="157">
        <f t="shared" si="75"/>
        <v>0.8</v>
      </c>
      <c r="AC254" s="156">
        <f t="shared" si="76"/>
        <v>9.9999999999999995E-8</v>
      </c>
      <c r="AE254" s="140">
        <f t="shared" si="77"/>
        <v>2.5200000000000003E-5</v>
      </c>
      <c r="AF254">
        <v>2.52</v>
      </c>
      <c r="AG254" s="140">
        <f t="shared" si="78"/>
        <v>2.5199999999999993E-7</v>
      </c>
      <c r="AH254" s="140">
        <f t="shared" si="79"/>
        <v>5.0399999999999996E-7</v>
      </c>
      <c r="AI254" s="140">
        <f t="shared" si="80"/>
        <v>7.5600000000000005E-7</v>
      </c>
      <c r="AJ254" s="140">
        <f t="shared" si="81"/>
        <v>1.0080000000000001E-6</v>
      </c>
      <c r="AK254" s="140">
        <f t="shared" si="82"/>
        <v>1.2600000000000002E-6</v>
      </c>
      <c r="AL254" s="157">
        <f t="shared" si="83"/>
        <v>1.2</v>
      </c>
      <c r="AM254" s="156">
        <f t="shared" si="84"/>
        <v>9.9999999999999995E-8</v>
      </c>
      <c r="AO254" s="140">
        <f t="shared" si="85"/>
        <v>2.5200000000000003E-5</v>
      </c>
      <c r="AP254">
        <v>2.52</v>
      </c>
      <c r="AQ254" s="140">
        <f t="shared" si="86"/>
        <v>2.5199999999999993E-7</v>
      </c>
      <c r="AR254" s="140">
        <f t="shared" si="87"/>
        <v>5.0399999999999996E-7</v>
      </c>
      <c r="AS254" s="140">
        <f t="shared" si="88"/>
        <v>7.5600000000000005E-7</v>
      </c>
      <c r="AT254" s="140">
        <f t="shared" si="89"/>
        <v>1.0080000000000001E-6</v>
      </c>
      <c r="AU254" s="140">
        <f t="shared" si="90"/>
        <v>1.2600000000000002E-6</v>
      </c>
      <c r="AV254" s="157">
        <f t="shared" si="91"/>
        <v>1.2</v>
      </c>
      <c r="AW254" s="156">
        <f t="shared" si="92"/>
        <v>9.9999999999999995E-8</v>
      </c>
      <c r="AY254" s="140">
        <f t="shared" si="93"/>
        <v>2.5200000000000003E-5</v>
      </c>
      <c r="AZ254">
        <v>2.52</v>
      </c>
      <c r="BA254" s="140">
        <f t="shared" si="94"/>
        <v>2.5199999999999993E-7</v>
      </c>
      <c r="BB254" s="140">
        <f t="shared" si="95"/>
        <v>5.0399999999999996E-7</v>
      </c>
      <c r="BC254" s="140">
        <f t="shared" si="96"/>
        <v>7.5600000000000005E-7</v>
      </c>
      <c r="BD254" s="140">
        <f t="shared" si="97"/>
        <v>1.0080000000000001E-6</v>
      </c>
      <c r="BE254" s="140">
        <f t="shared" si="98"/>
        <v>1.2600000000000002E-6</v>
      </c>
      <c r="BF254" s="157">
        <f>IF(AY254&lt;$B$89*DATA!$H$1037,DATA!$H$1037,IF(AY254&gt;DATA!$H$1036*$B$89,DATA!$H$1036,1))</f>
        <v>1.2</v>
      </c>
      <c r="BG254" s="156">
        <f t="shared" si="99"/>
        <v>9.9999999999999995E-8</v>
      </c>
      <c r="BI254" s="140">
        <f t="shared" si="100"/>
        <v>2.5200000000000003E-5</v>
      </c>
      <c r="BJ254">
        <v>2.52</v>
      </c>
      <c r="BK254" s="140">
        <f t="shared" si="101"/>
        <v>2.5199999999999993E-7</v>
      </c>
      <c r="BL254" s="140">
        <f t="shared" si="102"/>
        <v>5.0399999999999996E-7</v>
      </c>
      <c r="BM254" s="140">
        <f t="shared" si="103"/>
        <v>7.5600000000000005E-7</v>
      </c>
      <c r="BN254" s="140">
        <f t="shared" si="104"/>
        <v>1.0080000000000001E-6</v>
      </c>
      <c r="BO254" s="140">
        <f t="shared" si="105"/>
        <v>1.2600000000000002E-6</v>
      </c>
      <c r="BP254" s="157">
        <f>IF(BI254&lt;$B$105*DATA!$H$1037,DATA!$H$1037,IF(BI254&gt;DATA!$H$1036*$B$105,DATA!$H$1036,1))</f>
        <v>1.2</v>
      </c>
      <c r="BQ254" s="156">
        <f t="shared" si="106"/>
        <v>9.9999999999999995E-8</v>
      </c>
    </row>
    <row r="255" spans="1:69">
      <c r="A255" s="140">
        <f t="shared" si="59"/>
        <v>2.5400000000000001E-5</v>
      </c>
      <c r="B255">
        <v>2.54</v>
      </c>
      <c r="C255" s="140">
        <f t="shared" ref="C255:G270" si="109">C$142*$A255</f>
        <v>2.5399999999999992E-7</v>
      </c>
      <c r="D255" s="140">
        <f t="shared" si="109"/>
        <v>5.0799999999999994E-7</v>
      </c>
      <c r="E255" s="140">
        <f t="shared" si="109"/>
        <v>7.6199999999999997E-7</v>
      </c>
      <c r="F255" s="140">
        <f t="shared" si="109"/>
        <v>1.0160000000000001E-6</v>
      </c>
      <c r="G255" s="140">
        <f t="shared" si="109"/>
        <v>1.2700000000000001E-6</v>
      </c>
      <c r="H255" s="124">
        <f t="shared" si="60"/>
        <v>0.8</v>
      </c>
      <c r="I255" s="156">
        <f t="shared" si="61"/>
        <v>9.9999999999999995E-8</v>
      </c>
      <c r="K255" s="140">
        <f t="shared" si="62"/>
        <v>2.5400000000000001E-5</v>
      </c>
      <c r="L255">
        <v>2.54</v>
      </c>
      <c r="M255" s="140">
        <f t="shared" si="63"/>
        <v>2.5399999999999992E-7</v>
      </c>
      <c r="N255" s="140">
        <f t="shared" si="64"/>
        <v>5.0799999999999994E-7</v>
      </c>
      <c r="O255" s="140">
        <f t="shared" si="65"/>
        <v>7.6199999999999997E-7</v>
      </c>
      <c r="P255" s="140">
        <f t="shared" si="58"/>
        <v>1.0160000000000001E-6</v>
      </c>
      <c r="Q255" s="140">
        <f t="shared" si="66"/>
        <v>1.2700000000000001E-6</v>
      </c>
      <c r="R255" s="157">
        <f t="shared" si="67"/>
        <v>0.8</v>
      </c>
      <c r="S255" s="156">
        <f t="shared" si="68"/>
        <v>9.9999999999999995E-8</v>
      </c>
      <c r="U255" s="140">
        <f t="shared" si="69"/>
        <v>2.5400000000000001E-5</v>
      </c>
      <c r="V255">
        <v>2.54</v>
      </c>
      <c r="W255" s="140">
        <f t="shared" si="70"/>
        <v>2.5399999999999992E-7</v>
      </c>
      <c r="X255" s="140">
        <f t="shared" si="71"/>
        <v>5.0799999999999994E-7</v>
      </c>
      <c r="Y255" s="140">
        <f t="shared" si="72"/>
        <v>7.6199999999999997E-7</v>
      </c>
      <c r="Z255" s="140">
        <f t="shared" si="73"/>
        <v>1.0160000000000001E-6</v>
      </c>
      <c r="AA255" s="140">
        <f t="shared" si="74"/>
        <v>1.2700000000000001E-6</v>
      </c>
      <c r="AB255" s="157">
        <f t="shared" si="75"/>
        <v>0.8</v>
      </c>
      <c r="AC255" s="156">
        <f t="shared" si="76"/>
        <v>9.9999999999999995E-8</v>
      </c>
      <c r="AE255" s="140">
        <f t="shared" si="77"/>
        <v>2.5400000000000001E-5</v>
      </c>
      <c r="AF255">
        <v>2.54</v>
      </c>
      <c r="AG255" s="140">
        <f t="shared" si="78"/>
        <v>2.5399999999999992E-7</v>
      </c>
      <c r="AH255" s="140">
        <f t="shared" si="79"/>
        <v>5.0799999999999994E-7</v>
      </c>
      <c r="AI255" s="140">
        <f t="shared" si="80"/>
        <v>7.6199999999999997E-7</v>
      </c>
      <c r="AJ255" s="140">
        <f t="shared" si="81"/>
        <v>1.0160000000000001E-6</v>
      </c>
      <c r="AK255" s="140">
        <f t="shared" si="82"/>
        <v>1.2700000000000001E-6</v>
      </c>
      <c r="AL255" s="157">
        <f t="shared" si="83"/>
        <v>1.2</v>
      </c>
      <c r="AM255" s="156">
        <f t="shared" si="84"/>
        <v>9.9999999999999995E-8</v>
      </c>
      <c r="AO255" s="140">
        <f t="shared" si="85"/>
        <v>2.5400000000000001E-5</v>
      </c>
      <c r="AP255">
        <v>2.54</v>
      </c>
      <c r="AQ255" s="140">
        <f t="shared" si="86"/>
        <v>2.5399999999999992E-7</v>
      </c>
      <c r="AR255" s="140">
        <f t="shared" si="87"/>
        <v>5.0799999999999994E-7</v>
      </c>
      <c r="AS255" s="140">
        <f t="shared" si="88"/>
        <v>7.6199999999999997E-7</v>
      </c>
      <c r="AT255" s="140">
        <f t="shared" si="89"/>
        <v>1.0160000000000001E-6</v>
      </c>
      <c r="AU255" s="140">
        <f t="shared" si="90"/>
        <v>1.2700000000000001E-6</v>
      </c>
      <c r="AV255" s="157">
        <f t="shared" si="91"/>
        <v>1.2</v>
      </c>
      <c r="AW255" s="156">
        <f t="shared" si="92"/>
        <v>9.9999999999999995E-8</v>
      </c>
      <c r="AY255" s="140">
        <f t="shared" si="93"/>
        <v>2.5400000000000001E-5</v>
      </c>
      <c r="AZ255">
        <v>2.54</v>
      </c>
      <c r="BA255" s="140">
        <f t="shared" si="94"/>
        <v>2.5399999999999992E-7</v>
      </c>
      <c r="BB255" s="140">
        <f t="shared" si="95"/>
        <v>5.0799999999999994E-7</v>
      </c>
      <c r="BC255" s="140">
        <f t="shared" si="96"/>
        <v>7.6199999999999997E-7</v>
      </c>
      <c r="BD255" s="140">
        <f t="shared" si="97"/>
        <v>1.0160000000000001E-6</v>
      </c>
      <c r="BE255" s="140">
        <f t="shared" si="98"/>
        <v>1.2700000000000001E-6</v>
      </c>
      <c r="BF255" s="157">
        <f>IF(AY255&lt;$B$89*DATA!$H$1037,DATA!$H$1037,IF(AY255&gt;DATA!$H$1036*$B$89,DATA!$H$1036,1))</f>
        <v>1.2</v>
      </c>
      <c r="BG255" s="156">
        <f t="shared" si="99"/>
        <v>9.9999999999999995E-8</v>
      </c>
      <c r="BI255" s="140">
        <f t="shared" si="100"/>
        <v>2.5400000000000001E-5</v>
      </c>
      <c r="BJ255">
        <v>2.54</v>
      </c>
      <c r="BK255" s="140">
        <f t="shared" si="101"/>
        <v>2.5399999999999992E-7</v>
      </c>
      <c r="BL255" s="140">
        <f t="shared" si="102"/>
        <v>5.0799999999999994E-7</v>
      </c>
      <c r="BM255" s="140">
        <f t="shared" si="103"/>
        <v>7.6199999999999997E-7</v>
      </c>
      <c r="BN255" s="140">
        <f t="shared" si="104"/>
        <v>1.0160000000000001E-6</v>
      </c>
      <c r="BO255" s="140">
        <f t="shared" si="105"/>
        <v>1.2700000000000001E-6</v>
      </c>
      <c r="BP255" s="157">
        <f>IF(BI255&lt;$B$105*DATA!$H$1037,DATA!$H$1037,IF(BI255&gt;DATA!$H$1036*$B$105,DATA!$H$1036,1))</f>
        <v>1.2</v>
      </c>
      <c r="BQ255" s="156">
        <f t="shared" si="106"/>
        <v>9.9999999999999995E-8</v>
      </c>
    </row>
    <row r="256" spans="1:69">
      <c r="A256" s="140">
        <f t="shared" si="59"/>
        <v>2.5600000000000002E-5</v>
      </c>
      <c r="B256">
        <v>2.56</v>
      </c>
      <c r="C256" s="140">
        <f t="shared" si="109"/>
        <v>2.5599999999999996E-7</v>
      </c>
      <c r="D256" s="140">
        <f t="shared" si="109"/>
        <v>5.1199999999999993E-7</v>
      </c>
      <c r="E256" s="140">
        <f t="shared" si="109"/>
        <v>7.6799999999999999E-7</v>
      </c>
      <c r="F256" s="140">
        <f t="shared" si="109"/>
        <v>1.0240000000000001E-6</v>
      </c>
      <c r="G256" s="140">
        <f t="shared" si="109"/>
        <v>1.2800000000000002E-6</v>
      </c>
      <c r="H256" s="124">
        <f t="shared" si="60"/>
        <v>0.8</v>
      </c>
      <c r="I256" s="156">
        <f t="shared" si="61"/>
        <v>9.9999999999999995E-8</v>
      </c>
      <c r="K256" s="140">
        <f t="shared" si="62"/>
        <v>2.5600000000000002E-5</v>
      </c>
      <c r="L256">
        <v>2.56</v>
      </c>
      <c r="M256" s="140">
        <f t="shared" si="63"/>
        <v>2.5599999999999996E-7</v>
      </c>
      <c r="N256" s="140">
        <f t="shared" si="64"/>
        <v>5.1199999999999993E-7</v>
      </c>
      <c r="O256" s="140">
        <f t="shared" si="65"/>
        <v>7.6799999999999999E-7</v>
      </c>
      <c r="P256" s="140">
        <f t="shared" si="58"/>
        <v>1.0240000000000001E-6</v>
      </c>
      <c r="Q256" s="140">
        <f t="shared" si="66"/>
        <v>1.2800000000000002E-6</v>
      </c>
      <c r="R256" s="157">
        <f t="shared" si="67"/>
        <v>0.8</v>
      </c>
      <c r="S256" s="156">
        <f t="shared" si="68"/>
        <v>9.9999999999999995E-8</v>
      </c>
      <c r="U256" s="140">
        <f t="shared" si="69"/>
        <v>2.5600000000000002E-5</v>
      </c>
      <c r="V256">
        <v>2.56</v>
      </c>
      <c r="W256" s="140">
        <f t="shared" si="70"/>
        <v>2.5599999999999996E-7</v>
      </c>
      <c r="X256" s="140">
        <f t="shared" si="71"/>
        <v>5.1199999999999993E-7</v>
      </c>
      <c r="Y256" s="140">
        <f t="shared" si="72"/>
        <v>7.6799999999999999E-7</v>
      </c>
      <c r="Z256" s="140">
        <f t="shared" si="73"/>
        <v>1.0240000000000001E-6</v>
      </c>
      <c r="AA256" s="140">
        <f t="shared" si="74"/>
        <v>1.2800000000000002E-6</v>
      </c>
      <c r="AB256" s="157">
        <f t="shared" si="75"/>
        <v>0.8</v>
      </c>
      <c r="AC256" s="156">
        <f t="shared" si="76"/>
        <v>9.9999999999999995E-8</v>
      </c>
      <c r="AE256" s="140">
        <f t="shared" si="77"/>
        <v>2.5600000000000002E-5</v>
      </c>
      <c r="AF256">
        <v>2.56</v>
      </c>
      <c r="AG256" s="140">
        <f t="shared" si="78"/>
        <v>2.5599999999999996E-7</v>
      </c>
      <c r="AH256" s="140">
        <f t="shared" si="79"/>
        <v>5.1199999999999993E-7</v>
      </c>
      <c r="AI256" s="140">
        <f t="shared" si="80"/>
        <v>7.6799999999999999E-7</v>
      </c>
      <c r="AJ256" s="140">
        <f t="shared" si="81"/>
        <v>1.0240000000000001E-6</v>
      </c>
      <c r="AK256" s="140">
        <f t="shared" si="82"/>
        <v>1.2800000000000002E-6</v>
      </c>
      <c r="AL256" s="157">
        <f t="shared" si="83"/>
        <v>1.2</v>
      </c>
      <c r="AM256" s="156">
        <f t="shared" si="84"/>
        <v>9.9999999999999995E-8</v>
      </c>
      <c r="AO256" s="140">
        <f t="shared" si="85"/>
        <v>2.5600000000000002E-5</v>
      </c>
      <c r="AP256">
        <v>2.56</v>
      </c>
      <c r="AQ256" s="140">
        <f t="shared" si="86"/>
        <v>2.5599999999999996E-7</v>
      </c>
      <c r="AR256" s="140">
        <f t="shared" si="87"/>
        <v>5.1199999999999993E-7</v>
      </c>
      <c r="AS256" s="140">
        <f t="shared" si="88"/>
        <v>7.6799999999999999E-7</v>
      </c>
      <c r="AT256" s="140">
        <f t="shared" si="89"/>
        <v>1.0240000000000001E-6</v>
      </c>
      <c r="AU256" s="140">
        <f t="shared" si="90"/>
        <v>1.2800000000000002E-6</v>
      </c>
      <c r="AV256" s="157">
        <f t="shared" si="91"/>
        <v>1.2</v>
      </c>
      <c r="AW256" s="156">
        <f t="shared" si="92"/>
        <v>9.9999999999999995E-8</v>
      </c>
      <c r="AY256" s="140">
        <f t="shared" si="93"/>
        <v>2.5600000000000002E-5</v>
      </c>
      <c r="AZ256">
        <v>2.56</v>
      </c>
      <c r="BA256" s="140">
        <f t="shared" si="94"/>
        <v>2.5599999999999996E-7</v>
      </c>
      <c r="BB256" s="140">
        <f t="shared" si="95"/>
        <v>5.1199999999999993E-7</v>
      </c>
      <c r="BC256" s="140">
        <f t="shared" si="96"/>
        <v>7.6799999999999999E-7</v>
      </c>
      <c r="BD256" s="140">
        <f t="shared" si="97"/>
        <v>1.0240000000000001E-6</v>
      </c>
      <c r="BE256" s="140">
        <f t="shared" si="98"/>
        <v>1.2800000000000002E-6</v>
      </c>
      <c r="BF256" s="157">
        <f>IF(AY256&lt;$B$89*DATA!$H$1037,DATA!$H$1037,IF(AY256&gt;DATA!$H$1036*$B$89,DATA!$H$1036,1))</f>
        <v>1.2</v>
      </c>
      <c r="BG256" s="156">
        <f t="shared" si="99"/>
        <v>9.9999999999999995E-8</v>
      </c>
      <c r="BI256" s="140">
        <f t="shared" si="100"/>
        <v>2.5600000000000002E-5</v>
      </c>
      <c r="BJ256">
        <v>2.56</v>
      </c>
      <c r="BK256" s="140">
        <f t="shared" si="101"/>
        <v>2.5599999999999996E-7</v>
      </c>
      <c r="BL256" s="140">
        <f t="shared" si="102"/>
        <v>5.1199999999999993E-7</v>
      </c>
      <c r="BM256" s="140">
        <f t="shared" si="103"/>
        <v>7.6799999999999999E-7</v>
      </c>
      <c r="BN256" s="140">
        <f t="shared" si="104"/>
        <v>1.0240000000000001E-6</v>
      </c>
      <c r="BO256" s="140">
        <f t="shared" si="105"/>
        <v>1.2800000000000002E-6</v>
      </c>
      <c r="BP256" s="157">
        <f>IF(BI256&lt;$B$105*DATA!$H$1037,DATA!$H$1037,IF(BI256&gt;DATA!$H$1036*$B$105,DATA!$H$1036,1))</f>
        <v>1.2</v>
      </c>
      <c r="BQ256" s="156">
        <f t="shared" si="106"/>
        <v>9.9999999999999995E-8</v>
      </c>
    </row>
    <row r="257" spans="1:69">
      <c r="A257" s="140">
        <f t="shared" si="59"/>
        <v>2.5800000000000004E-5</v>
      </c>
      <c r="B257">
        <v>2.58</v>
      </c>
      <c r="C257" s="140">
        <f t="shared" si="109"/>
        <v>2.5799999999999995E-7</v>
      </c>
      <c r="D257" s="140">
        <f t="shared" si="109"/>
        <v>5.1600000000000001E-7</v>
      </c>
      <c r="E257" s="140">
        <f t="shared" si="109"/>
        <v>7.7400000000000013E-7</v>
      </c>
      <c r="F257" s="140">
        <f t="shared" si="109"/>
        <v>1.0320000000000002E-6</v>
      </c>
      <c r="G257" s="140">
        <f t="shared" si="109"/>
        <v>1.2900000000000004E-6</v>
      </c>
      <c r="H257" s="124">
        <f t="shared" si="60"/>
        <v>0.8</v>
      </c>
      <c r="I257" s="156">
        <f t="shared" si="61"/>
        <v>9.9999999999999995E-8</v>
      </c>
      <c r="K257" s="140">
        <f t="shared" si="62"/>
        <v>2.5800000000000004E-5</v>
      </c>
      <c r="L257">
        <v>2.58</v>
      </c>
      <c r="M257" s="140">
        <f t="shared" si="63"/>
        <v>2.5799999999999995E-7</v>
      </c>
      <c r="N257" s="140">
        <f t="shared" si="64"/>
        <v>5.1600000000000001E-7</v>
      </c>
      <c r="O257" s="140">
        <f t="shared" si="65"/>
        <v>7.7400000000000013E-7</v>
      </c>
      <c r="P257" s="140">
        <f t="shared" si="58"/>
        <v>1.0320000000000002E-6</v>
      </c>
      <c r="Q257" s="140">
        <f t="shared" si="66"/>
        <v>1.2900000000000004E-6</v>
      </c>
      <c r="R257" s="157">
        <f t="shared" si="67"/>
        <v>0.8</v>
      </c>
      <c r="S257" s="156">
        <f t="shared" si="68"/>
        <v>9.9999999999999995E-8</v>
      </c>
      <c r="U257" s="140">
        <f t="shared" si="69"/>
        <v>2.5800000000000004E-5</v>
      </c>
      <c r="V257">
        <v>2.58</v>
      </c>
      <c r="W257" s="140">
        <f t="shared" si="70"/>
        <v>2.5799999999999995E-7</v>
      </c>
      <c r="X257" s="140">
        <f t="shared" si="71"/>
        <v>5.1600000000000001E-7</v>
      </c>
      <c r="Y257" s="140">
        <f t="shared" si="72"/>
        <v>7.7400000000000013E-7</v>
      </c>
      <c r="Z257" s="140">
        <f t="shared" si="73"/>
        <v>1.0320000000000002E-6</v>
      </c>
      <c r="AA257" s="140">
        <f t="shared" si="74"/>
        <v>1.2900000000000004E-6</v>
      </c>
      <c r="AB257" s="157">
        <f t="shared" si="75"/>
        <v>0.8</v>
      </c>
      <c r="AC257" s="156">
        <f t="shared" si="76"/>
        <v>9.9999999999999995E-8</v>
      </c>
      <c r="AE257" s="140">
        <f t="shared" si="77"/>
        <v>2.5800000000000004E-5</v>
      </c>
      <c r="AF257">
        <v>2.58</v>
      </c>
      <c r="AG257" s="140">
        <f t="shared" si="78"/>
        <v>2.5799999999999995E-7</v>
      </c>
      <c r="AH257" s="140">
        <f t="shared" si="79"/>
        <v>5.1600000000000001E-7</v>
      </c>
      <c r="AI257" s="140">
        <f t="shared" si="80"/>
        <v>7.7400000000000013E-7</v>
      </c>
      <c r="AJ257" s="140">
        <f t="shared" si="81"/>
        <v>1.0320000000000002E-6</v>
      </c>
      <c r="AK257" s="140">
        <f t="shared" si="82"/>
        <v>1.2900000000000004E-6</v>
      </c>
      <c r="AL257" s="157">
        <f t="shared" si="83"/>
        <v>1.2</v>
      </c>
      <c r="AM257" s="156">
        <f t="shared" si="84"/>
        <v>9.9999999999999995E-8</v>
      </c>
      <c r="AO257" s="140">
        <f t="shared" si="85"/>
        <v>2.5800000000000004E-5</v>
      </c>
      <c r="AP257">
        <v>2.58</v>
      </c>
      <c r="AQ257" s="140">
        <f t="shared" si="86"/>
        <v>2.5799999999999995E-7</v>
      </c>
      <c r="AR257" s="140">
        <f t="shared" si="87"/>
        <v>5.1600000000000001E-7</v>
      </c>
      <c r="AS257" s="140">
        <f t="shared" si="88"/>
        <v>7.7400000000000013E-7</v>
      </c>
      <c r="AT257" s="140">
        <f t="shared" si="89"/>
        <v>1.0320000000000002E-6</v>
      </c>
      <c r="AU257" s="140">
        <f t="shared" si="90"/>
        <v>1.2900000000000004E-6</v>
      </c>
      <c r="AV257" s="157">
        <f t="shared" si="91"/>
        <v>1.2</v>
      </c>
      <c r="AW257" s="156">
        <f t="shared" si="92"/>
        <v>9.9999999999999995E-8</v>
      </c>
      <c r="AY257" s="140">
        <f t="shared" si="93"/>
        <v>2.5800000000000004E-5</v>
      </c>
      <c r="AZ257">
        <v>2.58</v>
      </c>
      <c r="BA257" s="140">
        <f t="shared" si="94"/>
        <v>2.5799999999999995E-7</v>
      </c>
      <c r="BB257" s="140">
        <f t="shared" si="95"/>
        <v>5.1600000000000001E-7</v>
      </c>
      <c r="BC257" s="140">
        <f t="shared" si="96"/>
        <v>7.7400000000000013E-7</v>
      </c>
      <c r="BD257" s="140">
        <f t="shared" si="97"/>
        <v>1.0320000000000002E-6</v>
      </c>
      <c r="BE257" s="140">
        <f t="shared" si="98"/>
        <v>1.2900000000000004E-6</v>
      </c>
      <c r="BF257" s="157">
        <f>IF(AY257&lt;$B$89*DATA!$H$1037,DATA!$H$1037,IF(AY257&gt;DATA!$H$1036*$B$89,DATA!$H$1036,1))</f>
        <v>1.2</v>
      </c>
      <c r="BG257" s="156">
        <f t="shared" si="99"/>
        <v>9.9999999999999995E-8</v>
      </c>
      <c r="BI257" s="140">
        <f t="shared" si="100"/>
        <v>2.5800000000000004E-5</v>
      </c>
      <c r="BJ257">
        <v>2.58</v>
      </c>
      <c r="BK257" s="140">
        <f t="shared" si="101"/>
        <v>2.5799999999999995E-7</v>
      </c>
      <c r="BL257" s="140">
        <f t="shared" si="102"/>
        <v>5.1600000000000001E-7</v>
      </c>
      <c r="BM257" s="140">
        <f t="shared" si="103"/>
        <v>7.7400000000000013E-7</v>
      </c>
      <c r="BN257" s="140">
        <f t="shared" si="104"/>
        <v>1.0320000000000002E-6</v>
      </c>
      <c r="BO257" s="140">
        <f t="shared" si="105"/>
        <v>1.2900000000000004E-6</v>
      </c>
      <c r="BP257" s="157">
        <f>IF(BI257&lt;$B$105*DATA!$H$1037,DATA!$H$1037,IF(BI257&gt;DATA!$H$1036*$B$105,DATA!$H$1036,1))</f>
        <v>1.2</v>
      </c>
      <c r="BQ257" s="156">
        <f t="shared" si="106"/>
        <v>9.9999999999999995E-8</v>
      </c>
    </row>
    <row r="258" spans="1:69">
      <c r="A258" s="140">
        <f t="shared" si="59"/>
        <v>2.6000000000000002E-5</v>
      </c>
      <c r="B258">
        <v>2.6</v>
      </c>
      <c r="C258" s="140">
        <f t="shared" si="109"/>
        <v>2.5999999999999995E-7</v>
      </c>
      <c r="D258" s="140">
        <f t="shared" si="109"/>
        <v>5.2E-7</v>
      </c>
      <c r="E258" s="140">
        <f t="shared" si="109"/>
        <v>7.8000000000000005E-7</v>
      </c>
      <c r="F258" s="140">
        <f t="shared" si="109"/>
        <v>1.04E-6</v>
      </c>
      <c r="G258" s="140">
        <f t="shared" si="109"/>
        <v>1.3000000000000003E-6</v>
      </c>
      <c r="H258" s="124">
        <f t="shared" si="60"/>
        <v>0.8</v>
      </c>
      <c r="I258" s="156">
        <f t="shared" si="61"/>
        <v>9.9999999999999995E-8</v>
      </c>
      <c r="K258" s="140">
        <f t="shared" si="62"/>
        <v>2.6000000000000002E-5</v>
      </c>
      <c r="L258">
        <v>2.6</v>
      </c>
      <c r="M258" s="140">
        <f t="shared" si="63"/>
        <v>2.5999999999999995E-7</v>
      </c>
      <c r="N258" s="140">
        <f t="shared" si="64"/>
        <v>5.2E-7</v>
      </c>
      <c r="O258" s="140">
        <f t="shared" si="65"/>
        <v>7.8000000000000005E-7</v>
      </c>
      <c r="P258" s="140">
        <f t="shared" si="58"/>
        <v>1.04E-6</v>
      </c>
      <c r="Q258" s="140">
        <f t="shared" si="66"/>
        <v>1.3000000000000003E-6</v>
      </c>
      <c r="R258" s="157">
        <f t="shared" si="67"/>
        <v>0.8</v>
      </c>
      <c r="S258" s="156">
        <f t="shared" si="68"/>
        <v>9.9999999999999995E-8</v>
      </c>
      <c r="U258" s="140">
        <f t="shared" si="69"/>
        <v>2.6000000000000002E-5</v>
      </c>
      <c r="V258">
        <v>2.6</v>
      </c>
      <c r="W258" s="140">
        <f t="shared" si="70"/>
        <v>2.5999999999999995E-7</v>
      </c>
      <c r="X258" s="140">
        <f t="shared" si="71"/>
        <v>5.2E-7</v>
      </c>
      <c r="Y258" s="140">
        <f t="shared" si="72"/>
        <v>7.8000000000000005E-7</v>
      </c>
      <c r="Z258" s="140">
        <f t="shared" si="73"/>
        <v>1.04E-6</v>
      </c>
      <c r="AA258" s="140">
        <f t="shared" si="74"/>
        <v>1.3000000000000003E-6</v>
      </c>
      <c r="AB258" s="157">
        <f t="shared" si="75"/>
        <v>0.8</v>
      </c>
      <c r="AC258" s="156">
        <f t="shared" si="76"/>
        <v>9.9999999999999995E-8</v>
      </c>
      <c r="AE258" s="140">
        <f t="shared" si="77"/>
        <v>2.6000000000000002E-5</v>
      </c>
      <c r="AF258">
        <v>2.6</v>
      </c>
      <c r="AG258" s="140">
        <f t="shared" si="78"/>
        <v>2.5999999999999995E-7</v>
      </c>
      <c r="AH258" s="140">
        <f t="shared" si="79"/>
        <v>5.2E-7</v>
      </c>
      <c r="AI258" s="140">
        <f t="shared" si="80"/>
        <v>7.8000000000000005E-7</v>
      </c>
      <c r="AJ258" s="140">
        <f t="shared" si="81"/>
        <v>1.04E-6</v>
      </c>
      <c r="AK258" s="140">
        <f t="shared" si="82"/>
        <v>1.3000000000000003E-6</v>
      </c>
      <c r="AL258" s="157">
        <f t="shared" si="83"/>
        <v>1.2</v>
      </c>
      <c r="AM258" s="156">
        <f t="shared" si="84"/>
        <v>9.9999999999999995E-8</v>
      </c>
      <c r="AO258" s="140">
        <f t="shared" si="85"/>
        <v>2.6000000000000002E-5</v>
      </c>
      <c r="AP258">
        <v>2.6</v>
      </c>
      <c r="AQ258" s="140">
        <f t="shared" si="86"/>
        <v>2.5999999999999995E-7</v>
      </c>
      <c r="AR258" s="140">
        <f t="shared" si="87"/>
        <v>5.2E-7</v>
      </c>
      <c r="AS258" s="140">
        <f t="shared" si="88"/>
        <v>7.8000000000000005E-7</v>
      </c>
      <c r="AT258" s="140">
        <f t="shared" si="89"/>
        <v>1.04E-6</v>
      </c>
      <c r="AU258" s="140">
        <f t="shared" si="90"/>
        <v>1.3000000000000003E-6</v>
      </c>
      <c r="AV258" s="157">
        <f t="shared" si="91"/>
        <v>1.2</v>
      </c>
      <c r="AW258" s="156">
        <f t="shared" si="92"/>
        <v>9.9999999999999995E-8</v>
      </c>
      <c r="AY258" s="140">
        <f t="shared" si="93"/>
        <v>2.6000000000000002E-5</v>
      </c>
      <c r="AZ258">
        <v>2.6</v>
      </c>
      <c r="BA258" s="140">
        <f t="shared" si="94"/>
        <v>2.5999999999999995E-7</v>
      </c>
      <c r="BB258" s="140">
        <f t="shared" si="95"/>
        <v>5.2E-7</v>
      </c>
      <c r="BC258" s="140">
        <f t="shared" si="96"/>
        <v>7.8000000000000005E-7</v>
      </c>
      <c r="BD258" s="140">
        <f t="shared" si="97"/>
        <v>1.04E-6</v>
      </c>
      <c r="BE258" s="140">
        <f t="shared" si="98"/>
        <v>1.3000000000000003E-6</v>
      </c>
      <c r="BF258" s="157">
        <f>IF(AY258&lt;$B$89*DATA!$H$1037,DATA!$H$1037,IF(AY258&gt;DATA!$H$1036*$B$89,DATA!$H$1036,1))</f>
        <v>1.2</v>
      </c>
      <c r="BG258" s="156">
        <f t="shared" si="99"/>
        <v>9.9999999999999995E-8</v>
      </c>
      <c r="BI258" s="140">
        <f t="shared" si="100"/>
        <v>2.6000000000000002E-5</v>
      </c>
      <c r="BJ258">
        <v>2.6</v>
      </c>
      <c r="BK258" s="140">
        <f t="shared" si="101"/>
        <v>2.5999999999999995E-7</v>
      </c>
      <c r="BL258" s="140">
        <f t="shared" si="102"/>
        <v>5.2E-7</v>
      </c>
      <c r="BM258" s="140">
        <f t="shared" si="103"/>
        <v>7.8000000000000005E-7</v>
      </c>
      <c r="BN258" s="140">
        <f t="shared" si="104"/>
        <v>1.04E-6</v>
      </c>
      <c r="BO258" s="140">
        <f t="shared" si="105"/>
        <v>1.3000000000000003E-6</v>
      </c>
      <c r="BP258" s="157">
        <f>IF(BI258&lt;$B$105*DATA!$H$1037,DATA!$H$1037,IF(BI258&gt;DATA!$H$1036*$B$105,DATA!$H$1036,1))</f>
        <v>1.2</v>
      </c>
      <c r="BQ258" s="156">
        <f t="shared" si="106"/>
        <v>9.9999999999999995E-8</v>
      </c>
    </row>
    <row r="259" spans="1:69">
      <c r="A259" s="140">
        <f t="shared" si="59"/>
        <v>2.6200000000000003E-5</v>
      </c>
      <c r="B259">
        <v>2.62</v>
      </c>
      <c r="C259" s="140">
        <f t="shared" si="109"/>
        <v>2.6199999999999994E-7</v>
      </c>
      <c r="D259" s="140">
        <f t="shared" si="109"/>
        <v>5.2399999999999998E-7</v>
      </c>
      <c r="E259" s="140">
        <f t="shared" si="109"/>
        <v>7.8600000000000008E-7</v>
      </c>
      <c r="F259" s="140">
        <f t="shared" si="109"/>
        <v>1.0480000000000002E-6</v>
      </c>
      <c r="G259" s="140">
        <f t="shared" si="109"/>
        <v>1.3100000000000002E-6</v>
      </c>
      <c r="H259" s="124">
        <f t="shared" si="60"/>
        <v>0.8</v>
      </c>
      <c r="I259" s="156">
        <f t="shared" si="61"/>
        <v>9.9999999999999995E-8</v>
      </c>
      <c r="K259" s="140">
        <f t="shared" si="62"/>
        <v>2.6200000000000003E-5</v>
      </c>
      <c r="L259">
        <v>2.62</v>
      </c>
      <c r="M259" s="140">
        <f t="shared" si="63"/>
        <v>2.6199999999999994E-7</v>
      </c>
      <c r="N259" s="140">
        <f t="shared" si="64"/>
        <v>5.2399999999999998E-7</v>
      </c>
      <c r="O259" s="140">
        <f t="shared" si="65"/>
        <v>7.8600000000000008E-7</v>
      </c>
      <c r="P259" s="140">
        <f t="shared" si="58"/>
        <v>1.0480000000000002E-6</v>
      </c>
      <c r="Q259" s="140">
        <f t="shared" si="66"/>
        <v>1.3100000000000002E-6</v>
      </c>
      <c r="R259" s="157">
        <f t="shared" si="67"/>
        <v>0.8</v>
      </c>
      <c r="S259" s="156">
        <f t="shared" si="68"/>
        <v>9.9999999999999995E-8</v>
      </c>
      <c r="U259" s="140">
        <f t="shared" si="69"/>
        <v>2.6200000000000003E-5</v>
      </c>
      <c r="V259">
        <v>2.62</v>
      </c>
      <c r="W259" s="140">
        <f t="shared" si="70"/>
        <v>2.6199999999999994E-7</v>
      </c>
      <c r="X259" s="140">
        <f t="shared" si="71"/>
        <v>5.2399999999999998E-7</v>
      </c>
      <c r="Y259" s="140">
        <f t="shared" si="72"/>
        <v>7.8600000000000008E-7</v>
      </c>
      <c r="Z259" s="140">
        <f t="shared" si="73"/>
        <v>1.0480000000000002E-6</v>
      </c>
      <c r="AA259" s="140">
        <f t="shared" si="74"/>
        <v>1.3100000000000002E-6</v>
      </c>
      <c r="AB259" s="157">
        <f t="shared" si="75"/>
        <v>0.8</v>
      </c>
      <c r="AC259" s="156">
        <f t="shared" si="76"/>
        <v>9.9999999999999995E-8</v>
      </c>
      <c r="AE259" s="140">
        <f t="shared" si="77"/>
        <v>2.6200000000000003E-5</v>
      </c>
      <c r="AF259">
        <v>2.62</v>
      </c>
      <c r="AG259" s="140">
        <f t="shared" si="78"/>
        <v>2.6199999999999994E-7</v>
      </c>
      <c r="AH259" s="140">
        <f t="shared" si="79"/>
        <v>5.2399999999999998E-7</v>
      </c>
      <c r="AI259" s="140">
        <f t="shared" si="80"/>
        <v>7.8600000000000008E-7</v>
      </c>
      <c r="AJ259" s="140">
        <f t="shared" si="81"/>
        <v>1.0480000000000002E-6</v>
      </c>
      <c r="AK259" s="140">
        <f t="shared" si="82"/>
        <v>1.3100000000000002E-6</v>
      </c>
      <c r="AL259" s="157">
        <f t="shared" si="83"/>
        <v>1.2</v>
      </c>
      <c r="AM259" s="156">
        <f t="shared" si="84"/>
        <v>9.9999999999999995E-8</v>
      </c>
      <c r="AO259" s="140">
        <f t="shared" si="85"/>
        <v>2.6200000000000003E-5</v>
      </c>
      <c r="AP259">
        <v>2.62</v>
      </c>
      <c r="AQ259" s="140">
        <f t="shared" si="86"/>
        <v>2.6199999999999994E-7</v>
      </c>
      <c r="AR259" s="140">
        <f t="shared" si="87"/>
        <v>5.2399999999999998E-7</v>
      </c>
      <c r="AS259" s="140">
        <f t="shared" si="88"/>
        <v>7.8600000000000008E-7</v>
      </c>
      <c r="AT259" s="140">
        <f t="shared" si="89"/>
        <v>1.0480000000000002E-6</v>
      </c>
      <c r="AU259" s="140">
        <f t="shared" si="90"/>
        <v>1.3100000000000002E-6</v>
      </c>
      <c r="AV259" s="157">
        <f t="shared" si="91"/>
        <v>1.2</v>
      </c>
      <c r="AW259" s="156">
        <f t="shared" si="92"/>
        <v>9.9999999999999995E-8</v>
      </c>
      <c r="AY259" s="140">
        <f t="shared" si="93"/>
        <v>2.6200000000000003E-5</v>
      </c>
      <c r="AZ259">
        <v>2.62</v>
      </c>
      <c r="BA259" s="140">
        <f t="shared" si="94"/>
        <v>2.6199999999999994E-7</v>
      </c>
      <c r="BB259" s="140">
        <f t="shared" si="95"/>
        <v>5.2399999999999998E-7</v>
      </c>
      <c r="BC259" s="140">
        <f t="shared" si="96"/>
        <v>7.8600000000000008E-7</v>
      </c>
      <c r="BD259" s="140">
        <f t="shared" si="97"/>
        <v>1.0480000000000002E-6</v>
      </c>
      <c r="BE259" s="140">
        <f t="shared" si="98"/>
        <v>1.3100000000000002E-6</v>
      </c>
      <c r="BF259" s="157">
        <f>IF(AY259&lt;$B$89*DATA!$H$1037,DATA!$H$1037,IF(AY259&gt;DATA!$H$1036*$B$89,DATA!$H$1036,1))</f>
        <v>1.2</v>
      </c>
      <c r="BG259" s="156">
        <f t="shared" si="99"/>
        <v>9.9999999999999995E-8</v>
      </c>
      <c r="BI259" s="140">
        <f t="shared" si="100"/>
        <v>2.6200000000000003E-5</v>
      </c>
      <c r="BJ259">
        <v>2.62</v>
      </c>
      <c r="BK259" s="140">
        <f t="shared" si="101"/>
        <v>2.6199999999999994E-7</v>
      </c>
      <c r="BL259" s="140">
        <f t="shared" si="102"/>
        <v>5.2399999999999998E-7</v>
      </c>
      <c r="BM259" s="140">
        <f t="shared" si="103"/>
        <v>7.8600000000000008E-7</v>
      </c>
      <c r="BN259" s="140">
        <f t="shared" si="104"/>
        <v>1.0480000000000002E-6</v>
      </c>
      <c r="BO259" s="140">
        <f t="shared" si="105"/>
        <v>1.3100000000000002E-6</v>
      </c>
      <c r="BP259" s="157">
        <f>IF(BI259&lt;$B$105*DATA!$H$1037,DATA!$H$1037,IF(BI259&gt;DATA!$H$1036*$B$105,DATA!$H$1036,1))</f>
        <v>1.2</v>
      </c>
      <c r="BQ259" s="156">
        <f t="shared" si="106"/>
        <v>9.9999999999999995E-8</v>
      </c>
    </row>
    <row r="260" spans="1:69">
      <c r="A260" s="140">
        <f t="shared" si="59"/>
        <v>2.6400000000000005E-5</v>
      </c>
      <c r="B260">
        <v>2.64</v>
      </c>
      <c r="C260" s="140">
        <f t="shared" si="109"/>
        <v>2.6399999999999998E-7</v>
      </c>
      <c r="D260" s="140">
        <f t="shared" si="109"/>
        <v>5.2799999999999996E-7</v>
      </c>
      <c r="E260" s="140">
        <f t="shared" si="109"/>
        <v>7.920000000000001E-7</v>
      </c>
      <c r="F260" s="140">
        <f t="shared" si="109"/>
        <v>1.0560000000000001E-6</v>
      </c>
      <c r="G260" s="140">
        <f t="shared" si="109"/>
        <v>1.3200000000000003E-6</v>
      </c>
      <c r="H260" s="124">
        <f t="shared" si="60"/>
        <v>0.8</v>
      </c>
      <c r="I260" s="156">
        <f t="shared" si="61"/>
        <v>9.9999999999999995E-8</v>
      </c>
      <c r="K260" s="140">
        <f t="shared" si="62"/>
        <v>2.6400000000000005E-5</v>
      </c>
      <c r="L260">
        <v>2.64</v>
      </c>
      <c r="M260" s="140">
        <f t="shared" si="63"/>
        <v>2.6399999999999998E-7</v>
      </c>
      <c r="N260" s="140">
        <f t="shared" si="64"/>
        <v>5.2799999999999996E-7</v>
      </c>
      <c r="O260" s="140">
        <f t="shared" si="65"/>
        <v>7.920000000000001E-7</v>
      </c>
      <c r="P260" s="140">
        <f t="shared" si="58"/>
        <v>1.0560000000000001E-6</v>
      </c>
      <c r="Q260" s="140">
        <f t="shared" si="66"/>
        <v>1.3200000000000003E-6</v>
      </c>
      <c r="R260" s="157">
        <f t="shared" si="67"/>
        <v>0.8</v>
      </c>
      <c r="S260" s="156">
        <f t="shared" si="68"/>
        <v>9.9999999999999995E-8</v>
      </c>
      <c r="U260" s="140">
        <f t="shared" si="69"/>
        <v>2.6400000000000005E-5</v>
      </c>
      <c r="V260">
        <v>2.64</v>
      </c>
      <c r="W260" s="140">
        <f t="shared" si="70"/>
        <v>2.6399999999999998E-7</v>
      </c>
      <c r="X260" s="140">
        <f t="shared" si="71"/>
        <v>5.2799999999999996E-7</v>
      </c>
      <c r="Y260" s="140">
        <f t="shared" si="72"/>
        <v>7.920000000000001E-7</v>
      </c>
      <c r="Z260" s="140">
        <f t="shared" si="73"/>
        <v>1.0560000000000001E-6</v>
      </c>
      <c r="AA260" s="140">
        <f t="shared" si="74"/>
        <v>1.3200000000000003E-6</v>
      </c>
      <c r="AB260" s="157">
        <f t="shared" si="75"/>
        <v>0.8</v>
      </c>
      <c r="AC260" s="156">
        <f t="shared" si="76"/>
        <v>9.9999999999999995E-8</v>
      </c>
      <c r="AE260" s="140">
        <f t="shared" si="77"/>
        <v>2.6400000000000005E-5</v>
      </c>
      <c r="AF260">
        <v>2.64</v>
      </c>
      <c r="AG260" s="140">
        <f t="shared" si="78"/>
        <v>2.6399999999999998E-7</v>
      </c>
      <c r="AH260" s="140">
        <f t="shared" si="79"/>
        <v>5.2799999999999996E-7</v>
      </c>
      <c r="AI260" s="140">
        <f t="shared" si="80"/>
        <v>7.920000000000001E-7</v>
      </c>
      <c r="AJ260" s="140">
        <f t="shared" si="81"/>
        <v>1.0560000000000001E-6</v>
      </c>
      <c r="AK260" s="140">
        <f t="shared" si="82"/>
        <v>1.3200000000000003E-6</v>
      </c>
      <c r="AL260" s="157">
        <f t="shared" si="83"/>
        <v>1.2</v>
      </c>
      <c r="AM260" s="156">
        <f t="shared" si="84"/>
        <v>9.9999999999999995E-8</v>
      </c>
      <c r="AO260" s="140">
        <f t="shared" si="85"/>
        <v>2.6400000000000005E-5</v>
      </c>
      <c r="AP260">
        <v>2.64</v>
      </c>
      <c r="AQ260" s="140">
        <f t="shared" si="86"/>
        <v>2.6399999999999998E-7</v>
      </c>
      <c r="AR260" s="140">
        <f t="shared" si="87"/>
        <v>5.2799999999999996E-7</v>
      </c>
      <c r="AS260" s="140">
        <f t="shared" si="88"/>
        <v>7.920000000000001E-7</v>
      </c>
      <c r="AT260" s="140">
        <f t="shared" si="89"/>
        <v>1.0560000000000001E-6</v>
      </c>
      <c r="AU260" s="140">
        <f t="shared" si="90"/>
        <v>1.3200000000000003E-6</v>
      </c>
      <c r="AV260" s="157">
        <f t="shared" si="91"/>
        <v>1.2</v>
      </c>
      <c r="AW260" s="156">
        <f t="shared" si="92"/>
        <v>9.9999999999999995E-8</v>
      </c>
      <c r="AY260" s="140">
        <f t="shared" si="93"/>
        <v>2.6400000000000005E-5</v>
      </c>
      <c r="AZ260">
        <v>2.64</v>
      </c>
      <c r="BA260" s="140">
        <f t="shared" si="94"/>
        <v>2.6399999999999998E-7</v>
      </c>
      <c r="BB260" s="140">
        <f t="shared" si="95"/>
        <v>5.2799999999999996E-7</v>
      </c>
      <c r="BC260" s="140">
        <f t="shared" si="96"/>
        <v>7.920000000000001E-7</v>
      </c>
      <c r="BD260" s="140">
        <f t="shared" si="97"/>
        <v>1.0560000000000001E-6</v>
      </c>
      <c r="BE260" s="140">
        <f t="shared" si="98"/>
        <v>1.3200000000000003E-6</v>
      </c>
      <c r="BF260" s="157">
        <f>IF(AY260&lt;$B$89*DATA!$H$1037,DATA!$H$1037,IF(AY260&gt;DATA!$H$1036*$B$89,DATA!$H$1036,1))</f>
        <v>1.2</v>
      </c>
      <c r="BG260" s="156">
        <f t="shared" si="99"/>
        <v>9.9999999999999995E-8</v>
      </c>
      <c r="BI260" s="140">
        <f t="shared" si="100"/>
        <v>2.6400000000000005E-5</v>
      </c>
      <c r="BJ260">
        <v>2.64</v>
      </c>
      <c r="BK260" s="140">
        <f t="shared" si="101"/>
        <v>2.6399999999999998E-7</v>
      </c>
      <c r="BL260" s="140">
        <f t="shared" si="102"/>
        <v>5.2799999999999996E-7</v>
      </c>
      <c r="BM260" s="140">
        <f t="shared" si="103"/>
        <v>7.920000000000001E-7</v>
      </c>
      <c r="BN260" s="140">
        <f t="shared" si="104"/>
        <v>1.0560000000000001E-6</v>
      </c>
      <c r="BO260" s="140">
        <f t="shared" si="105"/>
        <v>1.3200000000000003E-6</v>
      </c>
      <c r="BP260" s="157">
        <f>IF(BI260&lt;$B$105*DATA!$H$1037,DATA!$H$1037,IF(BI260&gt;DATA!$H$1036*$B$105,DATA!$H$1036,1))</f>
        <v>1.2</v>
      </c>
      <c r="BQ260" s="156">
        <f t="shared" si="106"/>
        <v>9.9999999999999995E-8</v>
      </c>
    </row>
    <row r="261" spans="1:69">
      <c r="A261" s="140">
        <f t="shared" si="59"/>
        <v>2.6600000000000003E-5</v>
      </c>
      <c r="B261">
        <v>2.66</v>
      </c>
      <c r="C261" s="140">
        <f t="shared" si="109"/>
        <v>2.6599999999999992E-7</v>
      </c>
      <c r="D261" s="140">
        <f t="shared" si="109"/>
        <v>5.3199999999999995E-7</v>
      </c>
      <c r="E261" s="140">
        <f t="shared" si="109"/>
        <v>7.9800000000000003E-7</v>
      </c>
      <c r="F261" s="140">
        <f t="shared" si="109"/>
        <v>1.0640000000000001E-6</v>
      </c>
      <c r="G261" s="140">
        <f t="shared" si="109"/>
        <v>1.3300000000000002E-6</v>
      </c>
      <c r="H261" s="124">
        <f t="shared" si="60"/>
        <v>0.8</v>
      </c>
      <c r="I261" s="156">
        <f t="shared" si="61"/>
        <v>9.9999999999999995E-8</v>
      </c>
      <c r="K261" s="140">
        <f t="shared" si="62"/>
        <v>2.6600000000000003E-5</v>
      </c>
      <c r="L261">
        <v>2.66</v>
      </c>
      <c r="M261" s="140">
        <f t="shared" si="63"/>
        <v>2.6599999999999992E-7</v>
      </c>
      <c r="N261" s="140">
        <f t="shared" si="64"/>
        <v>5.3199999999999995E-7</v>
      </c>
      <c r="O261" s="140">
        <f t="shared" si="65"/>
        <v>7.9800000000000003E-7</v>
      </c>
      <c r="P261" s="140">
        <f t="shared" si="58"/>
        <v>1.0640000000000001E-6</v>
      </c>
      <c r="Q261" s="140">
        <f t="shared" si="66"/>
        <v>1.3300000000000002E-6</v>
      </c>
      <c r="R261" s="157">
        <f t="shared" si="67"/>
        <v>0.8</v>
      </c>
      <c r="S261" s="156">
        <f t="shared" si="68"/>
        <v>9.9999999999999995E-8</v>
      </c>
      <c r="U261" s="140">
        <f t="shared" si="69"/>
        <v>2.6600000000000003E-5</v>
      </c>
      <c r="V261">
        <v>2.66</v>
      </c>
      <c r="W261" s="140">
        <f t="shared" si="70"/>
        <v>2.6599999999999992E-7</v>
      </c>
      <c r="X261" s="140">
        <f t="shared" si="71"/>
        <v>5.3199999999999995E-7</v>
      </c>
      <c r="Y261" s="140">
        <f t="shared" si="72"/>
        <v>7.9800000000000003E-7</v>
      </c>
      <c r="Z261" s="140">
        <f t="shared" si="73"/>
        <v>1.0640000000000001E-6</v>
      </c>
      <c r="AA261" s="140">
        <f t="shared" si="74"/>
        <v>1.3300000000000002E-6</v>
      </c>
      <c r="AB261" s="157">
        <f t="shared" si="75"/>
        <v>0.8</v>
      </c>
      <c r="AC261" s="156">
        <f t="shared" si="76"/>
        <v>9.9999999999999995E-8</v>
      </c>
      <c r="AE261" s="140">
        <f t="shared" si="77"/>
        <v>2.6600000000000003E-5</v>
      </c>
      <c r="AF261">
        <v>2.66</v>
      </c>
      <c r="AG261" s="140">
        <f t="shared" si="78"/>
        <v>2.6599999999999992E-7</v>
      </c>
      <c r="AH261" s="140">
        <f t="shared" si="79"/>
        <v>5.3199999999999995E-7</v>
      </c>
      <c r="AI261" s="140">
        <f t="shared" si="80"/>
        <v>7.9800000000000003E-7</v>
      </c>
      <c r="AJ261" s="140">
        <f t="shared" si="81"/>
        <v>1.0640000000000001E-6</v>
      </c>
      <c r="AK261" s="140">
        <f t="shared" si="82"/>
        <v>1.3300000000000002E-6</v>
      </c>
      <c r="AL261" s="157">
        <f t="shared" si="83"/>
        <v>1.2</v>
      </c>
      <c r="AM261" s="156">
        <f t="shared" si="84"/>
        <v>9.9999999999999995E-8</v>
      </c>
      <c r="AO261" s="140">
        <f t="shared" si="85"/>
        <v>2.6600000000000003E-5</v>
      </c>
      <c r="AP261">
        <v>2.66</v>
      </c>
      <c r="AQ261" s="140">
        <f t="shared" si="86"/>
        <v>2.6599999999999992E-7</v>
      </c>
      <c r="AR261" s="140">
        <f t="shared" si="87"/>
        <v>5.3199999999999995E-7</v>
      </c>
      <c r="AS261" s="140">
        <f t="shared" si="88"/>
        <v>7.9800000000000003E-7</v>
      </c>
      <c r="AT261" s="140">
        <f t="shared" si="89"/>
        <v>1.0640000000000001E-6</v>
      </c>
      <c r="AU261" s="140">
        <f t="shared" si="90"/>
        <v>1.3300000000000002E-6</v>
      </c>
      <c r="AV261" s="157">
        <f t="shared" si="91"/>
        <v>1.2</v>
      </c>
      <c r="AW261" s="156">
        <f t="shared" si="92"/>
        <v>9.9999999999999995E-8</v>
      </c>
      <c r="AY261" s="140">
        <f t="shared" si="93"/>
        <v>2.6600000000000003E-5</v>
      </c>
      <c r="AZ261">
        <v>2.66</v>
      </c>
      <c r="BA261" s="140">
        <f t="shared" si="94"/>
        <v>2.6599999999999992E-7</v>
      </c>
      <c r="BB261" s="140">
        <f t="shared" si="95"/>
        <v>5.3199999999999995E-7</v>
      </c>
      <c r="BC261" s="140">
        <f t="shared" si="96"/>
        <v>7.9800000000000003E-7</v>
      </c>
      <c r="BD261" s="140">
        <f t="shared" si="97"/>
        <v>1.0640000000000001E-6</v>
      </c>
      <c r="BE261" s="140">
        <f t="shared" si="98"/>
        <v>1.3300000000000002E-6</v>
      </c>
      <c r="BF261" s="157">
        <f>IF(AY261&lt;$B$89*DATA!$H$1037,DATA!$H$1037,IF(AY261&gt;DATA!$H$1036*$B$89,DATA!$H$1036,1))</f>
        <v>1.2</v>
      </c>
      <c r="BG261" s="156">
        <f t="shared" si="99"/>
        <v>9.9999999999999995E-8</v>
      </c>
      <c r="BI261" s="140">
        <f t="shared" si="100"/>
        <v>2.6600000000000003E-5</v>
      </c>
      <c r="BJ261">
        <v>2.66</v>
      </c>
      <c r="BK261" s="140">
        <f t="shared" si="101"/>
        <v>2.6599999999999992E-7</v>
      </c>
      <c r="BL261" s="140">
        <f t="shared" si="102"/>
        <v>5.3199999999999995E-7</v>
      </c>
      <c r="BM261" s="140">
        <f t="shared" si="103"/>
        <v>7.9800000000000003E-7</v>
      </c>
      <c r="BN261" s="140">
        <f t="shared" si="104"/>
        <v>1.0640000000000001E-6</v>
      </c>
      <c r="BO261" s="140">
        <f t="shared" si="105"/>
        <v>1.3300000000000002E-6</v>
      </c>
      <c r="BP261" s="157">
        <f>IF(BI261&lt;$B$105*DATA!$H$1037,DATA!$H$1037,IF(BI261&gt;DATA!$H$1036*$B$105,DATA!$H$1036,1))</f>
        <v>1.2</v>
      </c>
      <c r="BQ261" s="156">
        <f t="shared" si="106"/>
        <v>9.9999999999999995E-8</v>
      </c>
    </row>
    <row r="262" spans="1:69">
      <c r="A262" s="140">
        <f t="shared" si="59"/>
        <v>2.6800000000000004E-5</v>
      </c>
      <c r="B262">
        <v>2.68</v>
      </c>
      <c r="C262" s="140">
        <f t="shared" si="109"/>
        <v>2.6799999999999996E-7</v>
      </c>
      <c r="D262" s="140">
        <f t="shared" si="109"/>
        <v>5.3600000000000004E-7</v>
      </c>
      <c r="E262" s="140">
        <f t="shared" si="109"/>
        <v>8.0400000000000005E-7</v>
      </c>
      <c r="F262" s="140">
        <f t="shared" si="109"/>
        <v>1.0720000000000003E-6</v>
      </c>
      <c r="G262" s="140">
        <f t="shared" si="109"/>
        <v>1.3400000000000003E-6</v>
      </c>
      <c r="H262" s="124">
        <f t="shared" si="60"/>
        <v>0.8</v>
      </c>
      <c r="I262" s="156">
        <f t="shared" si="61"/>
        <v>9.9999999999999995E-8</v>
      </c>
      <c r="K262" s="140">
        <f t="shared" si="62"/>
        <v>2.6800000000000004E-5</v>
      </c>
      <c r="L262">
        <v>2.68</v>
      </c>
      <c r="M262" s="140">
        <f t="shared" si="63"/>
        <v>2.6799999999999996E-7</v>
      </c>
      <c r="N262" s="140">
        <f t="shared" si="64"/>
        <v>5.3600000000000004E-7</v>
      </c>
      <c r="O262" s="140">
        <f t="shared" si="65"/>
        <v>8.0400000000000005E-7</v>
      </c>
      <c r="P262" s="140">
        <f t="shared" si="58"/>
        <v>1.0720000000000003E-6</v>
      </c>
      <c r="Q262" s="140">
        <f t="shared" si="66"/>
        <v>1.3400000000000003E-6</v>
      </c>
      <c r="R262" s="157">
        <f t="shared" si="67"/>
        <v>0.8</v>
      </c>
      <c r="S262" s="156">
        <f t="shared" si="68"/>
        <v>9.9999999999999995E-8</v>
      </c>
      <c r="U262" s="140">
        <f t="shared" si="69"/>
        <v>2.6800000000000004E-5</v>
      </c>
      <c r="V262">
        <v>2.68</v>
      </c>
      <c r="W262" s="140">
        <f t="shared" si="70"/>
        <v>2.6799999999999996E-7</v>
      </c>
      <c r="X262" s="140">
        <f t="shared" si="71"/>
        <v>5.3600000000000004E-7</v>
      </c>
      <c r="Y262" s="140">
        <f t="shared" si="72"/>
        <v>8.0400000000000005E-7</v>
      </c>
      <c r="Z262" s="140">
        <f t="shared" si="73"/>
        <v>1.0720000000000003E-6</v>
      </c>
      <c r="AA262" s="140">
        <f t="shared" si="74"/>
        <v>1.3400000000000003E-6</v>
      </c>
      <c r="AB262" s="157">
        <f t="shared" si="75"/>
        <v>0.8</v>
      </c>
      <c r="AC262" s="156">
        <f t="shared" si="76"/>
        <v>9.9999999999999995E-8</v>
      </c>
      <c r="AE262" s="140">
        <f t="shared" si="77"/>
        <v>2.6800000000000004E-5</v>
      </c>
      <c r="AF262">
        <v>2.68</v>
      </c>
      <c r="AG262" s="140">
        <f t="shared" si="78"/>
        <v>2.6799999999999996E-7</v>
      </c>
      <c r="AH262" s="140">
        <f t="shared" si="79"/>
        <v>5.3600000000000004E-7</v>
      </c>
      <c r="AI262" s="140">
        <f t="shared" si="80"/>
        <v>8.0400000000000005E-7</v>
      </c>
      <c r="AJ262" s="140">
        <f t="shared" si="81"/>
        <v>1.0720000000000003E-6</v>
      </c>
      <c r="AK262" s="140">
        <f t="shared" si="82"/>
        <v>1.3400000000000003E-6</v>
      </c>
      <c r="AL262" s="157">
        <f t="shared" si="83"/>
        <v>1.2</v>
      </c>
      <c r="AM262" s="156">
        <f t="shared" si="84"/>
        <v>9.9999999999999995E-8</v>
      </c>
      <c r="AO262" s="140">
        <f t="shared" si="85"/>
        <v>2.6800000000000004E-5</v>
      </c>
      <c r="AP262">
        <v>2.68</v>
      </c>
      <c r="AQ262" s="140">
        <f t="shared" si="86"/>
        <v>2.6799999999999996E-7</v>
      </c>
      <c r="AR262" s="140">
        <f t="shared" si="87"/>
        <v>5.3600000000000004E-7</v>
      </c>
      <c r="AS262" s="140">
        <f t="shared" si="88"/>
        <v>8.0400000000000005E-7</v>
      </c>
      <c r="AT262" s="140">
        <f t="shared" si="89"/>
        <v>1.0720000000000003E-6</v>
      </c>
      <c r="AU262" s="140">
        <f t="shared" si="90"/>
        <v>1.3400000000000003E-6</v>
      </c>
      <c r="AV262" s="157">
        <f t="shared" si="91"/>
        <v>1.2</v>
      </c>
      <c r="AW262" s="156">
        <f t="shared" si="92"/>
        <v>9.9999999999999995E-8</v>
      </c>
      <c r="AY262" s="140">
        <f t="shared" si="93"/>
        <v>2.6800000000000004E-5</v>
      </c>
      <c r="AZ262">
        <v>2.68</v>
      </c>
      <c r="BA262" s="140">
        <f t="shared" si="94"/>
        <v>2.6799999999999996E-7</v>
      </c>
      <c r="BB262" s="140">
        <f t="shared" si="95"/>
        <v>5.3600000000000004E-7</v>
      </c>
      <c r="BC262" s="140">
        <f t="shared" si="96"/>
        <v>8.0400000000000005E-7</v>
      </c>
      <c r="BD262" s="140">
        <f t="shared" si="97"/>
        <v>1.0720000000000003E-6</v>
      </c>
      <c r="BE262" s="140">
        <f t="shared" si="98"/>
        <v>1.3400000000000003E-6</v>
      </c>
      <c r="BF262" s="157">
        <f>IF(AY262&lt;$B$89*DATA!$H$1037,DATA!$H$1037,IF(AY262&gt;DATA!$H$1036*$B$89,DATA!$H$1036,1))</f>
        <v>1.2</v>
      </c>
      <c r="BG262" s="156">
        <f t="shared" si="99"/>
        <v>9.9999999999999995E-8</v>
      </c>
      <c r="BI262" s="140">
        <f t="shared" si="100"/>
        <v>2.6800000000000004E-5</v>
      </c>
      <c r="BJ262">
        <v>2.68</v>
      </c>
      <c r="BK262" s="140">
        <f t="shared" si="101"/>
        <v>2.6799999999999996E-7</v>
      </c>
      <c r="BL262" s="140">
        <f t="shared" si="102"/>
        <v>5.3600000000000004E-7</v>
      </c>
      <c r="BM262" s="140">
        <f t="shared" si="103"/>
        <v>8.0400000000000005E-7</v>
      </c>
      <c r="BN262" s="140">
        <f t="shared" si="104"/>
        <v>1.0720000000000003E-6</v>
      </c>
      <c r="BO262" s="140">
        <f t="shared" si="105"/>
        <v>1.3400000000000003E-6</v>
      </c>
      <c r="BP262" s="157">
        <f>IF(BI262&lt;$B$105*DATA!$H$1037,DATA!$H$1037,IF(BI262&gt;DATA!$H$1036*$B$105,DATA!$H$1036,1))</f>
        <v>1.2</v>
      </c>
      <c r="BQ262" s="156">
        <f t="shared" si="106"/>
        <v>9.9999999999999995E-8</v>
      </c>
    </row>
    <row r="263" spans="1:69">
      <c r="A263" s="140">
        <f t="shared" si="59"/>
        <v>2.7000000000000002E-5</v>
      </c>
      <c r="B263">
        <v>2.7</v>
      </c>
      <c r="C263" s="140">
        <f t="shared" si="109"/>
        <v>2.6999999999999996E-7</v>
      </c>
      <c r="D263" s="140">
        <f t="shared" si="109"/>
        <v>5.4000000000000002E-7</v>
      </c>
      <c r="E263" s="140">
        <f t="shared" si="109"/>
        <v>8.1000000000000008E-7</v>
      </c>
      <c r="F263" s="140">
        <f t="shared" si="109"/>
        <v>1.08E-6</v>
      </c>
      <c r="G263" s="140">
        <f t="shared" si="109"/>
        <v>1.3500000000000002E-6</v>
      </c>
      <c r="H263" s="124">
        <f t="shared" si="60"/>
        <v>0.8</v>
      </c>
      <c r="I263" s="156">
        <f t="shared" si="61"/>
        <v>9.9999999999999995E-8</v>
      </c>
      <c r="K263" s="140">
        <f t="shared" si="62"/>
        <v>2.7000000000000002E-5</v>
      </c>
      <c r="L263">
        <v>2.7</v>
      </c>
      <c r="M263" s="140">
        <f t="shared" si="63"/>
        <v>2.6999999999999996E-7</v>
      </c>
      <c r="N263" s="140">
        <f t="shared" si="64"/>
        <v>5.4000000000000002E-7</v>
      </c>
      <c r="O263" s="140">
        <f t="shared" si="65"/>
        <v>8.1000000000000008E-7</v>
      </c>
      <c r="P263" s="140">
        <f t="shared" si="58"/>
        <v>1.08E-6</v>
      </c>
      <c r="Q263" s="140">
        <f t="shared" si="66"/>
        <v>1.3500000000000002E-6</v>
      </c>
      <c r="R263" s="157">
        <f t="shared" si="67"/>
        <v>0.8</v>
      </c>
      <c r="S263" s="156">
        <f t="shared" si="68"/>
        <v>9.9999999999999995E-8</v>
      </c>
      <c r="U263" s="140">
        <f t="shared" si="69"/>
        <v>2.7000000000000002E-5</v>
      </c>
      <c r="V263">
        <v>2.7</v>
      </c>
      <c r="W263" s="140">
        <f t="shared" si="70"/>
        <v>2.6999999999999996E-7</v>
      </c>
      <c r="X263" s="140">
        <f t="shared" si="71"/>
        <v>5.4000000000000002E-7</v>
      </c>
      <c r="Y263" s="140">
        <f t="shared" si="72"/>
        <v>8.1000000000000008E-7</v>
      </c>
      <c r="Z263" s="140">
        <f t="shared" si="73"/>
        <v>1.08E-6</v>
      </c>
      <c r="AA263" s="140">
        <f t="shared" si="74"/>
        <v>1.3500000000000002E-6</v>
      </c>
      <c r="AB263" s="157">
        <f t="shared" si="75"/>
        <v>0.8</v>
      </c>
      <c r="AC263" s="156">
        <f t="shared" si="76"/>
        <v>9.9999999999999995E-8</v>
      </c>
      <c r="AE263" s="140">
        <f t="shared" si="77"/>
        <v>2.7000000000000002E-5</v>
      </c>
      <c r="AF263">
        <v>2.7</v>
      </c>
      <c r="AG263" s="140">
        <f t="shared" si="78"/>
        <v>2.6999999999999996E-7</v>
      </c>
      <c r="AH263" s="140">
        <f t="shared" si="79"/>
        <v>5.4000000000000002E-7</v>
      </c>
      <c r="AI263" s="140">
        <f t="shared" si="80"/>
        <v>8.1000000000000008E-7</v>
      </c>
      <c r="AJ263" s="140">
        <f t="shared" si="81"/>
        <v>1.08E-6</v>
      </c>
      <c r="AK263" s="140">
        <f t="shared" si="82"/>
        <v>1.3500000000000002E-6</v>
      </c>
      <c r="AL263" s="157">
        <f t="shared" si="83"/>
        <v>1.2</v>
      </c>
      <c r="AM263" s="156">
        <f t="shared" si="84"/>
        <v>9.9999999999999995E-8</v>
      </c>
      <c r="AO263" s="140">
        <f t="shared" si="85"/>
        <v>2.7000000000000002E-5</v>
      </c>
      <c r="AP263">
        <v>2.7</v>
      </c>
      <c r="AQ263" s="140">
        <f t="shared" si="86"/>
        <v>2.6999999999999996E-7</v>
      </c>
      <c r="AR263" s="140">
        <f t="shared" si="87"/>
        <v>5.4000000000000002E-7</v>
      </c>
      <c r="AS263" s="140">
        <f t="shared" si="88"/>
        <v>8.1000000000000008E-7</v>
      </c>
      <c r="AT263" s="140">
        <f t="shared" si="89"/>
        <v>1.08E-6</v>
      </c>
      <c r="AU263" s="140">
        <f t="shared" si="90"/>
        <v>1.3500000000000002E-6</v>
      </c>
      <c r="AV263" s="157">
        <f t="shared" si="91"/>
        <v>1.2</v>
      </c>
      <c r="AW263" s="156">
        <f t="shared" si="92"/>
        <v>9.9999999999999995E-8</v>
      </c>
      <c r="AY263" s="140">
        <f t="shared" si="93"/>
        <v>2.7000000000000002E-5</v>
      </c>
      <c r="AZ263">
        <v>2.7</v>
      </c>
      <c r="BA263" s="140">
        <f t="shared" si="94"/>
        <v>2.6999999999999996E-7</v>
      </c>
      <c r="BB263" s="140">
        <f t="shared" si="95"/>
        <v>5.4000000000000002E-7</v>
      </c>
      <c r="BC263" s="140">
        <f t="shared" si="96"/>
        <v>8.1000000000000008E-7</v>
      </c>
      <c r="BD263" s="140">
        <f t="shared" si="97"/>
        <v>1.08E-6</v>
      </c>
      <c r="BE263" s="140">
        <f t="shared" si="98"/>
        <v>1.3500000000000002E-6</v>
      </c>
      <c r="BF263" s="157">
        <f>IF(AY263&lt;$B$89*DATA!$H$1037,DATA!$H$1037,IF(AY263&gt;DATA!$H$1036*$B$89,DATA!$H$1036,1))</f>
        <v>1.2</v>
      </c>
      <c r="BG263" s="156">
        <f t="shared" si="99"/>
        <v>9.9999999999999995E-8</v>
      </c>
      <c r="BI263" s="140">
        <f t="shared" si="100"/>
        <v>2.7000000000000002E-5</v>
      </c>
      <c r="BJ263">
        <v>2.7</v>
      </c>
      <c r="BK263" s="140">
        <f t="shared" si="101"/>
        <v>2.6999999999999996E-7</v>
      </c>
      <c r="BL263" s="140">
        <f t="shared" si="102"/>
        <v>5.4000000000000002E-7</v>
      </c>
      <c r="BM263" s="140">
        <f t="shared" si="103"/>
        <v>8.1000000000000008E-7</v>
      </c>
      <c r="BN263" s="140">
        <f t="shared" si="104"/>
        <v>1.08E-6</v>
      </c>
      <c r="BO263" s="140">
        <f t="shared" si="105"/>
        <v>1.3500000000000002E-6</v>
      </c>
      <c r="BP263" s="157">
        <f>IF(BI263&lt;$B$105*DATA!$H$1037,DATA!$H$1037,IF(BI263&gt;DATA!$H$1036*$B$105,DATA!$H$1036,1))</f>
        <v>1.2</v>
      </c>
      <c r="BQ263" s="156">
        <f t="shared" si="106"/>
        <v>9.9999999999999995E-8</v>
      </c>
    </row>
    <row r="264" spans="1:69">
      <c r="A264" s="140">
        <f t="shared" si="59"/>
        <v>2.7200000000000004E-5</v>
      </c>
      <c r="B264">
        <v>2.72</v>
      </c>
      <c r="C264" s="140">
        <f t="shared" si="109"/>
        <v>2.7199999999999995E-7</v>
      </c>
      <c r="D264" s="140">
        <f t="shared" si="109"/>
        <v>5.44E-7</v>
      </c>
      <c r="E264" s="140">
        <f t="shared" si="109"/>
        <v>8.1600000000000011E-7</v>
      </c>
      <c r="F264" s="140">
        <f t="shared" si="109"/>
        <v>1.0880000000000002E-6</v>
      </c>
      <c r="G264" s="140">
        <f t="shared" si="109"/>
        <v>1.3600000000000003E-6</v>
      </c>
      <c r="H264" s="124">
        <f t="shared" si="60"/>
        <v>0.8</v>
      </c>
      <c r="I264" s="156">
        <f t="shared" si="61"/>
        <v>9.9999999999999995E-8</v>
      </c>
      <c r="K264" s="140">
        <f t="shared" si="62"/>
        <v>2.7200000000000004E-5</v>
      </c>
      <c r="L264">
        <v>2.72</v>
      </c>
      <c r="M264" s="140">
        <f t="shared" si="63"/>
        <v>2.7199999999999995E-7</v>
      </c>
      <c r="N264" s="140">
        <f t="shared" si="64"/>
        <v>5.44E-7</v>
      </c>
      <c r="O264" s="140">
        <f t="shared" si="65"/>
        <v>8.1600000000000011E-7</v>
      </c>
      <c r="P264" s="140">
        <f t="shared" si="58"/>
        <v>1.0880000000000002E-6</v>
      </c>
      <c r="Q264" s="140">
        <f t="shared" si="66"/>
        <v>1.3600000000000003E-6</v>
      </c>
      <c r="R264" s="157">
        <f t="shared" si="67"/>
        <v>0.8</v>
      </c>
      <c r="S264" s="156">
        <f t="shared" si="68"/>
        <v>9.9999999999999995E-8</v>
      </c>
      <c r="U264" s="140">
        <f t="shared" si="69"/>
        <v>2.7200000000000004E-5</v>
      </c>
      <c r="V264">
        <v>2.72</v>
      </c>
      <c r="W264" s="140">
        <f t="shared" si="70"/>
        <v>2.7199999999999995E-7</v>
      </c>
      <c r="X264" s="140">
        <f t="shared" si="71"/>
        <v>5.44E-7</v>
      </c>
      <c r="Y264" s="140">
        <f t="shared" si="72"/>
        <v>8.1600000000000011E-7</v>
      </c>
      <c r="Z264" s="140">
        <f t="shared" si="73"/>
        <v>1.0880000000000002E-6</v>
      </c>
      <c r="AA264" s="140">
        <f t="shared" si="74"/>
        <v>1.3600000000000003E-6</v>
      </c>
      <c r="AB264" s="157">
        <f t="shared" si="75"/>
        <v>0.8</v>
      </c>
      <c r="AC264" s="156">
        <f t="shared" si="76"/>
        <v>9.9999999999999995E-8</v>
      </c>
      <c r="AE264" s="140">
        <f t="shared" si="77"/>
        <v>2.7200000000000004E-5</v>
      </c>
      <c r="AF264">
        <v>2.72</v>
      </c>
      <c r="AG264" s="140">
        <f t="shared" si="78"/>
        <v>2.7199999999999995E-7</v>
      </c>
      <c r="AH264" s="140">
        <f t="shared" si="79"/>
        <v>5.44E-7</v>
      </c>
      <c r="AI264" s="140">
        <f t="shared" si="80"/>
        <v>8.1600000000000011E-7</v>
      </c>
      <c r="AJ264" s="140">
        <f t="shared" si="81"/>
        <v>1.0880000000000002E-6</v>
      </c>
      <c r="AK264" s="140">
        <f t="shared" si="82"/>
        <v>1.3600000000000003E-6</v>
      </c>
      <c r="AL264" s="157">
        <f t="shared" si="83"/>
        <v>1.2</v>
      </c>
      <c r="AM264" s="156">
        <f t="shared" si="84"/>
        <v>9.9999999999999995E-8</v>
      </c>
      <c r="AO264" s="140">
        <f t="shared" si="85"/>
        <v>2.7200000000000004E-5</v>
      </c>
      <c r="AP264">
        <v>2.72</v>
      </c>
      <c r="AQ264" s="140">
        <f t="shared" si="86"/>
        <v>2.7199999999999995E-7</v>
      </c>
      <c r="AR264" s="140">
        <f t="shared" si="87"/>
        <v>5.44E-7</v>
      </c>
      <c r="AS264" s="140">
        <f t="shared" si="88"/>
        <v>8.1600000000000011E-7</v>
      </c>
      <c r="AT264" s="140">
        <f t="shared" si="89"/>
        <v>1.0880000000000002E-6</v>
      </c>
      <c r="AU264" s="140">
        <f t="shared" si="90"/>
        <v>1.3600000000000003E-6</v>
      </c>
      <c r="AV264" s="157">
        <f t="shared" si="91"/>
        <v>1.2</v>
      </c>
      <c r="AW264" s="156">
        <f t="shared" si="92"/>
        <v>9.9999999999999995E-8</v>
      </c>
      <c r="AY264" s="140">
        <f t="shared" si="93"/>
        <v>2.7200000000000004E-5</v>
      </c>
      <c r="AZ264">
        <v>2.72</v>
      </c>
      <c r="BA264" s="140">
        <f t="shared" si="94"/>
        <v>2.7199999999999995E-7</v>
      </c>
      <c r="BB264" s="140">
        <f t="shared" si="95"/>
        <v>5.44E-7</v>
      </c>
      <c r="BC264" s="140">
        <f t="shared" si="96"/>
        <v>8.1600000000000011E-7</v>
      </c>
      <c r="BD264" s="140">
        <f t="shared" si="97"/>
        <v>1.0880000000000002E-6</v>
      </c>
      <c r="BE264" s="140">
        <f t="shared" si="98"/>
        <v>1.3600000000000003E-6</v>
      </c>
      <c r="BF264" s="157">
        <f>IF(AY264&lt;$B$89*DATA!$H$1037,DATA!$H$1037,IF(AY264&gt;DATA!$H$1036*$B$89,DATA!$H$1036,1))</f>
        <v>1.2</v>
      </c>
      <c r="BG264" s="156">
        <f t="shared" si="99"/>
        <v>9.9999999999999995E-8</v>
      </c>
      <c r="BI264" s="140">
        <f t="shared" si="100"/>
        <v>2.7200000000000004E-5</v>
      </c>
      <c r="BJ264">
        <v>2.72</v>
      </c>
      <c r="BK264" s="140">
        <f t="shared" si="101"/>
        <v>2.7199999999999995E-7</v>
      </c>
      <c r="BL264" s="140">
        <f t="shared" si="102"/>
        <v>5.44E-7</v>
      </c>
      <c r="BM264" s="140">
        <f t="shared" si="103"/>
        <v>8.1600000000000011E-7</v>
      </c>
      <c r="BN264" s="140">
        <f t="shared" si="104"/>
        <v>1.0880000000000002E-6</v>
      </c>
      <c r="BO264" s="140">
        <f t="shared" si="105"/>
        <v>1.3600000000000003E-6</v>
      </c>
      <c r="BP264" s="157">
        <f>IF(BI264&lt;$B$105*DATA!$H$1037,DATA!$H$1037,IF(BI264&gt;DATA!$H$1036*$B$105,DATA!$H$1036,1))</f>
        <v>1.2</v>
      </c>
      <c r="BQ264" s="156">
        <f t="shared" si="106"/>
        <v>9.9999999999999995E-8</v>
      </c>
    </row>
    <row r="265" spans="1:69">
      <c r="A265" s="140">
        <f t="shared" si="59"/>
        <v>2.7400000000000005E-5</v>
      </c>
      <c r="B265">
        <v>2.74</v>
      </c>
      <c r="C265" s="140">
        <f t="shared" si="109"/>
        <v>2.7399999999999994E-7</v>
      </c>
      <c r="D265" s="140">
        <f t="shared" si="109"/>
        <v>5.4799999999999998E-7</v>
      </c>
      <c r="E265" s="140">
        <f t="shared" si="109"/>
        <v>8.2200000000000013E-7</v>
      </c>
      <c r="F265" s="140">
        <f t="shared" si="109"/>
        <v>1.0960000000000002E-6</v>
      </c>
      <c r="G265" s="140">
        <f t="shared" si="109"/>
        <v>1.3700000000000004E-6</v>
      </c>
      <c r="H265" s="124">
        <f t="shared" si="60"/>
        <v>0.8</v>
      </c>
      <c r="I265" s="156">
        <f t="shared" si="61"/>
        <v>9.9999999999999995E-8</v>
      </c>
      <c r="K265" s="140">
        <f t="shared" si="62"/>
        <v>2.7400000000000005E-5</v>
      </c>
      <c r="L265">
        <v>2.74</v>
      </c>
      <c r="M265" s="140">
        <f t="shared" si="63"/>
        <v>2.7399999999999994E-7</v>
      </c>
      <c r="N265" s="140">
        <f t="shared" si="64"/>
        <v>5.4799999999999998E-7</v>
      </c>
      <c r="O265" s="140">
        <f t="shared" si="65"/>
        <v>8.2200000000000013E-7</v>
      </c>
      <c r="P265" s="140">
        <f t="shared" si="58"/>
        <v>1.0960000000000002E-6</v>
      </c>
      <c r="Q265" s="140">
        <f t="shared" si="66"/>
        <v>1.3700000000000004E-6</v>
      </c>
      <c r="R265" s="157">
        <f t="shared" si="67"/>
        <v>0.8</v>
      </c>
      <c r="S265" s="156">
        <f t="shared" si="68"/>
        <v>9.9999999999999995E-8</v>
      </c>
      <c r="U265" s="140">
        <f t="shared" si="69"/>
        <v>2.7400000000000005E-5</v>
      </c>
      <c r="V265">
        <v>2.74</v>
      </c>
      <c r="W265" s="140">
        <f t="shared" si="70"/>
        <v>2.7399999999999994E-7</v>
      </c>
      <c r="X265" s="140">
        <f t="shared" si="71"/>
        <v>5.4799999999999998E-7</v>
      </c>
      <c r="Y265" s="140">
        <f t="shared" si="72"/>
        <v>8.2200000000000013E-7</v>
      </c>
      <c r="Z265" s="140">
        <f t="shared" si="73"/>
        <v>1.0960000000000002E-6</v>
      </c>
      <c r="AA265" s="140">
        <f t="shared" si="74"/>
        <v>1.3700000000000004E-6</v>
      </c>
      <c r="AB265" s="157">
        <f t="shared" si="75"/>
        <v>0.8</v>
      </c>
      <c r="AC265" s="156">
        <f t="shared" si="76"/>
        <v>9.9999999999999995E-8</v>
      </c>
      <c r="AE265" s="140">
        <f t="shared" si="77"/>
        <v>2.7400000000000005E-5</v>
      </c>
      <c r="AF265">
        <v>2.74</v>
      </c>
      <c r="AG265" s="140">
        <f t="shared" si="78"/>
        <v>2.7399999999999994E-7</v>
      </c>
      <c r="AH265" s="140">
        <f t="shared" si="79"/>
        <v>5.4799999999999998E-7</v>
      </c>
      <c r="AI265" s="140">
        <f t="shared" si="80"/>
        <v>8.2200000000000013E-7</v>
      </c>
      <c r="AJ265" s="140">
        <f t="shared" si="81"/>
        <v>1.0960000000000002E-6</v>
      </c>
      <c r="AK265" s="140">
        <f t="shared" si="82"/>
        <v>1.3700000000000004E-6</v>
      </c>
      <c r="AL265" s="157">
        <f t="shared" si="83"/>
        <v>1.2</v>
      </c>
      <c r="AM265" s="156">
        <f t="shared" si="84"/>
        <v>9.9999999999999995E-8</v>
      </c>
      <c r="AO265" s="140">
        <f t="shared" si="85"/>
        <v>2.7400000000000005E-5</v>
      </c>
      <c r="AP265">
        <v>2.74</v>
      </c>
      <c r="AQ265" s="140">
        <f t="shared" si="86"/>
        <v>2.7399999999999994E-7</v>
      </c>
      <c r="AR265" s="140">
        <f t="shared" si="87"/>
        <v>5.4799999999999998E-7</v>
      </c>
      <c r="AS265" s="140">
        <f t="shared" si="88"/>
        <v>8.2200000000000013E-7</v>
      </c>
      <c r="AT265" s="140">
        <f t="shared" si="89"/>
        <v>1.0960000000000002E-6</v>
      </c>
      <c r="AU265" s="140">
        <f t="shared" si="90"/>
        <v>1.3700000000000004E-6</v>
      </c>
      <c r="AV265" s="157">
        <f t="shared" si="91"/>
        <v>1.2</v>
      </c>
      <c r="AW265" s="156">
        <f t="shared" si="92"/>
        <v>9.9999999999999995E-8</v>
      </c>
      <c r="AY265" s="140">
        <f t="shared" si="93"/>
        <v>2.7400000000000005E-5</v>
      </c>
      <c r="AZ265">
        <v>2.74</v>
      </c>
      <c r="BA265" s="140">
        <f t="shared" si="94"/>
        <v>2.7399999999999994E-7</v>
      </c>
      <c r="BB265" s="140">
        <f t="shared" si="95"/>
        <v>5.4799999999999998E-7</v>
      </c>
      <c r="BC265" s="140">
        <f t="shared" si="96"/>
        <v>8.2200000000000013E-7</v>
      </c>
      <c r="BD265" s="140">
        <f t="shared" si="97"/>
        <v>1.0960000000000002E-6</v>
      </c>
      <c r="BE265" s="140">
        <f t="shared" si="98"/>
        <v>1.3700000000000004E-6</v>
      </c>
      <c r="BF265" s="157">
        <f>IF(AY265&lt;$B$89*DATA!$H$1037,DATA!$H$1037,IF(AY265&gt;DATA!$H$1036*$B$89,DATA!$H$1036,1))</f>
        <v>1.2</v>
      </c>
      <c r="BG265" s="156">
        <f t="shared" si="99"/>
        <v>9.9999999999999995E-8</v>
      </c>
      <c r="BI265" s="140">
        <f t="shared" si="100"/>
        <v>2.7400000000000005E-5</v>
      </c>
      <c r="BJ265">
        <v>2.74</v>
      </c>
      <c r="BK265" s="140">
        <f t="shared" si="101"/>
        <v>2.7399999999999994E-7</v>
      </c>
      <c r="BL265" s="140">
        <f t="shared" si="102"/>
        <v>5.4799999999999998E-7</v>
      </c>
      <c r="BM265" s="140">
        <f t="shared" si="103"/>
        <v>8.2200000000000013E-7</v>
      </c>
      <c r="BN265" s="140">
        <f t="shared" si="104"/>
        <v>1.0960000000000002E-6</v>
      </c>
      <c r="BO265" s="140">
        <f t="shared" si="105"/>
        <v>1.3700000000000004E-6</v>
      </c>
      <c r="BP265" s="157">
        <f>IF(BI265&lt;$B$105*DATA!$H$1037,DATA!$H$1037,IF(BI265&gt;DATA!$H$1036*$B$105,DATA!$H$1036,1))</f>
        <v>1.2</v>
      </c>
      <c r="BQ265" s="156">
        <f t="shared" si="106"/>
        <v>9.9999999999999995E-8</v>
      </c>
    </row>
    <row r="266" spans="1:69">
      <c r="A266" s="140">
        <f t="shared" si="59"/>
        <v>2.76E-5</v>
      </c>
      <c r="B266">
        <v>2.76</v>
      </c>
      <c r="C266" s="140">
        <f t="shared" si="109"/>
        <v>2.7599999999999993E-7</v>
      </c>
      <c r="D266" s="140">
        <f t="shared" si="109"/>
        <v>5.5199999999999997E-7</v>
      </c>
      <c r="E266" s="140">
        <f t="shared" si="109"/>
        <v>8.2799999999999995E-7</v>
      </c>
      <c r="F266" s="140">
        <f t="shared" si="109"/>
        <v>1.1039999999999999E-6</v>
      </c>
      <c r="G266" s="140">
        <f t="shared" si="109"/>
        <v>1.3800000000000001E-6</v>
      </c>
      <c r="H266" s="124">
        <f t="shared" si="60"/>
        <v>0.8</v>
      </c>
      <c r="I266" s="156">
        <f t="shared" si="61"/>
        <v>9.9999999999999995E-8</v>
      </c>
      <c r="K266" s="140">
        <f t="shared" si="62"/>
        <v>2.76E-5</v>
      </c>
      <c r="L266">
        <v>2.76</v>
      </c>
      <c r="M266" s="140">
        <f t="shared" si="63"/>
        <v>2.7599999999999993E-7</v>
      </c>
      <c r="N266" s="140">
        <f t="shared" si="64"/>
        <v>5.5199999999999997E-7</v>
      </c>
      <c r="O266" s="140">
        <f t="shared" si="65"/>
        <v>8.2799999999999995E-7</v>
      </c>
      <c r="P266" s="140">
        <f t="shared" si="58"/>
        <v>1.1039999999999999E-6</v>
      </c>
      <c r="Q266" s="140">
        <f t="shared" si="66"/>
        <v>1.3800000000000001E-6</v>
      </c>
      <c r="R266" s="157">
        <f t="shared" si="67"/>
        <v>0.8</v>
      </c>
      <c r="S266" s="156">
        <f t="shared" si="68"/>
        <v>9.9999999999999995E-8</v>
      </c>
      <c r="U266" s="140">
        <f t="shared" si="69"/>
        <v>2.76E-5</v>
      </c>
      <c r="V266">
        <v>2.76</v>
      </c>
      <c r="W266" s="140">
        <f t="shared" si="70"/>
        <v>2.7599999999999993E-7</v>
      </c>
      <c r="X266" s="140">
        <f t="shared" si="71"/>
        <v>5.5199999999999997E-7</v>
      </c>
      <c r="Y266" s="140">
        <f t="shared" si="72"/>
        <v>8.2799999999999995E-7</v>
      </c>
      <c r="Z266" s="140">
        <f t="shared" si="73"/>
        <v>1.1039999999999999E-6</v>
      </c>
      <c r="AA266" s="140">
        <f t="shared" si="74"/>
        <v>1.3800000000000001E-6</v>
      </c>
      <c r="AB266" s="157">
        <f t="shared" si="75"/>
        <v>0.8</v>
      </c>
      <c r="AC266" s="156">
        <f t="shared" si="76"/>
        <v>9.9999999999999995E-8</v>
      </c>
      <c r="AE266" s="140">
        <f t="shared" si="77"/>
        <v>2.76E-5</v>
      </c>
      <c r="AF266">
        <v>2.76</v>
      </c>
      <c r="AG266" s="140">
        <f t="shared" si="78"/>
        <v>2.7599999999999993E-7</v>
      </c>
      <c r="AH266" s="140">
        <f t="shared" si="79"/>
        <v>5.5199999999999997E-7</v>
      </c>
      <c r="AI266" s="140">
        <f t="shared" si="80"/>
        <v>8.2799999999999995E-7</v>
      </c>
      <c r="AJ266" s="140">
        <f t="shared" si="81"/>
        <v>1.1039999999999999E-6</v>
      </c>
      <c r="AK266" s="140">
        <f t="shared" si="82"/>
        <v>1.3800000000000001E-6</v>
      </c>
      <c r="AL266" s="157">
        <f t="shared" si="83"/>
        <v>1.2</v>
      </c>
      <c r="AM266" s="156">
        <f t="shared" si="84"/>
        <v>9.9999999999999995E-8</v>
      </c>
      <c r="AO266" s="140">
        <f t="shared" si="85"/>
        <v>2.76E-5</v>
      </c>
      <c r="AP266">
        <v>2.76</v>
      </c>
      <c r="AQ266" s="140">
        <f t="shared" si="86"/>
        <v>2.7599999999999993E-7</v>
      </c>
      <c r="AR266" s="140">
        <f t="shared" si="87"/>
        <v>5.5199999999999997E-7</v>
      </c>
      <c r="AS266" s="140">
        <f t="shared" si="88"/>
        <v>8.2799999999999995E-7</v>
      </c>
      <c r="AT266" s="140">
        <f t="shared" si="89"/>
        <v>1.1039999999999999E-6</v>
      </c>
      <c r="AU266" s="140">
        <f t="shared" si="90"/>
        <v>1.3800000000000001E-6</v>
      </c>
      <c r="AV266" s="157">
        <f t="shared" si="91"/>
        <v>1.2</v>
      </c>
      <c r="AW266" s="156">
        <f t="shared" si="92"/>
        <v>9.9999999999999995E-8</v>
      </c>
      <c r="AY266" s="140">
        <f t="shared" si="93"/>
        <v>2.76E-5</v>
      </c>
      <c r="AZ266">
        <v>2.76</v>
      </c>
      <c r="BA266" s="140">
        <f t="shared" si="94"/>
        <v>2.7599999999999993E-7</v>
      </c>
      <c r="BB266" s="140">
        <f t="shared" si="95"/>
        <v>5.5199999999999997E-7</v>
      </c>
      <c r="BC266" s="140">
        <f t="shared" si="96"/>
        <v>8.2799999999999995E-7</v>
      </c>
      <c r="BD266" s="140">
        <f t="shared" si="97"/>
        <v>1.1039999999999999E-6</v>
      </c>
      <c r="BE266" s="140">
        <f t="shared" si="98"/>
        <v>1.3800000000000001E-6</v>
      </c>
      <c r="BF266" s="157">
        <f>IF(AY266&lt;$B$89*DATA!$H$1037,DATA!$H$1037,IF(AY266&gt;DATA!$H$1036*$B$89,DATA!$H$1036,1))</f>
        <v>1.2</v>
      </c>
      <c r="BG266" s="156">
        <f t="shared" si="99"/>
        <v>9.9999999999999995E-8</v>
      </c>
      <c r="BI266" s="140">
        <f t="shared" si="100"/>
        <v>2.76E-5</v>
      </c>
      <c r="BJ266">
        <v>2.76</v>
      </c>
      <c r="BK266" s="140">
        <f t="shared" si="101"/>
        <v>2.7599999999999993E-7</v>
      </c>
      <c r="BL266" s="140">
        <f t="shared" si="102"/>
        <v>5.5199999999999997E-7</v>
      </c>
      <c r="BM266" s="140">
        <f t="shared" si="103"/>
        <v>8.2799999999999995E-7</v>
      </c>
      <c r="BN266" s="140">
        <f t="shared" si="104"/>
        <v>1.1039999999999999E-6</v>
      </c>
      <c r="BO266" s="140">
        <f t="shared" si="105"/>
        <v>1.3800000000000001E-6</v>
      </c>
      <c r="BP266" s="157">
        <f>IF(BI266&lt;$B$105*DATA!$H$1037,DATA!$H$1037,IF(BI266&gt;DATA!$H$1036*$B$105,DATA!$H$1036,1))</f>
        <v>1.2</v>
      </c>
      <c r="BQ266" s="156">
        <f t="shared" si="106"/>
        <v>9.9999999999999995E-8</v>
      </c>
    </row>
    <row r="267" spans="1:69">
      <c r="A267" s="140">
        <f t="shared" si="59"/>
        <v>2.7800000000000001E-5</v>
      </c>
      <c r="B267">
        <v>2.78</v>
      </c>
      <c r="C267" s="140">
        <f t="shared" si="109"/>
        <v>2.7799999999999992E-7</v>
      </c>
      <c r="D267" s="140">
        <f t="shared" si="109"/>
        <v>5.5599999999999995E-7</v>
      </c>
      <c r="E267" s="140">
        <f t="shared" si="109"/>
        <v>8.3399999999999998E-7</v>
      </c>
      <c r="F267" s="140">
        <f t="shared" si="109"/>
        <v>1.1120000000000001E-6</v>
      </c>
      <c r="G267" s="140">
        <f t="shared" si="109"/>
        <v>1.3900000000000002E-6</v>
      </c>
      <c r="H267" s="124">
        <f t="shared" si="60"/>
        <v>0.8</v>
      </c>
      <c r="I267" s="156">
        <f t="shared" si="61"/>
        <v>9.9999999999999995E-8</v>
      </c>
      <c r="K267" s="140">
        <f t="shared" si="62"/>
        <v>2.7800000000000001E-5</v>
      </c>
      <c r="L267">
        <v>2.78</v>
      </c>
      <c r="M267" s="140">
        <f t="shared" si="63"/>
        <v>2.7799999999999992E-7</v>
      </c>
      <c r="N267" s="140">
        <f t="shared" si="64"/>
        <v>5.5599999999999995E-7</v>
      </c>
      <c r="O267" s="140">
        <f t="shared" si="65"/>
        <v>8.3399999999999998E-7</v>
      </c>
      <c r="P267" s="140">
        <f t="shared" si="58"/>
        <v>1.1120000000000001E-6</v>
      </c>
      <c r="Q267" s="140">
        <f t="shared" si="66"/>
        <v>1.3900000000000002E-6</v>
      </c>
      <c r="R267" s="157">
        <f t="shared" si="67"/>
        <v>0.8</v>
      </c>
      <c r="S267" s="156">
        <f t="shared" si="68"/>
        <v>9.9999999999999995E-8</v>
      </c>
      <c r="U267" s="140">
        <f t="shared" si="69"/>
        <v>2.7800000000000001E-5</v>
      </c>
      <c r="V267">
        <v>2.78</v>
      </c>
      <c r="W267" s="140">
        <f t="shared" si="70"/>
        <v>2.7799999999999992E-7</v>
      </c>
      <c r="X267" s="140">
        <f t="shared" si="71"/>
        <v>5.5599999999999995E-7</v>
      </c>
      <c r="Y267" s="140">
        <f t="shared" si="72"/>
        <v>8.3399999999999998E-7</v>
      </c>
      <c r="Z267" s="140">
        <f t="shared" si="73"/>
        <v>1.1120000000000001E-6</v>
      </c>
      <c r="AA267" s="140">
        <f t="shared" si="74"/>
        <v>1.3900000000000002E-6</v>
      </c>
      <c r="AB267" s="157">
        <f t="shared" si="75"/>
        <v>0.8</v>
      </c>
      <c r="AC267" s="156">
        <f t="shared" si="76"/>
        <v>9.9999999999999995E-8</v>
      </c>
      <c r="AE267" s="140">
        <f t="shared" si="77"/>
        <v>2.7800000000000001E-5</v>
      </c>
      <c r="AF267">
        <v>2.78</v>
      </c>
      <c r="AG267" s="140">
        <f t="shared" si="78"/>
        <v>2.7799999999999992E-7</v>
      </c>
      <c r="AH267" s="140">
        <f t="shared" si="79"/>
        <v>5.5599999999999995E-7</v>
      </c>
      <c r="AI267" s="140">
        <f t="shared" si="80"/>
        <v>8.3399999999999998E-7</v>
      </c>
      <c r="AJ267" s="140">
        <f t="shared" si="81"/>
        <v>1.1120000000000001E-6</v>
      </c>
      <c r="AK267" s="140">
        <f t="shared" si="82"/>
        <v>1.3900000000000002E-6</v>
      </c>
      <c r="AL267" s="157">
        <f t="shared" si="83"/>
        <v>1.2</v>
      </c>
      <c r="AM267" s="156">
        <f t="shared" si="84"/>
        <v>9.9999999999999995E-8</v>
      </c>
      <c r="AO267" s="140">
        <f t="shared" si="85"/>
        <v>2.7800000000000001E-5</v>
      </c>
      <c r="AP267">
        <v>2.78</v>
      </c>
      <c r="AQ267" s="140">
        <f t="shared" si="86"/>
        <v>2.7799999999999992E-7</v>
      </c>
      <c r="AR267" s="140">
        <f t="shared" si="87"/>
        <v>5.5599999999999995E-7</v>
      </c>
      <c r="AS267" s="140">
        <f t="shared" si="88"/>
        <v>8.3399999999999998E-7</v>
      </c>
      <c r="AT267" s="140">
        <f t="shared" si="89"/>
        <v>1.1120000000000001E-6</v>
      </c>
      <c r="AU267" s="140">
        <f t="shared" si="90"/>
        <v>1.3900000000000002E-6</v>
      </c>
      <c r="AV267" s="157">
        <f t="shared" si="91"/>
        <v>1.2</v>
      </c>
      <c r="AW267" s="156">
        <f t="shared" si="92"/>
        <v>9.9999999999999995E-8</v>
      </c>
      <c r="AY267" s="140">
        <f t="shared" si="93"/>
        <v>2.7800000000000001E-5</v>
      </c>
      <c r="AZ267">
        <v>2.78</v>
      </c>
      <c r="BA267" s="140">
        <f t="shared" si="94"/>
        <v>2.7799999999999992E-7</v>
      </c>
      <c r="BB267" s="140">
        <f t="shared" si="95"/>
        <v>5.5599999999999995E-7</v>
      </c>
      <c r="BC267" s="140">
        <f t="shared" si="96"/>
        <v>8.3399999999999998E-7</v>
      </c>
      <c r="BD267" s="140">
        <f t="shared" si="97"/>
        <v>1.1120000000000001E-6</v>
      </c>
      <c r="BE267" s="140">
        <f t="shared" si="98"/>
        <v>1.3900000000000002E-6</v>
      </c>
      <c r="BF267" s="157">
        <f>IF(AY267&lt;$B$89*DATA!$H$1037,DATA!$H$1037,IF(AY267&gt;DATA!$H$1036*$B$89,DATA!$H$1036,1))</f>
        <v>1.2</v>
      </c>
      <c r="BG267" s="156">
        <f t="shared" si="99"/>
        <v>9.9999999999999995E-8</v>
      </c>
      <c r="BI267" s="140">
        <f t="shared" si="100"/>
        <v>2.7800000000000001E-5</v>
      </c>
      <c r="BJ267">
        <v>2.78</v>
      </c>
      <c r="BK267" s="140">
        <f t="shared" si="101"/>
        <v>2.7799999999999992E-7</v>
      </c>
      <c r="BL267" s="140">
        <f t="shared" si="102"/>
        <v>5.5599999999999995E-7</v>
      </c>
      <c r="BM267" s="140">
        <f t="shared" si="103"/>
        <v>8.3399999999999998E-7</v>
      </c>
      <c r="BN267" s="140">
        <f t="shared" si="104"/>
        <v>1.1120000000000001E-6</v>
      </c>
      <c r="BO267" s="140">
        <f t="shared" si="105"/>
        <v>1.3900000000000002E-6</v>
      </c>
      <c r="BP267" s="157">
        <f>IF(BI267&lt;$B$105*DATA!$H$1037,DATA!$H$1037,IF(BI267&gt;DATA!$H$1036*$B$105,DATA!$H$1036,1))</f>
        <v>1.2</v>
      </c>
      <c r="BQ267" s="156">
        <f t="shared" si="106"/>
        <v>9.9999999999999995E-8</v>
      </c>
    </row>
    <row r="268" spans="1:69">
      <c r="A268" s="140">
        <f t="shared" si="59"/>
        <v>2.8E-5</v>
      </c>
      <c r="B268">
        <v>2.8</v>
      </c>
      <c r="C268" s="140">
        <f t="shared" si="109"/>
        <v>2.7999999999999991E-7</v>
      </c>
      <c r="D268" s="140">
        <f t="shared" si="109"/>
        <v>5.5999999999999993E-7</v>
      </c>
      <c r="E268" s="140">
        <f t="shared" si="109"/>
        <v>8.4E-7</v>
      </c>
      <c r="F268" s="140">
        <f t="shared" si="109"/>
        <v>1.1200000000000001E-6</v>
      </c>
      <c r="G268" s="140">
        <f t="shared" si="109"/>
        <v>1.4000000000000001E-6</v>
      </c>
      <c r="H268" s="124">
        <f t="shared" si="60"/>
        <v>0.8</v>
      </c>
      <c r="I268" s="156">
        <f t="shared" si="61"/>
        <v>9.9999999999999995E-8</v>
      </c>
      <c r="K268" s="140">
        <f t="shared" si="62"/>
        <v>2.8E-5</v>
      </c>
      <c r="L268">
        <v>2.8</v>
      </c>
      <c r="M268" s="140">
        <f t="shared" si="63"/>
        <v>2.7999999999999991E-7</v>
      </c>
      <c r="N268" s="140">
        <f t="shared" si="64"/>
        <v>5.5999999999999993E-7</v>
      </c>
      <c r="O268" s="140">
        <f t="shared" si="65"/>
        <v>8.4E-7</v>
      </c>
      <c r="P268" s="140">
        <f t="shared" si="58"/>
        <v>1.1200000000000001E-6</v>
      </c>
      <c r="Q268" s="140">
        <f t="shared" si="66"/>
        <v>1.4000000000000001E-6</v>
      </c>
      <c r="R268" s="157">
        <f t="shared" si="67"/>
        <v>0.8</v>
      </c>
      <c r="S268" s="156">
        <f t="shared" si="68"/>
        <v>9.9999999999999995E-8</v>
      </c>
      <c r="U268" s="140">
        <f t="shared" si="69"/>
        <v>2.8E-5</v>
      </c>
      <c r="V268">
        <v>2.8</v>
      </c>
      <c r="W268" s="140">
        <f t="shared" si="70"/>
        <v>2.7999999999999991E-7</v>
      </c>
      <c r="X268" s="140">
        <f t="shared" si="71"/>
        <v>5.5999999999999993E-7</v>
      </c>
      <c r="Y268" s="140">
        <f t="shared" si="72"/>
        <v>8.4E-7</v>
      </c>
      <c r="Z268" s="140">
        <f t="shared" si="73"/>
        <v>1.1200000000000001E-6</v>
      </c>
      <c r="AA268" s="140">
        <f t="shared" si="74"/>
        <v>1.4000000000000001E-6</v>
      </c>
      <c r="AB268" s="157">
        <f t="shared" si="75"/>
        <v>0.8</v>
      </c>
      <c r="AC268" s="156">
        <f t="shared" si="76"/>
        <v>9.9999999999999995E-8</v>
      </c>
      <c r="AE268" s="140">
        <f t="shared" si="77"/>
        <v>2.8E-5</v>
      </c>
      <c r="AF268">
        <v>2.8</v>
      </c>
      <c r="AG268" s="140">
        <f t="shared" si="78"/>
        <v>2.7999999999999991E-7</v>
      </c>
      <c r="AH268" s="140">
        <f t="shared" si="79"/>
        <v>5.5999999999999993E-7</v>
      </c>
      <c r="AI268" s="140">
        <f t="shared" si="80"/>
        <v>8.4E-7</v>
      </c>
      <c r="AJ268" s="140">
        <f t="shared" si="81"/>
        <v>1.1200000000000001E-6</v>
      </c>
      <c r="AK268" s="140">
        <f t="shared" si="82"/>
        <v>1.4000000000000001E-6</v>
      </c>
      <c r="AL268" s="157">
        <f t="shared" si="83"/>
        <v>1.2</v>
      </c>
      <c r="AM268" s="156">
        <f t="shared" si="84"/>
        <v>9.9999999999999995E-8</v>
      </c>
      <c r="AO268" s="140">
        <f t="shared" si="85"/>
        <v>2.8E-5</v>
      </c>
      <c r="AP268">
        <v>2.8</v>
      </c>
      <c r="AQ268" s="140">
        <f t="shared" si="86"/>
        <v>2.7999999999999991E-7</v>
      </c>
      <c r="AR268" s="140">
        <f t="shared" si="87"/>
        <v>5.5999999999999993E-7</v>
      </c>
      <c r="AS268" s="140">
        <f t="shared" si="88"/>
        <v>8.4E-7</v>
      </c>
      <c r="AT268" s="140">
        <f t="shared" si="89"/>
        <v>1.1200000000000001E-6</v>
      </c>
      <c r="AU268" s="140">
        <f t="shared" si="90"/>
        <v>1.4000000000000001E-6</v>
      </c>
      <c r="AV268" s="157">
        <f t="shared" si="91"/>
        <v>1.2</v>
      </c>
      <c r="AW268" s="156">
        <f t="shared" si="92"/>
        <v>9.9999999999999995E-8</v>
      </c>
      <c r="AY268" s="140">
        <f t="shared" si="93"/>
        <v>2.8E-5</v>
      </c>
      <c r="AZ268">
        <v>2.8</v>
      </c>
      <c r="BA268" s="140">
        <f t="shared" si="94"/>
        <v>2.7999999999999991E-7</v>
      </c>
      <c r="BB268" s="140">
        <f t="shared" si="95"/>
        <v>5.5999999999999993E-7</v>
      </c>
      <c r="BC268" s="140">
        <f t="shared" si="96"/>
        <v>8.4E-7</v>
      </c>
      <c r="BD268" s="140">
        <f t="shared" si="97"/>
        <v>1.1200000000000001E-6</v>
      </c>
      <c r="BE268" s="140">
        <f t="shared" si="98"/>
        <v>1.4000000000000001E-6</v>
      </c>
      <c r="BF268" s="157">
        <f>IF(AY268&lt;$B$89*DATA!$H$1037,DATA!$H$1037,IF(AY268&gt;DATA!$H$1036*$B$89,DATA!$H$1036,1))</f>
        <v>1.2</v>
      </c>
      <c r="BG268" s="156">
        <f t="shared" si="99"/>
        <v>9.9999999999999995E-8</v>
      </c>
      <c r="BI268" s="140">
        <f t="shared" si="100"/>
        <v>2.8E-5</v>
      </c>
      <c r="BJ268">
        <v>2.8</v>
      </c>
      <c r="BK268" s="140">
        <f t="shared" si="101"/>
        <v>2.7999999999999991E-7</v>
      </c>
      <c r="BL268" s="140">
        <f t="shared" si="102"/>
        <v>5.5999999999999993E-7</v>
      </c>
      <c r="BM268" s="140">
        <f t="shared" si="103"/>
        <v>8.4E-7</v>
      </c>
      <c r="BN268" s="140">
        <f t="shared" si="104"/>
        <v>1.1200000000000001E-6</v>
      </c>
      <c r="BO268" s="140">
        <f t="shared" si="105"/>
        <v>1.4000000000000001E-6</v>
      </c>
      <c r="BP268" s="157">
        <f>IF(BI268&lt;$B$105*DATA!$H$1037,DATA!$H$1037,IF(BI268&gt;DATA!$H$1036*$B$105,DATA!$H$1036,1))</f>
        <v>1.2</v>
      </c>
      <c r="BQ268" s="156">
        <f t="shared" si="106"/>
        <v>9.9999999999999995E-8</v>
      </c>
    </row>
    <row r="269" spans="1:69">
      <c r="A269" s="140">
        <f t="shared" si="59"/>
        <v>2.8200000000000001E-5</v>
      </c>
      <c r="B269">
        <v>2.82</v>
      </c>
      <c r="C269" s="140">
        <f t="shared" si="109"/>
        <v>2.819999999999999E-7</v>
      </c>
      <c r="D269" s="140">
        <f t="shared" si="109"/>
        <v>5.6399999999999992E-7</v>
      </c>
      <c r="E269" s="140">
        <f t="shared" si="109"/>
        <v>8.4600000000000003E-7</v>
      </c>
      <c r="F269" s="140">
        <f t="shared" si="109"/>
        <v>1.128E-6</v>
      </c>
      <c r="G269" s="140">
        <f t="shared" si="109"/>
        <v>1.4100000000000001E-6</v>
      </c>
      <c r="H269" s="124">
        <f t="shared" si="60"/>
        <v>0.8</v>
      </c>
      <c r="I269" s="156">
        <f t="shared" si="61"/>
        <v>9.9999999999999995E-8</v>
      </c>
      <c r="K269" s="140">
        <f t="shared" si="62"/>
        <v>2.8200000000000001E-5</v>
      </c>
      <c r="L269">
        <v>2.82</v>
      </c>
      <c r="M269" s="140">
        <f t="shared" si="63"/>
        <v>2.819999999999999E-7</v>
      </c>
      <c r="N269" s="140">
        <f t="shared" si="64"/>
        <v>5.6399999999999992E-7</v>
      </c>
      <c r="O269" s="140">
        <f t="shared" si="65"/>
        <v>8.4600000000000003E-7</v>
      </c>
      <c r="P269" s="140">
        <f t="shared" si="58"/>
        <v>1.128E-6</v>
      </c>
      <c r="Q269" s="140">
        <f t="shared" si="66"/>
        <v>1.4100000000000001E-6</v>
      </c>
      <c r="R269" s="157">
        <f t="shared" si="67"/>
        <v>0.8</v>
      </c>
      <c r="S269" s="156">
        <f t="shared" si="68"/>
        <v>9.9999999999999995E-8</v>
      </c>
      <c r="U269" s="140">
        <f t="shared" si="69"/>
        <v>2.8200000000000001E-5</v>
      </c>
      <c r="V269">
        <v>2.82</v>
      </c>
      <c r="W269" s="140">
        <f t="shared" si="70"/>
        <v>2.819999999999999E-7</v>
      </c>
      <c r="X269" s="140">
        <f t="shared" si="71"/>
        <v>5.6399999999999992E-7</v>
      </c>
      <c r="Y269" s="140">
        <f t="shared" si="72"/>
        <v>8.4600000000000003E-7</v>
      </c>
      <c r="Z269" s="140">
        <f t="shared" si="73"/>
        <v>1.128E-6</v>
      </c>
      <c r="AA269" s="140">
        <f t="shared" si="74"/>
        <v>1.4100000000000001E-6</v>
      </c>
      <c r="AB269" s="157">
        <f t="shared" si="75"/>
        <v>0.8</v>
      </c>
      <c r="AC269" s="156">
        <f t="shared" si="76"/>
        <v>9.9999999999999995E-8</v>
      </c>
      <c r="AE269" s="140">
        <f t="shared" si="77"/>
        <v>2.8200000000000001E-5</v>
      </c>
      <c r="AF269">
        <v>2.82</v>
      </c>
      <c r="AG269" s="140">
        <f t="shared" si="78"/>
        <v>2.819999999999999E-7</v>
      </c>
      <c r="AH269" s="140">
        <f t="shared" si="79"/>
        <v>5.6399999999999992E-7</v>
      </c>
      <c r="AI269" s="140">
        <f t="shared" si="80"/>
        <v>8.4600000000000003E-7</v>
      </c>
      <c r="AJ269" s="140">
        <f t="shared" si="81"/>
        <v>1.128E-6</v>
      </c>
      <c r="AK269" s="140">
        <f t="shared" si="82"/>
        <v>1.4100000000000001E-6</v>
      </c>
      <c r="AL269" s="157">
        <f t="shared" si="83"/>
        <v>1.2</v>
      </c>
      <c r="AM269" s="156">
        <f t="shared" si="84"/>
        <v>9.9999999999999995E-8</v>
      </c>
      <c r="AO269" s="140">
        <f t="shared" si="85"/>
        <v>2.8200000000000001E-5</v>
      </c>
      <c r="AP269">
        <v>2.82</v>
      </c>
      <c r="AQ269" s="140">
        <f t="shared" si="86"/>
        <v>2.819999999999999E-7</v>
      </c>
      <c r="AR269" s="140">
        <f t="shared" si="87"/>
        <v>5.6399999999999992E-7</v>
      </c>
      <c r="AS269" s="140">
        <f t="shared" si="88"/>
        <v>8.4600000000000003E-7</v>
      </c>
      <c r="AT269" s="140">
        <f t="shared" si="89"/>
        <v>1.128E-6</v>
      </c>
      <c r="AU269" s="140">
        <f t="shared" si="90"/>
        <v>1.4100000000000001E-6</v>
      </c>
      <c r="AV269" s="157">
        <f t="shared" si="91"/>
        <v>1.2</v>
      </c>
      <c r="AW269" s="156">
        <f t="shared" si="92"/>
        <v>9.9999999999999995E-8</v>
      </c>
      <c r="AY269" s="140">
        <f t="shared" si="93"/>
        <v>2.8200000000000001E-5</v>
      </c>
      <c r="AZ269">
        <v>2.82</v>
      </c>
      <c r="BA269" s="140">
        <f t="shared" si="94"/>
        <v>2.819999999999999E-7</v>
      </c>
      <c r="BB269" s="140">
        <f t="shared" si="95"/>
        <v>5.6399999999999992E-7</v>
      </c>
      <c r="BC269" s="140">
        <f t="shared" si="96"/>
        <v>8.4600000000000003E-7</v>
      </c>
      <c r="BD269" s="140">
        <f t="shared" si="97"/>
        <v>1.128E-6</v>
      </c>
      <c r="BE269" s="140">
        <f t="shared" si="98"/>
        <v>1.4100000000000001E-6</v>
      </c>
      <c r="BF269" s="157">
        <f>IF(AY269&lt;$B$89*DATA!$H$1037,DATA!$H$1037,IF(AY269&gt;DATA!$H$1036*$B$89,DATA!$H$1036,1))</f>
        <v>1.2</v>
      </c>
      <c r="BG269" s="156">
        <f t="shared" si="99"/>
        <v>9.9999999999999995E-8</v>
      </c>
      <c r="BI269" s="140">
        <f t="shared" si="100"/>
        <v>2.8200000000000001E-5</v>
      </c>
      <c r="BJ269">
        <v>2.82</v>
      </c>
      <c r="BK269" s="140">
        <f t="shared" si="101"/>
        <v>2.819999999999999E-7</v>
      </c>
      <c r="BL269" s="140">
        <f t="shared" si="102"/>
        <v>5.6399999999999992E-7</v>
      </c>
      <c r="BM269" s="140">
        <f t="shared" si="103"/>
        <v>8.4600000000000003E-7</v>
      </c>
      <c r="BN269" s="140">
        <f t="shared" si="104"/>
        <v>1.128E-6</v>
      </c>
      <c r="BO269" s="140">
        <f t="shared" si="105"/>
        <v>1.4100000000000001E-6</v>
      </c>
      <c r="BP269" s="157">
        <f>IF(BI269&lt;$B$105*DATA!$H$1037,DATA!$H$1037,IF(BI269&gt;DATA!$H$1036*$B$105,DATA!$H$1036,1))</f>
        <v>1.2</v>
      </c>
      <c r="BQ269" s="156">
        <f t="shared" si="106"/>
        <v>9.9999999999999995E-8</v>
      </c>
    </row>
    <row r="270" spans="1:69">
      <c r="A270" s="140">
        <f t="shared" si="59"/>
        <v>2.8400000000000003E-5</v>
      </c>
      <c r="B270">
        <v>2.84</v>
      </c>
      <c r="C270" s="140">
        <f t="shared" si="109"/>
        <v>2.8399999999999995E-7</v>
      </c>
      <c r="D270" s="140">
        <f t="shared" si="109"/>
        <v>5.68E-7</v>
      </c>
      <c r="E270" s="140">
        <f t="shared" si="109"/>
        <v>8.5200000000000006E-7</v>
      </c>
      <c r="F270" s="140">
        <f t="shared" si="109"/>
        <v>1.1360000000000002E-6</v>
      </c>
      <c r="G270" s="140">
        <f t="shared" si="109"/>
        <v>1.4200000000000002E-6</v>
      </c>
      <c r="H270" s="124">
        <f t="shared" si="60"/>
        <v>0.8</v>
      </c>
      <c r="I270" s="156">
        <f t="shared" si="61"/>
        <v>9.9999999999999995E-8</v>
      </c>
      <c r="K270" s="140">
        <f t="shared" si="62"/>
        <v>2.8400000000000003E-5</v>
      </c>
      <c r="L270">
        <v>2.84</v>
      </c>
      <c r="M270" s="140">
        <f t="shared" si="63"/>
        <v>2.8399999999999995E-7</v>
      </c>
      <c r="N270" s="140">
        <f t="shared" si="64"/>
        <v>5.68E-7</v>
      </c>
      <c r="O270" s="140">
        <f t="shared" si="65"/>
        <v>8.5200000000000006E-7</v>
      </c>
      <c r="P270" s="140">
        <f t="shared" si="58"/>
        <v>1.1360000000000002E-6</v>
      </c>
      <c r="Q270" s="140">
        <f t="shared" si="66"/>
        <v>1.4200000000000002E-6</v>
      </c>
      <c r="R270" s="157">
        <f t="shared" si="67"/>
        <v>0.8</v>
      </c>
      <c r="S270" s="156">
        <f t="shared" si="68"/>
        <v>9.9999999999999995E-8</v>
      </c>
      <c r="U270" s="140">
        <f t="shared" si="69"/>
        <v>2.8400000000000003E-5</v>
      </c>
      <c r="V270">
        <v>2.84</v>
      </c>
      <c r="W270" s="140">
        <f t="shared" si="70"/>
        <v>2.8399999999999995E-7</v>
      </c>
      <c r="X270" s="140">
        <f t="shared" si="71"/>
        <v>5.68E-7</v>
      </c>
      <c r="Y270" s="140">
        <f t="shared" si="72"/>
        <v>8.5200000000000006E-7</v>
      </c>
      <c r="Z270" s="140">
        <f t="shared" si="73"/>
        <v>1.1360000000000002E-6</v>
      </c>
      <c r="AA270" s="140">
        <f t="shared" si="74"/>
        <v>1.4200000000000002E-6</v>
      </c>
      <c r="AB270" s="157">
        <f t="shared" si="75"/>
        <v>0.8</v>
      </c>
      <c r="AC270" s="156">
        <f t="shared" si="76"/>
        <v>9.9999999999999995E-8</v>
      </c>
      <c r="AE270" s="140">
        <f t="shared" si="77"/>
        <v>2.8400000000000003E-5</v>
      </c>
      <c r="AF270">
        <v>2.84</v>
      </c>
      <c r="AG270" s="140">
        <f t="shared" si="78"/>
        <v>2.8399999999999995E-7</v>
      </c>
      <c r="AH270" s="140">
        <f t="shared" si="79"/>
        <v>5.68E-7</v>
      </c>
      <c r="AI270" s="140">
        <f t="shared" si="80"/>
        <v>8.5200000000000006E-7</v>
      </c>
      <c r="AJ270" s="140">
        <f t="shared" si="81"/>
        <v>1.1360000000000002E-6</v>
      </c>
      <c r="AK270" s="140">
        <f t="shared" si="82"/>
        <v>1.4200000000000002E-6</v>
      </c>
      <c r="AL270" s="157">
        <f t="shared" si="83"/>
        <v>1.2</v>
      </c>
      <c r="AM270" s="156">
        <f t="shared" si="84"/>
        <v>9.9999999999999995E-8</v>
      </c>
      <c r="AO270" s="140">
        <f t="shared" si="85"/>
        <v>2.8400000000000003E-5</v>
      </c>
      <c r="AP270">
        <v>2.84</v>
      </c>
      <c r="AQ270" s="140">
        <f t="shared" si="86"/>
        <v>2.8399999999999995E-7</v>
      </c>
      <c r="AR270" s="140">
        <f t="shared" si="87"/>
        <v>5.68E-7</v>
      </c>
      <c r="AS270" s="140">
        <f t="shared" si="88"/>
        <v>8.5200000000000006E-7</v>
      </c>
      <c r="AT270" s="140">
        <f t="shared" si="89"/>
        <v>1.1360000000000002E-6</v>
      </c>
      <c r="AU270" s="140">
        <f t="shared" si="90"/>
        <v>1.4200000000000002E-6</v>
      </c>
      <c r="AV270" s="157">
        <f t="shared" si="91"/>
        <v>1.2</v>
      </c>
      <c r="AW270" s="156">
        <f t="shared" si="92"/>
        <v>9.9999999999999995E-8</v>
      </c>
      <c r="AY270" s="140">
        <f t="shared" si="93"/>
        <v>2.8400000000000003E-5</v>
      </c>
      <c r="AZ270">
        <v>2.84</v>
      </c>
      <c r="BA270" s="140">
        <f t="shared" si="94"/>
        <v>2.8399999999999995E-7</v>
      </c>
      <c r="BB270" s="140">
        <f t="shared" si="95"/>
        <v>5.68E-7</v>
      </c>
      <c r="BC270" s="140">
        <f t="shared" si="96"/>
        <v>8.5200000000000006E-7</v>
      </c>
      <c r="BD270" s="140">
        <f t="shared" si="97"/>
        <v>1.1360000000000002E-6</v>
      </c>
      <c r="BE270" s="140">
        <f t="shared" si="98"/>
        <v>1.4200000000000002E-6</v>
      </c>
      <c r="BF270" s="157">
        <f>IF(AY270&lt;$B$89*DATA!$H$1037,DATA!$H$1037,IF(AY270&gt;DATA!$H$1036*$B$89,DATA!$H$1036,1))</f>
        <v>1.2</v>
      </c>
      <c r="BG270" s="156">
        <f t="shared" si="99"/>
        <v>9.9999999999999995E-8</v>
      </c>
      <c r="BI270" s="140">
        <f t="shared" si="100"/>
        <v>2.8400000000000003E-5</v>
      </c>
      <c r="BJ270">
        <v>2.84</v>
      </c>
      <c r="BK270" s="140">
        <f t="shared" si="101"/>
        <v>2.8399999999999995E-7</v>
      </c>
      <c r="BL270" s="140">
        <f t="shared" si="102"/>
        <v>5.68E-7</v>
      </c>
      <c r="BM270" s="140">
        <f t="shared" si="103"/>
        <v>8.5200000000000006E-7</v>
      </c>
      <c r="BN270" s="140">
        <f t="shared" si="104"/>
        <v>1.1360000000000002E-6</v>
      </c>
      <c r="BO270" s="140">
        <f t="shared" si="105"/>
        <v>1.4200000000000002E-6</v>
      </c>
      <c r="BP270" s="157">
        <f>IF(BI270&lt;$B$105*DATA!$H$1037,DATA!$H$1037,IF(BI270&gt;DATA!$H$1036*$B$105,DATA!$H$1036,1))</f>
        <v>1.2</v>
      </c>
      <c r="BQ270" s="156">
        <f t="shared" si="106"/>
        <v>9.9999999999999995E-8</v>
      </c>
    </row>
    <row r="271" spans="1:69">
      <c r="A271" s="140">
        <f t="shared" si="59"/>
        <v>2.8600000000000001E-5</v>
      </c>
      <c r="B271">
        <v>2.86</v>
      </c>
      <c r="C271" s="140">
        <f t="shared" ref="C271:G286" si="110">C$142*$A271</f>
        <v>2.8599999999999989E-7</v>
      </c>
      <c r="D271" s="140">
        <f t="shared" si="110"/>
        <v>5.7199999999999988E-7</v>
      </c>
      <c r="E271" s="140">
        <f t="shared" si="110"/>
        <v>8.5799999999999998E-7</v>
      </c>
      <c r="F271" s="140">
        <f t="shared" si="110"/>
        <v>1.144E-6</v>
      </c>
      <c r="G271" s="140">
        <f t="shared" si="110"/>
        <v>1.4300000000000001E-6</v>
      </c>
      <c r="H271" s="124">
        <f t="shared" si="60"/>
        <v>0.8</v>
      </c>
      <c r="I271" s="156">
        <f t="shared" si="61"/>
        <v>9.9999999999999995E-8</v>
      </c>
      <c r="K271" s="140">
        <f t="shared" si="62"/>
        <v>2.8600000000000001E-5</v>
      </c>
      <c r="L271">
        <v>2.86</v>
      </c>
      <c r="M271" s="140">
        <f t="shared" si="63"/>
        <v>2.8599999999999989E-7</v>
      </c>
      <c r="N271" s="140">
        <f t="shared" si="64"/>
        <v>5.7199999999999988E-7</v>
      </c>
      <c r="O271" s="140">
        <f t="shared" si="65"/>
        <v>8.5799999999999998E-7</v>
      </c>
      <c r="P271" s="140">
        <f t="shared" ref="P271:P318" si="111">P$142*$K271</f>
        <v>1.144E-6</v>
      </c>
      <c r="Q271" s="140">
        <f t="shared" si="66"/>
        <v>1.4300000000000001E-6</v>
      </c>
      <c r="R271" s="157">
        <f t="shared" si="67"/>
        <v>0.8</v>
      </c>
      <c r="S271" s="156">
        <f t="shared" si="68"/>
        <v>9.9999999999999995E-8</v>
      </c>
      <c r="U271" s="140">
        <f t="shared" si="69"/>
        <v>2.8600000000000001E-5</v>
      </c>
      <c r="V271">
        <v>2.86</v>
      </c>
      <c r="W271" s="140">
        <f t="shared" si="70"/>
        <v>2.8599999999999989E-7</v>
      </c>
      <c r="X271" s="140">
        <f t="shared" si="71"/>
        <v>5.7199999999999988E-7</v>
      </c>
      <c r="Y271" s="140">
        <f t="shared" si="72"/>
        <v>8.5799999999999998E-7</v>
      </c>
      <c r="Z271" s="140">
        <f t="shared" si="73"/>
        <v>1.144E-6</v>
      </c>
      <c r="AA271" s="140">
        <f t="shared" si="74"/>
        <v>1.4300000000000001E-6</v>
      </c>
      <c r="AB271" s="157">
        <f t="shared" si="75"/>
        <v>0.8</v>
      </c>
      <c r="AC271" s="156">
        <f t="shared" si="76"/>
        <v>9.9999999999999995E-8</v>
      </c>
      <c r="AE271" s="140">
        <f t="shared" si="77"/>
        <v>2.8600000000000001E-5</v>
      </c>
      <c r="AF271">
        <v>2.86</v>
      </c>
      <c r="AG271" s="140">
        <f t="shared" si="78"/>
        <v>2.8599999999999989E-7</v>
      </c>
      <c r="AH271" s="140">
        <f t="shared" si="79"/>
        <v>5.7199999999999988E-7</v>
      </c>
      <c r="AI271" s="140">
        <f t="shared" si="80"/>
        <v>8.5799999999999998E-7</v>
      </c>
      <c r="AJ271" s="140">
        <f t="shared" si="81"/>
        <v>1.144E-6</v>
      </c>
      <c r="AK271" s="140">
        <f t="shared" si="82"/>
        <v>1.4300000000000001E-6</v>
      </c>
      <c r="AL271" s="157">
        <f t="shared" si="83"/>
        <v>1.2</v>
      </c>
      <c r="AM271" s="156">
        <f t="shared" si="84"/>
        <v>9.9999999999999995E-8</v>
      </c>
      <c r="AO271" s="140">
        <f t="shared" si="85"/>
        <v>2.8600000000000001E-5</v>
      </c>
      <c r="AP271">
        <v>2.86</v>
      </c>
      <c r="AQ271" s="140">
        <f t="shared" si="86"/>
        <v>2.8599999999999989E-7</v>
      </c>
      <c r="AR271" s="140">
        <f t="shared" si="87"/>
        <v>5.7199999999999988E-7</v>
      </c>
      <c r="AS271" s="140">
        <f t="shared" si="88"/>
        <v>8.5799999999999998E-7</v>
      </c>
      <c r="AT271" s="140">
        <f t="shared" si="89"/>
        <v>1.144E-6</v>
      </c>
      <c r="AU271" s="140">
        <f t="shared" si="90"/>
        <v>1.4300000000000001E-6</v>
      </c>
      <c r="AV271" s="157">
        <f t="shared" si="91"/>
        <v>1.2</v>
      </c>
      <c r="AW271" s="156">
        <f t="shared" si="92"/>
        <v>9.9999999999999995E-8</v>
      </c>
      <c r="AY271" s="140">
        <f t="shared" si="93"/>
        <v>2.8600000000000001E-5</v>
      </c>
      <c r="AZ271">
        <v>2.86</v>
      </c>
      <c r="BA271" s="140">
        <f t="shared" si="94"/>
        <v>2.8599999999999989E-7</v>
      </c>
      <c r="BB271" s="140">
        <f t="shared" si="95"/>
        <v>5.7199999999999988E-7</v>
      </c>
      <c r="BC271" s="140">
        <f t="shared" si="96"/>
        <v>8.5799999999999998E-7</v>
      </c>
      <c r="BD271" s="140">
        <f t="shared" si="97"/>
        <v>1.144E-6</v>
      </c>
      <c r="BE271" s="140">
        <f t="shared" si="98"/>
        <v>1.4300000000000001E-6</v>
      </c>
      <c r="BF271" s="157">
        <f>IF(AY271&lt;$B$89*DATA!$H$1037,DATA!$H$1037,IF(AY271&gt;DATA!$H$1036*$B$89,DATA!$H$1036,1))</f>
        <v>1.2</v>
      </c>
      <c r="BG271" s="156">
        <f t="shared" si="99"/>
        <v>9.9999999999999995E-8</v>
      </c>
      <c r="BI271" s="140">
        <f t="shared" si="100"/>
        <v>2.8600000000000001E-5</v>
      </c>
      <c r="BJ271">
        <v>2.86</v>
      </c>
      <c r="BK271" s="140">
        <f t="shared" si="101"/>
        <v>2.8599999999999989E-7</v>
      </c>
      <c r="BL271" s="140">
        <f t="shared" si="102"/>
        <v>5.7199999999999988E-7</v>
      </c>
      <c r="BM271" s="140">
        <f t="shared" si="103"/>
        <v>8.5799999999999998E-7</v>
      </c>
      <c r="BN271" s="140">
        <f t="shared" si="104"/>
        <v>1.144E-6</v>
      </c>
      <c r="BO271" s="140">
        <f t="shared" si="105"/>
        <v>1.4300000000000001E-6</v>
      </c>
      <c r="BP271" s="157">
        <f>IF(BI271&lt;$B$105*DATA!$H$1037,DATA!$H$1037,IF(BI271&gt;DATA!$H$1036*$B$105,DATA!$H$1036,1))</f>
        <v>1.2</v>
      </c>
      <c r="BQ271" s="156">
        <f t="shared" si="106"/>
        <v>9.9999999999999995E-8</v>
      </c>
    </row>
    <row r="272" spans="1:69">
      <c r="A272" s="140">
        <f t="shared" ref="A272:A318" si="112">B272*B$136</f>
        <v>2.8800000000000002E-5</v>
      </c>
      <c r="B272">
        <v>2.88</v>
      </c>
      <c r="C272" s="140">
        <f t="shared" si="110"/>
        <v>2.8799999999999993E-7</v>
      </c>
      <c r="D272" s="140">
        <f t="shared" si="110"/>
        <v>5.7599999999999997E-7</v>
      </c>
      <c r="E272" s="140">
        <f t="shared" si="110"/>
        <v>8.6400000000000001E-7</v>
      </c>
      <c r="F272" s="140">
        <f t="shared" si="110"/>
        <v>1.1520000000000002E-6</v>
      </c>
      <c r="G272" s="140">
        <f t="shared" si="110"/>
        <v>1.4400000000000002E-6</v>
      </c>
      <c r="H272" s="124">
        <f t="shared" ref="H272:H318" si="113">IF(A272&lt;$B$9*0.8,0.8,IF(A272&gt;1.2*$B$9,1.2,1))</f>
        <v>0.8</v>
      </c>
      <c r="I272" s="156">
        <f t="shared" ref="I272:I318" si="114">IF(OR(B$134=0,B$133=0),0.0000001,IF(H272=1,B$134,A272*((B$134*B$138)/(H272*B$133)+0.023*LOG10(H272*B$133/A272))/B$138))</f>
        <v>9.9999999999999995E-8</v>
      </c>
      <c r="K272" s="140">
        <f t="shared" ref="K272:K318" si="115">L272*L$136</f>
        <v>2.8800000000000002E-5</v>
      </c>
      <c r="L272">
        <v>2.88</v>
      </c>
      <c r="M272" s="140">
        <f t="shared" ref="M272:M318" si="116">M$142*K272</f>
        <v>2.8799999999999993E-7</v>
      </c>
      <c r="N272" s="140">
        <f t="shared" ref="N272:N318" si="117">N$142*K272</f>
        <v>5.7599999999999997E-7</v>
      </c>
      <c r="O272" s="140">
        <f t="shared" ref="O272:O318" si="118">O$142*K272</f>
        <v>8.6400000000000001E-7</v>
      </c>
      <c r="P272" s="140">
        <f t="shared" si="111"/>
        <v>1.1520000000000002E-6</v>
      </c>
      <c r="Q272" s="140">
        <f t="shared" ref="Q272:Q318" si="119">Q$142*K272</f>
        <v>1.4400000000000002E-6</v>
      </c>
      <c r="R272" s="157">
        <f t="shared" ref="R272:R318" si="120">IF(K272&lt;$B$25*0.8,0.8,IF(K272&gt;1.2*$B$25,1.2,1))</f>
        <v>0.8</v>
      </c>
      <c r="S272" s="156">
        <f t="shared" ref="S272:S318" si="121">IF(OR(L$134=0,L$133=0),0.0000001,IF(R272=1,L$134,K272*((L$134*L$138)/(R272*L$133)+0.023*LOG10(R272*L$133/K272))/L$138))</f>
        <v>9.9999999999999995E-8</v>
      </c>
      <c r="U272" s="140">
        <f t="shared" ref="U272:U318" si="122">V272*V$136</f>
        <v>2.8800000000000002E-5</v>
      </c>
      <c r="V272">
        <v>2.88</v>
      </c>
      <c r="W272" s="140">
        <f t="shared" ref="W272:W318" si="123">W$142*U272</f>
        <v>2.8799999999999993E-7</v>
      </c>
      <c r="X272" s="140">
        <f t="shared" ref="X272:X318" si="124">X$142*U272</f>
        <v>5.7599999999999997E-7</v>
      </c>
      <c r="Y272" s="140">
        <f t="shared" ref="Y272:Y318" si="125">Y$142*U272</f>
        <v>8.6400000000000001E-7</v>
      </c>
      <c r="Z272" s="140">
        <f t="shared" ref="Z272:Z318" si="126">Z$142*U272</f>
        <v>1.1520000000000002E-6</v>
      </c>
      <c r="AA272" s="140">
        <f t="shared" ref="AA272:AA318" si="127">AA$142*U272</f>
        <v>1.4400000000000002E-6</v>
      </c>
      <c r="AB272" s="157">
        <f t="shared" ref="AB272:AB318" si="128">IF(U272&lt;$B$41*0.8,0.8,IF(U272&gt;1.2*$B$41,1.2,1))</f>
        <v>0.8</v>
      </c>
      <c r="AC272" s="156">
        <f t="shared" ref="AC272:AC318" si="129">IF(OR(V$134=0,V$133=0),0.0000001,IF(AB272=1,V$134,U272*((V$134*V$138)/(AB272*V$133)+0.023*LOG10(AB272*V$133/U272))/V$138))</f>
        <v>9.9999999999999995E-8</v>
      </c>
      <c r="AE272" s="140">
        <f t="shared" ref="AE272:AE318" si="130">AF272*AF$136</f>
        <v>2.8800000000000002E-5</v>
      </c>
      <c r="AF272">
        <v>2.88</v>
      </c>
      <c r="AG272" s="140">
        <f t="shared" ref="AG272:AG318" si="131">AG$142*AE272</f>
        <v>2.8799999999999993E-7</v>
      </c>
      <c r="AH272" s="140">
        <f t="shared" ref="AH272:AH318" si="132">AH$142*AE272</f>
        <v>5.7599999999999997E-7</v>
      </c>
      <c r="AI272" s="140">
        <f t="shared" ref="AI272:AI318" si="133">AI$142*AE272</f>
        <v>8.6400000000000001E-7</v>
      </c>
      <c r="AJ272" s="140">
        <f t="shared" ref="AJ272:AJ318" si="134">AJ$142*AE272</f>
        <v>1.1520000000000002E-6</v>
      </c>
      <c r="AK272" s="140">
        <f t="shared" ref="AK272:AK318" si="135">AK$142*AE272</f>
        <v>1.4400000000000002E-6</v>
      </c>
      <c r="AL272" s="157">
        <f t="shared" ref="AL272:AL318" si="136">IF(AE272&lt;$B$57*0.8,0.8,IF(AE272&gt;1.2*$B$57,1.2,1))</f>
        <v>1.2</v>
      </c>
      <c r="AM272" s="156">
        <f t="shared" ref="AM272:AM318" si="137">IF(OR(AF$134=0,AF$133=0),0.0000001,IF(AL272=1,AF$134,AE272*((AF$134*AF$138)/(AL272*AF$133)+0.023*LOG10(AL272*AF$133/AE272))/AF$138))</f>
        <v>9.9999999999999995E-8</v>
      </c>
      <c r="AO272" s="140">
        <f t="shared" ref="AO272:AO318" si="138">AP272*AP$136</f>
        <v>2.8800000000000002E-5</v>
      </c>
      <c r="AP272">
        <v>2.88</v>
      </c>
      <c r="AQ272" s="140">
        <f t="shared" ref="AQ272:AQ318" si="139">AQ$142*AO272</f>
        <v>2.8799999999999993E-7</v>
      </c>
      <c r="AR272" s="140">
        <f t="shared" ref="AR272:AR318" si="140">AR$142*AO272</f>
        <v>5.7599999999999997E-7</v>
      </c>
      <c r="AS272" s="140">
        <f t="shared" ref="AS272:AS318" si="141">AS$142*AO272</f>
        <v>8.6400000000000001E-7</v>
      </c>
      <c r="AT272" s="140">
        <f t="shared" ref="AT272:AT318" si="142">AT$142*AO272</f>
        <v>1.1520000000000002E-6</v>
      </c>
      <c r="AU272" s="140">
        <f t="shared" ref="AU272:AU318" si="143">AU$142*AO272</f>
        <v>1.4400000000000002E-6</v>
      </c>
      <c r="AV272" s="157">
        <f t="shared" ref="AV272:AV318" si="144">IF(AO272&lt;$B$73*0.8,0.8,IF(AO272&gt;1.2*$B$73,1.2,1))</f>
        <v>1.2</v>
      </c>
      <c r="AW272" s="156">
        <f t="shared" ref="AW272:AW318" si="145">IF(OR(AP$134=0,AP$133=0),0.0000001,IF(AV272=1,AP$134,AO272*((AP$134*AP$138)/(AV272*AP$133)+0.023*LOG10(AV272*AP$133/AO272))/AP$138))</f>
        <v>9.9999999999999995E-8</v>
      </c>
      <c r="AY272" s="140">
        <f t="shared" ref="AY272:AY318" si="146">AZ272*AZ$136</f>
        <v>2.8800000000000002E-5</v>
      </c>
      <c r="AZ272">
        <v>2.88</v>
      </c>
      <c r="BA272" s="140">
        <f t="shared" ref="BA272:BA318" si="147">BA$142*AY272</f>
        <v>2.8799999999999993E-7</v>
      </c>
      <c r="BB272" s="140">
        <f t="shared" ref="BB272:BB318" si="148">BB$142*AY272</f>
        <v>5.7599999999999997E-7</v>
      </c>
      <c r="BC272" s="140">
        <f t="shared" ref="BC272:BC318" si="149">BC$142*AY272</f>
        <v>8.6400000000000001E-7</v>
      </c>
      <c r="BD272" s="140">
        <f t="shared" ref="BD272:BD318" si="150">BD$142*AY272</f>
        <v>1.1520000000000002E-6</v>
      </c>
      <c r="BE272" s="140">
        <f t="shared" ref="BE272:BE318" si="151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52">IF(OR(AZ$134=0,AZ$133=0),0.0000001,IF(BF272=1,AZ$134,AY272*((AZ$134*AZ$138)/(BF272*AZ$133)+0.023*LOG10(BF272*AZ$133/AY272))/AZ$138))</f>
        <v>9.9999999999999995E-8</v>
      </c>
      <c r="BI272" s="140">
        <f t="shared" ref="BI272:BI318" si="153">BJ272*BJ$136</f>
        <v>2.8800000000000002E-5</v>
      </c>
      <c r="BJ272">
        <v>2.88</v>
      </c>
      <c r="BK272" s="140">
        <f t="shared" ref="BK272:BK318" si="154">BK$142*BI272</f>
        <v>2.8799999999999993E-7</v>
      </c>
      <c r="BL272" s="140">
        <f t="shared" ref="BL272:BL318" si="155">BL$142*BI272</f>
        <v>5.7599999999999997E-7</v>
      </c>
      <c r="BM272" s="140">
        <f t="shared" ref="BM272:BM318" si="156">BM$142*BI272</f>
        <v>8.6400000000000001E-7</v>
      </c>
      <c r="BN272" s="140">
        <f t="shared" ref="BN272:BN318" si="157">BN$142*BI272</f>
        <v>1.1520000000000002E-6</v>
      </c>
      <c r="BO272" s="140">
        <f t="shared" ref="BO272:BO318" si="158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9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112"/>
        <v>2.9E-5</v>
      </c>
      <c r="B273">
        <v>2.9</v>
      </c>
      <c r="C273" s="140">
        <f t="shared" si="110"/>
        <v>2.8999999999999992E-7</v>
      </c>
      <c r="D273" s="140">
        <f t="shared" si="110"/>
        <v>5.7999999999999995E-7</v>
      </c>
      <c r="E273" s="140">
        <f t="shared" si="110"/>
        <v>8.6999999999999993E-7</v>
      </c>
      <c r="F273" s="140">
        <f t="shared" si="110"/>
        <v>1.1600000000000001E-6</v>
      </c>
      <c r="G273" s="140">
        <f t="shared" si="110"/>
        <v>1.4500000000000001E-6</v>
      </c>
      <c r="H273" s="124">
        <f t="shared" si="113"/>
        <v>0.8</v>
      </c>
      <c r="I273" s="156">
        <f t="shared" si="114"/>
        <v>9.9999999999999995E-8</v>
      </c>
      <c r="K273" s="140">
        <f t="shared" si="115"/>
        <v>2.9E-5</v>
      </c>
      <c r="L273">
        <v>2.9</v>
      </c>
      <c r="M273" s="140">
        <f t="shared" si="116"/>
        <v>2.8999999999999992E-7</v>
      </c>
      <c r="N273" s="140">
        <f t="shared" si="117"/>
        <v>5.7999999999999995E-7</v>
      </c>
      <c r="O273" s="140">
        <f t="shared" si="118"/>
        <v>8.6999999999999993E-7</v>
      </c>
      <c r="P273" s="140">
        <f t="shared" si="111"/>
        <v>1.1600000000000001E-6</v>
      </c>
      <c r="Q273" s="140">
        <f t="shared" si="119"/>
        <v>1.4500000000000001E-6</v>
      </c>
      <c r="R273" s="157">
        <f t="shared" si="120"/>
        <v>0.8</v>
      </c>
      <c r="S273" s="156">
        <f t="shared" si="121"/>
        <v>9.9999999999999995E-8</v>
      </c>
      <c r="U273" s="140">
        <f t="shared" si="122"/>
        <v>2.9E-5</v>
      </c>
      <c r="V273">
        <v>2.9</v>
      </c>
      <c r="W273" s="140">
        <f t="shared" si="123"/>
        <v>2.8999999999999992E-7</v>
      </c>
      <c r="X273" s="140">
        <f t="shared" si="124"/>
        <v>5.7999999999999995E-7</v>
      </c>
      <c r="Y273" s="140">
        <f t="shared" si="125"/>
        <v>8.6999999999999993E-7</v>
      </c>
      <c r="Z273" s="140">
        <f t="shared" si="126"/>
        <v>1.1600000000000001E-6</v>
      </c>
      <c r="AA273" s="140">
        <f t="shared" si="127"/>
        <v>1.4500000000000001E-6</v>
      </c>
      <c r="AB273" s="157">
        <f t="shared" si="128"/>
        <v>0.8</v>
      </c>
      <c r="AC273" s="156">
        <f t="shared" si="129"/>
        <v>9.9999999999999995E-8</v>
      </c>
      <c r="AE273" s="140">
        <f t="shared" si="130"/>
        <v>2.9E-5</v>
      </c>
      <c r="AF273">
        <v>2.9</v>
      </c>
      <c r="AG273" s="140">
        <f t="shared" si="131"/>
        <v>2.8999999999999992E-7</v>
      </c>
      <c r="AH273" s="140">
        <f t="shared" si="132"/>
        <v>5.7999999999999995E-7</v>
      </c>
      <c r="AI273" s="140">
        <f t="shared" si="133"/>
        <v>8.6999999999999993E-7</v>
      </c>
      <c r="AJ273" s="140">
        <f t="shared" si="134"/>
        <v>1.1600000000000001E-6</v>
      </c>
      <c r="AK273" s="140">
        <f t="shared" si="135"/>
        <v>1.4500000000000001E-6</v>
      </c>
      <c r="AL273" s="157">
        <f t="shared" si="136"/>
        <v>1.2</v>
      </c>
      <c r="AM273" s="156">
        <f t="shared" si="137"/>
        <v>9.9999999999999995E-8</v>
      </c>
      <c r="AO273" s="140">
        <f t="shared" si="138"/>
        <v>2.9E-5</v>
      </c>
      <c r="AP273">
        <v>2.9</v>
      </c>
      <c r="AQ273" s="140">
        <f t="shared" si="139"/>
        <v>2.8999999999999992E-7</v>
      </c>
      <c r="AR273" s="140">
        <f t="shared" si="140"/>
        <v>5.7999999999999995E-7</v>
      </c>
      <c r="AS273" s="140">
        <f t="shared" si="141"/>
        <v>8.6999999999999993E-7</v>
      </c>
      <c r="AT273" s="140">
        <f t="shared" si="142"/>
        <v>1.1600000000000001E-6</v>
      </c>
      <c r="AU273" s="140">
        <f t="shared" si="143"/>
        <v>1.4500000000000001E-6</v>
      </c>
      <c r="AV273" s="157">
        <f t="shared" si="144"/>
        <v>1.2</v>
      </c>
      <c r="AW273" s="156">
        <f t="shared" si="145"/>
        <v>9.9999999999999995E-8</v>
      </c>
      <c r="AY273" s="140">
        <f t="shared" si="146"/>
        <v>2.9E-5</v>
      </c>
      <c r="AZ273">
        <v>2.9</v>
      </c>
      <c r="BA273" s="140">
        <f t="shared" si="147"/>
        <v>2.8999999999999992E-7</v>
      </c>
      <c r="BB273" s="140">
        <f t="shared" si="148"/>
        <v>5.7999999999999995E-7</v>
      </c>
      <c r="BC273" s="140">
        <f t="shared" si="149"/>
        <v>8.6999999999999993E-7</v>
      </c>
      <c r="BD273" s="140">
        <f t="shared" si="150"/>
        <v>1.1600000000000001E-6</v>
      </c>
      <c r="BE273" s="140">
        <f t="shared" si="151"/>
        <v>1.4500000000000001E-6</v>
      </c>
      <c r="BF273" s="157">
        <f>IF(AY273&lt;$B$89*DATA!$H$1037,DATA!$H$1037,IF(AY273&gt;DATA!$H$1036*$B$89,DATA!$H$1036,1))</f>
        <v>1.2</v>
      </c>
      <c r="BG273" s="156">
        <f t="shared" si="152"/>
        <v>9.9999999999999995E-8</v>
      </c>
      <c r="BI273" s="140">
        <f t="shared" si="153"/>
        <v>2.9E-5</v>
      </c>
      <c r="BJ273">
        <v>2.9</v>
      </c>
      <c r="BK273" s="140">
        <f t="shared" si="154"/>
        <v>2.8999999999999992E-7</v>
      </c>
      <c r="BL273" s="140">
        <f t="shared" si="155"/>
        <v>5.7999999999999995E-7</v>
      </c>
      <c r="BM273" s="140">
        <f t="shared" si="156"/>
        <v>8.6999999999999993E-7</v>
      </c>
      <c r="BN273" s="140">
        <f t="shared" si="157"/>
        <v>1.1600000000000001E-6</v>
      </c>
      <c r="BO273" s="140">
        <f t="shared" si="158"/>
        <v>1.4500000000000001E-6</v>
      </c>
      <c r="BP273" s="157">
        <f>IF(BI273&lt;$B$105*DATA!$H$1037,DATA!$H$1037,IF(BI273&gt;DATA!$H$1036*$B$105,DATA!$H$1036,1))</f>
        <v>1.2</v>
      </c>
      <c r="BQ273" s="156">
        <f t="shared" si="159"/>
        <v>9.9999999999999995E-8</v>
      </c>
    </row>
    <row r="274" spans="1:69">
      <c r="A274" s="140">
        <f t="shared" si="112"/>
        <v>2.9200000000000002E-5</v>
      </c>
      <c r="B274">
        <v>2.92</v>
      </c>
      <c r="C274" s="140">
        <f t="shared" si="110"/>
        <v>2.9199999999999991E-7</v>
      </c>
      <c r="D274" s="140">
        <f t="shared" si="110"/>
        <v>5.8399999999999994E-7</v>
      </c>
      <c r="E274" s="140">
        <f t="shared" si="110"/>
        <v>8.7600000000000006E-7</v>
      </c>
      <c r="F274" s="140">
        <f t="shared" si="110"/>
        <v>1.1680000000000001E-6</v>
      </c>
      <c r="G274" s="140">
        <f t="shared" si="110"/>
        <v>1.4600000000000002E-6</v>
      </c>
      <c r="H274" s="124">
        <f t="shared" si="113"/>
        <v>0.8</v>
      </c>
      <c r="I274" s="156">
        <f t="shared" si="114"/>
        <v>9.9999999999999995E-8</v>
      </c>
      <c r="K274" s="140">
        <f t="shared" si="115"/>
        <v>2.9200000000000002E-5</v>
      </c>
      <c r="L274">
        <v>2.92</v>
      </c>
      <c r="M274" s="140">
        <f t="shared" si="116"/>
        <v>2.9199999999999991E-7</v>
      </c>
      <c r="N274" s="140">
        <f t="shared" si="117"/>
        <v>5.8399999999999994E-7</v>
      </c>
      <c r="O274" s="140">
        <f t="shared" si="118"/>
        <v>8.7600000000000006E-7</v>
      </c>
      <c r="P274" s="140">
        <f t="shared" si="111"/>
        <v>1.1680000000000001E-6</v>
      </c>
      <c r="Q274" s="140">
        <f t="shared" si="119"/>
        <v>1.4600000000000002E-6</v>
      </c>
      <c r="R274" s="157">
        <f t="shared" si="120"/>
        <v>0.8</v>
      </c>
      <c r="S274" s="156">
        <f t="shared" si="121"/>
        <v>9.9999999999999995E-8</v>
      </c>
      <c r="U274" s="140">
        <f t="shared" si="122"/>
        <v>2.9200000000000002E-5</v>
      </c>
      <c r="V274">
        <v>2.92</v>
      </c>
      <c r="W274" s="140">
        <f t="shared" si="123"/>
        <v>2.9199999999999991E-7</v>
      </c>
      <c r="X274" s="140">
        <f t="shared" si="124"/>
        <v>5.8399999999999994E-7</v>
      </c>
      <c r="Y274" s="140">
        <f t="shared" si="125"/>
        <v>8.7600000000000006E-7</v>
      </c>
      <c r="Z274" s="140">
        <f t="shared" si="126"/>
        <v>1.1680000000000001E-6</v>
      </c>
      <c r="AA274" s="140">
        <f t="shared" si="127"/>
        <v>1.4600000000000002E-6</v>
      </c>
      <c r="AB274" s="157">
        <f t="shared" si="128"/>
        <v>0.8</v>
      </c>
      <c r="AC274" s="156">
        <f t="shared" si="129"/>
        <v>9.9999999999999995E-8</v>
      </c>
      <c r="AE274" s="140">
        <f t="shared" si="130"/>
        <v>2.9200000000000002E-5</v>
      </c>
      <c r="AF274">
        <v>2.92</v>
      </c>
      <c r="AG274" s="140">
        <f t="shared" si="131"/>
        <v>2.9199999999999991E-7</v>
      </c>
      <c r="AH274" s="140">
        <f t="shared" si="132"/>
        <v>5.8399999999999994E-7</v>
      </c>
      <c r="AI274" s="140">
        <f t="shared" si="133"/>
        <v>8.7600000000000006E-7</v>
      </c>
      <c r="AJ274" s="140">
        <f t="shared" si="134"/>
        <v>1.1680000000000001E-6</v>
      </c>
      <c r="AK274" s="140">
        <f t="shared" si="135"/>
        <v>1.4600000000000002E-6</v>
      </c>
      <c r="AL274" s="157">
        <f t="shared" si="136"/>
        <v>1.2</v>
      </c>
      <c r="AM274" s="156">
        <f t="shared" si="137"/>
        <v>9.9999999999999995E-8</v>
      </c>
      <c r="AO274" s="140">
        <f t="shared" si="138"/>
        <v>2.9200000000000002E-5</v>
      </c>
      <c r="AP274">
        <v>2.92</v>
      </c>
      <c r="AQ274" s="140">
        <f t="shared" si="139"/>
        <v>2.9199999999999991E-7</v>
      </c>
      <c r="AR274" s="140">
        <f t="shared" si="140"/>
        <v>5.8399999999999994E-7</v>
      </c>
      <c r="AS274" s="140">
        <f t="shared" si="141"/>
        <v>8.7600000000000006E-7</v>
      </c>
      <c r="AT274" s="140">
        <f t="shared" si="142"/>
        <v>1.1680000000000001E-6</v>
      </c>
      <c r="AU274" s="140">
        <f t="shared" si="143"/>
        <v>1.4600000000000002E-6</v>
      </c>
      <c r="AV274" s="157">
        <f t="shared" si="144"/>
        <v>1.2</v>
      </c>
      <c r="AW274" s="156">
        <f t="shared" si="145"/>
        <v>9.9999999999999995E-8</v>
      </c>
      <c r="AY274" s="140">
        <f t="shared" si="146"/>
        <v>2.9200000000000002E-5</v>
      </c>
      <c r="AZ274">
        <v>2.92</v>
      </c>
      <c r="BA274" s="140">
        <f t="shared" si="147"/>
        <v>2.9199999999999991E-7</v>
      </c>
      <c r="BB274" s="140">
        <f t="shared" si="148"/>
        <v>5.8399999999999994E-7</v>
      </c>
      <c r="BC274" s="140">
        <f t="shared" si="149"/>
        <v>8.7600000000000006E-7</v>
      </c>
      <c r="BD274" s="140">
        <f t="shared" si="150"/>
        <v>1.1680000000000001E-6</v>
      </c>
      <c r="BE274" s="140">
        <f t="shared" si="151"/>
        <v>1.4600000000000002E-6</v>
      </c>
      <c r="BF274" s="157">
        <f>IF(AY274&lt;$B$89*DATA!$H$1037,DATA!$H$1037,IF(AY274&gt;DATA!$H$1036*$B$89,DATA!$H$1036,1))</f>
        <v>1.2</v>
      </c>
      <c r="BG274" s="156">
        <f t="shared" si="152"/>
        <v>9.9999999999999995E-8</v>
      </c>
      <c r="BI274" s="140">
        <f t="shared" si="153"/>
        <v>2.9200000000000002E-5</v>
      </c>
      <c r="BJ274">
        <v>2.92</v>
      </c>
      <c r="BK274" s="140">
        <f t="shared" si="154"/>
        <v>2.9199999999999991E-7</v>
      </c>
      <c r="BL274" s="140">
        <f t="shared" si="155"/>
        <v>5.8399999999999994E-7</v>
      </c>
      <c r="BM274" s="140">
        <f t="shared" si="156"/>
        <v>8.7600000000000006E-7</v>
      </c>
      <c r="BN274" s="140">
        <f t="shared" si="157"/>
        <v>1.1680000000000001E-6</v>
      </c>
      <c r="BO274" s="140">
        <f t="shared" si="158"/>
        <v>1.4600000000000002E-6</v>
      </c>
      <c r="BP274" s="157">
        <f>IF(BI274&lt;$B$105*DATA!$H$1037,DATA!$H$1037,IF(BI274&gt;DATA!$H$1036*$B$105,DATA!$H$1036,1))</f>
        <v>1.2</v>
      </c>
      <c r="BQ274" s="156">
        <f t="shared" si="159"/>
        <v>9.9999999999999995E-8</v>
      </c>
    </row>
    <row r="275" spans="1:69">
      <c r="A275" s="140">
        <f t="shared" si="112"/>
        <v>2.9400000000000003E-5</v>
      </c>
      <c r="B275">
        <v>2.94</v>
      </c>
      <c r="C275" s="140">
        <f t="shared" si="110"/>
        <v>2.9399999999999996E-7</v>
      </c>
      <c r="D275" s="140">
        <f t="shared" si="110"/>
        <v>5.8800000000000002E-7</v>
      </c>
      <c r="E275" s="140">
        <f t="shared" si="110"/>
        <v>8.8200000000000009E-7</v>
      </c>
      <c r="F275" s="140">
        <f t="shared" si="110"/>
        <v>1.176E-6</v>
      </c>
      <c r="G275" s="140">
        <f t="shared" si="110"/>
        <v>1.4700000000000003E-6</v>
      </c>
      <c r="H275" s="124">
        <f t="shared" si="113"/>
        <v>0.8</v>
      </c>
      <c r="I275" s="156">
        <f t="shared" si="114"/>
        <v>9.9999999999999995E-8</v>
      </c>
      <c r="K275" s="140">
        <f t="shared" si="115"/>
        <v>2.9400000000000003E-5</v>
      </c>
      <c r="L275">
        <v>2.94</v>
      </c>
      <c r="M275" s="140">
        <f t="shared" si="116"/>
        <v>2.9399999999999996E-7</v>
      </c>
      <c r="N275" s="140">
        <f t="shared" si="117"/>
        <v>5.8800000000000002E-7</v>
      </c>
      <c r="O275" s="140">
        <f t="shared" si="118"/>
        <v>8.8200000000000009E-7</v>
      </c>
      <c r="P275" s="140">
        <f t="shared" si="111"/>
        <v>1.176E-6</v>
      </c>
      <c r="Q275" s="140">
        <f t="shared" si="119"/>
        <v>1.4700000000000003E-6</v>
      </c>
      <c r="R275" s="157">
        <f t="shared" si="120"/>
        <v>0.8</v>
      </c>
      <c r="S275" s="156">
        <f t="shared" si="121"/>
        <v>9.9999999999999995E-8</v>
      </c>
      <c r="U275" s="140">
        <f t="shared" si="122"/>
        <v>2.9400000000000003E-5</v>
      </c>
      <c r="V275">
        <v>2.94</v>
      </c>
      <c r="W275" s="140">
        <f t="shared" si="123"/>
        <v>2.9399999999999996E-7</v>
      </c>
      <c r="X275" s="140">
        <f t="shared" si="124"/>
        <v>5.8800000000000002E-7</v>
      </c>
      <c r="Y275" s="140">
        <f t="shared" si="125"/>
        <v>8.8200000000000009E-7</v>
      </c>
      <c r="Z275" s="140">
        <f t="shared" si="126"/>
        <v>1.176E-6</v>
      </c>
      <c r="AA275" s="140">
        <f t="shared" si="127"/>
        <v>1.4700000000000003E-6</v>
      </c>
      <c r="AB275" s="157">
        <f t="shared" si="128"/>
        <v>0.8</v>
      </c>
      <c r="AC275" s="156">
        <f t="shared" si="129"/>
        <v>9.9999999999999995E-8</v>
      </c>
      <c r="AE275" s="140">
        <f t="shared" si="130"/>
        <v>2.9400000000000003E-5</v>
      </c>
      <c r="AF275">
        <v>2.94</v>
      </c>
      <c r="AG275" s="140">
        <f t="shared" si="131"/>
        <v>2.9399999999999996E-7</v>
      </c>
      <c r="AH275" s="140">
        <f t="shared" si="132"/>
        <v>5.8800000000000002E-7</v>
      </c>
      <c r="AI275" s="140">
        <f t="shared" si="133"/>
        <v>8.8200000000000009E-7</v>
      </c>
      <c r="AJ275" s="140">
        <f t="shared" si="134"/>
        <v>1.176E-6</v>
      </c>
      <c r="AK275" s="140">
        <f t="shared" si="135"/>
        <v>1.4700000000000003E-6</v>
      </c>
      <c r="AL275" s="157">
        <f t="shared" si="136"/>
        <v>1.2</v>
      </c>
      <c r="AM275" s="156">
        <f t="shared" si="137"/>
        <v>9.9999999999999995E-8</v>
      </c>
      <c r="AO275" s="140">
        <f t="shared" si="138"/>
        <v>2.9400000000000003E-5</v>
      </c>
      <c r="AP275">
        <v>2.94</v>
      </c>
      <c r="AQ275" s="140">
        <f t="shared" si="139"/>
        <v>2.9399999999999996E-7</v>
      </c>
      <c r="AR275" s="140">
        <f t="shared" si="140"/>
        <v>5.8800000000000002E-7</v>
      </c>
      <c r="AS275" s="140">
        <f t="shared" si="141"/>
        <v>8.8200000000000009E-7</v>
      </c>
      <c r="AT275" s="140">
        <f t="shared" si="142"/>
        <v>1.176E-6</v>
      </c>
      <c r="AU275" s="140">
        <f t="shared" si="143"/>
        <v>1.4700000000000003E-6</v>
      </c>
      <c r="AV275" s="157">
        <f t="shared" si="144"/>
        <v>1.2</v>
      </c>
      <c r="AW275" s="156">
        <f t="shared" si="145"/>
        <v>9.9999999999999995E-8</v>
      </c>
      <c r="AY275" s="140">
        <f t="shared" si="146"/>
        <v>2.9400000000000003E-5</v>
      </c>
      <c r="AZ275">
        <v>2.94</v>
      </c>
      <c r="BA275" s="140">
        <f t="shared" si="147"/>
        <v>2.9399999999999996E-7</v>
      </c>
      <c r="BB275" s="140">
        <f t="shared" si="148"/>
        <v>5.8800000000000002E-7</v>
      </c>
      <c r="BC275" s="140">
        <f t="shared" si="149"/>
        <v>8.8200000000000009E-7</v>
      </c>
      <c r="BD275" s="140">
        <f t="shared" si="150"/>
        <v>1.176E-6</v>
      </c>
      <c r="BE275" s="140">
        <f t="shared" si="151"/>
        <v>1.4700000000000003E-6</v>
      </c>
      <c r="BF275" s="157">
        <f>IF(AY275&lt;$B$89*DATA!$H$1037,DATA!$H$1037,IF(AY275&gt;DATA!$H$1036*$B$89,DATA!$H$1036,1))</f>
        <v>1.2</v>
      </c>
      <c r="BG275" s="156">
        <f t="shared" si="152"/>
        <v>9.9999999999999995E-8</v>
      </c>
      <c r="BI275" s="140">
        <f t="shared" si="153"/>
        <v>2.9400000000000003E-5</v>
      </c>
      <c r="BJ275">
        <v>2.94</v>
      </c>
      <c r="BK275" s="140">
        <f t="shared" si="154"/>
        <v>2.9399999999999996E-7</v>
      </c>
      <c r="BL275" s="140">
        <f t="shared" si="155"/>
        <v>5.8800000000000002E-7</v>
      </c>
      <c r="BM275" s="140">
        <f t="shared" si="156"/>
        <v>8.8200000000000009E-7</v>
      </c>
      <c r="BN275" s="140">
        <f t="shared" si="157"/>
        <v>1.176E-6</v>
      </c>
      <c r="BO275" s="140">
        <f t="shared" si="158"/>
        <v>1.4700000000000003E-6</v>
      </c>
      <c r="BP275" s="157">
        <f>IF(BI275&lt;$B$105*DATA!$H$1037,DATA!$H$1037,IF(BI275&gt;DATA!$H$1036*$B$105,DATA!$H$1036,1))</f>
        <v>1.2</v>
      </c>
      <c r="BQ275" s="156">
        <f t="shared" si="159"/>
        <v>9.9999999999999995E-8</v>
      </c>
    </row>
    <row r="276" spans="1:69">
      <c r="A276" s="140">
        <f t="shared" si="112"/>
        <v>2.9600000000000001E-5</v>
      </c>
      <c r="B276">
        <v>2.96</v>
      </c>
      <c r="C276" s="140">
        <f t="shared" si="110"/>
        <v>2.959999999999999E-7</v>
      </c>
      <c r="D276" s="140">
        <f t="shared" si="110"/>
        <v>5.919999999999999E-7</v>
      </c>
      <c r="E276" s="140">
        <f t="shared" si="110"/>
        <v>8.8800000000000001E-7</v>
      </c>
      <c r="F276" s="140">
        <f t="shared" si="110"/>
        <v>1.184E-6</v>
      </c>
      <c r="G276" s="140">
        <f t="shared" si="110"/>
        <v>1.4800000000000002E-6</v>
      </c>
      <c r="H276" s="124">
        <f t="shared" si="113"/>
        <v>0.8</v>
      </c>
      <c r="I276" s="156">
        <f t="shared" si="114"/>
        <v>9.9999999999999995E-8</v>
      </c>
      <c r="K276" s="140">
        <f t="shared" si="115"/>
        <v>2.9600000000000001E-5</v>
      </c>
      <c r="L276">
        <v>2.96</v>
      </c>
      <c r="M276" s="140">
        <f t="shared" si="116"/>
        <v>2.959999999999999E-7</v>
      </c>
      <c r="N276" s="140">
        <f t="shared" si="117"/>
        <v>5.919999999999999E-7</v>
      </c>
      <c r="O276" s="140">
        <f t="shared" si="118"/>
        <v>8.8800000000000001E-7</v>
      </c>
      <c r="P276" s="140">
        <f t="shared" si="111"/>
        <v>1.184E-6</v>
      </c>
      <c r="Q276" s="140">
        <f t="shared" si="119"/>
        <v>1.4800000000000002E-6</v>
      </c>
      <c r="R276" s="157">
        <f t="shared" si="120"/>
        <v>0.8</v>
      </c>
      <c r="S276" s="156">
        <f t="shared" si="121"/>
        <v>9.9999999999999995E-8</v>
      </c>
      <c r="U276" s="140">
        <f t="shared" si="122"/>
        <v>2.9600000000000001E-5</v>
      </c>
      <c r="V276">
        <v>2.96</v>
      </c>
      <c r="W276" s="140">
        <f t="shared" si="123"/>
        <v>2.959999999999999E-7</v>
      </c>
      <c r="X276" s="140">
        <f t="shared" si="124"/>
        <v>5.919999999999999E-7</v>
      </c>
      <c r="Y276" s="140">
        <f t="shared" si="125"/>
        <v>8.8800000000000001E-7</v>
      </c>
      <c r="Z276" s="140">
        <f t="shared" si="126"/>
        <v>1.184E-6</v>
      </c>
      <c r="AA276" s="140">
        <f t="shared" si="127"/>
        <v>1.4800000000000002E-6</v>
      </c>
      <c r="AB276" s="157">
        <f t="shared" si="128"/>
        <v>0.8</v>
      </c>
      <c r="AC276" s="156">
        <f t="shared" si="129"/>
        <v>9.9999999999999995E-8</v>
      </c>
      <c r="AE276" s="140">
        <f t="shared" si="130"/>
        <v>2.9600000000000001E-5</v>
      </c>
      <c r="AF276">
        <v>2.96</v>
      </c>
      <c r="AG276" s="140">
        <f t="shared" si="131"/>
        <v>2.959999999999999E-7</v>
      </c>
      <c r="AH276" s="140">
        <f t="shared" si="132"/>
        <v>5.919999999999999E-7</v>
      </c>
      <c r="AI276" s="140">
        <f t="shared" si="133"/>
        <v>8.8800000000000001E-7</v>
      </c>
      <c r="AJ276" s="140">
        <f t="shared" si="134"/>
        <v>1.184E-6</v>
      </c>
      <c r="AK276" s="140">
        <f t="shared" si="135"/>
        <v>1.4800000000000002E-6</v>
      </c>
      <c r="AL276" s="157">
        <f t="shared" si="136"/>
        <v>1.2</v>
      </c>
      <c r="AM276" s="156">
        <f t="shared" si="137"/>
        <v>9.9999999999999995E-8</v>
      </c>
      <c r="AO276" s="140">
        <f t="shared" si="138"/>
        <v>2.9600000000000001E-5</v>
      </c>
      <c r="AP276">
        <v>2.96</v>
      </c>
      <c r="AQ276" s="140">
        <f t="shared" si="139"/>
        <v>2.959999999999999E-7</v>
      </c>
      <c r="AR276" s="140">
        <f t="shared" si="140"/>
        <v>5.919999999999999E-7</v>
      </c>
      <c r="AS276" s="140">
        <f t="shared" si="141"/>
        <v>8.8800000000000001E-7</v>
      </c>
      <c r="AT276" s="140">
        <f t="shared" si="142"/>
        <v>1.184E-6</v>
      </c>
      <c r="AU276" s="140">
        <f t="shared" si="143"/>
        <v>1.4800000000000002E-6</v>
      </c>
      <c r="AV276" s="157">
        <f t="shared" si="144"/>
        <v>1.2</v>
      </c>
      <c r="AW276" s="156">
        <f t="shared" si="145"/>
        <v>9.9999999999999995E-8</v>
      </c>
      <c r="AY276" s="140">
        <f t="shared" si="146"/>
        <v>2.9600000000000001E-5</v>
      </c>
      <c r="AZ276">
        <v>2.96</v>
      </c>
      <c r="BA276" s="140">
        <f t="shared" si="147"/>
        <v>2.959999999999999E-7</v>
      </c>
      <c r="BB276" s="140">
        <f t="shared" si="148"/>
        <v>5.919999999999999E-7</v>
      </c>
      <c r="BC276" s="140">
        <f t="shared" si="149"/>
        <v>8.8800000000000001E-7</v>
      </c>
      <c r="BD276" s="140">
        <f t="shared" si="150"/>
        <v>1.184E-6</v>
      </c>
      <c r="BE276" s="140">
        <f t="shared" si="151"/>
        <v>1.4800000000000002E-6</v>
      </c>
      <c r="BF276" s="157">
        <f>IF(AY276&lt;$B$89*DATA!$H$1037,DATA!$H$1037,IF(AY276&gt;DATA!$H$1036*$B$89,DATA!$H$1036,1))</f>
        <v>1.2</v>
      </c>
      <c r="BG276" s="156">
        <f t="shared" si="152"/>
        <v>9.9999999999999995E-8</v>
      </c>
      <c r="BI276" s="140">
        <f t="shared" si="153"/>
        <v>2.9600000000000001E-5</v>
      </c>
      <c r="BJ276">
        <v>2.96</v>
      </c>
      <c r="BK276" s="140">
        <f t="shared" si="154"/>
        <v>2.959999999999999E-7</v>
      </c>
      <c r="BL276" s="140">
        <f t="shared" si="155"/>
        <v>5.919999999999999E-7</v>
      </c>
      <c r="BM276" s="140">
        <f t="shared" si="156"/>
        <v>8.8800000000000001E-7</v>
      </c>
      <c r="BN276" s="140">
        <f t="shared" si="157"/>
        <v>1.184E-6</v>
      </c>
      <c r="BO276" s="140">
        <f t="shared" si="158"/>
        <v>1.4800000000000002E-6</v>
      </c>
      <c r="BP276" s="157">
        <f>IF(BI276&lt;$B$105*DATA!$H$1037,DATA!$H$1037,IF(BI276&gt;DATA!$H$1036*$B$105,DATA!$H$1036,1))</f>
        <v>1.2</v>
      </c>
      <c r="BQ276" s="156">
        <f t="shared" si="159"/>
        <v>9.9999999999999995E-8</v>
      </c>
    </row>
    <row r="277" spans="1:69">
      <c r="A277" s="140">
        <f t="shared" si="112"/>
        <v>2.9800000000000003E-5</v>
      </c>
      <c r="B277">
        <v>2.98</v>
      </c>
      <c r="C277" s="140">
        <f t="shared" si="110"/>
        <v>2.9799999999999994E-7</v>
      </c>
      <c r="D277" s="140">
        <f t="shared" si="110"/>
        <v>5.9599999999999999E-7</v>
      </c>
      <c r="E277" s="140">
        <f t="shared" si="110"/>
        <v>8.9400000000000004E-7</v>
      </c>
      <c r="F277" s="140">
        <f t="shared" si="110"/>
        <v>1.1920000000000002E-6</v>
      </c>
      <c r="G277" s="140">
        <f t="shared" si="110"/>
        <v>1.4900000000000001E-6</v>
      </c>
      <c r="H277" s="124">
        <f t="shared" si="113"/>
        <v>0.8</v>
      </c>
      <c r="I277" s="156">
        <f t="shared" si="114"/>
        <v>9.9999999999999995E-8</v>
      </c>
      <c r="K277" s="140">
        <f t="shared" si="115"/>
        <v>2.9800000000000003E-5</v>
      </c>
      <c r="L277">
        <v>2.98</v>
      </c>
      <c r="M277" s="140">
        <f t="shared" si="116"/>
        <v>2.9799999999999994E-7</v>
      </c>
      <c r="N277" s="140">
        <f t="shared" si="117"/>
        <v>5.9599999999999999E-7</v>
      </c>
      <c r="O277" s="140">
        <f t="shared" si="118"/>
        <v>8.9400000000000004E-7</v>
      </c>
      <c r="P277" s="140">
        <f t="shared" si="111"/>
        <v>1.1920000000000002E-6</v>
      </c>
      <c r="Q277" s="140">
        <f t="shared" si="119"/>
        <v>1.4900000000000001E-6</v>
      </c>
      <c r="R277" s="157">
        <f t="shared" si="120"/>
        <v>0.8</v>
      </c>
      <c r="S277" s="156">
        <f t="shared" si="121"/>
        <v>9.9999999999999995E-8</v>
      </c>
      <c r="U277" s="140">
        <f t="shared" si="122"/>
        <v>2.9800000000000003E-5</v>
      </c>
      <c r="V277">
        <v>2.98</v>
      </c>
      <c r="W277" s="140">
        <f t="shared" si="123"/>
        <v>2.9799999999999994E-7</v>
      </c>
      <c r="X277" s="140">
        <f t="shared" si="124"/>
        <v>5.9599999999999999E-7</v>
      </c>
      <c r="Y277" s="140">
        <f t="shared" si="125"/>
        <v>8.9400000000000004E-7</v>
      </c>
      <c r="Z277" s="140">
        <f t="shared" si="126"/>
        <v>1.1920000000000002E-6</v>
      </c>
      <c r="AA277" s="140">
        <f t="shared" si="127"/>
        <v>1.4900000000000001E-6</v>
      </c>
      <c r="AB277" s="157">
        <f t="shared" si="128"/>
        <v>0.8</v>
      </c>
      <c r="AC277" s="156">
        <f t="shared" si="129"/>
        <v>9.9999999999999995E-8</v>
      </c>
      <c r="AE277" s="140">
        <f t="shared" si="130"/>
        <v>2.9800000000000003E-5</v>
      </c>
      <c r="AF277">
        <v>2.98</v>
      </c>
      <c r="AG277" s="140">
        <f t="shared" si="131"/>
        <v>2.9799999999999994E-7</v>
      </c>
      <c r="AH277" s="140">
        <f t="shared" si="132"/>
        <v>5.9599999999999999E-7</v>
      </c>
      <c r="AI277" s="140">
        <f t="shared" si="133"/>
        <v>8.9400000000000004E-7</v>
      </c>
      <c r="AJ277" s="140">
        <f t="shared" si="134"/>
        <v>1.1920000000000002E-6</v>
      </c>
      <c r="AK277" s="140">
        <f t="shared" si="135"/>
        <v>1.4900000000000001E-6</v>
      </c>
      <c r="AL277" s="157">
        <f t="shared" si="136"/>
        <v>1.2</v>
      </c>
      <c r="AM277" s="156">
        <f t="shared" si="137"/>
        <v>9.9999999999999995E-8</v>
      </c>
      <c r="AO277" s="140">
        <f t="shared" si="138"/>
        <v>2.9800000000000003E-5</v>
      </c>
      <c r="AP277">
        <v>2.98</v>
      </c>
      <c r="AQ277" s="140">
        <f t="shared" si="139"/>
        <v>2.9799999999999994E-7</v>
      </c>
      <c r="AR277" s="140">
        <f t="shared" si="140"/>
        <v>5.9599999999999999E-7</v>
      </c>
      <c r="AS277" s="140">
        <f t="shared" si="141"/>
        <v>8.9400000000000004E-7</v>
      </c>
      <c r="AT277" s="140">
        <f t="shared" si="142"/>
        <v>1.1920000000000002E-6</v>
      </c>
      <c r="AU277" s="140">
        <f t="shared" si="143"/>
        <v>1.4900000000000001E-6</v>
      </c>
      <c r="AV277" s="157">
        <f t="shared" si="144"/>
        <v>1.2</v>
      </c>
      <c r="AW277" s="156">
        <f t="shared" si="145"/>
        <v>9.9999999999999995E-8</v>
      </c>
      <c r="AY277" s="140">
        <f t="shared" si="146"/>
        <v>2.9800000000000003E-5</v>
      </c>
      <c r="AZ277">
        <v>2.98</v>
      </c>
      <c r="BA277" s="140">
        <f t="shared" si="147"/>
        <v>2.9799999999999994E-7</v>
      </c>
      <c r="BB277" s="140">
        <f t="shared" si="148"/>
        <v>5.9599999999999999E-7</v>
      </c>
      <c r="BC277" s="140">
        <f t="shared" si="149"/>
        <v>8.9400000000000004E-7</v>
      </c>
      <c r="BD277" s="140">
        <f t="shared" si="150"/>
        <v>1.1920000000000002E-6</v>
      </c>
      <c r="BE277" s="140">
        <f t="shared" si="151"/>
        <v>1.4900000000000001E-6</v>
      </c>
      <c r="BF277" s="157">
        <f>IF(AY277&lt;$B$89*DATA!$H$1037,DATA!$H$1037,IF(AY277&gt;DATA!$H$1036*$B$89,DATA!$H$1036,1))</f>
        <v>1.2</v>
      </c>
      <c r="BG277" s="156">
        <f t="shared" si="152"/>
        <v>9.9999999999999995E-8</v>
      </c>
      <c r="BI277" s="140">
        <f t="shared" si="153"/>
        <v>2.9800000000000003E-5</v>
      </c>
      <c r="BJ277">
        <v>2.98</v>
      </c>
      <c r="BK277" s="140">
        <f t="shared" si="154"/>
        <v>2.9799999999999994E-7</v>
      </c>
      <c r="BL277" s="140">
        <f t="shared" si="155"/>
        <v>5.9599999999999999E-7</v>
      </c>
      <c r="BM277" s="140">
        <f t="shared" si="156"/>
        <v>8.9400000000000004E-7</v>
      </c>
      <c r="BN277" s="140">
        <f t="shared" si="157"/>
        <v>1.1920000000000002E-6</v>
      </c>
      <c r="BO277" s="140">
        <f t="shared" si="158"/>
        <v>1.4900000000000001E-6</v>
      </c>
      <c r="BP277" s="157">
        <f>IF(BI277&lt;$B$105*DATA!$H$1037,DATA!$H$1037,IF(BI277&gt;DATA!$H$1036*$B$105,DATA!$H$1036,1))</f>
        <v>1.2</v>
      </c>
      <c r="BQ277" s="156">
        <f t="shared" si="159"/>
        <v>9.9999999999999995E-8</v>
      </c>
    </row>
    <row r="278" spans="1:69">
      <c r="A278" s="140">
        <f t="shared" si="112"/>
        <v>3.0000000000000004E-5</v>
      </c>
      <c r="B278">
        <v>3</v>
      </c>
      <c r="C278" s="140">
        <f t="shared" si="110"/>
        <v>2.9999999999999993E-7</v>
      </c>
      <c r="D278" s="140">
        <f t="shared" si="110"/>
        <v>5.9999999999999997E-7</v>
      </c>
      <c r="E278" s="140">
        <f t="shared" si="110"/>
        <v>9.0000000000000007E-7</v>
      </c>
      <c r="F278" s="140">
        <f t="shared" si="110"/>
        <v>1.2000000000000002E-6</v>
      </c>
      <c r="G278" s="140">
        <f t="shared" si="110"/>
        <v>1.5000000000000002E-6</v>
      </c>
      <c r="H278" s="124">
        <f t="shared" si="113"/>
        <v>0.8</v>
      </c>
      <c r="I278" s="156">
        <f t="shared" si="114"/>
        <v>9.9999999999999995E-8</v>
      </c>
      <c r="K278" s="140">
        <f t="shared" si="115"/>
        <v>3.0000000000000004E-5</v>
      </c>
      <c r="L278">
        <v>3</v>
      </c>
      <c r="M278" s="140">
        <f t="shared" si="116"/>
        <v>2.9999999999999993E-7</v>
      </c>
      <c r="N278" s="140">
        <f t="shared" si="117"/>
        <v>5.9999999999999997E-7</v>
      </c>
      <c r="O278" s="140">
        <f t="shared" si="118"/>
        <v>9.0000000000000007E-7</v>
      </c>
      <c r="P278" s="140">
        <f t="shared" si="111"/>
        <v>1.2000000000000002E-6</v>
      </c>
      <c r="Q278" s="140">
        <f t="shared" si="119"/>
        <v>1.5000000000000002E-6</v>
      </c>
      <c r="R278" s="157">
        <f t="shared" si="120"/>
        <v>0.8</v>
      </c>
      <c r="S278" s="156">
        <f t="shared" si="121"/>
        <v>9.9999999999999995E-8</v>
      </c>
      <c r="U278" s="140">
        <f t="shared" si="122"/>
        <v>3.0000000000000004E-5</v>
      </c>
      <c r="V278">
        <v>3</v>
      </c>
      <c r="W278" s="140">
        <f t="shared" si="123"/>
        <v>2.9999999999999993E-7</v>
      </c>
      <c r="X278" s="140">
        <f t="shared" si="124"/>
        <v>5.9999999999999997E-7</v>
      </c>
      <c r="Y278" s="140">
        <f t="shared" si="125"/>
        <v>9.0000000000000007E-7</v>
      </c>
      <c r="Z278" s="140">
        <f t="shared" si="126"/>
        <v>1.2000000000000002E-6</v>
      </c>
      <c r="AA278" s="140">
        <f t="shared" si="127"/>
        <v>1.5000000000000002E-6</v>
      </c>
      <c r="AB278" s="157">
        <f t="shared" si="128"/>
        <v>0.8</v>
      </c>
      <c r="AC278" s="156">
        <f t="shared" si="129"/>
        <v>9.9999999999999995E-8</v>
      </c>
      <c r="AE278" s="140">
        <f t="shared" si="130"/>
        <v>3.0000000000000004E-5</v>
      </c>
      <c r="AF278">
        <v>3</v>
      </c>
      <c r="AG278" s="140">
        <f t="shared" si="131"/>
        <v>2.9999999999999993E-7</v>
      </c>
      <c r="AH278" s="140">
        <f t="shared" si="132"/>
        <v>5.9999999999999997E-7</v>
      </c>
      <c r="AI278" s="140">
        <f t="shared" si="133"/>
        <v>9.0000000000000007E-7</v>
      </c>
      <c r="AJ278" s="140">
        <f t="shared" si="134"/>
        <v>1.2000000000000002E-6</v>
      </c>
      <c r="AK278" s="140">
        <f t="shared" si="135"/>
        <v>1.5000000000000002E-6</v>
      </c>
      <c r="AL278" s="157">
        <f t="shared" si="136"/>
        <v>1.2</v>
      </c>
      <c r="AM278" s="156">
        <f t="shared" si="137"/>
        <v>9.9999999999999995E-8</v>
      </c>
      <c r="AO278" s="140">
        <f t="shared" si="138"/>
        <v>3.0000000000000004E-5</v>
      </c>
      <c r="AP278">
        <v>3</v>
      </c>
      <c r="AQ278" s="140">
        <f t="shared" si="139"/>
        <v>2.9999999999999993E-7</v>
      </c>
      <c r="AR278" s="140">
        <f t="shared" si="140"/>
        <v>5.9999999999999997E-7</v>
      </c>
      <c r="AS278" s="140">
        <f t="shared" si="141"/>
        <v>9.0000000000000007E-7</v>
      </c>
      <c r="AT278" s="140">
        <f t="shared" si="142"/>
        <v>1.2000000000000002E-6</v>
      </c>
      <c r="AU278" s="140">
        <f t="shared" si="143"/>
        <v>1.5000000000000002E-6</v>
      </c>
      <c r="AV278" s="157">
        <f t="shared" si="144"/>
        <v>1.2</v>
      </c>
      <c r="AW278" s="156">
        <f t="shared" si="145"/>
        <v>9.9999999999999995E-8</v>
      </c>
      <c r="AY278" s="140">
        <f t="shared" si="146"/>
        <v>3.0000000000000004E-5</v>
      </c>
      <c r="AZ278">
        <v>3</v>
      </c>
      <c r="BA278" s="140">
        <f t="shared" si="147"/>
        <v>2.9999999999999993E-7</v>
      </c>
      <c r="BB278" s="140">
        <f t="shared" si="148"/>
        <v>5.9999999999999997E-7</v>
      </c>
      <c r="BC278" s="140">
        <f t="shared" si="149"/>
        <v>9.0000000000000007E-7</v>
      </c>
      <c r="BD278" s="140">
        <f t="shared" si="150"/>
        <v>1.2000000000000002E-6</v>
      </c>
      <c r="BE278" s="140">
        <f t="shared" si="151"/>
        <v>1.5000000000000002E-6</v>
      </c>
      <c r="BF278" s="157">
        <f>IF(AY278&lt;$B$89*DATA!$H$1037,DATA!$H$1037,IF(AY278&gt;DATA!$H$1036*$B$89,DATA!$H$1036,1))</f>
        <v>1.2</v>
      </c>
      <c r="BG278" s="156">
        <f t="shared" si="152"/>
        <v>9.9999999999999995E-8</v>
      </c>
      <c r="BI278" s="140">
        <f t="shared" si="153"/>
        <v>3.0000000000000004E-5</v>
      </c>
      <c r="BJ278">
        <v>3</v>
      </c>
      <c r="BK278" s="140">
        <f t="shared" si="154"/>
        <v>2.9999999999999993E-7</v>
      </c>
      <c r="BL278" s="140">
        <f t="shared" si="155"/>
        <v>5.9999999999999997E-7</v>
      </c>
      <c r="BM278" s="140">
        <f t="shared" si="156"/>
        <v>9.0000000000000007E-7</v>
      </c>
      <c r="BN278" s="140">
        <f t="shared" si="157"/>
        <v>1.2000000000000002E-6</v>
      </c>
      <c r="BO278" s="140">
        <f t="shared" si="158"/>
        <v>1.5000000000000002E-6</v>
      </c>
      <c r="BP278" s="157">
        <f>IF(BI278&lt;$B$105*DATA!$H$1037,DATA!$H$1037,IF(BI278&gt;DATA!$H$1036*$B$105,DATA!$H$1036,1))</f>
        <v>1.2</v>
      </c>
      <c r="BQ278" s="156">
        <f t="shared" si="159"/>
        <v>9.9999999999999995E-8</v>
      </c>
    </row>
    <row r="279" spans="1:69">
      <c r="A279" s="140">
        <f t="shared" si="112"/>
        <v>3.0200000000000002E-5</v>
      </c>
      <c r="B279">
        <v>3.02</v>
      </c>
      <c r="C279" s="140">
        <f t="shared" si="110"/>
        <v>3.0199999999999992E-7</v>
      </c>
      <c r="D279" s="140">
        <f t="shared" si="110"/>
        <v>6.0399999999999996E-7</v>
      </c>
      <c r="E279" s="140">
        <f t="shared" si="110"/>
        <v>9.0599999999999999E-7</v>
      </c>
      <c r="F279" s="140">
        <f t="shared" si="110"/>
        <v>1.2080000000000001E-6</v>
      </c>
      <c r="G279" s="140">
        <f t="shared" si="110"/>
        <v>1.5100000000000002E-6</v>
      </c>
      <c r="H279" s="124">
        <f t="shared" si="113"/>
        <v>0.8</v>
      </c>
      <c r="I279" s="156">
        <f t="shared" si="114"/>
        <v>9.9999999999999995E-8</v>
      </c>
      <c r="K279" s="140">
        <f t="shared" si="115"/>
        <v>3.0200000000000002E-5</v>
      </c>
      <c r="L279">
        <v>3.02</v>
      </c>
      <c r="M279" s="140">
        <f t="shared" si="116"/>
        <v>3.0199999999999992E-7</v>
      </c>
      <c r="N279" s="140">
        <f t="shared" si="117"/>
        <v>6.0399999999999996E-7</v>
      </c>
      <c r="O279" s="140">
        <f t="shared" si="118"/>
        <v>9.0599999999999999E-7</v>
      </c>
      <c r="P279" s="140">
        <f t="shared" si="111"/>
        <v>1.2080000000000001E-6</v>
      </c>
      <c r="Q279" s="140">
        <f t="shared" si="119"/>
        <v>1.5100000000000002E-6</v>
      </c>
      <c r="R279" s="157">
        <f t="shared" si="120"/>
        <v>0.8</v>
      </c>
      <c r="S279" s="156">
        <f t="shared" si="121"/>
        <v>9.9999999999999995E-8</v>
      </c>
      <c r="U279" s="140">
        <f t="shared" si="122"/>
        <v>3.0200000000000002E-5</v>
      </c>
      <c r="V279">
        <v>3.02</v>
      </c>
      <c r="W279" s="140">
        <f t="shared" si="123"/>
        <v>3.0199999999999992E-7</v>
      </c>
      <c r="X279" s="140">
        <f t="shared" si="124"/>
        <v>6.0399999999999996E-7</v>
      </c>
      <c r="Y279" s="140">
        <f t="shared" si="125"/>
        <v>9.0599999999999999E-7</v>
      </c>
      <c r="Z279" s="140">
        <f t="shared" si="126"/>
        <v>1.2080000000000001E-6</v>
      </c>
      <c r="AA279" s="140">
        <f t="shared" si="127"/>
        <v>1.5100000000000002E-6</v>
      </c>
      <c r="AB279" s="157">
        <f t="shared" si="128"/>
        <v>0.8</v>
      </c>
      <c r="AC279" s="156">
        <f t="shared" si="129"/>
        <v>9.9999999999999995E-8</v>
      </c>
      <c r="AE279" s="140">
        <f t="shared" si="130"/>
        <v>3.0200000000000002E-5</v>
      </c>
      <c r="AF279">
        <v>3.02</v>
      </c>
      <c r="AG279" s="140">
        <f t="shared" si="131"/>
        <v>3.0199999999999992E-7</v>
      </c>
      <c r="AH279" s="140">
        <f t="shared" si="132"/>
        <v>6.0399999999999996E-7</v>
      </c>
      <c r="AI279" s="140">
        <f t="shared" si="133"/>
        <v>9.0599999999999999E-7</v>
      </c>
      <c r="AJ279" s="140">
        <f t="shared" si="134"/>
        <v>1.2080000000000001E-6</v>
      </c>
      <c r="AK279" s="140">
        <f t="shared" si="135"/>
        <v>1.5100000000000002E-6</v>
      </c>
      <c r="AL279" s="157">
        <f t="shared" si="136"/>
        <v>1.2</v>
      </c>
      <c r="AM279" s="156">
        <f t="shared" si="137"/>
        <v>9.9999999999999995E-8</v>
      </c>
      <c r="AO279" s="140">
        <f t="shared" si="138"/>
        <v>3.0200000000000002E-5</v>
      </c>
      <c r="AP279">
        <v>3.02</v>
      </c>
      <c r="AQ279" s="140">
        <f t="shared" si="139"/>
        <v>3.0199999999999992E-7</v>
      </c>
      <c r="AR279" s="140">
        <f t="shared" si="140"/>
        <v>6.0399999999999996E-7</v>
      </c>
      <c r="AS279" s="140">
        <f t="shared" si="141"/>
        <v>9.0599999999999999E-7</v>
      </c>
      <c r="AT279" s="140">
        <f t="shared" si="142"/>
        <v>1.2080000000000001E-6</v>
      </c>
      <c r="AU279" s="140">
        <f t="shared" si="143"/>
        <v>1.5100000000000002E-6</v>
      </c>
      <c r="AV279" s="157">
        <f t="shared" si="144"/>
        <v>1.2</v>
      </c>
      <c r="AW279" s="156">
        <f t="shared" si="145"/>
        <v>9.9999999999999995E-8</v>
      </c>
      <c r="AY279" s="140">
        <f t="shared" si="146"/>
        <v>3.0200000000000002E-5</v>
      </c>
      <c r="AZ279">
        <v>3.02</v>
      </c>
      <c r="BA279" s="140">
        <f t="shared" si="147"/>
        <v>3.0199999999999992E-7</v>
      </c>
      <c r="BB279" s="140">
        <f t="shared" si="148"/>
        <v>6.0399999999999996E-7</v>
      </c>
      <c r="BC279" s="140">
        <f t="shared" si="149"/>
        <v>9.0599999999999999E-7</v>
      </c>
      <c r="BD279" s="140">
        <f t="shared" si="150"/>
        <v>1.2080000000000001E-6</v>
      </c>
      <c r="BE279" s="140">
        <f t="shared" si="151"/>
        <v>1.5100000000000002E-6</v>
      </c>
      <c r="BF279" s="157">
        <f>IF(AY279&lt;$B$89*DATA!$H$1037,DATA!$H$1037,IF(AY279&gt;DATA!$H$1036*$B$89,DATA!$H$1036,1))</f>
        <v>1.2</v>
      </c>
      <c r="BG279" s="156">
        <f t="shared" si="152"/>
        <v>9.9999999999999995E-8</v>
      </c>
      <c r="BI279" s="140">
        <f t="shared" si="153"/>
        <v>3.0200000000000002E-5</v>
      </c>
      <c r="BJ279">
        <v>3.02</v>
      </c>
      <c r="BK279" s="140">
        <f t="shared" si="154"/>
        <v>3.0199999999999992E-7</v>
      </c>
      <c r="BL279" s="140">
        <f t="shared" si="155"/>
        <v>6.0399999999999996E-7</v>
      </c>
      <c r="BM279" s="140">
        <f t="shared" si="156"/>
        <v>9.0599999999999999E-7</v>
      </c>
      <c r="BN279" s="140">
        <f t="shared" si="157"/>
        <v>1.2080000000000001E-6</v>
      </c>
      <c r="BO279" s="140">
        <f t="shared" si="158"/>
        <v>1.5100000000000002E-6</v>
      </c>
      <c r="BP279" s="157">
        <f>IF(BI279&lt;$B$105*DATA!$H$1037,DATA!$H$1037,IF(BI279&gt;DATA!$H$1036*$B$105,DATA!$H$1036,1))</f>
        <v>1.2</v>
      </c>
      <c r="BQ279" s="156">
        <f t="shared" si="159"/>
        <v>9.9999999999999995E-8</v>
      </c>
    </row>
    <row r="280" spans="1:69">
      <c r="A280" s="140">
        <f t="shared" si="112"/>
        <v>3.0400000000000004E-5</v>
      </c>
      <c r="B280">
        <v>3.04</v>
      </c>
      <c r="C280" s="140">
        <f t="shared" si="110"/>
        <v>3.0399999999999992E-7</v>
      </c>
      <c r="D280" s="140">
        <f t="shared" si="110"/>
        <v>6.0799999999999994E-7</v>
      </c>
      <c r="E280" s="140">
        <f t="shared" si="110"/>
        <v>9.1200000000000012E-7</v>
      </c>
      <c r="F280" s="140">
        <f t="shared" si="110"/>
        <v>1.2160000000000001E-6</v>
      </c>
      <c r="G280" s="140">
        <f t="shared" si="110"/>
        <v>1.5200000000000003E-6</v>
      </c>
      <c r="H280" s="124">
        <f t="shared" si="113"/>
        <v>0.8</v>
      </c>
      <c r="I280" s="156">
        <f t="shared" si="114"/>
        <v>9.9999999999999995E-8</v>
      </c>
      <c r="K280" s="140">
        <f t="shared" si="115"/>
        <v>3.0400000000000004E-5</v>
      </c>
      <c r="L280">
        <v>3.04</v>
      </c>
      <c r="M280" s="140">
        <f t="shared" si="116"/>
        <v>3.0399999999999992E-7</v>
      </c>
      <c r="N280" s="140">
        <f t="shared" si="117"/>
        <v>6.0799999999999994E-7</v>
      </c>
      <c r="O280" s="140">
        <f t="shared" si="118"/>
        <v>9.1200000000000012E-7</v>
      </c>
      <c r="P280" s="140">
        <f t="shared" si="111"/>
        <v>1.2160000000000001E-6</v>
      </c>
      <c r="Q280" s="140">
        <f t="shared" si="119"/>
        <v>1.5200000000000003E-6</v>
      </c>
      <c r="R280" s="157">
        <f t="shared" si="120"/>
        <v>0.8</v>
      </c>
      <c r="S280" s="156">
        <f t="shared" si="121"/>
        <v>9.9999999999999995E-8</v>
      </c>
      <c r="U280" s="140">
        <f t="shared" si="122"/>
        <v>3.0400000000000004E-5</v>
      </c>
      <c r="V280">
        <v>3.04</v>
      </c>
      <c r="W280" s="140">
        <f t="shared" si="123"/>
        <v>3.0399999999999992E-7</v>
      </c>
      <c r="X280" s="140">
        <f t="shared" si="124"/>
        <v>6.0799999999999994E-7</v>
      </c>
      <c r="Y280" s="140">
        <f t="shared" si="125"/>
        <v>9.1200000000000012E-7</v>
      </c>
      <c r="Z280" s="140">
        <f t="shared" si="126"/>
        <v>1.2160000000000001E-6</v>
      </c>
      <c r="AA280" s="140">
        <f t="shared" si="127"/>
        <v>1.5200000000000003E-6</v>
      </c>
      <c r="AB280" s="157">
        <f t="shared" si="128"/>
        <v>0.8</v>
      </c>
      <c r="AC280" s="156">
        <f t="shared" si="129"/>
        <v>9.9999999999999995E-8</v>
      </c>
      <c r="AE280" s="140">
        <f t="shared" si="130"/>
        <v>3.0400000000000004E-5</v>
      </c>
      <c r="AF280">
        <v>3.04</v>
      </c>
      <c r="AG280" s="140">
        <f t="shared" si="131"/>
        <v>3.0399999999999992E-7</v>
      </c>
      <c r="AH280" s="140">
        <f t="shared" si="132"/>
        <v>6.0799999999999994E-7</v>
      </c>
      <c r="AI280" s="140">
        <f t="shared" si="133"/>
        <v>9.1200000000000012E-7</v>
      </c>
      <c r="AJ280" s="140">
        <f t="shared" si="134"/>
        <v>1.2160000000000001E-6</v>
      </c>
      <c r="AK280" s="140">
        <f t="shared" si="135"/>
        <v>1.5200000000000003E-6</v>
      </c>
      <c r="AL280" s="157">
        <f t="shared" si="136"/>
        <v>1.2</v>
      </c>
      <c r="AM280" s="156">
        <f t="shared" si="137"/>
        <v>9.9999999999999995E-8</v>
      </c>
      <c r="AO280" s="140">
        <f t="shared" si="138"/>
        <v>3.0400000000000004E-5</v>
      </c>
      <c r="AP280">
        <v>3.04</v>
      </c>
      <c r="AQ280" s="140">
        <f t="shared" si="139"/>
        <v>3.0399999999999992E-7</v>
      </c>
      <c r="AR280" s="140">
        <f t="shared" si="140"/>
        <v>6.0799999999999994E-7</v>
      </c>
      <c r="AS280" s="140">
        <f t="shared" si="141"/>
        <v>9.1200000000000012E-7</v>
      </c>
      <c r="AT280" s="140">
        <f t="shared" si="142"/>
        <v>1.2160000000000001E-6</v>
      </c>
      <c r="AU280" s="140">
        <f t="shared" si="143"/>
        <v>1.5200000000000003E-6</v>
      </c>
      <c r="AV280" s="157">
        <f t="shared" si="144"/>
        <v>1.2</v>
      </c>
      <c r="AW280" s="156">
        <f t="shared" si="145"/>
        <v>9.9999999999999995E-8</v>
      </c>
      <c r="AY280" s="140">
        <f t="shared" si="146"/>
        <v>3.0400000000000004E-5</v>
      </c>
      <c r="AZ280">
        <v>3.04</v>
      </c>
      <c r="BA280" s="140">
        <f t="shared" si="147"/>
        <v>3.0399999999999992E-7</v>
      </c>
      <c r="BB280" s="140">
        <f t="shared" si="148"/>
        <v>6.0799999999999994E-7</v>
      </c>
      <c r="BC280" s="140">
        <f t="shared" si="149"/>
        <v>9.1200000000000012E-7</v>
      </c>
      <c r="BD280" s="140">
        <f t="shared" si="150"/>
        <v>1.2160000000000001E-6</v>
      </c>
      <c r="BE280" s="140">
        <f t="shared" si="151"/>
        <v>1.5200000000000003E-6</v>
      </c>
      <c r="BF280" s="157">
        <f>IF(AY280&lt;$B$89*DATA!$H$1037,DATA!$H$1037,IF(AY280&gt;DATA!$H$1036*$B$89,DATA!$H$1036,1))</f>
        <v>1.2</v>
      </c>
      <c r="BG280" s="156">
        <f t="shared" si="152"/>
        <v>9.9999999999999995E-8</v>
      </c>
      <c r="BI280" s="140">
        <f t="shared" si="153"/>
        <v>3.0400000000000004E-5</v>
      </c>
      <c r="BJ280">
        <v>3.04</v>
      </c>
      <c r="BK280" s="140">
        <f t="shared" si="154"/>
        <v>3.0399999999999992E-7</v>
      </c>
      <c r="BL280" s="140">
        <f t="shared" si="155"/>
        <v>6.0799999999999994E-7</v>
      </c>
      <c r="BM280" s="140">
        <f t="shared" si="156"/>
        <v>9.1200000000000012E-7</v>
      </c>
      <c r="BN280" s="140">
        <f t="shared" si="157"/>
        <v>1.2160000000000001E-6</v>
      </c>
      <c r="BO280" s="140">
        <f t="shared" si="158"/>
        <v>1.5200000000000003E-6</v>
      </c>
      <c r="BP280" s="157">
        <f>IF(BI280&lt;$B$105*DATA!$H$1037,DATA!$H$1037,IF(BI280&gt;DATA!$H$1036*$B$105,DATA!$H$1036,1))</f>
        <v>1.2</v>
      </c>
      <c r="BQ280" s="156">
        <f t="shared" si="159"/>
        <v>9.9999999999999995E-8</v>
      </c>
    </row>
    <row r="281" spans="1:69">
      <c r="A281" s="140">
        <f t="shared" si="112"/>
        <v>3.0600000000000005E-5</v>
      </c>
      <c r="B281">
        <v>3.06</v>
      </c>
      <c r="C281" s="140">
        <f t="shared" si="110"/>
        <v>3.0599999999999996E-7</v>
      </c>
      <c r="D281" s="140">
        <f t="shared" si="110"/>
        <v>6.1200000000000003E-7</v>
      </c>
      <c r="E281" s="140">
        <f t="shared" si="110"/>
        <v>9.1800000000000015E-7</v>
      </c>
      <c r="F281" s="140">
        <f t="shared" si="110"/>
        <v>1.2240000000000003E-6</v>
      </c>
      <c r="G281" s="140">
        <f t="shared" si="110"/>
        <v>1.5300000000000004E-6</v>
      </c>
      <c r="H281" s="124">
        <f t="shared" si="113"/>
        <v>0.8</v>
      </c>
      <c r="I281" s="156">
        <f t="shared" si="114"/>
        <v>9.9999999999999995E-8</v>
      </c>
      <c r="K281" s="140">
        <f t="shared" si="115"/>
        <v>3.0600000000000005E-5</v>
      </c>
      <c r="L281">
        <v>3.06</v>
      </c>
      <c r="M281" s="140">
        <f t="shared" si="116"/>
        <v>3.0599999999999996E-7</v>
      </c>
      <c r="N281" s="140">
        <f t="shared" si="117"/>
        <v>6.1200000000000003E-7</v>
      </c>
      <c r="O281" s="140">
        <f t="shared" si="118"/>
        <v>9.1800000000000015E-7</v>
      </c>
      <c r="P281" s="140">
        <f t="shared" si="111"/>
        <v>1.2240000000000003E-6</v>
      </c>
      <c r="Q281" s="140">
        <f t="shared" si="119"/>
        <v>1.5300000000000004E-6</v>
      </c>
      <c r="R281" s="157">
        <f t="shared" si="120"/>
        <v>0.8</v>
      </c>
      <c r="S281" s="156">
        <f t="shared" si="121"/>
        <v>9.9999999999999995E-8</v>
      </c>
      <c r="U281" s="140">
        <f t="shared" si="122"/>
        <v>3.0600000000000005E-5</v>
      </c>
      <c r="V281">
        <v>3.06</v>
      </c>
      <c r="W281" s="140">
        <f t="shared" si="123"/>
        <v>3.0599999999999996E-7</v>
      </c>
      <c r="X281" s="140">
        <f t="shared" si="124"/>
        <v>6.1200000000000003E-7</v>
      </c>
      <c r="Y281" s="140">
        <f t="shared" si="125"/>
        <v>9.1800000000000015E-7</v>
      </c>
      <c r="Z281" s="140">
        <f t="shared" si="126"/>
        <v>1.2240000000000003E-6</v>
      </c>
      <c r="AA281" s="140">
        <f t="shared" si="127"/>
        <v>1.5300000000000004E-6</v>
      </c>
      <c r="AB281" s="157">
        <f t="shared" si="128"/>
        <v>0.8</v>
      </c>
      <c r="AC281" s="156">
        <f t="shared" si="129"/>
        <v>9.9999999999999995E-8</v>
      </c>
      <c r="AE281" s="140">
        <f t="shared" si="130"/>
        <v>3.0600000000000005E-5</v>
      </c>
      <c r="AF281">
        <v>3.06</v>
      </c>
      <c r="AG281" s="140">
        <f t="shared" si="131"/>
        <v>3.0599999999999996E-7</v>
      </c>
      <c r="AH281" s="140">
        <f t="shared" si="132"/>
        <v>6.1200000000000003E-7</v>
      </c>
      <c r="AI281" s="140">
        <f t="shared" si="133"/>
        <v>9.1800000000000015E-7</v>
      </c>
      <c r="AJ281" s="140">
        <f t="shared" si="134"/>
        <v>1.2240000000000003E-6</v>
      </c>
      <c r="AK281" s="140">
        <f t="shared" si="135"/>
        <v>1.5300000000000004E-6</v>
      </c>
      <c r="AL281" s="157">
        <f t="shared" si="136"/>
        <v>1.2</v>
      </c>
      <c r="AM281" s="156">
        <f t="shared" si="137"/>
        <v>9.9999999999999995E-8</v>
      </c>
      <c r="AO281" s="140">
        <f t="shared" si="138"/>
        <v>3.0600000000000005E-5</v>
      </c>
      <c r="AP281">
        <v>3.06</v>
      </c>
      <c r="AQ281" s="140">
        <f t="shared" si="139"/>
        <v>3.0599999999999996E-7</v>
      </c>
      <c r="AR281" s="140">
        <f t="shared" si="140"/>
        <v>6.1200000000000003E-7</v>
      </c>
      <c r="AS281" s="140">
        <f t="shared" si="141"/>
        <v>9.1800000000000015E-7</v>
      </c>
      <c r="AT281" s="140">
        <f t="shared" si="142"/>
        <v>1.2240000000000003E-6</v>
      </c>
      <c r="AU281" s="140">
        <f t="shared" si="143"/>
        <v>1.5300000000000004E-6</v>
      </c>
      <c r="AV281" s="157">
        <f t="shared" si="144"/>
        <v>1.2</v>
      </c>
      <c r="AW281" s="156">
        <f t="shared" si="145"/>
        <v>9.9999999999999995E-8</v>
      </c>
      <c r="AY281" s="140">
        <f t="shared" si="146"/>
        <v>3.0600000000000005E-5</v>
      </c>
      <c r="AZ281">
        <v>3.06</v>
      </c>
      <c r="BA281" s="140">
        <f t="shared" si="147"/>
        <v>3.0599999999999996E-7</v>
      </c>
      <c r="BB281" s="140">
        <f t="shared" si="148"/>
        <v>6.1200000000000003E-7</v>
      </c>
      <c r="BC281" s="140">
        <f t="shared" si="149"/>
        <v>9.1800000000000015E-7</v>
      </c>
      <c r="BD281" s="140">
        <f t="shared" si="150"/>
        <v>1.2240000000000003E-6</v>
      </c>
      <c r="BE281" s="140">
        <f t="shared" si="151"/>
        <v>1.5300000000000004E-6</v>
      </c>
      <c r="BF281" s="157">
        <f>IF(AY281&lt;$B$89*DATA!$H$1037,DATA!$H$1037,IF(AY281&gt;DATA!$H$1036*$B$89,DATA!$H$1036,1))</f>
        <v>1.2</v>
      </c>
      <c r="BG281" s="156">
        <f t="shared" si="152"/>
        <v>9.9999999999999995E-8</v>
      </c>
      <c r="BI281" s="140">
        <f t="shared" si="153"/>
        <v>3.0600000000000005E-5</v>
      </c>
      <c r="BJ281">
        <v>3.06</v>
      </c>
      <c r="BK281" s="140">
        <f t="shared" si="154"/>
        <v>3.0599999999999996E-7</v>
      </c>
      <c r="BL281" s="140">
        <f t="shared" si="155"/>
        <v>6.1200000000000003E-7</v>
      </c>
      <c r="BM281" s="140">
        <f t="shared" si="156"/>
        <v>9.1800000000000015E-7</v>
      </c>
      <c r="BN281" s="140">
        <f t="shared" si="157"/>
        <v>1.2240000000000003E-6</v>
      </c>
      <c r="BO281" s="140">
        <f t="shared" si="158"/>
        <v>1.5300000000000004E-6</v>
      </c>
      <c r="BP281" s="157">
        <f>IF(BI281&lt;$B$105*DATA!$H$1037,DATA!$H$1037,IF(BI281&gt;DATA!$H$1036*$B$105,DATA!$H$1036,1))</f>
        <v>1.2</v>
      </c>
      <c r="BQ281" s="156">
        <f t="shared" si="159"/>
        <v>9.9999999999999995E-8</v>
      </c>
    </row>
    <row r="282" spans="1:69">
      <c r="A282" s="140">
        <f t="shared" si="112"/>
        <v>3.0800000000000003E-5</v>
      </c>
      <c r="B282">
        <v>3.08</v>
      </c>
      <c r="C282" s="140">
        <f t="shared" si="110"/>
        <v>3.0799999999999995E-7</v>
      </c>
      <c r="D282" s="140">
        <f t="shared" si="110"/>
        <v>6.1600000000000001E-7</v>
      </c>
      <c r="E282" s="140">
        <f t="shared" si="110"/>
        <v>9.2400000000000007E-7</v>
      </c>
      <c r="F282" s="140">
        <f t="shared" si="110"/>
        <v>1.2320000000000002E-6</v>
      </c>
      <c r="G282" s="140">
        <f t="shared" si="110"/>
        <v>1.5400000000000003E-6</v>
      </c>
      <c r="H282" s="124">
        <f t="shared" si="113"/>
        <v>0.8</v>
      </c>
      <c r="I282" s="156">
        <f t="shared" si="114"/>
        <v>9.9999999999999995E-8</v>
      </c>
      <c r="K282" s="140">
        <f t="shared" si="115"/>
        <v>3.0800000000000003E-5</v>
      </c>
      <c r="L282">
        <v>3.08</v>
      </c>
      <c r="M282" s="140">
        <f t="shared" si="116"/>
        <v>3.0799999999999995E-7</v>
      </c>
      <c r="N282" s="140">
        <f t="shared" si="117"/>
        <v>6.1600000000000001E-7</v>
      </c>
      <c r="O282" s="140">
        <f t="shared" si="118"/>
        <v>9.2400000000000007E-7</v>
      </c>
      <c r="P282" s="140">
        <f t="shared" si="111"/>
        <v>1.2320000000000002E-6</v>
      </c>
      <c r="Q282" s="140">
        <f t="shared" si="119"/>
        <v>1.5400000000000003E-6</v>
      </c>
      <c r="R282" s="157">
        <f t="shared" si="120"/>
        <v>0.8</v>
      </c>
      <c r="S282" s="156">
        <f t="shared" si="121"/>
        <v>9.9999999999999995E-8</v>
      </c>
      <c r="U282" s="140">
        <f t="shared" si="122"/>
        <v>3.0800000000000003E-5</v>
      </c>
      <c r="V282">
        <v>3.08</v>
      </c>
      <c r="W282" s="140">
        <f t="shared" si="123"/>
        <v>3.0799999999999995E-7</v>
      </c>
      <c r="X282" s="140">
        <f t="shared" si="124"/>
        <v>6.1600000000000001E-7</v>
      </c>
      <c r="Y282" s="140">
        <f t="shared" si="125"/>
        <v>9.2400000000000007E-7</v>
      </c>
      <c r="Z282" s="140">
        <f t="shared" si="126"/>
        <v>1.2320000000000002E-6</v>
      </c>
      <c r="AA282" s="140">
        <f t="shared" si="127"/>
        <v>1.5400000000000003E-6</v>
      </c>
      <c r="AB282" s="157">
        <f t="shared" si="128"/>
        <v>0.8</v>
      </c>
      <c r="AC282" s="156">
        <f t="shared" si="129"/>
        <v>9.9999999999999995E-8</v>
      </c>
      <c r="AE282" s="140">
        <f t="shared" si="130"/>
        <v>3.0800000000000003E-5</v>
      </c>
      <c r="AF282">
        <v>3.08</v>
      </c>
      <c r="AG282" s="140">
        <f t="shared" si="131"/>
        <v>3.0799999999999995E-7</v>
      </c>
      <c r="AH282" s="140">
        <f t="shared" si="132"/>
        <v>6.1600000000000001E-7</v>
      </c>
      <c r="AI282" s="140">
        <f t="shared" si="133"/>
        <v>9.2400000000000007E-7</v>
      </c>
      <c r="AJ282" s="140">
        <f t="shared" si="134"/>
        <v>1.2320000000000002E-6</v>
      </c>
      <c r="AK282" s="140">
        <f t="shared" si="135"/>
        <v>1.5400000000000003E-6</v>
      </c>
      <c r="AL282" s="157">
        <f t="shared" si="136"/>
        <v>1.2</v>
      </c>
      <c r="AM282" s="156">
        <f t="shared" si="137"/>
        <v>9.9999999999999995E-8</v>
      </c>
      <c r="AO282" s="140">
        <f t="shared" si="138"/>
        <v>3.0800000000000003E-5</v>
      </c>
      <c r="AP282">
        <v>3.08</v>
      </c>
      <c r="AQ282" s="140">
        <f t="shared" si="139"/>
        <v>3.0799999999999995E-7</v>
      </c>
      <c r="AR282" s="140">
        <f t="shared" si="140"/>
        <v>6.1600000000000001E-7</v>
      </c>
      <c r="AS282" s="140">
        <f t="shared" si="141"/>
        <v>9.2400000000000007E-7</v>
      </c>
      <c r="AT282" s="140">
        <f t="shared" si="142"/>
        <v>1.2320000000000002E-6</v>
      </c>
      <c r="AU282" s="140">
        <f t="shared" si="143"/>
        <v>1.5400000000000003E-6</v>
      </c>
      <c r="AV282" s="157">
        <f t="shared" si="144"/>
        <v>1.2</v>
      </c>
      <c r="AW282" s="156">
        <f t="shared" si="145"/>
        <v>9.9999999999999995E-8</v>
      </c>
      <c r="AY282" s="140">
        <f t="shared" si="146"/>
        <v>3.0800000000000003E-5</v>
      </c>
      <c r="AZ282">
        <v>3.08</v>
      </c>
      <c r="BA282" s="140">
        <f t="shared" si="147"/>
        <v>3.0799999999999995E-7</v>
      </c>
      <c r="BB282" s="140">
        <f t="shared" si="148"/>
        <v>6.1600000000000001E-7</v>
      </c>
      <c r="BC282" s="140">
        <f t="shared" si="149"/>
        <v>9.2400000000000007E-7</v>
      </c>
      <c r="BD282" s="140">
        <f t="shared" si="150"/>
        <v>1.2320000000000002E-6</v>
      </c>
      <c r="BE282" s="140">
        <f t="shared" si="151"/>
        <v>1.5400000000000003E-6</v>
      </c>
      <c r="BF282" s="157">
        <f>IF(AY282&lt;$B$89*DATA!$H$1037,DATA!$H$1037,IF(AY282&gt;DATA!$H$1036*$B$89,DATA!$H$1036,1))</f>
        <v>1.2</v>
      </c>
      <c r="BG282" s="156">
        <f t="shared" si="152"/>
        <v>9.9999999999999995E-8</v>
      </c>
      <c r="BI282" s="140">
        <f t="shared" si="153"/>
        <v>3.0800000000000003E-5</v>
      </c>
      <c r="BJ282">
        <v>3.08</v>
      </c>
      <c r="BK282" s="140">
        <f t="shared" si="154"/>
        <v>3.0799999999999995E-7</v>
      </c>
      <c r="BL282" s="140">
        <f t="shared" si="155"/>
        <v>6.1600000000000001E-7</v>
      </c>
      <c r="BM282" s="140">
        <f t="shared" si="156"/>
        <v>9.2400000000000007E-7</v>
      </c>
      <c r="BN282" s="140">
        <f t="shared" si="157"/>
        <v>1.2320000000000002E-6</v>
      </c>
      <c r="BO282" s="140">
        <f t="shared" si="158"/>
        <v>1.5400000000000003E-6</v>
      </c>
      <c r="BP282" s="157">
        <f>IF(BI282&lt;$B$105*DATA!$H$1037,DATA!$H$1037,IF(BI282&gt;DATA!$H$1036*$B$105,DATA!$H$1036,1))</f>
        <v>1.2</v>
      </c>
      <c r="BQ282" s="156">
        <f t="shared" si="159"/>
        <v>9.9999999999999995E-8</v>
      </c>
    </row>
    <row r="283" spans="1:69">
      <c r="A283" s="140">
        <f t="shared" si="112"/>
        <v>3.1000000000000001E-5</v>
      </c>
      <c r="B283">
        <v>3.1</v>
      </c>
      <c r="C283" s="140">
        <f t="shared" si="110"/>
        <v>3.0999999999999989E-7</v>
      </c>
      <c r="D283" s="140">
        <f t="shared" si="110"/>
        <v>6.1999999999999989E-7</v>
      </c>
      <c r="E283" s="140">
        <f t="shared" si="110"/>
        <v>9.2999999999999999E-7</v>
      </c>
      <c r="F283" s="140">
        <f t="shared" si="110"/>
        <v>1.24E-6</v>
      </c>
      <c r="G283" s="140">
        <f t="shared" si="110"/>
        <v>1.5500000000000002E-6</v>
      </c>
      <c r="H283" s="124">
        <f t="shared" si="113"/>
        <v>0.8</v>
      </c>
      <c r="I283" s="156">
        <f t="shared" si="114"/>
        <v>9.9999999999999995E-8</v>
      </c>
      <c r="K283" s="140">
        <f t="shared" si="115"/>
        <v>3.1000000000000001E-5</v>
      </c>
      <c r="L283">
        <v>3.1</v>
      </c>
      <c r="M283" s="140">
        <f t="shared" si="116"/>
        <v>3.0999999999999989E-7</v>
      </c>
      <c r="N283" s="140">
        <f t="shared" si="117"/>
        <v>6.1999999999999989E-7</v>
      </c>
      <c r="O283" s="140">
        <f t="shared" si="118"/>
        <v>9.2999999999999999E-7</v>
      </c>
      <c r="P283" s="140">
        <f t="shared" si="111"/>
        <v>1.24E-6</v>
      </c>
      <c r="Q283" s="140">
        <f t="shared" si="119"/>
        <v>1.5500000000000002E-6</v>
      </c>
      <c r="R283" s="157">
        <f t="shared" si="120"/>
        <v>0.8</v>
      </c>
      <c r="S283" s="156">
        <f t="shared" si="121"/>
        <v>9.9999999999999995E-8</v>
      </c>
      <c r="U283" s="140">
        <f t="shared" si="122"/>
        <v>3.1000000000000001E-5</v>
      </c>
      <c r="V283">
        <v>3.1</v>
      </c>
      <c r="W283" s="140">
        <f t="shared" si="123"/>
        <v>3.0999999999999989E-7</v>
      </c>
      <c r="X283" s="140">
        <f t="shared" si="124"/>
        <v>6.1999999999999989E-7</v>
      </c>
      <c r="Y283" s="140">
        <f t="shared" si="125"/>
        <v>9.2999999999999999E-7</v>
      </c>
      <c r="Z283" s="140">
        <f t="shared" si="126"/>
        <v>1.24E-6</v>
      </c>
      <c r="AA283" s="140">
        <f t="shared" si="127"/>
        <v>1.5500000000000002E-6</v>
      </c>
      <c r="AB283" s="157">
        <f t="shared" si="128"/>
        <v>0.8</v>
      </c>
      <c r="AC283" s="156">
        <f t="shared" si="129"/>
        <v>9.9999999999999995E-8</v>
      </c>
      <c r="AE283" s="140">
        <f t="shared" si="130"/>
        <v>3.1000000000000001E-5</v>
      </c>
      <c r="AF283">
        <v>3.1</v>
      </c>
      <c r="AG283" s="140">
        <f t="shared" si="131"/>
        <v>3.0999999999999989E-7</v>
      </c>
      <c r="AH283" s="140">
        <f t="shared" si="132"/>
        <v>6.1999999999999989E-7</v>
      </c>
      <c r="AI283" s="140">
        <f t="shared" si="133"/>
        <v>9.2999999999999999E-7</v>
      </c>
      <c r="AJ283" s="140">
        <f t="shared" si="134"/>
        <v>1.24E-6</v>
      </c>
      <c r="AK283" s="140">
        <f t="shared" si="135"/>
        <v>1.5500000000000002E-6</v>
      </c>
      <c r="AL283" s="157">
        <f t="shared" si="136"/>
        <v>1.2</v>
      </c>
      <c r="AM283" s="156">
        <f t="shared" si="137"/>
        <v>9.9999999999999995E-8</v>
      </c>
      <c r="AO283" s="140">
        <f t="shared" si="138"/>
        <v>3.1000000000000001E-5</v>
      </c>
      <c r="AP283">
        <v>3.1</v>
      </c>
      <c r="AQ283" s="140">
        <f t="shared" si="139"/>
        <v>3.0999999999999989E-7</v>
      </c>
      <c r="AR283" s="140">
        <f t="shared" si="140"/>
        <v>6.1999999999999989E-7</v>
      </c>
      <c r="AS283" s="140">
        <f t="shared" si="141"/>
        <v>9.2999999999999999E-7</v>
      </c>
      <c r="AT283" s="140">
        <f t="shared" si="142"/>
        <v>1.24E-6</v>
      </c>
      <c r="AU283" s="140">
        <f t="shared" si="143"/>
        <v>1.5500000000000002E-6</v>
      </c>
      <c r="AV283" s="157">
        <f t="shared" si="144"/>
        <v>1.2</v>
      </c>
      <c r="AW283" s="156">
        <f t="shared" si="145"/>
        <v>9.9999999999999995E-8</v>
      </c>
      <c r="AY283" s="140">
        <f t="shared" si="146"/>
        <v>3.1000000000000001E-5</v>
      </c>
      <c r="AZ283">
        <v>3.1</v>
      </c>
      <c r="BA283" s="140">
        <f t="shared" si="147"/>
        <v>3.0999999999999989E-7</v>
      </c>
      <c r="BB283" s="140">
        <f t="shared" si="148"/>
        <v>6.1999999999999989E-7</v>
      </c>
      <c r="BC283" s="140">
        <f t="shared" si="149"/>
        <v>9.2999999999999999E-7</v>
      </c>
      <c r="BD283" s="140">
        <f t="shared" si="150"/>
        <v>1.24E-6</v>
      </c>
      <c r="BE283" s="140">
        <f t="shared" si="151"/>
        <v>1.5500000000000002E-6</v>
      </c>
      <c r="BF283" s="157">
        <f>IF(AY283&lt;$B$89*DATA!$H$1037,DATA!$H$1037,IF(AY283&gt;DATA!$H$1036*$B$89,DATA!$H$1036,1))</f>
        <v>1.2</v>
      </c>
      <c r="BG283" s="156">
        <f t="shared" si="152"/>
        <v>9.9999999999999995E-8</v>
      </c>
      <c r="BI283" s="140">
        <f t="shared" si="153"/>
        <v>3.1000000000000001E-5</v>
      </c>
      <c r="BJ283">
        <v>3.1</v>
      </c>
      <c r="BK283" s="140">
        <f t="shared" si="154"/>
        <v>3.0999999999999989E-7</v>
      </c>
      <c r="BL283" s="140">
        <f t="shared" si="155"/>
        <v>6.1999999999999989E-7</v>
      </c>
      <c r="BM283" s="140">
        <f t="shared" si="156"/>
        <v>9.2999999999999999E-7</v>
      </c>
      <c r="BN283" s="140">
        <f t="shared" si="157"/>
        <v>1.24E-6</v>
      </c>
      <c r="BO283" s="140">
        <f t="shared" si="158"/>
        <v>1.5500000000000002E-6</v>
      </c>
      <c r="BP283" s="157">
        <f>IF(BI283&lt;$B$105*DATA!$H$1037,DATA!$H$1037,IF(BI283&gt;DATA!$H$1036*$B$105,DATA!$H$1036,1))</f>
        <v>1.2</v>
      </c>
      <c r="BQ283" s="156">
        <f t="shared" si="159"/>
        <v>9.9999999999999995E-8</v>
      </c>
    </row>
    <row r="284" spans="1:69">
      <c r="A284" s="140">
        <f t="shared" si="112"/>
        <v>3.1200000000000006E-5</v>
      </c>
      <c r="B284">
        <v>3.12</v>
      </c>
      <c r="C284" s="140">
        <f t="shared" si="110"/>
        <v>3.1199999999999994E-7</v>
      </c>
      <c r="D284" s="140">
        <f t="shared" si="110"/>
        <v>6.2400000000000008E-7</v>
      </c>
      <c r="E284" s="140">
        <f t="shared" si="110"/>
        <v>9.3600000000000012E-7</v>
      </c>
      <c r="F284" s="140">
        <f t="shared" si="110"/>
        <v>1.2480000000000004E-6</v>
      </c>
      <c r="G284" s="140">
        <f t="shared" si="110"/>
        <v>1.5600000000000003E-6</v>
      </c>
      <c r="H284" s="124">
        <f t="shared" si="113"/>
        <v>0.8</v>
      </c>
      <c r="I284" s="156">
        <f t="shared" si="114"/>
        <v>9.9999999999999995E-8</v>
      </c>
      <c r="K284" s="140">
        <f t="shared" si="115"/>
        <v>3.1200000000000006E-5</v>
      </c>
      <c r="L284">
        <v>3.12</v>
      </c>
      <c r="M284" s="140">
        <f t="shared" si="116"/>
        <v>3.1199999999999994E-7</v>
      </c>
      <c r="N284" s="140">
        <f t="shared" si="117"/>
        <v>6.2400000000000008E-7</v>
      </c>
      <c r="O284" s="140">
        <f t="shared" si="118"/>
        <v>9.3600000000000012E-7</v>
      </c>
      <c r="P284" s="140">
        <f t="shared" si="111"/>
        <v>1.2480000000000004E-6</v>
      </c>
      <c r="Q284" s="140">
        <f t="shared" si="119"/>
        <v>1.5600000000000003E-6</v>
      </c>
      <c r="R284" s="157">
        <f t="shared" si="120"/>
        <v>0.8</v>
      </c>
      <c r="S284" s="156">
        <f t="shared" si="121"/>
        <v>9.9999999999999995E-8</v>
      </c>
      <c r="U284" s="140">
        <f t="shared" si="122"/>
        <v>3.1200000000000006E-5</v>
      </c>
      <c r="V284">
        <v>3.12</v>
      </c>
      <c r="W284" s="140">
        <f t="shared" si="123"/>
        <v>3.1199999999999994E-7</v>
      </c>
      <c r="X284" s="140">
        <f t="shared" si="124"/>
        <v>6.2400000000000008E-7</v>
      </c>
      <c r="Y284" s="140">
        <f t="shared" si="125"/>
        <v>9.3600000000000012E-7</v>
      </c>
      <c r="Z284" s="140">
        <f t="shared" si="126"/>
        <v>1.2480000000000004E-6</v>
      </c>
      <c r="AA284" s="140">
        <f t="shared" si="127"/>
        <v>1.5600000000000003E-6</v>
      </c>
      <c r="AB284" s="157">
        <f t="shared" si="128"/>
        <v>0.8</v>
      </c>
      <c r="AC284" s="156">
        <f t="shared" si="129"/>
        <v>9.9999999999999995E-8</v>
      </c>
      <c r="AE284" s="140">
        <f t="shared" si="130"/>
        <v>3.1200000000000006E-5</v>
      </c>
      <c r="AF284">
        <v>3.12</v>
      </c>
      <c r="AG284" s="140">
        <f t="shared" si="131"/>
        <v>3.1199999999999994E-7</v>
      </c>
      <c r="AH284" s="140">
        <f t="shared" si="132"/>
        <v>6.2400000000000008E-7</v>
      </c>
      <c r="AI284" s="140">
        <f t="shared" si="133"/>
        <v>9.3600000000000012E-7</v>
      </c>
      <c r="AJ284" s="140">
        <f t="shared" si="134"/>
        <v>1.2480000000000004E-6</v>
      </c>
      <c r="AK284" s="140">
        <f t="shared" si="135"/>
        <v>1.5600000000000003E-6</v>
      </c>
      <c r="AL284" s="157">
        <f t="shared" si="136"/>
        <v>1.2</v>
      </c>
      <c r="AM284" s="156">
        <f t="shared" si="137"/>
        <v>9.9999999999999995E-8</v>
      </c>
      <c r="AO284" s="140">
        <f t="shared" si="138"/>
        <v>3.1200000000000006E-5</v>
      </c>
      <c r="AP284">
        <v>3.12</v>
      </c>
      <c r="AQ284" s="140">
        <f t="shared" si="139"/>
        <v>3.1199999999999994E-7</v>
      </c>
      <c r="AR284" s="140">
        <f t="shared" si="140"/>
        <v>6.2400000000000008E-7</v>
      </c>
      <c r="AS284" s="140">
        <f t="shared" si="141"/>
        <v>9.3600000000000012E-7</v>
      </c>
      <c r="AT284" s="140">
        <f t="shared" si="142"/>
        <v>1.2480000000000004E-6</v>
      </c>
      <c r="AU284" s="140">
        <f t="shared" si="143"/>
        <v>1.5600000000000003E-6</v>
      </c>
      <c r="AV284" s="157">
        <f t="shared" si="144"/>
        <v>1.2</v>
      </c>
      <c r="AW284" s="156">
        <f t="shared" si="145"/>
        <v>9.9999999999999995E-8</v>
      </c>
      <c r="AY284" s="140">
        <f t="shared" si="146"/>
        <v>3.1200000000000006E-5</v>
      </c>
      <c r="AZ284">
        <v>3.12</v>
      </c>
      <c r="BA284" s="140">
        <f t="shared" si="147"/>
        <v>3.1199999999999994E-7</v>
      </c>
      <c r="BB284" s="140">
        <f t="shared" si="148"/>
        <v>6.2400000000000008E-7</v>
      </c>
      <c r="BC284" s="140">
        <f t="shared" si="149"/>
        <v>9.3600000000000012E-7</v>
      </c>
      <c r="BD284" s="140">
        <f t="shared" si="150"/>
        <v>1.2480000000000004E-6</v>
      </c>
      <c r="BE284" s="140">
        <f t="shared" si="151"/>
        <v>1.5600000000000003E-6</v>
      </c>
      <c r="BF284" s="157">
        <f>IF(AY284&lt;$B$89*DATA!$H$1037,DATA!$H$1037,IF(AY284&gt;DATA!$H$1036*$B$89,DATA!$H$1036,1))</f>
        <v>1.2</v>
      </c>
      <c r="BG284" s="156">
        <f t="shared" si="152"/>
        <v>9.9999999999999995E-8</v>
      </c>
      <c r="BI284" s="140">
        <f t="shared" si="153"/>
        <v>3.1200000000000006E-5</v>
      </c>
      <c r="BJ284">
        <v>3.12</v>
      </c>
      <c r="BK284" s="140">
        <f t="shared" si="154"/>
        <v>3.1199999999999994E-7</v>
      </c>
      <c r="BL284" s="140">
        <f t="shared" si="155"/>
        <v>6.2400000000000008E-7</v>
      </c>
      <c r="BM284" s="140">
        <f t="shared" si="156"/>
        <v>9.3600000000000012E-7</v>
      </c>
      <c r="BN284" s="140">
        <f t="shared" si="157"/>
        <v>1.2480000000000004E-6</v>
      </c>
      <c r="BO284" s="140">
        <f t="shared" si="158"/>
        <v>1.5600000000000003E-6</v>
      </c>
      <c r="BP284" s="157">
        <f>IF(BI284&lt;$B$105*DATA!$H$1037,DATA!$H$1037,IF(BI284&gt;DATA!$H$1036*$B$105,DATA!$H$1036,1))</f>
        <v>1.2</v>
      </c>
      <c r="BQ284" s="156">
        <f t="shared" si="159"/>
        <v>9.9999999999999995E-8</v>
      </c>
    </row>
    <row r="285" spans="1:69">
      <c r="A285" s="140">
        <f t="shared" si="112"/>
        <v>3.1400000000000004E-5</v>
      </c>
      <c r="B285">
        <v>3.14</v>
      </c>
      <c r="C285" s="140">
        <f t="shared" si="110"/>
        <v>3.1399999999999993E-7</v>
      </c>
      <c r="D285" s="140">
        <f t="shared" si="110"/>
        <v>6.2799999999999996E-7</v>
      </c>
      <c r="E285" s="140">
        <f t="shared" si="110"/>
        <v>9.4200000000000004E-7</v>
      </c>
      <c r="F285" s="140">
        <f t="shared" si="110"/>
        <v>1.2560000000000001E-6</v>
      </c>
      <c r="G285" s="140">
        <f t="shared" si="110"/>
        <v>1.5700000000000002E-6</v>
      </c>
      <c r="H285" s="124">
        <f t="shared" si="113"/>
        <v>0.8</v>
      </c>
      <c r="I285" s="156">
        <f t="shared" si="114"/>
        <v>9.9999999999999995E-8</v>
      </c>
      <c r="K285" s="140">
        <f t="shared" si="115"/>
        <v>3.1400000000000004E-5</v>
      </c>
      <c r="L285">
        <v>3.14</v>
      </c>
      <c r="M285" s="140">
        <f t="shared" si="116"/>
        <v>3.1399999999999993E-7</v>
      </c>
      <c r="N285" s="140">
        <f t="shared" si="117"/>
        <v>6.2799999999999996E-7</v>
      </c>
      <c r="O285" s="140">
        <f t="shared" si="118"/>
        <v>9.4200000000000004E-7</v>
      </c>
      <c r="P285" s="140">
        <f t="shared" si="111"/>
        <v>1.2560000000000001E-6</v>
      </c>
      <c r="Q285" s="140">
        <f t="shared" si="119"/>
        <v>1.5700000000000002E-6</v>
      </c>
      <c r="R285" s="157">
        <f t="shared" si="120"/>
        <v>0.8</v>
      </c>
      <c r="S285" s="156">
        <f t="shared" si="121"/>
        <v>9.9999999999999995E-8</v>
      </c>
      <c r="U285" s="140">
        <f t="shared" si="122"/>
        <v>3.1400000000000004E-5</v>
      </c>
      <c r="V285">
        <v>3.14</v>
      </c>
      <c r="W285" s="140">
        <f t="shared" si="123"/>
        <v>3.1399999999999993E-7</v>
      </c>
      <c r="X285" s="140">
        <f t="shared" si="124"/>
        <v>6.2799999999999996E-7</v>
      </c>
      <c r="Y285" s="140">
        <f t="shared" si="125"/>
        <v>9.4200000000000004E-7</v>
      </c>
      <c r="Z285" s="140">
        <f t="shared" si="126"/>
        <v>1.2560000000000001E-6</v>
      </c>
      <c r="AA285" s="140">
        <f t="shared" si="127"/>
        <v>1.5700000000000002E-6</v>
      </c>
      <c r="AB285" s="157">
        <f t="shared" si="128"/>
        <v>0.8</v>
      </c>
      <c r="AC285" s="156">
        <f t="shared" si="129"/>
        <v>9.9999999999999995E-8</v>
      </c>
      <c r="AE285" s="140">
        <f t="shared" si="130"/>
        <v>3.1400000000000004E-5</v>
      </c>
      <c r="AF285">
        <v>3.14</v>
      </c>
      <c r="AG285" s="140">
        <f t="shared" si="131"/>
        <v>3.1399999999999993E-7</v>
      </c>
      <c r="AH285" s="140">
        <f t="shared" si="132"/>
        <v>6.2799999999999996E-7</v>
      </c>
      <c r="AI285" s="140">
        <f t="shared" si="133"/>
        <v>9.4200000000000004E-7</v>
      </c>
      <c r="AJ285" s="140">
        <f t="shared" si="134"/>
        <v>1.2560000000000001E-6</v>
      </c>
      <c r="AK285" s="140">
        <f t="shared" si="135"/>
        <v>1.5700000000000002E-6</v>
      </c>
      <c r="AL285" s="157">
        <f t="shared" si="136"/>
        <v>1.2</v>
      </c>
      <c r="AM285" s="156">
        <f t="shared" si="137"/>
        <v>9.9999999999999995E-8</v>
      </c>
      <c r="AO285" s="140">
        <f t="shared" si="138"/>
        <v>3.1400000000000004E-5</v>
      </c>
      <c r="AP285">
        <v>3.14</v>
      </c>
      <c r="AQ285" s="140">
        <f t="shared" si="139"/>
        <v>3.1399999999999993E-7</v>
      </c>
      <c r="AR285" s="140">
        <f t="shared" si="140"/>
        <v>6.2799999999999996E-7</v>
      </c>
      <c r="AS285" s="140">
        <f t="shared" si="141"/>
        <v>9.4200000000000004E-7</v>
      </c>
      <c r="AT285" s="140">
        <f t="shared" si="142"/>
        <v>1.2560000000000001E-6</v>
      </c>
      <c r="AU285" s="140">
        <f t="shared" si="143"/>
        <v>1.5700000000000002E-6</v>
      </c>
      <c r="AV285" s="157">
        <f t="shared" si="144"/>
        <v>1.2</v>
      </c>
      <c r="AW285" s="156">
        <f t="shared" si="145"/>
        <v>9.9999999999999995E-8</v>
      </c>
      <c r="AY285" s="140">
        <f t="shared" si="146"/>
        <v>3.1400000000000004E-5</v>
      </c>
      <c r="AZ285">
        <v>3.14</v>
      </c>
      <c r="BA285" s="140">
        <f t="shared" si="147"/>
        <v>3.1399999999999993E-7</v>
      </c>
      <c r="BB285" s="140">
        <f t="shared" si="148"/>
        <v>6.2799999999999996E-7</v>
      </c>
      <c r="BC285" s="140">
        <f t="shared" si="149"/>
        <v>9.4200000000000004E-7</v>
      </c>
      <c r="BD285" s="140">
        <f t="shared" si="150"/>
        <v>1.2560000000000001E-6</v>
      </c>
      <c r="BE285" s="140">
        <f t="shared" si="151"/>
        <v>1.5700000000000002E-6</v>
      </c>
      <c r="BF285" s="157">
        <f>IF(AY285&lt;$B$89*DATA!$H$1037,DATA!$H$1037,IF(AY285&gt;DATA!$H$1036*$B$89,DATA!$H$1036,1))</f>
        <v>1.2</v>
      </c>
      <c r="BG285" s="156">
        <f t="shared" si="152"/>
        <v>9.9999999999999995E-8</v>
      </c>
      <c r="BI285" s="140">
        <f t="shared" si="153"/>
        <v>3.1400000000000004E-5</v>
      </c>
      <c r="BJ285">
        <v>3.14</v>
      </c>
      <c r="BK285" s="140">
        <f t="shared" si="154"/>
        <v>3.1399999999999993E-7</v>
      </c>
      <c r="BL285" s="140">
        <f t="shared" si="155"/>
        <v>6.2799999999999996E-7</v>
      </c>
      <c r="BM285" s="140">
        <f t="shared" si="156"/>
        <v>9.4200000000000004E-7</v>
      </c>
      <c r="BN285" s="140">
        <f t="shared" si="157"/>
        <v>1.2560000000000001E-6</v>
      </c>
      <c r="BO285" s="140">
        <f t="shared" si="158"/>
        <v>1.5700000000000002E-6</v>
      </c>
      <c r="BP285" s="157">
        <f>IF(BI285&lt;$B$105*DATA!$H$1037,DATA!$H$1037,IF(BI285&gt;DATA!$H$1036*$B$105,DATA!$H$1036,1))</f>
        <v>1.2</v>
      </c>
      <c r="BQ285" s="156">
        <f t="shared" si="159"/>
        <v>9.9999999999999995E-8</v>
      </c>
    </row>
    <row r="286" spans="1:69">
      <c r="A286" s="140">
        <f t="shared" si="112"/>
        <v>3.1600000000000002E-5</v>
      </c>
      <c r="B286">
        <v>3.16</v>
      </c>
      <c r="C286" s="140">
        <f t="shared" si="110"/>
        <v>3.1599999999999992E-7</v>
      </c>
      <c r="D286" s="140">
        <f t="shared" si="110"/>
        <v>6.3199999999999994E-7</v>
      </c>
      <c r="E286" s="140">
        <f t="shared" si="110"/>
        <v>9.4800000000000007E-7</v>
      </c>
      <c r="F286" s="140">
        <f t="shared" si="110"/>
        <v>1.2640000000000001E-6</v>
      </c>
      <c r="G286" s="140">
        <f t="shared" si="110"/>
        <v>1.5800000000000001E-6</v>
      </c>
      <c r="H286" s="124">
        <f t="shared" si="113"/>
        <v>0.8</v>
      </c>
      <c r="I286" s="156">
        <f t="shared" si="114"/>
        <v>9.9999999999999995E-8</v>
      </c>
      <c r="K286" s="140">
        <f t="shared" si="115"/>
        <v>3.1600000000000002E-5</v>
      </c>
      <c r="L286">
        <v>3.16</v>
      </c>
      <c r="M286" s="140">
        <f t="shared" si="116"/>
        <v>3.1599999999999992E-7</v>
      </c>
      <c r="N286" s="140">
        <f t="shared" si="117"/>
        <v>6.3199999999999994E-7</v>
      </c>
      <c r="O286" s="140">
        <f t="shared" si="118"/>
        <v>9.4800000000000007E-7</v>
      </c>
      <c r="P286" s="140">
        <f t="shared" si="111"/>
        <v>1.2640000000000001E-6</v>
      </c>
      <c r="Q286" s="140">
        <f t="shared" si="119"/>
        <v>1.5800000000000001E-6</v>
      </c>
      <c r="R286" s="157">
        <f t="shared" si="120"/>
        <v>0.8</v>
      </c>
      <c r="S286" s="156">
        <f t="shared" si="121"/>
        <v>9.9999999999999995E-8</v>
      </c>
      <c r="U286" s="140">
        <f t="shared" si="122"/>
        <v>3.1600000000000002E-5</v>
      </c>
      <c r="V286">
        <v>3.16</v>
      </c>
      <c r="W286" s="140">
        <f t="shared" si="123"/>
        <v>3.1599999999999992E-7</v>
      </c>
      <c r="X286" s="140">
        <f t="shared" si="124"/>
        <v>6.3199999999999994E-7</v>
      </c>
      <c r="Y286" s="140">
        <f t="shared" si="125"/>
        <v>9.4800000000000007E-7</v>
      </c>
      <c r="Z286" s="140">
        <f t="shared" si="126"/>
        <v>1.2640000000000001E-6</v>
      </c>
      <c r="AA286" s="140">
        <f t="shared" si="127"/>
        <v>1.5800000000000001E-6</v>
      </c>
      <c r="AB286" s="157">
        <f t="shared" si="128"/>
        <v>0.8</v>
      </c>
      <c r="AC286" s="156">
        <f t="shared" si="129"/>
        <v>9.9999999999999995E-8</v>
      </c>
      <c r="AE286" s="140">
        <f t="shared" si="130"/>
        <v>3.1600000000000002E-5</v>
      </c>
      <c r="AF286">
        <v>3.16</v>
      </c>
      <c r="AG286" s="140">
        <f t="shared" si="131"/>
        <v>3.1599999999999992E-7</v>
      </c>
      <c r="AH286" s="140">
        <f t="shared" si="132"/>
        <v>6.3199999999999994E-7</v>
      </c>
      <c r="AI286" s="140">
        <f t="shared" si="133"/>
        <v>9.4800000000000007E-7</v>
      </c>
      <c r="AJ286" s="140">
        <f t="shared" si="134"/>
        <v>1.2640000000000001E-6</v>
      </c>
      <c r="AK286" s="140">
        <f t="shared" si="135"/>
        <v>1.5800000000000001E-6</v>
      </c>
      <c r="AL286" s="157">
        <f t="shared" si="136"/>
        <v>1.2</v>
      </c>
      <c r="AM286" s="156">
        <f t="shared" si="137"/>
        <v>9.9999999999999995E-8</v>
      </c>
      <c r="AO286" s="140">
        <f t="shared" si="138"/>
        <v>3.1600000000000002E-5</v>
      </c>
      <c r="AP286">
        <v>3.16</v>
      </c>
      <c r="AQ286" s="140">
        <f t="shared" si="139"/>
        <v>3.1599999999999992E-7</v>
      </c>
      <c r="AR286" s="140">
        <f t="shared" si="140"/>
        <v>6.3199999999999994E-7</v>
      </c>
      <c r="AS286" s="140">
        <f t="shared" si="141"/>
        <v>9.4800000000000007E-7</v>
      </c>
      <c r="AT286" s="140">
        <f t="shared" si="142"/>
        <v>1.2640000000000001E-6</v>
      </c>
      <c r="AU286" s="140">
        <f t="shared" si="143"/>
        <v>1.5800000000000001E-6</v>
      </c>
      <c r="AV286" s="157">
        <f t="shared" si="144"/>
        <v>1.2</v>
      </c>
      <c r="AW286" s="156">
        <f t="shared" si="145"/>
        <v>9.9999999999999995E-8</v>
      </c>
      <c r="AY286" s="140">
        <f t="shared" si="146"/>
        <v>3.1600000000000002E-5</v>
      </c>
      <c r="AZ286">
        <v>3.16</v>
      </c>
      <c r="BA286" s="140">
        <f t="shared" si="147"/>
        <v>3.1599999999999992E-7</v>
      </c>
      <c r="BB286" s="140">
        <f t="shared" si="148"/>
        <v>6.3199999999999994E-7</v>
      </c>
      <c r="BC286" s="140">
        <f t="shared" si="149"/>
        <v>9.4800000000000007E-7</v>
      </c>
      <c r="BD286" s="140">
        <f t="shared" si="150"/>
        <v>1.2640000000000001E-6</v>
      </c>
      <c r="BE286" s="140">
        <f t="shared" si="151"/>
        <v>1.5800000000000001E-6</v>
      </c>
      <c r="BF286" s="157">
        <f>IF(AY286&lt;$B$89*DATA!$H$1037,DATA!$H$1037,IF(AY286&gt;DATA!$H$1036*$B$89,DATA!$H$1036,1))</f>
        <v>1.2</v>
      </c>
      <c r="BG286" s="156">
        <f t="shared" si="152"/>
        <v>9.9999999999999995E-8</v>
      </c>
      <c r="BI286" s="140">
        <f t="shared" si="153"/>
        <v>3.1600000000000002E-5</v>
      </c>
      <c r="BJ286">
        <v>3.16</v>
      </c>
      <c r="BK286" s="140">
        <f t="shared" si="154"/>
        <v>3.1599999999999992E-7</v>
      </c>
      <c r="BL286" s="140">
        <f t="shared" si="155"/>
        <v>6.3199999999999994E-7</v>
      </c>
      <c r="BM286" s="140">
        <f t="shared" si="156"/>
        <v>9.4800000000000007E-7</v>
      </c>
      <c r="BN286" s="140">
        <f t="shared" si="157"/>
        <v>1.2640000000000001E-6</v>
      </c>
      <c r="BO286" s="140">
        <f t="shared" si="158"/>
        <v>1.5800000000000001E-6</v>
      </c>
      <c r="BP286" s="157">
        <f>IF(BI286&lt;$B$105*DATA!$H$1037,DATA!$H$1037,IF(BI286&gt;DATA!$H$1036*$B$105,DATA!$H$1036,1))</f>
        <v>1.2</v>
      </c>
      <c r="BQ286" s="156">
        <f t="shared" si="159"/>
        <v>9.9999999999999995E-8</v>
      </c>
    </row>
    <row r="287" spans="1:69">
      <c r="A287" s="140">
        <f t="shared" si="112"/>
        <v>3.1800000000000007E-5</v>
      </c>
      <c r="B287">
        <v>3.18</v>
      </c>
      <c r="C287" s="140">
        <f t="shared" ref="C287:G302" si="160">C$142*$A287</f>
        <v>3.1799999999999996E-7</v>
      </c>
      <c r="D287" s="140">
        <f t="shared" si="160"/>
        <v>6.3600000000000003E-7</v>
      </c>
      <c r="E287" s="140">
        <f t="shared" si="160"/>
        <v>9.540000000000001E-7</v>
      </c>
      <c r="F287" s="140">
        <f t="shared" si="160"/>
        <v>1.2720000000000003E-6</v>
      </c>
      <c r="G287" s="140">
        <f t="shared" si="160"/>
        <v>1.5900000000000004E-6</v>
      </c>
      <c r="H287" s="124">
        <f t="shared" si="113"/>
        <v>0.8</v>
      </c>
      <c r="I287" s="156">
        <f t="shared" si="114"/>
        <v>9.9999999999999995E-8</v>
      </c>
      <c r="K287" s="140">
        <f t="shared" si="115"/>
        <v>3.1800000000000007E-5</v>
      </c>
      <c r="L287">
        <v>3.18</v>
      </c>
      <c r="M287" s="140">
        <f t="shared" si="116"/>
        <v>3.1799999999999996E-7</v>
      </c>
      <c r="N287" s="140">
        <f t="shared" si="117"/>
        <v>6.3600000000000003E-7</v>
      </c>
      <c r="O287" s="140">
        <f t="shared" si="118"/>
        <v>9.540000000000001E-7</v>
      </c>
      <c r="P287" s="140">
        <f t="shared" si="111"/>
        <v>1.2720000000000003E-6</v>
      </c>
      <c r="Q287" s="140">
        <f t="shared" si="119"/>
        <v>1.5900000000000004E-6</v>
      </c>
      <c r="R287" s="157">
        <f t="shared" si="120"/>
        <v>0.8</v>
      </c>
      <c r="S287" s="156">
        <f t="shared" si="121"/>
        <v>9.9999999999999995E-8</v>
      </c>
      <c r="U287" s="140">
        <f t="shared" si="122"/>
        <v>3.1800000000000007E-5</v>
      </c>
      <c r="V287">
        <v>3.18</v>
      </c>
      <c r="W287" s="140">
        <f t="shared" si="123"/>
        <v>3.1799999999999996E-7</v>
      </c>
      <c r="X287" s="140">
        <f t="shared" si="124"/>
        <v>6.3600000000000003E-7</v>
      </c>
      <c r="Y287" s="140">
        <f t="shared" si="125"/>
        <v>9.540000000000001E-7</v>
      </c>
      <c r="Z287" s="140">
        <f t="shared" si="126"/>
        <v>1.2720000000000003E-6</v>
      </c>
      <c r="AA287" s="140">
        <f t="shared" si="127"/>
        <v>1.5900000000000004E-6</v>
      </c>
      <c r="AB287" s="157">
        <f t="shared" si="128"/>
        <v>0.8</v>
      </c>
      <c r="AC287" s="156">
        <f t="shared" si="129"/>
        <v>9.9999999999999995E-8</v>
      </c>
      <c r="AE287" s="140">
        <f t="shared" si="130"/>
        <v>3.1800000000000007E-5</v>
      </c>
      <c r="AF287">
        <v>3.18</v>
      </c>
      <c r="AG287" s="140">
        <f t="shared" si="131"/>
        <v>3.1799999999999996E-7</v>
      </c>
      <c r="AH287" s="140">
        <f t="shared" si="132"/>
        <v>6.3600000000000003E-7</v>
      </c>
      <c r="AI287" s="140">
        <f t="shared" si="133"/>
        <v>9.540000000000001E-7</v>
      </c>
      <c r="AJ287" s="140">
        <f t="shared" si="134"/>
        <v>1.2720000000000003E-6</v>
      </c>
      <c r="AK287" s="140">
        <f t="shared" si="135"/>
        <v>1.5900000000000004E-6</v>
      </c>
      <c r="AL287" s="157">
        <f t="shared" si="136"/>
        <v>1.2</v>
      </c>
      <c r="AM287" s="156">
        <f t="shared" si="137"/>
        <v>9.9999999999999995E-8</v>
      </c>
      <c r="AO287" s="140">
        <f t="shared" si="138"/>
        <v>3.1800000000000007E-5</v>
      </c>
      <c r="AP287">
        <v>3.18</v>
      </c>
      <c r="AQ287" s="140">
        <f t="shared" si="139"/>
        <v>3.1799999999999996E-7</v>
      </c>
      <c r="AR287" s="140">
        <f t="shared" si="140"/>
        <v>6.3600000000000003E-7</v>
      </c>
      <c r="AS287" s="140">
        <f t="shared" si="141"/>
        <v>9.540000000000001E-7</v>
      </c>
      <c r="AT287" s="140">
        <f t="shared" si="142"/>
        <v>1.2720000000000003E-6</v>
      </c>
      <c r="AU287" s="140">
        <f t="shared" si="143"/>
        <v>1.5900000000000004E-6</v>
      </c>
      <c r="AV287" s="157">
        <f t="shared" si="144"/>
        <v>1.2</v>
      </c>
      <c r="AW287" s="156">
        <f t="shared" si="145"/>
        <v>9.9999999999999995E-8</v>
      </c>
      <c r="AY287" s="140">
        <f t="shared" si="146"/>
        <v>3.1800000000000007E-5</v>
      </c>
      <c r="AZ287">
        <v>3.18</v>
      </c>
      <c r="BA287" s="140">
        <f t="shared" si="147"/>
        <v>3.1799999999999996E-7</v>
      </c>
      <c r="BB287" s="140">
        <f t="shared" si="148"/>
        <v>6.3600000000000003E-7</v>
      </c>
      <c r="BC287" s="140">
        <f t="shared" si="149"/>
        <v>9.540000000000001E-7</v>
      </c>
      <c r="BD287" s="140">
        <f t="shared" si="150"/>
        <v>1.2720000000000003E-6</v>
      </c>
      <c r="BE287" s="140">
        <f t="shared" si="151"/>
        <v>1.5900000000000004E-6</v>
      </c>
      <c r="BF287" s="157">
        <f>IF(AY287&lt;$B$89*DATA!$H$1037,DATA!$H$1037,IF(AY287&gt;DATA!$H$1036*$B$89,DATA!$H$1036,1))</f>
        <v>1.2</v>
      </c>
      <c r="BG287" s="156">
        <f t="shared" si="152"/>
        <v>9.9999999999999995E-8</v>
      </c>
      <c r="BI287" s="140">
        <f t="shared" si="153"/>
        <v>3.1800000000000007E-5</v>
      </c>
      <c r="BJ287">
        <v>3.18</v>
      </c>
      <c r="BK287" s="140">
        <f t="shared" si="154"/>
        <v>3.1799999999999996E-7</v>
      </c>
      <c r="BL287" s="140">
        <f t="shared" si="155"/>
        <v>6.3600000000000003E-7</v>
      </c>
      <c r="BM287" s="140">
        <f t="shared" si="156"/>
        <v>9.540000000000001E-7</v>
      </c>
      <c r="BN287" s="140">
        <f t="shared" si="157"/>
        <v>1.2720000000000003E-6</v>
      </c>
      <c r="BO287" s="140">
        <f t="shared" si="158"/>
        <v>1.5900000000000004E-6</v>
      </c>
      <c r="BP287" s="157">
        <f>IF(BI287&lt;$B$105*DATA!$H$1037,DATA!$H$1037,IF(BI287&gt;DATA!$H$1036*$B$105,DATA!$H$1036,1))</f>
        <v>1.2</v>
      </c>
      <c r="BQ287" s="156">
        <f t="shared" si="159"/>
        <v>9.9999999999999995E-8</v>
      </c>
    </row>
    <row r="288" spans="1:69">
      <c r="A288" s="140">
        <f t="shared" si="112"/>
        <v>3.2000000000000005E-5</v>
      </c>
      <c r="B288">
        <v>3.2</v>
      </c>
      <c r="C288" s="140">
        <f t="shared" si="160"/>
        <v>3.1999999999999995E-7</v>
      </c>
      <c r="D288" s="140">
        <f t="shared" si="160"/>
        <v>6.4000000000000001E-7</v>
      </c>
      <c r="E288" s="140">
        <f t="shared" si="160"/>
        <v>9.6000000000000013E-7</v>
      </c>
      <c r="F288" s="140">
        <f t="shared" si="160"/>
        <v>1.2800000000000002E-6</v>
      </c>
      <c r="G288" s="140">
        <f t="shared" si="160"/>
        <v>1.6000000000000004E-6</v>
      </c>
      <c r="H288" s="124">
        <f t="shared" si="113"/>
        <v>0.8</v>
      </c>
      <c r="I288" s="156">
        <f t="shared" si="114"/>
        <v>9.9999999999999995E-8</v>
      </c>
      <c r="K288" s="140">
        <f t="shared" si="115"/>
        <v>3.2000000000000005E-5</v>
      </c>
      <c r="L288">
        <v>3.2</v>
      </c>
      <c r="M288" s="140">
        <f t="shared" si="116"/>
        <v>3.1999999999999995E-7</v>
      </c>
      <c r="N288" s="140">
        <f t="shared" si="117"/>
        <v>6.4000000000000001E-7</v>
      </c>
      <c r="O288" s="140">
        <f t="shared" si="118"/>
        <v>9.6000000000000013E-7</v>
      </c>
      <c r="P288" s="140">
        <f t="shared" si="111"/>
        <v>1.2800000000000002E-6</v>
      </c>
      <c r="Q288" s="140">
        <f t="shared" si="119"/>
        <v>1.6000000000000004E-6</v>
      </c>
      <c r="R288" s="157">
        <f t="shared" si="120"/>
        <v>0.8</v>
      </c>
      <c r="S288" s="156">
        <f t="shared" si="121"/>
        <v>9.9999999999999995E-8</v>
      </c>
      <c r="U288" s="140">
        <f t="shared" si="122"/>
        <v>3.2000000000000005E-5</v>
      </c>
      <c r="V288">
        <v>3.2</v>
      </c>
      <c r="W288" s="140">
        <f t="shared" si="123"/>
        <v>3.1999999999999995E-7</v>
      </c>
      <c r="X288" s="140">
        <f t="shared" si="124"/>
        <v>6.4000000000000001E-7</v>
      </c>
      <c r="Y288" s="140">
        <f t="shared" si="125"/>
        <v>9.6000000000000013E-7</v>
      </c>
      <c r="Z288" s="140">
        <f t="shared" si="126"/>
        <v>1.2800000000000002E-6</v>
      </c>
      <c r="AA288" s="140">
        <f t="shared" si="127"/>
        <v>1.6000000000000004E-6</v>
      </c>
      <c r="AB288" s="157">
        <f t="shared" si="128"/>
        <v>0.8</v>
      </c>
      <c r="AC288" s="156">
        <f t="shared" si="129"/>
        <v>9.9999999999999995E-8</v>
      </c>
      <c r="AE288" s="140">
        <f t="shared" si="130"/>
        <v>3.2000000000000005E-5</v>
      </c>
      <c r="AF288">
        <v>3.2</v>
      </c>
      <c r="AG288" s="140">
        <f t="shared" si="131"/>
        <v>3.1999999999999995E-7</v>
      </c>
      <c r="AH288" s="140">
        <f t="shared" si="132"/>
        <v>6.4000000000000001E-7</v>
      </c>
      <c r="AI288" s="140">
        <f t="shared" si="133"/>
        <v>9.6000000000000013E-7</v>
      </c>
      <c r="AJ288" s="140">
        <f t="shared" si="134"/>
        <v>1.2800000000000002E-6</v>
      </c>
      <c r="AK288" s="140">
        <f t="shared" si="135"/>
        <v>1.6000000000000004E-6</v>
      </c>
      <c r="AL288" s="157">
        <f t="shared" si="136"/>
        <v>1.2</v>
      </c>
      <c r="AM288" s="156">
        <f t="shared" si="137"/>
        <v>9.9999999999999995E-8</v>
      </c>
      <c r="AO288" s="140">
        <f t="shared" si="138"/>
        <v>3.2000000000000005E-5</v>
      </c>
      <c r="AP288">
        <v>3.2</v>
      </c>
      <c r="AQ288" s="140">
        <f t="shared" si="139"/>
        <v>3.1999999999999995E-7</v>
      </c>
      <c r="AR288" s="140">
        <f t="shared" si="140"/>
        <v>6.4000000000000001E-7</v>
      </c>
      <c r="AS288" s="140">
        <f t="shared" si="141"/>
        <v>9.6000000000000013E-7</v>
      </c>
      <c r="AT288" s="140">
        <f t="shared" si="142"/>
        <v>1.2800000000000002E-6</v>
      </c>
      <c r="AU288" s="140">
        <f t="shared" si="143"/>
        <v>1.6000000000000004E-6</v>
      </c>
      <c r="AV288" s="157">
        <f t="shared" si="144"/>
        <v>1.2</v>
      </c>
      <c r="AW288" s="156">
        <f t="shared" si="145"/>
        <v>9.9999999999999995E-8</v>
      </c>
      <c r="AY288" s="140">
        <f t="shared" si="146"/>
        <v>3.2000000000000005E-5</v>
      </c>
      <c r="AZ288">
        <v>3.2</v>
      </c>
      <c r="BA288" s="140">
        <f t="shared" si="147"/>
        <v>3.1999999999999995E-7</v>
      </c>
      <c r="BB288" s="140">
        <f t="shared" si="148"/>
        <v>6.4000000000000001E-7</v>
      </c>
      <c r="BC288" s="140">
        <f t="shared" si="149"/>
        <v>9.6000000000000013E-7</v>
      </c>
      <c r="BD288" s="140">
        <f t="shared" si="150"/>
        <v>1.2800000000000002E-6</v>
      </c>
      <c r="BE288" s="140">
        <f t="shared" si="151"/>
        <v>1.6000000000000004E-6</v>
      </c>
      <c r="BF288" s="157">
        <f>IF(AY288&lt;$B$89*DATA!$H$1037,DATA!$H$1037,IF(AY288&gt;DATA!$H$1036*$B$89,DATA!$H$1036,1))</f>
        <v>1.2</v>
      </c>
      <c r="BG288" s="156">
        <f t="shared" si="152"/>
        <v>9.9999999999999995E-8</v>
      </c>
      <c r="BI288" s="140">
        <f t="shared" si="153"/>
        <v>3.2000000000000005E-5</v>
      </c>
      <c r="BJ288">
        <v>3.2</v>
      </c>
      <c r="BK288" s="140">
        <f t="shared" si="154"/>
        <v>3.1999999999999995E-7</v>
      </c>
      <c r="BL288" s="140">
        <f t="shared" si="155"/>
        <v>6.4000000000000001E-7</v>
      </c>
      <c r="BM288" s="140">
        <f t="shared" si="156"/>
        <v>9.6000000000000013E-7</v>
      </c>
      <c r="BN288" s="140">
        <f t="shared" si="157"/>
        <v>1.2800000000000002E-6</v>
      </c>
      <c r="BO288" s="140">
        <f t="shared" si="158"/>
        <v>1.6000000000000004E-6</v>
      </c>
      <c r="BP288" s="157">
        <f>IF(BI288&lt;$B$105*DATA!$H$1037,DATA!$H$1037,IF(BI288&gt;DATA!$H$1036*$B$105,DATA!$H$1036,1))</f>
        <v>1.2</v>
      </c>
      <c r="BQ288" s="156">
        <f t="shared" si="159"/>
        <v>9.9999999999999995E-8</v>
      </c>
    </row>
    <row r="289" spans="1:69">
      <c r="A289" s="140">
        <f t="shared" si="112"/>
        <v>3.2200000000000003E-5</v>
      </c>
      <c r="B289">
        <v>3.22</v>
      </c>
      <c r="C289" s="140">
        <f t="shared" si="160"/>
        <v>3.2199999999999995E-7</v>
      </c>
      <c r="D289" s="140">
        <f t="shared" si="160"/>
        <v>6.44E-7</v>
      </c>
      <c r="E289" s="140">
        <f t="shared" si="160"/>
        <v>9.6600000000000015E-7</v>
      </c>
      <c r="F289" s="140">
        <f t="shared" si="160"/>
        <v>1.2880000000000002E-6</v>
      </c>
      <c r="G289" s="140">
        <f t="shared" si="160"/>
        <v>1.6100000000000003E-6</v>
      </c>
      <c r="H289" s="124">
        <f t="shared" si="113"/>
        <v>0.8</v>
      </c>
      <c r="I289" s="156">
        <f t="shared" si="114"/>
        <v>9.9999999999999995E-8</v>
      </c>
      <c r="K289" s="140">
        <f t="shared" si="115"/>
        <v>3.2200000000000003E-5</v>
      </c>
      <c r="L289">
        <v>3.22</v>
      </c>
      <c r="M289" s="140">
        <f t="shared" si="116"/>
        <v>3.2199999999999995E-7</v>
      </c>
      <c r="N289" s="140">
        <f t="shared" si="117"/>
        <v>6.44E-7</v>
      </c>
      <c r="O289" s="140">
        <f t="shared" si="118"/>
        <v>9.6600000000000015E-7</v>
      </c>
      <c r="P289" s="140">
        <f t="shared" si="111"/>
        <v>1.2880000000000002E-6</v>
      </c>
      <c r="Q289" s="140">
        <f t="shared" si="119"/>
        <v>1.6100000000000003E-6</v>
      </c>
      <c r="R289" s="157">
        <f t="shared" si="120"/>
        <v>0.8</v>
      </c>
      <c r="S289" s="156">
        <f t="shared" si="121"/>
        <v>9.9999999999999995E-8</v>
      </c>
      <c r="U289" s="140">
        <f t="shared" si="122"/>
        <v>3.2200000000000003E-5</v>
      </c>
      <c r="V289">
        <v>3.22</v>
      </c>
      <c r="W289" s="140">
        <f t="shared" si="123"/>
        <v>3.2199999999999995E-7</v>
      </c>
      <c r="X289" s="140">
        <f t="shared" si="124"/>
        <v>6.44E-7</v>
      </c>
      <c r="Y289" s="140">
        <f t="shared" si="125"/>
        <v>9.6600000000000015E-7</v>
      </c>
      <c r="Z289" s="140">
        <f t="shared" si="126"/>
        <v>1.2880000000000002E-6</v>
      </c>
      <c r="AA289" s="140">
        <f t="shared" si="127"/>
        <v>1.6100000000000003E-6</v>
      </c>
      <c r="AB289" s="157">
        <f t="shared" si="128"/>
        <v>0.8</v>
      </c>
      <c r="AC289" s="156">
        <f t="shared" si="129"/>
        <v>9.9999999999999995E-8</v>
      </c>
      <c r="AE289" s="140">
        <f t="shared" si="130"/>
        <v>3.2200000000000003E-5</v>
      </c>
      <c r="AF289">
        <v>3.22</v>
      </c>
      <c r="AG289" s="140">
        <f t="shared" si="131"/>
        <v>3.2199999999999995E-7</v>
      </c>
      <c r="AH289" s="140">
        <f t="shared" si="132"/>
        <v>6.44E-7</v>
      </c>
      <c r="AI289" s="140">
        <f t="shared" si="133"/>
        <v>9.6600000000000015E-7</v>
      </c>
      <c r="AJ289" s="140">
        <f t="shared" si="134"/>
        <v>1.2880000000000002E-6</v>
      </c>
      <c r="AK289" s="140">
        <f t="shared" si="135"/>
        <v>1.6100000000000003E-6</v>
      </c>
      <c r="AL289" s="157">
        <f t="shared" si="136"/>
        <v>1.2</v>
      </c>
      <c r="AM289" s="156">
        <f t="shared" si="137"/>
        <v>9.9999999999999995E-8</v>
      </c>
      <c r="AO289" s="140">
        <f t="shared" si="138"/>
        <v>3.2200000000000003E-5</v>
      </c>
      <c r="AP289">
        <v>3.22</v>
      </c>
      <c r="AQ289" s="140">
        <f t="shared" si="139"/>
        <v>3.2199999999999995E-7</v>
      </c>
      <c r="AR289" s="140">
        <f t="shared" si="140"/>
        <v>6.44E-7</v>
      </c>
      <c r="AS289" s="140">
        <f t="shared" si="141"/>
        <v>9.6600000000000015E-7</v>
      </c>
      <c r="AT289" s="140">
        <f t="shared" si="142"/>
        <v>1.2880000000000002E-6</v>
      </c>
      <c r="AU289" s="140">
        <f t="shared" si="143"/>
        <v>1.6100000000000003E-6</v>
      </c>
      <c r="AV289" s="157">
        <f t="shared" si="144"/>
        <v>1.2</v>
      </c>
      <c r="AW289" s="156">
        <f t="shared" si="145"/>
        <v>9.9999999999999995E-8</v>
      </c>
      <c r="AY289" s="140">
        <f t="shared" si="146"/>
        <v>3.2200000000000003E-5</v>
      </c>
      <c r="AZ289">
        <v>3.22</v>
      </c>
      <c r="BA289" s="140">
        <f t="shared" si="147"/>
        <v>3.2199999999999995E-7</v>
      </c>
      <c r="BB289" s="140">
        <f t="shared" si="148"/>
        <v>6.44E-7</v>
      </c>
      <c r="BC289" s="140">
        <f t="shared" si="149"/>
        <v>9.6600000000000015E-7</v>
      </c>
      <c r="BD289" s="140">
        <f t="shared" si="150"/>
        <v>1.2880000000000002E-6</v>
      </c>
      <c r="BE289" s="140">
        <f t="shared" si="151"/>
        <v>1.6100000000000003E-6</v>
      </c>
      <c r="BF289" s="157">
        <f>IF(AY289&lt;$B$89*DATA!$H$1037,DATA!$H$1037,IF(AY289&gt;DATA!$H$1036*$B$89,DATA!$H$1036,1))</f>
        <v>1.2</v>
      </c>
      <c r="BG289" s="156">
        <f t="shared" si="152"/>
        <v>9.9999999999999995E-8</v>
      </c>
      <c r="BI289" s="140">
        <f t="shared" si="153"/>
        <v>3.2200000000000003E-5</v>
      </c>
      <c r="BJ289">
        <v>3.22</v>
      </c>
      <c r="BK289" s="140">
        <f t="shared" si="154"/>
        <v>3.2199999999999995E-7</v>
      </c>
      <c r="BL289" s="140">
        <f t="shared" si="155"/>
        <v>6.44E-7</v>
      </c>
      <c r="BM289" s="140">
        <f t="shared" si="156"/>
        <v>9.6600000000000015E-7</v>
      </c>
      <c r="BN289" s="140">
        <f t="shared" si="157"/>
        <v>1.2880000000000002E-6</v>
      </c>
      <c r="BO289" s="140">
        <f t="shared" si="158"/>
        <v>1.6100000000000003E-6</v>
      </c>
      <c r="BP289" s="157">
        <f>IF(BI289&lt;$B$105*DATA!$H$1037,DATA!$H$1037,IF(BI289&gt;DATA!$H$1036*$B$105,DATA!$H$1036,1))</f>
        <v>1.2</v>
      </c>
      <c r="BQ289" s="156">
        <f t="shared" si="159"/>
        <v>9.9999999999999995E-8</v>
      </c>
    </row>
    <row r="290" spans="1:69">
      <c r="A290" s="140">
        <f t="shared" si="112"/>
        <v>3.2400000000000001E-5</v>
      </c>
      <c r="B290">
        <v>3.24</v>
      </c>
      <c r="C290" s="140">
        <f t="shared" si="160"/>
        <v>3.2399999999999988E-7</v>
      </c>
      <c r="D290" s="140">
        <f t="shared" si="160"/>
        <v>6.4799999999999998E-7</v>
      </c>
      <c r="E290" s="140">
        <f t="shared" si="160"/>
        <v>9.7199999999999997E-7</v>
      </c>
      <c r="F290" s="140">
        <f t="shared" si="160"/>
        <v>1.2960000000000002E-6</v>
      </c>
      <c r="G290" s="140">
        <f t="shared" si="160"/>
        <v>1.6200000000000002E-6</v>
      </c>
      <c r="H290" s="124">
        <f t="shared" si="113"/>
        <v>0.8</v>
      </c>
      <c r="I290" s="156">
        <f t="shared" si="114"/>
        <v>9.9999999999999995E-8</v>
      </c>
      <c r="K290" s="140">
        <f t="shared" si="115"/>
        <v>3.2400000000000001E-5</v>
      </c>
      <c r="L290">
        <v>3.24</v>
      </c>
      <c r="M290" s="140">
        <f t="shared" si="116"/>
        <v>3.2399999999999988E-7</v>
      </c>
      <c r="N290" s="140">
        <f t="shared" si="117"/>
        <v>6.4799999999999998E-7</v>
      </c>
      <c r="O290" s="140">
        <f t="shared" si="118"/>
        <v>9.7199999999999997E-7</v>
      </c>
      <c r="P290" s="140">
        <f t="shared" si="111"/>
        <v>1.2960000000000002E-6</v>
      </c>
      <c r="Q290" s="140">
        <f t="shared" si="119"/>
        <v>1.6200000000000002E-6</v>
      </c>
      <c r="R290" s="157">
        <f t="shared" si="120"/>
        <v>0.8</v>
      </c>
      <c r="S290" s="156">
        <f t="shared" si="121"/>
        <v>9.9999999999999995E-8</v>
      </c>
      <c r="U290" s="140">
        <f t="shared" si="122"/>
        <v>3.2400000000000001E-5</v>
      </c>
      <c r="V290">
        <v>3.24</v>
      </c>
      <c r="W290" s="140">
        <f t="shared" si="123"/>
        <v>3.2399999999999988E-7</v>
      </c>
      <c r="X290" s="140">
        <f t="shared" si="124"/>
        <v>6.4799999999999998E-7</v>
      </c>
      <c r="Y290" s="140">
        <f t="shared" si="125"/>
        <v>9.7199999999999997E-7</v>
      </c>
      <c r="Z290" s="140">
        <f t="shared" si="126"/>
        <v>1.2960000000000002E-6</v>
      </c>
      <c r="AA290" s="140">
        <f t="shared" si="127"/>
        <v>1.6200000000000002E-6</v>
      </c>
      <c r="AB290" s="157">
        <f t="shared" si="128"/>
        <v>0.8</v>
      </c>
      <c r="AC290" s="156">
        <f t="shared" si="129"/>
        <v>9.9999999999999995E-8</v>
      </c>
      <c r="AE290" s="140">
        <f t="shared" si="130"/>
        <v>3.2400000000000001E-5</v>
      </c>
      <c r="AF290">
        <v>3.24</v>
      </c>
      <c r="AG290" s="140">
        <f t="shared" si="131"/>
        <v>3.2399999999999988E-7</v>
      </c>
      <c r="AH290" s="140">
        <f t="shared" si="132"/>
        <v>6.4799999999999998E-7</v>
      </c>
      <c r="AI290" s="140">
        <f t="shared" si="133"/>
        <v>9.7199999999999997E-7</v>
      </c>
      <c r="AJ290" s="140">
        <f t="shared" si="134"/>
        <v>1.2960000000000002E-6</v>
      </c>
      <c r="AK290" s="140">
        <f t="shared" si="135"/>
        <v>1.6200000000000002E-6</v>
      </c>
      <c r="AL290" s="157">
        <f t="shared" si="136"/>
        <v>1.2</v>
      </c>
      <c r="AM290" s="156">
        <f t="shared" si="137"/>
        <v>9.9999999999999995E-8</v>
      </c>
      <c r="AO290" s="140">
        <f t="shared" si="138"/>
        <v>3.2400000000000001E-5</v>
      </c>
      <c r="AP290">
        <v>3.24</v>
      </c>
      <c r="AQ290" s="140">
        <f t="shared" si="139"/>
        <v>3.2399999999999988E-7</v>
      </c>
      <c r="AR290" s="140">
        <f t="shared" si="140"/>
        <v>6.4799999999999998E-7</v>
      </c>
      <c r="AS290" s="140">
        <f t="shared" si="141"/>
        <v>9.7199999999999997E-7</v>
      </c>
      <c r="AT290" s="140">
        <f t="shared" si="142"/>
        <v>1.2960000000000002E-6</v>
      </c>
      <c r="AU290" s="140">
        <f t="shared" si="143"/>
        <v>1.6200000000000002E-6</v>
      </c>
      <c r="AV290" s="157">
        <f t="shared" si="144"/>
        <v>1.2</v>
      </c>
      <c r="AW290" s="156">
        <f t="shared" si="145"/>
        <v>9.9999999999999995E-8</v>
      </c>
      <c r="AY290" s="140">
        <f t="shared" si="146"/>
        <v>3.2400000000000001E-5</v>
      </c>
      <c r="AZ290">
        <v>3.24</v>
      </c>
      <c r="BA290" s="140">
        <f t="shared" si="147"/>
        <v>3.2399999999999988E-7</v>
      </c>
      <c r="BB290" s="140">
        <f t="shared" si="148"/>
        <v>6.4799999999999998E-7</v>
      </c>
      <c r="BC290" s="140">
        <f t="shared" si="149"/>
        <v>9.7199999999999997E-7</v>
      </c>
      <c r="BD290" s="140">
        <f t="shared" si="150"/>
        <v>1.2960000000000002E-6</v>
      </c>
      <c r="BE290" s="140">
        <f t="shared" si="151"/>
        <v>1.6200000000000002E-6</v>
      </c>
      <c r="BF290" s="157">
        <f>IF(AY290&lt;$B$89*DATA!$H$1037,DATA!$H$1037,IF(AY290&gt;DATA!$H$1036*$B$89,DATA!$H$1036,1))</f>
        <v>1.2</v>
      </c>
      <c r="BG290" s="156">
        <f t="shared" si="152"/>
        <v>9.9999999999999995E-8</v>
      </c>
      <c r="BI290" s="140">
        <f t="shared" si="153"/>
        <v>3.2400000000000001E-5</v>
      </c>
      <c r="BJ290">
        <v>3.24</v>
      </c>
      <c r="BK290" s="140">
        <f t="shared" si="154"/>
        <v>3.2399999999999988E-7</v>
      </c>
      <c r="BL290" s="140">
        <f t="shared" si="155"/>
        <v>6.4799999999999998E-7</v>
      </c>
      <c r="BM290" s="140">
        <f t="shared" si="156"/>
        <v>9.7199999999999997E-7</v>
      </c>
      <c r="BN290" s="140">
        <f t="shared" si="157"/>
        <v>1.2960000000000002E-6</v>
      </c>
      <c r="BO290" s="140">
        <f t="shared" si="158"/>
        <v>1.6200000000000002E-6</v>
      </c>
      <c r="BP290" s="157">
        <f>IF(BI290&lt;$B$105*DATA!$H$1037,DATA!$H$1037,IF(BI290&gt;DATA!$H$1036*$B$105,DATA!$H$1036,1))</f>
        <v>1.2</v>
      </c>
      <c r="BQ290" s="156">
        <f t="shared" si="159"/>
        <v>9.9999999999999995E-8</v>
      </c>
    </row>
    <row r="291" spans="1:69">
      <c r="A291" s="140">
        <f t="shared" si="112"/>
        <v>3.26E-5</v>
      </c>
      <c r="B291">
        <v>3.26</v>
      </c>
      <c r="C291" s="140">
        <f t="shared" si="160"/>
        <v>3.2599999999999988E-7</v>
      </c>
      <c r="D291" s="140">
        <f t="shared" si="160"/>
        <v>6.5199999999999986E-7</v>
      </c>
      <c r="E291" s="140">
        <f t="shared" si="160"/>
        <v>9.78E-7</v>
      </c>
      <c r="F291" s="140">
        <f t="shared" si="160"/>
        <v>1.3039999999999999E-6</v>
      </c>
      <c r="G291" s="140">
        <f t="shared" si="160"/>
        <v>1.6300000000000001E-6</v>
      </c>
      <c r="H291" s="124">
        <f t="shared" si="113"/>
        <v>0.8</v>
      </c>
      <c r="I291" s="156">
        <f t="shared" si="114"/>
        <v>9.9999999999999995E-8</v>
      </c>
      <c r="K291" s="140">
        <f t="shared" si="115"/>
        <v>3.26E-5</v>
      </c>
      <c r="L291">
        <v>3.26</v>
      </c>
      <c r="M291" s="140">
        <f t="shared" si="116"/>
        <v>3.2599999999999988E-7</v>
      </c>
      <c r="N291" s="140">
        <f t="shared" si="117"/>
        <v>6.5199999999999986E-7</v>
      </c>
      <c r="O291" s="140">
        <f t="shared" si="118"/>
        <v>9.78E-7</v>
      </c>
      <c r="P291" s="140">
        <f t="shared" si="111"/>
        <v>1.3039999999999999E-6</v>
      </c>
      <c r="Q291" s="140">
        <f t="shared" si="119"/>
        <v>1.6300000000000001E-6</v>
      </c>
      <c r="R291" s="157">
        <f t="shared" si="120"/>
        <v>0.8</v>
      </c>
      <c r="S291" s="156">
        <f t="shared" si="121"/>
        <v>9.9999999999999995E-8</v>
      </c>
      <c r="U291" s="140">
        <f t="shared" si="122"/>
        <v>3.26E-5</v>
      </c>
      <c r="V291">
        <v>3.26</v>
      </c>
      <c r="W291" s="140">
        <f t="shared" si="123"/>
        <v>3.2599999999999988E-7</v>
      </c>
      <c r="X291" s="140">
        <f t="shared" si="124"/>
        <v>6.5199999999999986E-7</v>
      </c>
      <c r="Y291" s="140">
        <f t="shared" si="125"/>
        <v>9.78E-7</v>
      </c>
      <c r="Z291" s="140">
        <f t="shared" si="126"/>
        <v>1.3039999999999999E-6</v>
      </c>
      <c r="AA291" s="140">
        <f t="shared" si="127"/>
        <v>1.6300000000000001E-6</v>
      </c>
      <c r="AB291" s="157">
        <f t="shared" si="128"/>
        <v>0.8</v>
      </c>
      <c r="AC291" s="156">
        <f t="shared" si="129"/>
        <v>9.9999999999999995E-8</v>
      </c>
      <c r="AE291" s="140">
        <f t="shared" si="130"/>
        <v>3.26E-5</v>
      </c>
      <c r="AF291">
        <v>3.26</v>
      </c>
      <c r="AG291" s="140">
        <f t="shared" si="131"/>
        <v>3.2599999999999988E-7</v>
      </c>
      <c r="AH291" s="140">
        <f t="shared" si="132"/>
        <v>6.5199999999999986E-7</v>
      </c>
      <c r="AI291" s="140">
        <f t="shared" si="133"/>
        <v>9.78E-7</v>
      </c>
      <c r="AJ291" s="140">
        <f t="shared" si="134"/>
        <v>1.3039999999999999E-6</v>
      </c>
      <c r="AK291" s="140">
        <f t="shared" si="135"/>
        <v>1.6300000000000001E-6</v>
      </c>
      <c r="AL291" s="157">
        <f t="shared" si="136"/>
        <v>1.2</v>
      </c>
      <c r="AM291" s="156">
        <f t="shared" si="137"/>
        <v>9.9999999999999995E-8</v>
      </c>
      <c r="AO291" s="140">
        <f t="shared" si="138"/>
        <v>3.26E-5</v>
      </c>
      <c r="AP291">
        <v>3.26</v>
      </c>
      <c r="AQ291" s="140">
        <f t="shared" si="139"/>
        <v>3.2599999999999988E-7</v>
      </c>
      <c r="AR291" s="140">
        <f t="shared" si="140"/>
        <v>6.5199999999999986E-7</v>
      </c>
      <c r="AS291" s="140">
        <f t="shared" si="141"/>
        <v>9.78E-7</v>
      </c>
      <c r="AT291" s="140">
        <f t="shared" si="142"/>
        <v>1.3039999999999999E-6</v>
      </c>
      <c r="AU291" s="140">
        <f t="shared" si="143"/>
        <v>1.6300000000000001E-6</v>
      </c>
      <c r="AV291" s="157">
        <f t="shared" si="144"/>
        <v>1.2</v>
      </c>
      <c r="AW291" s="156">
        <f t="shared" si="145"/>
        <v>9.9999999999999995E-8</v>
      </c>
      <c r="AY291" s="140">
        <f t="shared" si="146"/>
        <v>3.26E-5</v>
      </c>
      <c r="AZ291">
        <v>3.26</v>
      </c>
      <c r="BA291" s="140">
        <f t="shared" si="147"/>
        <v>3.2599999999999988E-7</v>
      </c>
      <c r="BB291" s="140">
        <f t="shared" si="148"/>
        <v>6.5199999999999986E-7</v>
      </c>
      <c r="BC291" s="140">
        <f t="shared" si="149"/>
        <v>9.78E-7</v>
      </c>
      <c r="BD291" s="140">
        <f t="shared" si="150"/>
        <v>1.3039999999999999E-6</v>
      </c>
      <c r="BE291" s="140">
        <f t="shared" si="151"/>
        <v>1.6300000000000001E-6</v>
      </c>
      <c r="BF291" s="157">
        <f>IF(AY291&lt;$B$89*DATA!$H$1037,DATA!$H$1037,IF(AY291&gt;DATA!$H$1036*$B$89,DATA!$H$1036,1))</f>
        <v>1.2</v>
      </c>
      <c r="BG291" s="156">
        <f t="shared" si="152"/>
        <v>9.9999999999999995E-8</v>
      </c>
      <c r="BI291" s="140">
        <f t="shared" si="153"/>
        <v>3.26E-5</v>
      </c>
      <c r="BJ291">
        <v>3.26</v>
      </c>
      <c r="BK291" s="140">
        <f t="shared" si="154"/>
        <v>3.2599999999999988E-7</v>
      </c>
      <c r="BL291" s="140">
        <f t="shared" si="155"/>
        <v>6.5199999999999986E-7</v>
      </c>
      <c r="BM291" s="140">
        <f t="shared" si="156"/>
        <v>9.78E-7</v>
      </c>
      <c r="BN291" s="140">
        <f t="shared" si="157"/>
        <v>1.3039999999999999E-6</v>
      </c>
      <c r="BO291" s="140">
        <f t="shared" si="158"/>
        <v>1.6300000000000001E-6</v>
      </c>
      <c r="BP291" s="157">
        <f>IF(BI291&lt;$B$105*DATA!$H$1037,DATA!$H$1037,IF(BI291&gt;DATA!$H$1036*$B$105,DATA!$H$1036,1))</f>
        <v>1.2</v>
      </c>
      <c r="BQ291" s="156">
        <f t="shared" si="159"/>
        <v>9.9999999999999995E-8</v>
      </c>
    </row>
    <row r="292" spans="1:69">
      <c r="A292" s="140">
        <f t="shared" si="112"/>
        <v>3.2799999999999998E-5</v>
      </c>
      <c r="B292">
        <v>3.28</v>
      </c>
      <c r="C292" s="140">
        <f t="shared" si="160"/>
        <v>3.2799999999999987E-7</v>
      </c>
      <c r="D292" s="140">
        <f t="shared" si="160"/>
        <v>6.5599999999999984E-7</v>
      </c>
      <c r="E292" s="140">
        <f t="shared" si="160"/>
        <v>9.8399999999999981E-7</v>
      </c>
      <c r="F292" s="140">
        <f t="shared" si="160"/>
        <v>1.3119999999999999E-6</v>
      </c>
      <c r="G292" s="140">
        <f t="shared" si="160"/>
        <v>1.64E-6</v>
      </c>
      <c r="H292" s="124">
        <f t="shared" si="113"/>
        <v>0.8</v>
      </c>
      <c r="I292" s="156">
        <f t="shared" si="114"/>
        <v>9.9999999999999995E-8</v>
      </c>
      <c r="K292" s="140">
        <f t="shared" si="115"/>
        <v>3.2799999999999998E-5</v>
      </c>
      <c r="L292">
        <v>3.28</v>
      </c>
      <c r="M292" s="140">
        <f t="shared" si="116"/>
        <v>3.2799999999999987E-7</v>
      </c>
      <c r="N292" s="140">
        <f t="shared" si="117"/>
        <v>6.5599999999999984E-7</v>
      </c>
      <c r="O292" s="140">
        <f t="shared" si="118"/>
        <v>9.8399999999999981E-7</v>
      </c>
      <c r="P292" s="140">
        <f t="shared" si="111"/>
        <v>1.3119999999999999E-6</v>
      </c>
      <c r="Q292" s="140">
        <f t="shared" si="119"/>
        <v>1.64E-6</v>
      </c>
      <c r="R292" s="157">
        <f t="shared" si="120"/>
        <v>0.8</v>
      </c>
      <c r="S292" s="156">
        <f t="shared" si="121"/>
        <v>9.9999999999999995E-8</v>
      </c>
      <c r="U292" s="140">
        <f t="shared" si="122"/>
        <v>3.2799999999999998E-5</v>
      </c>
      <c r="V292">
        <v>3.28</v>
      </c>
      <c r="W292" s="140">
        <f t="shared" si="123"/>
        <v>3.2799999999999987E-7</v>
      </c>
      <c r="X292" s="140">
        <f t="shared" si="124"/>
        <v>6.5599999999999984E-7</v>
      </c>
      <c r="Y292" s="140">
        <f t="shared" si="125"/>
        <v>9.8399999999999981E-7</v>
      </c>
      <c r="Z292" s="140">
        <f t="shared" si="126"/>
        <v>1.3119999999999999E-6</v>
      </c>
      <c r="AA292" s="140">
        <f t="shared" si="127"/>
        <v>1.64E-6</v>
      </c>
      <c r="AB292" s="157">
        <f t="shared" si="128"/>
        <v>0.8</v>
      </c>
      <c r="AC292" s="156">
        <f t="shared" si="129"/>
        <v>9.9999999999999995E-8</v>
      </c>
      <c r="AE292" s="140">
        <f t="shared" si="130"/>
        <v>3.2799999999999998E-5</v>
      </c>
      <c r="AF292">
        <v>3.28</v>
      </c>
      <c r="AG292" s="140">
        <f t="shared" si="131"/>
        <v>3.2799999999999987E-7</v>
      </c>
      <c r="AH292" s="140">
        <f t="shared" si="132"/>
        <v>6.5599999999999984E-7</v>
      </c>
      <c r="AI292" s="140">
        <f t="shared" si="133"/>
        <v>9.8399999999999981E-7</v>
      </c>
      <c r="AJ292" s="140">
        <f t="shared" si="134"/>
        <v>1.3119999999999999E-6</v>
      </c>
      <c r="AK292" s="140">
        <f t="shared" si="135"/>
        <v>1.64E-6</v>
      </c>
      <c r="AL292" s="157">
        <f t="shared" si="136"/>
        <v>1.2</v>
      </c>
      <c r="AM292" s="156">
        <f t="shared" si="137"/>
        <v>9.9999999999999995E-8</v>
      </c>
      <c r="AO292" s="140">
        <f t="shared" si="138"/>
        <v>3.2799999999999998E-5</v>
      </c>
      <c r="AP292">
        <v>3.28</v>
      </c>
      <c r="AQ292" s="140">
        <f t="shared" si="139"/>
        <v>3.2799999999999987E-7</v>
      </c>
      <c r="AR292" s="140">
        <f t="shared" si="140"/>
        <v>6.5599999999999984E-7</v>
      </c>
      <c r="AS292" s="140">
        <f t="shared" si="141"/>
        <v>9.8399999999999981E-7</v>
      </c>
      <c r="AT292" s="140">
        <f t="shared" si="142"/>
        <v>1.3119999999999999E-6</v>
      </c>
      <c r="AU292" s="140">
        <f t="shared" si="143"/>
        <v>1.64E-6</v>
      </c>
      <c r="AV292" s="157">
        <f t="shared" si="144"/>
        <v>1.2</v>
      </c>
      <c r="AW292" s="156">
        <f t="shared" si="145"/>
        <v>9.9999999999999995E-8</v>
      </c>
      <c r="AY292" s="140">
        <f t="shared" si="146"/>
        <v>3.2799999999999998E-5</v>
      </c>
      <c r="AZ292">
        <v>3.28</v>
      </c>
      <c r="BA292" s="140">
        <f t="shared" si="147"/>
        <v>3.2799999999999987E-7</v>
      </c>
      <c r="BB292" s="140">
        <f t="shared" si="148"/>
        <v>6.5599999999999984E-7</v>
      </c>
      <c r="BC292" s="140">
        <f t="shared" si="149"/>
        <v>9.8399999999999981E-7</v>
      </c>
      <c r="BD292" s="140">
        <f t="shared" si="150"/>
        <v>1.3119999999999999E-6</v>
      </c>
      <c r="BE292" s="140">
        <f t="shared" si="151"/>
        <v>1.64E-6</v>
      </c>
      <c r="BF292" s="157">
        <f>IF(AY292&lt;$B$89*DATA!$H$1037,DATA!$H$1037,IF(AY292&gt;DATA!$H$1036*$B$89,DATA!$H$1036,1))</f>
        <v>1.2</v>
      </c>
      <c r="BG292" s="156">
        <f t="shared" si="152"/>
        <v>9.9999999999999995E-8</v>
      </c>
      <c r="BI292" s="140">
        <f t="shared" si="153"/>
        <v>3.2799999999999998E-5</v>
      </c>
      <c r="BJ292">
        <v>3.28</v>
      </c>
      <c r="BK292" s="140">
        <f t="shared" si="154"/>
        <v>3.2799999999999987E-7</v>
      </c>
      <c r="BL292" s="140">
        <f t="shared" si="155"/>
        <v>6.5599999999999984E-7</v>
      </c>
      <c r="BM292" s="140">
        <f t="shared" si="156"/>
        <v>9.8399999999999981E-7</v>
      </c>
      <c r="BN292" s="140">
        <f t="shared" si="157"/>
        <v>1.3119999999999999E-6</v>
      </c>
      <c r="BO292" s="140">
        <f t="shared" si="158"/>
        <v>1.64E-6</v>
      </c>
      <c r="BP292" s="157">
        <f>IF(BI292&lt;$B$105*DATA!$H$1037,DATA!$H$1037,IF(BI292&gt;DATA!$H$1036*$B$105,DATA!$H$1036,1))</f>
        <v>1.2</v>
      </c>
      <c r="BQ292" s="156">
        <f t="shared" si="159"/>
        <v>9.9999999999999995E-8</v>
      </c>
    </row>
    <row r="293" spans="1:69">
      <c r="A293" s="140">
        <f t="shared" si="112"/>
        <v>3.3000000000000003E-5</v>
      </c>
      <c r="B293">
        <v>3.3</v>
      </c>
      <c r="C293" s="140">
        <f t="shared" si="160"/>
        <v>3.2999999999999991E-7</v>
      </c>
      <c r="D293" s="140">
        <f t="shared" si="160"/>
        <v>6.5999999999999993E-7</v>
      </c>
      <c r="E293" s="140">
        <f t="shared" si="160"/>
        <v>9.9000000000000005E-7</v>
      </c>
      <c r="F293" s="140">
        <f t="shared" si="160"/>
        <v>1.3200000000000001E-6</v>
      </c>
      <c r="G293" s="140">
        <f t="shared" si="160"/>
        <v>1.6500000000000003E-6</v>
      </c>
      <c r="H293" s="124">
        <f t="shared" si="113"/>
        <v>0.8</v>
      </c>
      <c r="I293" s="156">
        <f t="shared" si="114"/>
        <v>9.9999999999999995E-8</v>
      </c>
      <c r="K293" s="140">
        <f t="shared" si="115"/>
        <v>3.3000000000000003E-5</v>
      </c>
      <c r="L293">
        <v>3.3</v>
      </c>
      <c r="M293" s="140">
        <f t="shared" si="116"/>
        <v>3.2999999999999991E-7</v>
      </c>
      <c r="N293" s="140">
        <f t="shared" si="117"/>
        <v>6.5999999999999993E-7</v>
      </c>
      <c r="O293" s="140">
        <f t="shared" si="118"/>
        <v>9.9000000000000005E-7</v>
      </c>
      <c r="P293" s="140">
        <f t="shared" si="111"/>
        <v>1.3200000000000001E-6</v>
      </c>
      <c r="Q293" s="140">
        <f t="shared" si="119"/>
        <v>1.6500000000000003E-6</v>
      </c>
      <c r="R293" s="157">
        <f t="shared" si="120"/>
        <v>0.8</v>
      </c>
      <c r="S293" s="156">
        <f t="shared" si="121"/>
        <v>9.9999999999999995E-8</v>
      </c>
      <c r="U293" s="140">
        <f t="shared" si="122"/>
        <v>3.3000000000000003E-5</v>
      </c>
      <c r="V293">
        <v>3.3</v>
      </c>
      <c r="W293" s="140">
        <f t="shared" si="123"/>
        <v>3.2999999999999991E-7</v>
      </c>
      <c r="X293" s="140">
        <f t="shared" si="124"/>
        <v>6.5999999999999993E-7</v>
      </c>
      <c r="Y293" s="140">
        <f t="shared" si="125"/>
        <v>9.9000000000000005E-7</v>
      </c>
      <c r="Z293" s="140">
        <f t="shared" si="126"/>
        <v>1.3200000000000001E-6</v>
      </c>
      <c r="AA293" s="140">
        <f t="shared" si="127"/>
        <v>1.6500000000000003E-6</v>
      </c>
      <c r="AB293" s="157">
        <f t="shared" si="128"/>
        <v>0.8</v>
      </c>
      <c r="AC293" s="156">
        <f t="shared" si="129"/>
        <v>9.9999999999999995E-8</v>
      </c>
      <c r="AE293" s="140">
        <f t="shared" si="130"/>
        <v>3.3000000000000003E-5</v>
      </c>
      <c r="AF293">
        <v>3.3</v>
      </c>
      <c r="AG293" s="140">
        <f t="shared" si="131"/>
        <v>3.2999999999999991E-7</v>
      </c>
      <c r="AH293" s="140">
        <f t="shared" si="132"/>
        <v>6.5999999999999993E-7</v>
      </c>
      <c r="AI293" s="140">
        <f t="shared" si="133"/>
        <v>9.9000000000000005E-7</v>
      </c>
      <c r="AJ293" s="140">
        <f t="shared" si="134"/>
        <v>1.3200000000000001E-6</v>
      </c>
      <c r="AK293" s="140">
        <f t="shared" si="135"/>
        <v>1.6500000000000003E-6</v>
      </c>
      <c r="AL293" s="157">
        <f t="shared" si="136"/>
        <v>1.2</v>
      </c>
      <c r="AM293" s="156">
        <f t="shared" si="137"/>
        <v>9.9999999999999995E-8</v>
      </c>
      <c r="AO293" s="140">
        <f t="shared" si="138"/>
        <v>3.3000000000000003E-5</v>
      </c>
      <c r="AP293">
        <v>3.3</v>
      </c>
      <c r="AQ293" s="140">
        <f t="shared" si="139"/>
        <v>3.2999999999999991E-7</v>
      </c>
      <c r="AR293" s="140">
        <f t="shared" si="140"/>
        <v>6.5999999999999993E-7</v>
      </c>
      <c r="AS293" s="140">
        <f t="shared" si="141"/>
        <v>9.9000000000000005E-7</v>
      </c>
      <c r="AT293" s="140">
        <f t="shared" si="142"/>
        <v>1.3200000000000001E-6</v>
      </c>
      <c r="AU293" s="140">
        <f t="shared" si="143"/>
        <v>1.6500000000000003E-6</v>
      </c>
      <c r="AV293" s="157">
        <f t="shared" si="144"/>
        <v>1.2</v>
      </c>
      <c r="AW293" s="156">
        <f t="shared" si="145"/>
        <v>9.9999999999999995E-8</v>
      </c>
      <c r="AY293" s="140">
        <f t="shared" si="146"/>
        <v>3.3000000000000003E-5</v>
      </c>
      <c r="AZ293">
        <v>3.3</v>
      </c>
      <c r="BA293" s="140">
        <f t="shared" si="147"/>
        <v>3.2999999999999991E-7</v>
      </c>
      <c r="BB293" s="140">
        <f t="shared" si="148"/>
        <v>6.5999999999999993E-7</v>
      </c>
      <c r="BC293" s="140">
        <f t="shared" si="149"/>
        <v>9.9000000000000005E-7</v>
      </c>
      <c r="BD293" s="140">
        <f t="shared" si="150"/>
        <v>1.3200000000000001E-6</v>
      </c>
      <c r="BE293" s="140">
        <f t="shared" si="151"/>
        <v>1.6500000000000003E-6</v>
      </c>
      <c r="BF293" s="157">
        <f>IF(AY293&lt;$B$89*DATA!$H$1037,DATA!$H$1037,IF(AY293&gt;DATA!$H$1036*$B$89,DATA!$H$1036,1))</f>
        <v>1.2</v>
      </c>
      <c r="BG293" s="156">
        <f t="shared" si="152"/>
        <v>9.9999999999999995E-8</v>
      </c>
      <c r="BI293" s="140">
        <f t="shared" si="153"/>
        <v>3.3000000000000003E-5</v>
      </c>
      <c r="BJ293">
        <v>3.3</v>
      </c>
      <c r="BK293" s="140">
        <f t="shared" si="154"/>
        <v>3.2999999999999991E-7</v>
      </c>
      <c r="BL293" s="140">
        <f t="shared" si="155"/>
        <v>6.5999999999999993E-7</v>
      </c>
      <c r="BM293" s="140">
        <f t="shared" si="156"/>
        <v>9.9000000000000005E-7</v>
      </c>
      <c r="BN293" s="140">
        <f t="shared" si="157"/>
        <v>1.3200000000000001E-6</v>
      </c>
      <c r="BO293" s="140">
        <f t="shared" si="158"/>
        <v>1.6500000000000003E-6</v>
      </c>
      <c r="BP293" s="157">
        <f>IF(BI293&lt;$B$105*DATA!$H$1037,DATA!$H$1037,IF(BI293&gt;DATA!$H$1036*$B$105,DATA!$H$1036,1))</f>
        <v>1.2</v>
      </c>
      <c r="BQ293" s="156">
        <f t="shared" si="159"/>
        <v>9.9999999999999995E-8</v>
      </c>
    </row>
    <row r="294" spans="1:69">
      <c r="A294" s="140">
        <f t="shared" si="112"/>
        <v>3.3200000000000001E-5</v>
      </c>
      <c r="B294">
        <v>3.32</v>
      </c>
      <c r="C294" s="140">
        <f t="shared" si="160"/>
        <v>3.319999999999999E-7</v>
      </c>
      <c r="D294" s="140">
        <f t="shared" si="160"/>
        <v>6.6399999999999991E-7</v>
      </c>
      <c r="E294" s="140">
        <f t="shared" si="160"/>
        <v>9.9600000000000008E-7</v>
      </c>
      <c r="F294" s="140">
        <f t="shared" si="160"/>
        <v>1.328E-6</v>
      </c>
      <c r="G294" s="140">
        <f t="shared" si="160"/>
        <v>1.6600000000000002E-6</v>
      </c>
      <c r="H294" s="124">
        <f t="shared" si="113"/>
        <v>0.8</v>
      </c>
      <c r="I294" s="156">
        <f t="shared" si="114"/>
        <v>9.9999999999999995E-8</v>
      </c>
      <c r="K294" s="140">
        <f t="shared" si="115"/>
        <v>3.3200000000000001E-5</v>
      </c>
      <c r="L294">
        <v>3.32</v>
      </c>
      <c r="M294" s="140">
        <f t="shared" si="116"/>
        <v>3.319999999999999E-7</v>
      </c>
      <c r="N294" s="140">
        <f t="shared" si="117"/>
        <v>6.6399999999999991E-7</v>
      </c>
      <c r="O294" s="140">
        <f t="shared" si="118"/>
        <v>9.9600000000000008E-7</v>
      </c>
      <c r="P294" s="140">
        <f t="shared" si="111"/>
        <v>1.328E-6</v>
      </c>
      <c r="Q294" s="140">
        <f t="shared" si="119"/>
        <v>1.6600000000000002E-6</v>
      </c>
      <c r="R294" s="157">
        <f t="shared" si="120"/>
        <v>0.8</v>
      </c>
      <c r="S294" s="156">
        <f t="shared" si="121"/>
        <v>9.9999999999999995E-8</v>
      </c>
      <c r="U294" s="140">
        <f t="shared" si="122"/>
        <v>3.3200000000000001E-5</v>
      </c>
      <c r="V294">
        <v>3.32</v>
      </c>
      <c r="W294" s="140">
        <f t="shared" si="123"/>
        <v>3.319999999999999E-7</v>
      </c>
      <c r="X294" s="140">
        <f t="shared" si="124"/>
        <v>6.6399999999999991E-7</v>
      </c>
      <c r="Y294" s="140">
        <f t="shared" si="125"/>
        <v>9.9600000000000008E-7</v>
      </c>
      <c r="Z294" s="140">
        <f t="shared" si="126"/>
        <v>1.328E-6</v>
      </c>
      <c r="AA294" s="140">
        <f t="shared" si="127"/>
        <v>1.6600000000000002E-6</v>
      </c>
      <c r="AB294" s="157">
        <f t="shared" si="128"/>
        <v>0.8</v>
      </c>
      <c r="AC294" s="156">
        <f t="shared" si="129"/>
        <v>9.9999999999999995E-8</v>
      </c>
      <c r="AE294" s="140">
        <f t="shared" si="130"/>
        <v>3.3200000000000001E-5</v>
      </c>
      <c r="AF294">
        <v>3.32</v>
      </c>
      <c r="AG294" s="140">
        <f t="shared" si="131"/>
        <v>3.319999999999999E-7</v>
      </c>
      <c r="AH294" s="140">
        <f t="shared" si="132"/>
        <v>6.6399999999999991E-7</v>
      </c>
      <c r="AI294" s="140">
        <f t="shared" si="133"/>
        <v>9.9600000000000008E-7</v>
      </c>
      <c r="AJ294" s="140">
        <f t="shared" si="134"/>
        <v>1.328E-6</v>
      </c>
      <c r="AK294" s="140">
        <f t="shared" si="135"/>
        <v>1.6600000000000002E-6</v>
      </c>
      <c r="AL294" s="157">
        <f t="shared" si="136"/>
        <v>1.2</v>
      </c>
      <c r="AM294" s="156">
        <f t="shared" si="137"/>
        <v>9.9999999999999995E-8</v>
      </c>
      <c r="AO294" s="140">
        <f t="shared" si="138"/>
        <v>3.3200000000000001E-5</v>
      </c>
      <c r="AP294">
        <v>3.32</v>
      </c>
      <c r="AQ294" s="140">
        <f t="shared" si="139"/>
        <v>3.319999999999999E-7</v>
      </c>
      <c r="AR294" s="140">
        <f t="shared" si="140"/>
        <v>6.6399999999999991E-7</v>
      </c>
      <c r="AS294" s="140">
        <f t="shared" si="141"/>
        <v>9.9600000000000008E-7</v>
      </c>
      <c r="AT294" s="140">
        <f t="shared" si="142"/>
        <v>1.328E-6</v>
      </c>
      <c r="AU294" s="140">
        <f t="shared" si="143"/>
        <v>1.6600000000000002E-6</v>
      </c>
      <c r="AV294" s="157">
        <f t="shared" si="144"/>
        <v>1.2</v>
      </c>
      <c r="AW294" s="156">
        <f t="shared" si="145"/>
        <v>9.9999999999999995E-8</v>
      </c>
      <c r="AY294" s="140">
        <f t="shared" si="146"/>
        <v>3.3200000000000001E-5</v>
      </c>
      <c r="AZ294">
        <v>3.32</v>
      </c>
      <c r="BA294" s="140">
        <f t="shared" si="147"/>
        <v>3.319999999999999E-7</v>
      </c>
      <c r="BB294" s="140">
        <f t="shared" si="148"/>
        <v>6.6399999999999991E-7</v>
      </c>
      <c r="BC294" s="140">
        <f t="shared" si="149"/>
        <v>9.9600000000000008E-7</v>
      </c>
      <c r="BD294" s="140">
        <f t="shared" si="150"/>
        <v>1.328E-6</v>
      </c>
      <c r="BE294" s="140">
        <f t="shared" si="151"/>
        <v>1.6600000000000002E-6</v>
      </c>
      <c r="BF294" s="157">
        <f>IF(AY294&lt;$B$89*DATA!$H$1037,DATA!$H$1037,IF(AY294&gt;DATA!$H$1036*$B$89,DATA!$H$1036,1))</f>
        <v>1.2</v>
      </c>
      <c r="BG294" s="156">
        <f t="shared" si="152"/>
        <v>9.9999999999999995E-8</v>
      </c>
      <c r="BI294" s="140">
        <f t="shared" si="153"/>
        <v>3.3200000000000001E-5</v>
      </c>
      <c r="BJ294">
        <v>3.32</v>
      </c>
      <c r="BK294" s="140">
        <f t="shared" si="154"/>
        <v>3.319999999999999E-7</v>
      </c>
      <c r="BL294" s="140">
        <f t="shared" si="155"/>
        <v>6.6399999999999991E-7</v>
      </c>
      <c r="BM294" s="140">
        <f t="shared" si="156"/>
        <v>9.9600000000000008E-7</v>
      </c>
      <c r="BN294" s="140">
        <f t="shared" si="157"/>
        <v>1.328E-6</v>
      </c>
      <c r="BO294" s="140">
        <f t="shared" si="158"/>
        <v>1.6600000000000002E-6</v>
      </c>
      <c r="BP294" s="157">
        <f>IF(BI294&lt;$B$105*DATA!$H$1037,DATA!$H$1037,IF(BI294&gt;DATA!$H$1036*$B$105,DATA!$H$1036,1))</f>
        <v>1.2</v>
      </c>
      <c r="BQ294" s="156">
        <f t="shared" si="159"/>
        <v>9.9999999999999995E-8</v>
      </c>
    </row>
    <row r="295" spans="1:69">
      <c r="A295" s="140">
        <f t="shared" si="112"/>
        <v>3.3399999999999999E-5</v>
      </c>
      <c r="B295">
        <v>3.34</v>
      </c>
      <c r="C295" s="140">
        <f t="shared" si="160"/>
        <v>3.3399999999999989E-7</v>
      </c>
      <c r="D295" s="140">
        <f t="shared" si="160"/>
        <v>6.6799999999999989E-7</v>
      </c>
      <c r="E295" s="140">
        <f t="shared" si="160"/>
        <v>1.0019999999999999E-6</v>
      </c>
      <c r="F295" s="140">
        <f t="shared" si="160"/>
        <v>1.336E-6</v>
      </c>
      <c r="G295" s="140">
        <f t="shared" si="160"/>
        <v>1.6700000000000001E-6</v>
      </c>
      <c r="H295" s="124">
        <f t="shared" si="113"/>
        <v>0.8</v>
      </c>
      <c r="I295" s="156">
        <f t="shared" si="114"/>
        <v>9.9999999999999995E-8</v>
      </c>
      <c r="K295" s="140">
        <f t="shared" si="115"/>
        <v>3.3399999999999999E-5</v>
      </c>
      <c r="L295">
        <v>3.34</v>
      </c>
      <c r="M295" s="140">
        <f t="shared" si="116"/>
        <v>3.3399999999999989E-7</v>
      </c>
      <c r="N295" s="140">
        <f t="shared" si="117"/>
        <v>6.6799999999999989E-7</v>
      </c>
      <c r="O295" s="140">
        <f t="shared" si="118"/>
        <v>1.0019999999999999E-6</v>
      </c>
      <c r="P295" s="140">
        <f t="shared" si="111"/>
        <v>1.336E-6</v>
      </c>
      <c r="Q295" s="140">
        <f t="shared" si="119"/>
        <v>1.6700000000000001E-6</v>
      </c>
      <c r="R295" s="157">
        <f t="shared" si="120"/>
        <v>0.8</v>
      </c>
      <c r="S295" s="156">
        <f t="shared" si="121"/>
        <v>9.9999999999999995E-8</v>
      </c>
      <c r="U295" s="140">
        <f t="shared" si="122"/>
        <v>3.3399999999999999E-5</v>
      </c>
      <c r="V295">
        <v>3.34</v>
      </c>
      <c r="W295" s="140">
        <f t="shared" si="123"/>
        <v>3.3399999999999989E-7</v>
      </c>
      <c r="X295" s="140">
        <f t="shared" si="124"/>
        <v>6.6799999999999989E-7</v>
      </c>
      <c r="Y295" s="140">
        <f t="shared" si="125"/>
        <v>1.0019999999999999E-6</v>
      </c>
      <c r="Z295" s="140">
        <f t="shared" si="126"/>
        <v>1.336E-6</v>
      </c>
      <c r="AA295" s="140">
        <f t="shared" si="127"/>
        <v>1.6700000000000001E-6</v>
      </c>
      <c r="AB295" s="157">
        <f t="shared" si="128"/>
        <v>0.8</v>
      </c>
      <c r="AC295" s="156">
        <f t="shared" si="129"/>
        <v>9.9999999999999995E-8</v>
      </c>
      <c r="AE295" s="140">
        <f t="shared" si="130"/>
        <v>3.3399999999999999E-5</v>
      </c>
      <c r="AF295">
        <v>3.34</v>
      </c>
      <c r="AG295" s="140">
        <f t="shared" si="131"/>
        <v>3.3399999999999989E-7</v>
      </c>
      <c r="AH295" s="140">
        <f t="shared" si="132"/>
        <v>6.6799999999999989E-7</v>
      </c>
      <c r="AI295" s="140">
        <f t="shared" si="133"/>
        <v>1.0019999999999999E-6</v>
      </c>
      <c r="AJ295" s="140">
        <f t="shared" si="134"/>
        <v>1.336E-6</v>
      </c>
      <c r="AK295" s="140">
        <f t="shared" si="135"/>
        <v>1.6700000000000001E-6</v>
      </c>
      <c r="AL295" s="157">
        <f t="shared" si="136"/>
        <v>1.2</v>
      </c>
      <c r="AM295" s="156">
        <f t="shared" si="137"/>
        <v>9.9999999999999995E-8</v>
      </c>
      <c r="AO295" s="140">
        <f t="shared" si="138"/>
        <v>3.3399999999999999E-5</v>
      </c>
      <c r="AP295">
        <v>3.34</v>
      </c>
      <c r="AQ295" s="140">
        <f t="shared" si="139"/>
        <v>3.3399999999999989E-7</v>
      </c>
      <c r="AR295" s="140">
        <f t="shared" si="140"/>
        <v>6.6799999999999989E-7</v>
      </c>
      <c r="AS295" s="140">
        <f t="shared" si="141"/>
        <v>1.0019999999999999E-6</v>
      </c>
      <c r="AT295" s="140">
        <f t="shared" si="142"/>
        <v>1.336E-6</v>
      </c>
      <c r="AU295" s="140">
        <f t="shared" si="143"/>
        <v>1.6700000000000001E-6</v>
      </c>
      <c r="AV295" s="157">
        <f t="shared" si="144"/>
        <v>1.2</v>
      </c>
      <c r="AW295" s="156">
        <f t="shared" si="145"/>
        <v>9.9999999999999995E-8</v>
      </c>
      <c r="AY295" s="140">
        <f t="shared" si="146"/>
        <v>3.3399999999999999E-5</v>
      </c>
      <c r="AZ295">
        <v>3.34</v>
      </c>
      <c r="BA295" s="140">
        <f t="shared" si="147"/>
        <v>3.3399999999999989E-7</v>
      </c>
      <c r="BB295" s="140">
        <f t="shared" si="148"/>
        <v>6.6799999999999989E-7</v>
      </c>
      <c r="BC295" s="140">
        <f t="shared" si="149"/>
        <v>1.0019999999999999E-6</v>
      </c>
      <c r="BD295" s="140">
        <f t="shared" si="150"/>
        <v>1.336E-6</v>
      </c>
      <c r="BE295" s="140">
        <f t="shared" si="151"/>
        <v>1.6700000000000001E-6</v>
      </c>
      <c r="BF295" s="157">
        <f>IF(AY295&lt;$B$89*DATA!$H$1037,DATA!$H$1037,IF(AY295&gt;DATA!$H$1036*$B$89,DATA!$H$1036,1))</f>
        <v>1.2</v>
      </c>
      <c r="BG295" s="156">
        <f t="shared" si="152"/>
        <v>9.9999999999999995E-8</v>
      </c>
      <c r="BI295" s="140">
        <f t="shared" si="153"/>
        <v>3.3399999999999999E-5</v>
      </c>
      <c r="BJ295">
        <v>3.34</v>
      </c>
      <c r="BK295" s="140">
        <f t="shared" si="154"/>
        <v>3.3399999999999989E-7</v>
      </c>
      <c r="BL295" s="140">
        <f t="shared" si="155"/>
        <v>6.6799999999999989E-7</v>
      </c>
      <c r="BM295" s="140">
        <f t="shared" si="156"/>
        <v>1.0019999999999999E-6</v>
      </c>
      <c r="BN295" s="140">
        <f t="shared" si="157"/>
        <v>1.336E-6</v>
      </c>
      <c r="BO295" s="140">
        <f t="shared" si="158"/>
        <v>1.6700000000000001E-6</v>
      </c>
      <c r="BP295" s="157">
        <f>IF(BI295&lt;$B$105*DATA!$H$1037,DATA!$H$1037,IF(BI295&gt;DATA!$H$1036*$B$105,DATA!$H$1036,1))</f>
        <v>1.2</v>
      </c>
      <c r="BQ295" s="156">
        <f t="shared" si="159"/>
        <v>9.9999999999999995E-8</v>
      </c>
    </row>
    <row r="296" spans="1:69">
      <c r="A296" s="140">
        <f t="shared" si="112"/>
        <v>3.3600000000000004E-5</v>
      </c>
      <c r="B296">
        <v>3.36</v>
      </c>
      <c r="C296" s="140">
        <f t="shared" si="160"/>
        <v>3.3599999999999994E-7</v>
      </c>
      <c r="D296" s="140">
        <f t="shared" si="160"/>
        <v>6.7199999999999998E-7</v>
      </c>
      <c r="E296" s="140">
        <f t="shared" si="160"/>
        <v>1.0080000000000001E-6</v>
      </c>
      <c r="F296" s="140">
        <f t="shared" si="160"/>
        <v>1.3440000000000002E-6</v>
      </c>
      <c r="G296" s="140">
        <f t="shared" si="160"/>
        <v>1.6800000000000002E-6</v>
      </c>
      <c r="H296" s="124">
        <f t="shared" si="113"/>
        <v>0.8</v>
      </c>
      <c r="I296" s="156">
        <f t="shared" si="114"/>
        <v>9.9999999999999995E-8</v>
      </c>
      <c r="K296" s="140">
        <f t="shared" si="115"/>
        <v>3.3600000000000004E-5</v>
      </c>
      <c r="L296">
        <v>3.36</v>
      </c>
      <c r="M296" s="140">
        <f t="shared" si="116"/>
        <v>3.3599999999999994E-7</v>
      </c>
      <c r="N296" s="140">
        <f t="shared" si="117"/>
        <v>6.7199999999999998E-7</v>
      </c>
      <c r="O296" s="140">
        <f t="shared" si="118"/>
        <v>1.0080000000000001E-6</v>
      </c>
      <c r="P296" s="140">
        <f t="shared" si="111"/>
        <v>1.3440000000000002E-6</v>
      </c>
      <c r="Q296" s="140">
        <f t="shared" si="119"/>
        <v>1.6800000000000002E-6</v>
      </c>
      <c r="R296" s="157">
        <f t="shared" si="120"/>
        <v>0.8</v>
      </c>
      <c r="S296" s="156">
        <f t="shared" si="121"/>
        <v>9.9999999999999995E-8</v>
      </c>
      <c r="U296" s="140">
        <f t="shared" si="122"/>
        <v>3.3600000000000004E-5</v>
      </c>
      <c r="V296">
        <v>3.36</v>
      </c>
      <c r="W296" s="140">
        <f t="shared" si="123"/>
        <v>3.3599999999999994E-7</v>
      </c>
      <c r="X296" s="140">
        <f t="shared" si="124"/>
        <v>6.7199999999999998E-7</v>
      </c>
      <c r="Y296" s="140">
        <f t="shared" si="125"/>
        <v>1.0080000000000001E-6</v>
      </c>
      <c r="Z296" s="140">
        <f t="shared" si="126"/>
        <v>1.3440000000000002E-6</v>
      </c>
      <c r="AA296" s="140">
        <f t="shared" si="127"/>
        <v>1.6800000000000002E-6</v>
      </c>
      <c r="AB296" s="157">
        <f t="shared" si="128"/>
        <v>0.8</v>
      </c>
      <c r="AC296" s="156">
        <f t="shared" si="129"/>
        <v>9.9999999999999995E-8</v>
      </c>
      <c r="AE296" s="140">
        <f t="shared" si="130"/>
        <v>3.3600000000000004E-5</v>
      </c>
      <c r="AF296">
        <v>3.36</v>
      </c>
      <c r="AG296" s="140">
        <f t="shared" si="131"/>
        <v>3.3599999999999994E-7</v>
      </c>
      <c r="AH296" s="140">
        <f t="shared" si="132"/>
        <v>6.7199999999999998E-7</v>
      </c>
      <c r="AI296" s="140">
        <f t="shared" si="133"/>
        <v>1.0080000000000001E-6</v>
      </c>
      <c r="AJ296" s="140">
        <f t="shared" si="134"/>
        <v>1.3440000000000002E-6</v>
      </c>
      <c r="AK296" s="140">
        <f t="shared" si="135"/>
        <v>1.6800000000000002E-6</v>
      </c>
      <c r="AL296" s="157">
        <f t="shared" si="136"/>
        <v>1.2</v>
      </c>
      <c r="AM296" s="156">
        <f t="shared" si="137"/>
        <v>9.9999999999999995E-8</v>
      </c>
      <c r="AO296" s="140">
        <f t="shared" si="138"/>
        <v>3.3600000000000004E-5</v>
      </c>
      <c r="AP296">
        <v>3.36</v>
      </c>
      <c r="AQ296" s="140">
        <f t="shared" si="139"/>
        <v>3.3599999999999994E-7</v>
      </c>
      <c r="AR296" s="140">
        <f t="shared" si="140"/>
        <v>6.7199999999999998E-7</v>
      </c>
      <c r="AS296" s="140">
        <f t="shared" si="141"/>
        <v>1.0080000000000001E-6</v>
      </c>
      <c r="AT296" s="140">
        <f t="shared" si="142"/>
        <v>1.3440000000000002E-6</v>
      </c>
      <c r="AU296" s="140">
        <f t="shared" si="143"/>
        <v>1.6800000000000002E-6</v>
      </c>
      <c r="AV296" s="157">
        <f t="shared" si="144"/>
        <v>1.2</v>
      </c>
      <c r="AW296" s="156">
        <f t="shared" si="145"/>
        <v>9.9999999999999995E-8</v>
      </c>
      <c r="AY296" s="140">
        <f t="shared" si="146"/>
        <v>3.3600000000000004E-5</v>
      </c>
      <c r="AZ296">
        <v>3.36</v>
      </c>
      <c r="BA296" s="140">
        <f t="shared" si="147"/>
        <v>3.3599999999999994E-7</v>
      </c>
      <c r="BB296" s="140">
        <f t="shared" si="148"/>
        <v>6.7199999999999998E-7</v>
      </c>
      <c r="BC296" s="140">
        <f t="shared" si="149"/>
        <v>1.0080000000000001E-6</v>
      </c>
      <c r="BD296" s="140">
        <f t="shared" si="150"/>
        <v>1.3440000000000002E-6</v>
      </c>
      <c r="BE296" s="140">
        <f t="shared" si="151"/>
        <v>1.6800000000000002E-6</v>
      </c>
      <c r="BF296" s="157">
        <f>IF(AY296&lt;$B$89*DATA!$H$1037,DATA!$H$1037,IF(AY296&gt;DATA!$H$1036*$B$89,DATA!$H$1036,1))</f>
        <v>1.2</v>
      </c>
      <c r="BG296" s="156">
        <f t="shared" si="152"/>
        <v>9.9999999999999995E-8</v>
      </c>
      <c r="BI296" s="140">
        <f t="shared" si="153"/>
        <v>3.3600000000000004E-5</v>
      </c>
      <c r="BJ296">
        <v>3.36</v>
      </c>
      <c r="BK296" s="140">
        <f t="shared" si="154"/>
        <v>3.3599999999999994E-7</v>
      </c>
      <c r="BL296" s="140">
        <f t="shared" si="155"/>
        <v>6.7199999999999998E-7</v>
      </c>
      <c r="BM296" s="140">
        <f t="shared" si="156"/>
        <v>1.0080000000000001E-6</v>
      </c>
      <c r="BN296" s="140">
        <f t="shared" si="157"/>
        <v>1.3440000000000002E-6</v>
      </c>
      <c r="BO296" s="140">
        <f t="shared" si="158"/>
        <v>1.6800000000000002E-6</v>
      </c>
      <c r="BP296" s="157">
        <f>IF(BI296&lt;$B$105*DATA!$H$1037,DATA!$H$1037,IF(BI296&gt;DATA!$H$1036*$B$105,DATA!$H$1036,1))</f>
        <v>1.2</v>
      </c>
      <c r="BQ296" s="156">
        <f t="shared" si="159"/>
        <v>9.9999999999999995E-8</v>
      </c>
    </row>
    <row r="297" spans="1:69">
      <c r="A297" s="140">
        <f t="shared" si="112"/>
        <v>3.3800000000000002E-5</v>
      </c>
      <c r="B297">
        <v>3.38</v>
      </c>
      <c r="C297" s="140">
        <f t="shared" si="160"/>
        <v>3.3799999999999993E-7</v>
      </c>
      <c r="D297" s="140">
        <f t="shared" si="160"/>
        <v>6.7599999999999997E-7</v>
      </c>
      <c r="E297" s="140">
        <f t="shared" si="160"/>
        <v>1.0139999999999999E-6</v>
      </c>
      <c r="F297" s="140">
        <f t="shared" si="160"/>
        <v>1.3520000000000001E-6</v>
      </c>
      <c r="G297" s="140">
        <f t="shared" si="160"/>
        <v>1.6900000000000001E-6</v>
      </c>
      <c r="H297" s="124">
        <f t="shared" si="113"/>
        <v>0.8</v>
      </c>
      <c r="I297" s="156">
        <f t="shared" si="114"/>
        <v>9.9999999999999995E-8</v>
      </c>
      <c r="K297" s="140">
        <f t="shared" si="115"/>
        <v>3.3800000000000002E-5</v>
      </c>
      <c r="L297">
        <v>3.38</v>
      </c>
      <c r="M297" s="140">
        <f t="shared" si="116"/>
        <v>3.3799999999999993E-7</v>
      </c>
      <c r="N297" s="140">
        <f t="shared" si="117"/>
        <v>6.7599999999999997E-7</v>
      </c>
      <c r="O297" s="140">
        <f t="shared" si="118"/>
        <v>1.0139999999999999E-6</v>
      </c>
      <c r="P297" s="140">
        <f t="shared" si="111"/>
        <v>1.3520000000000001E-6</v>
      </c>
      <c r="Q297" s="140">
        <f t="shared" si="119"/>
        <v>1.6900000000000001E-6</v>
      </c>
      <c r="R297" s="157">
        <f t="shared" si="120"/>
        <v>0.8</v>
      </c>
      <c r="S297" s="156">
        <f t="shared" si="121"/>
        <v>9.9999999999999995E-8</v>
      </c>
      <c r="U297" s="140">
        <f t="shared" si="122"/>
        <v>3.3800000000000002E-5</v>
      </c>
      <c r="V297">
        <v>3.38</v>
      </c>
      <c r="W297" s="140">
        <f t="shared" si="123"/>
        <v>3.3799999999999993E-7</v>
      </c>
      <c r="X297" s="140">
        <f t="shared" si="124"/>
        <v>6.7599999999999997E-7</v>
      </c>
      <c r="Y297" s="140">
        <f t="shared" si="125"/>
        <v>1.0139999999999999E-6</v>
      </c>
      <c r="Z297" s="140">
        <f t="shared" si="126"/>
        <v>1.3520000000000001E-6</v>
      </c>
      <c r="AA297" s="140">
        <f t="shared" si="127"/>
        <v>1.6900000000000001E-6</v>
      </c>
      <c r="AB297" s="157">
        <f t="shared" si="128"/>
        <v>0.8</v>
      </c>
      <c r="AC297" s="156">
        <f t="shared" si="129"/>
        <v>9.9999999999999995E-8</v>
      </c>
      <c r="AE297" s="140">
        <f t="shared" si="130"/>
        <v>3.3800000000000002E-5</v>
      </c>
      <c r="AF297">
        <v>3.38</v>
      </c>
      <c r="AG297" s="140">
        <f t="shared" si="131"/>
        <v>3.3799999999999993E-7</v>
      </c>
      <c r="AH297" s="140">
        <f t="shared" si="132"/>
        <v>6.7599999999999997E-7</v>
      </c>
      <c r="AI297" s="140">
        <f t="shared" si="133"/>
        <v>1.0139999999999999E-6</v>
      </c>
      <c r="AJ297" s="140">
        <f t="shared" si="134"/>
        <v>1.3520000000000001E-6</v>
      </c>
      <c r="AK297" s="140">
        <f t="shared" si="135"/>
        <v>1.6900000000000001E-6</v>
      </c>
      <c r="AL297" s="157">
        <f t="shared" si="136"/>
        <v>1.2</v>
      </c>
      <c r="AM297" s="156">
        <f t="shared" si="137"/>
        <v>9.9999999999999995E-8</v>
      </c>
      <c r="AO297" s="140">
        <f t="shared" si="138"/>
        <v>3.3800000000000002E-5</v>
      </c>
      <c r="AP297">
        <v>3.38</v>
      </c>
      <c r="AQ297" s="140">
        <f t="shared" si="139"/>
        <v>3.3799999999999993E-7</v>
      </c>
      <c r="AR297" s="140">
        <f t="shared" si="140"/>
        <v>6.7599999999999997E-7</v>
      </c>
      <c r="AS297" s="140">
        <f t="shared" si="141"/>
        <v>1.0139999999999999E-6</v>
      </c>
      <c r="AT297" s="140">
        <f t="shared" si="142"/>
        <v>1.3520000000000001E-6</v>
      </c>
      <c r="AU297" s="140">
        <f t="shared" si="143"/>
        <v>1.6900000000000001E-6</v>
      </c>
      <c r="AV297" s="157">
        <f t="shared" si="144"/>
        <v>1.2</v>
      </c>
      <c r="AW297" s="156">
        <f t="shared" si="145"/>
        <v>9.9999999999999995E-8</v>
      </c>
      <c r="AY297" s="140">
        <f t="shared" si="146"/>
        <v>3.3800000000000002E-5</v>
      </c>
      <c r="AZ297">
        <v>3.38</v>
      </c>
      <c r="BA297" s="140">
        <f t="shared" si="147"/>
        <v>3.3799999999999993E-7</v>
      </c>
      <c r="BB297" s="140">
        <f t="shared" si="148"/>
        <v>6.7599999999999997E-7</v>
      </c>
      <c r="BC297" s="140">
        <f t="shared" si="149"/>
        <v>1.0139999999999999E-6</v>
      </c>
      <c r="BD297" s="140">
        <f t="shared" si="150"/>
        <v>1.3520000000000001E-6</v>
      </c>
      <c r="BE297" s="140">
        <f t="shared" si="151"/>
        <v>1.6900000000000001E-6</v>
      </c>
      <c r="BF297" s="157">
        <f>IF(AY297&lt;$B$89*DATA!$H$1037,DATA!$H$1037,IF(AY297&gt;DATA!$H$1036*$B$89,DATA!$H$1036,1))</f>
        <v>1.2</v>
      </c>
      <c r="BG297" s="156">
        <f t="shared" si="152"/>
        <v>9.9999999999999995E-8</v>
      </c>
      <c r="BI297" s="140">
        <f t="shared" si="153"/>
        <v>3.3800000000000002E-5</v>
      </c>
      <c r="BJ297">
        <v>3.38</v>
      </c>
      <c r="BK297" s="140">
        <f t="shared" si="154"/>
        <v>3.3799999999999993E-7</v>
      </c>
      <c r="BL297" s="140">
        <f t="shared" si="155"/>
        <v>6.7599999999999997E-7</v>
      </c>
      <c r="BM297" s="140">
        <f t="shared" si="156"/>
        <v>1.0139999999999999E-6</v>
      </c>
      <c r="BN297" s="140">
        <f t="shared" si="157"/>
        <v>1.3520000000000001E-6</v>
      </c>
      <c r="BO297" s="140">
        <f t="shared" si="158"/>
        <v>1.6900000000000001E-6</v>
      </c>
      <c r="BP297" s="157">
        <f>IF(BI297&lt;$B$105*DATA!$H$1037,DATA!$H$1037,IF(BI297&gt;DATA!$H$1036*$B$105,DATA!$H$1036,1))</f>
        <v>1.2</v>
      </c>
      <c r="BQ297" s="156">
        <f t="shared" si="159"/>
        <v>9.9999999999999995E-8</v>
      </c>
    </row>
    <row r="298" spans="1:69">
      <c r="A298" s="140">
        <f t="shared" si="112"/>
        <v>3.4E-5</v>
      </c>
      <c r="B298">
        <v>3.4</v>
      </c>
      <c r="C298" s="140">
        <f t="shared" si="160"/>
        <v>3.3999999999999987E-7</v>
      </c>
      <c r="D298" s="140">
        <f t="shared" si="160"/>
        <v>6.7999999999999984E-7</v>
      </c>
      <c r="E298" s="140">
        <f t="shared" si="160"/>
        <v>1.02E-6</v>
      </c>
      <c r="F298" s="140">
        <f t="shared" si="160"/>
        <v>1.3600000000000001E-6</v>
      </c>
      <c r="G298" s="140">
        <f t="shared" si="160"/>
        <v>1.7E-6</v>
      </c>
      <c r="H298" s="124">
        <f t="shared" si="113"/>
        <v>0.8</v>
      </c>
      <c r="I298" s="156">
        <f t="shared" si="114"/>
        <v>9.9999999999999995E-8</v>
      </c>
      <c r="K298" s="140">
        <f t="shared" si="115"/>
        <v>3.4E-5</v>
      </c>
      <c r="L298">
        <v>3.4</v>
      </c>
      <c r="M298" s="140">
        <f t="shared" si="116"/>
        <v>3.3999999999999987E-7</v>
      </c>
      <c r="N298" s="140">
        <f t="shared" si="117"/>
        <v>6.7999999999999984E-7</v>
      </c>
      <c r="O298" s="140">
        <f t="shared" si="118"/>
        <v>1.02E-6</v>
      </c>
      <c r="P298" s="140">
        <f t="shared" si="111"/>
        <v>1.3600000000000001E-6</v>
      </c>
      <c r="Q298" s="140">
        <f t="shared" si="119"/>
        <v>1.7E-6</v>
      </c>
      <c r="R298" s="157">
        <f t="shared" si="120"/>
        <v>0.8</v>
      </c>
      <c r="S298" s="156">
        <f t="shared" si="121"/>
        <v>9.9999999999999995E-8</v>
      </c>
      <c r="U298" s="140">
        <f t="shared" si="122"/>
        <v>3.4E-5</v>
      </c>
      <c r="V298">
        <v>3.4</v>
      </c>
      <c r="W298" s="140">
        <f t="shared" si="123"/>
        <v>3.3999999999999987E-7</v>
      </c>
      <c r="X298" s="140">
        <f t="shared" si="124"/>
        <v>6.7999999999999984E-7</v>
      </c>
      <c r="Y298" s="140">
        <f t="shared" si="125"/>
        <v>1.02E-6</v>
      </c>
      <c r="Z298" s="140">
        <f t="shared" si="126"/>
        <v>1.3600000000000001E-6</v>
      </c>
      <c r="AA298" s="140">
        <f t="shared" si="127"/>
        <v>1.7E-6</v>
      </c>
      <c r="AB298" s="157">
        <f t="shared" si="128"/>
        <v>0.8</v>
      </c>
      <c r="AC298" s="156">
        <f t="shared" si="129"/>
        <v>9.9999999999999995E-8</v>
      </c>
      <c r="AE298" s="140">
        <f t="shared" si="130"/>
        <v>3.4E-5</v>
      </c>
      <c r="AF298">
        <v>3.4</v>
      </c>
      <c r="AG298" s="140">
        <f t="shared" si="131"/>
        <v>3.3999999999999987E-7</v>
      </c>
      <c r="AH298" s="140">
        <f t="shared" si="132"/>
        <v>6.7999999999999984E-7</v>
      </c>
      <c r="AI298" s="140">
        <f t="shared" si="133"/>
        <v>1.02E-6</v>
      </c>
      <c r="AJ298" s="140">
        <f t="shared" si="134"/>
        <v>1.3600000000000001E-6</v>
      </c>
      <c r="AK298" s="140">
        <f t="shared" si="135"/>
        <v>1.7E-6</v>
      </c>
      <c r="AL298" s="157">
        <f t="shared" si="136"/>
        <v>1.2</v>
      </c>
      <c r="AM298" s="156">
        <f t="shared" si="137"/>
        <v>9.9999999999999995E-8</v>
      </c>
      <c r="AO298" s="140">
        <f t="shared" si="138"/>
        <v>3.4E-5</v>
      </c>
      <c r="AP298">
        <v>3.4</v>
      </c>
      <c r="AQ298" s="140">
        <f t="shared" si="139"/>
        <v>3.3999999999999987E-7</v>
      </c>
      <c r="AR298" s="140">
        <f t="shared" si="140"/>
        <v>6.7999999999999984E-7</v>
      </c>
      <c r="AS298" s="140">
        <f t="shared" si="141"/>
        <v>1.02E-6</v>
      </c>
      <c r="AT298" s="140">
        <f t="shared" si="142"/>
        <v>1.3600000000000001E-6</v>
      </c>
      <c r="AU298" s="140">
        <f t="shared" si="143"/>
        <v>1.7E-6</v>
      </c>
      <c r="AV298" s="157">
        <f t="shared" si="144"/>
        <v>1.2</v>
      </c>
      <c r="AW298" s="156">
        <f t="shared" si="145"/>
        <v>9.9999999999999995E-8</v>
      </c>
      <c r="AY298" s="140">
        <f t="shared" si="146"/>
        <v>3.4E-5</v>
      </c>
      <c r="AZ298">
        <v>3.4</v>
      </c>
      <c r="BA298" s="140">
        <f t="shared" si="147"/>
        <v>3.3999999999999987E-7</v>
      </c>
      <c r="BB298" s="140">
        <f t="shared" si="148"/>
        <v>6.7999999999999984E-7</v>
      </c>
      <c r="BC298" s="140">
        <f t="shared" si="149"/>
        <v>1.02E-6</v>
      </c>
      <c r="BD298" s="140">
        <f t="shared" si="150"/>
        <v>1.3600000000000001E-6</v>
      </c>
      <c r="BE298" s="140">
        <f t="shared" si="151"/>
        <v>1.7E-6</v>
      </c>
      <c r="BF298" s="157">
        <f>IF(AY298&lt;$B$89*DATA!$H$1037,DATA!$H$1037,IF(AY298&gt;DATA!$H$1036*$B$89,DATA!$H$1036,1))</f>
        <v>1.2</v>
      </c>
      <c r="BG298" s="156">
        <f t="shared" si="152"/>
        <v>9.9999999999999995E-8</v>
      </c>
      <c r="BI298" s="140">
        <f t="shared" si="153"/>
        <v>3.4E-5</v>
      </c>
      <c r="BJ298">
        <v>3.4</v>
      </c>
      <c r="BK298" s="140">
        <f t="shared" si="154"/>
        <v>3.3999999999999987E-7</v>
      </c>
      <c r="BL298" s="140">
        <f t="shared" si="155"/>
        <v>6.7999999999999984E-7</v>
      </c>
      <c r="BM298" s="140">
        <f t="shared" si="156"/>
        <v>1.02E-6</v>
      </c>
      <c r="BN298" s="140">
        <f t="shared" si="157"/>
        <v>1.3600000000000001E-6</v>
      </c>
      <c r="BO298" s="140">
        <f t="shared" si="158"/>
        <v>1.7E-6</v>
      </c>
      <c r="BP298" s="157">
        <f>IF(BI298&lt;$B$105*DATA!$H$1037,DATA!$H$1037,IF(BI298&gt;DATA!$H$1036*$B$105,DATA!$H$1036,1))</f>
        <v>1.2</v>
      </c>
      <c r="BQ298" s="156">
        <f t="shared" si="159"/>
        <v>9.9999999999999995E-8</v>
      </c>
    </row>
    <row r="299" spans="1:69">
      <c r="A299" s="140">
        <f t="shared" si="112"/>
        <v>3.4200000000000005E-5</v>
      </c>
      <c r="B299">
        <v>3.42</v>
      </c>
      <c r="C299" s="140">
        <f t="shared" si="160"/>
        <v>3.4199999999999991E-7</v>
      </c>
      <c r="D299" s="140">
        <f t="shared" si="160"/>
        <v>6.8400000000000004E-7</v>
      </c>
      <c r="E299" s="140">
        <f t="shared" si="160"/>
        <v>1.026E-6</v>
      </c>
      <c r="F299" s="140">
        <f t="shared" si="160"/>
        <v>1.3680000000000003E-6</v>
      </c>
      <c r="G299" s="140">
        <f t="shared" si="160"/>
        <v>1.7100000000000004E-6</v>
      </c>
      <c r="H299" s="124">
        <f t="shared" si="113"/>
        <v>0.8</v>
      </c>
      <c r="I299" s="156">
        <f t="shared" si="114"/>
        <v>9.9999999999999995E-8</v>
      </c>
      <c r="K299" s="140">
        <f t="shared" si="115"/>
        <v>3.4200000000000005E-5</v>
      </c>
      <c r="L299">
        <v>3.42</v>
      </c>
      <c r="M299" s="140">
        <f t="shared" si="116"/>
        <v>3.4199999999999991E-7</v>
      </c>
      <c r="N299" s="140">
        <f t="shared" si="117"/>
        <v>6.8400000000000004E-7</v>
      </c>
      <c r="O299" s="140">
        <f t="shared" si="118"/>
        <v>1.026E-6</v>
      </c>
      <c r="P299" s="140">
        <f t="shared" si="111"/>
        <v>1.3680000000000003E-6</v>
      </c>
      <c r="Q299" s="140">
        <f t="shared" si="119"/>
        <v>1.7100000000000004E-6</v>
      </c>
      <c r="R299" s="157">
        <f t="shared" si="120"/>
        <v>0.8</v>
      </c>
      <c r="S299" s="156">
        <f t="shared" si="121"/>
        <v>9.9999999999999995E-8</v>
      </c>
      <c r="U299" s="140">
        <f t="shared" si="122"/>
        <v>3.4200000000000005E-5</v>
      </c>
      <c r="V299">
        <v>3.42</v>
      </c>
      <c r="W299" s="140">
        <f t="shared" si="123"/>
        <v>3.4199999999999991E-7</v>
      </c>
      <c r="X299" s="140">
        <f t="shared" si="124"/>
        <v>6.8400000000000004E-7</v>
      </c>
      <c r="Y299" s="140">
        <f t="shared" si="125"/>
        <v>1.026E-6</v>
      </c>
      <c r="Z299" s="140">
        <f t="shared" si="126"/>
        <v>1.3680000000000003E-6</v>
      </c>
      <c r="AA299" s="140">
        <f t="shared" si="127"/>
        <v>1.7100000000000004E-6</v>
      </c>
      <c r="AB299" s="157">
        <f t="shared" si="128"/>
        <v>0.8</v>
      </c>
      <c r="AC299" s="156">
        <f t="shared" si="129"/>
        <v>9.9999999999999995E-8</v>
      </c>
      <c r="AE299" s="140">
        <f t="shared" si="130"/>
        <v>3.4200000000000005E-5</v>
      </c>
      <c r="AF299">
        <v>3.42</v>
      </c>
      <c r="AG299" s="140">
        <f t="shared" si="131"/>
        <v>3.4199999999999991E-7</v>
      </c>
      <c r="AH299" s="140">
        <f t="shared" si="132"/>
        <v>6.8400000000000004E-7</v>
      </c>
      <c r="AI299" s="140">
        <f t="shared" si="133"/>
        <v>1.026E-6</v>
      </c>
      <c r="AJ299" s="140">
        <f t="shared" si="134"/>
        <v>1.3680000000000003E-6</v>
      </c>
      <c r="AK299" s="140">
        <f t="shared" si="135"/>
        <v>1.7100000000000004E-6</v>
      </c>
      <c r="AL299" s="157">
        <f t="shared" si="136"/>
        <v>1.2</v>
      </c>
      <c r="AM299" s="156">
        <f t="shared" si="137"/>
        <v>9.9999999999999995E-8</v>
      </c>
      <c r="AO299" s="140">
        <f t="shared" si="138"/>
        <v>3.4200000000000005E-5</v>
      </c>
      <c r="AP299">
        <v>3.42</v>
      </c>
      <c r="AQ299" s="140">
        <f t="shared" si="139"/>
        <v>3.4199999999999991E-7</v>
      </c>
      <c r="AR299" s="140">
        <f t="shared" si="140"/>
        <v>6.8400000000000004E-7</v>
      </c>
      <c r="AS299" s="140">
        <f t="shared" si="141"/>
        <v>1.026E-6</v>
      </c>
      <c r="AT299" s="140">
        <f t="shared" si="142"/>
        <v>1.3680000000000003E-6</v>
      </c>
      <c r="AU299" s="140">
        <f t="shared" si="143"/>
        <v>1.7100000000000004E-6</v>
      </c>
      <c r="AV299" s="157">
        <f t="shared" si="144"/>
        <v>1.2</v>
      </c>
      <c r="AW299" s="156">
        <f t="shared" si="145"/>
        <v>9.9999999999999995E-8</v>
      </c>
      <c r="AY299" s="140">
        <f t="shared" si="146"/>
        <v>3.4200000000000005E-5</v>
      </c>
      <c r="AZ299">
        <v>3.42</v>
      </c>
      <c r="BA299" s="140">
        <f t="shared" si="147"/>
        <v>3.4199999999999991E-7</v>
      </c>
      <c r="BB299" s="140">
        <f t="shared" si="148"/>
        <v>6.8400000000000004E-7</v>
      </c>
      <c r="BC299" s="140">
        <f t="shared" si="149"/>
        <v>1.026E-6</v>
      </c>
      <c r="BD299" s="140">
        <f t="shared" si="150"/>
        <v>1.3680000000000003E-6</v>
      </c>
      <c r="BE299" s="140">
        <f t="shared" si="151"/>
        <v>1.7100000000000004E-6</v>
      </c>
      <c r="BF299" s="157">
        <f>IF(AY299&lt;$B$89*DATA!$H$1037,DATA!$H$1037,IF(AY299&gt;DATA!$H$1036*$B$89,DATA!$H$1036,1))</f>
        <v>1.2</v>
      </c>
      <c r="BG299" s="156">
        <f t="shared" si="152"/>
        <v>9.9999999999999995E-8</v>
      </c>
      <c r="BI299" s="140">
        <f t="shared" si="153"/>
        <v>3.4200000000000005E-5</v>
      </c>
      <c r="BJ299">
        <v>3.42</v>
      </c>
      <c r="BK299" s="140">
        <f t="shared" si="154"/>
        <v>3.4199999999999991E-7</v>
      </c>
      <c r="BL299" s="140">
        <f t="shared" si="155"/>
        <v>6.8400000000000004E-7</v>
      </c>
      <c r="BM299" s="140">
        <f t="shared" si="156"/>
        <v>1.026E-6</v>
      </c>
      <c r="BN299" s="140">
        <f t="shared" si="157"/>
        <v>1.3680000000000003E-6</v>
      </c>
      <c r="BO299" s="140">
        <f t="shared" si="158"/>
        <v>1.7100000000000004E-6</v>
      </c>
      <c r="BP299" s="157">
        <f>IF(BI299&lt;$B$105*DATA!$H$1037,DATA!$H$1037,IF(BI299&gt;DATA!$H$1036*$B$105,DATA!$H$1036,1))</f>
        <v>1.2</v>
      </c>
      <c r="BQ299" s="156">
        <f t="shared" si="159"/>
        <v>9.9999999999999995E-8</v>
      </c>
    </row>
    <row r="300" spans="1:69">
      <c r="A300" s="140">
        <f t="shared" si="112"/>
        <v>3.4400000000000003E-5</v>
      </c>
      <c r="B300">
        <v>3.44</v>
      </c>
      <c r="C300" s="140">
        <f t="shared" si="160"/>
        <v>3.439999999999999E-7</v>
      </c>
      <c r="D300" s="140">
        <f t="shared" si="160"/>
        <v>6.8799999999999991E-7</v>
      </c>
      <c r="E300" s="140">
        <f t="shared" si="160"/>
        <v>1.032E-6</v>
      </c>
      <c r="F300" s="140">
        <f t="shared" si="160"/>
        <v>1.376E-6</v>
      </c>
      <c r="G300" s="140">
        <f t="shared" si="160"/>
        <v>1.7200000000000003E-6</v>
      </c>
      <c r="H300" s="124">
        <f t="shared" si="113"/>
        <v>0.8</v>
      </c>
      <c r="I300" s="156">
        <f t="shared" si="114"/>
        <v>9.9999999999999995E-8</v>
      </c>
      <c r="K300" s="140">
        <f t="shared" si="115"/>
        <v>3.4400000000000003E-5</v>
      </c>
      <c r="L300">
        <v>3.44</v>
      </c>
      <c r="M300" s="140">
        <f t="shared" si="116"/>
        <v>3.439999999999999E-7</v>
      </c>
      <c r="N300" s="140">
        <f t="shared" si="117"/>
        <v>6.8799999999999991E-7</v>
      </c>
      <c r="O300" s="140">
        <f t="shared" si="118"/>
        <v>1.032E-6</v>
      </c>
      <c r="P300" s="140">
        <f t="shared" si="111"/>
        <v>1.376E-6</v>
      </c>
      <c r="Q300" s="140">
        <f t="shared" si="119"/>
        <v>1.7200000000000003E-6</v>
      </c>
      <c r="R300" s="157">
        <f t="shared" si="120"/>
        <v>0.8</v>
      </c>
      <c r="S300" s="156">
        <f t="shared" si="121"/>
        <v>9.9999999999999995E-8</v>
      </c>
      <c r="U300" s="140">
        <f t="shared" si="122"/>
        <v>3.4400000000000003E-5</v>
      </c>
      <c r="V300">
        <v>3.44</v>
      </c>
      <c r="W300" s="140">
        <f t="shared" si="123"/>
        <v>3.439999999999999E-7</v>
      </c>
      <c r="X300" s="140">
        <f t="shared" si="124"/>
        <v>6.8799999999999991E-7</v>
      </c>
      <c r="Y300" s="140">
        <f t="shared" si="125"/>
        <v>1.032E-6</v>
      </c>
      <c r="Z300" s="140">
        <f t="shared" si="126"/>
        <v>1.376E-6</v>
      </c>
      <c r="AA300" s="140">
        <f t="shared" si="127"/>
        <v>1.7200000000000003E-6</v>
      </c>
      <c r="AB300" s="157">
        <f t="shared" si="128"/>
        <v>0.8</v>
      </c>
      <c r="AC300" s="156">
        <f t="shared" si="129"/>
        <v>9.9999999999999995E-8</v>
      </c>
      <c r="AE300" s="140">
        <f t="shared" si="130"/>
        <v>3.4400000000000003E-5</v>
      </c>
      <c r="AF300">
        <v>3.44</v>
      </c>
      <c r="AG300" s="140">
        <f t="shared" si="131"/>
        <v>3.439999999999999E-7</v>
      </c>
      <c r="AH300" s="140">
        <f t="shared" si="132"/>
        <v>6.8799999999999991E-7</v>
      </c>
      <c r="AI300" s="140">
        <f t="shared" si="133"/>
        <v>1.032E-6</v>
      </c>
      <c r="AJ300" s="140">
        <f t="shared" si="134"/>
        <v>1.376E-6</v>
      </c>
      <c r="AK300" s="140">
        <f t="shared" si="135"/>
        <v>1.7200000000000003E-6</v>
      </c>
      <c r="AL300" s="157">
        <f t="shared" si="136"/>
        <v>1.2</v>
      </c>
      <c r="AM300" s="156">
        <f t="shared" si="137"/>
        <v>9.9999999999999995E-8</v>
      </c>
      <c r="AO300" s="140">
        <f t="shared" si="138"/>
        <v>3.4400000000000003E-5</v>
      </c>
      <c r="AP300">
        <v>3.44</v>
      </c>
      <c r="AQ300" s="140">
        <f t="shared" si="139"/>
        <v>3.439999999999999E-7</v>
      </c>
      <c r="AR300" s="140">
        <f t="shared" si="140"/>
        <v>6.8799999999999991E-7</v>
      </c>
      <c r="AS300" s="140">
        <f t="shared" si="141"/>
        <v>1.032E-6</v>
      </c>
      <c r="AT300" s="140">
        <f t="shared" si="142"/>
        <v>1.376E-6</v>
      </c>
      <c r="AU300" s="140">
        <f t="shared" si="143"/>
        <v>1.7200000000000003E-6</v>
      </c>
      <c r="AV300" s="157">
        <f t="shared" si="144"/>
        <v>1.2</v>
      </c>
      <c r="AW300" s="156">
        <f t="shared" si="145"/>
        <v>9.9999999999999995E-8</v>
      </c>
      <c r="AY300" s="140">
        <f t="shared" si="146"/>
        <v>3.4400000000000003E-5</v>
      </c>
      <c r="AZ300">
        <v>3.44</v>
      </c>
      <c r="BA300" s="140">
        <f t="shared" si="147"/>
        <v>3.439999999999999E-7</v>
      </c>
      <c r="BB300" s="140">
        <f t="shared" si="148"/>
        <v>6.8799999999999991E-7</v>
      </c>
      <c r="BC300" s="140">
        <f t="shared" si="149"/>
        <v>1.032E-6</v>
      </c>
      <c r="BD300" s="140">
        <f t="shared" si="150"/>
        <v>1.376E-6</v>
      </c>
      <c r="BE300" s="140">
        <f t="shared" si="151"/>
        <v>1.7200000000000003E-6</v>
      </c>
      <c r="BF300" s="157">
        <f>IF(AY300&lt;$B$89*DATA!$H$1037,DATA!$H$1037,IF(AY300&gt;DATA!$H$1036*$B$89,DATA!$H$1036,1))</f>
        <v>1.2</v>
      </c>
      <c r="BG300" s="156">
        <f t="shared" si="152"/>
        <v>9.9999999999999995E-8</v>
      </c>
      <c r="BI300" s="140">
        <f t="shared" si="153"/>
        <v>3.4400000000000003E-5</v>
      </c>
      <c r="BJ300">
        <v>3.44</v>
      </c>
      <c r="BK300" s="140">
        <f t="shared" si="154"/>
        <v>3.439999999999999E-7</v>
      </c>
      <c r="BL300" s="140">
        <f t="shared" si="155"/>
        <v>6.8799999999999991E-7</v>
      </c>
      <c r="BM300" s="140">
        <f t="shared" si="156"/>
        <v>1.032E-6</v>
      </c>
      <c r="BN300" s="140">
        <f t="shared" si="157"/>
        <v>1.376E-6</v>
      </c>
      <c r="BO300" s="140">
        <f t="shared" si="158"/>
        <v>1.7200000000000003E-6</v>
      </c>
      <c r="BP300" s="157">
        <f>IF(BI300&lt;$B$105*DATA!$H$1037,DATA!$H$1037,IF(BI300&gt;DATA!$H$1036*$B$105,DATA!$H$1036,1))</f>
        <v>1.2</v>
      </c>
      <c r="BQ300" s="156">
        <f t="shared" si="159"/>
        <v>9.9999999999999995E-8</v>
      </c>
    </row>
    <row r="301" spans="1:69">
      <c r="A301" s="140">
        <f t="shared" si="112"/>
        <v>3.4600000000000001E-5</v>
      </c>
      <c r="B301">
        <v>3.46</v>
      </c>
      <c r="C301" s="140">
        <f t="shared" si="160"/>
        <v>3.459999999999999E-7</v>
      </c>
      <c r="D301" s="140">
        <f t="shared" si="160"/>
        <v>6.919999999999999E-7</v>
      </c>
      <c r="E301" s="140">
        <f t="shared" si="160"/>
        <v>1.0380000000000001E-6</v>
      </c>
      <c r="F301" s="140">
        <f t="shared" si="160"/>
        <v>1.384E-6</v>
      </c>
      <c r="G301" s="140">
        <f t="shared" si="160"/>
        <v>1.7300000000000002E-6</v>
      </c>
      <c r="H301" s="124">
        <f t="shared" si="113"/>
        <v>0.8</v>
      </c>
      <c r="I301" s="156">
        <f t="shared" si="114"/>
        <v>9.9999999999999995E-8</v>
      </c>
      <c r="K301" s="140">
        <f t="shared" si="115"/>
        <v>3.4600000000000001E-5</v>
      </c>
      <c r="L301">
        <v>3.46</v>
      </c>
      <c r="M301" s="140">
        <f t="shared" si="116"/>
        <v>3.459999999999999E-7</v>
      </c>
      <c r="N301" s="140">
        <f t="shared" si="117"/>
        <v>6.919999999999999E-7</v>
      </c>
      <c r="O301" s="140">
        <f t="shared" si="118"/>
        <v>1.0380000000000001E-6</v>
      </c>
      <c r="P301" s="140">
        <f t="shared" si="111"/>
        <v>1.384E-6</v>
      </c>
      <c r="Q301" s="140">
        <f t="shared" si="119"/>
        <v>1.7300000000000002E-6</v>
      </c>
      <c r="R301" s="157">
        <f t="shared" si="120"/>
        <v>0.8</v>
      </c>
      <c r="S301" s="156">
        <f t="shared" si="121"/>
        <v>9.9999999999999995E-8</v>
      </c>
      <c r="U301" s="140">
        <f t="shared" si="122"/>
        <v>3.4600000000000001E-5</v>
      </c>
      <c r="V301">
        <v>3.46</v>
      </c>
      <c r="W301" s="140">
        <f t="shared" si="123"/>
        <v>3.459999999999999E-7</v>
      </c>
      <c r="X301" s="140">
        <f t="shared" si="124"/>
        <v>6.919999999999999E-7</v>
      </c>
      <c r="Y301" s="140">
        <f t="shared" si="125"/>
        <v>1.0380000000000001E-6</v>
      </c>
      <c r="Z301" s="140">
        <f t="shared" si="126"/>
        <v>1.384E-6</v>
      </c>
      <c r="AA301" s="140">
        <f t="shared" si="127"/>
        <v>1.7300000000000002E-6</v>
      </c>
      <c r="AB301" s="157">
        <f t="shared" si="128"/>
        <v>0.8</v>
      </c>
      <c r="AC301" s="156">
        <f t="shared" si="129"/>
        <v>9.9999999999999995E-8</v>
      </c>
      <c r="AE301" s="140">
        <f t="shared" si="130"/>
        <v>3.4600000000000001E-5</v>
      </c>
      <c r="AF301">
        <v>3.46</v>
      </c>
      <c r="AG301" s="140">
        <f t="shared" si="131"/>
        <v>3.459999999999999E-7</v>
      </c>
      <c r="AH301" s="140">
        <f t="shared" si="132"/>
        <v>6.919999999999999E-7</v>
      </c>
      <c r="AI301" s="140">
        <f t="shared" si="133"/>
        <v>1.0380000000000001E-6</v>
      </c>
      <c r="AJ301" s="140">
        <f t="shared" si="134"/>
        <v>1.384E-6</v>
      </c>
      <c r="AK301" s="140">
        <f t="shared" si="135"/>
        <v>1.7300000000000002E-6</v>
      </c>
      <c r="AL301" s="157">
        <f t="shared" si="136"/>
        <v>1.2</v>
      </c>
      <c r="AM301" s="156">
        <f t="shared" si="137"/>
        <v>9.9999999999999995E-8</v>
      </c>
      <c r="AO301" s="140">
        <f t="shared" si="138"/>
        <v>3.4600000000000001E-5</v>
      </c>
      <c r="AP301">
        <v>3.46</v>
      </c>
      <c r="AQ301" s="140">
        <f t="shared" si="139"/>
        <v>3.459999999999999E-7</v>
      </c>
      <c r="AR301" s="140">
        <f t="shared" si="140"/>
        <v>6.919999999999999E-7</v>
      </c>
      <c r="AS301" s="140">
        <f t="shared" si="141"/>
        <v>1.0380000000000001E-6</v>
      </c>
      <c r="AT301" s="140">
        <f t="shared" si="142"/>
        <v>1.384E-6</v>
      </c>
      <c r="AU301" s="140">
        <f t="shared" si="143"/>
        <v>1.7300000000000002E-6</v>
      </c>
      <c r="AV301" s="157">
        <f t="shared" si="144"/>
        <v>1.2</v>
      </c>
      <c r="AW301" s="156">
        <f t="shared" si="145"/>
        <v>9.9999999999999995E-8</v>
      </c>
      <c r="AY301" s="140">
        <f t="shared" si="146"/>
        <v>3.4600000000000001E-5</v>
      </c>
      <c r="AZ301">
        <v>3.46</v>
      </c>
      <c r="BA301" s="140">
        <f t="shared" si="147"/>
        <v>3.459999999999999E-7</v>
      </c>
      <c r="BB301" s="140">
        <f t="shared" si="148"/>
        <v>6.919999999999999E-7</v>
      </c>
      <c r="BC301" s="140">
        <f t="shared" si="149"/>
        <v>1.0380000000000001E-6</v>
      </c>
      <c r="BD301" s="140">
        <f t="shared" si="150"/>
        <v>1.384E-6</v>
      </c>
      <c r="BE301" s="140">
        <f t="shared" si="151"/>
        <v>1.7300000000000002E-6</v>
      </c>
      <c r="BF301" s="157">
        <f>IF(AY301&lt;$B$89*DATA!$H$1037,DATA!$H$1037,IF(AY301&gt;DATA!$H$1036*$B$89,DATA!$H$1036,1))</f>
        <v>1.2</v>
      </c>
      <c r="BG301" s="156">
        <f t="shared" si="152"/>
        <v>9.9999999999999995E-8</v>
      </c>
      <c r="BI301" s="140">
        <f t="shared" si="153"/>
        <v>3.4600000000000001E-5</v>
      </c>
      <c r="BJ301">
        <v>3.46</v>
      </c>
      <c r="BK301" s="140">
        <f t="shared" si="154"/>
        <v>3.459999999999999E-7</v>
      </c>
      <c r="BL301" s="140">
        <f t="shared" si="155"/>
        <v>6.919999999999999E-7</v>
      </c>
      <c r="BM301" s="140">
        <f t="shared" si="156"/>
        <v>1.0380000000000001E-6</v>
      </c>
      <c r="BN301" s="140">
        <f t="shared" si="157"/>
        <v>1.384E-6</v>
      </c>
      <c r="BO301" s="140">
        <f t="shared" si="158"/>
        <v>1.7300000000000002E-6</v>
      </c>
      <c r="BP301" s="157">
        <f>IF(BI301&lt;$B$105*DATA!$H$1037,DATA!$H$1037,IF(BI301&gt;DATA!$H$1036*$B$105,DATA!$H$1036,1))</f>
        <v>1.2</v>
      </c>
      <c r="BQ301" s="156">
        <f t="shared" si="159"/>
        <v>9.9999999999999995E-8</v>
      </c>
    </row>
    <row r="302" spans="1:69">
      <c r="A302" s="140">
        <f t="shared" si="112"/>
        <v>3.4800000000000006E-5</v>
      </c>
      <c r="B302">
        <v>3.48</v>
      </c>
      <c r="C302" s="140">
        <f t="shared" si="160"/>
        <v>3.4799999999999994E-7</v>
      </c>
      <c r="D302" s="140">
        <f t="shared" si="160"/>
        <v>6.9599999999999999E-7</v>
      </c>
      <c r="E302" s="140">
        <f t="shared" si="160"/>
        <v>1.0440000000000001E-6</v>
      </c>
      <c r="F302" s="140">
        <f t="shared" si="160"/>
        <v>1.3920000000000002E-6</v>
      </c>
      <c r="G302" s="140">
        <f t="shared" si="160"/>
        <v>1.7400000000000003E-6</v>
      </c>
      <c r="H302" s="124">
        <f t="shared" si="113"/>
        <v>0.8</v>
      </c>
      <c r="I302" s="156">
        <f t="shared" si="114"/>
        <v>9.9999999999999995E-8</v>
      </c>
      <c r="K302" s="140">
        <f t="shared" si="115"/>
        <v>3.4800000000000006E-5</v>
      </c>
      <c r="L302">
        <v>3.48</v>
      </c>
      <c r="M302" s="140">
        <f t="shared" si="116"/>
        <v>3.4799999999999994E-7</v>
      </c>
      <c r="N302" s="140">
        <f t="shared" si="117"/>
        <v>6.9599999999999999E-7</v>
      </c>
      <c r="O302" s="140">
        <f t="shared" si="118"/>
        <v>1.0440000000000001E-6</v>
      </c>
      <c r="P302" s="140">
        <f t="shared" si="111"/>
        <v>1.3920000000000002E-6</v>
      </c>
      <c r="Q302" s="140">
        <f t="shared" si="119"/>
        <v>1.7400000000000003E-6</v>
      </c>
      <c r="R302" s="157">
        <f t="shared" si="120"/>
        <v>0.8</v>
      </c>
      <c r="S302" s="156">
        <f t="shared" si="121"/>
        <v>9.9999999999999995E-8</v>
      </c>
      <c r="U302" s="140">
        <f t="shared" si="122"/>
        <v>3.4800000000000006E-5</v>
      </c>
      <c r="V302">
        <v>3.48</v>
      </c>
      <c r="W302" s="140">
        <f t="shared" si="123"/>
        <v>3.4799999999999994E-7</v>
      </c>
      <c r="X302" s="140">
        <f t="shared" si="124"/>
        <v>6.9599999999999999E-7</v>
      </c>
      <c r="Y302" s="140">
        <f t="shared" si="125"/>
        <v>1.0440000000000001E-6</v>
      </c>
      <c r="Z302" s="140">
        <f t="shared" si="126"/>
        <v>1.3920000000000002E-6</v>
      </c>
      <c r="AA302" s="140">
        <f t="shared" si="127"/>
        <v>1.7400000000000003E-6</v>
      </c>
      <c r="AB302" s="157">
        <f t="shared" si="128"/>
        <v>0.8</v>
      </c>
      <c r="AC302" s="156">
        <f t="shared" si="129"/>
        <v>9.9999999999999995E-8</v>
      </c>
      <c r="AE302" s="140">
        <f t="shared" si="130"/>
        <v>3.4800000000000006E-5</v>
      </c>
      <c r="AF302">
        <v>3.48</v>
      </c>
      <c r="AG302" s="140">
        <f t="shared" si="131"/>
        <v>3.4799999999999994E-7</v>
      </c>
      <c r="AH302" s="140">
        <f t="shared" si="132"/>
        <v>6.9599999999999999E-7</v>
      </c>
      <c r="AI302" s="140">
        <f t="shared" si="133"/>
        <v>1.0440000000000001E-6</v>
      </c>
      <c r="AJ302" s="140">
        <f t="shared" si="134"/>
        <v>1.3920000000000002E-6</v>
      </c>
      <c r="AK302" s="140">
        <f t="shared" si="135"/>
        <v>1.7400000000000003E-6</v>
      </c>
      <c r="AL302" s="157">
        <f t="shared" si="136"/>
        <v>1.2</v>
      </c>
      <c r="AM302" s="156">
        <f t="shared" si="137"/>
        <v>9.9999999999999995E-8</v>
      </c>
      <c r="AO302" s="140">
        <f t="shared" si="138"/>
        <v>3.4800000000000006E-5</v>
      </c>
      <c r="AP302">
        <v>3.48</v>
      </c>
      <c r="AQ302" s="140">
        <f t="shared" si="139"/>
        <v>3.4799999999999994E-7</v>
      </c>
      <c r="AR302" s="140">
        <f t="shared" si="140"/>
        <v>6.9599999999999999E-7</v>
      </c>
      <c r="AS302" s="140">
        <f t="shared" si="141"/>
        <v>1.0440000000000001E-6</v>
      </c>
      <c r="AT302" s="140">
        <f t="shared" si="142"/>
        <v>1.3920000000000002E-6</v>
      </c>
      <c r="AU302" s="140">
        <f t="shared" si="143"/>
        <v>1.7400000000000003E-6</v>
      </c>
      <c r="AV302" s="157">
        <f t="shared" si="144"/>
        <v>1.2</v>
      </c>
      <c r="AW302" s="156">
        <f t="shared" si="145"/>
        <v>9.9999999999999995E-8</v>
      </c>
      <c r="AY302" s="140">
        <f t="shared" si="146"/>
        <v>3.4800000000000006E-5</v>
      </c>
      <c r="AZ302">
        <v>3.48</v>
      </c>
      <c r="BA302" s="140">
        <f t="shared" si="147"/>
        <v>3.4799999999999994E-7</v>
      </c>
      <c r="BB302" s="140">
        <f t="shared" si="148"/>
        <v>6.9599999999999999E-7</v>
      </c>
      <c r="BC302" s="140">
        <f t="shared" si="149"/>
        <v>1.0440000000000001E-6</v>
      </c>
      <c r="BD302" s="140">
        <f t="shared" si="150"/>
        <v>1.3920000000000002E-6</v>
      </c>
      <c r="BE302" s="140">
        <f t="shared" si="151"/>
        <v>1.7400000000000003E-6</v>
      </c>
      <c r="BF302" s="157">
        <f>IF(AY302&lt;$B$89*DATA!$H$1037,DATA!$H$1037,IF(AY302&gt;DATA!$H$1036*$B$89,DATA!$H$1036,1))</f>
        <v>1.2</v>
      </c>
      <c r="BG302" s="156">
        <f t="shared" si="152"/>
        <v>9.9999999999999995E-8</v>
      </c>
      <c r="BI302" s="140">
        <f t="shared" si="153"/>
        <v>3.4800000000000006E-5</v>
      </c>
      <c r="BJ302">
        <v>3.48</v>
      </c>
      <c r="BK302" s="140">
        <f t="shared" si="154"/>
        <v>3.4799999999999994E-7</v>
      </c>
      <c r="BL302" s="140">
        <f t="shared" si="155"/>
        <v>6.9599999999999999E-7</v>
      </c>
      <c r="BM302" s="140">
        <f t="shared" si="156"/>
        <v>1.0440000000000001E-6</v>
      </c>
      <c r="BN302" s="140">
        <f t="shared" si="157"/>
        <v>1.3920000000000002E-6</v>
      </c>
      <c r="BO302" s="140">
        <f t="shared" si="158"/>
        <v>1.7400000000000003E-6</v>
      </c>
      <c r="BP302" s="157">
        <f>IF(BI302&lt;$B$105*DATA!$H$1037,DATA!$H$1037,IF(BI302&gt;DATA!$H$1036*$B$105,DATA!$H$1036,1))</f>
        <v>1.2</v>
      </c>
      <c r="BQ302" s="156">
        <f t="shared" si="159"/>
        <v>9.9999999999999995E-8</v>
      </c>
    </row>
    <row r="303" spans="1:69">
      <c r="A303" s="140">
        <f t="shared" si="112"/>
        <v>3.5000000000000004E-5</v>
      </c>
      <c r="B303">
        <v>3.5</v>
      </c>
      <c r="C303" s="140">
        <f t="shared" ref="C303:G318" si="161">C$142*$A303</f>
        <v>3.4999999999999993E-7</v>
      </c>
      <c r="D303" s="140">
        <f t="shared" si="161"/>
        <v>6.9999999999999997E-7</v>
      </c>
      <c r="E303" s="140">
        <f t="shared" si="161"/>
        <v>1.0500000000000001E-6</v>
      </c>
      <c r="F303" s="140">
        <f t="shared" si="161"/>
        <v>1.4000000000000001E-6</v>
      </c>
      <c r="G303" s="140">
        <f t="shared" si="161"/>
        <v>1.7500000000000002E-6</v>
      </c>
      <c r="H303" s="124">
        <f t="shared" si="113"/>
        <v>0.8</v>
      </c>
      <c r="I303" s="156">
        <f t="shared" si="114"/>
        <v>9.9999999999999995E-8</v>
      </c>
      <c r="K303" s="140">
        <f t="shared" si="115"/>
        <v>3.5000000000000004E-5</v>
      </c>
      <c r="L303">
        <v>3.5</v>
      </c>
      <c r="M303" s="140">
        <f t="shared" si="116"/>
        <v>3.4999999999999993E-7</v>
      </c>
      <c r="N303" s="140">
        <f t="shared" si="117"/>
        <v>6.9999999999999997E-7</v>
      </c>
      <c r="O303" s="140">
        <f t="shared" si="118"/>
        <v>1.0500000000000001E-6</v>
      </c>
      <c r="P303" s="140">
        <f t="shared" si="111"/>
        <v>1.4000000000000001E-6</v>
      </c>
      <c r="Q303" s="140">
        <f t="shared" si="119"/>
        <v>1.7500000000000002E-6</v>
      </c>
      <c r="R303" s="157">
        <f t="shared" si="120"/>
        <v>0.8</v>
      </c>
      <c r="S303" s="156">
        <f t="shared" si="121"/>
        <v>9.9999999999999995E-8</v>
      </c>
      <c r="U303" s="140">
        <f t="shared" si="122"/>
        <v>3.5000000000000004E-5</v>
      </c>
      <c r="V303">
        <v>3.5</v>
      </c>
      <c r="W303" s="140">
        <f t="shared" si="123"/>
        <v>3.4999999999999993E-7</v>
      </c>
      <c r="X303" s="140">
        <f t="shared" si="124"/>
        <v>6.9999999999999997E-7</v>
      </c>
      <c r="Y303" s="140">
        <f t="shared" si="125"/>
        <v>1.0500000000000001E-6</v>
      </c>
      <c r="Z303" s="140">
        <f t="shared" si="126"/>
        <v>1.4000000000000001E-6</v>
      </c>
      <c r="AA303" s="140">
        <f t="shared" si="127"/>
        <v>1.7500000000000002E-6</v>
      </c>
      <c r="AB303" s="157">
        <f t="shared" si="128"/>
        <v>0.8</v>
      </c>
      <c r="AC303" s="156">
        <f t="shared" si="129"/>
        <v>9.9999999999999995E-8</v>
      </c>
      <c r="AE303" s="140">
        <f t="shared" si="130"/>
        <v>3.5000000000000004E-5</v>
      </c>
      <c r="AF303">
        <v>3.5</v>
      </c>
      <c r="AG303" s="140">
        <f t="shared" si="131"/>
        <v>3.4999999999999993E-7</v>
      </c>
      <c r="AH303" s="140">
        <f t="shared" si="132"/>
        <v>6.9999999999999997E-7</v>
      </c>
      <c r="AI303" s="140">
        <f t="shared" si="133"/>
        <v>1.0500000000000001E-6</v>
      </c>
      <c r="AJ303" s="140">
        <f t="shared" si="134"/>
        <v>1.4000000000000001E-6</v>
      </c>
      <c r="AK303" s="140">
        <f t="shared" si="135"/>
        <v>1.7500000000000002E-6</v>
      </c>
      <c r="AL303" s="157">
        <f t="shared" si="136"/>
        <v>1.2</v>
      </c>
      <c r="AM303" s="156">
        <f t="shared" si="137"/>
        <v>9.9999999999999995E-8</v>
      </c>
      <c r="AO303" s="140">
        <f t="shared" si="138"/>
        <v>3.5000000000000004E-5</v>
      </c>
      <c r="AP303">
        <v>3.5</v>
      </c>
      <c r="AQ303" s="140">
        <f t="shared" si="139"/>
        <v>3.4999999999999993E-7</v>
      </c>
      <c r="AR303" s="140">
        <f t="shared" si="140"/>
        <v>6.9999999999999997E-7</v>
      </c>
      <c r="AS303" s="140">
        <f t="shared" si="141"/>
        <v>1.0500000000000001E-6</v>
      </c>
      <c r="AT303" s="140">
        <f t="shared" si="142"/>
        <v>1.4000000000000001E-6</v>
      </c>
      <c r="AU303" s="140">
        <f t="shared" si="143"/>
        <v>1.7500000000000002E-6</v>
      </c>
      <c r="AV303" s="157">
        <f t="shared" si="144"/>
        <v>1.2</v>
      </c>
      <c r="AW303" s="156">
        <f t="shared" si="145"/>
        <v>9.9999999999999995E-8</v>
      </c>
      <c r="AY303" s="140">
        <f t="shared" si="146"/>
        <v>3.5000000000000004E-5</v>
      </c>
      <c r="AZ303">
        <v>3.5</v>
      </c>
      <c r="BA303" s="140">
        <f t="shared" si="147"/>
        <v>3.4999999999999993E-7</v>
      </c>
      <c r="BB303" s="140">
        <f t="shared" si="148"/>
        <v>6.9999999999999997E-7</v>
      </c>
      <c r="BC303" s="140">
        <f t="shared" si="149"/>
        <v>1.0500000000000001E-6</v>
      </c>
      <c r="BD303" s="140">
        <f t="shared" si="150"/>
        <v>1.4000000000000001E-6</v>
      </c>
      <c r="BE303" s="140">
        <f t="shared" si="151"/>
        <v>1.7500000000000002E-6</v>
      </c>
      <c r="BF303" s="157">
        <f>IF(AY303&lt;$B$89*DATA!$H$1037,DATA!$H$1037,IF(AY303&gt;DATA!$H$1036*$B$89,DATA!$H$1036,1))</f>
        <v>1.2</v>
      </c>
      <c r="BG303" s="156">
        <f t="shared" si="152"/>
        <v>9.9999999999999995E-8</v>
      </c>
      <c r="BI303" s="140">
        <f t="shared" si="153"/>
        <v>3.5000000000000004E-5</v>
      </c>
      <c r="BJ303">
        <v>3.5</v>
      </c>
      <c r="BK303" s="140">
        <f t="shared" si="154"/>
        <v>3.4999999999999993E-7</v>
      </c>
      <c r="BL303" s="140">
        <f t="shared" si="155"/>
        <v>6.9999999999999997E-7</v>
      </c>
      <c r="BM303" s="140">
        <f t="shared" si="156"/>
        <v>1.0500000000000001E-6</v>
      </c>
      <c r="BN303" s="140">
        <f t="shared" si="157"/>
        <v>1.4000000000000001E-6</v>
      </c>
      <c r="BO303" s="140">
        <f t="shared" si="158"/>
        <v>1.7500000000000002E-6</v>
      </c>
      <c r="BP303" s="157">
        <f>IF(BI303&lt;$B$105*DATA!$H$1037,DATA!$H$1037,IF(BI303&gt;DATA!$H$1036*$B$105,DATA!$H$1036,1))</f>
        <v>1.2</v>
      </c>
      <c r="BQ303" s="156">
        <f t="shared" si="159"/>
        <v>9.9999999999999995E-8</v>
      </c>
    </row>
    <row r="304" spans="1:69">
      <c r="A304" s="140">
        <f t="shared" si="112"/>
        <v>3.5200000000000002E-5</v>
      </c>
      <c r="B304">
        <v>3.52</v>
      </c>
      <c r="C304" s="140">
        <f t="shared" si="161"/>
        <v>3.5199999999999992E-7</v>
      </c>
      <c r="D304" s="140">
        <f t="shared" si="161"/>
        <v>7.0399999999999995E-7</v>
      </c>
      <c r="E304" s="140">
        <f t="shared" si="161"/>
        <v>1.0559999999999999E-6</v>
      </c>
      <c r="F304" s="140">
        <f t="shared" si="161"/>
        <v>1.4080000000000001E-6</v>
      </c>
      <c r="G304" s="140">
        <f t="shared" si="161"/>
        <v>1.7600000000000001E-6</v>
      </c>
      <c r="H304" s="124">
        <f t="shared" si="113"/>
        <v>0.8</v>
      </c>
      <c r="I304" s="156">
        <f t="shared" si="114"/>
        <v>9.9999999999999995E-8</v>
      </c>
      <c r="K304" s="140">
        <f t="shared" si="115"/>
        <v>3.5200000000000002E-5</v>
      </c>
      <c r="L304">
        <v>3.52</v>
      </c>
      <c r="M304" s="140">
        <f t="shared" si="116"/>
        <v>3.5199999999999992E-7</v>
      </c>
      <c r="N304" s="140">
        <f t="shared" si="117"/>
        <v>7.0399999999999995E-7</v>
      </c>
      <c r="O304" s="140">
        <f t="shared" si="118"/>
        <v>1.0559999999999999E-6</v>
      </c>
      <c r="P304" s="140">
        <f t="shared" si="111"/>
        <v>1.4080000000000001E-6</v>
      </c>
      <c r="Q304" s="140">
        <f t="shared" si="119"/>
        <v>1.7600000000000001E-6</v>
      </c>
      <c r="R304" s="157">
        <f t="shared" si="120"/>
        <v>0.8</v>
      </c>
      <c r="S304" s="156">
        <f t="shared" si="121"/>
        <v>9.9999999999999995E-8</v>
      </c>
      <c r="U304" s="140">
        <f t="shared" si="122"/>
        <v>3.5200000000000002E-5</v>
      </c>
      <c r="V304">
        <v>3.52</v>
      </c>
      <c r="W304" s="140">
        <f t="shared" si="123"/>
        <v>3.5199999999999992E-7</v>
      </c>
      <c r="X304" s="140">
        <f t="shared" si="124"/>
        <v>7.0399999999999995E-7</v>
      </c>
      <c r="Y304" s="140">
        <f t="shared" si="125"/>
        <v>1.0559999999999999E-6</v>
      </c>
      <c r="Z304" s="140">
        <f t="shared" si="126"/>
        <v>1.4080000000000001E-6</v>
      </c>
      <c r="AA304" s="140">
        <f t="shared" si="127"/>
        <v>1.7600000000000001E-6</v>
      </c>
      <c r="AB304" s="157">
        <f t="shared" si="128"/>
        <v>0.8</v>
      </c>
      <c r="AC304" s="156">
        <f t="shared" si="129"/>
        <v>9.9999999999999995E-8</v>
      </c>
      <c r="AE304" s="140">
        <f t="shared" si="130"/>
        <v>3.5200000000000002E-5</v>
      </c>
      <c r="AF304">
        <v>3.52</v>
      </c>
      <c r="AG304" s="140">
        <f t="shared" si="131"/>
        <v>3.5199999999999992E-7</v>
      </c>
      <c r="AH304" s="140">
        <f t="shared" si="132"/>
        <v>7.0399999999999995E-7</v>
      </c>
      <c r="AI304" s="140">
        <f t="shared" si="133"/>
        <v>1.0559999999999999E-6</v>
      </c>
      <c r="AJ304" s="140">
        <f t="shared" si="134"/>
        <v>1.4080000000000001E-6</v>
      </c>
      <c r="AK304" s="140">
        <f t="shared" si="135"/>
        <v>1.7600000000000001E-6</v>
      </c>
      <c r="AL304" s="157">
        <f t="shared" si="136"/>
        <v>1.2</v>
      </c>
      <c r="AM304" s="156">
        <f t="shared" si="137"/>
        <v>9.9999999999999995E-8</v>
      </c>
      <c r="AO304" s="140">
        <f t="shared" si="138"/>
        <v>3.5200000000000002E-5</v>
      </c>
      <c r="AP304">
        <v>3.52</v>
      </c>
      <c r="AQ304" s="140">
        <f t="shared" si="139"/>
        <v>3.5199999999999992E-7</v>
      </c>
      <c r="AR304" s="140">
        <f t="shared" si="140"/>
        <v>7.0399999999999995E-7</v>
      </c>
      <c r="AS304" s="140">
        <f t="shared" si="141"/>
        <v>1.0559999999999999E-6</v>
      </c>
      <c r="AT304" s="140">
        <f t="shared" si="142"/>
        <v>1.4080000000000001E-6</v>
      </c>
      <c r="AU304" s="140">
        <f t="shared" si="143"/>
        <v>1.7600000000000001E-6</v>
      </c>
      <c r="AV304" s="157">
        <f t="shared" si="144"/>
        <v>1.2</v>
      </c>
      <c r="AW304" s="156">
        <f t="shared" si="145"/>
        <v>9.9999999999999995E-8</v>
      </c>
      <c r="AY304" s="140">
        <f t="shared" si="146"/>
        <v>3.5200000000000002E-5</v>
      </c>
      <c r="AZ304">
        <v>3.52</v>
      </c>
      <c r="BA304" s="140">
        <f t="shared" si="147"/>
        <v>3.5199999999999992E-7</v>
      </c>
      <c r="BB304" s="140">
        <f t="shared" si="148"/>
        <v>7.0399999999999995E-7</v>
      </c>
      <c r="BC304" s="140">
        <f t="shared" si="149"/>
        <v>1.0559999999999999E-6</v>
      </c>
      <c r="BD304" s="140">
        <f t="shared" si="150"/>
        <v>1.4080000000000001E-6</v>
      </c>
      <c r="BE304" s="140">
        <f t="shared" si="151"/>
        <v>1.7600000000000001E-6</v>
      </c>
      <c r="BF304" s="157">
        <f>IF(AY304&lt;$B$89*DATA!$H$1037,DATA!$H$1037,IF(AY304&gt;DATA!$H$1036*$B$89,DATA!$H$1036,1))</f>
        <v>1.2</v>
      </c>
      <c r="BG304" s="156">
        <f t="shared" si="152"/>
        <v>9.9999999999999995E-8</v>
      </c>
      <c r="BI304" s="140">
        <f t="shared" si="153"/>
        <v>3.5200000000000002E-5</v>
      </c>
      <c r="BJ304">
        <v>3.52</v>
      </c>
      <c r="BK304" s="140">
        <f t="shared" si="154"/>
        <v>3.5199999999999992E-7</v>
      </c>
      <c r="BL304" s="140">
        <f t="shared" si="155"/>
        <v>7.0399999999999995E-7</v>
      </c>
      <c r="BM304" s="140">
        <f t="shared" si="156"/>
        <v>1.0559999999999999E-6</v>
      </c>
      <c r="BN304" s="140">
        <f t="shared" si="157"/>
        <v>1.4080000000000001E-6</v>
      </c>
      <c r="BO304" s="140">
        <f t="shared" si="158"/>
        <v>1.7600000000000001E-6</v>
      </c>
      <c r="BP304" s="157">
        <f>IF(BI304&lt;$B$105*DATA!$H$1037,DATA!$H$1037,IF(BI304&gt;DATA!$H$1036*$B$105,DATA!$H$1036,1))</f>
        <v>1.2</v>
      </c>
      <c r="BQ304" s="156">
        <f t="shared" si="159"/>
        <v>9.9999999999999995E-8</v>
      </c>
    </row>
    <row r="305" spans="1:69">
      <c r="A305" s="140">
        <f t="shared" si="112"/>
        <v>3.54E-5</v>
      </c>
      <c r="B305">
        <v>3.54</v>
      </c>
      <c r="C305" s="140">
        <f t="shared" si="161"/>
        <v>3.5399999999999986E-7</v>
      </c>
      <c r="D305" s="140">
        <f t="shared" si="161"/>
        <v>7.0799999999999993E-7</v>
      </c>
      <c r="E305" s="140">
        <f t="shared" si="161"/>
        <v>1.062E-6</v>
      </c>
      <c r="F305" s="140">
        <f t="shared" si="161"/>
        <v>1.4160000000000001E-6</v>
      </c>
      <c r="G305" s="140">
        <f t="shared" si="161"/>
        <v>1.77E-6</v>
      </c>
      <c r="H305" s="124">
        <f t="shared" si="113"/>
        <v>0.8</v>
      </c>
      <c r="I305" s="156">
        <f t="shared" si="114"/>
        <v>9.9999999999999995E-8</v>
      </c>
      <c r="K305" s="140">
        <f t="shared" si="115"/>
        <v>3.54E-5</v>
      </c>
      <c r="L305">
        <v>3.54</v>
      </c>
      <c r="M305" s="140">
        <f t="shared" si="116"/>
        <v>3.5399999999999986E-7</v>
      </c>
      <c r="N305" s="140">
        <f t="shared" si="117"/>
        <v>7.0799999999999993E-7</v>
      </c>
      <c r="O305" s="140">
        <f t="shared" si="118"/>
        <v>1.062E-6</v>
      </c>
      <c r="P305" s="140">
        <f t="shared" si="111"/>
        <v>1.4160000000000001E-6</v>
      </c>
      <c r="Q305" s="140">
        <f t="shared" si="119"/>
        <v>1.77E-6</v>
      </c>
      <c r="R305" s="157">
        <f t="shared" si="120"/>
        <v>0.8</v>
      </c>
      <c r="S305" s="156">
        <f t="shared" si="121"/>
        <v>9.9999999999999995E-8</v>
      </c>
      <c r="U305" s="140">
        <f t="shared" si="122"/>
        <v>3.54E-5</v>
      </c>
      <c r="V305">
        <v>3.54</v>
      </c>
      <c r="W305" s="140">
        <f t="shared" si="123"/>
        <v>3.5399999999999986E-7</v>
      </c>
      <c r="X305" s="140">
        <f t="shared" si="124"/>
        <v>7.0799999999999993E-7</v>
      </c>
      <c r="Y305" s="140">
        <f t="shared" si="125"/>
        <v>1.062E-6</v>
      </c>
      <c r="Z305" s="140">
        <f t="shared" si="126"/>
        <v>1.4160000000000001E-6</v>
      </c>
      <c r="AA305" s="140">
        <f t="shared" si="127"/>
        <v>1.77E-6</v>
      </c>
      <c r="AB305" s="157">
        <f t="shared" si="128"/>
        <v>0.8</v>
      </c>
      <c r="AC305" s="156">
        <f t="shared" si="129"/>
        <v>9.9999999999999995E-8</v>
      </c>
      <c r="AE305" s="140">
        <f t="shared" si="130"/>
        <v>3.54E-5</v>
      </c>
      <c r="AF305">
        <v>3.54</v>
      </c>
      <c r="AG305" s="140">
        <f t="shared" si="131"/>
        <v>3.5399999999999986E-7</v>
      </c>
      <c r="AH305" s="140">
        <f t="shared" si="132"/>
        <v>7.0799999999999993E-7</v>
      </c>
      <c r="AI305" s="140">
        <f t="shared" si="133"/>
        <v>1.062E-6</v>
      </c>
      <c r="AJ305" s="140">
        <f t="shared" si="134"/>
        <v>1.4160000000000001E-6</v>
      </c>
      <c r="AK305" s="140">
        <f t="shared" si="135"/>
        <v>1.77E-6</v>
      </c>
      <c r="AL305" s="157">
        <f t="shared" si="136"/>
        <v>1.2</v>
      </c>
      <c r="AM305" s="156">
        <f t="shared" si="137"/>
        <v>9.9999999999999995E-8</v>
      </c>
      <c r="AO305" s="140">
        <f t="shared" si="138"/>
        <v>3.54E-5</v>
      </c>
      <c r="AP305">
        <v>3.54</v>
      </c>
      <c r="AQ305" s="140">
        <f t="shared" si="139"/>
        <v>3.5399999999999986E-7</v>
      </c>
      <c r="AR305" s="140">
        <f t="shared" si="140"/>
        <v>7.0799999999999993E-7</v>
      </c>
      <c r="AS305" s="140">
        <f t="shared" si="141"/>
        <v>1.062E-6</v>
      </c>
      <c r="AT305" s="140">
        <f t="shared" si="142"/>
        <v>1.4160000000000001E-6</v>
      </c>
      <c r="AU305" s="140">
        <f t="shared" si="143"/>
        <v>1.77E-6</v>
      </c>
      <c r="AV305" s="157">
        <f t="shared" si="144"/>
        <v>1.2</v>
      </c>
      <c r="AW305" s="156">
        <f t="shared" si="145"/>
        <v>9.9999999999999995E-8</v>
      </c>
      <c r="AY305" s="140">
        <f t="shared" si="146"/>
        <v>3.54E-5</v>
      </c>
      <c r="AZ305">
        <v>3.54</v>
      </c>
      <c r="BA305" s="140">
        <f t="shared" si="147"/>
        <v>3.5399999999999986E-7</v>
      </c>
      <c r="BB305" s="140">
        <f t="shared" si="148"/>
        <v>7.0799999999999993E-7</v>
      </c>
      <c r="BC305" s="140">
        <f t="shared" si="149"/>
        <v>1.062E-6</v>
      </c>
      <c r="BD305" s="140">
        <f t="shared" si="150"/>
        <v>1.4160000000000001E-6</v>
      </c>
      <c r="BE305" s="140">
        <f t="shared" si="151"/>
        <v>1.77E-6</v>
      </c>
      <c r="BF305" s="157">
        <f>IF(AY305&lt;$B$89*DATA!$H$1037,DATA!$H$1037,IF(AY305&gt;DATA!$H$1036*$B$89,DATA!$H$1036,1))</f>
        <v>1.2</v>
      </c>
      <c r="BG305" s="156">
        <f t="shared" si="152"/>
        <v>9.9999999999999995E-8</v>
      </c>
      <c r="BI305" s="140">
        <f t="shared" si="153"/>
        <v>3.54E-5</v>
      </c>
      <c r="BJ305">
        <v>3.54</v>
      </c>
      <c r="BK305" s="140">
        <f t="shared" si="154"/>
        <v>3.5399999999999986E-7</v>
      </c>
      <c r="BL305" s="140">
        <f t="shared" si="155"/>
        <v>7.0799999999999993E-7</v>
      </c>
      <c r="BM305" s="140">
        <f t="shared" si="156"/>
        <v>1.062E-6</v>
      </c>
      <c r="BN305" s="140">
        <f t="shared" si="157"/>
        <v>1.4160000000000001E-6</v>
      </c>
      <c r="BO305" s="140">
        <f t="shared" si="158"/>
        <v>1.77E-6</v>
      </c>
      <c r="BP305" s="157">
        <f>IF(BI305&lt;$B$105*DATA!$H$1037,DATA!$H$1037,IF(BI305&gt;DATA!$H$1036*$B$105,DATA!$H$1036,1))</f>
        <v>1.2</v>
      </c>
      <c r="BQ305" s="156">
        <f t="shared" si="159"/>
        <v>9.9999999999999995E-8</v>
      </c>
    </row>
    <row r="306" spans="1:69">
      <c r="A306" s="140">
        <f t="shared" si="112"/>
        <v>3.5600000000000005E-5</v>
      </c>
      <c r="B306">
        <v>3.56</v>
      </c>
      <c r="C306" s="140">
        <f t="shared" si="161"/>
        <v>3.5599999999999991E-7</v>
      </c>
      <c r="D306" s="140">
        <f t="shared" si="161"/>
        <v>7.1200000000000002E-7</v>
      </c>
      <c r="E306" s="140">
        <f t="shared" si="161"/>
        <v>1.0680000000000002E-6</v>
      </c>
      <c r="F306" s="140">
        <f t="shared" si="161"/>
        <v>1.4240000000000003E-6</v>
      </c>
      <c r="G306" s="140">
        <f t="shared" si="161"/>
        <v>1.7800000000000003E-6</v>
      </c>
      <c r="H306" s="124">
        <f t="shared" si="113"/>
        <v>0.8</v>
      </c>
      <c r="I306" s="156">
        <f t="shared" si="114"/>
        <v>9.9999999999999995E-8</v>
      </c>
      <c r="K306" s="140">
        <f t="shared" si="115"/>
        <v>3.5600000000000005E-5</v>
      </c>
      <c r="L306">
        <v>3.56</v>
      </c>
      <c r="M306" s="140">
        <f t="shared" si="116"/>
        <v>3.5599999999999991E-7</v>
      </c>
      <c r="N306" s="140">
        <f t="shared" si="117"/>
        <v>7.1200000000000002E-7</v>
      </c>
      <c r="O306" s="140">
        <f t="shared" si="118"/>
        <v>1.0680000000000002E-6</v>
      </c>
      <c r="P306" s="140">
        <f t="shared" si="111"/>
        <v>1.4240000000000003E-6</v>
      </c>
      <c r="Q306" s="140">
        <f t="shared" si="119"/>
        <v>1.7800000000000003E-6</v>
      </c>
      <c r="R306" s="157">
        <f t="shared" si="120"/>
        <v>0.8</v>
      </c>
      <c r="S306" s="156">
        <f t="shared" si="121"/>
        <v>9.9999999999999995E-8</v>
      </c>
      <c r="U306" s="140">
        <f t="shared" si="122"/>
        <v>3.5600000000000005E-5</v>
      </c>
      <c r="V306">
        <v>3.56</v>
      </c>
      <c r="W306" s="140">
        <f t="shared" si="123"/>
        <v>3.5599999999999991E-7</v>
      </c>
      <c r="X306" s="140">
        <f t="shared" si="124"/>
        <v>7.1200000000000002E-7</v>
      </c>
      <c r="Y306" s="140">
        <f t="shared" si="125"/>
        <v>1.0680000000000002E-6</v>
      </c>
      <c r="Z306" s="140">
        <f t="shared" si="126"/>
        <v>1.4240000000000003E-6</v>
      </c>
      <c r="AA306" s="140">
        <f t="shared" si="127"/>
        <v>1.7800000000000003E-6</v>
      </c>
      <c r="AB306" s="157">
        <f t="shared" si="128"/>
        <v>0.8</v>
      </c>
      <c r="AC306" s="156">
        <f t="shared" si="129"/>
        <v>9.9999999999999995E-8</v>
      </c>
      <c r="AE306" s="140">
        <f t="shared" si="130"/>
        <v>3.5600000000000005E-5</v>
      </c>
      <c r="AF306">
        <v>3.56</v>
      </c>
      <c r="AG306" s="140">
        <f t="shared" si="131"/>
        <v>3.5599999999999991E-7</v>
      </c>
      <c r="AH306" s="140">
        <f t="shared" si="132"/>
        <v>7.1200000000000002E-7</v>
      </c>
      <c r="AI306" s="140">
        <f t="shared" si="133"/>
        <v>1.0680000000000002E-6</v>
      </c>
      <c r="AJ306" s="140">
        <f t="shared" si="134"/>
        <v>1.4240000000000003E-6</v>
      </c>
      <c r="AK306" s="140">
        <f t="shared" si="135"/>
        <v>1.7800000000000003E-6</v>
      </c>
      <c r="AL306" s="157">
        <f t="shared" si="136"/>
        <v>1.2</v>
      </c>
      <c r="AM306" s="156">
        <f t="shared" si="137"/>
        <v>9.9999999999999995E-8</v>
      </c>
      <c r="AO306" s="140">
        <f t="shared" si="138"/>
        <v>3.5600000000000005E-5</v>
      </c>
      <c r="AP306">
        <v>3.56</v>
      </c>
      <c r="AQ306" s="140">
        <f t="shared" si="139"/>
        <v>3.5599999999999991E-7</v>
      </c>
      <c r="AR306" s="140">
        <f t="shared" si="140"/>
        <v>7.1200000000000002E-7</v>
      </c>
      <c r="AS306" s="140">
        <f t="shared" si="141"/>
        <v>1.0680000000000002E-6</v>
      </c>
      <c r="AT306" s="140">
        <f t="shared" si="142"/>
        <v>1.4240000000000003E-6</v>
      </c>
      <c r="AU306" s="140">
        <f t="shared" si="143"/>
        <v>1.7800000000000003E-6</v>
      </c>
      <c r="AV306" s="157">
        <f t="shared" si="144"/>
        <v>1.2</v>
      </c>
      <c r="AW306" s="156">
        <f t="shared" si="145"/>
        <v>9.9999999999999995E-8</v>
      </c>
      <c r="AY306" s="140">
        <f t="shared" si="146"/>
        <v>3.5600000000000005E-5</v>
      </c>
      <c r="AZ306">
        <v>3.56</v>
      </c>
      <c r="BA306" s="140">
        <f t="shared" si="147"/>
        <v>3.5599999999999991E-7</v>
      </c>
      <c r="BB306" s="140">
        <f t="shared" si="148"/>
        <v>7.1200000000000002E-7</v>
      </c>
      <c r="BC306" s="140">
        <f t="shared" si="149"/>
        <v>1.0680000000000002E-6</v>
      </c>
      <c r="BD306" s="140">
        <f t="shared" si="150"/>
        <v>1.4240000000000003E-6</v>
      </c>
      <c r="BE306" s="140">
        <f t="shared" si="151"/>
        <v>1.7800000000000003E-6</v>
      </c>
      <c r="BF306" s="157">
        <f>IF(AY306&lt;$B$89*DATA!$H$1037,DATA!$H$1037,IF(AY306&gt;DATA!$H$1036*$B$89,DATA!$H$1036,1))</f>
        <v>1.2</v>
      </c>
      <c r="BG306" s="156">
        <f t="shared" si="152"/>
        <v>9.9999999999999995E-8</v>
      </c>
      <c r="BI306" s="140">
        <f t="shared" si="153"/>
        <v>3.5600000000000005E-5</v>
      </c>
      <c r="BJ306">
        <v>3.56</v>
      </c>
      <c r="BK306" s="140">
        <f t="shared" si="154"/>
        <v>3.5599999999999991E-7</v>
      </c>
      <c r="BL306" s="140">
        <f t="shared" si="155"/>
        <v>7.1200000000000002E-7</v>
      </c>
      <c r="BM306" s="140">
        <f t="shared" si="156"/>
        <v>1.0680000000000002E-6</v>
      </c>
      <c r="BN306" s="140">
        <f t="shared" si="157"/>
        <v>1.4240000000000003E-6</v>
      </c>
      <c r="BO306" s="140">
        <f t="shared" si="158"/>
        <v>1.7800000000000003E-6</v>
      </c>
      <c r="BP306" s="157">
        <f>IF(BI306&lt;$B$105*DATA!$H$1037,DATA!$H$1037,IF(BI306&gt;DATA!$H$1036*$B$105,DATA!$H$1036,1))</f>
        <v>1.2</v>
      </c>
      <c r="BQ306" s="156">
        <f t="shared" si="159"/>
        <v>9.9999999999999995E-8</v>
      </c>
    </row>
    <row r="307" spans="1:69">
      <c r="A307" s="140">
        <f t="shared" si="112"/>
        <v>3.5800000000000003E-5</v>
      </c>
      <c r="B307">
        <v>3.58</v>
      </c>
      <c r="C307" s="140">
        <f t="shared" si="161"/>
        <v>3.579999999999999E-7</v>
      </c>
      <c r="D307" s="140">
        <f t="shared" si="161"/>
        <v>7.159999999999999E-7</v>
      </c>
      <c r="E307" s="140">
        <f t="shared" si="161"/>
        <v>1.074E-6</v>
      </c>
      <c r="F307" s="140">
        <f t="shared" si="161"/>
        <v>1.4320000000000002E-6</v>
      </c>
      <c r="G307" s="140">
        <f t="shared" si="161"/>
        <v>1.7900000000000002E-6</v>
      </c>
      <c r="H307" s="124">
        <f t="shared" si="113"/>
        <v>0.8</v>
      </c>
      <c r="I307" s="156">
        <f t="shared" si="114"/>
        <v>9.9999999999999995E-8</v>
      </c>
      <c r="K307" s="140">
        <f t="shared" si="115"/>
        <v>3.5800000000000003E-5</v>
      </c>
      <c r="L307">
        <v>3.58</v>
      </c>
      <c r="M307" s="140">
        <f t="shared" si="116"/>
        <v>3.579999999999999E-7</v>
      </c>
      <c r="N307" s="140">
        <f t="shared" si="117"/>
        <v>7.159999999999999E-7</v>
      </c>
      <c r="O307" s="140">
        <f t="shared" si="118"/>
        <v>1.074E-6</v>
      </c>
      <c r="P307" s="140">
        <f t="shared" si="111"/>
        <v>1.4320000000000002E-6</v>
      </c>
      <c r="Q307" s="140">
        <f t="shared" si="119"/>
        <v>1.7900000000000002E-6</v>
      </c>
      <c r="R307" s="157">
        <f t="shared" si="120"/>
        <v>0.8</v>
      </c>
      <c r="S307" s="156">
        <f t="shared" si="121"/>
        <v>9.9999999999999995E-8</v>
      </c>
      <c r="U307" s="140">
        <f t="shared" si="122"/>
        <v>3.5800000000000003E-5</v>
      </c>
      <c r="V307">
        <v>3.58</v>
      </c>
      <c r="W307" s="140">
        <f t="shared" si="123"/>
        <v>3.579999999999999E-7</v>
      </c>
      <c r="X307" s="140">
        <f t="shared" si="124"/>
        <v>7.159999999999999E-7</v>
      </c>
      <c r="Y307" s="140">
        <f t="shared" si="125"/>
        <v>1.074E-6</v>
      </c>
      <c r="Z307" s="140">
        <f t="shared" si="126"/>
        <v>1.4320000000000002E-6</v>
      </c>
      <c r="AA307" s="140">
        <f t="shared" si="127"/>
        <v>1.7900000000000002E-6</v>
      </c>
      <c r="AB307" s="157">
        <f t="shared" si="128"/>
        <v>0.8</v>
      </c>
      <c r="AC307" s="156">
        <f t="shared" si="129"/>
        <v>9.9999999999999995E-8</v>
      </c>
      <c r="AE307" s="140">
        <f t="shared" si="130"/>
        <v>3.5800000000000003E-5</v>
      </c>
      <c r="AF307">
        <v>3.58</v>
      </c>
      <c r="AG307" s="140">
        <f t="shared" si="131"/>
        <v>3.579999999999999E-7</v>
      </c>
      <c r="AH307" s="140">
        <f t="shared" si="132"/>
        <v>7.159999999999999E-7</v>
      </c>
      <c r="AI307" s="140">
        <f t="shared" si="133"/>
        <v>1.074E-6</v>
      </c>
      <c r="AJ307" s="140">
        <f t="shared" si="134"/>
        <v>1.4320000000000002E-6</v>
      </c>
      <c r="AK307" s="140">
        <f t="shared" si="135"/>
        <v>1.7900000000000002E-6</v>
      </c>
      <c r="AL307" s="157">
        <f t="shared" si="136"/>
        <v>1.2</v>
      </c>
      <c r="AM307" s="156">
        <f t="shared" si="137"/>
        <v>9.9999999999999995E-8</v>
      </c>
      <c r="AO307" s="140">
        <f t="shared" si="138"/>
        <v>3.5800000000000003E-5</v>
      </c>
      <c r="AP307">
        <v>3.58</v>
      </c>
      <c r="AQ307" s="140">
        <f t="shared" si="139"/>
        <v>3.579999999999999E-7</v>
      </c>
      <c r="AR307" s="140">
        <f t="shared" si="140"/>
        <v>7.159999999999999E-7</v>
      </c>
      <c r="AS307" s="140">
        <f t="shared" si="141"/>
        <v>1.074E-6</v>
      </c>
      <c r="AT307" s="140">
        <f t="shared" si="142"/>
        <v>1.4320000000000002E-6</v>
      </c>
      <c r="AU307" s="140">
        <f t="shared" si="143"/>
        <v>1.7900000000000002E-6</v>
      </c>
      <c r="AV307" s="157">
        <f t="shared" si="144"/>
        <v>1.2</v>
      </c>
      <c r="AW307" s="156">
        <f t="shared" si="145"/>
        <v>9.9999999999999995E-8</v>
      </c>
      <c r="AY307" s="140">
        <f t="shared" si="146"/>
        <v>3.5800000000000003E-5</v>
      </c>
      <c r="AZ307">
        <v>3.58</v>
      </c>
      <c r="BA307" s="140">
        <f t="shared" si="147"/>
        <v>3.579999999999999E-7</v>
      </c>
      <c r="BB307" s="140">
        <f t="shared" si="148"/>
        <v>7.159999999999999E-7</v>
      </c>
      <c r="BC307" s="140">
        <f t="shared" si="149"/>
        <v>1.074E-6</v>
      </c>
      <c r="BD307" s="140">
        <f t="shared" si="150"/>
        <v>1.4320000000000002E-6</v>
      </c>
      <c r="BE307" s="140">
        <f t="shared" si="151"/>
        <v>1.7900000000000002E-6</v>
      </c>
      <c r="BF307" s="157">
        <f>IF(AY307&lt;$B$89*DATA!$H$1037,DATA!$H$1037,IF(AY307&gt;DATA!$H$1036*$B$89,DATA!$H$1036,1))</f>
        <v>1.2</v>
      </c>
      <c r="BG307" s="156">
        <f t="shared" si="152"/>
        <v>9.9999999999999995E-8</v>
      </c>
      <c r="BI307" s="140">
        <f t="shared" si="153"/>
        <v>3.5800000000000003E-5</v>
      </c>
      <c r="BJ307">
        <v>3.58</v>
      </c>
      <c r="BK307" s="140">
        <f t="shared" si="154"/>
        <v>3.579999999999999E-7</v>
      </c>
      <c r="BL307" s="140">
        <f t="shared" si="155"/>
        <v>7.159999999999999E-7</v>
      </c>
      <c r="BM307" s="140">
        <f t="shared" si="156"/>
        <v>1.074E-6</v>
      </c>
      <c r="BN307" s="140">
        <f t="shared" si="157"/>
        <v>1.4320000000000002E-6</v>
      </c>
      <c r="BO307" s="140">
        <f t="shared" si="158"/>
        <v>1.7900000000000002E-6</v>
      </c>
      <c r="BP307" s="157">
        <f>IF(BI307&lt;$B$105*DATA!$H$1037,DATA!$H$1037,IF(BI307&gt;DATA!$H$1036*$B$105,DATA!$H$1036,1))</f>
        <v>1.2</v>
      </c>
      <c r="BQ307" s="156">
        <f t="shared" si="159"/>
        <v>9.9999999999999995E-8</v>
      </c>
    </row>
    <row r="308" spans="1:69">
      <c r="A308" s="140">
        <f t="shared" si="112"/>
        <v>3.6000000000000001E-5</v>
      </c>
      <c r="B308">
        <v>3.6</v>
      </c>
      <c r="C308" s="140">
        <f t="shared" si="161"/>
        <v>3.5999999999999989E-7</v>
      </c>
      <c r="D308" s="140">
        <f t="shared" si="161"/>
        <v>7.1999999999999988E-7</v>
      </c>
      <c r="E308" s="140">
        <f t="shared" si="161"/>
        <v>1.08E-6</v>
      </c>
      <c r="F308" s="140">
        <f t="shared" si="161"/>
        <v>1.44E-6</v>
      </c>
      <c r="G308" s="140">
        <f t="shared" si="161"/>
        <v>1.8000000000000001E-6</v>
      </c>
      <c r="H308" s="124">
        <f t="shared" si="113"/>
        <v>0.8</v>
      </c>
      <c r="I308" s="156">
        <f t="shared" si="114"/>
        <v>9.9999999999999995E-8</v>
      </c>
      <c r="K308" s="140">
        <f t="shared" si="115"/>
        <v>3.6000000000000001E-5</v>
      </c>
      <c r="L308">
        <v>3.6</v>
      </c>
      <c r="M308" s="140">
        <f t="shared" si="116"/>
        <v>3.5999999999999989E-7</v>
      </c>
      <c r="N308" s="140">
        <f t="shared" si="117"/>
        <v>7.1999999999999988E-7</v>
      </c>
      <c r="O308" s="140">
        <f t="shared" si="118"/>
        <v>1.08E-6</v>
      </c>
      <c r="P308" s="140">
        <f t="shared" si="111"/>
        <v>1.44E-6</v>
      </c>
      <c r="Q308" s="140">
        <f t="shared" si="119"/>
        <v>1.8000000000000001E-6</v>
      </c>
      <c r="R308" s="157">
        <f t="shared" si="120"/>
        <v>0.8</v>
      </c>
      <c r="S308" s="156">
        <f t="shared" si="121"/>
        <v>9.9999999999999995E-8</v>
      </c>
      <c r="U308" s="140">
        <f t="shared" si="122"/>
        <v>3.6000000000000001E-5</v>
      </c>
      <c r="V308">
        <v>3.6</v>
      </c>
      <c r="W308" s="140">
        <f t="shared" si="123"/>
        <v>3.5999999999999989E-7</v>
      </c>
      <c r="X308" s="140">
        <f t="shared" si="124"/>
        <v>7.1999999999999988E-7</v>
      </c>
      <c r="Y308" s="140">
        <f t="shared" si="125"/>
        <v>1.08E-6</v>
      </c>
      <c r="Z308" s="140">
        <f t="shared" si="126"/>
        <v>1.44E-6</v>
      </c>
      <c r="AA308" s="140">
        <f t="shared" si="127"/>
        <v>1.8000000000000001E-6</v>
      </c>
      <c r="AB308" s="157">
        <f t="shared" si="128"/>
        <v>0.8</v>
      </c>
      <c r="AC308" s="156">
        <f t="shared" si="129"/>
        <v>9.9999999999999995E-8</v>
      </c>
      <c r="AE308" s="140">
        <f t="shared" si="130"/>
        <v>3.6000000000000001E-5</v>
      </c>
      <c r="AF308">
        <v>3.6</v>
      </c>
      <c r="AG308" s="140">
        <f t="shared" si="131"/>
        <v>3.5999999999999989E-7</v>
      </c>
      <c r="AH308" s="140">
        <f t="shared" si="132"/>
        <v>7.1999999999999988E-7</v>
      </c>
      <c r="AI308" s="140">
        <f t="shared" si="133"/>
        <v>1.08E-6</v>
      </c>
      <c r="AJ308" s="140">
        <f t="shared" si="134"/>
        <v>1.44E-6</v>
      </c>
      <c r="AK308" s="140">
        <f t="shared" si="135"/>
        <v>1.8000000000000001E-6</v>
      </c>
      <c r="AL308" s="157">
        <f t="shared" si="136"/>
        <v>1.2</v>
      </c>
      <c r="AM308" s="156">
        <f t="shared" si="137"/>
        <v>9.9999999999999995E-8</v>
      </c>
      <c r="AO308" s="140">
        <f t="shared" si="138"/>
        <v>3.6000000000000001E-5</v>
      </c>
      <c r="AP308">
        <v>3.6</v>
      </c>
      <c r="AQ308" s="140">
        <f t="shared" si="139"/>
        <v>3.5999999999999989E-7</v>
      </c>
      <c r="AR308" s="140">
        <f t="shared" si="140"/>
        <v>7.1999999999999988E-7</v>
      </c>
      <c r="AS308" s="140">
        <f t="shared" si="141"/>
        <v>1.08E-6</v>
      </c>
      <c r="AT308" s="140">
        <f t="shared" si="142"/>
        <v>1.44E-6</v>
      </c>
      <c r="AU308" s="140">
        <f t="shared" si="143"/>
        <v>1.8000000000000001E-6</v>
      </c>
      <c r="AV308" s="157">
        <f t="shared" si="144"/>
        <v>1.2</v>
      </c>
      <c r="AW308" s="156">
        <f t="shared" si="145"/>
        <v>9.9999999999999995E-8</v>
      </c>
      <c r="AY308" s="140">
        <f t="shared" si="146"/>
        <v>3.6000000000000001E-5</v>
      </c>
      <c r="AZ308">
        <v>3.6</v>
      </c>
      <c r="BA308" s="140">
        <f t="shared" si="147"/>
        <v>3.5999999999999989E-7</v>
      </c>
      <c r="BB308" s="140">
        <f t="shared" si="148"/>
        <v>7.1999999999999988E-7</v>
      </c>
      <c r="BC308" s="140">
        <f t="shared" si="149"/>
        <v>1.08E-6</v>
      </c>
      <c r="BD308" s="140">
        <f t="shared" si="150"/>
        <v>1.44E-6</v>
      </c>
      <c r="BE308" s="140">
        <f t="shared" si="151"/>
        <v>1.8000000000000001E-6</v>
      </c>
      <c r="BF308" s="157">
        <f>IF(AY308&lt;$B$89*DATA!$H$1037,DATA!$H$1037,IF(AY308&gt;DATA!$H$1036*$B$89,DATA!$H$1036,1))</f>
        <v>1.2</v>
      </c>
      <c r="BG308" s="156">
        <f t="shared" si="152"/>
        <v>9.9999999999999995E-8</v>
      </c>
      <c r="BI308" s="140">
        <f t="shared" si="153"/>
        <v>3.6000000000000001E-5</v>
      </c>
      <c r="BJ308">
        <v>3.6</v>
      </c>
      <c r="BK308" s="140">
        <f t="shared" si="154"/>
        <v>3.5999999999999989E-7</v>
      </c>
      <c r="BL308" s="140">
        <f t="shared" si="155"/>
        <v>7.1999999999999988E-7</v>
      </c>
      <c r="BM308" s="140">
        <f t="shared" si="156"/>
        <v>1.08E-6</v>
      </c>
      <c r="BN308" s="140">
        <f t="shared" si="157"/>
        <v>1.44E-6</v>
      </c>
      <c r="BO308" s="140">
        <f t="shared" si="158"/>
        <v>1.8000000000000001E-6</v>
      </c>
      <c r="BP308" s="157">
        <f>IF(BI308&lt;$B$105*DATA!$H$1037,DATA!$H$1037,IF(BI308&gt;DATA!$H$1036*$B$105,DATA!$H$1036,1))</f>
        <v>1.2</v>
      </c>
      <c r="BQ308" s="156">
        <f t="shared" si="159"/>
        <v>9.9999999999999995E-8</v>
      </c>
    </row>
    <row r="309" spans="1:69">
      <c r="A309" s="140">
        <f t="shared" si="112"/>
        <v>3.6200000000000006E-5</v>
      </c>
      <c r="B309">
        <v>3.62</v>
      </c>
      <c r="C309" s="140">
        <f t="shared" si="161"/>
        <v>3.6199999999999993E-7</v>
      </c>
      <c r="D309" s="140">
        <f t="shared" si="161"/>
        <v>7.2399999999999997E-7</v>
      </c>
      <c r="E309" s="140">
        <f t="shared" si="161"/>
        <v>1.0860000000000001E-6</v>
      </c>
      <c r="F309" s="140">
        <f t="shared" si="161"/>
        <v>1.4480000000000004E-6</v>
      </c>
      <c r="G309" s="140">
        <f t="shared" si="161"/>
        <v>1.8100000000000005E-6</v>
      </c>
      <c r="H309" s="124">
        <f t="shared" si="113"/>
        <v>0.8</v>
      </c>
      <c r="I309" s="156">
        <f t="shared" si="114"/>
        <v>9.9999999999999995E-8</v>
      </c>
      <c r="K309" s="140">
        <f t="shared" si="115"/>
        <v>3.6200000000000006E-5</v>
      </c>
      <c r="L309">
        <v>3.62</v>
      </c>
      <c r="M309" s="140">
        <f t="shared" si="116"/>
        <v>3.6199999999999993E-7</v>
      </c>
      <c r="N309" s="140">
        <f t="shared" si="117"/>
        <v>7.2399999999999997E-7</v>
      </c>
      <c r="O309" s="140">
        <f t="shared" si="118"/>
        <v>1.0860000000000001E-6</v>
      </c>
      <c r="P309" s="140">
        <f t="shared" si="111"/>
        <v>1.4480000000000004E-6</v>
      </c>
      <c r="Q309" s="140">
        <f t="shared" si="119"/>
        <v>1.8100000000000005E-6</v>
      </c>
      <c r="R309" s="157">
        <f t="shared" si="120"/>
        <v>0.8</v>
      </c>
      <c r="S309" s="156">
        <f t="shared" si="121"/>
        <v>9.9999999999999995E-8</v>
      </c>
      <c r="U309" s="140">
        <f t="shared" si="122"/>
        <v>3.6200000000000006E-5</v>
      </c>
      <c r="V309">
        <v>3.62</v>
      </c>
      <c r="W309" s="140">
        <f t="shared" si="123"/>
        <v>3.6199999999999993E-7</v>
      </c>
      <c r="X309" s="140">
        <f t="shared" si="124"/>
        <v>7.2399999999999997E-7</v>
      </c>
      <c r="Y309" s="140">
        <f t="shared" si="125"/>
        <v>1.0860000000000001E-6</v>
      </c>
      <c r="Z309" s="140">
        <f t="shared" si="126"/>
        <v>1.4480000000000004E-6</v>
      </c>
      <c r="AA309" s="140">
        <f t="shared" si="127"/>
        <v>1.8100000000000005E-6</v>
      </c>
      <c r="AB309" s="157">
        <f t="shared" si="128"/>
        <v>0.8</v>
      </c>
      <c r="AC309" s="156">
        <f t="shared" si="129"/>
        <v>9.9999999999999995E-8</v>
      </c>
      <c r="AE309" s="140">
        <f t="shared" si="130"/>
        <v>3.6200000000000006E-5</v>
      </c>
      <c r="AF309">
        <v>3.62</v>
      </c>
      <c r="AG309" s="140">
        <f t="shared" si="131"/>
        <v>3.6199999999999993E-7</v>
      </c>
      <c r="AH309" s="140">
        <f t="shared" si="132"/>
        <v>7.2399999999999997E-7</v>
      </c>
      <c r="AI309" s="140">
        <f t="shared" si="133"/>
        <v>1.0860000000000001E-6</v>
      </c>
      <c r="AJ309" s="140">
        <f t="shared" si="134"/>
        <v>1.4480000000000004E-6</v>
      </c>
      <c r="AK309" s="140">
        <f t="shared" si="135"/>
        <v>1.8100000000000005E-6</v>
      </c>
      <c r="AL309" s="157">
        <f t="shared" si="136"/>
        <v>1.2</v>
      </c>
      <c r="AM309" s="156">
        <f t="shared" si="137"/>
        <v>9.9999999999999995E-8</v>
      </c>
      <c r="AO309" s="140">
        <f t="shared" si="138"/>
        <v>3.6200000000000006E-5</v>
      </c>
      <c r="AP309">
        <v>3.62</v>
      </c>
      <c r="AQ309" s="140">
        <f t="shared" si="139"/>
        <v>3.6199999999999993E-7</v>
      </c>
      <c r="AR309" s="140">
        <f t="shared" si="140"/>
        <v>7.2399999999999997E-7</v>
      </c>
      <c r="AS309" s="140">
        <f t="shared" si="141"/>
        <v>1.0860000000000001E-6</v>
      </c>
      <c r="AT309" s="140">
        <f t="shared" si="142"/>
        <v>1.4480000000000004E-6</v>
      </c>
      <c r="AU309" s="140">
        <f t="shared" si="143"/>
        <v>1.8100000000000005E-6</v>
      </c>
      <c r="AV309" s="157">
        <f t="shared" si="144"/>
        <v>1.2</v>
      </c>
      <c r="AW309" s="156">
        <f t="shared" si="145"/>
        <v>9.9999999999999995E-8</v>
      </c>
      <c r="AY309" s="140">
        <f t="shared" si="146"/>
        <v>3.6200000000000006E-5</v>
      </c>
      <c r="AZ309">
        <v>3.62</v>
      </c>
      <c r="BA309" s="140">
        <f t="shared" si="147"/>
        <v>3.6199999999999993E-7</v>
      </c>
      <c r="BB309" s="140">
        <f t="shared" si="148"/>
        <v>7.2399999999999997E-7</v>
      </c>
      <c r="BC309" s="140">
        <f t="shared" si="149"/>
        <v>1.0860000000000001E-6</v>
      </c>
      <c r="BD309" s="140">
        <f t="shared" si="150"/>
        <v>1.4480000000000004E-6</v>
      </c>
      <c r="BE309" s="140">
        <f t="shared" si="151"/>
        <v>1.8100000000000005E-6</v>
      </c>
      <c r="BF309" s="157">
        <f>IF(AY309&lt;$B$89*DATA!$H$1037,DATA!$H$1037,IF(AY309&gt;DATA!$H$1036*$B$89,DATA!$H$1036,1))</f>
        <v>1.2</v>
      </c>
      <c r="BG309" s="156">
        <f t="shared" si="152"/>
        <v>9.9999999999999995E-8</v>
      </c>
      <c r="BI309" s="140">
        <f t="shared" si="153"/>
        <v>3.6200000000000006E-5</v>
      </c>
      <c r="BJ309">
        <v>3.62</v>
      </c>
      <c r="BK309" s="140">
        <f t="shared" si="154"/>
        <v>3.6199999999999993E-7</v>
      </c>
      <c r="BL309" s="140">
        <f t="shared" si="155"/>
        <v>7.2399999999999997E-7</v>
      </c>
      <c r="BM309" s="140">
        <f t="shared" si="156"/>
        <v>1.0860000000000001E-6</v>
      </c>
      <c r="BN309" s="140">
        <f t="shared" si="157"/>
        <v>1.4480000000000004E-6</v>
      </c>
      <c r="BO309" s="140">
        <f t="shared" si="158"/>
        <v>1.8100000000000005E-6</v>
      </c>
      <c r="BP309" s="157">
        <f>IF(BI309&lt;$B$105*DATA!$H$1037,DATA!$H$1037,IF(BI309&gt;DATA!$H$1036*$B$105,DATA!$H$1036,1))</f>
        <v>1.2</v>
      </c>
      <c r="BQ309" s="156">
        <f t="shared" si="159"/>
        <v>9.9999999999999995E-8</v>
      </c>
    </row>
    <row r="310" spans="1:69">
      <c r="A310" s="140">
        <f t="shared" si="112"/>
        <v>3.6400000000000004E-5</v>
      </c>
      <c r="B310">
        <v>3.64</v>
      </c>
      <c r="C310" s="140">
        <f t="shared" si="161"/>
        <v>3.6399999999999992E-7</v>
      </c>
      <c r="D310" s="140">
        <f t="shared" si="161"/>
        <v>7.2799999999999995E-7</v>
      </c>
      <c r="E310" s="140">
        <f t="shared" si="161"/>
        <v>1.0920000000000001E-6</v>
      </c>
      <c r="F310" s="140">
        <f t="shared" si="161"/>
        <v>1.4560000000000001E-6</v>
      </c>
      <c r="G310" s="140">
        <f t="shared" si="161"/>
        <v>1.8200000000000004E-6</v>
      </c>
      <c r="H310" s="124">
        <f t="shared" si="113"/>
        <v>0.8</v>
      </c>
      <c r="I310" s="156">
        <f t="shared" si="114"/>
        <v>9.9999999999999995E-8</v>
      </c>
      <c r="K310" s="140">
        <f t="shared" si="115"/>
        <v>3.6400000000000004E-5</v>
      </c>
      <c r="L310">
        <v>3.64</v>
      </c>
      <c r="M310" s="140">
        <f t="shared" si="116"/>
        <v>3.6399999999999992E-7</v>
      </c>
      <c r="N310" s="140">
        <f t="shared" si="117"/>
        <v>7.2799999999999995E-7</v>
      </c>
      <c r="O310" s="140">
        <f t="shared" si="118"/>
        <v>1.0920000000000001E-6</v>
      </c>
      <c r="P310" s="140">
        <f t="shared" si="111"/>
        <v>1.4560000000000001E-6</v>
      </c>
      <c r="Q310" s="140">
        <f t="shared" si="119"/>
        <v>1.8200000000000004E-6</v>
      </c>
      <c r="R310" s="157">
        <f t="shared" si="120"/>
        <v>0.8</v>
      </c>
      <c r="S310" s="156">
        <f t="shared" si="121"/>
        <v>9.9999999999999995E-8</v>
      </c>
      <c r="U310" s="140">
        <f t="shared" si="122"/>
        <v>3.6400000000000004E-5</v>
      </c>
      <c r="V310">
        <v>3.64</v>
      </c>
      <c r="W310" s="140">
        <f t="shared" si="123"/>
        <v>3.6399999999999992E-7</v>
      </c>
      <c r="X310" s="140">
        <f t="shared" si="124"/>
        <v>7.2799999999999995E-7</v>
      </c>
      <c r="Y310" s="140">
        <f t="shared" si="125"/>
        <v>1.0920000000000001E-6</v>
      </c>
      <c r="Z310" s="140">
        <f t="shared" si="126"/>
        <v>1.4560000000000001E-6</v>
      </c>
      <c r="AA310" s="140">
        <f t="shared" si="127"/>
        <v>1.8200000000000004E-6</v>
      </c>
      <c r="AB310" s="157">
        <f t="shared" si="128"/>
        <v>0.8</v>
      </c>
      <c r="AC310" s="156">
        <f t="shared" si="129"/>
        <v>9.9999999999999995E-8</v>
      </c>
      <c r="AE310" s="140">
        <f t="shared" si="130"/>
        <v>3.6400000000000004E-5</v>
      </c>
      <c r="AF310">
        <v>3.64</v>
      </c>
      <c r="AG310" s="140">
        <f t="shared" si="131"/>
        <v>3.6399999999999992E-7</v>
      </c>
      <c r="AH310" s="140">
        <f t="shared" si="132"/>
        <v>7.2799999999999995E-7</v>
      </c>
      <c r="AI310" s="140">
        <f t="shared" si="133"/>
        <v>1.0920000000000001E-6</v>
      </c>
      <c r="AJ310" s="140">
        <f t="shared" si="134"/>
        <v>1.4560000000000001E-6</v>
      </c>
      <c r="AK310" s="140">
        <f t="shared" si="135"/>
        <v>1.8200000000000004E-6</v>
      </c>
      <c r="AL310" s="157">
        <f t="shared" si="136"/>
        <v>1.2</v>
      </c>
      <c r="AM310" s="156">
        <f t="shared" si="137"/>
        <v>9.9999999999999995E-8</v>
      </c>
      <c r="AO310" s="140">
        <f t="shared" si="138"/>
        <v>3.6400000000000004E-5</v>
      </c>
      <c r="AP310">
        <v>3.64</v>
      </c>
      <c r="AQ310" s="140">
        <f t="shared" si="139"/>
        <v>3.6399999999999992E-7</v>
      </c>
      <c r="AR310" s="140">
        <f t="shared" si="140"/>
        <v>7.2799999999999995E-7</v>
      </c>
      <c r="AS310" s="140">
        <f t="shared" si="141"/>
        <v>1.0920000000000001E-6</v>
      </c>
      <c r="AT310" s="140">
        <f t="shared" si="142"/>
        <v>1.4560000000000001E-6</v>
      </c>
      <c r="AU310" s="140">
        <f t="shared" si="143"/>
        <v>1.8200000000000004E-6</v>
      </c>
      <c r="AV310" s="157">
        <f t="shared" si="144"/>
        <v>1.2</v>
      </c>
      <c r="AW310" s="156">
        <f t="shared" si="145"/>
        <v>9.9999999999999995E-8</v>
      </c>
      <c r="AY310" s="140">
        <f t="shared" si="146"/>
        <v>3.6400000000000004E-5</v>
      </c>
      <c r="AZ310">
        <v>3.64</v>
      </c>
      <c r="BA310" s="140">
        <f t="shared" si="147"/>
        <v>3.6399999999999992E-7</v>
      </c>
      <c r="BB310" s="140">
        <f t="shared" si="148"/>
        <v>7.2799999999999995E-7</v>
      </c>
      <c r="BC310" s="140">
        <f t="shared" si="149"/>
        <v>1.0920000000000001E-6</v>
      </c>
      <c r="BD310" s="140">
        <f t="shared" si="150"/>
        <v>1.4560000000000001E-6</v>
      </c>
      <c r="BE310" s="140">
        <f t="shared" si="151"/>
        <v>1.8200000000000004E-6</v>
      </c>
      <c r="BF310" s="157">
        <f>IF(AY310&lt;$B$89*DATA!$H$1037,DATA!$H$1037,IF(AY310&gt;DATA!$H$1036*$B$89,DATA!$H$1036,1))</f>
        <v>1.2</v>
      </c>
      <c r="BG310" s="156">
        <f t="shared" si="152"/>
        <v>9.9999999999999995E-8</v>
      </c>
      <c r="BI310" s="140">
        <f t="shared" si="153"/>
        <v>3.6400000000000004E-5</v>
      </c>
      <c r="BJ310">
        <v>3.64</v>
      </c>
      <c r="BK310" s="140">
        <f t="shared" si="154"/>
        <v>3.6399999999999992E-7</v>
      </c>
      <c r="BL310" s="140">
        <f t="shared" si="155"/>
        <v>7.2799999999999995E-7</v>
      </c>
      <c r="BM310" s="140">
        <f t="shared" si="156"/>
        <v>1.0920000000000001E-6</v>
      </c>
      <c r="BN310" s="140">
        <f t="shared" si="157"/>
        <v>1.4560000000000001E-6</v>
      </c>
      <c r="BO310" s="140">
        <f t="shared" si="158"/>
        <v>1.8200000000000004E-6</v>
      </c>
      <c r="BP310" s="157">
        <f>IF(BI310&lt;$B$105*DATA!$H$1037,DATA!$H$1037,IF(BI310&gt;DATA!$H$1036*$B$105,DATA!$H$1036,1))</f>
        <v>1.2</v>
      </c>
      <c r="BQ310" s="156">
        <f t="shared" si="159"/>
        <v>9.9999999999999995E-8</v>
      </c>
    </row>
    <row r="311" spans="1:69">
      <c r="A311" s="140">
        <f t="shared" si="112"/>
        <v>3.6600000000000002E-5</v>
      </c>
      <c r="B311">
        <v>3.66</v>
      </c>
      <c r="C311" s="140">
        <f t="shared" si="161"/>
        <v>3.6599999999999992E-7</v>
      </c>
      <c r="D311" s="140">
        <f t="shared" si="161"/>
        <v>7.3199999999999994E-7</v>
      </c>
      <c r="E311" s="140">
        <f t="shared" si="161"/>
        <v>1.0980000000000001E-6</v>
      </c>
      <c r="F311" s="140">
        <f t="shared" si="161"/>
        <v>1.4640000000000001E-6</v>
      </c>
      <c r="G311" s="140">
        <f t="shared" si="161"/>
        <v>1.8300000000000003E-6</v>
      </c>
      <c r="H311" s="124">
        <f t="shared" si="113"/>
        <v>0.8</v>
      </c>
      <c r="I311" s="156">
        <f t="shared" si="114"/>
        <v>9.9999999999999995E-8</v>
      </c>
      <c r="K311" s="140">
        <f t="shared" si="115"/>
        <v>3.6600000000000002E-5</v>
      </c>
      <c r="L311">
        <v>3.66</v>
      </c>
      <c r="M311" s="140">
        <f t="shared" si="116"/>
        <v>3.6599999999999992E-7</v>
      </c>
      <c r="N311" s="140">
        <f t="shared" si="117"/>
        <v>7.3199999999999994E-7</v>
      </c>
      <c r="O311" s="140">
        <f t="shared" si="118"/>
        <v>1.0980000000000001E-6</v>
      </c>
      <c r="P311" s="140">
        <f t="shared" si="111"/>
        <v>1.4640000000000001E-6</v>
      </c>
      <c r="Q311" s="140">
        <f t="shared" si="119"/>
        <v>1.8300000000000003E-6</v>
      </c>
      <c r="R311" s="157">
        <f t="shared" si="120"/>
        <v>0.8</v>
      </c>
      <c r="S311" s="156">
        <f t="shared" si="121"/>
        <v>9.9999999999999995E-8</v>
      </c>
      <c r="U311" s="140">
        <f t="shared" si="122"/>
        <v>3.6600000000000002E-5</v>
      </c>
      <c r="V311">
        <v>3.66</v>
      </c>
      <c r="W311" s="140">
        <f t="shared" si="123"/>
        <v>3.6599999999999992E-7</v>
      </c>
      <c r="X311" s="140">
        <f t="shared" si="124"/>
        <v>7.3199999999999994E-7</v>
      </c>
      <c r="Y311" s="140">
        <f t="shared" si="125"/>
        <v>1.0980000000000001E-6</v>
      </c>
      <c r="Z311" s="140">
        <f t="shared" si="126"/>
        <v>1.4640000000000001E-6</v>
      </c>
      <c r="AA311" s="140">
        <f t="shared" si="127"/>
        <v>1.8300000000000003E-6</v>
      </c>
      <c r="AB311" s="157">
        <f t="shared" si="128"/>
        <v>0.8</v>
      </c>
      <c r="AC311" s="156">
        <f t="shared" si="129"/>
        <v>9.9999999999999995E-8</v>
      </c>
      <c r="AE311" s="140">
        <f t="shared" si="130"/>
        <v>3.6600000000000002E-5</v>
      </c>
      <c r="AF311">
        <v>3.66</v>
      </c>
      <c r="AG311" s="140">
        <f t="shared" si="131"/>
        <v>3.6599999999999992E-7</v>
      </c>
      <c r="AH311" s="140">
        <f t="shared" si="132"/>
        <v>7.3199999999999994E-7</v>
      </c>
      <c r="AI311" s="140">
        <f t="shared" si="133"/>
        <v>1.0980000000000001E-6</v>
      </c>
      <c r="AJ311" s="140">
        <f t="shared" si="134"/>
        <v>1.4640000000000001E-6</v>
      </c>
      <c r="AK311" s="140">
        <f t="shared" si="135"/>
        <v>1.8300000000000003E-6</v>
      </c>
      <c r="AL311" s="157">
        <f t="shared" si="136"/>
        <v>1.2</v>
      </c>
      <c r="AM311" s="156">
        <f t="shared" si="137"/>
        <v>9.9999999999999995E-8</v>
      </c>
      <c r="AO311" s="140">
        <f t="shared" si="138"/>
        <v>3.6600000000000002E-5</v>
      </c>
      <c r="AP311">
        <v>3.66</v>
      </c>
      <c r="AQ311" s="140">
        <f t="shared" si="139"/>
        <v>3.6599999999999992E-7</v>
      </c>
      <c r="AR311" s="140">
        <f t="shared" si="140"/>
        <v>7.3199999999999994E-7</v>
      </c>
      <c r="AS311" s="140">
        <f t="shared" si="141"/>
        <v>1.0980000000000001E-6</v>
      </c>
      <c r="AT311" s="140">
        <f t="shared" si="142"/>
        <v>1.4640000000000001E-6</v>
      </c>
      <c r="AU311" s="140">
        <f t="shared" si="143"/>
        <v>1.8300000000000003E-6</v>
      </c>
      <c r="AV311" s="157">
        <f t="shared" si="144"/>
        <v>1.2</v>
      </c>
      <c r="AW311" s="156">
        <f t="shared" si="145"/>
        <v>9.9999999999999995E-8</v>
      </c>
      <c r="AY311" s="140">
        <f t="shared" si="146"/>
        <v>3.6600000000000002E-5</v>
      </c>
      <c r="AZ311">
        <v>3.66</v>
      </c>
      <c r="BA311" s="140">
        <f t="shared" si="147"/>
        <v>3.6599999999999992E-7</v>
      </c>
      <c r="BB311" s="140">
        <f t="shared" si="148"/>
        <v>7.3199999999999994E-7</v>
      </c>
      <c r="BC311" s="140">
        <f t="shared" si="149"/>
        <v>1.0980000000000001E-6</v>
      </c>
      <c r="BD311" s="140">
        <f t="shared" si="150"/>
        <v>1.4640000000000001E-6</v>
      </c>
      <c r="BE311" s="140">
        <f t="shared" si="151"/>
        <v>1.8300000000000003E-6</v>
      </c>
      <c r="BF311" s="157">
        <f>IF(AY311&lt;$B$89*DATA!$H$1037,DATA!$H$1037,IF(AY311&gt;DATA!$H$1036*$B$89,DATA!$H$1036,1))</f>
        <v>1.2</v>
      </c>
      <c r="BG311" s="156">
        <f t="shared" si="152"/>
        <v>9.9999999999999995E-8</v>
      </c>
      <c r="BI311" s="140">
        <f t="shared" si="153"/>
        <v>3.6600000000000002E-5</v>
      </c>
      <c r="BJ311">
        <v>3.66</v>
      </c>
      <c r="BK311" s="140">
        <f t="shared" si="154"/>
        <v>3.6599999999999992E-7</v>
      </c>
      <c r="BL311" s="140">
        <f t="shared" si="155"/>
        <v>7.3199999999999994E-7</v>
      </c>
      <c r="BM311" s="140">
        <f t="shared" si="156"/>
        <v>1.0980000000000001E-6</v>
      </c>
      <c r="BN311" s="140">
        <f t="shared" si="157"/>
        <v>1.4640000000000001E-6</v>
      </c>
      <c r="BO311" s="140">
        <f t="shared" si="158"/>
        <v>1.8300000000000003E-6</v>
      </c>
      <c r="BP311" s="157">
        <f>IF(BI311&lt;$B$105*DATA!$H$1037,DATA!$H$1037,IF(BI311&gt;DATA!$H$1036*$B$105,DATA!$H$1036,1))</f>
        <v>1.2</v>
      </c>
      <c r="BQ311" s="156">
        <f t="shared" si="159"/>
        <v>9.9999999999999995E-8</v>
      </c>
    </row>
    <row r="312" spans="1:69">
      <c r="A312" s="140">
        <f t="shared" si="112"/>
        <v>3.6800000000000007E-5</v>
      </c>
      <c r="B312">
        <v>3.68</v>
      </c>
      <c r="C312" s="140">
        <f t="shared" si="161"/>
        <v>3.6799999999999996E-7</v>
      </c>
      <c r="D312" s="140">
        <f t="shared" si="161"/>
        <v>7.3600000000000003E-7</v>
      </c>
      <c r="E312" s="140">
        <f t="shared" si="161"/>
        <v>1.1040000000000001E-6</v>
      </c>
      <c r="F312" s="140">
        <f t="shared" si="161"/>
        <v>1.4720000000000003E-6</v>
      </c>
      <c r="G312" s="140">
        <f t="shared" si="161"/>
        <v>1.8400000000000004E-6</v>
      </c>
      <c r="H312" s="124">
        <f t="shared" si="113"/>
        <v>0.8</v>
      </c>
      <c r="I312" s="156">
        <f t="shared" si="114"/>
        <v>9.9999999999999995E-8</v>
      </c>
      <c r="K312" s="140">
        <f t="shared" si="115"/>
        <v>3.6800000000000007E-5</v>
      </c>
      <c r="L312">
        <v>3.68</v>
      </c>
      <c r="M312" s="140">
        <f t="shared" si="116"/>
        <v>3.6799999999999996E-7</v>
      </c>
      <c r="N312" s="140">
        <f t="shared" si="117"/>
        <v>7.3600000000000003E-7</v>
      </c>
      <c r="O312" s="140">
        <f t="shared" si="118"/>
        <v>1.1040000000000001E-6</v>
      </c>
      <c r="P312" s="140">
        <f t="shared" si="111"/>
        <v>1.4720000000000003E-6</v>
      </c>
      <c r="Q312" s="140">
        <f t="shared" si="119"/>
        <v>1.8400000000000004E-6</v>
      </c>
      <c r="R312" s="157">
        <f t="shared" si="120"/>
        <v>0.8</v>
      </c>
      <c r="S312" s="156">
        <f t="shared" si="121"/>
        <v>9.9999999999999995E-8</v>
      </c>
      <c r="U312" s="140">
        <f t="shared" si="122"/>
        <v>3.6800000000000007E-5</v>
      </c>
      <c r="V312">
        <v>3.68</v>
      </c>
      <c r="W312" s="140">
        <f t="shared" si="123"/>
        <v>3.6799999999999996E-7</v>
      </c>
      <c r="X312" s="140">
        <f t="shared" si="124"/>
        <v>7.3600000000000003E-7</v>
      </c>
      <c r="Y312" s="140">
        <f t="shared" si="125"/>
        <v>1.1040000000000001E-6</v>
      </c>
      <c r="Z312" s="140">
        <f t="shared" si="126"/>
        <v>1.4720000000000003E-6</v>
      </c>
      <c r="AA312" s="140">
        <f t="shared" si="127"/>
        <v>1.8400000000000004E-6</v>
      </c>
      <c r="AB312" s="157">
        <f t="shared" si="128"/>
        <v>0.8</v>
      </c>
      <c r="AC312" s="156">
        <f t="shared" si="129"/>
        <v>9.9999999999999995E-8</v>
      </c>
      <c r="AE312" s="140">
        <f t="shared" si="130"/>
        <v>3.6800000000000007E-5</v>
      </c>
      <c r="AF312">
        <v>3.68</v>
      </c>
      <c r="AG312" s="140">
        <f t="shared" si="131"/>
        <v>3.6799999999999996E-7</v>
      </c>
      <c r="AH312" s="140">
        <f t="shared" si="132"/>
        <v>7.3600000000000003E-7</v>
      </c>
      <c r="AI312" s="140">
        <f t="shared" si="133"/>
        <v>1.1040000000000001E-6</v>
      </c>
      <c r="AJ312" s="140">
        <f t="shared" si="134"/>
        <v>1.4720000000000003E-6</v>
      </c>
      <c r="AK312" s="140">
        <f t="shared" si="135"/>
        <v>1.8400000000000004E-6</v>
      </c>
      <c r="AL312" s="157">
        <f t="shared" si="136"/>
        <v>1.2</v>
      </c>
      <c r="AM312" s="156">
        <f t="shared" si="137"/>
        <v>9.9999999999999995E-8</v>
      </c>
      <c r="AO312" s="140">
        <f t="shared" si="138"/>
        <v>3.6800000000000007E-5</v>
      </c>
      <c r="AP312">
        <v>3.68</v>
      </c>
      <c r="AQ312" s="140">
        <f t="shared" si="139"/>
        <v>3.6799999999999996E-7</v>
      </c>
      <c r="AR312" s="140">
        <f t="shared" si="140"/>
        <v>7.3600000000000003E-7</v>
      </c>
      <c r="AS312" s="140">
        <f t="shared" si="141"/>
        <v>1.1040000000000001E-6</v>
      </c>
      <c r="AT312" s="140">
        <f t="shared" si="142"/>
        <v>1.4720000000000003E-6</v>
      </c>
      <c r="AU312" s="140">
        <f t="shared" si="143"/>
        <v>1.8400000000000004E-6</v>
      </c>
      <c r="AV312" s="157">
        <f t="shared" si="144"/>
        <v>1.2</v>
      </c>
      <c r="AW312" s="156">
        <f t="shared" si="145"/>
        <v>9.9999999999999995E-8</v>
      </c>
      <c r="AY312" s="140">
        <f t="shared" si="146"/>
        <v>3.6800000000000007E-5</v>
      </c>
      <c r="AZ312">
        <v>3.68</v>
      </c>
      <c r="BA312" s="140">
        <f t="shared" si="147"/>
        <v>3.6799999999999996E-7</v>
      </c>
      <c r="BB312" s="140">
        <f t="shared" si="148"/>
        <v>7.3600000000000003E-7</v>
      </c>
      <c r="BC312" s="140">
        <f t="shared" si="149"/>
        <v>1.1040000000000001E-6</v>
      </c>
      <c r="BD312" s="140">
        <f t="shared" si="150"/>
        <v>1.4720000000000003E-6</v>
      </c>
      <c r="BE312" s="140">
        <f t="shared" si="151"/>
        <v>1.8400000000000004E-6</v>
      </c>
      <c r="BF312" s="157">
        <f>IF(AY312&lt;$B$89*DATA!$H$1037,DATA!$H$1037,IF(AY312&gt;DATA!$H$1036*$B$89,DATA!$H$1036,1))</f>
        <v>1.2</v>
      </c>
      <c r="BG312" s="156">
        <f t="shared" si="152"/>
        <v>9.9999999999999995E-8</v>
      </c>
      <c r="BI312" s="140">
        <f t="shared" si="153"/>
        <v>3.6800000000000007E-5</v>
      </c>
      <c r="BJ312">
        <v>3.68</v>
      </c>
      <c r="BK312" s="140">
        <f t="shared" si="154"/>
        <v>3.6799999999999996E-7</v>
      </c>
      <c r="BL312" s="140">
        <f t="shared" si="155"/>
        <v>7.3600000000000003E-7</v>
      </c>
      <c r="BM312" s="140">
        <f t="shared" si="156"/>
        <v>1.1040000000000001E-6</v>
      </c>
      <c r="BN312" s="140">
        <f t="shared" si="157"/>
        <v>1.4720000000000003E-6</v>
      </c>
      <c r="BO312" s="140">
        <f t="shared" si="158"/>
        <v>1.8400000000000004E-6</v>
      </c>
      <c r="BP312" s="157">
        <f>IF(BI312&lt;$B$105*DATA!$H$1037,DATA!$H$1037,IF(BI312&gt;DATA!$H$1036*$B$105,DATA!$H$1036,1))</f>
        <v>1.2</v>
      </c>
      <c r="BQ312" s="156">
        <f t="shared" si="159"/>
        <v>9.9999999999999995E-8</v>
      </c>
    </row>
    <row r="313" spans="1:69">
      <c r="A313" s="140">
        <f t="shared" si="112"/>
        <v>3.7000000000000005E-5</v>
      </c>
      <c r="B313">
        <v>3.7</v>
      </c>
      <c r="C313" s="140">
        <f t="shared" si="161"/>
        <v>3.6999999999999995E-7</v>
      </c>
      <c r="D313" s="140">
        <f t="shared" si="161"/>
        <v>7.4000000000000001E-7</v>
      </c>
      <c r="E313" s="140">
        <f t="shared" si="161"/>
        <v>1.1100000000000002E-6</v>
      </c>
      <c r="F313" s="140">
        <f t="shared" si="161"/>
        <v>1.4800000000000002E-6</v>
      </c>
      <c r="G313" s="140">
        <f t="shared" si="161"/>
        <v>1.8500000000000003E-6</v>
      </c>
      <c r="H313" s="124">
        <f t="shared" si="113"/>
        <v>0.8</v>
      </c>
      <c r="I313" s="156">
        <f t="shared" si="114"/>
        <v>9.9999999999999995E-8</v>
      </c>
      <c r="K313" s="140">
        <f t="shared" si="115"/>
        <v>3.7000000000000005E-5</v>
      </c>
      <c r="L313">
        <v>3.7</v>
      </c>
      <c r="M313" s="140">
        <f t="shared" si="116"/>
        <v>3.6999999999999995E-7</v>
      </c>
      <c r="N313" s="140">
        <f t="shared" si="117"/>
        <v>7.4000000000000001E-7</v>
      </c>
      <c r="O313" s="140">
        <f t="shared" si="118"/>
        <v>1.1100000000000002E-6</v>
      </c>
      <c r="P313" s="140">
        <f t="shared" si="111"/>
        <v>1.4800000000000002E-6</v>
      </c>
      <c r="Q313" s="140">
        <f t="shared" si="119"/>
        <v>1.8500000000000003E-6</v>
      </c>
      <c r="R313" s="157">
        <f t="shared" si="120"/>
        <v>0.8</v>
      </c>
      <c r="S313" s="156">
        <f t="shared" si="121"/>
        <v>9.9999999999999995E-8</v>
      </c>
      <c r="U313" s="140">
        <f t="shared" si="122"/>
        <v>3.7000000000000005E-5</v>
      </c>
      <c r="V313">
        <v>3.7</v>
      </c>
      <c r="W313" s="140">
        <f t="shared" si="123"/>
        <v>3.6999999999999995E-7</v>
      </c>
      <c r="X313" s="140">
        <f t="shared" si="124"/>
        <v>7.4000000000000001E-7</v>
      </c>
      <c r="Y313" s="140">
        <f t="shared" si="125"/>
        <v>1.1100000000000002E-6</v>
      </c>
      <c r="Z313" s="140">
        <f t="shared" si="126"/>
        <v>1.4800000000000002E-6</v>
      </c>
      <c r="AA313" s="140">
        <f t="shared" si="127"/>
        <v>1.8500000000000003E-6</v>
      </c>
      <c r="AB313" s="157">
        <f t="shared" si="128"/>
        <v>0.8</v>
      </c>
      <c r="AC313" s="156">
        <f t="shared" si="129"/>
        <v>9.9999999999999995E-8</v>
      </c>
      <c r="AE313" s="140">
        <f t="shared" si="130"/>
        <v>3.7000000000000005E-5</v>
      </c>
      <c r="AF313">
        <v>3.7</v>
      </c>
      <c r="AG313" s="140">
        <f t="shared" si="131"/>
        <v>3.6999999999999995E-7</v>
      </c>
      <c r="AH313" s="140">
        <f t="shared" si="132"/>
        <v>7.4000000000000001E-7</v>
      </c>
      <c r="AI313" s="140">
        <f t="shared" si="133"/>
        <v>1.1100000000000002E-6</v>
      </c>
      <c r="AJ313" s="140">
        <f t="shared" si="134"/>
        <v>1.4800000000000002E-6</v>
      </c>
      <c r="AK313" s="140">
        <f t="shared" si="135"/>
        <v>1.8500000000000003E-6</v>
      </c>
      <c r="AL313" s="157">
        <f t="shared" si="136"/>
        <v>1.2</v>
      </c>
      <c r="AM313" s="156">
        <f t="shared" si="137"/>
        <v>9.9999999999999995E-8</v>
      </c>
      <c r="AO313" s="140">
        <f t="shared" si="138"/>
        <v>3.7000000000000005E-5</v>
      </c>
      <c r="AP313">
        <v>3.7</v>
      </c>
      <c r="AQ313" s="140">
        <f t="shared" si="139"/>
        <v>3.6999999999999995E-7</v>
      </c>
      <c r="AR313" s="140">
        <f t="shared" si="140"/>
        <v>7.4000000000000001E-7</v>
      </c>
      <c r="AS313" s="140">
        <f t="shared" si="141"/>
        <v>1.1100000000000002E-6</v>
      </c>
      <c r="AT313" s="140">
        <f t="shared" si="142"/>
        <v>1.4800000000000002E-6</v>
      </c>
      <c r="AU313" s="140">
        <f t="shared" si="143"/>
        <v>1.8500000000000003E-6</v>
      </c>
      <c r="AV313" s="157">
        <f t="shared" si="144"/>
        <v>1.2</v>
      </c>
      <c r="AW313" s="156">
        <f t="shared" si="145"/>
        <v>9.9999999999999995E-8</v>
      </c>
      <c r="AY313" s="140">
        <f t="shared" si="146"/>
        <v>3.7000000000000005E-5</v>
      </c>
      <c r="AZ313">
        <v>3.7</v>
      </c>
      <c r="BA313" s="140">
        <f t="shared" si="147"/>
        <v>3.6999999999999995E-7</v>
      </c>
      <c r="BB313" s="140">
        <f t="shared" si="148"/>
        <v>7.4000000000000001E-7</v>
      </c>
      <c r="BC313" s="140">
        <f t="shared" si="149"/>
        <v>1.1100000000000002E-6</v>
      </c>
      <c r="BD313" s="140">
        <f t="shared" si="150"/>
        <v>1.4800000000000002E-6</v>
      </c>
      <c r="BE313" s="140">
        <f t="shared" si="151"/>
        <v>1.8500000000000003E-6</v>
      </c>
      <c r="BF313" s="157">
        <f>IF(AY313&lt;$B$89*DATA!$H$1037,DATA!$H$1037,IF(AY313&gt;DATA!$H$1036*$B$89,DATA!$H$1036,1))</f>
        <v>1.2</v>
      </c>
      <c r="BG313" s="156">
        <f t="shared" si="152"/>
        <v>9.9999999999999995E-8</v>
      </c>
      <c r="BI313" s="140">
        <f t="shared" si="153"/>
        <v>3.7000000000000005E-5</v>
      </c>
      <c r="BJ313">
        <v>3.7</v>
      </c>
      <c r="BK313" s="140">
        <f t="shared" si="154"/>
        <v>3.6999999999999995E-7</v>
      </c>
      <c r="BL313" s="140">
        <f t="shared" si="155"/>
        <v>7.4000000000000001E-7</v>
      </c>
      <c r="BM313" s="140">
        <f t="shared" si="156"/>
        <v>1.1100000000000002E-6</v>
      </c>
      <c r="BN313" s="140">
        <f t="shared" si="157"/>
        <v>1.4800000000000002E-6</v>
      </c>
      <c r="BO313" s="140">
        <f t="shared" si="158"/>
        <v>1.8500000000000003E-6</v>
      </c>
      <c r="BP313" s="157">
        <f>IF(BI313&lt;$B$105*DATA!$H$1037,DATA!$H$1037,IF(BI313&gt;DATA!$H$1036*$B$105,DATA!$H$1036,1))</f>
        <v>1.2</v>
      </c>
      <c r="BQ313" s="156">
        <f t="shared" si="159"/>
        <v>9.9999999999999995E-8</v>
      </c>
    </row>
    <row r="314" spans="1:69">
      <c r="A314" s="140">
        <f t="shared" si="112"/>
        <v>3.7200000000000003E-5</v>
      </c>
      <c r="B314">
        <v>3.72</v>
      </c>
      <c r="C314" s="140">
        <f t="shared" si="161"/>
        <v>3.7199999999999989E-7</v>
      </c>
      <c r="D314" s="140">
        <f t="shared" si="161"/>
        <v>7.4399999999999999E-7</v>
      </c>
      <c r="E314" s="140">
        <f t="shared" si="161"/>
        <v>1.116E-6</v>
      </c>
      <c r="F314" s="140">
        <f t="shared" si="161"/>
        <v>1.4880000000000002E-6</v>
      </c>
      <c r="G314" s="140">
        <f t="shared" si="161"/>
        <v>1.8600000000000002E-6</v>
      </c>
      <c r="H314" s="124">
        <f t="shared" si="113"/>
        <v>0.8</v>
      </c>
      <c r="I314" s="156">
        <f t="shared" si="114"/>
        <v>9.9999999999999995E-8</v>
      </c>
      <c r="K314" s="140">
        <f t="shared" si="115"/>
        <v>3.7200000000000003E-5</v>
      </c>
      <c r="L314">
        <v>3.72</v>
      </c>
      <c r="M314" s="140">
        <f t="shared" si="116"/>
        <v>3.7199999999999989E-7</v>
      </c>
      <c r="N314" s="140">
        <f t="shared" si="117"/>
        <v>7.4399999999999999E-7</v>
      </c>
      <c r="O314" s="140">
        <f t="shared" si="118"/>
        <v>1.116E-6</v>
      </c>
      <c r="P314" s="140">
        <f t="shared" si="111"/>
        <v>1.4880000000000002E-6</v>
      </c>
      <c r="Q314" s="140">
        <f t="shared" si="119"/>
        <v>1.8600000000000002E-6</v>
      </c>
      <c r="R314" s="157">
        <f t="shared" si="120"/>
        <v>0.8</v>
      </c>
      <c r="S314" s="156">
        <f t="shared" si="121"/>
        <v>9.9999999999999995E-8</v>
      </c>
      <c r="U314" s="140">
        <f t="shared" si="122"/>
        <v>3.7200000000000003E-5</v>
      </c>
      <c r="V314">
        <v>3.72</v>
      </c>
      <c r="W314" s="140">
        <f t="shared" si="123"/>
        <v>3.7199999999999989E-7</v>
      </c>
      <c r="X314" s="140">
        <f t="shared" si="124"/>
        <v>7.4399999999999999E-7</v>
      </c>
      <c r="Y314" s="140">
        <f t="shared" si="125"/>
        <v>1.116E-6</v>
      </c>
      <c r="Z314" s="140">
        <f t="shared" si="126"/>
        <v>1.4880000000000002E-6</v>
      </c>
      <c r="AA314" s="140">
        <f t="shared" si="127"/>
        <v>1.8600000000000002E-6</v>
      </c>
      <c r="AB314" s="157">
        <f t="shared" si="128"/>
        <v>0.8</v>
      </c>
      <c r="AC314" s="156">
        <f t="shared" si="129"/>
        <v>9.9999999999999995E-8</v>
      </c>
      <c r="AE314" s="140">
        <f t="shared" si="130"/>
        <v>3.7200000000000003E-5</v>
      </c>
      <c r="AF314">
        <v>3.72</v>
      </c>
      <c r="AG314" s="140">
        <f t="shared" si="131"/>
        <v>3.7199999999999989E-7</v>
      </c>
      <c r="AH314" s="140">
        <f t="shared" si="132"/>
        <v>7.4399999999999999E-7</v>
      </c>
      <c r="AI314" s="140">
        <f t="shared" si="133"/>
        <v>1.116E-6</v>
      </c>
      <c r="AJ314" s="140">
        <f t="shared" si="134"/>
        <v>1.4880000000000002E-6</v>
      </c>
      <c r="AK314" s="140">
        <f t="shared" si="135"/>
        <v>1.8600000000000002E-6</v>
      </c>
      <c r="AL314" s="157">
        <f t="shared" si="136"/>
        <v>1.2</v>
      </c>
      <c r="AM314" s="156">
        <f t="shared" si="137"/>
        <v>9.9999999999999995E-8</v>
      </c>
      <c r="AO314" s="140">
        <f t="shared" si="138"/>
        <v>3.7200000000000003E-5</v>
      </c>
      <c r="AP314">
        <v>3.72</v>
      </c>
      <c r="AQ314" s="140">
        <f t="shared" si="139"/>
        <v>3.7199999999999989E-7</v>
      </c>
      <c r="AR314" s="140">
        <f t="shared" si="140"/>
        <v>7.4399999999999999E-7</v>
      </c>
      <c r="AS314" s="140">
        <f t="shared" si="141"/>
        <v>1.116E-6</v>
      </c>
      <c r="AT314" s="140">
        <f t="shared" si="142"/>
        <v>1.4880000000000002E-6</v>
      </c>
      <c r="AU314" s="140">
        <f t="shared" si="143"/>
        <v>1.8600000000000002E-6</v>
      </c>
      <c r="AV314" s="157">
        <f t="shared" si="144"/>
        <v>1.2</v>
      </c>
      <c r="AW314" s="156">
        <f t="shared" si="145"/>
        <v>9.9999999999999995E-8</v>
      </c>
      <c r="AY314" s="140">
        <f t="shared" si="146"/>
        <v>3.7200000000000003E-5</v>
      </c>
      <c r="AZ314">
        <v>3.72</v>
      </c>
      <c r="BA314" s="140">
        <f t="shared" si="147"/>
        <v>3.7199999999999989E-7</v>
      </c>
      <c r="BB314" s="140">
        <f t="shared" si="148"/>
        <v>7.4399999999999999E-7</v>
      </c>
      <c r="BC314" s="140">
        <f t="shared" si="149"/>
        <v>1.116E-6</v>
      </c>
      <c r="BD314" s="140">
        <f t="shared" si="150"/>
        <v>1.4880000000000002E-6</v>
      </c>
      <c r="BE314" s="140">
        <f t="shared" si="151"/>
        <v>1.8600000000000002E-6</v>
      </c>
      <c r="BF314" s="157">
        <f>IF(AY314&lt;$B$89*DATA!$H$1037,DATA!$H$1037,IF(AY314&gt;DATA!$H$1036*$B$89,DATA!$H$1036,1))</f>
        <v>1.2</v>
      </c>
      <c r="BG314" s="156">
        <f t="shared" si="152"/>
        <v>9.9999999999999995E-8</v>
      </c>
      <c r="BI314" s="140">
        <f t="shared" si="153"/>
        <v>3.7200000000000003E-5</v>
      </c>
      <c r="BJ314">
        <v>3.72</v>
      </c>
      <c r="BK314" s="140">
        <f t="shared" si="154"/>
        <v>3.7199999999999989E-7</v>
      </c>
      <c r="BL314" s="140">
        <f t="shared" si="155"/>
        <v>7.4399999999999999E-7</v>
      </c>
      <c r="BM314" s="140">
        <f t="shared" si="156"/>
        <v>1.116E-6</v>
      </c>
      <c r="BN314" s="140">
        <f t="shared" si="157"/>
        <v>1.4880000000000002E-6</v>
      </c>
      <c r="BO314" s="140">
        <f t="shared" si="158"/>
        <v>1.8600000000000002E-6</v>
      </c>
      <c r="BP314" s="157">
        <f>IF(BI314&lt;$B$105*DATA!$H$1037,DATA!$H$1037,IF(BI314&gt;DATA!$H$1036*$B$105,DATA!$H$1036,1))</f>
        <v>1.2</v>
      </c>
      <c r="BQ314" s="156">
        <f t="shared" si="159"/>
        <v>9.9999999999999995E-8</v>
      </c>
    </row>
    <row r="315" spans="1:69">
      <c r="A315" s="140">
        <f t="shared" si="112"/>
        <v>3.7400000000000008E-5</v>
      </c>
      <c r="B315">
        <v>3.74</v>
      </c>
      <c r="C315" s="140">
        <f t="shared" si="161"/>
        <v>3.7399999999999993E-7</v>
      </c>
      <c r="D315" s="140">
        <f t="shared" si="161"/>
        <v>7.4800000000000008E-7</v>
      </c>
      <c r="E315" s="140">
        <f t="shared" si="161"/>
        <v>1.1220000000000002E-6</v>
      </c>
      <c r="F315" s="140">
        <f t="shared" si="161"/>
        <v>1.4960000000000004E-6</v>
      </c>
      <c r="G315" s="140">
        <f t="shared" si="161"/>
        <v>1.8700000000000005E-6</v>
      </c>
      <c r="H315" s="124">
        <f t="shared" si="113"/>
        <v>0.8</v>
      </c>
      <c r="I315" s="156">
        <f t="shared" si="114"/>
        <v>9.9999999999999995E-8</v>
      </c>
      <c r="K315" s="140">
        <f t="shared" si="115"/>
        <v>3.7400000000000008E-5</v>
      </c>
      <c r="L315">
        <v>3.74</v>
      </c>
      <c r="M315" s="140">
        <f t="shared" si="116"/>
        <v>3.7399999999999993E-7</v>
      </c>
      <c r="N315" s="140">
        <f t="shared" si="117"/>
        <v>7.4800000000000008E-7</v>
      </c>
      <c r="O315" s="140">
        <f t="shared" si="118"/>
        <v>1.1220000000000002E-6</v>
      </c>
      <c r="P315" s="140">
        <f t="shared" si="111"/>
        <v>1.4960000000000004E-6</v>
      </c>
      <c r="Q315" s="140">
        <f t="shared" si="119"/>
        <v>1.8700000000000005E-6</v>
      </c>
      <c r="R315" s="157">
        <f t="shared" si="120"/>
        <v>0.8</v>
      </c>
      <c r="S315" s="156">
        <f t="shared" si="121"/>
        <v>9.9999999999999995E-8</v>
      </c>
      <c r="U315" s="140">
        <f t="shared" si="122"/>
        <v>3.7400000000000008E-5</v>
      </c>
      <c r="V315">
        <v>3.74</v>
      </c>
      <c r="W315" s="140">
        <f t="shared" si="123"/>
        <v>3.7399999999999993E-7</v>
      </c>
      <c r="X315" s="140">
        <f t="shared" si="124"/>
        <v>7.4800000000000008E-7</v>
      </c>
      <c r="Y315" s="140">
        <f t="shared" si="125"/>
        <v>1.1220000000000002E-6</v>
      </c>
      <c r="Z315" s="140">
        <f t="shared" si="126"/>
        <v>1.4960000000000004E-6</v>
      </c>
      <c r="AA315" s="140">
        <f t="shared" si="127"/>
        <v>1.8700000000000005E-6</v>
      </c>
      <c r="AB315" s="157">
        <f t="shared" si="128"/>
        <v>0.8</v>
      </c>
      <c r="AC315" s="156">
        <f t="shared" si="129"/>
        <v>9.9999999999999995E-8</v>
      </c>
      <c r="AE315" s="140">
        <f t="shared" si="130"/>
        <v>3.7400000000000008E-5</v>
      </c>
      <c r="AF315">
        <v>3.74</v>
      </c>
      <c r="AG315" s="140">
        <f t="shared" si="131"/>
        <v>3.7399999999999993E-7</v>
      </c>
      <c r="AH315" s="140">
        <f t="shared" si="132"/>
        <v>7.4800000000000008E-7</v>
      </c>
      <c r="AI315" s="140">
        <f t="shared" si="133"/>
        <v>1.1220000000000002E-6</v>
      </c>
      <c r="AJ315" s="140">
        <f t="shared" si="134"/>
        <v>1.4960000000000004E-6</v>
      </c>
      <c r="AK315" s="140">
        <f t="shared" si="135"/>
        <v>1.8700000000000005E-6</v>
      </c>
      <c r="AL315" s="157">
        <f t="shared" si="136"/>
        <v>1.2</v>
      </c>
      <c r="AM315" s="156">
        <f t="shared" si="137"/>
        <v>9.9999999999999995E-8</v>
      </c>
      <c r="AO315" s="140">
        <f t="shared" si="138"/>
        <v>3.7400000000000008E-5</v>
      </c>
      <c r="AP315">
        <v>3.74</v>
      </c>
      <c r="AQ315" s="140">
        <f t="shared" si="139"/>
        <v>3.7399999999999993E-7</v>
      </c>
      <c r="AR315" s="140">
        <f t="shared" si="140"/>
        <v>7.4800000000000008E-7</v>
      </c>
      <c r="AS315" s="140">
        <f t="shared" si="141"/>
        <v>1.1220000000000002E-6</v>
      </c>
      <c r="AT315" s="140">
        <f t="shared" si="142"/>
        <v>1.4960000000000004E-6</v>
      </c>
      <c r="AU315" s="140">
        <f t="shared" si="143"/>
        <v>1.8700000000000005E-6</v>
      </c>
      <c r="AV315" s="157">
        <f t="shared" si="144"/>
        <v>1.2</v>
      </c>
      <c r="AW315" s="156">
        <f t="shared" si="145"/>
        <v>9.9999999999999995E-8</v>
      </c>
      <c r="AY315" s="140">
        <f t="shared" si="146"/>
        <v>3.7400000000000008E-5</v>
      </c>
      <c r="AZ315">
        <v>3.74</v>
      </c>
      <c r="BA315" s="140">
        <f t="shared" si="147"/>
        <v>3.7399999999999993E-7</v>
      </c>
      <c r="BB315" s="140">
        <f t="shared" si="148"/>
        <v>7.4800000000000008E-7</v>
      </c>
      <c r="BC315" s="140">
        <f t="shared" si="149"/>
        <v>1.1220000000000002E-6</v>
      </c>
      <c r="BD315" s="140">
        <f t="shared" si="150"/>
        <v>1.4960000000000004E-6</v>
      </c>
      <c r="BE315" s="140">
        <f t="shared" si="151"/>
        <v>1.8700000000000005E-6</v>
      </c>
      <c r="BF315" s="157">
        <f>IF(AY315&lt;$B$89*DATA!$H$1037,DATA!$H$1037,IF(AY315&gt;DATA!$H$1036*$B$89,DATA!$H$1036,1))</f>
        <v>1.2</v>
      </c>
      <c r="BG315" s="156">
        <f t="shared" si="152"/>
        <v>9.9999999999999995E-8</v>
      </c>
      <c r="BI315" s="140">
        <f t="shared" si="153"/>
        <v>3.7400000000000008E-5</v>
      </c>
      <c r="BJ315">
        <v>3.74</v>
      </c>
      <c r="BK315" s="140">
        <f t="shared" si="154"/>
        <v>3.7399999999999993E-7</v>
      </c>
      <c r="BL315" s="140">
        <f t="shared" si="155"/>
        <v>7.4800000000000008E-7</v>
      </c>
      <c r="BM315" s="140">
        <f t="shared" si="156"/>
        <v>1.1220000000000002E-6</v>
      </c>
      <c r="BN315" s="140">
        <f t="shared" si="157"/>
        <v>1.4960000000000004E-6</v>
      </c>
      <c r="BO315" s="140">
        <f t="shared" si="158"/>
        <v>1.8700000000000005E-6</v>
      </c>
      <c r="BP315" s="157">
        <f>IF(BI315&lt;$B$105*DATA!$H$1037,DATA!$H$1037,IF(BI315&gt;DATA!$H$1036*$B$105,DATA!$H$1036,1))</f>
        <v>1.2</v>
      </c>
      <c r="BQ315" s="156">
        <f t="shared" si="159"/>
        <v>9.9999999999999995E-8</v>
      </c>
    </row>
    <row r="316" spans="1:69">
      <c r="A316" s="140">
        <f t="shared" si="112"/>
        <v>3.7599999999999999E-5</v>
      </c>
      <c r="B316">
        <v>3.76</v>
      </c>
      <c r="C316" s="140">
        <f t="shared" si="161"/>
        <v>3.7599999999999987E-7</v>
      </c>
      <c r="D316" s="140">
        <f t="shared" si="161"/>
        <v>7.5199999999999985E-7</v>
      </c>
      <c r="E316" s="140">
        <f t="shared" si="161"/>
        <v>1.1279999999999998E-6</v>
      </c>
      <c r="F316" s="140">
        <f t="shared" si="161"/>
        <v>1.5039999999999999E-6</v>
      </c>
      <c r="G316" s="140">
        <f t="shared" si="161"/>
        <v>1.88E-6</v>
      </c>
      <c r="H316" s="124">
        <f t="shared" si="113"/>
        <v>0.8</v>
      </c>
      <c r="I316" s="156">
        <f t="shared" si="114"/>
        <v>9.9999999999999995E-8</v>
      </c>
      <c r="K316" s="140">
        <f t="shared" si="115"/>
        <v>3.7599999999999999E-5</v>
      </c>
      <c r="L316">
        <v>3.76</v>
      </c>
      <c r="M316" s="140">
        <f t="shared" si="116"/>
        <v>3.7599999999999987E-7</v>
      </c>
      <c r="N316" s="140">
        <f t="shared" si="117"/>
        <v>7.5199999999999985E-7</v>
      </c>
      <c r="O316" s="140">
        <f t="shared" si="118"/>
        <v>1.1279999999999998E-6</v>
      </c>
      <c r="P316" s="140">
        <f t="shared" si="111"/>
        <v>1.5039999999999999E-6</v>
      </c>
      <c r="Q316" s="140">
        <f t="shared" si="119"/>
        <v>1.88E-6</v>
      </c>
      <c r="R316" s="157">
        <f t="shared" si="120"/>
        <v>0.8</v>
      </c>
      <c r="S316" s="156">
        <f t="shared" si="121"/>
        <v>9.9999999999999995E-8</v>
      </c>
      <c r="U316" s="140">
        <f t="shared" si="122"/>
        <v>3.7599999999999999E-5</v>
      </c>
      <c r="V316">
        <v>3.76</v>
      </c>
      <c r="W316" s="140">
        <f t="shared" si="123"/>
        <v>3.7599999999999987E-7</v>
      </c>
      <c r="X316" s="140">
        <f t="shared" si="124"/>
        <v>7.5199999999999985E-7</v>
      </c>
      <c r="Y316" s="140">
        <f t="shared" si="125"/>
        <v>1.1279999999999998E-6</v>
      </c>
      <c r="Z316" s="140">
        <f t="shared" si="126"/>
        <v>1.5039999999999999E-6</v>
      </c>
      <c r="AA316" s="140">
        <f t="shared" si="127"/>
        <v>1.88E-6</v>
      </c>
      <c r="AB316" s="157">
        <f t="shared" si="128"/>
        <v>0.8</v>
      </c>
      <c r="AC316" s="156">
        <f t="shared" si="129"/>
        <v>9.9999999999999995E-8</v>
      </c>
      <c r="AE316" s="140">
        <f t="shared" si="130"/>
        <v>3.7599999999999999E-5</v>
      </c>
      <c r="AF316">
        <v>3.76</v>
      </c>
      <c r="AG316" s="140">
        <f t="shared" si="131"/>
        <v>3.7599999999999987E-7</v>
      </c>
      <c r="AH316" s="140">
        <f t="shared" si="132"/>
        <v>7.5199999999999985E-7</v>
      </c>
      <c r="AI316" s="140">
        <f t="shared" si="133"/>
        <v>1.1279999999999998E-6</v>
      </c>
      <c r="AJ316" s="140">
        <f t="shared" si="134"/>
        <v>1.5039999999999999E-6</v>
      </c>
      <c r="AK316" s="140">
        <f t="shared" si="135"/>
        <v>1.88E-6</v>
      </c>
      <c r="AL316" s="157">
        <f t="shared" si="136"/>
        <v>1.2</v>
      </c>
      <c r="AM316" s="156">
        <f t="shared" si="137"/>
        <v>9.9999999999999995E-8</v>
      </c>
      <c r="AO316" s="140">
        <f t="shared" si="138"/>
        <v>3.7599999999999999E-5</v>
      </c>
      <c r="AP316">
        <v>3.76</v>
      </c>
      <c r="AQ316" s="140">
        <f t="shared" si="139"/>
        <v>3.7599999999999987E-7</v>
      </c>
      <c r="AR316" s="140">
        <f t="shared" si="140"/>
        <v>7.5199999999999985E-7</v>
      </c>
      <c r="AS316" s="140">
        <f t="shared" si="141"/>
        <v>1.1279999999999998E-6</v>
      </c>
      <c r="AT316" s="140">
        <f t="shared" si="142"/>
        <v>1.5039999999999999E-6</v>
      </c>
      <c r="AU316" s="140">
        <f t="shared" si="143"/>
        <v>1.88E-6</v>
      </c>
      <c r="AV316" s="157">
        <f t="shared" si="144"/>
        <v>1.2</v>
      </c>
      <c r="AW316" s="156">
        <f t="shared" si="145"/>
        <v>9.9999999999999995E-8</v>
      </c>
      <c r="AY316" s="140">
        <f t="shared" si="146"/>
        <v>3.7599999999999999E-5</v>
      </c>
      <c r="AZ316">
        <v>3.76</v>
      </c>
      <c r="BA316" s="140">
        <f t="shared" si="147"/>
        <v>3.7599999999999987E-7</v>
      </c>
      <c r="BB316" s="140">
        <f t="shared" si="148"/>
        <v>7.5199999999999985E-7</v>
      </c>
      <c r="BC316" s="140">
        <f t="shared" si="149"/>
        <v>1.1279999999999998E-6</v>
      </c>
      <c r="BD316" s="140">
        <f t="shared" si="150"/>
        <v>1.5039999999999999E-6</v>
      </c>
      <c r="BE316" s="140">
        <f t="shared" si="151"/>
        <v>1.88E-6</v>
      </c>
      <c r="BF316" s="157">
        <f>IF(AY316&lt;$B$89*DATA!$H$1037,DATA!$H$1037,IF(AY316&gt;DATA!$H$1036*$B$89,DATA!$H$1036,1))</f>
        <v>1.2</v>
      </c>
      <c r="BG316" s="156">
        <f t="shared" si="152"/>
        <v>9.9999999999999995E-8</v>
      </c>
      <c r="BI316" s="140">
        <f t="shared" si="153"/>
        <v>3.7599999999999999E-5</v>
      </c>
      <c r="BJ316">
        <v>3.76</v>
      </c>
      <c r="BK316" s="140">
        <f t="shared" si="154"/>
        <v>3.7599999999999987E-7</v>
      </c>
      <c r="BL316" s="140">
        <f t="shared" si="155"/>
        <v>7.5199999999999985E-7</v>
      </c>
      <c r="BM316" s="140">
        <f t="shared" si="156"/>
        <v>1.1279999999999998E-6</v>
      </c>
      <c r="BN316" s="140">
        <f t="shared" si="157"/>
        <v>1.5039999999999999E-6</v>
      </c>
      <c r="BO316" s="140">
        <f t="shared" si="158"/>
        <v>1.88E-6</v>
      </c>
      <c r="BP316" s="157">
        <f>IF(BI316&lt;$B$105*DATA!$H$1037,DATA!$H$1037,IF(BI316&gt;DATA!$H$1036*$B$105,DATA!$H$1036,1))</f>
        <v>1.2</v>
      </c>
      <c r="BQ316" s="156">
        <f t="shared" si="159"/>
        <v>9.9999999999999995E-8</v>
      </c>
    </row>
    <row r="317" spans="1:69">
      <c r="A317" s="140">
        <f t="shared" si="112"/>
        <v>3.7800000000000004E-5</v>
      </c>
      <c r="B317">
        <v>3.78</v>
      </c>
      <c r="C317" s="140">
        <f t="shared" si="161"/>
        <v>3.7799999999999992E-7</v>
      </c>
      <c r="D317" s="140">
        <f t="shared" si="161"/>
        <v>7.5599999999999994E-7</v>
      </c>
      <c r="E317" s="140">
        <f t="shared" si="161"/>
        <v>1.1340000000000001E-6</v>
      </c>
      <c r="F317" s="140">
        <f t="shared" si="161"/>
        <v>1.5120000000000001E-6</v>
      </c>
      <c r="G317" s="140">
        <f t="shared" si="161"/>
        <v>1.8900000000000003E-6</v>
      </c>
      <c r="H317" s="124">
        <f t="shared" si="113"/>
        <v>0.8</v>
      </c>
      <c r="I317" s="156">
        <f t="shared" si="114"/>
        <v>9.9999999999999995E-8</v>
      </c>
      <c r="K317" s="140">
        <f t="shared" si="115"/>
        <v>3.7800000000000004E-5</v>
      </c>
      <c r="L317">
        <v>3.78</v>
      </c>
      <c r="M317" s="140">
        <f t="shared" si="116"/>
        <v>3.7799999999999992E-7</v>
      </c>
      <c r="N317" s="140">
        <f t="shared" si="117"/>
        <v>7.5599999999999994E-7</v>
      </c>
      <c r="O317" s="140">
        <f t="shared" si="118"/>
        <v>1.1340000000000001E-6</v>
      </c>
      <c r="P317" s="140">
        <f t="shared" si="111"/>
        <v>1.5120000000000001E-6</v>
      </c>
      <c r="Q317" s="140">
        <f t="shared" si="119"/>
        <v>1.8900000000000003E-6</v>
      </c>
      <c r="R317" s="157">
        <f t="shared" si="120"/>
        <v>0.8</v>
      </c>
      <c r="S317" s="156">
        <f t="shared" si="121"/>
        <v>9.9999999999999995E-8</v>
      </c>
      <c r="U317" s="140">
        <f t="shared" si="122"/>
        <v>3.7800000000000004E-5</v>
      </c>
      <c r="V317">
        <v>3.78</v>
      </c>
      <c r="W317" s="140">
        <f t="shared" si="123"/>
        <v>3.7799999999999992E-7</v>
      </c>
      <c r="X317" s="140">
        <f t="shared" si="124"/>
        <v>7.5599999999999994E-7</v>
      </c>
      <c r="Y317" s="140">
        <f t="shared" si="125"/>
        <v>1.1340000000000001E-6</v>
      </c>
      <c r="Z317" s="140">
        <f t="shared" si="126"/>
        <v>1.5120000000000001E-6</v>
      </c>
      <c r="AA317" s="140">
        <f t="shared" si="127"/>
        <v>1.8900000000000003E-6</v>
      </c>
      <c r="AB317" s="157">
        <f t="shared" si="128"/>
        <v>0.8</v>
      </c>
      <c r="AC317" s="156">
        <f t="shared" si="129"/>
        <v>9.9999999999999995E-8</v>
      </c>
      <c r="AE317" s="140">
        <f t="shared" si="130"/>
        <v>3.7800000000000004E-5</v>
      </c>
      <c r="AF317">
        <v>3.78</v>
      </c>
      <c r="AG317" s="140">
        <f t="shared" si="131"/>
        <v>3.7799999999999992E-7</v>
      </c>
      <c r="AH317" s="140">
        <f t="shared" si="132"/>
        <v>7.5599999999999994E-7</v>
      </c>
      <c r="AI317" s="140">
        <f t="shared" si="133"/>
        <v>1.1340000000000001E-6</v>
      </c>
      <c r="AJ317" s="140">
        <f t="shared" si="134"/>
        <v>1.5120000000000001E-6</v>
      </c>
      <c r="AK317" s="140">
        <f t="shared" si="135"/>
        <v>1.8900000000000003E-6</v>
      </c>
      <c r="AL317" s="157">
        <f t="shared" si="136"/>
        <v>1.2</v>
      </c>
      <c r="AM317" s="156">
        <f t="shared" si="137"/>
        <v>9.9999999999999995E-8</v>
      </c>
      <c r="AO317" s="140">
        <f t="shared" si="138"/>
        <v>3.7800000000000004E-5</v>
      </c>
      <c r="AP317">
        <v>3.78</v>
      </c>
      <c r="AQ317" s="140">
        <f t="shared" si="139"/>
        <v>3.7799999999999992E-7</v>
      </c>
      <c r="AR317" s="140">
        <f t="shared" si="140"/>
        <v>7.5599999999999994E-7</v>
      </c>
      <c r="AS317" s="140">
        <f t="shared" si="141"/>
        <v>1.1340000000000001E-6</v>
      </c>
      <c r="AT317" s="140">
        <f t="shared" si="142"/>
        <v>1.5120000000000001E-6</v>
      </c>
      <c r="AU317" s="140">
        <f t="shared" si="143"/>
        <v>1.8900000000000003E-6</v>
      </c>
      <c r="AV317" s="157">
        <f t="shared" si="144"/>
        <v>1.2</v>
      </c>
      <c r="AW317" s="156">
        <f t="shared" si="145"/>
        <v>9.9999999999999995E-8</v>
      </c>
      <c r="AY317" s="140">
        <f t="shared" si="146"/>
        <v>3.7800000000000004E-5</v>
      </c>
      <c r="AZ317">
        <v>3.78</v>
      </c>
      <c r="BA317" s="140">
        <f t="shared" si="147"/>
        <v>3.7799999999999992E-7</v>
      </c>
      <c r="BB317" s="140">
        <f t="shared" si="148"/>
        <v>7.5599999999999994E-7</v>
      </c>
      <c r="BC317" s="140">
        <f t="shared" si="149"/>
        <v>1.1340000000000001E-6</v>
      </c>
      <c r="BD317" s="140">
        <f t="shared" si="150"/>
        <v>1.5120000000000001E-6</v>
      </c>
      <c r="BE317" s="140">
        <f t="shared" si="151"/>
        <v>1.8900000000000003E-6</v>
      </c>
      <c r="BF317" s="157">
        <f>IF(AY317&lt;$B$89*DATA!$H$1037,DATA!$H$1037,IF(AY317&gt;DATA!$H$1036*$B$89,DATA!$H$1036,1))</f>
        <v>1.2</v>
      </c>
      <c r="BG317" s="156">
        <f t="shared" si="152"/>
        <v>9.9999999999999995E-8</v>
      </c>
      <c r="BI317" s="140">
        <f t="shared" si="153"/>
        <v>3.7800000000000004E-5</v>
      </c>
      <c r="BJ317">
        <v>3.78</v>
      </c>
      <c r="BK317" s="140">
        <f t="shared" si="154"/>
        <v>3.7799999999999992E-7</v>
      </c>
      <c r="BL317" s="140">
        <f t="shared" si="155"/>
        <v>7.5599999999999994E-7</v>
      </c>
      <c r="BM317" s="140">
        <f t="shared" si="156"/>
        <v>1.1340000000000001E-6</v>
      </c>
      <c r="BN317" s="140">
        <f t="shared" si="157"/>
        <v>1.5120000000000001E-6</v>
      </c>
      <c r="BO317" s="140">
        <f t="shared" si="158"/>
        <v>1.8900000000000003E-6</v>
      </c>
      <c r="BP317" s="157">
        <f>IF(BI317&lt;$B$105*DATA!$H$1037,DATA!$H$1037,IF(BI317&gt;DATA!$H$1036*$B$105,DATA!$H$1036,1))</f>
        <v>1.2</v>
      </c>
      <c r="BQ317" s="156">
        <f t="shared" si="159"/>
        <v>9.9999999999999995E-8</v>
      </c>
    </row>
    <row r="318" spans="1:69">
      <c r="A318" s="140">
        <f t="shared" si="112"/>
        <v>4.7800000000000003E-5</v>
      </c>
      <c r="B318">
        <v>4.78</v>
      </c>
      <c r="C318" s="140">
        <f t="shared" si="161"/>
        <v>4.7799999999999991E-7</v>
      </c>
      <c r="D318" s="140">
        <f t="shared" si="161"/>
        <v>9.5599999999999983E-7</v>
      </c>
      <c r="E318" s="140">
        <f t="shared" si="161"/>
        <v>1.4339999999999999E-6</v>
      </c>
      <c r="F318" s="140">
        <f t="shared" si="161"/>
        <v>1.9120000000000001E-6</v>
      </c>
      <c r="G318" s="140">
        <f t="shared" si="161"/>
        <v>2.3900000000000004E-6</v>
      </c>
      <c r="H318" s="124">
        <f t="shared" si="113"/>
        <v>0.8</v>
      </c>
      <c r="I318" s="156">
        <f t="shared" si="114"/>
        <v>9.9999999999999995E-8</v>
      </c>
      <c r="K318" s="140">
        <f t="shared" si="115"/>
        <v>4.7800000000000003E-5</v>
      </c>
      <c r="L318">
        <v>4.78</v>
      </c>
      <c r="M318" s="140">
        <f t="shared" si="116"/>
        <v>4.7799999999999991E-7</v>
      </c>
      <c r="N318" s="140">
        <f t="shared" si="117"/>
        <v>9.5599999999999983E-7</v>
      </c>
      <c r="O318" s="140">
        <f t="shared" si="118"/>
        <v>1.4339999999999999E-6</v>
      </c>
      <c r="P318" s="140">
        <f t="shared" si="111"/>
        <v>1.9120000000000001E-6</v>
      </c>
      <c r="Q318" s="140">
        <f t="shared" si="119"/>
        <v>2.3900000000000004E-6</v>
      </c>
      <c r="R318" s="157">
        <f t="shared" si="120"/>
        <v>0.8</v>
      </c>
      <c r="S318" s="156">
        <f t="shared" si="121"/>
        <v>9.9999999999999995E-8</v>
      </c>
      <c r="U318" s="140">
        <f t="shared" si="122"/>
        <v>4.7800000000000003E-5</v>
      </c>
      <c r="V318">
        <v>4.78</v>
      </c>
      <c r="W318" s="140">
        <f t="shared" si="123"/>
        <v>4.7799999999999991E-7</v>
      </c>
      <c r="X318" s="140">
        <f t="shared" si="124"/>
        <v>9.5599999999999983E-7</v>
      </c>
      <c r="Y318" s="140">
        <f t="shared" si="125"/>
        <v>1.4339999999999999E-6</v>
      </c>
      <c r="Z318" s="140">
        <f t="shared" si="126"/>
        <v>1.9120000000000001E-6</v>
      </c>
      <c r="AA318" s="140">
        <f t="shared" si="127"/>
        <v>2.3900000000000004E-6</v>
      </c>
      <c r="AB318" s="157">
        <f t="shared" si="128"/>
        <v>0.8</v>
      </c>
      <c r="AC318" s="156">
        <f t="shared" si="129"/>
        <v>9.9999999999999995E-8</v>
      </c>
      <c r="AE318" s="140">
        <f t="shared" si="130"/>
        <v>4.7800000000000003E-5</v>
      </c>
      <c r="AF318">
        <v>4.78</v>
      </c>
      <c r="AG318" s="140">
        <f t="shared" si="131"/>
        <v>4.7799999999999991E-7</v>
      </c>
      <c r="AH318" s="140">
        <f t="shared" si="132"/>
        <v>9.5599999999999983E-7</v>
      </c>
      <c r="AI318" s="140">
        <f t="shared" si="133"/>
        <v>1.4339999999999999E-6</v>
      </c>
      <c r="AJ318" s="140">
        <f t="shared" si="134"/>
        <v>1.9120000000000001E-6</v>
      </c>
      <c r="AK318" s="140">
        <f t="shared" si="135"/>
        <v>2.3900000000000004E-6</v>
      </c>
      <c r="AL318" s="157">
        <f t="shared" si="136"/>
        <v>1.2</v>
      </c>
      <c r="AM318" s="156">
        <f t="shared" si="137"/>
        <v>9.9999999999999995E-8</v>
      </c>
      <c r="AO318" s="140">
        <f t="shared" si="138"/>
        <v>4.7800000000000003E-5</v>
      </c>
      <c r="AP318">
        <v>4.78</v>
      </c>
      <c r="AQ318" s="140">
        <f t="shared" si="139"/>
        <v>4.7799999999999991E-7</v>
      </c>
      <c r="AR318" s="140">
        <f t="shared" si="140"/>
        <v>9.5599999999999983E-7</v>
      </c>
      <c r="AS318" s="140">
        <f t="shared" si="141"/>
        <v>1.4339999999999999E-6</v>
      </c>
      <c r="AT318" s="140">
        <f t="shared" si="142"/>
        <v>1.9120000000000001E-6</v>
      </c>
      <c r="AU318" s="140">
        <f t="shared" si="143"/>
        <v>2.3900000000000004E-6</v>
      </c>
      <c r="AV318" s="157">
        <f t="shared" si="144"/>
        <v>1.2</v>
      </c>
      <c r="AW318" s="156">
        <f t="shared" si="145"/>
        <v>9.9999999999999995E-8</v>
      </c>
      <c r="AY318" s="140">
        <f t="shared" si="146"/>
        <v>4.7800000000000003E-5</v>
      </c>
      <c r="AZ318">
        <v>4.78</v>
      </c>
      <c r="BA318" s="140">
        <f t="shared" si="147"/>
        <v>4.7799999999999991E-7</v>
      </c>
      <c r="BB318" s="140">
        <f t="shared" si="148"/>
        <v>9.5599999999999983E-7</v>
      </c>
      <c r="BC318" s="140">
        <f t="shared" si="149"/>
        <v>1.4339999999999999E-6</v>
      </c>
      <c r="BD318" s="140">
        <f t="shared" si="150"/>
        <v>1.9120000000000001E-6</v>
      </c>
      <c r="BE318" s="140">
        <f t="shared" si="151"/>
        <v>2.3900000000000004E-6</v>
      </c>
      <c r="BF318" s="157">
        <f>IF(AY318&lt;$B$89*DATA!$H$1037,DATA!$H$1037,IF(AY318&gt;DATA!$H$1036*$B$89,DATA!$H$1036,1))</f>
        <v>1.2</v>
      </c>
      <c r="BG318" s="156">
        <f t="shared" si="152"/>
        <v>9.9999999999999995E-8</v>
      </c>
      <c r="BI318" s="140">
        <f t="shared" si="153"/>
        <v>4.7800000000000003E-5</v>
      </c>
      <c r="BJ318">
        <v>4.78</v>
      </c>
      <c r="BK318" s="140">
        <f t="shared" si="154"/>
        <v>4.7799999999999991E-7</v>
      </c>
      <c r="BL318" s="140">
        <f t="shared" si="155"/>
        <v>9.5599999999999983E-7</v>
      </c>
      <c r="BM318" s="140">
        <f t="shared" si="156"/>
        <v>1.4339999999999999E-6</v>
      </c>
      <c r="BN318" s="140">
        <f t="shared" si="157"/>
        <v>1.9120000000000001E-6</v>
      </c>
      <c r="BO318" s="140">
        <f t="shared" si="158"/>
        <v>2.3900000000000004E-6</v>
      </c>
      <c r="BP318" s="157">
        <f>IF(BI318&lt;$B$105*DATA!$H$1037,DATA!$H$1037,IF(BI318&gt;DATA!$H$1036*$B$105,DATA!$H$1036,1))</f>
        <v>1.2</v>
      </c>
      <c r="BQ318" s="156">
        <f t="shared" si="159"/>
        <v>9.9999999999999995E-8</v>
      </c>
    </row>
  </sheetData>
  <sheetProtection password="CAB3" sheet="1" objects="1" scenarios="1"/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Day" error="Must be a number between 1 and 31 " sqref="D7" xr:uid="{00000000-0002-0000-2A00-000000000000}">
      <formula1>0</formula1>
      <formula2>31</formula2>
    </dataValidation>
    <dataValidation type="whole" allowBlank="1" showInputMessage="1" showErrorMessage="1" errorTitle="Month" error="Must be a number between 1 and 12" sqref="E7" xr:uid="{00000000-0002-0000-2A00-000001000000}">
      <formula1>0</formula1>
      <formula2>12</formula2>
    </dataValidation>
    <dataValidation type="whole" allowBlank="1" showInputMessage="1" showErrorMessage="1" errorTitle="Year " error="Year must contain both century and decade (eg. 2010)" sqref="F7" xr:uid="{00000000-0002-0000-2A00-000002000000}">
      <formula1>0</formula1>
      <formula2>9999</formula2>
    </dataValidation>
  </dataValidations>
  <pageMargins left="0.35" right="0.45" top="0.33" bottom="0.32" header="0.2" footer="0.17"/>
  <pageSetup paperSize="9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13">
    <tabColor rgb="FF7030A0"/>
    <pageSetUpPr fitToPage="1"/>
  </sheetPr>
  <dimension ref="A1:BQ318"/>
  <sheetViews>
    <sheetView workbookViewId="0"/>
  </sheetViews>
  <sheetFormatPr defaultRowHeight="15"/>
  <cols>
    <col min="1" max="1" width="24" bestFit="1" customWidth="1"/>
    <col min="2" max="2" width="19" bestFit="1" customWidth="1"/>
    <col min="3" max="6" width="6.7109375" customWidth="1"/>
    <col min="7" max="7" width="16" customWidth="1"/>
    <col min="9" max="9" width="15.7109375" bestFit="1" customWidth="1"/>
    <col min="10" max="10" width="14" bestFit="1" customWidth="1"/>
    <col min="11" max="12" width="16" bestFit="1" customWidth="1"/>
    <col min="13" max="16" width="15" bestFit="1" customWidth="1"/>
    <col min="17" max="17" width="18.140625" bestFit="1" customWidth="1"/>
    <col min="18" max="18" width="7.85546875" bestFit="1" customWidth="1"/>
    <col min="19" max="19" width="17" customWidth="1"/>
    <col min="21" max="21" width="17.42578125" bestFit="1" customWidth="1"/>
    <col min="22" max="22" width="16" bestFit="1" customWidth="1"/>
    <col min="23" max="24" width="15" bestFit="1" customWidth="1"/>
    <col min="25" max="25" width="17.42578125" bestFit="1" customWidth="1"/>
    <col min="26" max="26" width="16" bestFit="1" customWidth="1"/>
    <col min="27" max="27" width="18.14062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4062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40625" bestFit="1" customWidth="1"/>
    <col min="48" max="48" width="7.85546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4062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40625" bestFit="1" customWidth="1"/>
    <col min="69" max="69" width="15" bestFit="1" customWidth="1"/>
  </cols>
  <sheetData>
    <row r="1" spans="1:10" ht="15" customHeight="1">
      <c r="A1" s="263" t="str">
        <f>DATA!$C$1004</f>
        <v>NRA.N.011-050-2012/1F</v>
      </c>
      <c r="C1" s="1612" t="str">
        <f>DATA!$C$1005</f>
        <v>CONSULTING ENGINEERING SERVICES FOR THE PRELIMINARY DESIGN REVIEW,DETAIL DESIGN, CONTRACT DOCUMENTATION AND CONSTRUCTION MONITORING OF THE ERMELO RING ROAD</v>
      </c>
      <c r="D1" s="1612"/>
      <c r="E1" s="1612"/>
      <c r="F1" s="1612"/>
      <c r="G1" s="1612"/>
      <c r="H1" s="1612"/>
      <c r="I1" s="1612"/>
      <c r="J1" s="1612"/>
    </row>
    <row r="2" spans="1:10">
      <c r="C2" s="1612"/>
      <c r="D2" s="1612"/>
      <c r="E2" s="1612"/>
      <c r="F2" s="1612"/>
      <c r="G2" s="1612"/>
      <c r="H2" s="1612"/>
      <c r="I2" s="1612"/>
      <c r="J2" s="1612"/>
    </row>
    <row r="3" spans="1:10">
      <c r="A3" s="232" t="str">
        <f>'All Hours'!$D$1</f>
        <v>PLEASE INSERT TENDERER NAME ON INPUT DATA SHEET</v>
      </c>
    </row>
    <row r="4" spans="1:10">
      <c r="A4" s="1" t="s">
        <v>223</v>
      </c>
      <c r="B4" t="s">
        <v>197</v>
      </c>
    </row>
    <row r="6" spans="1:10">
      <c r="D6" s="124" t="s">
        <v>171</v>
      </c>
      <c r="E6" s="124" t="s">
        <v>172</v>
      </c>
      <c r="F6" s="124" t="s">
        <v>173</v>
      </c>
      <c r="G6" s="162"/>
      <c r="I6" s="133" t="s">
        <v>174</v>
      </c>
    </row>
    <row r="7" spans="1:10">
      <c r="C7" s="124" t="s">
        <v>175</v>
      </c>
      <c r="D7" s="909"/>
      <c r="E7" s="909"/>
      <c r="F7" s="909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177</v>
      </c>
      <c r="B9" s="152">
        <f>DATA!$J$1010</f>
        <v>4500000000</v>
      </c>
      <c r="C9" s="140"/>
      <c r="D9" s="140"/>
      <c r="E9" s="140"/>
      <c r="F9" s="140"/>
      <c r="G9" s="140"/>
    </row>
    <row r="10" spans="1:10">
      <c r="A10" s="124" t="s">
        <v>178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0">
      <c r="A11" s="124" t="s">
        <v>807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180</v>
      </c>
      <c r="B12" s="908"/>
    </row>
    <row r="13" spans="1:10">
      <c r="A13" s="124" t="s">
        <v>181</v>
      </c>
      <c r="B13" s="124">
        <f>IF(B12&lt;B9*0.8,0.8,IF(B12&gt;1.2*B9,1.2,1))</f>
        <v>0.8</v>
      </c>
      <c r="C13" s="134"/>
      <c r="D13" s="134"/>
      <c r="E13" s="134"/>
      <c r="F13" s="134"/>
      <c r="G13" s="134"/>
    </row>
    <row r="14" spans="1:10">
      <c r="A14" s="124" t="s">
        <v>804</v>
      </c>
      <c r="B14" s="881">
        <f>IF(OR(B10=0,B9=0),0,B9*(0.261-0.023*LOG10(B9))/B10)</f>
        <v>0</v>
      </c>
    </row>
    <row r="15" spans="1:10">
      <c r="A15" s="124" t="s">
        <v>182</v>
      </c>
      <c r="B15" s="158">
        <f>IF(B12="",0,IF(B13=1,B10,B12*((B10*B14/(B13*B9)+0.023*LOG10(B13*B9/B12)))/B14))</f>
        <v>0</v>
      </c>
    </row>
    <row r="16" spans="1:10">
      <c r="A16" s="124" t="s">
        <v>808</v>
      </c>
      <c r="B16" s="153">
        <f>IF(B12="",0,B15/B12)</f>
        <v>0</v>
      </c>
      <c r="D16" s="159"/>
      <c r="E16" s="159"/>
      <c r="F16" s="159"/>
      <c r="G16" s="159"/>
      <c r="H16" s="140"/>
      <c r="I16" s="140"/>
      <c r="J16" s="122"/>
    </row>
    <row r="17" spans="1:10">
      <c r="B17" s="140"/>
    </row>
    <row r="18" spans="1:10">
      <c r="B18" s="140"/>
    </row>
    <row r="19" spans="1:10">
      <c r="A19" s="129" t="s">
        <v>183</v>
      </c>
      <c r="C19" s="140"/>
      <c r="F19" s="140"/>
      <c r="G19" s="140"/>
    </row>
    <row r="20" spans="1:10">
      <c r="A20" s="1613"/>
      <c r="B20" s="1614"/>
    </row>
    <row r="21" spans="1:10">
      <c r="A21" s="1615"/>
      <c r="B21" s="1616"/>
    </row>
    <row r="22" spans="1:10">
      <c r="A22" s="1617"/>
      <c r="B22" s="1618"/>
    </row>
    <row r="24" spans="1:10">
      <c r="A24" s="1" t="str">
        <f>'ADJ-1'!A24</f>
        <v>Structures</v>
      </c>
    </row>
    <row r="25" spans="1:10">
      <c r="A25" s="124" t="s">
        <v>177</v>
      </c>
      <c r="B25" s="152">
        <f>DATA!$J$1011</f>
        <v>300000000</v>
      </c>
    </row>
    <row r="26" spans="1:10">
      <c r="A26" s="124" t="s">
        <v>178</v>
      </c>
      <c r="B26" s="152">
        <f>'SUMMARY TENDERED FEE'!$C$18</f>
        <v>0</v>
      </c>
    </row>
    <row r="27" spans="1:10">
      <c r="A27" s="124" t="s">
        <v>807</v>
      </c>
      <c r="B27" s="166">
        <f>'SUMMARY TENDERED FEE'!$D$18</f>
        <v>0</v>
      </c>
    </row>
    <row r="28" spans="1:10">
      <c r="A28" s="124" t="s">
        <v>180</v>
      </c>
      <c r="B28" s="908"/>
    </row>
    <row r="29" spans="1:10">
      <c r="A29" s="124" t="s">
        <v>181</v>
      </c>
      <c r="B29" s="124">
        <f>IF(B28&lt;B25*0.8,0.8,IF(B28&gt;1.2*B25,1.2,1))</f>
        <v>0.8</v>
      </c>
    </row>
    <row r="30" spans="1:10">
      <c r="A30" s="124" t="s">
        <v>804</v>
      </c>
      <c r="B30" s="881">
        <f>IF(OR(B26=0,B25=0),0,B25*(0.261-0.023*LOG10(B25))/B26)</f>
        <v>0</v>
      </c>
      <c r="J30" s="156"/>
    </row>
    <row r="31" spans="1:10">
      <c r="A31" s="124" t="s">
        <v>182</v>
      </c>
      <c r="B31" s="158">
        <f>IF(B28="",0,IF(B29=1,B26,B28*((B26*B30/(B29*B25)+0.023*LOG10(B29*B25/B28)))/B30))</f>
        <v>0</v>
      </c>
    </row>
    <row r="32" spans="1:10">
      <c r="A32" s="124" t="s">
        <v>808</v>
      </c>
      <c r="B32" s="153">
        <f>IF(B28="",0,B31/B28)</f>
        <v>0</v>
      </c>
    </row>
    <row r="33" spans="1:2">
      <c r="B33" s="140"/>
    </row>
    <row r="34" spans="1:2">
      <c r="B34" s="140"/>
    </row>
    <row r="35" spans="1:2">
      <c r="A35" s="129" t="s">
        <v>183</v>
      </c>
      <c r="B35" s="126"/>
    </row>
    <row r="36" spans="1:2">
      <c r="A36" s="1613"/>
      <c r="B36" s="1614"/>
    </row>
    <row r="37" spans="1:2">
      <c r="A37" s="1615"/>
      <c r="B37" s="1616"/>
    </row>
    <row r="38" spans="1:2">
      <c r="A38" s="1617"/>
      <c r="B38" s="1618"/>
    </row>
    <row r="40" spans="1:2">
      <c r="A40" s="1" t="str">
        <f>'ADJ-1'!A40</f>
        <v>Electrical</v>
      </c>
    </row>
    <row r="41" spans="1:2">
      <c r="A41" s="124" t="s">
        <v>177</v>
      </c>
      <c r="B41" s="152">
        <f>DATA!$J$1012</f>
        <v>100000000</v>
      </c>
    </row>
    <row r="42" spans="1:2">
      <c r="A42" s="124" t="s">
        <v>178</v>
      </c>
      <c r="B42" s="152">
        <f>'SUMMARY TENDERED FEE'!$C$19</f>
        <v>0</v>
      </c>
    </row>
    <row r="43" spans="1:2">
      <c r="A43" s="124" t="s">
        <v>807</v>
      </c>
      <c r="B43" s="166">
        <f>'SUMMARY TENDERED FEE'!$D$19</f>
        <v>0</v>
      </c>
    </row>
    <row r="44" spans="1:2">
      <c r="A44" s="124" t="s">
        <v>180</v>
      </c>
      <c r="B44" s="908"/>
    </row>
    <row r="45" spans="1:2">
      <c r="A45" s="124" t="s">
        <v>181</v>
      </c>
      <c r="B45" s="124">
        <f>IF(B44&lt;B41*0.8,0.8,IF(B44&gt;1.2*B41,1.2,1))</f>
        <v>0.8</v>
      </c>
    </row>
    <row r="46" spans="1:2">
      <c r="A46" s="124" t="s">
        <v>804</v>
      </c>
      <c r="B46" s="881">
        <f>IF(OR(B42=0,B41=0),0,B41*(0.261-0.023*LOG10(B41))/B42)</f>
        <v>0</v>
      </c>
    </row>
    <row r="47" spans="1:2">
      <c r="A47" s="124" t="s">
        <v>182</v>
      </c>
      <c r="B47" s="158">
        <f>IF(B44="",0,IF(B45=1,B42,B44*((B42*B46/(B45*B41)+0.023*LOG10(B45*B41/B44)))/B46))</f>
        <v>0</v>
      </c>
    </row>
    <row r="48" spans="1:2">
      <c r="A48" s="124" t="s">
        <v>808</v>
      </c>
      <c r="B48" s="153">
        <f>IF(B44="",0,B47/B44)</f>
        <v>0</v>
      </c>
    </row>
    <row r="49" spans="1:2">
      <c r="B49" s="140"/>
    </row>
    <row r="50" spans="1:2">
      <c r="B50" s="140"/>
    </row>
    <row r="51" spans="1:2">
      <c r="A51" s="129" t="s">
        <v>183</v>
      </c>
      <c r="B51" s="126"/>
    </row>
    <row r="52" spans="1:2">
      <c r="A52" s="1613"/>
      <c r="B52" s="1614"/>
    </row>
    <row r="53" spans="1:2">
      <c r="A53" s="1615"/>
      <c r="B53" s="1616"/>
    </row>
    <row r="54" spans="1:2">
      <c r="A54" s="1617"/>
      <c r="B54" s="1618"/>
    </row>
    <row r="56" spans="1:2">
      <c r="A56" s="1" t="str">
        <f>'ADJ-1'!A56</f>
        <v xml:space="preserve">Building </v>
      </c>
    </row>
    <row r="57" spans="1:2">
      <c r="A57" s="124" t="s">
        <v>177</v>
      </c>
      <c r="B57" s="152">
        <f>DATA!$J$1013</f>
        <v>0</v>
      </c>
    </row>
    <row r="58" spans="1:2">
      <c r="A58" s="124" t="s">
        <v>178</v>
      </c>
      <c r="B58" s="152">
        <f>'SUMMARY TENDERED FEE'!$C$20</f>
        <v>0</v>
      </c>
    </row>
    <row r="59" spans="1:2">
      <c r="A59" s="124" t="s">
        <v>807</v>
      </c>
      <c r="B59" s="166">
        <f>'SUMMARY TENDERED FEE'!$D$20</f>
        <v>0</v>
      </c>
    </row>
    <row r="60" spans="1:2">
      <c r="A60" s="124" t="s">
        <v>180</v>
      </c>
      <c r="B60" s="908"/>
    </row>
    <row r="61" spans="1:2">
      <c r="A61" s="124" t="s">
        <v>181</v>
      </c>
      <c r="B61" s="124">
        <f>IF(B60&lt;B57*0.8,0.8,IF(B60&gt;1.2*B57,1.2,1))</f>
        <v>1</v>
      </c>
    </row>
    <row r="62" spans="1:2">
      <c r="A62" s="124" t="s">
        <v>804</v>
      </c>
      <c r="B62" s="881">
        <f>IF(OR(B58=0,B57=0),0,B57*(0.261-0.023*LOG10(B57))/B58)</f>
        <v>0</v>
      </c>
    </row>
    <row r="63" spans="1:2">
      <c r="A63" s="124" t="s">
        <v>182</v>
      </c>
      <c r="B63" s="158">
        <f>IF(B60="",0,IF(B61=1,B58,B60*((B58*B62/(B61*B57)+0.023*LOG10(B61*B57/B60)))/B62))</f>
        <v>0</v>
      </c>
    </row>
    <row r="64" spans="1:2">
      <c r="A64" s="124" t="s">
        <v>808</v>
      </c>
      <c r="B64" s="153">
        <f>IF(B60="",0,B63/B60)</f>
        <v>0</v>
      </c>
    </row>
    <row r="65" spans="1:2">
      <c r="B65" s="140"/>
    </row>
    <row r="66" spans="1:2">
      <c r="B66" s="140"/>
    </row>
    <row r="67" spans="1:2">
      <c r="A67" s="129" t="s">
        <v>183</v>
      </c>
      <c r="B67" s="126"/>
    </row>
    <row r="68" spans="1:2">
      <c r="A68" s="1619"/>
      <c r="B68" s="1620"/>
    </row>
    <row r="69" spans="1:2">
      <c r="A69" s="1621"/>
      <c r="B69" s="1622"/>
    </row>
    <row r="70" spans="1:2">
      <c r="A70" s="1623"/>
      <c r="B70" s="1624"/>
    </row>
    <row r="71" spans="1:2">
      <c r="A71" s="163"/>
      <c r="B71" s="163"/>
    </row>
    <row r="72" spans="1:2">
      <c r="A72" s="1" t="str">
        <f>'ADJ-1'!A72</f>
        <v>Mechanical</v>
      </c>
    </row>
    <row r="73" spans="1:2">
      <c r="A73" s="124" t="s">
        <v>177</v>
      </c>
      <c r="B73" s="152">
        <f>DATA!$J$1014</f>
        <v>0</v>
      </c>
    </row>
    <row r="74" spans="1:2">
      <c r="A74" s="124" t="s">
        <v>178</v>
      </c>
      <c r="B74" s="152">
        <f>'SUMMARY TENDERED FEE'!$C$21</f>
        <v>0</v>
      </c>
    </row>
    <row r="75" spans="1:2">
      <c r="A75" s="124" t="s">
        <v>807</v>
      </c>
      <c r="B75" s="166">
        <f>'SUMMARY TENDERED FEE'!$D$21</f>
        <v>0</v>
      </c>
    </row>
    <row r="76" spans="1:2">
      <c r="A76" s="124" t="s">
        <v>180</v>
      </c>
      <c r="B76" s="908"/>
    </row>
    <row r="77" spans="1:2">
      <c r="A77" s="124" t="s">
        <v>181</v>
      </c>
      <c r="B77" s="124">
        <f>IF(B76&lt;B73*0.8,0.8,IF(B76&gt;1.2*B73,1.2,1))</f>
        <v>1</v>
      </c>
    </row>
    <row r="78" spans="1:2">
      <c r="A78" s="124" t="s">
        <v>804</v>
      </c>
      <c r="B78" s="881">
        <f>IF(OR(B74=0,B73=0),0,B73*(0.261-0.023*LOG10(B73))/B74)</f>
        <v>0</v>
      </c>
    </row>
    <row r="79" spans="1:2">
      <c r="A79" s="124" t="s">
        <v>182</v>
      </c>
      <c r="B79" s="158">
        <f>IF(B76="",0,IF(B77=1,B74,B76*((B74*B78/(B77*B73)+0.023*LOG10(B77*B73/B76)))/B78))</f>
        <v>0</v>
      </c>
    </row>
    <row r="80" spans="1:2">
      <c r="A80" s="124" t="s">
        <v>808</v>
      </c>
      <c r="B80" s="153">
        <f>IF(B76="",0,B79/B76)</f>
        <v>0</v>
      </c>
    </row>
    <row r="81" spans="1:2">
      <c r="B81" s="140"/>
    </row>
    <row r="82" spans="1:2">
      <c r="B82" s="140"/>
    </row>
    <row r="83" spans="1:2">
      <c r="A83" s="129" t="s">
        <v>183</v>
      </c>
      <c r="B83" s="126"/>
    </row>
    <row r="84" spans="1:2">
      <c r="A84" s="1613"/>
      <c r="B84" s="1614"/>
    </row>
    <row r="85" spans="1:2">
      <c r="A85" s="1615"/>
      <c r="B85" s="1616"/>
    </row>
    <row r="86" spans="1:2">
      <c r="A86" s="1617"/>
      <c r="B86" s="1618"/>
    </row>
    <row r="88" spans="1:2">
      <c r="A88" s="1" t="str">
        <f>'ADJ-1'!A88</f>
        <v>Electronic</v>
      </c>
    </row>
    <row r="89" spans="1:2">
      <c r="A89" s="124" t="s">
        <v>177</v>
      </c>
      <c r="B89" s="152">
        <f>DATA!$J$1015</f>
        <v>0</v>
      </c>
    </row>
    <row r="90" spans="1:2">
      <c r="A90" s="124" t="s">
        <v>178</v>
      </c>
      <c r="B90" s="152">
        <f>'SUMMARY TENDERED FEE'!$C$22</f>
        <v>0</v>
      </c>
    </row>
    <row r="91" spans="1:2">
      <c r="A91" s="124" t="s">
        <v>807</v>
      </c>
      <c r="B91" s="166">
        <f>'SUMMARY TENDERED FEE'!$D$22</f>
        <v>0</v>
      </c>
    </row>
    <row r="92" spans="1:2">
      <c r="A92" s="124" t="s">
        <v>180</v>
      </c>
      <c r="B92" s="908"/>
    </row>
    <row r="93" spans="1:2">
      <c r="A93" s="124" t="s">
        <v>181</v>
      </c>
      <c r="B93" s="124">
        <f>IF(B92&lt;B89*0.8,0.8,IF(B92&gt;1.2*B89,1.2,1))</f>
        <v>1</v>
      </c>
    </row>
    <row r="94" spans="1:2">
      <c r="A94" s="124" t="s">
        <v>804</v>
      </c>
      <c r="B94" s="881">
        <f>IF(OR(B90=0,B89=0),0,B89*(0.261-0.023*LOG10(B89))/B90)</f>
        <v>0</v>
      </c>
    </row>
    <row r="95" spans="1:2">
      <c r="A95" s="124" t="s">
        <v>182</v>
      </c>
      <c r="B95" s="158">
        <f>IF(B92="",0,IF(B93=1,B90,B92*((B90*B94/(B93*B89)+0.023*LOG10(B93*B89/B92)))/B94))</f>
        <v>0</v>
      </c>
    </row>
    <row r="96" spans="1:2">
      <c r="A96" s="124" t="s">
        <v>808</v>
      </c>
      <c r="B96" s="153">
        <f>IF(B92="",0,B95/B92)</f>
        <v>0</v>
      </c>
    </row>
    <row r="97" spans="1:2">
      <c r="B97" s="140"/>
    </row>
    <row r="98" spans="1:2">
      <c r="B98" s="140"/>
    </row>
    <row r="99" spans="1:2">
      <c r="A99" s="129" t="s">
        <v>183</v>
      </c>
      <c r="B99" s="126"/>
    </row>
    <row r="100" spans="1:2">
      <c r="A100" s="1613"/>
      <c r="B100" s="1614"/>
    </row>
    <row r="101" spans="1:2">
      <c r="A101" s="1615"/>
      <c r="B101" s="1616"/>
    </row>
    <row r="102" spans="1:2">
      <c r="A102" s="1617"/>
      <c r="B102" s="1618"/>
    </row>
    <row r="104" spans="1:2">
      <c r="A104" s="1" t="str">
        <f>'ADJ-1'!A104</f>
        <v>Other:</v>
      </c>
    </row>
    <row r="105" spans="1:2">
      <c r="A105" s="124" t="s">
        <v>177</v>
      </c>
      <c r="B105" s="152">
        <f>DATA!$J$1016</f>
        <v>0</v>
      </c>
    </row>
    <row r="106" spans="1:2">
      <c r="A106" s="124" t="s">
        <v>178</v>
      </c>
      <c r="B106" s="152">
        <f>'SUMMARY TENDERED FEE'!$C$23</f>
        <v>0</v>
      </c>
    </row>
    <row r="107" spans="1:2">
      <c r="A107" s="124" t="s">
        <v>807</v>
      </c>
      <c r="B107" s="166">
        <f>'SUMMARY TENDERED FEE'!$D$23</f>
        <v>0</v>
      </c>
    </row>
    <row r="108" spans="1:2">
      <c r="A108" s="124" t="s">
        <v>180</v>
      </c>
      <c r="B108" s="908"/>
    </row>
    <row r="109" spans="1:2">
      <c r="A109" s="124" t="s">
        <v>181</v>
      </c>
      <c r="B109" s="124">
        <f>IF(B108&lt;B105*0.8,0.8,IF(B108&gt;1.2*B105,1.2,1))</f>
        <v>1</v>
      </c>
    </row>
    <row r="110" spans="1:2">
      <c r="A110" s="124" t="s">
        <v>804</v>
      </c>
      <c r="B110" s="881">
        <f>IF(OR(B106=0,B105=0),0,B105*(0.261-0.023*LOG10(B105))/B106)</f>
        <v>0</v>
      </c>
    </row>
    <row r="111" spans="1:2">
      <c r="A111" s="124" t="s">
        <v>182</v>
      </c>
      <c r="B111" s="158">
        <f>IF(B108="",0,IF(B109=1,B106,B108*((B106*B110/(B109*B105)+0.023*LOG10(B109*B105/B108)))/B110))</f>
        <v>0</v>
      </c>
    </row>
    <row r="112" spans="1:2">
      <c r="A112" s="124" t="s">
        <v>808</v>
      </c>
      <c r="B112" s="153">
        <f>IF(B108="",0,B111/B108)</f>
        <v>0</v>
      </c>
    </row>
    <row r="113" spans="1:68">
      <c r="B113" s="140"/>
    </row>
    <row r="114" spans="1:68">
      <c r="B114" s="140"/>
    </row>
    <row r="115" spans="1:68">
      <c r="A115" s="129" t="s">
        <v>183</v>
      </c>
      <c r="B115" s="126"/>
    </row>
    <row r="116" spans="1:68">
      <c r="A116" s="1613"/>
      <c r="B116" s="1614"/>
    </row>
    <row r="117" spans="1:68">
      <c r="A117" s="1615"/>
      <c r="B117" s="1616"/>
    </row>
    <row r="118" spans="1:68">
      <c r="A118" s="1617"/>
      <c r="B118" s="1618"/>
    </row>
    <row r="124" spans="1:68">
      <c r="H124" s="140"/>
      <c r="R124" s="140"/>
      <c r="AL124" s="140"/>
      <c r="AV124" s="140"/>
      <c r="BF124" s="140"/>
      <c r="BP124" s="140"/>
    </row>
    <row r="125" spans="1:68">
      <c r="H125" s="140"/>
      <c r="R125" s="140"/>
      <c r="AB125" s="140"/>
      <c r="AL125" s="140"/>
      <c r="AV125" s="140"/>
      <c r="BF125" s="140"/>
      <c r="BP125" s="140"/>
    </row>
    <row r="126" spans="1:68">
      <c r="AB126" s="140"/>
    </row>
    <row r="127" spans="1:68">
      <c r="G127" s="122"/>
      <c r="H127" s="131"/>
      <c r="Q127" s="122"/>
      <c r="R127" s="131"/>
      <c r="AK127" s="122"/>
      <c r="AL127" s="131"/>
      <c r="AU127" s="122"/>
      <c r="AV127" s="131"/>
      <c r="BE127" s="122"/>
      <c r="BF127" s="131"/>
      <c r="BO127" s="122"/>
      <c r="BP127" s="131"/>
    </row>
    <row r="128" spans="1:68">
      <c r="H128" s="131"/>
      <c r="R128" s="131"/>
      <c r="AA128" s="122"/>
      <c r="AB128" s="131"/>
      <c r="AL128" s="131"/>
      <c r="AV128" s="131"/>
      <c r="BF128" s="131"/>
      <c r="BP128" s="131"/>
    </row>
    <row r="129" spans="1:69">
      <c r="AB129" s="131"/>
    </row>
    <row r="133" spans="1:69">
      <c r="A133" t="s">
        <v>177</v>
      </c>
      <c r="B133" s="140">
        <f>B9</f>
        <v>4500000000</v>
      </c>
      <c r="K133" t="s">
        <v>177</v>
      </c>
      <c r="L133" s="140">
        <f>B25</f>
        <v>300000000</v>
      </c>
      <c r="U133" t="s">
        <v>177</v>
      </c>
      <c r="V133" s="140">
        <f>B41</f>
        <v>100000000</v>
      </c>
      <c r="AE133" t="s">
        <v>177</v>
      </c>
      <c r="AF133" s="140">
        <f>B57</f>
        <v>0</v>
      </c>
      <c r="AO133" t="s">
        <v>177</v>
      </c>
      <c r="AP133" s="140">
        <f>B73</f>
        <v>0</v>
      </c>
      <c r="AY133" t="s">
        <v>177</v>
      </c>
      <c r="AZ133" s="140">
        <f>B89</f>
        <v>0</v>
      </c>
      <c r="BI133" t="s">
        <v>177</v>
      </c>
      <c r="BJ133" s="140">
        <f>B105</f>
        <v>0</v>
      </c>
    </row>
    <row r="134" spans="1:69">
      <c r="A134" t="s">
        <v>805</v>
      </c>
      <c r="B134" s="140">
        <f>B10</f>
        <v>0</v>
      </c>
      <c r="K134" t="s">
        <v>805</v>
      </c>
      <c r="L134" s="140">
        <f>B26</f>
        <v>0</v>
      </c>
      <c r="U134" t="s">
        <v>805</v>
      </c>
      <c r="V134" s="140">
        <f>B42</f>
        <v>0</v>
      </c>
      <c r="AA134" s="140"/>
      <c r="AE134" t="s">
        <v>805</v>
      </c>
      <c r="AF134" s="140">
        <f>B58</f>
        <v>0</v>
      </c>
      <c r="AL134" s="140"/>
      <c r="AO134" t="s">
        <v>805</v>
      </c>
      <c r="AP134" s="140">
        <f t="shared" ref="AP134:AP138" si="0">B74</f>
        <v>0</v>
      </c>
      <c r="AV134" s="140"/>
      <c r="AY134" t="s">
        <v>805</v>
      </c>
      <c r="AZ134" s="140">
        <f t="shared" ref="AZ134:AZ138" si="1">B90</f>
        <v>0</v>
      </c>
      <c r="BF134" s="140"/>
      <c r="BI134" t="s">
        <v>805</v>
      </c>
      <c r="BJ134" s="140">
        <f t="shared" ref="BJ134:BJ137" si="2">B106</f>
        <v>0</v>
      </c>
    </row>
    <row r="135" spans="1:69">
      <c r="A135" t="s">
        <v>806</v>
      </c>
      <c r="B135" s="154">
        <f>B11</f>
        <v>0</v>
      </c>
      <c r="K135" t="s">
        <v>806</v>
      </c>
      <c r="L135" s="140">
        <f>B27</f>
        <v>0</v>
      </c>
      <c r="Q135" s="140"/>
      <c r="U135" t="s">
        <v>806</v>
      </c>
      <c r="V135" s="140">
        <f>B43</f>
        <v>0</v>
      </c>
      <c r="AA135" s="140"/>
      <c r="AE135" t="s">
        <v>806</v>
      </c>
      <c r="AF135" s="140">
        <f>B59</f>
        <v>0</v>
      </c>
      <c r="AL135" s="140"/>
      <c r="AO135" t="s">
        <v>806</v>
      </c>
      <c r="AP135" s="140">
        <f t="shared" si="0"/>
        <v>0</v>
      </c>
      <c r="AV135" s="140"/>
      <c r="AY135" t="s">
        <v>806</v>
      </c>
      <c r="AZ135" s="140">
        <f t="shared" si="1"/>
        <v>0</v>
      </c>
      <c r="BF135" s="140"/>
      <c r="BI135" t="s">
        <v>806</v>
      </c>
      <c r="BJ135" s="140">
        <f t="shared" si="2"/>
        <v>0</v>
      </c>
      <c r="BP135" s="140"/>
    </row>
    <row r="136" spans="1:69">
      <c r="A136" t="s">
        <v>185</v>
      </c>
      <c r="B136" s="140">
        <f>IF(B12=0,0.00001,B12)</f>
        <v>1.0000000000000001E-5</v>
      </c>
      <c r="K136" t="s">
        <v>185</v>
      </c>
      <c r="L136" s="140">
        <f>IF(B28=0,0.00001,B28)</f>
        <v>1.0000000000000001E-5</v>
      </c>
      <c r="Q136" s="140"/>
      <c r="U136" t="s">
        <v>185</v>
      </c>
      <c r="V136" s="140">
        <f>IF(B44=0,0.00001,B44)</f>
        <v>1.0000000000000001E-5</v>
      </c>
      <c r="AA136" s="140"/>
      <c r="AE136" t="s">
        <v>185</v>
      </c>
      <c r="AF136" s="140">
        <f>IF(B60=0,0.00001,B60)</f>
        <v>1.0000000000000001E-5</v>
      </c>
      <c r="AL136" s="140"/>
      <c r="AO136" t="s">
        <v>185</v>
      </c>
      <c r="AP136" s="140">
        <f>IF(B76=0,0.00001,B76)</f>
        <v>1.0000000000000001E-5</v>
      </c>
      <c r="AV136" s="140"/>
      <c r="AY136" t="s">
        <v>185</v>
      </c>
      <c r="AZ136" s="140">
        <f>IF(B92=0,0.00001,B92)</f>
        <v>1.0000000000000001E-5</v>
      </c>
      <c r="BF136" s="140"/>
      <c r="BI136" t="s">
        <v>185</v>
      </c>
      <c r="BJ136" s="140">
        <f>IF(B108=0,0.00001,B108)</f>
        <v>1.0000000000000001E-5</v>
      </c>
      <c r="BP136" s="140"/>
    </row>
    <row r="137" spans="1:69">
      <c r="A137" t="s">
        <v>181</v>
      </c>
      <c r="B137">
        <f>B13</f>
        <v>0.8</v>
      </c>
      <c r="K137" t="s">
        <v>181</v>
      </c>
      <c r="L137" s="140">
        <f>B29</f>
        <v>0.8</v>
      </c>
      <c r="Q137" s="140"/>
      <c r="U137" t="s">
        <v>181</v>
      </c>
      <c r="V137" s="140">
        <f>B45</f>
        <v>0.8</v>
      </c>
      <c r="AE137" t="s">
        <v>181</v>
      </c>
      <c r="AF137" s="140">
        <f>B61</f>
        <v>1</v>
      </c>
      <c r="AO137" t="s">
        <v>181</v>
      </c>
      <c r="AP137" s="140">
        <f t="shared" si="0"/>
        <v>1</v>
      </c>
      <c r="AY137" t="s">
        <v>181</v>
      </c>
      <c r="AZ137" s="140">
        <f t="shared" si="1"/>
        <v>1</v>
      </c>
      <c r="BI137" t="s">
        <v>181</v>
      </c>
      <c r="BJ137" s="140">
        <f t="shared" si="2"/>
        <v>1</v>
      </c>
      <c r="BP137" s="140"/>
    </row>
    <row r="138" spans="1:69">
      <c r="A138" t="s">
        <v>804</v>
      </c>
      <c r="B138" s="745">
        <f>B14</f>
        <v>0</v>
      </c>
      <c r="K138" t="s">
        <v>804</v>
      </c>
      <c r="L138" s="140">
        <f>B30</f>
        <v>0</v>
      </c>
      <c r="U138" t="s">
        <v>804</v>
      </c>
      <c r="V138" s="140">
        <f>B46</f>
        <v>0</v>
      </c>
      <c r="AE138" t="s">
        <v>804</v>
      </c>
      <c r="AF138" s="140">
        <f>B62</f>
        <v>0</v>
      </c>
      <c r="AO138" t="s">
        <v>804</v>
      </c>
      <c r="AP138" s="140">
        <f t="shared" si="0"/>
        <v>0</v>
      </c>
      <c r="AY138" t="s">
        <v>804</v>
      </c>
      <c r="AZ138" s="140">
        <f t="shared" si="1"/>
        <v>0</v>
      </c>
      <c r="BI138" t="s">
        <v>804</v>
      </c>
      <c r="BJ138" s="140">
        <f>B110</f>
        <v>0</v>
      </c>
    </row>
    <row r="139" spans="1:69">
      <c r="A139" t="s">
        <v>184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184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184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184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184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184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184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185</v>
      </c>
      <c r="B142" s="132" t="s">
        <v>186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181</v>
      </c>
      <c r="I142" s="132" t="s">
        <v>187</v>
      </c>
      <c r="K142" s="132" t="s">
        <v>185</v>
      </c>
      <c r="L142" s="132" t="s">
        <v>186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181</v>
      </c>
      <c r="S142" s="132" t="s">
        <v>187</v>
      </c>
      <c r="U142" s="132" t="s">
        <v>185</v>
      </c>
      <c r="V142" s="132" t="s">
        <v>186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181</v>
      </c>
      <c r="AC142" s="132" t="s">
        <v>187</v>
      </c>
      <c r="AE142" s="132" t="s">
        <v>185</v>
      </c>
      <c r="AF142" s="132" t="s">
        <v>186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181</v>
      </c>
      <c r="AM142" s="132" t="s">
        <v>187</v>
      </c>
      <c r="AO142" s="132" t="s">
        <v>185</v>
      </c>
      <c r="AP142" s="132" t="s">
        <v>186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181</v>
      </c>
      <c r="AW142" s="132" t="s">
        <v>187</v>
      </c>
      <c r="AY142" s="132" t="s">
        <v>185</v>
      </c>
      <c r="AZ142" s="132" t="s">
        <v>186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181</v>
      </c>
      <c r="BG142" s="132" t="s">
        <v>187</v>
      </c>
      <c r="BI142" s="132" t="s">
        <v>185</v>
      </c>
      <c r="BJ142" s="132" t="s">
        <v>186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181</v>
      </c>
      <c r="BQ142" s="132" t="s">
        <v>187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43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0.8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0.8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4">B144*B$136</f>
        <v>3.2000000000000003E-6</v>
      </c>
      <c r="B144">
        <v>0.32</v>
      </c>
      <c r="C144" s="140">
        <f t="shared" ref="C144:G158" si="5">C$142*$A144</f>
        <v>3.1999999999999995E-8</v>
      </c>
      <c r="D144" s="140">
        <f t="shared" si="5"/>
        <v>6.3999999999999991E-8</v>
      </c>
      <c r="E144" s="140">
        <f t="shared" si="5"/>
        <v>9.5999999999999999E-8</v>
      </c>
      <c r="F144" s="140">
        <f t="shared" si="5"/>
        <v>1.2800000000000001E-7</v>
      </c>
      <c r="G144" s="140">
        <f t="shared" si="5"/>
        <v>1.6000000000000003E-7</v>
      </c>
      <c r="H144" s="124">
        <f t="shared" ref="H144:H207" si="6">IF(A144&lt;$B$9*0.8,0.8,IF(A144&gt;1.2*$B$9,1.2,1))</f>
        <v>0.8</v>
      </c>
      <c r="I144" s="156">
        <f t="shared" ref="I144:I207" si="7">IF(OR(B$134=0,B$133=0),0.0000001,IF(H144=1,B$134,A144*((B$134*B$138)/(H144*B$133)+0.023*LOG10(H144*B$133/A144))/B$138))</f>
        <v>9.9999999999999995E-8</v>
      </c>
      <c r="K144" s="140">
        <f t="shared" ref="K144:K207" si="8">L144*L$136</f>
        <v>3.2000000000000003E-6</v>
      </c>
      <c r="L144">
        <v>0.32</v>
      </c>
      <c r="M144" s="140">
        <f t="shared" ref="M144:M207" si="9">M$142*K144</f>
        <v>3.1999999999999995E-8</v>
      </c>
      <c r="N144" s="140">
        <f t="shared" ref="N144:N207" si="10">N$142*K144</f>
        <v>6.3999999999999991E-8</v>
      </c>
      <c r="O144" s="140">
        <f t="shared" ref="O144:O207" si="11">O$142*K144</f>
        <v>9.5999999999999999E-8</v>
      </c>
      <c r="P144" s="140">
        <f t="shared" ref="P144:P206" si="12">P$142*$K144</f>
        <v>1.2800000000000001E-7</v>
      </c>
      <c r="Q144" s="140">
        <f t="shared" ref="Q144:Q207" si="13">Q$142*K144</f>
        <v>1.6000000000000003E-7</v>
      </c>
      <c r="R144" s="157">
        <f t="shared" ref="R144:R207" si="14">IF(K144&lt;$B$25*0.8,0.8,IF(K144&gt;1.2*$B$25,1.2,1))</f>
        <v>0.8</v>
      </c>
      <c r="S144" s="156">
        <f t="shared" ref="S144:S207" si="15">IF(OR(L$134=0,L$133=0),0.0000001,IF(R144=1,L$134,K144*((L$134*L$138)/(R144*L$133)+0.023*LOG10(R144*L$133/K144))/L$138))</f>
        <v>9.9999999999999995E-8</v>
      </c>
      <c r="U144" s="140">
        <f t="shared" ref="U144:U207" si="16">V144*V$136</f>
        <v>3.2000000000000003E-6</v>
      </c>
      <c r="V144">
        <v>0.32</v>
      </c>
      <c r="W144" s="140">
        <f t="shared" ref="W144:W207" si="17">W$142*U144</f>
        <v>3.1999999999999995E-8</v>
      </c>
      <c r="X144" s="140">
        <f t="shared" ref="X144:X207" si="18">X$142*U144</f>
        <v>6.3999999999999991E-8</v>
      </c>
      <c r="Y144" s="140">
        <f t="shared" ref="Y144:Y207" si="19">Y$142*U144</f>
        <v>9.5999999999999999E-8</v>
      </c>
      <c r="Z144" s="140">
        <f t="shared" ref="Z144:Z207" si="20">Z$142*U144</f>
        <v>1.2800000000000001E-7</v>
      </c>
      <c r="AA144" s="140">
        <f t="shared" ref="AA144:AA207" si="21">AA$142*U144</f>
        <v>1.6000000000000003E-7</v>
      </c>
      <c r="AB144" s="157">
        <f t="shared" ref="AB144:AB207" si="22">IF(U144&lt;$B$41*0.8,0.8,IF(U144&gt;1.2*$B$41,1.2,1))</f>
        <v>0.8</v>
      </c>
      <c r="AC144" s="156">
        <f t="shared" ref="AC144:AC207" si="23">IF(OR(V$134=0,V$133=0),0.0000001,IF(AB144=1,V$134,U144*((V$134*V$138)/(AB144*V$133)+0.023*LOG10(AB144*V$133/U144))/V$138))</f>
        <v>9.9999999999999995E-8</v>
      </c>
      <c r="AE144" s="140">
        <f t="shared" ref="AE144:AE207" si="24">AF144*AF$136</f>
        <v>3.2000000000000003E-6</v>
      </c>
      <c r="AF144">
        <v>0.32</v>
      </c>
      <c r="AG144" s="140">
        <f t="shared" ref="AG144:AG207" si="25">AG$142*AE144</f>
        <v>3.1999999999999995E-8</v>
      </c>
      <c r="AH144" s="140">
        <f t="shared" ref="AH144:AH207" si="26">AH$142*AE144</f>
        <v>6.3999999999999991E-8</v>
      </c>
      <c r="AI144" s="140">
        <f t="shared" ref="AI144:AI207" si="27">AI$142*AE144</f>
        <v>9.5999999999999999E-8</v>
      </c>
      <c r="AJ144" s="140">
        <f t="shared" ref="AJ144:AJ207" si="28">AJ$142*AE144</f>
        <v>1.2800000000000001E-7</v>
      </c>
      <c r="AK144" s="140">
        <f t="shared" ref="AK144:AK207" si="29">AK$142*AE144</f>
        <v>1.6000000000000003E-7</v>
      </c>
      <c r="AL144" s="157">
        <f t="shared" ref="AL144:AL207" si="30">IF(AE144&lt;$B$57*0.8,0.8,IF(AE144&gt;1.2*$B$57,1.2,1))</f>
        <v>1.2</v>
      </c>
      <c r="AM144" s="156">
        <f t="shared" ref="AM144:AM207" si="31">IF(OR(AF$134=0,AF$133=0),0.0000001,IF(AL144=1,AF$134,AE144*((AF$134*AF$138)/(AL144*AF$133)+0.023*LOG10(AL144*AF$133/AE144))/AF$138))</f>
        <v>9.9999999999999995E-8</v>
      </c>
      <c r="AO144" s="140">
        <f t="shared" ref="AO144:AO207" si="32">AP144*AP$136</f>
        <v>3.2000000000000003E-6</v>
      </c>
      <c r="AP144">
        <v>0.32</v>
      </c>
      <c r="AQ144" s="140">
        <f t="shared" ref="AQ144:AQ207" si="33">AQ$142*AO144</f>
        <v>3.1999999999999995E-8</v>
      </c>
      <c r="AR144" s="140">
        <f t="shared" ref="AR144:AR207" si="34">AR$142*AO144</f>
        <v>6.3999999999999991E-8</v>
      </c>
      <c r="AS144" s="140">
        <f t="shared" ref="AS144:AS207" si="35">AS$142*AO144</f>
        <v>9.5999999999999999E-8</v>
      </c>
      <c r="AT144" s="140">
        <f t="shared" ref="AT144:AT207" si="36">AT$142*AO144</f>
        <v>1.2800000000000001E-7</v>
      </c>
      <c r="AU144" s="140">
        <f t="shared" ref="AU144:AU207" si="37">AU$142*AO144</f>
        <v>1.6000000000000003E-7</v>
      </c>
      <c r="AV144" s="157">
        <f t="shared" ref="AV144:AV207" si="38">IF(AO144&lt;$B$73*0.8,0.8,IF(AO144&gt;1.2*$B$73,1.2,1))</f>
        <v>1.2</v>
      </c>
      <c r="AW144" s="156">
        <f t="shared" ref="AW144:AW207" si="39">IF(OR(AP$134=0,AP$133=0),0.0000001,IF(AV144=1,AP$134,AO144*((AP$134*AP$138)/(AV144*AP$133)+0.023*LOG10(AV144*AP$133/AO144))/AP$138))</f>
        <v>9.9999999999999995E-8</v>
      </c>
      <c r="AY144" s="140">
        <f t="shared" ref="AY144:AY207" si="40">AZ144*AZ$136</f>
        <v>3.2000000000000003E-6</v>
      </c>
      <c r="AZ144">
        <v>0.32</v>
      </c>
      <c r="BA144" s="140">
        <f t="shared" ref="BA144:BA207" si="41">BA$142*AY144</f>
        <v>3.1999999999999995E-8</v>
      </c>
      <c r="BB144" s="140">
        <f t="shared" ref="BB144:BB207" si="42">BB$142*AY144</f>
        <v>6.3999999999999991E-8</v>
      </c>
      <c r="BC144" s="140">
        <f t="shared" ref="BC144:BC207" si="43">BC$142*AY144</f>
        <v>9.5999999999999999E-8</v>
      </c>
      <c r="BD144" s="140">
        <f t="shared" ref="BD144:BD207" si="44">BD$142*AY144</f>
        <v>1.2800000000000001E-7</v>
      </c>
      <c r="BE144" s="140">
        <f t="shared" ref="BE144:BE207" si="45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6">IF(OR(AZ$134=0,AZ$133=0),0.0000001,IF(BF144=1,AZ$134,AY144*((AZ$134*AZ$138)/(BF144*AZ$133)+0.023*LOG10(BF144*AZ$133/AY144))/AZ$138))</f>
        <v>9.9999999999999995E-8</v>
      </c>
      <c r="BI144" s="140">
        <f t="shared" ref="BI144:BI207" si="47">BJ144*BJ$136</f>
        <v>3.2000000000000003E-6</v>
      </c>
      <c r="BJ144">
        <v>0.32</v>
      </c>
      <c r="BK144" s="140">
        <f t="shared" ref="BK144:BK207" si="48">BK$142*BI144</f>
        <v>3.1999999999999995E-8</v>
      </c>
      <c r="BL144" s="140">
        <f t="shared" ref="BL144:BL207" si="49">BL$142*BI144</f>
        <v>6.3999999999999991E-8</v>
      </c>
      <c r="BM144" s="140">
        <f t="shared" ref="BM144:BM207" si="50">BM$142*BI144</f>
        <v>9.5999999999999999E-8</v>
      </c>
      <c r="BN144" s="140">
        <f t="shared" ref="BN144:BN207" si="51">BN$142*BI144</f>
        <v>1.2800000000000001E-7</v>
      </c>
      <c r="BO144" s="140">
        <f t="shared" ref="BO144:BO207" si="52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53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5"/>
        <v>6.8E-8</v>
      </c>
      <c r="E145" s="140">
        <f t="shared" si="5"/>
        <v>1.0200000000000001E-7</v>
      </c>
      <c r="F145" s="140">
        <f t="shared" si="5"/>
        <v>1.3600000000000003E-7</v>
      </c>
      <c r="G145" s="140">
        <f t="shared" si="5"/>
        <v>1.7000000000000004E-7</v>
      </c>
      <c r="H145" s="124">
        <f t="shared" si="6"/>
        <v>0.8</v>
      </c>
      <c r="I145" s="156">
        <f t="shared" si="7"/>
        <v>9.9999999999999995E-8</v>
      </c>
      <c r="K145" s="140">
        <f t="shared" si="8"/>
        <v>3.4000000000000005E-6</v>
      </c>
      <c r="L145">
        <v>0.34</v>
      </c>
      <c r="M145" s="140">
        <f t="shared" si="9"/>
        <v>3.3999999999999993E-8</v>
      </c>
      <c r="N145" s="140">
        <f t="shared" si="10"/>
        <v>6.8E-8</v>
      </c>
      <c r="O145" s="140">
        <f t="shared" si="11"/>
        <v>1.0200000000000001E-7</v>
      </c>
      <c r="P145" s="140">
        <f t="shared" si="12"/>
        <v>1.3600000000000003E-7</v>
      </c>
      <c r="Q145" s="140">
        <f t="shared" si="13"/>
        <v>1.7000000000000004E-7</v>
      </c>
      <c r="R145" s="157">
        <f t="shared" si="14"/>
        <v>0.8</v>
      </c>
      <c r="S145" s="156">
        <f t="shared" si="15"/>
        <v>9.9999999999999995E-8</v>
      </c>
      <c r="U145" s="140">
        <f t="shared" si="16"/>
        <v>3.4000000000000005E-6</v>
      </c>
      <c r="V145">
        <v>0.34</v>
      </c>
      <c r="W145" s="140">
        <f t="shared" si="17"/>
        <v>3.3999999999999993E-8</v>
      </c>
      <c r="X145" s="140">
        <f t="shared" si="18"/>
        <v>6.8E-8</v>
      </c>
      <c r="Y145" s="140">
        <f t="shared" si="19"/>
        <v>1.0200000000000001E-7</v>
      </c>
      <c r="Z145" s="140">
        <f t="shared" si="20"/>
        <v>1.3600000000000003E-7</v>
      </c>
      <c r="AA145" s="140">
        <f t="shared" si="21"/>
        <v>1.7000000000000004E-7</v>
      </c>
      <c r="AB145" s="157">
        <f t="shared" si="22"/>
        <v>0.8</v>
      </c>
      <c r="AC145" s="156">
        <f t="shared" si="23"/>
        <v>9.9999999999999995E-8</v>
      </c>
      <c r="AE145" s="140">
        <f t="shared" si="24"/>
        <v>3.4000000000000005E-6</v>
      </c>
      <c r="AF145">
        <v>0.34</v>
      </c>
      <c r="AG145" s="140">
        <f t="shared" si="25"/>
        <v>3.3999999999999993E-8</v>
      </c>
      <c r="AH145" s="140">
        <f t="shared" si="26"/>
        <v>6.8E-8</v>
      </c>
      <c r="AI145" s="140">
        <f t="shared" si="27"/>
        <v>1.0200000000000001E-7</v>
      </c>
      <c r="AJ145" s="140">
        <f t="shared" si="28"/>
        <v>1.3600000000000003E-7</v>
      </c>
      <c r="AK145" s="140">
        <f t="shared" si="29"/>
        <v>1.7000000000000004E-7</v>
      </c>
      <c r="AL145" s="157">
        <f t="shared" si="30"/>
        <v>1.2</v>
      </c>
      <c r="AM145" s="156">
        <f t="shared" si="31"/>
        <v>9.9999999999999995E-8</v>
      </c>
      <c r="AO145" s="140">
        <f t="shared" si="32"/>
        <v>3.4000000000000005E-6</v>
      </c>
      <c r="AP145">
        <v>0.34</v>
      </c>
      <c r="AQ145" s="140">
        <f t="shared" si="33"/>
        <v>3.3999999999999993E-8</v>
      </c>
      <c r="AR145" s="140">
        <f t="shared" si="34"/>
        <v>6.8E-8</v>
      </c>
      <c r="AS145" s="140">
        <f t="shared" si="35"/>
        <v>1.0200000000000001E-7</v>
      </c>
      <c r="AT145" s="140">
        <f t="shared" si="36"/>
        <v>1.3600000000000003E-7</v>
      </c>
      <c r="AU145" s="140">
        <f t="shared" si="37"/>
        <v>1.7000000000000004E-7</v>
      </c>
      <c r="AV145" s="157">
        <f t="shared" si="38"/>
        <v>1.2</v>
      </c>
      <c r="AW145" s="156">
        <f t="shared" si="39"/>
        <v>9.9999999999999995E-8</v>
      </c>
      <c r="AY145" s="140">
        <f t="shared" si="40"/>
        <v>3.4000000000000005E-6</v>
      </c>
      <c r="AZ145">
        <v>0.34</v>
      </c>
      <c r="BA145" s="140">
        <f t="shared" si="41"/>
        <v>3.3999999999999993E-8</v>
      </c>
      <c r="BB145" s="140">
        <f t="shared" si="42"/>
        <v>6.8E-8</v>
      </c>
      <c r="BC145" s="140">
        <f t="shared" si="43"/>
        <v>1.0200000000000001E-7</v>
      </c>
      <c r="BD145" s="140">
        <f t="shared" si="44"/>
        <v>1.3600000000000003E-7</v>
      </c>
      <c r="BE145" s="140">
        <f t="shared" si="45"/>
        <v>1.7000000000000004E-7</v>
      </c>
      <c r="BF145" s="157">
        <f>IF(AY145&lt;$B$89*DATA!$H$1037,DATA!$H$1037,IF(AY145&gt;DATA!$H$1036*$B$89,DATA!$H$1036,1))</f>
        <v>1.2</v>
      </c>
      <c r="BG145" s="156">
        <f t="shared" si="46"/>
        <v>9.9999999999999995E-8</v>
      </c>
      <c r="BI145" s="140">
        <f t="shared" si="47"/>
        <v>3.4000000000000005E-6</v>
      </c>
      <c r="BJ145">
        <v>0.34</v>
      </c>
      <c r="BK145" s="140">
        <f t="shared" si="48"/>
        <v>3.3999999999999993E-8</v>
      </c>
      <c r="BL145" s="140">
        <f t="shared" si="49"/>
        <v>6.8E-8</v>
      </c>
      <c r="BM145" s="140">
        <f t="shared" si="50"/>
        <v>1.0200000000000001E-7</v>
      </c>
      <c r="BN145" s="140">
        <f t="shared" si="51"/>
        <v>1.3600000000000003E-7</v>
      </c>
      <c r="BO145" s="140">
        <f t="shared" si="52"/>
        <v>1.7000000000000004E-7</v>
      </c>
      <c r="BP145" s="157">
        <f>IF(BI145&lt;$B$105*DATA!$H$1037,DATA!$H$1037,IF(BI145&gt;DATA!$H$1036*$B$105,DATA!$H$1036,1))</f>
        <v>1.2</v>
      </c>
      <c r="BQ145" s="156">
        <f t="shared" si="53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5"/>
        <v>7.1999999999999996E-8</v>
      </c>
      <c r="E146" s="140">
        <f t="shared" si="5"/>
        <v>1.08E-7</v>
      </c>
      <c r="F146" s="140">
        <f t="shared" si="5"/>
        <v>1.4400000000000002E-7</v>
      </c>
      <c r="G146" s="140">
        <f t="shared" si="5"/>
        <v>1.8000000000000002E-7</v>
      </c>
      <c r="H146" s="124">
        <f t="shared" si="6"/>
        <v>0.8</v>
      </c>
      <c r="I146" s="156">
        <f t="shared" si="7"/>
        <v>9.9999999999999995E-8</v>
      </c>
      <c r="K146" s="140">
        <f t="shared" si="8"/>
        <v>3.6000000000000003E-6</v>
      </c>
      <c r="L146">
        <v>0.36</v>
      </c>
      <c r="M146" s="140">
        <f t="shared" si="9"/>
        <v>3.5999999999999991E-8</v>
      </c>
      <c r="N146" s="140">
        <f t="shared" si="10"/>
        <v>7.1999999999999996E-8</v>
      </c>
      <c r="O146" s="140">
        <f t="shared" si="11"/>
        <v>1.08E-7</v>
      </c>
      <c r="P146" s="140">
        <f t="shared" si="12"/>
        <v>1.4400000000000002E-7</v>
      </c>
      <c r="Q146" s="140">
        <f t="shared" si="13"/>
        <v>1.8000000000000002E-7</v>
      </c>
      <c r="R146" s="157">
        <f t="shared" si="14"/>
        <v>0.8</v>
      </c>
      <c r="S146" s="156">
        <f t="shared" si="15"/>
        <v>9.9999999999999995E-8</v>
      </c>
      <c r="U146" s="140">
        <f t="shared" si="16"/>
        <v>3.6000000000000003E-6</v>
      </c>
      <c r="V146">
        <v>0.36</v>
      </c>
      <c r="W146" s="140">
        <f t="shared" si="17"/>
        <v>3.5999999999999991E-8</v>
      </c>
      <c r="X146" s="140">
        <f t="shared" si="18"/>
        <v>7.1999999999999996E-8</v>
      </c>
      <c r="Y146" s="140">
        <f t="shared" si="19"/>
        <v>1.08E-7</v>
      </c>
      <c r="Z146" s="140">
        <f t="shared" si="20"/>
        <v>1.4400000000000002E-7</v>
      </c>
      <c r="AA146" s="140">
        <f t="shared" si="21"/>
        <v>1.8000000000000002E-7</v>
      </c>
      <c r="AB146" s="157">
        <f t="shared" si="22"/>
        <v>0.8</v>
      </c>
      <c r="AC146" s="156">
        <f t="shared" si="23"/>
        <v>9.9999999999999995E-8</v>
      </c>
      <c r="AE146" s="140">
        <f t="shared" si="24"/>
        <v>3.6000000000000003E-6</v>
      </c>
      <c r="AF146">
        <v>0.36</v>
      </c>
      <c r="AG146" s="140">
        <f t="shared" si="25"/>
        <v>3.5999999999999991E-8</v>
      </c>
      <c r="AH146" s="140">
        <f t="shared" si="26"/>
        <v>7.1999999999999996E-8</v>
      </c>
      <c r="AI146" s="140">
        <f t="shared" si="27"/>
        <v>1.08E-7</v>
      </c>
      <c r="AJ146" s="140">
        <f t="shared" si="28"/>
        <v>1.4400000000000002E-7</v>
      </c>
      <c r="AK146" s="140">
        <f t="shared" si="29"/>
        <v>1.8000000000000002E-7</v>
      </c>
      <c r="AL146" s="157">
        <f t="shared" si="30"/>
        <v>1.2</v>
      </c>
      <c r="AM146" s="156">
        <f t="shared" si="31"/>
        <v>9.9999999999999995E-8</v>
      </c>
      <c r="AO146" s="140">
        <f t="shared" si="32"/>
        <v>3.6000000000000003E-6</v>
      </c>
      <c r="AP146">
        <v>0.36</v>
      </c>
      <c r="AQ146" s="140">
        <f t="shared" si="33"/>
        <v>3.5999999999999991E-8</v>
      </c>
      <c r="AR146" s="140">
        <f t="shared" si="34"/>
        <v>7.1999999999999996E-8</v>
      </c>
      <c r="AS146" s="140">
        <f t="shared" si="35"/>
        <v>1.08E-7</v>
      </c>
      <c r="AT146" s="140">
        <f t="shared" si="36"/>
        <v>1.4400000000000002E-7</v>
      </c>
      <c r="AU146" s="140">
        <f t="shared" si="37"/>
        <v>1.8000000000000002E-7</v>
      </c>
      <c r="AV146" s="157">
        <f t="shared" si="38"/>
        <v>1.2</v>
      </c>
      <c r="AW146" s="156">
        <f t="shared" si="39"/>
        <v>9.9999999999999995E-8</v>
      </c>
      <c r="AY146" s="140">
        <f t="shared" si="40"/>
        <v>3.6000000000000003E-6</v>
      </c>
      <c r="AZ146">
        <v>0.36</v>
      </c>
      <c r="BA146" s="140">
        <f t="shared" si="41"/>
        <v>3.5999999999999991E-8</v>
      </c>
      <c r="BB146" s="140">
        <f t="shared" si="42"/>
        <v>7.1999999999999996E-8</v>
      </c>
      <c r="BC146" s="140">
        <f t="shared" si="43"/>
        <v>1.08E-7</v>
      </c>
      <c r="BD146" s="140">
        <f t="shared" si="44"/>
        <v>1.4400000000000002E-7</v>
      </c>
      <c r="BE146" s="140">
        <f t="shared" si="45"/>
        <v>1.8000000000000002E-7</v>
      </c>
      <c r="BF146" s="157">
        <f>IF(AY146&lt;$B$89*DATA!$H$1037,DATA!$H$1037,IF(AY146&gt;DATA!$H$1036*$B$89,DATA!$H$1036,1))</f>
        <v>1.2</v>
      </c>
      <c r="BG146" s="156">
        <f t="shared" si="46"/>
        <v>9.9999999999999995E-8</v>
      </c>
      <c r="BI146" s="140">
        <f t="shared" si="47"/>
        <v>3.6000000000000003E-6</v>
      </c>
      <c r="BJ146">
        <v>0.36</v>
      </c>
      <c r="BK146" s="140">
        <f t="shared" si="48"/>
        <v>3.5999999999999991E-8</v>
      </c>
      <c r="BL146" s="140">
        <f t="shared" si="49"/>
        <v>7.1999999999999996E-8</v>
      </c>
      <c r="BM146" s="140">
        <f t="shared" si="50"/>
        <v>1.08E-7</v>
      </c>
      <c r="BN146" s="140">
        <f t="shared" si="51"/>
        <v>1.4400000000000002E-7</v>
      </c>
      <c r="BO146" s="140">
        <f t="shared" si="52"/>
        <v>1.8000000000000002E-7</v>
      </c>
      <c r="BP146" s="157">
        <f>IF(BI146&lt;$B$105*DATA!$H$1037,DATA!$H$1037,IF(BI146&gt;DATA!$H$1036*$B$105,DATA!$H$1036,1))</f>
        <v>1.2</v>
      </c>
      <c r="BQ146" s="156">
        <f t="shared" si="53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5"/>
        <v>7.5999999999999992E-8</v>
      </c>
      <c r="E147" s="140">
        <f t="shared" si="5"/>
        <v>1.1400000000000001E-7</v>
      </c>
      <c r="F147" s="140">
        <f t="shared" si="5"/>
        <v>1.5200000000000001E-7</v>
      </c>
      <c r="G147" s="140">
        <f t="shared" si="5"/>
        <v>1.9000000000000003E-7</v>
      </c>
      <c r="H147" s="124">
        <f t="shared" si="6"/>
        <v>0.8</v>
      </c>
      <c r="I147" s="156">
        <f t="shared" si="7"/>
        <v>9.9999999999999995E-8</v>
      </c>
      <c r="K147" s="140">
        <f t="shared" si="8"/>
        <v>3.8000000000000005E-6</v>
      </c>
      <c r="L147">
        <v>0.38</v>
      </c>
      <c r="M147" s="140">
        <f t="shared" si="9"/>
        <v>3.799999999999999E-8</v>
      </c>
      <c r="N147" s="140">
        <f t="shared" si="10"/>
        <v>7.5999999999999992E-8</v>
      </c>
      <c r="O147" s="140">
        <f t="shared" si="11"/>
        <v>1.1400000000000001E-7</v>
      </c>
      <c r="P147" s="140">
        <f t="shared" si="12"/>
        <v>1.5200000000000001E-7</v>
      </c>
      <c r="Q147" s="140">
        <f t="shared" si="13"/>
        <v>1.9000000000000003E-7</v>
      </c>
      <c r="R147" s="157">
        <f t="shared" si="14"/>
        <v>0.8</v>
      </c>
      <c r="S147" s="156">
        <f t="shared" si="15"/>
        <v>9.9999999999999995E-8</v>
      </c>
      <c r="U147" s="140">
        <f t="shared" si="16"/>
        <v>3.8000000000000005E-6</v>
      </c>
      <c r="V147">
        <v>0.38</v>
      </c>
      <c r="W147" s="140">
        <f t="shared" si="17"/>
        <v>3.799999999999999E-8</v>
      </c>
      <c r="X147" s="140">
        <f t="shared" si="18"/>
        <v>7.5999999999999992E-8</v>
      </c>
      <c r="Y147" s="140">
        <f t="shared" si="19"/>
        <v>1.1400000000000001E-7</v>
      </c>
      <c r="Z147" s="140">
        <f t="shared" si="20"/>
        <v>1.5200000000000001E-7</v>
      </c>
      <c r="AA147" s="140">
        <f t="shared" si="21"/>
        <v>1.9000000000000003E-7</v>
      </c>
      <c r="AB147" s="157">
        <f t="shared" si="22"/>
        <v>0.8</v>
      </c>
      <c r="AC147" s="156">
        <f t="shared" si="23"/>
        <v>9.9999999999999995E-8</v>
      </c>
      <c r="AE147" s="140">
        <f t="shared" si="24"/>
        <v>3.8000000000000005E-6</v>
      </c>
      <c r="AF147">
        <v>0.38</v>
      </c>
      <c r="AG147" s="140">
        <f t="shared" si="25"/>
        <v>3.799999999999999E-8</v>
      </c>
      <c r="AH147" s="140">
        <f t="shared" si="26"/>
        <v>7.5999999999999992E-8</v>
      </c>
      <c r="AI147" s="140">
        <f t="shared" si="27"/>
        <v>1.1400000000000001E-7</v>
      </c>
      <c r="AJ147" s="140">
        <f t="shared" si="28"/>
        <v>1.5200000000000001E-7</v>
      </c>
      <c r="AK147" s="140">
        <f t="shared" si="29"/>
        <v>1.9000000000000003E-7</v>
      </c>
      <c r="AL147" s="157">
        <f t="shared" si="30"/>
        <v>1.2</v>
      </c>
      <c r="AM147" s="156">
        <f t="shared" si="31"/>
        <v>9.9999999999999995E-8</v>
      </c>
      <c r="AO147" s="140">
        <f t="shared" si="32"/>
        <v>3.8000000000000005E-6</v>
      </c>
      <c r="AP147">
        <v>0.38</v>
      </c>
      <c r="AQ147" s="140">
        <f t="shared" si="33"/>
        <v>3.799999999999999E-8</v>
      </c>
      <c r="AR147" s="140">
        <f t="shared" si="34"/>
        <v>7.5999999999999992E-8</v>
      </c>
      <c r="AS147" s="140">
        <f t="shared" si="35"/>
        <v>1.1400000000000001E-7</v>
      </c>
      <c r="AT147" s="140">
        <f t="shared" si="36"/>
        <v>1.5200000000000001E-7</v>
      </c>
      <c r="AU147" s="140">
        <f t="shared" si="37"/>
        <v>1.9000000000000003E-7</v>
      </c>
      <c r="AV147" s="157">
        <f t="shared" si="38"/>
        <v>1.2</v>
      </c>
      <c r="AW147" s="156">
        <f t="shared" si="39"/>
        <v>9.9999999999999995E-8</v>
      </c>
      <c r="AY147" s="140">
        <f t="shared" si="40"/>
        <v>3.8000000000000005E-6</v>
      </c>
      <c r="AZ147">
        <v>0.38</v>
      </c>
      <c r="BA147" s="140">
        <f t="shared" si="41"/>
        <v>3.799999999999999E-8</v>
      </c>
      <c r="BB147" s="140">
        <f t="shared" si="42"/>
        <v>7.5999999999999992E-8</v>
      </c>
      <c r="BC147" s="140">
        <f t="shared" si="43"/>
        <v>1.1400000000000001E-7</v>
      </c>
      <c r="BD147" s="140">
        <f t="shared" si="44"/>
        <v>1.5200000000000001E-7</v>
      </c>
      <c r="BE147" s="140">
        <f t="shared" si="45"/>
        <v>1.9000000000000003E-7</v>
      </c>
      <c r="BF147" s="157">
        <f>IF(AY147&lt;$B$89*DATA!$H$1037,DATA!$H$1037,IF(AY147&gt;DATA!$H$1036*$B$89,DATA!$H$1036,1))</f>
        <v>1.2</v>
      </c>
      <c r="BG147" s="156">
        <f t="shared" si="46"/>
        <v>9.9999999999999995E-8</v>
      </c>
      <c r="BI147" s="140">
        <f t="shared" si="47"/>
        <v>3.8000000000000005E-6</v>
      </c>
      <c r="BJ147">
        <v>0.38</v>
      </c>
      <c r="BK147" s="140">
        <f t="shared" si="48"/>
        <v>3.799999999999999E-8</v>
      </c>
      <c r="BL147" s="140">
        <f t="shared" si="49"/>
        <v>7.5999999999999992E-8</v>
      </c>
      <c r="BM147" s="140">
        <f t="shared" si="50"/>
        <v>1.1400000000000001E-7</v>
      </c>
      <c r="BN147" s="140">
        <f t="shared" si="51"/>
        <v>1.5200000000000001E-7</v>
      </c>
      <c r="BO147" s="140">
        <f t="shared" si="52"/>
        <v>1.9000000000000003E-7</v>
      </c>
      <c r="BP147" s="157">
        <f>IF(BI147&lt;$B$105*DATA!$H$1037,DATA!$H$1037,IF(BI147&gt;DATA!$H$1036*$B$105,DATA!$H$1036,1))</f>
        <v>1.2</v>
      </c>
      <c r="BQ147" s="156">
        <f t="shared" si="53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5"/>
        <v>8.0000000000000002E-8</v>
      </c>
      <c r="E148" s="140">
        <f t="shared" si="5"/>
        <v>1.2000000000000002E-7</v>
      </c>
      <c r="F148" s="140">
        <f t="shared" si="5"/>
        <v>1.6000000000000003E-7</v>
      </c>
      <c r="G148" s="140">
        <f t="shared" si="5"/>
        <v>2.0000000000000004E-7</v>
      </c>
      <c r="H148" s="124">
        <f t="shared" si="6"/>
        <v>0.8</v>
      </c>
      <c r="I148" s="156">
        <f t="shared" si="7"/>
        <v>9.9999999999999995E-8</v>
      </c>
      <c r="K148" s="140">
        <f t="shared" si="8"/>
        <v>4.0000000000000007E-6</v>
      </c>
      <c r="L148">
        <v>0.4</v>
      </c>
      <c r="M148" s="140">
        <f t="shared" si="9"/>
        <v>3.9999999999999994E-8</v>
      </c>
      <c r="N148" s="140">
        <f t="shared" si="10"/>
        <v>8.0000000000000002E-8</v>
      </c>
      <c r="O148" s="140">
        <f t="shared" si="11"/>
        <v>1.2000000000000002E-7</v>
      </c>
      <c r="P148" s="140">
        <f t="shared" si="12"/>
        <v>1.6000000000000003E-7</v>
      </c>
      <c r="Q148" s="140">
        <f t="shared" si="13"/>
        <v>2.0000000000000004E-7</v>
      </c>
      <c r="R148" s="157">
        <f t="shared" si="14"/>
        <v>0.8</v>
      </c>
      <c r="S148" s="156">
        <f t="shared" si="15"/>
        <v>9.9999999999999995E-8</v>
      </c>
      <c r="U148" s="140">
        <f t="shared" si="16"/>
        <v>4.0000000000000007E-6</v>
      </c>
      <c r="V148">
        <v>0.4</v>
      </c>
      <c r="W148" s="140">
        <f t="shared" si="17"/>
        <v>3.9999999999999994E-8</v>
      </c>
      <c r="X148" s="140">
        <f t="shared" si="18"/>
        <v>8.0000000000000002E-8</v>
      </c>
      <c r="Y148" s="140">
        <f t="shared" si="19"/>
        <v>1.2000000000000002E-7</v>
      </c>
      <c r="Z148" s="140">
        <f t="shared" si="20"/>
        <v>1.6000000000000003E-7</v>
      </c>
      <c r="AA148" s="140">
        <f t="shared" si="21"/>
        <v>2.0000000000000004E-7</v>
      </c>
      <c r="AB148" s="157">
        <f t="shared" si="22"/>
        <v>0.8</v>
      </c>
      <c r="AC148" s="156">
        <f t="shared" si="23"/>
        <v>9.9999999999999995E-8</v>
      </c>
      <c r="AE148" s="140">
        <f t="shared" si="24"/>
        <v>4.0000000000000007E-6</v>
      </c>
      <c r="AF148">
        <v>0.4</v>
      </c>
      <c r="AG148" s="140">
        <f t="shared" si="25"/>
        <v>3.9999999999999994E-8</v>
      </c>
      <c r="AH148" s="140">
        <f t="shared" si="26"/>
        <v>8.0000000000000002E-8</v>
      </c>
      <c r="AI148" s="140">
        <f t="shared" si="27"/>
        <v>1.2000000000000002E-7</v>
      </c>
      <c r="AJ148" s="140">
        <f t="shared" si="28"/>
        <v>1.6000000000000003E-7</v>
      </c>
      <c r="AK148" s="140">
        <f t="shared" si="29"/>
        <v>2.0000000000000004E-7</v>
      </c>
      <c r="AL148" s="157">
        <f t="shared" si="30"/>
        <v>1.2</v>
      </c>
      <c r="AM148" s="156">
        <f t="shared" si="31"/>
        <v>9.9999999999999995E-8</v>
      </c>
      <c r="AO148" s="140">
        <f t="shared" si="32"/>
        <v>4.0000000000000007E-6</v>
      </c>
      <c r="AP148">
        <v>0.4</v>
      </c>
      <c r="AQ148" s="140">
        <f t="shared" si="33"/>
        <v>3.9999999999999994E-8</v>
      </c>
      <c r="AR148" s="140">
        <f t="shared" si="34"/>
        <v>8.0000000000000002E-8</v>
      </c>
      <c r="AS148" s="140">
        <f t="shared" si="35"/>
        <v>1.2000000000000002E-7</v>
      </c>
      <c r="AT148" s="140">
        <f t="shared" si="36"/>
        <v>1.6000000000000003E-7</v>
      </c>
      <c r="AU148" s="140">
        <f t="shared" si="37"/>
        <v>2.0000000000000004E-7</v>
      </c>
      <c r="AV148" s="157">
        <f t="shared" si="38"/>
        <v>1.2</v>
      </c>
      <c r="AW148" s="156">
        <f t="shared" si="39"/>
        <v>9.9999999999999995E-8</v>
      </c>
      <c r="AY148" s="140">
        <f t="shared" si="40"/>
        <v>4.0000000000000007E-6</v>
      </c>
      <c r="AZ148">
        <v>0.4</v>
      </c>
      <c r="BA148" s="140">
        <f t="shared" si="41"/>
        <v>3.9999999999999994E-8</v>
      </c>
      <c r="BB148" s="140">
        <f t="shared" si="42"/>
        <v>8.0000000000000002E-8</v>
      </c>
      <c r="BC148" s="140">
        <f t="shared" si="43"/>
        <v>1.2000000000000002E-7</v>
      </c>
      <c r="BD148" s="140">
        <f t="shared" si="44"/>
        <v>1.6000000000000003E-7</v>
      </c>
      <c r="BE148" s="140">
        <f t="shared" si="45"/>
        <v>2.0000000000000004E-7</v>
      </c>
      <c r="BF148" s="157">
        <f>IF(AY148&lt;$B$89*DATA!$H$1037,DATA!$H$1037,IF(AY148&gt;DATA!$H$1036*$B$89,DATA!$H$1036,1))</f>
        <v>1.2</v>
      </c>
      <c r="BG148" s="156">
        <f t="shared" si="46"/>
        <v>9.9999999999999995E-8</v>
      </c>
      <c r="BI148" s="140">
        <f t="shared" si="47"/>
        <v>4.0000000000000007E-6</v>
      </c>
      <c r="BJ148">
        <v>0.4</v>
      </c>
      <c r="BK148" s="140">
        <f t="shared" si="48"/>
        <v>3.9999999999999994E-8</v>
      </c>
      <c r="BL148" s="140">
        <f t="shared" si="49"/>
        <v>8.0000000000000002E-8</v>
      </c>
      <c r="BM148" s="140">
        <f t="shared" si="50"/>
        <v>1.2000000000000002E-7</v>
      </c>
      <c r="BN148" s="140">
        <f t="shared" si="51"/>
        <v>1.6000000000000003E-7</v>
      </c>
      <c r="BO148" s="140">
        <f t="shared" si="52"/>
        <v>2.0000000000000004E-7</v>
      </c>
      <c r="BP148" s="157">
        <f>IF(BI148&lt;$B$105*DATA!$H$1037,DATA!$H$1037,IF(BI148&gt;DATA!$H$1036*$B$105,DATA!$H$1036,1))</f>
        <v>1.2</v>
      </c>
      <c r="BQ148" s="156">
        <f t="shared" si="53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5"/>
        <v>8.3999999999999998E-8</v>
      </c>
      <c r="E149" s="140">
        <f t="shared" si="5"/>
        <v>1.2600000000000002E-7</v>
      </c>
      <c r="F149" s="140">
        <f t="shared" si="5"/>
        <v>1.6800000000000002E-7</v>
      </c>
      <c r="G149" s="140">
        <f t="shared" si="5"/>
        <v>2.1000000000000003E-7</v>
      </c>
      <c r="H149" s="124">
        <f t="shared" si="6"/>
        <v>0.8</v>
      </c>
      <c r="I149" s="156">
        <f t="shared" si="7"/>
        <v>9.9999999999999995E-8</v>
      </c>
      <c r="K149" s="140">
        <f t="shared" si="8"/>
        <v>4.2000000000000004E-6</v>
      </c>
      <c r="L149">
        <v>0.42</v>
      </c>
      <c r="M149" s="140">
        <f t="shared" si="9"/>
        <v>4.1999999999999992E-8</v>
      </c>
      <c r="N149" s="140">
        <f t="shared" si="10"/>
        <v>8.3999999999999998E-8</v>
      </c>
      <c r="O149" s="140">
        <f t="shared" si="11"/>
        <v>1.2600000000000002E-7</v>
      </c>
      <c r="P149" s="140">
        <f t="shared" si="12"/>
        <v>1.6800000000000002E-7</v>
      </c>
      <c r="Q149" s="140">
        <f t="shared" si="13"/>
        <v>2.1000000000000003E-7</v>
      </c>
      <c r="R149" s="157">
        <f t="shared" si="14"/>
        <v>0.8</v>
      </c>
      <c r="S149" s="156">
        <f t="shared" si="15"/>
        <v>9.9999999999999995E-8</v>
      </c>
      <c r="U149" s="140">
        <f t="shared" si="16"/>
        <v>4.2000000000000004E-6</v>
      </c>
      <c r="V149">
        <v>0.42</v>
      </c>
      <c r="W149" s="140">
        <f t="shared" si="17"/>
        <v>4.1999999999999992E-8</v>
      </c>
      <c r="X149" s="140">
        <f t="shared" si="18"/>
        <v>8.3999999999999998E-8</v>
      </c>
      <c r="Y149" s="140">
        <f t="shared" si="19"/>
        <v>1.2600000000000002E-7</v>
      </c>
      <c r="Z149" s="140">
        <f t="shared" si="20"/>
        <v>1.6800000000000002E-7</v>
      </c>
      <c r="AA149" s="140">
        <f t="shared" si="21"/>
        <v>2.1000000000000003E-7</v>
      </c>
      <c r="AB149" s="157">
        <f t="shared" si="22"/>
        <v>0.8</v>
      </c>
      <c r="AC149" s="156">
        <f t="shared" si="23"/>
        <v>9.9999999999999995E-8</v>
      </c>
      <c r="AE149" s="140">
        <f t="shared" si="24"/>
        <v>4.2000000000000004E-6</v>
      </c>
      <c r="AF149">
        <v>0.42</v>
      </c>
      <c r="AG149" s="140">
        <f t="shared" si="25"/>
        <v>4.1999999999999992E-8</v>
      </c>
      <c r="AH149" s="140">
        <f t="shared" si="26"/>
        <v>8.3999999999999998E-8</v>
      </c>
      <c r="AI149" s="140">
        <f t="shared" si="27"/>
        <v>1.2600000000000002E-7</v>
      </c>
      <c r="AJ149" s="140">
        <f t="shared" si="28"/>
        <v>1.6800000000000002E-7</v>
      </c>
      <c r="AK149" s="140">
        <f t="shared" si="29"/>
        <v>2.1000000000000003E-7</v>
      </c>
      <c r="AL149" s="157">
        <f t="shared" si="30"/>
        <v>1.2</v>
      </c>
      <c r="AM149" s="156">
        <f t="shared" si="31"/>
        <v>9.9999999999999995E-8</v>
      </c>
      <c r="AO149" s="140">
        <f t="shared" si="32"/>
        <v>4.2000000000000004E-6</v>
      </c>
      <c r="AP149">
        <v>0.42</v>
      </c>
      <c r="AQ149" s="140">
        <f t="shared" si="33"/>
        <v>4.1999999999999992E-8</v>
      </c>
      <c r="AR149" s="140">
        <f t="shared" si="34"/>
        <v>8.3999999999999998E-8</v>
      </c>
      <c r="AS149" s="140">
        <f t="shared" si="35"/>
        <v>1.2600000000000002E-7</v>
      </c>
      <c r="AT149" s="140">
        <f t="shared" si="36"/>
        <v>1.6800000000000002E-7</v>
      </c>
      <c r="AU149" s="140">
        <f t="shared" si="37"/>
        <v>2.1000000000000003E-7</v>
      </c>
      <c r="AV149" s="157">
        <f t="shared" si="38"/>
        <v>1.2</v>
      </c>
      <c r="AW149" s="156">
        <f t="shared" si="39"/>
        <v>9.9999999999999995E-8</v>
      </c>
      <c r="AY149" s="140">
        <f t="shared" si="40"/>
        <v>4.2000000000000004E-6</v>
      </c>
      <c r="AZ149">
        <v>0.42</v>
      </c>
      <c r="BA149" s="140">
        <f t="shared" si="41"/>
        <v>4.1999999999999992E-8</v>
      </c>
      <c r="BB149" s="140">
        <f t="shared" si="42"/>
        <v>8.3999999999999998E-8</v>
      </c>
      <c r="BC149" s="140">
        <f t="shared" si="43"/>
        <v>1.2600000000000002E-7</v>
      </c>
      <c r="BD149" s="140">
        <f t="shared" si="44"/>
        <v>1.6800000000000002E-7</v>
      </c>
      <c r="BE149" s="140">
        <f t="shared" si="45"/>
        <v>2.1000000000000003E-7</v>
      </c>
      <c r="BF149" s="157">
        <f>IF(AY149&lt;$B$89*DATA!$H$1037,DATA!$H$1037,IF(AY149&gt;DATA!$H$1036*$B$89,DATA!$H$1036,1))</f>
        <v>1.2</v>
      </c>
      <c r="BG149" s="156">
        <f t="shared" si="46"/>
        <v>9.9999999999999995E-8</v>
      </c>
      <c r="BI149" s="140">
        <f t="shared" si="47"/>
        <v>4.2000000000000004E-6</v>
      </c>
      <c r="BJ149">
        <v>0.42</v>
      </c>
      <c r="BK149" s="140">
        <f t="shared" si="48"/>
        <v>4.1999999999999992E-8</v>
      </c>
      <c r="BL149" s="140">
        <f t="shared" si="49"/>
        <v>8.3999999999999998E-8</v>
      </c>
      <c r="BM149" s="140">
        <f t="shared" si="50"/>
        <v>1.2600000000000002E-7</v>
      </c>
      <c r="BN149" s="140">
        <f t="shared" si="51"/>
        <v>1.6800000000000002E-7</v>
      </c>
      <c r="BO149" s="140">
        <f t="shared" si="52"/>
        <v>2.1000000000000003E-7</v>
      </c>
      <c r="BP149" s="157">
        <f>IF(BI149&lt;$B$105*DATA!$H$1037,DATA!$H$1037,IF(BI149&gt;DATA!$H$1036*$B$105,DATA!$H$1036,1))</f>
        <v>1.2</v>
      </c>
      <c r="BQ149" s="156">
        <f t="shared" si="53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5"/>
        <v>8.7999999999999994E-8</v>
      </c>
      <c r="E150" s="140">
        <f t="shared" si="5"/>
        <v>1.3199999999999999E-7</v>
      </c>
      <c r="F150" s="140">
        <f t="shared" si="5"/>
        <v>1.7600000000000001E-7</v>
      </c>
      <c r="G150" s="140">
        <f t="shared" si="5"/>
        <v>2.2000000000000001E-7</v>
      </c>
      <c r="H150" s="124">
        <f t="shared" si="6"/>
        <v>0.8</v>
      </c>
      <c r="I150" s="156">
        <f t="shared" si="7"/>
        <v>9.9999999999999995E-8</v>
      </c>
      <c r="K150" s="140">
        <f t="shared" si="8"/>
        <v>4.4000000000000002E-6</v>
      </c>
      <c r="L150">
        <v>0.44</v>
      </c>
      <c r="M150" s="140">
        <f t="shared" si="9"/>
        <v>4.399999999999999E-8</v>
      </c>
      <c r="N150" s="140">
        <f t="shared" si="10"/>
        <v>8.7999999999999994E-8</v>
      </c>
      <c r="O150" s="140">
        <f t="shared" si="11"/>
        <v>1.3199999999999999E-7</v>
      </c>
      <c r="P150" s="140">
        <f t="shared" si="12"/>
        <v>1.7600000000000001E-7</v>
      </c>
      <c r="Q150" s="140">
        <f t="shared" si="13"/>
        <v>2.2000000000000001E-7</v>
      </c>
      <c r="R150" s="157">
        <f t="shared" si="14"/>
        <v>0.8</v>
      </c>
      <c r="S150" s="156">
        <f t="shared" si="15"/>
        <v>9.9999999999999995E-8</v>
      </c>
      <c r="U150" s="140">
        <f t="shared" si="16"/>
        <v>4.4000000000000002E-6</v>
      </c>
      <c r="V150">
        <v>0.44</v>
      </c>
      <c r="W150" s="140">
        <f t="shared" si="17"/>
        <v>4.399999999999999E-8</v>
      </c>
      <c r="X150" s="140">
        <f t="shared" si="18"/>
        <v>8.7999999999999994E-8</v>
      </c>
      <c r="Y150" s="140">
        <f t="shared" si="19"/>
        <v>1.3199999999999999E-7</v>
      </c>
      <c r="Z150" s="140">
        <f t="shared" si="20"/>
        <v>1.7600000000000001E-7</v>
      </c>
      <c r="AA150" s="140">
        <f t="shared" si="21"/>
        <v>2.2000000000000001E-7</v>
      </c>
      <c r="AB150" s="157">
        <f t="shared" si="22"/>
        <v>0.8</v>
      </c>
      <c r="AC150" s="156">
        <f t="shared" si="23"/>
        <v>9.9999999999999995E-8</v>
      </c>
      <c r="AE150" s="140">
        <f t="shared" si="24"/>
        <v>4.4000000000000002E-6</v>
      </c>
      <c r="AF150">
        <v>0.44</v>
      </c>
      <c r="AG150" s="140">
        <f t="shared" si="25"/>
        <v>4.399999999999999E-8</v>
      </c>
      <c r="AH150" s="140">
        <f t="shared" si="26"/>
        <v>8.7999999999999994E-8</v>
      </c>
      <c r="AI150" s="140">
        <f t="shared" si="27"/>
        <v>1.3199999999999999E-7</v>
      </c>
      <c r="AJ150" s="140">
        <f t="shared" si="28"/>
        <v>1.7600000000000001E-7</v>
      </c>
      <c r="AK150" s="140">
        <f t="shared" si="29"/>
        <v>2.2000000000000001E-7</v>
      </c>
      <c r="AL150" s="157">
        <f t="shared" si="30"/>
        <v>1.2</v>
      </c>
      <c r="AM150" s="156">
        <f t="shared" si="31"/>
        <v>9.9999999999999995E-8</v>
      </c>
      <c r="AO150" s="140">
        <f t="shared" si="32"/>
        <v>4.4000000000000002E-6</v>
      </c>
      <c r="AP150">
        <v>0.44</v>
      </c>
      <c r="AQ150" s="140">
        <f t="shared" si="33"/>
        <v>4.399999999999999E-8</v>
      </c>
      <c r="AR150" s="140">
        <f t="shared" si="34"/>
        <v>8.7999999999999994E-8</v>
      </c>
      <c r="AS150" s="140">
        <f t="shared" si="35"/>
        <v>1.3199999999999999E-7</v>
      </c>
      <c r="AT150" s="140">
        <f t="shared" si="36"/>
        <v>1.7600000000000001E-7</v>
      </c>
      <c r="AU150" s="140">
        <f t="shared" si="37"/>
        <v>2.2000000000000001E-7</v>
      </c>
      <c r="AV150" s="157">
        <f t="shared" si="38"/>
        <v>1.2</v>
      </c>
      <c r="AW150" s="156">
        <f t="shared" si="39"/>
        <v>9.9999999999999995E-8</v>
      </c>
      <c r="AY150" s="140">
        <f t="shared" si="40"/>
        <v>4.4000000000000002E-6</v>
      </c>
      <c r="AZ150">
        <v>0.44</v>
      </c>
      <c r="BA150" s="140">
        <f t="shared" si="41"/>
        <v>4.399999999999999E-8</v>
      </c>
      <c r="BB150" s="140">
        <f t="shared" si="42"/>
        <v>8.7999999999999994E-8</v>
      </c>
      <c r="BC150" s="140">
        <f t="shared" si="43"/>
        <v>1.3199999999999999E-7</v>
      </c>
      <c r="BD150" s="140">
        <f t="shared" si="44"/>
        <v>1.7600000000000001E-7</v>
      </c>
      <c r="BE150" s="140">
        <f t="shared" si="45"/>
        <v>2.2000000000000001E-7</v>
      </c>
      <c r="BF150" s="157">
        <f>IF(AY150&lt;$B$89*DATA!$H$1037,DATA!$H$1037,IF(AY150&gt;DATA!$H$1036*$B$89,DATA!$H$1036,1))</f>
        <v>1.2</v>
      </c>
      <c r="BG150" s="156">
        <f t="shared" si="46"/>
        <v>9.9999999999999995E-8</v>
      </c>
      <c r="BI150" s="140">
        <f t="shared" si="47"/>
        <v>4.4000000000000002E-6</v>
      </c>
      <c r="BJ150">
        <v>0.44</v>
      </c>
      <c r="BK150" s="140">
        <f t="shared" si="48"/>
        <v>4.399999999999999E-8</v>
      </c>
      <c r="BL150" s="140">
        <f t="shared" si="49"/>
        <v>8.7999999999999994E-8</v>
      </c>
      <c r="BM150" s="140">
        <f t="shared" si="50"/>
        <v>1.3199999999999999E-7</v>
      </c>
      <c r="BN150" s="140">
        <f t="shared" si="51"/>
        <v>1.7600000000000001E-7</v>
      </c>
      <c r="BO150" s="140">
        <f t="shared" si="52"/>
        <v>2.2000000000000001E-7</v>
      </c>
      <c r="BP150" s="157">
        <f>IF(BI150&lt;$B$105*DATA!$H$1037,DATA!$H$1037,IF(BI150&gt;DATA!$H$1036*$B$105,DATA!$H$1036,1))</f>
        <v>1.2</v>
      </c>
      <c r="BQ150" s="156">
        <f t="shared" si="53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5"/>
        <v>9.2000000000000003E-8</v>
      </c>
      <c r="E151" s="140">
        <f t="shared" si="5"/>
        <v>1.3800000000000002E-7</v>
      </c>
      <c r="F151" s="140">
        <f t="shared" si="5"/>
        <v>1.8400000000000003E-7</v>
      </c>
      <c r="G151" s="140">
        <f t="shared" si="5"/>
        <v>2.3000000000000005E-7</v>
      </c>
      <c r="H151" s="124">
        <f t="shared" si="6"/>
        <v>0.8</v>
      </c>
      <c r="I151" s="156">
        <f t="shared" si="7"/>
        <v>9.9999999999999995E-8</v>
      </c>
      <c r="K151" s="140">
        <f t="shared" si="8"/>
        <v>4.6000000000000009E-6</v>
      </c>
      <c r="L151">
        <v>0.46</v>
      </c>
      <c r="M151" s="140">
        <f t="shared" si="9"/>
        <v>4.5999999999999995E-8</v>
      </c>
      <c r="N151" s="140">
        <f t="shared" si="10"/>
        <v>9.2000000000000003E-8</v>
      </c>
      <c r="O151" s="140">
        <f t="shared" si="11"/>
        <v>1.3800000000000002E-7</v>
      </c>
      <c r="P151" s="140">
        <f t="shared" si="12"/>
        <v>1.8400000000000003E-7</v>
      </c>
      <c r="Q151" s="140">
        <f t="shared" si="13"/>
        <v>2.3000000000000005E-7</v>
      </c>
      <c r="R151" s="157">
        <f t="shared" si="14"/>
        <v>0.8</v>
      </c>
      <c r="S151" s="156">
        <f t="shared" si="15"/>
        <v>9.9999999999999995E-8</v>
      </c>
      <c r="U151" s="140">
        <f t="shared" si="16"/>
        <v>4.6000000000000009E-6</v>
      </c>
      <c r="V151">
        <v>0.46</v>
      </c>
      <c r="W151" s="140">
        <f t="shared" si="17"/>
        <v>4.5999999999999995E-8</v>
      </c>
      <c r="X151" s="140">
        <f t="shared" si="18"/>
        <v>9.2000000000000003E-8</v>
      </c>
      <c r="Y151" s="140">
        <f t="shared" si="19"/>
        <v>1.3800000000000002E-7</v>
      </c>
      <c r="Z151" s="140">
        <f t="shared" si="20"/>
        <v>1.8400000000000003E-7</v>
      </c>
      <c r="AA151" s="140">
        <f t="shared" si="21"/>
        <v>2.3000000000000005E-7</v>
      </c>
      <c r="AB151" s="157">
        <f t="shared" si="22"/>
        <v>0.8</v>
      </c>
      <c r="AC151" s="156">
        <f t="shared" si="23"/>
        <v>9.9999999999999995E-8</v>
      </c>
      <c r="AE151" s="140">
        <f t="shared" si="24"/>
        <v>4.6000000000000009E-6</v>
      </c>
      <c r="AF151">
        <v>0.46</v>
      </c>
      <c r="AG151" s="140">
        <f t="shared" si="25"/>
        <v>4.5999999999999995E-8</v>
      </c>
      <c r="AH151" s="140">
        <f t="shared" si="26"/>
        <v>9.2000000000000003E-8</v>
      </c>
      <c r="AI151" s="140">
        <f t="shared" si="27"/>
        <v>1.3800000000000002E-7</v>
      </c>
      <c r="AJ151" s="140">
        <f t="shared" si="28"/>
        <v>1.8400000000000003E-7</v>
      </c>
      <c r="AK151" s="140">
        <f t="shared" si="29"/>
        <v>2.3000000000000005E-7</v>
      </c>
      <c r="AL151" s="157">
        <f t="shared" si="30"/>
        <v>1.2</v>
      </c>
      <c r="AM151" s="156">
        <f t="shared" si="31"/>
        <v>9.9999999999999995E-8</v>
      </c>
      <c r="AO151" s="140">
        <f t="shared" si="32"/>
        <v>4.6000000000000009E-6</v>
      </c>
      <c r="AP151">
        <v>0.46</v>
      </c>
      <c r="AQ151" s="140">
        <f t="shared" si="33"/>
        <v>4.5999999999999995E-8</v>
      </c>
      <c r="AR151" s="140">
        <f t="shared" si="34"/>
        <v>9.2000000000000003E-8</v>
      </c>
      <c r="AS151" s="140">
        <f t="shared" si="35"/>
        <v>1.3800000000000002E-7</v>
      </c>
      <c r="AT151" s="140">
        <f t="shared" si="36"/>
        <v>1.8400000000000003E-7</v>
      </c>
      <c r="AU151" s="140">
        <f t="shared" si="37"/>
        <v>2.3000000000000005E-7</v>
      </c>
      <c r="AV151" s="157">
        <f t="shared" si="38"/>
        <v>1.2</v>
      </c>
      <c r="AW151" s="156">
        <f t="shared" si="39"/>
        <v>9.9999999999999995E-8</v>
      </c>
      <c r="AY151" s="140">
        <f t="shared" si="40"/>
        <v>4.6000000000000009E-6</v>
      </c>
      <c r="AZ151">
        <v>0.46</v>
      </c>
      <c r="BA151" s="140">
        <f t="shared" si="41"/>
        <v>4.5999999999999995E-8</v>
      </c>
      <c r="BB151" s="140">
        <f t="shared" si="42"/>
        <v>9.2000000000000003E-8</v>
      </c>
      <c r="BC151" s="140">
        <f t="shared" si="43"/>
        <v>1.3800000000000002E-7</v>
      </c>
      <c r="BD151" s="140">
        <f t="shared" si="44"/>
        <v>1.8400000000000003E-7</v>
      </c>
      <c r="BE151" s="140">
        <f t="shared" si="45"/>
        <v>2.3000000000000005E-7</v>
      </c>
      <c r="BF151" s="157">
        <f>IF(AY151&lt;$B$89*DATA!$H$1037,DATA!$H$1037,IF(AY151&gt;DATA!$H$1036*$B$89,DATA!$H$1036,1))</f>
        <v>1.2</v>
      </c>
      <c r="BG151" s="156">
        <f t="shared" si="46"/>
        <v>9.9999999999999995E-8</v>
      </c>
      <c r="BI151" s="140">
        <f t="shared" si="47"/>
        <v>4.6000000000000009E-6</v>
      </c>
      <c r="BJ151">
        <v>0.46</v>
      </c>
      <c r="BK151" s="140">
        <f t="shared" si="48"/>
        <v>4.5999999999999995E-8</v>
      </c>
      <c r="BL151" s="140">
        <f t="shared" si="49"/>
        <v>9.2000000000000003E-8</v>
      </c>
      <c r="BM151" s="140">
        <f t="shared" si="50"/>
        <v>1.3800000000000002E-7</v>
      </c>
      <c r="BN151" s="140">
        <f t="shared" si="51"/>
        <v>1.8400000000000003E-7</v>
      </c>
      <c r="BO151" s="140">
        <f t="shared" si="52"/>
        <v>2.3000000000000005E-7</v>
      </c>
      <c r="BP151" s="157">
        <f>IF(BI151&lt;$B$105*DATA!$H$1037,DATA!$H$1037,IF(BI151&gt;DATA!$H$1036*$B$105,DATA!$H$1036,1))</f>
        <v>1.2</v>
      </c>
      <c r="BQ151" s="156">
        <f t="shared" si="53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5"/>
        <v>9.5999999999999999E-8</v>
      </c>
      <c r="E152" s="140">
        <f t="shared" si="5"/>
        <v>1.4400000000000002E-7</v>
      </c>
      <c r="F152" s="140">
        <f t="shared" si="5"/>
        <v>1.9200000000000003E-7</v>
      </c>
      <c r="G152" s="140">
        <f t="shared" si="5"/>
        <v>2.4000000000000003E-7</v>
      </c>
      <c r="H152" s="124">
        <f t="shared" si="6"/>
        <v>0.8</v>
      </c>
      <c r="I152" s="156">
        <f t="shared" si="7"/>
        <v>9.9999999999999995E-8</v>
      </c>
      <c r="K152" s="140">
        <f t="shared" si="8"/>
        <v>4.8000000000000006E-6</v>
      </c>
      <c r="L152">
        <v>0.48</v>
      </c>
      <c r="M152" s="140">
        <f t="shared" si="9"/>
        <v>4.7999999999999993E-8</v>
      </c>
      <c r="N152" s="140">
        <f t="shared" si="10"/>
        <v>9.5999999999999999E-8</v>
      </c>
      <c r="O152" s="140">
        <f t="shared" si="11"/>
        <v>1.4400000000000002E-7</v>
      </c>
      <c r="P152" s="140">
        <f t="shared" si="12"/>
        <v>1.9200000000000003E-7</v>
      </c>
      <c r="Q152" s="140">
        <f t="shared" si="13"/>
        <v>2.4000000000000003E-7</v>
      </c>
      <c r="R152" s="157">
        <f t="shared" si="14"/>
        <v>0.8</v>
      </c>
      <c r="S152" s="156">
        <f t="shared" si="15"/>
        <v>9.9999999999999995E-8</v>
      </c>
      <c r="U152" s="140">
        <f t="shared" si="16"/>
        <v>4.8000000000000006E-6</v>
      </c>
      <c r="V152">
        <v>0.48</v>
      </c>
      <c r="W152" s="140">
        <f t="shared" si="17"/>
        <v>4.7999999999999993E-8</v>
      </c>
      <c r="X152" s="140">
        <f t="shared" si="18"/>
        <v>9.5999999999999999E-8</v>
      </c>
      <c r="Y152" s="140">
        <f t="shared" si="19"/>
        <v>1.4400000000000002E-7</v>
      </c>
      <c r="Z152" s="140">
        <f t="shared" si="20"/>
        <v>1.9200000000000003E-7</v>
      </c>
      <c r="AA152" s="140">
        <f t="shared" si="21"/>
        <v>2.4000000000000003E-7</v>
      </c>
      <c r="AB152" s="157">
        <f t="shared" si="22"/>
        <v>0.8</v>
      </c>
      <c r="AC152" s="156">
        <f t="shared" si="23"/>
        <v>9.9999999999999995E-8</v>
      </c>
      <c r="AE152" s="140">
        <f t="shared" si="24"/>
        <v>4.8000000000000006E-6</v>
      </c>
      <c r="AF152">
        <v>0.48</v>
      </c>
      <c r="AG152" s="140">
        <f t="shared" si="25"/>
        <v>4.7999999999999993E-8</v>
      </c>
      <c r="AH152" s="140">
        <f t="shared" si="26"/>
        <v>9.5999999999999999E-8</v>
      </c>
      <c r="AI152" s="140">
        <f t="shared" si="27"/>
        <v>1.4400000000000002E-7</v>
      </c>
      <c r="AJ152" s="140">
        <f t="shared" si="28"/>
        <v>1.9200000000000003E-7</v>
      </c>
      <c r="AK152" s="140">
        <f t="shared" si="29"/>
        <v>2.4000000000000003E-7</v>
      </c>
      <c r="AL152" s="157">
        <f t="shared" si="30"/>
        <v>1.2</v>
      </c>
      <c r="AM152" s="156">
        <f t="shared" si="31"/>
        <v>9.9999999999999995E-8</v>
      </c>
      <c r="AO152" s="140">
        <f t="shared" si="32"/>
        <v>4.8000000000000006E-6</v>
      </c>
      <c r="AP152">
        <v>0.48</v>
      </c>
      <c r="AQ152" s="140">
        <f t="shared" si="33"/>
        <v>4.7999999999999993E-8</v>
      </c>
      <c r="AR152" s="140">
        <f t="shared" si="34"/>
        <v>9.5999999999999999E-8</v>
      </c>
      <c r="AS152" s="140">
        <f t="shared" si="35"/>
        <v>1.4400000000000002E-7</v>
      </c>
      <c r="AT152" s="140">
        <f t="shared" si="36"/>
        <v>1.9200000000000003E-7</v>
      </c>
      <c r="AU152" s="140">
        <f t="shared" si="37"/>
        <v>2.4000000000000003E-7</v>
      </c>
      <c r="AV152" s="157">
        <f t="shared" si="38"/>
        <v>1.2</v>
      </c>
      <c r="AW152" s="156">
        <f t="shared" si="39"/>
        <v>9.9999999999999995E-8</v>
      </c>
      <c r="AY152" s="140">
        <f t="shared" si="40"/>
        <v>4.8000000000000006E-6</v>
      </c>
      <c r="AZ152">
        <v>0.48</v>
      </c>
      <c r="BA152" s="140">
        <f t="shared" si="41"/>
        <v>4.7999999999999993E-8</v>
      </c>
      <c r="BB152" s="140">
        <f t="shared" si="42"/>
        <v>9.5999999999999999E-8</v>
      </c>
      <c r="BC152" s="140">
        <f t="shared" si="43"/>
        <v>1.4400000000000002E-7</v>
      </c>
      <c r="BD152" s="140">
        <f t="shared" si="44"/>
        <v>1.9200000000000003E-7</v>
      </c>
      <c r="BE152" s="140">
        <f t="shared" si="45"/>
        <v>2.4000000000000003E-7</v>
      </c>
      <c r="BF152" s="157">
        <f>IF(AY152&lt;$B$89*DATA!$H$1037,DATA!$H$1037,IF(AY152&gt;DATA!$H$1036*$B$89,DATA!$H$1036,1))</f>
        <v>1.2</v>
      </c>
      <c r="BG152" s="156">
        <f t="shared" si="46"/>
        <v>9.9999999999999995E-8</v>
      </c>
      <c r="BI152" s="140">
        <f t="shared" si="47"/>
        <v>4.8000000000000006E-6</v>
      </c>
      <c r="BJ152">
        <v>0.48</v>
      </c>
      <c r="BK152" s="140">
        <f t="shared" si="48"/>
        <v>4.7999999999999993E-8</v>
      </c>
      <c r="BL152" s="140">
        <f t="shared" si="49"/>
        <v>9.5999999999999999E-8</v>
      </c>
      <c r="BM152" s="140">
        <f t="shared" si="50"/>
        <v>1.4400000000000002E-7</v>
      </c>
      <c r="BN152" s="140">
        <f t="shared" si="51"/>
        <v>1.9200000000000003E-7</v>
      </c>
      <c r="BO152" s="140">
        <f t="shared" si="52"/>
        <v>2.4000000000000003E-7</v>
      </c>
      <c r="BP152" s="157">
        <f>IF(BI152&lt;$B$105*DATA!$H$1037,DATA!$H$1037,IF(BI152&gt;DATA!$H$1036*$B$105,DATA!$H$1036,1))</f>
        <v>1.2</v>
      </c>
      <c r="BQ152" s="156">
        <f t="shared" si="53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5"/>
        <v>9.9999999999999995E-8</v>
      </c>
      <c r="E153" s="140">
        <f t="shared" si="5"/>
        <v>1.5000000000000002E-7</v>
      </c>
      <c r="F153" s="140">
        <f t="shared" si="5"/>
        <v>2.0000000000000002E-7</v>
      </c>
      <c r="G153" s="140">
        <f t="shared" si="5"/>
        <v>2.5000000000000004E-7</v>
      </c>
      <c r="H153" s="124">
        <f t="shared" si="6"/>
        <v>0.8</v>
      </c>
      <c r="I153" s="156">
        <f t="shared" si="7"/>
        <v>9.9999999999999995E-8</v>
      </c>
      <c r="K153" s="140">
        <f t="shared" si="8"/>
        <v>5.0000000000000004E-6</v>
      </c>
      <c r="L153">
        <v>0.5</v>
      </c>
      <c r="M153" s="140">
        <f t="shared" si="9"/>
        <v>4.9999999999999985E-8</v>
      </c>
      <c r="N153" s="140">
        <f t="shared" si="10"/>
        <v>9.9999999999999995E-8</v>
      </c>
      <c r="O153" s="140">
        <f t="shared" si="11"/>
        <v>1.5000000000000002E-7</v>
      </c>
      <c r="P153" s="140">
        <f t="shared" si="12"/>
        <v>2.0000000000000002E-7</v>
      </c>
      <c r="Q153" s="140">
        <f t="shared" si="13"/>
        <v>2.5000000000000004E-7</v>
      </c>
      <c r="R153" s="157">
        <f t="shared" si="14"/>
        <v>0.8</v>
      </c>
      <c r="S153" s="156">
        <f t="shared" si="15"/>
        <v>9.9999999999999995E-8</v>
      </c>
      <c r="U153" s="140">
        <f t="shared" si="16"/>
        <v>5.0000000000000004E-6</v>
      </c>
      <c r="V153">
        <v>0.5</v>
      </c>
      <c r="W153" s="140">
        <f t="shared" si="17"/>
        <v>4.9999999999999985E-8</v>
      </c>
      <c r="X153" s="140">
        <f t="shared" si="18"/>
        <v>9.9999999999999995E-8</v>
      </c>
      <c r="Y153" s="140">
        <f t="shared" si="19"/>
        <v>1.5000000000000002E-7</v>
      </c>
      <c r="Z153" s="140">
        <f t="shared" si="20"/>
        <v>2.0000000000000002E-7</v>
      </c>
      <c r="AA153" s="140">
        <f t="shared" si="21"/>
        <v>2.5000000000000004E-7</v>
      </c>
      <c r="AB153" s="157">
        <f t="shared" si="22"/>
        <v>0.8</v>
      </c>
      <c r="AC153" s="156">
        <f t="shared" si="23"/>
        <v>9.9999999999999995E-8</v>
      </c>
      <c r="AE153" s="140">
        <f t="shared" si="24"/>
        <v>5.0000000000000004E-6</v>
      </c>
      <c r="AF153">
        <v>0.5</v>
      </c>
      <c r="AG153" s="140">
        <f t="shared" si="25"/>
        <v>4.9999999999999985E-8</v>
      </c>
      <c r="AH153" s="140">
        <f t="shared" si="26"/>
        <v>9.9999999999999995E-8</v>
      </c>
      <c r="AI153" s="140">
        <f t="shared" si="27"/>
        <v>1.5000000000000002E-7</v>
      </c>
      <c r="AJ153" s="140">
        <f t="shared" si="28"/>
        <v>2.0000000000000002E-7</v>
      </c>
      <c r="AK153" s="140">
        <f t="shared" si="29"/>
        <v>2.5000000000000004E-7</v>
      </c>
      <c r="AL153" s="157">
        <f t="shared" si="30"/>
        <v>1.2</v>
      </c>
      <c r="AM153" s="156">
        <f t="shared" si="31"/>
        <v>9.9999999999999995E-8</v>
      </c>
      <c r="AO153" s="140">
        <f t="shared" si="32"/>
        <v>5.0000000000000004E-6</v>
      </c>
      <c r="AP153">
        <v>0.5</v>
      </c>
      <c r="AQ153" s="140">
        <f t="shared" si="33"/>
        <v>4.9999999999999985E-8</v>
      </c>
      <c r="AR153" s="140">
        <f t="shared" si="34"/>
        <v>9.9999999999999995E-8</v>
      </c>
      <c r="AS153" s="140">
        <f t="shared" si="35"/>
        <v>1.5000000000000002E-7</v>
      </c>
      <c r="AT153" s="140">
        <f t="shared" si="36"/>
        <v>2.0000000000000002E-7</v>
      </c>
      <c r="AU153" s="140">
        <f t="shared" si="37"/>
        <v>2.5000000000000004E-7</v>
      </c>
      <c r="AV153" s="157">
        <f t="shared" si="38"/>
        <v>1.2</v>
      </c>
      <c r="AW153" s="156">
        <f t="shared" si="39"/>
        <v>9.9999999999999995E-8</v>
      </c>
      <c r="AY153" s="140">
        <f t="shared" si="40"/>
        <v>5.0000000000000004E-6</v>
      </c>
      <c r="AZ153">
        <v>0.5</v>
      </c>
      <c r="BA153" s="140">
        <f t="shared" si="41"/>
        <v>4.9999999999999985E-8</v>
      </c>
      <c r="BB153" s="140">
        <f t="shared" si="42"/>
        <v>9.9999999999999995E-8</v>
      </c>
      <c r="BC153" s="140">
        <f t="shared" si="43"/>
        <v>1.5000000000000002E-7</v>
      </c>
      <c r="BD153" s="140">
        <f t="shared" si="44"/>
        <v>2.0000000000000002E-7</v>
      </c>
      <c r="BE153" s="140">
        <f t="shared" si="45"/>
        <v>2.5000000000000004E-7</v>
      </c>
      <c r="BF153" s="157">
        <f>IF(AY153&lt;$B$89*DATA!$H$1037,DATA!$H$1037,IF(AY153&gt;DATA!$H$1036*$B$89,DATA!$H$1036,1))</f>
        <v>1.2</v>
      </c>
      <c r="BG153" s="156">
        <f t="shared" si="46"/>
        <v>9.9999999999999995E-8</v>
      </c>
      <c r="BI153" s="140">
        <f t="shared" si="47"/>
        <v>5.0000000000000004E-6</v>
      </c>
      <c r="BJ153">
        <v>0.5</v>
      </c>
      <c r="BK153" s="140">
        <f t="shared" si="48"/>
        <v>4.9999999999999985E-8</v>
      </c>
      <c r="BL153" s="140">
        <f t="shared" si="49"/>
        <v>9.9999999999999995E-8</v>
      </c>
      <c r="BM153" s="140">
        <f t="shared" si="50"/>
        <v>1.5000000000000002E-7</v>
      </c>
      <c r="BN153" s="140">
        <f t="shared" si="51"/>
        <v>2.0000000000000002E-7</v>
      </c>
      <c r="BO153" s="140">
        <f t="shared" si="52"/>
        <v>2.5000000000000004E-7</v>
      </c>
      <c r="BP153" s="157">
        <f>IF(BI153&lt;$B$105*DATA!$H$1037,DATA!$H$1037,IF(BI153&gt;DATA!$H$1036*$B$105,DATA!$H$1036,1))</f>
        <v>1.2</v>
      </c>
      <c r="BQ153" s="156">
        <f t="shared" si="53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5"/>
        <v>1.0399999999999999E-7</v>
      </c>
      <c r="E154" s="140">
        <f t="shared" si="5"/>
        <v>1.5599999999999999E-7</v>
      </c>
      <c r="F154" s="140">
        <f t="shared" si="5"/>
        <v>2.0800000000000001E-7</v>
      </c>
      <c r="G154" s="140">
        <f t="shared" si="5"/>
        <v>2.6E-7</v>
      </c>
      <c r="H154" s="124">
        <f t="shared" si="6"/>
        <v>0.8</v>
      </c>
      <c r="I154" s="156">
        <f t="shared" si="7"/>
        <v>9.9999999999999995E-8</v>
      </c>
      <c r="K154" s="140">
        <f t="shared" si="8"/>
        <v>5.2000000000000002E-6</v>
      </c>
      <c r="L154">
        <v>0.52</v>
      </c>
      <c r="M154" s="140">
        <f t="shared" si="9"/>
        <v>5.1999999999999983E-8</v>
      </c>
      <c r="N154" s="140">
        <f t="shared" si="10"/>
        <v>1.0399999999999999E-7</v>
      </c>
      <c r="O154" s="140">
        <f t="shared" si="11"/>
        <v>1.5599999999999999E-7</v>
      </c>
      <c r="P154" s="140">
        <f t="shared" si="12"/>
        <v>2.0800000000000001E-7</v>
      </c>
      <c r="Q154" s="140">
        <f t="shared" si="13"/>
        <v>2.6E-7</v>
      </c>
      <c r="R154" s="157">
        <f t="shared" si="14"/>
        <v>0.8</v>
      </c>
      <c r="S154" s="156">
        <f t="shared" si="15"/>
        <v>9.9999999999999995E-8</v>
      </c>
      <c r="U154" s="140">
        <f t="shared" si="16"/>
        <v>5.2000000000000002E-6</v>
      </c>
      <c r="V154">
        <v>0.52</v>
      </c>
      <c r="W154" s="140">
        <f t="shared" si="17"/>
        <v>5.1999999999999983E-8</v>
      </c>
      <c r="X154" s="140">
        <f t="shared" si="18"/>
        <v>1.0399999999999999E-7</v>
      </c>
      <c r="Y154" s="140">
        <f t="shared" si="19"/>
        <v>1.5599999999999999E-7</v>
      </c>
      <c r="Z154" s="140">
        <f t="shared" si="20"/>
        <v>2.0800000000000001E-7</v>
      </c>
      <c r="AA154" s="140">
        <f t="shared" si="21"/>
        <v>2.6E-7</v>
      </c>
      <c r="AB154" s="157">
        <f t="shared" si="22"/>
        <v>0.8</v>
      </c>
      <c r="AC154" s="156">
        <f t="shared" si="23"/>
        <v>9.9999999999999995E-8</v>
      </c>
      <c r="AE154" s="140">
        <f t="shared" si="24"/>
        <v>5.2000000000000002E-6</v>
      </c>
      <c r="AF154">
        <v>0.52</v>
      </c>
      <c r="AG154" s="140">
        <f t="shared" si="25"/>
        <v>5.1999999999999983E-8</v>
      </c>
      <c r="AH154" s="140">
        <f t="shared" si="26"/>
        <v>1.0399999999999999E-7</v>
      </c>
      <c r="AI154" s="140">
        <f t="shared" si="27"/>
        <v>1.5599999999999999E-7</v>
      </c>
      <c r="AJ154" s="140">
        <f t="shared" si="28"/>
        <v>2.0800000000000001E-7</v>
      </c>
      <c r="AK154" s="140">
        <f t="shared" si="29"/>
        <v>2.6E-7</v>
      </c>
      <c r="AL154" s="157">
        <f t="shared" si="30"/>
        <v>1.2</v>
      </c>
      <c r="AM154" s="156">
        <f t="shared" si="31"/>
        <v>9.9999999999999995E-8</v>
      </c>
      <c r="AO154" s="140">
        <f t="shared" si="32"/>
        <v>5.2000000000000002E-6</v>
      </c>
      <c r="AP154">
        <v>0.52</v>
      </c>
      <c r="AQ154" s="140">
        <f t="shared" si="33"/>
        <v>5.1999999999999983E-8</v>
      </c>
      <c r="AR154" s="140">
        <f t="shared" si="34"/>
        <v>1.0399999999999999E-7</v>
      </c>
      <c r="AS154" s="140">
        <f t="shared" si="35"/>
        <v>1.5599999999999999E-7</v>
      </c>
      <c r="AT154" s="140">
        <f t="shared" si="36"/>
        <v>2.0800000000000001E-7</v>
      </c>
      <c r="AU154" s="140">
        <f t="shared" si="37"/>
        <v>2.6E-7</v>
      </c>
      <c r="AV154" s="157">
        <f t="shared" si="38"/>
        <v>1.2</v>
      </c>
      <c r="AW154" s="156">
        <f t="shared" si="39"/>
        <v>9.9999999999999995E-8</v>
      </c>
      <c r="AY154" s="140">
        <f t="shared" si="40"/>
        <v>5.2000000000000002E-6</v>
      </c>
      <c r="AZ154">
        <v>0.52</v>
      </c>
      <c r="BA154" s="140">
        <f t="shared" si="41"/>
        <v>5.1999999999999983E-8</v>
      </c>
      <c r="BB154" s="140">
        <f t="shared" si="42"/>
        <v>1.0399999999999999E-7</v>
      </c>
      <c r="BC154" s="140">
        <f t="shared" si="43"/>
        <v>1.5599999999999999E-7</v>
      </c>
      <c r="BD154" s="140">
        <f t="shared" si="44"/>
        <v>2.0800000000000001E-7</v>
      </c>
      <c r="BE154" s="140">
        <f t="shared" si="45"/>
        <v>2.6E-7</v>
      </c>
      <c r="BF154" s="157">
        <f>IF(AY154&lt;$B$89*DATA!$H$1037,DATA!$H$1037,IF(AY154&gt;DATA!$H$1036*$B$89,DATA!$H$1036,1))</f>
        <v>1.2</v>
      </c>
      <c r="BG154" s="156">
        <f t="shared" si="46"/>
        <v>9.9999999999999995E-8</v>
      </c>
      <c r="BI154" s="140">
        <f t="shared" si="47"/>
        <v>5.2000000000000002E-6</v>
      </c>
      <c r="BJ154">
        <v>0.52</v>
      </c>
      <c r="BK154" s="140">
        <f t="shared" si="48"/>
        <v>5.1999999999999983E-8</v>
      </c>
      <c r="BL154" s="140">
        <f t="shared" si="49"/>
        <v>1.0399999999999999E-7</v>
      </c>
      <c r="BM154" s="140">
        <f t="shared" si="50"/>
        <v>1.5599999999999999E-7</v>
      </c>
      <c r="BN154" s="140">
        <f t="shared" si="51"/>
        <v>2.0800000000000001E-7</v>
      </c>
      <c r="BO154" s="140">
        <f t="shared" si="52"/>
        <v>2.6E-7</v>
      </c>
      <c r="BP154" s="157">
        <f>IF(BI154&lt;$B$105*DATA!$H$1037,DATA!$H$1037,IF(BI154&gt;DATA!$H$1036*$B$105,DATA!$H$1036,1))</f>
        <v>1.2</v>
      </c>
      <c r="BQ154" s="156">
        <f t="shared" si="53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5"/>
        <v>1.08E-7</v>
      </c>
      <c r="E155" s="140">
        <f t="shared" si="5"/>
        <v>1.6200000000000002E-7</v>
      </c>
      <c r="F155" s="140">
        <f t="shared" si="5"/>
        <v>2.1600000000000003E-7</v>
      </c>
      <c r="G155" s="140">
        <f t="shared" si="5"/>
        <v>2.7000000000000006E-7</v>
      </c>
      <c r="H155" s="124">
        <f t="shared" si="6"/>
        <v>0.8</v>
      </c>
      <c r="I155" s="156">
        <f t="shared" si="7"/>
        <v>9.9999999999999995E-8</v>
      </c>
      <c r="K155" s="140">
        <f t="shared" si="8"/>
        <v>5.4000000000000008E-6</v>
      </c>
      <c r="L155">
        <v>0.54</v>
      </c>
      <c r="M155" s="140">
        <f t="shared" si="9"/>
        <v>5.3999999999999987E-8</v>
      </c>
      <c r="N155" s="140">
        <f t="shared" si="10"/>
        <v>1.08E-7</v>
      </c>
      <c r="O155" s="140">
        <f t="shared" si="11"/>
        <v>1.6200000000000002E-7</v>
      </c>
      <c r="P155" s="140">
        <f t="shared" si="12"/>
        <v>2.1600000000000003E-7</v>
      </c>
      <c r="Q155" s="140">
        <f t="shared" si="13"/>
        <v>2.7000000000000006E-7</v>
      </c>
      <c r="R155" s="157">
        <f t="shared" si="14"/>
        <v>0.8</v>
      </c>
      <c r="S155" s="156">
        <f t="shared" si="15"/>
        <v>9.9999999999999995E-8</v>
      </c>
      <c r="U155" s="140">
        <f t="shared" si="16"/>
        <v>5.4000000000000008E-6</v>
      </c>
      <c r="V155">
        <v>0.54</v>
      </c>
      <c r="W155" s="140">
        <f t="shared" si="17"/>
        <v>5.3999999999999987E-8</v>
      </c>
      <c r="X155" s="140">
        <f t="shared" si="18"/>
        <v>1.08E-7</v>
      </c>
      <c r="Y155" s="140">
        <f t="shared" si="19"/>
        <v>1.6200000000000002E-7</v>
      </c>
      <c r="Z155" s="140">
        <f t="shared" si="20"/>
        <v>2.1600000000000003E-7</v>
      </c>
      <c r="AA155" s="140">
        <f t="shared" si="21"/>
        <v>2.7000000000000006E-7</v>
      </c>
      <c r="AB155" s="157">
        <f t="shared" si="22"/>
        <v>0.8</v>
      </c>
      <c r="AC155" s="156">
        <f t="shared" si="23"/>
        <v>9.9999999999999995E-8</v>
      </c>
      <c r="AE155" s="140">
        <f t="shared" si="24"/>
        <v>5.4000000000000008E-6</v>
      </c>
      <c r="AF155">
        <v>0.54</v>
      </c>
      <c r="AG155" s="140">
        <f t="shared" si="25"/>
        <v>5.3999999999999987E-8</v>
      </c>
      <c r="AH155" s="140">
        <f t="shared" si="26"/>
        <v>1.08E-7</v>
      </c>
      <c r="AI155" s="140">
        <f t="shared" si="27"/>
        <v>1.6200000000000002E-7</v>
      </c>
      <c r="AJ155" s="140">
        <f t="shared" si="28"/>
        <v>2.1600000000000003E-7</v>
      </c>
      <c r="AK155" s="140">
        <f t="shared" si="29"/>
        <v>2.7000000000000006E-7</v>
      </c>
      <c r="AL155" s="157">
        <f t="shared" si="30"/>
        <v>1.2</v>
      </c>
      <c r="AM155" s="156">
        <f t="shared" si="31"/>
        <v>9.9999999999999995E-8</v>
      </c>
      <c r="AO155" s="140">
        <f t="shared" si="32"/>
        <v>5.4000000000000008E-6</v>
      </c>
      <c r="AP155">
        <v>0.54</v>
      </c>
      <c r="AQ155" s="140">
        <f t="shared" si="33"/>
        <v>5.3999999999999987E-8</v>
      </c>
      <c r="AR155" s="140">
        <f t="shared" si="34"/>
        <v>1.08E-7</v>
      </c>
      <c r="AS155" s="140">
        <f t="shared" si="35"/>
        <v>1.6200000000000002E-7</v>
      </c>
      <c r="AT155" s="140">
        <f t="shared" si="36"/>
        <v>2.1600000000000003E-7</v>
      </c>
      <c r="AU155" s="140">
        <f t="shared" si="37"/>
        <v>2.7000000000000006E-7</v>
      </c>
      <c r="AV155" s="157">
        <f t="shared" si="38"/>
        <v>1.2</v>
      </c>
      <c r="AW155" s="156">
        <f t="shared" si="39"/>
        <v>9.9999999999999995E-8</v>
      </c>
      <c r="AY155" s="140">
        <f t="shared" si="40"/>
        <v>5.4000000000000008E-6</v>
      </c>
      <c r="AZ155">
        <v>0.54</v>
      </c>
      <c r="BA155" s="140">
        <f t="shared" si="41"/>
        <v>5.3999999999999987E-8</v>
      </c>
      <c r="BB155" s="140">
        <f t="shared" si="42"/>
        <v>1.08E-7</v>
      </c>
      <c r="BC155" s="140">
        <f t="shared" si="43"/>
        <v>1.6200000000000002E-7</v>
      </c>
      <c r="BD155" s="140">
        <f t="shared" si="44"/>
        <v>2.1600000000000003E-7</v>
      </c>
      <c r="BE155" s="140">
        <f t="shared" si="45"/>
        <v>2.7000000000000006E-7</v>
      </c>
      <c r="BF155" s="157">
        <f>IF(AY155&lt;$B$89*DATA!$H$1037,DATA!$H$1037,IF(AY155&gt;DATA!$H$1036*$B$89,DATA!$H$1036,1))</f>
        <v>1.2</v>
      </c>
      <c r="BG155" s="156">
        <f t="shared" si="46"/>
        <v>9.9999999999999995E-8</v>
      </c>
      <c r="BI155" s="140">
        <f t="shared" si="47"/>
        <v>5.4000000000000008E-6</v>
      </c>
      <c r="BJ155">
        <v>0.54</v>
      </c>
      <c r="BK155" s="140">
        <f t="shared" si="48"/>
        <v>5.3999999999999987E-8</v>
      </c>
      <c r="BL155" s="140">
        <f t="shared" si="49"/>
        <v>1.08E-7</v>
      </c>
      <c r="BM155" s="140">
        <f t="shared" si="50"/>
        <v>1.6200000000000002E-7</v>
      </c>
      <c r="BN155" s="140">
        <f t="shared" si="51"/>
        <v>2.1600000000000003E-7</v>
      </c>
      <c r="BO155" s="140">
        <f t="shared" si="52"/>
        <v>2.7000000000000006E-7</v>
      </c>
      <c r="BP155" s="157">
        <f>IF(BI155&lt;$B$105*DATA!$H$1037,DATA!$H$1037,IF(BI155&gt;DATA!$H$1036*$B$105,DATA!$H$1036,1))</f>
        <v>1.2</v>
      </c>
      <c r="BQ155" s="156">
        <f t="shared" si="53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5"/>
        <v>1.12E-7</v>
      </c>
      <c r="E156" s="140">
        <f t="shared" si="5"/>
        <v>1.6800000000000002E-7</v>
      </c>
      <c r="F156" s="140">
        <f t="shared" si="5"/>
        <v>2.2400000000000002E-7</v>
      </c>
      <c r="G156" s="140">
        <f t="shared" si="5"/>
        <v>2.8000000000000002E-7</v>
      </c>
      <c r="H156" s="124">
        <f t="shared" si="6"/>
        <v>0.8</v>
      </c>
      <c r="I156" s="156">
        <f t="shared" si="7"/>
        <v>9.9999999999999995E-8</v>
      </c>
      <c r="K156" s="140">
        <f t="shared" si="8"/>
        <v>5.6000000000000006E-6</v>
      </c>
      <c r="L156">
        <v>0.56000000000000005</v>
      </c>
      <c r="M156" s="140">
        <f t="shared" si="9"/>
        <v>5.5999999999999985E-8</v>
      </c>
      <c r="N156" s="140">
        <f t="shared" si="10"/>
        <v>1.12E-7</v>
      </c>
      <c r="O156" s="140">
        <f t="shared" si="11"/>
        <v>1.6800000000000002E-7</v>
      </c>
      <c r="P156" s="140">
        <f t="shared" si="12"/>
        <v>2.2400000000000002E-7</v>
      </c>
      <c r="Q156" s="140">
        <f t="shared" si="13"/>
        <v>2.8000000000000002E-7</v>
      </c>
      <c r="R156" s="157">
        <f t="shared" si="14"/>
        <v>0.8</v>
      </c>
      <c r="S156" s="156">
        <f t="shared" si="15"/>
        <v>9.9999999999999995E-8</v>
      </c>
      <c r="U156" s="140">
        <f t="shared" si="16"/>
        <v>5.6000000000000006E-6</v>
      </c>
      <c r="V156">
        <v>0.56000000000000005</v>
      </c>
      <c r="W156" s="140">
        <f t="shared" si="17"/>
        <v>5.5999999999999985E-8</v>
      </c>
      <c r="X156" s="140">
        <f t="shared" si="18"/>
        <v>1.12E-7</v>
      </c>
      <c r="Y156" s="140">
        <f t="shared" si="19"/>
        <v>1.6800000000000002E-7</v>
      </c>
      <c r="Z156" s="140">
        <f t="shared" si="20"/>
        <v>2.2400000000000002E-7</v>
      </c>
      <c r="AA156" s="140">
        <f t="shared" si="21"/>
        <v>2.8000000000000002E-7</v>
      </c>
      <c r="AB156" s="157">
        <f t="shared" si="22"/>
        <v>0.8</v>
      </c>
      <c r="AC156" s="156">
        <f t="shared" si="23"/>
        <v>9.9999999999999995E-8</v>
      </c>
      <c r="AE156" s="140">
        <f t="shared" si="24"/>
        <v>5.6000000000000006E-6</v>
      </c>
      <c r="AF156">
        <v>0.56000000000000005</v>
      </c>
      <c r="AG156" s="140">
        <f t="shared" si="25"/>
        <v>5.5999999999999985E-8</v>
      </c>
      <c r="AH156" s="140">
        <f t="shared" si="26"/>
        <v>1.12E-7</v>
      </c>
      <c r="AI156" s="140">
        <f t="shared" si="27"/>
        <v>1.6800000000000002E-7</v>
      </c>
      <c r="AJ156" s="140">
        <f t="shared" si="28"/>
        <v>2.2400000000000002E-7</v>
      </c>
      <c r="AK156" s="140">
        <f t="shared" si="29"/>
        <v>2.8000000000000002E-7</v>
      </c>
      <c r="AL156" s="157">
        <f t="shared" si="30"/>
        <v>1.2</v>
      </c>
      <c r="AM156" s="156">
        <f t="shared" si="31"/>
        <v>9.9999999999999995E-8</v>
      </c>
      <c r="AO156" s="140">
        <f t="shared" si="32"/>
        <v>5.6000000000000006E-6</v>
      </c>
      <c r="AP156">
        <v>0.56000000000000005</v>
      </c>
      <c r="AQ156" s="140">
        <f t="shared" si="33"/>
        <v>5.5999999999999985E-8</v>
      </c>
      <c r="AR156" s="140">
        <f t="shared" si="34"/>
        <v>1.12E-7</v>
      </c>
      <c r="AS156" s="140">
        <f t="shared" si="35"/>
        <v>1.6800000000000002E-7</v>
      </c>
      <c r="AT156" s="140">
        <f t="shared" si="36"/>
        <v>2.2400000000000002E-7</v>
      </c>
      <c r="AU156" s="140">
        <f t="shared" si="37"/>
        <v>2.8000000000000002E-7</v>
      </c>
      <c r="AV156" s="157">
        <f t="shared" si="38"/>
        <v>1.2</v>
      </c>
      <c r="AW156" s="156">
        <f t="shared" si="39"/>
        <v>9.9999999999999995E-8</v>
      </c>
      <c r="AY156" s="140">
        <f t="shared" si="40"/>
        <v>5.6000000000000006E-6</v>
      </c>
      <c r="AZ156">
        <v>0.56000000000000005</v>
      </c>
      <c r="BA156" s="140">
        <f t="shared" si="41"/>
        <v>5.5999999999999985E-8</v>
      </c>
      <c r="BB156" s="140">
        <f t="shared" si="42"/>
        <v>1.12E-7</v>
      </c>
      <c r="BC156" s="140">
        <f t="shared" si="43"/>
        <v>1.6800000000000002E-7</v>
      </c>
      <c r="BD156" s="140">
        <f t="shared" si="44"/>
        <v>2.2400000000000002E-7</v>
      </c>
      <c r="BE156" s="140">
        <f t="shared" si="45"/>
        <v>2.8000000000000002E-7</v>
      </c>
      <c r="BF156" s="157">
        <f>IF(AY156&lt;$B$89*DATA!$H$1037,DATA!$H$1037,IF(AY156&gt;DATA!$H$1036*$B$89,DATA!$H$1036,1))</f>
        <v>1.2</v>
      </c>
      <c r="BG156" s="156">
        <f t="shared" si="46"/>
        <v>9.9999999999999995E-8</v>
      </c>
      <c r="BI156" s="140">
        <f t="shared" si="47"/>
        <v>5.6000000000000006E-6</v>
      </c>
      <c r="BJ156">
        <v>0.56000000000000005</v>
      </c>
      <c r="BK156" s="140">
        <f t="shared" si="48"/>
        <v>5.5999999999999985E-8</v>
      </c>
      <c r="BL156" s="140">
        <f t="shared" si="49"/>
        <v>1.12E-7</v>
      </c>
      <c r="BM156" s="140">
        <f t="shared" si="50"/>
        <v>1.6800000000000002E-7</v>
      </c>
      <c r="BN156" s="140">
        <f t="shared" si="51"/>
        <v>2.2400000000000002E-7</v>
      </c>
      <c r="BO156" s="140">
        <f t="shared" si="52"/>
        <v>2.8000000000000002E-7</v>
      </c>
      <c r="BP156" s="157">
        <f>IF(BI156&lt;$B$105*DATA!$H$1037,DATA!$H$1037,IF(BI156&gt;DATA!$H$1036*$B$105,DATA!$H$1036,1))</f>
        <v>1.2</v>
      </c>
      <c r="BQ156" s="156">
        <f t="shared" si="53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5"/>
        <v>1.1599999999999999E-7</v>
      </c>
      <c r="E157" s="140">
        <f t="shared" si="5"/>
        <v>1.74E-7</v>
      </c>
      <c r="F157" s="140">
        <f t="shared" si="5"/>
        <v>2.3200000000000001E-7</v>
      </c>
      <c r="G157" s="140">
        <f t="shared" si="5"/>
        <v>2.9000000000000003E-7</v>
      </c>
      <c r="H157" s="124">
        <f t="shared" si="6"/>
        <v>0.8</v>
      </c>
      <c r="I157" s="156">
        <f t="shared" si="7"/>
        <v>9.9999999999999995E-8</v>
      </c>
      <c r="K157" s="140">
        <f t="shared" si="8"/>
        <v>5.8000000000000004E-6</v>
      </c>
      <c r="L157">
        <v>0.57999999999999996</v>
      </c>
      <c r="M157" s="140">
        <f t="shared" si="9"/>
        <v>5.7999999999999983E-8</v>
      </c>
      <c r="N157" s="140">
        <f t="shared" si="10"/>
        <v>1.1599999999999999E-7</v>
      </c>
      <c r="O157" s="140">
        <f t="shared" si="11"/>
        <v>1.74E-7</v>
      </c>
      <c r="P157" s="140">
        <f t="shared" si="12"/>
        <v>2.3200000000000001E-7</v>
      </c>
      <c r="Q157" s="140">
        <f t="shared" si="13"/>
        <v>2.9000000000000003E-7</v>
      </c>
      <c r="R157" s="157">
        <f t="shared" si="14"/>
        <v>0.8</v>
      </c>
      <c r="S157" s="156">
        <f t="shared" si="15"/>
        <v>9.9999999999999995E-8</v>
      </c>
      <c r="U157" s="140">
        <f t="shared" si="16"/>
        <v>5.8000000000000004E-6</v>
      </c>
      <c r="V157">
        <v>0.57999999999999996</v>
      </c>
      <c r="W157" s="140">
        <f t="shared" si="17"/>
        <v>5.7999999999999983E-8</v>
      </c>
      <c r="X157" s="140">
        <f t="shared" si="18"/>
        <v>1.1599999999999999E-7</v>
      </c>
      <c r="Y157" s="140">
        <f t="shared" si="19"/>
        <v>1.74E-7</v>
      </c>
      <c r="Z157" s="140">
        <f t="shared" si="20"/>
        <v>2.3200000000000001E-7</v>
      </c>
      <c r="AA157" s="140">
        <f t="shared" si="21"/>
        <v>2.9000000000000003E-7</v>
      </c>
      <c r="AB157" s="157">
        <f t="shared" si="22"/>
        <v>0.8</v>
      </c>
      <c r="AC157" s="156">
        <f t="shared" si="23"/>
        <v>9.9999999999999995E-8</v>
      </c>
      <c r="AE157" s="140">
        <f t="shared" si="24"/>
        <v>5.8000000000000004E-6</v>
      </c>
      <c r="AF157">
        <v>0.57999999999999996</v>
      </c>
      <c r="AG157" s="140">
        <f t="shared" si="25"/>
        <v>5.7999999999999983E-8</v>
      </c>
      <c r="AH157" s="140">
        <f t="shared" si="26"/>
        <v>1.1599999999999999E-7</v>
      </c>
      <c r="AI157" s="140">
        <f t="shared" si="27"/>
        <v>1.74E-7</v>
      </c>
      <c r="AJ157" s="140">
        <f t="shared" si="28"/>
        <v>2.3200000000000001E-7</v>
      </c>
      <c r="AK157" s="140">
        <f t="shared" si="29"/>
        <v>2.9000000000000003E-7</v>
      </c>
      <c r="AL157" s="157">
        <f t="shared" si="30"/>
        <v>1.2</v>
      </c>
      <c r="AM157" s="156">
        <f t="shared" si="31"/>
        <v>9.9999999999999995E-8</v>
      </c>
      <c r="AO157" s="140">
        <f t="shared" si="32"/>
        <v>5.8000000000000004E-6</v>
      </c>
      <c r="AP157">
        <v>0.57999999999999996</v>
      </c>
      <c r="AQ157" s="140">
        <f t="shared" si="33"/>
        <v>5.7999999999999983E-8</v>
      </c>
      <c r="AR157" s="140">
        <f t="shared" si="34"/>
        <v>1.1599999999999999E-7</v>
      </c>
      <c r="AS157" s="140">
        <f t="shared" si="35"/>
        <v>1.74E-7</v>
      </c>
      <c r="AT157" s="140">
        <f t="shared" si="36"/>
        <v>2.3200000000000001E-7</v>
      </c>
      <c r="AU157" s="140">
        <f t="shared" si="37"/>
        <v>2.9000000000000003E-7</v>
      </c>
      <c r="AV157" s="157">
        <f t="shared" si="38"/>
        <v>1.2</v>
      </c>
      <c r="AW157" s="156">
        <f t="shared" si="39"/>
        <v>9.9999999999999995E-8</v>
      </c>
      <c r="AY157" s="140">
        <f t="shared" si="40"/>
        <v>5.8000000000000004E-6</v>
      </c>
      <c r="AZ157">
        <v>0.57999999999999996</v>
      </c>
      <c r="BA157" s="140">
        <f t="shared" si="41"/>
        <v>5.7999999999999983E-8</v>
      </c>
      <c r="BB157" s="140">
        <f t="shared" si="42"/>
        <v>1.1599999999999999E-7</v>
      </c>
      <c r="BC157" s="140">
        <f t="shared" si="43"/>
        <v>1.74E-7</v>
      </c>
      <c r="BD157" s="140">
        <f t="shared" si="44"/>
        <v>2.3200000000000001E-7</v>
      </c>
      <c r="BE157" s="140">
        <f t="shared" si="45"/>
        <v>2.9000000000000003E-7</v>
      </c>
      <c r="BF157" s="157">
        <f>IF(AY157&lt;$B$89*DATA!$H$1037,DATA!$H$1037,IF(AY157&gt;DATA!$H$1036*$B$89,DATA!$H$1036,1))</f>
        <v>1.2</v>
      </c>
      <c r="BG157" s="156">
        <f t="shared" si="46"/>
        <v>9.9999999999999995E-8</v>
      </c>
      <c r="BI157" s="140">
        <f t="shared" si="47"/>
        <v>5.8000000000000004E-6</v>
      </c>
      <c r="BJ157">
        <v>0.57999999999999996</v>
      </c>
      <c r="BK157" s="140">
        <f t="shared" si="48"/>
        <v>5.7999999999999983E-8</v>
      </c>
      <c r="BL157" s="140">
        <f t="shared" si="49"/>
        <v>1.1599999999999999E-7</v>
      </c>
      <c r="BM157" s="140">
        <f t="shared" si="50"/>
        <v>1.74E-7</v>
      </c>
      <c r="BN157" s="140">
        <f t="shared" si="51"/>
        <v>2.3200000000000001E-7</v>
      </c>
      <c r="BO157" s="140">
        <f t="shared" si="52"/>
        <v>2.9000000000000003E-7</v>
      </c>
      <c r="BP157" s="157">
        <f>IF(BI157&lt;$B$105*DATA!$H$1037,DATA!$H$1037,IF(BI157&gt;DATA!$H$1036*$B$105,DATA!$H$1036,1))</f>
        <v>1.2</v>
      </c>
      <c r="BQ157" s="156">
        <f t="shared" si="53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5"/>
        <v>1.1999999999999999E-7</v>
      </c>
      <c r="E158" s="140">
        <f t="shared" si="5"/>
        <v>1.8E-7</v>
      </c>
      <c r="F158" s="140">
        <f t="shared" si="5"/>
        <v>2.4000000000000003E-7</v>
      </c>
      <c r="G158" s="140">
        <f t="shared" si="5"/>
        <v>3.0000000000000004E-7</v>
      </c>
      <c r="H158" s="124">
        <f t="shared" si="6"/>
        <v>0.8</v>
      </c>
      <c r="I158" s="156">
        <f t="shared" si="7"/>
        <v>9.9999999999999995E-8</v>
      </c>
      <c r="K158" s="140">
        <f t="shared" si="8"/>
        <v>6.0000000000000002E-6</v>
      </c>
      <c r="L158">
        <v>0.6</v>
      </c>
      <c r="M158" s="140">
        <f t="shared" si="9"/>
        <v>5.9999999999999981E-8</v>
      </c>
      <c r="N158" s="140">
        <f t="shared" si="10"/>
        <v>1.1999999999999999E-7</v>
      </c>
      <c r="O158" s="140">
        <f t="shared" si="11"/>
        <v>1.8E-7</v>
      </c>
      <c r="P158" s="140">
        <f t="shared" si="12"/>
        <v>2.4000000000000003E-7</v>
      </c>
      <c r="Q158" s="140">
        <f t="shared" si="13"/>
        <v>3.0000000000000004E-7</v>
      </c>
      <c r="R158" s="157">
        <f t="shared" si="14"/>
        <v>0.8</v>
      </c>
      <c r="S158" s="156">
        <f t="shared" si="15"/>
        <v>9.9999999999999995E-8</v>
      </c>
      <c r="U158" s="140">
        <f t="shared" si="16"/>
        <v>6.0000000000000002E-6</v>
      </c>
      <c r="V158">
        <v>0.6</v>
      </c>
      <c r="W158" s="140">
        <f t="shared" si="17"/>
        <v>5.9999999999999981E-8</v>
      </c>
      <c r="X158" s="140">
        <f t="shared" si="18"/>
        <v>1.1999999999999999E-7</v>
      </c>
      <c r="Y158" s="140">
        <f t="shared" si="19"/>
        <v>1.8E-7</v>
      </c>
      <c r="Z158" s="140">
        <f t="shared" si="20"/>
        <v>2.4000000000000003E-7</v>
      </c>
      <c r="AA158" s="140">
        <f t="shared" si="21"/>
        <v>3.0000000000000004E-7</v>
      </c>
      <c r="AB158" s="157">
        <f t="shared" si="22"/>
        <v>0.8</v>
      </c>
      <c r="AC158" s="156">
        <f t="shared" si="23"/>
        <v>9.9999999999999995E-8</v>
      </c>
      <c r="AE158" s="140">
        <f t="shared" si="24"/>
        <v>6.0000000000000002E-6</v>
      </c>
      <c r="AF158">
        <v>0.6</v>
      </c>
      <c r="AG158" s="140">
        <f t="shared" si="25"/>
        <v>5.9999999999999981E-8</v>
      </c>
      <c r="AH158" s="140">
        <f t="shared" si="26"/>
        <v>1.1999999999999999E-7</v>
      </c>
      <c r="AI158" s="140">
        <f t="shared" si="27"/>
        <v>1.8E-7</v>
      </c>
      <c r="AJ158" s="140">
        <f t="shared" si="28"/>
        <v>2.4000000000000003E-7</v>
      </c>
      <c r="AK158" s="140">
        <f t="shared" si="29"/>
        <v>3.0000000000000004E-7</v>
      </c>
      <c r="AL158" s="157">
        <f t="shared" si="30"/>
        <v>1.2</v>
      </c>
      <c r="AM158" s="156">
        <f t="shared" si="31"/>
        <v>9.9999999999999995E-8</v>
      </c>
      <c r="AO158" s="140">
        <f t="shared" si="32"/>
        <v>6.0000000000000002E-6</v>
      </c>
      <c r="AP158">
        <v>0.6</v>
      </c>
      <c r="AQ158" s="140">
        <f t="shared" si="33"/>
        <v>5.9999999999999981E-8</v>
      </c>
      <c r="AR158" s="140">
        <f t="shared" si="34"/>
        <v>1.1999999999999999E-7</v>
      </c>
      <c r="AS158" s="140">
        <f t="shared" si="35"/>
        <v>1.8E-7</v>
      </c>
      <c r="AT158" s="140">
        <f t="shared" si="36"/>
        <v>2.4000000000000003E-7</v>
      </c>
      <c r="AU158" s="140">
        <f t="shared" si="37"/>
        <v>3.0000000000000004E-7</v>
      </c>
      <c r="AV158" s="157">
        <f t="shared" si="38"/>
        <v>1.2</v>
      </c>
      <c r="AW158" s="156">
        <f t="shared" si="39"/>
        <v>9.9999999999999995E-8</v>
      </c>
      <c r="AY158" s="140">
        <f t="shared" si="40"/>
        <v>6.0000000000000002E-6</v>
      </c>
      <c r="AZ158">
        <v>0.6</v>
      </c>
      <c r="BA158" s="140">
        <f t="shared" si="41"/>
        <v>5.9999999999999981E-8</v>
      </c>
      <c r="BB158" s="140">
        <f t="shared" si="42"/>
        <v>1.1999999999999999E-7</v>
      </c>
      <c r="BC158" s="140">
        <f t="shared" si="43"/>
        <v>1.8E-7</v>
      </c>
      <c r="BD158" s="140">
        <f t="shared" si="44"/>
        <v>2.4000000000000003E-7</v>
      </c>
      <c r="BE158" s="140">
        <f t="shared" si="45"/>
        <v>3.0000000000000004E-7</v>
      </c>
      <c r="BF158" s="157">
        <f>IF(AY158&lt;$B$89*DATA!$H$1037,DATA!$H$1037,IF(AY158&gt;DATA!$H$1036*$B$89,DATA!$H$1036,1))</f>
        <v>1.2</v>
      </c>
      <c r="BG158" s="156">
        <f t="shared" si="46"/>
        <v>9.9999999999999995E-8</v>
      </c>
      <c r="BI158" s="140">
        <f t="shared" si="47"/>
        <v>6.0000000000000002E-6</v>
      </c>
      <c r="BJ158">
        <v>0.6</v>
      </c>
      <c r="BK158" s="140">
        <f t="shared" si="48"/>
        <v>5.9999999999999981E-8</v>
      </c>
      <c r="BL158" s="140">
        <f t="shared" si="49"/>
        <v>1.1999999999999999E-7</v>
      </c>
      <c r="BM158" s="140">
        <f t="shared" si="50"/>
        <v>1.8E-7</v>
      </c>
      <c r="BN158" s="140">
        <f t="shared" si="51"/>
        <v>2.4000000000000003E-7</v>
      </c>
      <c r="BO158" s="140">
        <f t="shared" si="52"/>
        <v>3.0000000000000004E-7</v>
      </c>
      <c r="BP158" s="157">
        <f>IF(BI158&lt;$B$105*DATA!$H$1037,DATA!$H$1037,IF(BI158&gt;DATA!$H$1036*$B$105,DATA!$H$1036,1))</f>
        <v>1.2</v>
      </c>
      <c r="BQ158" s="156">
        <f t="shared" si="53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ref="C159:G174" si="54">C$142*$A159</f>
        <v>6.1999999999999986E-8</v>
      </c>
      <c r="D159" s="140">
        <f t="shared" si="54"/>
        <v>1.24E-7</v>
      </c>
      <c r="E159" s="140">
        <f t="shared" si="54"/>
        <v>1.8600000000000002E-7</v>
      </c>
      <c r="F159" s="140">
        <f t="shared" si="54"/>
        <v>2.4800000000000005E-7</v>
      </c>
      <c r="G159" s="140">
        <f t="shared" si="54"/>
        <v>3.1000000000000005E-7</v>
      </c>
      <c r="H159" s="124">
        <f t="shared" si="6"/>
        <v>0.8</v>
      </c>
      <c r="I159" s="156">
        <f t="shared" si="7"/>
        <v>9.9999999999999995E-8</v>
      </c>
      <c r="K159" s="140">
        <f t="shared" si="8"/>
        <v>6.2000000000000008E-6</v>
      </c>
      <c r="L159">
        <v>0.62</v>
      </c>
      <c r="M159" s="140">
        <f t="shared" si="9"/>
        <v>6.1999999999999986E-8</v>
      </c>
      <c r="N159" s="140">
        <f t="shared" si="10"/>
        <v>1.24E-7</v>
      </c>
      <c r="O159" s="140">
        <f t="shared" si="11"/>
        <v>1.8600000000000002E-7</v>
      </c>
      <c r="P159" s="140">
        <f t="shared" si="12"/>
        <v>2.4800000000000005E-7</v>
      </c>
      <c r="Q159" s="140">
        <f t="shared" si="13"/>
        <v>3.1000000000000005E-7</v>
      </c>
      <c r="R159" s="157">
        <f t="shared" si="14"/>
        <v>0.8</v>
      </c>
      <c r="S159" s="156">
        <f t="shared" si="15"/>
        <v>9.9999999999999995E-8</v>
      </c>
      <c r="U159" s="140">
        <f t="shared" si="16"/>
        <v>6.2000000000000008E-6</v>
      </c>
      <c r="V159">
        <v>0.62</v>
      </c>
      <c r="W159" s="140">
        <f t="shared" si="17"/>
        <v>6.1999999999999986E-8</v>
      </c>
      <c r="X159" s="140">
        <f t="shared" si="18"/>
        <v>1.24E-7</v>
      </c>
      <c r="Y159" s="140">
        <f t="shared" si="19"/>
        <v>1.8600000000000002E-7</v>
      </c>
      <c r="Z159" s="140">
        <f t="shared" si="20"/>
        <v>2.4800000000000005E-7</v>
      </c>
      <c r="AA159" s="140">
        <f t="shared" si="21"/>
        <v>3.1000000000000005E-7</v>
      </c>
      <c r="AB159" s="157">
        <f t="shared" si="22"/>
        <v>0.8</v>
      </c>
      <c r="AC159" s="156">
        <f t="shared" si="23"/>
        <v>9.9999999999999995E-8</v>
      </c>
      <c r="AE159" s="140">
        <f t="shared" si="24"/>
        <v>6.2000000000000008E-6</v>
      </c>
      <c r="AF159">
        <v>0.62</v>
      </c>
      <c r="AG159" s="140">
        <f t="shared" si="25"/>
        <v>6.1999999999999986E-8</v>
      </c>
      <c r="AH159" s="140">
        <f t="shared" si="26"/>
        <v>1.24E-7</v>
      </c>
      <c r="AI159" s="140">
        <f t="shared" si="27"/>
        <v>1.8600000000000002E-7</v>
      </c>
      <c r="AJ159" s="140">
        <f t="shared" si="28"/>
        <v>2.4800000000000005E-7</v>
      </c>
      <c r="AK159" s="140">
        <f t="shared" si="29"/>
        <v>3.1000000000000005E-7</v>
      </c>
      <c r="AL159" s="157">
        <f t="shared" si="30"/>
        <v>1.2</v>
      </c>
      <c r="AM159" s="156">
        <f t="shared" si="31"/>
        <v>9.9999999999999995E-8</v>
      </c>
      <c r="AO159" s="140">
        <f t="shared" si="32"/>
        <v>6.2000000000000008E-6</v>
      </c>
      <c r="AP159">
        <v>0.62</v>
      </c>
      <c r="AQ159" s="140">
        <f t="shared" si="33"/>
        <v>6.1999999999999986E-8</v>
      </c>
      <c r="AR159" s="140">
        <f t="shared" si="34"/>
        <v>1.24E-7</v>
      </c>
      <c r="AS159" s="140">
        <f t="shared" si="35"/>
        <v>1.8600000000000002E-7</v>
      </c>
      <c r="AT159" s="140">
        <f t="shared" si="36"/>
        <v>2.4800000000000005E-7</v>
      </c>
      <c r="AU159" s="140">
        <f t="shared" si="37"/>
        <v>3.1000000000000005E-7</v>
      </c>
      <c r="AV159" s="157">
        <f t="shared" si="38"/>
        <v>1.2</v>
      </c>
      <c r="AW159" s="156">
        <f t="shared" si="39"/>
        <v>9.9999999999999995E-8</v>
      </c>
      <c r="AY159" s="140">
        <f t="shared" si="40"/>
        <v>6.2000000000000008E-6</v>
      </c>
      <c r="AZ159">
        <v>0.62</v>
      </c>
      <c r="BA159" s="140">
        <f t="shared" si="41"/>
        <v>6.1999999999999986E-8</v>
      </c>
      <c r="BB159" s="140">
        <f t="shared" si="42"/>
        <v>1.24E-7</v>
      </c>
      <c r="BC159" s="140">
        <f t="shared" si="43"/>
        <v>1.8600000000000002E-7</v>
      </c>
      <c r="BD159" s="140">
        <f t="shared" si="44"/>
        <v>2.4800000000000005E-7</v>
      </c>
      <c r="BE159" s="140">
        <f t="shared" si="45"/>
        <v>3.1000000000000005E-7</v>
      </c>
      <c r="BF159" s="157">
        <f>IF(AY159&lt;$B$89*DATA!$H$1037,DATA!$H$1037,IF(AY159&gt;DATA!$H$1036*$B$89,DATA!$H$1036,1))</f>
        <v>1.2</v>
      </c>
      <c r="BG159" s="156">
        <f t="shared" si="46"/>
        <v>9.9999999999999995E-8</v>
      </c>
      <c r="BI159" s="140">
        <f t="shared" si="47"/>
        <v>6.2000000000000008E-6</v>
      </c>
      <c r="BJ159">
        <v>0.62</v>
      </c>
      <c r="BK159" s="140">
        <f t="shared" si="48"/>
        <v>6.1999999999999986E-8</v>
      </c>
      <c r="BL159" s="140">
        <f t="shared" si="49"/>
        <v>1.24E-7</v>
      </c>
      <c r="BM159" s="140">
        <f t="shared" si="50"/>
        <v>1.8600000000000002E-7</v>
      </c>
      <c r="BN159" s="140">
        <f t="shared" si="51"/>
        <v>2.4800000000000005E-7</v>
      </c>
      <c r="BO159" s="140">
        <f t="shared" si="52"/>
        <v>3.1000000000000005E-7</v>
      </c>
      <c r="BP159" s="157">
        <f>IF(BI159&lt;$B$105*DATA!$H$1037,DATA!$H$1037,IF(BI159&gt;DATA!$H$1036*$B$105,DATA!$H$1036,1))</f>
        <v>1.2</v>
      </c>
      <c r="BQ159" s="156">
        <f t="shared" si="53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4"/>
        <v>6.3999999999999991E-8</v>
      </c>
      <c r="D160" s="140">
        <f t="shared" si="54"/>
        <v>1.2799999999999998E-7</v>
      </c>
      <c r="E160" s="140">
        <f t="shared" si="54"/>
        <v>1.92E-7</v>
      </c>
      <c r="F160" s="140">
        <f t="shared" si="54"/>
        <v>2.5600000000000002E-7</v>
      </c>
      <c r="G160" s="140">
        <f t="shared" si="54"/>
        <v>3.2000000000000006E-7</v>
      </c>
      <c r="H160" s="124">
        <f t="shared" si="6"/>
        <v>0.8</v>
      </c>
      <c r="I160" s="156">
        <f t="shared" si="7"/>
        <v>9.9999999999999995E-8</v>
      </c>
      <c r="K160" s="140">
        <f t="shared" si="8"/>
        <v>6.4000000000000006E-6</v>
      </c>
      <c r="L160">
        <v>0.64</v>
      </c>
      <c r="M160" s="140">
        <f t="shared" si="9"/>
        <v>6.3999999999999991E-8</v>
      </c>
      <c r="N160" s="140">
        <f t="shared" si="10"/>
        <v>1.2799999999999998E-7</v>
      </c>
      <c r="O160" s="140">
        <f t="shared" si="11"/>
        <v>1.92E-7</v>
      </c>
      <c r="P160" s="140">
        <f t="shared" si="12"/>
        <v>2.5600000000000002E-7</v>
      </c>
      <c r="Q160" s="140">
        <f t="shared" si="13"/>
        <v>3.2000000000000006E-7</v>
      </c>
      <c r="R160" s="157">
        <f t="shared" si="14"/>
        <v>0.8</v>
      </c>
      <c r="S160" s="156">
        <f t="shared" si="15"/>
        <v>9.9999999999999995E-8</v>
      </c>
      <c r="U160" s="140">
        <f t="shared" si="16"/>
        <v>6.4000000000000006E-6</v>
      </c>
      <c r="V160">
        <v>0.64</v>
      </c>
      <c r="W160" s="140">
        <f t="shared" si="17"/>
        <v>6.3999999999999991E-8</v>
      </c>
      <c r="X160" s="140">
        <f t="shared" si="18"/>
        <v>1.2799999999999998E-7</v>
      </c>
      <c r="Y160" s="140">
        <f t="shared" si="19"/>
        <v>1.92E-7</v>
      </c>
      <c r="Z160" s="140">
        <f t="shared" si="20"/>
        <v>2.5600000000000002E-7</v>
      </c>
      <c r="AA160" s="140">
        <f t="shared" si="21"/>
        <v>3.2000000000000006E-7</v>
      </c>
      <c r="AB160" s="157">
        <f t="shared" si="22"/>
        <v>0.8</v>
      </c>
      <c r="AC160" s="156">
        <f t="shared" si="23"/>
        <v>9.9999999999999995E-8</v>
      </c>
      <c r="AE160" s="140">
        <f t="shared" si="24"/>
        <v>6.4000000000000006E-6</v>
      </c>
      <c r="AF160">
        <v>0.64</v>
      </c>
      <c r="AG160" s="140">
        <f t="shared" si="25"/>
        <v>6.3999999999999991E-8</v>
      </c>
      <c r="AH160" s="140">
        <f t="shared" si="26"/>
        <v>1.2799999999999998E-7</v>
      </c>
      <c r="AI160" s="140">
        <f t="shared" si="27"/>
        <v>1.92E-7</v>
      </c>
      <c r="AJ160" s="140">
        <f t="shared" si="28"/>
        <v>2.5600000000000002E-7</v>
      </c>
      <c r="AK160" s="140">
        <f t="shared" si="29"/>
        <v>3.2000000000000006E-7</v>
      </c>
      <c r="AL160" s="157">
        <f t="shared" si="30"/>
        <v>1.2</v>
      </c>
      <c r="AM160" s="156">
        <f t="shared" si="31"/>
        <v>9.9999999999999995E-8</v>
      </c>
      <c r="AO160" s="140">
        <f t="shared" si="32"/>
        <v>6.4000000000000006E-6</v>
      </c>
      <c r="AP160">
        <v>0.64</v>
      </c>
      <c r="AQ160" s="140">
        <f t="shared" si="33"/>
        <v>6.3999999999999991E-8</v>
      </c>
      <c r="AR160" s="140">
        <f t="shared" si="34"/>
        <v>1.2799999999999998E-7</v>
      </c>
      <c r="AS160" s="140">
        <f t="shared" si="35"/>
        <v>1.92E-7</v>
      </c>
      <c r="AT160" s="140">
        <f t="shared" si="36"/>
        <v>2.5600000000000002E-7</v>
      </c>
      <c r="AU160" s="140">
        <f t="shared" si="37"/>
        <v>3.2000000000000006E-7</v>
      </c>
      <c r="AV160" s="157">
        <f t="shared" si="38"/>
        <v>1.2</v>
      </c>
      <c r="AW160" s="156">
        <f t="shared" si="39"/>
        <v>9.9999999999999995E-8</v>
      </c>
      <c r="AY160" s="140">
        <f t="shared" si="40"/>
        <v>6.4000000000000006E-6</v>
      </c>
      <c r="AZ160">
        <v>0.64</v>
      </c>
      <c r="BA160" s="140">
        <f t="shared" si="41"/>
        <v>6.3999999999999991E-8</v>
      </c>
      <c r="BB160" s="140">
        <f t="shared" si="42"/>
        <v>1.2799999999999998E-7</v>
      </c>
      <c r="BC160" s="140">
        <f t="shared" si="43"/>
        <v>1.92E-7</v>
      </c>
      <c r="BD160" s="140">
        <f t="shared" si="44"/>
        <v>2.5600000000000002E-7</v>
      </c>
      <c r="BE160" s="140">
        <f t="shared" si="45"/>
        <v>3.2000000000000006E-7</v>
      </c>
      <c r="BF160" s="157">
        <f>IF(AY160&lt;$B$89*DATA!$H$1037,DATA!$H$1037,IF(AY160&gt;DATA!$H$1036*$B$89,DATA!$H$1036,1))</f>
        <v>1.2</v>
      </c>
      <c r="BG160" s="156">
        <f t="shared" si="46"/>
        <v>9.9999999999999995E-8</v>
      </c>
      <c r="BI160" s="140">
        <f t="shared" si="47"/>
        <v>6.4000000000000006E-6</v>
      </c>
      <c r="BJ160">
        <v>0.64</v>
      </c>
      <c r="BK160" s="140">
        <f t="shared" si="48"/>
        <v>6.3999999999999991E-8</v>
      </c>
      <c r="BL160" s="140">
        <f t="shared" si="49"/>
        <v>1.2799999999999998E-7</v>
      </c>
      <c r="BM160" s="140">
        <f t="shared" si="50"/>
        <v>1.92E-7</v>
      </c>
      <c r="BN160" s="140">
        <f t="shared" si="51"/>
        <v>2.5600000000000002E-7</v>
      </c>
      <c r="BO160" s="140">
        <f t="shared" si="52"/>
        <v>3.2000000000000006E-7</v>
      </c>
      <c r="BP160" s="157">
        <f>IF(BI160&lt;$B$105*DATA!$H$1037,DATA!$H$1037,IF(BI160&gt;DATA!$H$1036*$B$105,DATA!$H$1036,1))</f>
        <v>1.2</v>
      </c>
      <c r="BQ160" s="156">
        <f t="shared" si="53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4"/>
        <v>6.5999999999999995E-8</v>
      </c>
      <c r="D161" s="140">
        <f t="shared" si="54"/>
        <v>1.3199999999999999E-7</v>
      </c>
      <c r="E161" s="140">
        <f t="shared" si="54"/>
        <v>1.9800000000000003E-7</v>
      </c>
      <c r="F161" s="140">
        <f t="shared" si="54"/>
        <v>2.6400000000000003E-7</v>
      </c>
      <c r="G161" s="140">
        <f t="shared" si="54"/>
        <v>3.3000000000000007E-7</v>
      </c>
      <c r="H161" s="124">
        <f t="shared" si="6"/>
        <v>0.8</v>
      </c>
      <c r="I161" s="156">
        <f t="shared" si="7"/>
        <v>9.9999999999999995E-8</v>
      </c>
      <c r="K161" s="140">
        <f t="shared" si="8"/>
        <v>6.6000000000000012E-6</v>
      </c>
      <c r="L161">
        <v>0.66</v>
      </c>
      <c r="M161" s="140">
        <f t="shared" si="9"/>
        <v>6.5999999999999995E-8</v>
      </c>
      <c r="N161" s="140">
        <f t="shared" si="10"/>
        <v>1.3199999999999999E-7</v>
      </c>
      <c r="O161" s="140">
        <f t="shared" si="11"/>
        <v>1.9800000000000003E-7</v>
      </c>
      <c r="P161" s="140">
        <f t="shared" si="12"/>
        <v>2.6400000000000003E-7</v>
      </c>
      <c r="Q161" s="140">
        <f t="shared" si="13"/>
        <v>3.3000000000000007E-7</v>
      </c>
      <c r="R161" s="157">
        <f t="shared" si="14"/>
        <v>0.8</v>
      </c>
      <c r="S161" s="156">
        <f t="shared" si="15"/>
        <v>9.9999999999999995E-8</v>
      </c>
      <c r="U161" s="140">
        <f t="shared" si="16"/>
        <v>6.6000000000000012E-6</v>
      </c>
      <c r="V161">
        <v>0.66</v>
      </c>
      <c r="W161" s="140">
        <f t="shared" si="17"/>
        <v>6.5999999999999995E-8</v>
      </c>
      <c r="X161" s="140">
        <f t="shared" si="18"/>
        <v>1.3199999999999999E-7</v>
      </c>
      <c r="Y161" s="140">
        <f t="shared" si="19"/>
        <v>1.9800000000000003E-7</v>
      </c>
      <c r="Z161" s="140">
        <f t="shared" si="20"/>
        <v>2.6400000000000003E-7</v>
      </c>
      <c r="AA161" s="140">
        <f t="shared" si="21"/>
        <v>3.3000000000000007E-7</v>
      </c>
      <c r="AB161" s="157">
        <f t="shared" si="22"/>
        <v>0.8</v>
      </c>
      <c r="AC161" s="156">
        <f t="shared" si="23"/>
        <v>9.9999999999999995E-8</v>
      </c>
      <c r="AE161" s="140">
        <f t="shared" si="24"/>
        <v>6.6000000000000012E-6</v>
      </c>
      <c r="AF161">
        <v>0.66</v>
      </c>
      <c r="AG161" s="140">
        <f t="shared" si="25"/>
        <v>6.5999999999999995E-8</v>
      </c>
      <c r="AH161" s="140">
        <f t="shared" si="26"/>
        <v>1.3199999999999999E-7</v>
      </c>
      <c r="AI161" s="140">
        <f t="shared" si="27"/>
        <v>1.9800000000000003E-7</v>
      </c>
      <c r="AJ161" s="140">
        <f t="shared" si="28"/>
        <v>2.6400000000000003E-7</v>
      </c>
      <c r="AK161" s="140">
        <f t="shared" si="29"/>
        <v>3.3000000000000007E-7</v>
      </c>
      <c r="AL161" s="157">
        <f t="shared" si="30"/>
        <v>1.2</v>
      </c>
      <c r="AM161" s="156">
        <f t="shared" si="31"/>
        <v>9.9999999999999995E-8</v>
      </c>
      <c r="AO161" s="140">
        <f t="shared" si="32"/>
        <v>6.6000000000000012E-6</v>
      </c>
      <c r="AP161">
        <v>0.66</v>
      </c>
      <c r="AQ161" s="140">
        <f t="shared" si="33"/>
        <v>6.5999999999999995E-8</v>
      </c>
      <c r="AR161" s="140">
        <f t="shared" si="34"/>
        <v>1.3199999999999999E-7</v>
      </c>
      <c r="AS161" s="140">
        <f t="shared" si="35"/>
        <v>1.9800000000000003E-7</v>
      </c>
      <c r="AT161" s="140">
        <f t="shared" si="36"/>
        <v>2.6400000000000003E-7</v>
      </c>
      <c r="AU161" s="140">
        <f t="shared" si="37"/>
        <v>3.3000000000000007E-7</v>
      </c>
      <c r="AV161" s="157">
        <f t="shared" si="38"/>
        <v>1.2</v>
      </c>
      <c r="AW161" s="156">
        <f t="shared" si="39"/>
        <v>9.9999999999999995E-8</v>
      </c>
      <c r="AY161" s="140">
        <f t="shared" si="40"/>
        <v>6.6000000000000012E-6</v>
      </c>
      <c r="AZ161">
        <v>0.66</v>
      </c>
      <c r="BA161" s="140">
        <f t="shared" si="41"/>
        <v>6.5999999999999995E-8</v>
      </c>
      <c r="BB161" s="140">
        <f t="shared" si="42"/>
        <v>1.3199999999999999E-7</v>
      </c>
      <c r="BC161" s="140">
        <f t="shared" si="43"/>
        <v>1.9800000000000003E-7</v>
      </c>
      <c r="BD161" s="140">
        <f t="shared" si="44"/>
        <v>2.6400000000000003E-7</v>
      </c>
      <c r="BE161" s="140">
        <f t="shared" si="45"/>
        <v>3.3000000000000007E-7</v>
      </c>
      <c r="BF161" s="157">
        <f>IF(AY161&lt;$B$89*DATA!$H$1037,DATA!$H$1037,IF(AY161&gt;DATA!$H$1036*$B$89,DATA!$H$1036,1))</f>
        <v>1.2</v>
      </c>
      <c r="BG161" s="156">
        <f t="shared" si="46"/>
        <v>9.9999999999999995E-8</v>
      </c>
      <c r="BI161" s="140">
        <f t="shared" si="47"/>
        <v>6.6000000000000012E-6</v>
      </c>
      <c r="BJ161">
        <v>0.66</v>
      </c>
      <c r="BK161" s="140">
        <f t="shared" si="48"/>
        <v>6.5999999999999995E-8</v>
      </c>
      <c r="BL161" s="140">
        <f t="shared" si="49"/>
        <v>1.3199999999999999E-7</v>
      </c>
      <c r="BM161" s="140">
        <f t="shared" si="50"/>
        <v>1.9800000000000003E-7</v>
      </c>
      <c r="BN161" s="140">
        <f t="shared" si="51"/>
        <v>2.6400000000000003E-7</v>
      </c>
      <c r="BO161" s="140">
        <f t="shared" si="52"/>
        <v>3.3000000000000007E-7</v>
      </c>
      <c r="BP161" s="157">
        <f>IF(BI161&lt;$B$105*DATA!$H$1037,DATA!$H$1037,IF(BI161&gt;DATA!$H$1036*$B$105,DATA!$H$1036,1))</f>
        <v>1.2</v>
      </c>
      <c r="BQ161" s="156">
        <f t="shared" si="53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4"/>
        <v>6.7999999999999987E-8</v>
      </c>
      <c r="D162" s="140">
        <f t="shared" si="54"/>
        <v>1.36E-7</v>
      </c>
      <c r="E162" s="140">
        <f t="shared" si="54"/>
        <v>2.0400000000000003E-7</v>
      </c>
      <c r="F162" s="140">
        <f t="shared" si="54"/>
        <v>2.7200000000000005E-7</v>
      </c>
      <c r="G162" s="140">
        <f t="shared" si="54"/>
        <v>3.4000000000000008E-7</v>
      </c>
      <c r="H162" s="124">
        <f t="shared" si="6"/>
        <v>0.8</v>
      </c>
      <c r="I162" s="156">
        <f t="shared" si="7"/>
        <v>9.9999999999999995E-8</v>
      </c>
      <c r="K162" s="140">
        <f t="shared" si="8"/>
        <v>6.800000000000001E-6</v>
      </c>
      <c r="L162">
        <v>0.68</v>
      </c>
      <c r="M162" s="140">
        <f t="shared" si="9"/>
        <v>6.7999999999999987E-8</v>
      </c>
      <c r="N162" s="140">
        <f t="shared" si="10"/>
        <v>1.36E-7</v>
      </c>
      <c r="O162" s="140">
        <f t="shared" si="11"/>
        <v>2.0400000000000003E-7</v>
      </c>
      <c r="P162" s="140">
        <f t="shared" si="12"/>
        <v>2.7200000000000005E-7</v>
      </c>
      <c r="Q162" s="140">
        <f t="shared" si="13"/>
        <v>3.4000000000000008E-7</v>
      </c>
      <c r="R162" s="157">
        <f t="shared" si="14"/>
        <v>0.8</v>
      </c>
      <c r="S162" s="156">
        <f t="shared" si="15"/>
        <v>9.9999999999999995E-8</v>
      </c>
      <c r="U162" s="140">
        <f t="shared" si="16"/>
        <v>6.800000000000001E-6</v>
      </c>
      <c r="V162">
        <v>0.68</v>
      </c>
      <c r="W162" s="140">
        <f t="shared" si="17"/>
        <v>6.7999999999999987E-8</v>
      </c>
      <c r="X162" s="140">
        <f t="shared" si="18"/>
        <v>1.36E-7</v>
      </c>
      <c r="Y162" s="140">
        <f t="shared" si="19"/>
        <v>2.0400000000000003E-7</v>
      </c>
      <c r="Z162" s="140">
        <f t="shared" si="20"/>
        <v>2.7200000000000005E-7</v>
      </c>
      <c r="AA162" s="140">
        <f t="shared" si="21"/>
        <v>3.4000000000000008E-7</v>
      </c>
      <c r="AB162" s="157">
        <f t="shared" si="22"/>
        <v>0.8</v>
      </c>
      <c r="AC162" s="156">
        <f t="shared" si="23"/>
        <v>9.9999999999999995E-8</v>
      </c>
      <c r="AE162" s="140">
        <f t="shared" si="24"/>
        <v>6.800000000000001E-6</v>
      </c>
      <c r="AF162">
        <v>0.68</v>
      </c>
      <c r="AG162" s="140">
        <f t="shared" si="25"/>
        <v>6.7999999999999987E-8</v>
      </c>
      <c r="AH162" s="140">
        <f t="shared" si="26"/>
        <v>1.36E-7</v>
      </c>
      <c r="AI162" s="140">
        <f t="shared" si="27"/>
        <v>2.0400000000000003E-7</v>
      </c>
      <c r="AJ162" s="140">
        <f t="shared" si="28"/>
        <v>2.7200000000000005E-7</v>
      </c>
      <c r="AK162" s="140">
        <f t="shared" si="29"/>
        <v>3.4000000000000008E-7</v>
      </c>
      <c r="AL162" s="157">
        <f t="shared" si="30"/>
        <v>1.2</v>
      </c>
      <c r="AM162" s="156">
        <f t="shared" si="31"/>
        <v>9.9999999999999995E-8</v>
      </c>
      <c r="AO162" s="140">
        <f t="shared" si="32"/>
        <v>6.800000000000001E-6</v>
      </c>
      <c r="AP162">
        <v>0.68</v>
      </c>
      <c r="AQ162" s="140">
        <f t="shared" si="33"/>
        <v>6.7999999999999987E-8</v>
      </c>
      <c r="AR162" s="140">
        <f t="shared" si="34"/>
        <v>1.36E-7</v>
      </c>
      <c r="AS162" s="140">
        <f t="shared" si="35"/>
        <v>2.0400000000000003E-7</v>
      </c>
      <c r="AT162" s="140">
        <f t="shared" si="36"/>
        <v>2.7200000000000005E-7</v>
      </c>
      <c r="AU162" s="140">
        <f t="shared" si="37"/>
        <v>3.4000000000000008E-7</v>
      </c>
      <c r="AV162" s="157">
        <f t="shared" si="38"/>
        <v>1.2</v>
      </c>
      <c r="AW162" s="156">
        <f t="shared" si="39"/>
        <v>9.9999999999999995E-8</v>
      </c>
      <c r="AY162" s="140">
        <f t="shared" si="40"/>
        <v>6.800000000000001E-6</v>
      </c>
      <c r="AZ162">
        <v>0.68</v>
      </c>
      <c r="BA162" s="140">
        <f t="shared" si="41"/>
        <v>6.7999999999999987E-8</v>
      </c>
      <c r="BB162" s="140">
        <f t="shared" si="42"/>
        <v>1.36E-7</v>
      </c>
      <c r="BC162" s="140">
        <f t="shared" si="43"/>
        <v>2.0400000000000003E-7</v>
      </c>
      <c r="BD162" s="140">
        <f t="shared" si="44"/>
        <v>2.7200000000000005E-7</v>
      </c>
      <c r="BE162" s="140">
        <f t="shared" si="45"/>
        <v>3.4000000000000008E-7</v>
      </c>
      <c r="BF162" s="157">
        <f>IF(AY162&lt;$B$89*DATA!$H$1037,DATA!$H$1037,IF(AY162&gt;DATA!$H$1036*$B$89,DATA!$H$1036,1))</f>
        <v>1.2</v>
      </c>
      <c r="BG162" s="156">
        <f t="shared" si="46"/>
        <v>9.9999999999999995E-8</v>
      </c>
      <c r="BI162" s="140">
        <f t="shared" si="47"/>
        <v>6.800000000000001E-6</v>
      </c>
      <c r="BJ162">
        <v>0.68</v>
      </c>
      <c r="BK162" s="140">
        <f t="shared" si="48"/>
        <v>6.7999999999999987E-8</v>
      </c>
      <c r="BL162" s="140">
        <f t="shared" si="49"/>
        <v>1.36E-7</v>
      </c>
      <c r="BM162" s="140">
        <f t="shared" si="50"/>
        <v>2.0400000000000003E-7</v>
      </c>
      <c r="BN162" s="140">
        <f t="shared" si="51"/>
        <v>2.7200000000000005E-7</v>
      </c>
      <c r="BO162" s="140">
        <f t="shared" si="52"/>
        <v>3.4000000000000008E-7</v>
      </c>
      <c r="BP162" s="157">
        <f>IF(BI162&lt;$B$105*DATA!$H$1037,DATA!$H$1037,IF(BI162&gt;DATA!$H$1036*$B$105,DATA!$H$1036,1))</f>
        <v>1.2</v>
      </c>
      <c r="BQ162" s="156">
        <f t="shared" si="53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4"/>
        <v>6.9999999999999978E-8</v>
      </c>
      <c r="D163" s="140">
        <f t="shared" si="54"/>
        <v>1.3999999999999998E-7</v>
      </c>
      <c r="E163" s="140">
        <f t="shared" si="54"/>
        <v>2.1E-7</v>
      </c>
      <c r="F163" s="140">
        <f t="shared" si="54"/>
        <v>2.8000000000000002E-7</v>
      </c>
      <c r="G163" s="140">
        <f t="shared" si="54"/>
        <v>3.5000000000000004E-7</v>
      </c>
      <c r="H163" s="124">
        <f t="shared" si="6"/>
        <v>0.8</v>
      </c>
      <c r="I163" s="156">
        <f t="shared" si="7"/>
        <v>9.9999999999999995E-8</v>
      </c>
      <c r="K163" s="140">
        <f t="shared" si="8"/>
        <v>6.9999999999999999E-6</v>
      </c>
      <c r="L163">
        <v>0.7</v>
      </c>
      <c r="M163" s="140">
        <f t="shared" si="9"/>
        <v>6.9999999999999978E-8</v>
      </c>
      <c r="N163" s="140">
        <f t="shared" si="10"/>
        <v>1.3999999999999998E-7</v>
      </c>
      <c r="O163" s="140">
        <f t="shared" si="11"/>
        <v>2.1E-7</v>
      </c>
      <c r="P163" s="140">
        <f t="shared" si="12"/>
        <v>2.8000000000000002E-7</v>
      </c>
      <c r="Q163" s="140">
        <f t="shared" si="13"/>
        <v>3.5000000000000004E-7</v>
      </c>
      <c r="R163" s="157">
        <f t="shared" si="14"/>
        <v>0.8</v>
      </c>
      <c r="S163" s="156">
        <f t="shared" si="15"/>
        <v>9.9999999999999995E-8</v>
      </c>
      <c r="U163" s="140">
        <f t="shared" si="16"/>
        <v>6.9999999999999999E-6</v>
      </c>
      <c r="V163">
        <v>0.7</v>
      </c>
      <c r="W163" s="140">
        <f t="shared" si="17"/>
        <v>6.9999999999999978E-8</v>
      </c>
      <c r="X163" s="140">
        <f t="shared" si="18"/>
        <v>1.3999999999999998E-7</v>
      </c>
      <c r="Y163" s="140">
        <f t="shared" si="19"/>
        <v>2.1E-7</v>
      </c>
      <c r="Z163" s="140">
        <f t="shared" si="20"/>
        <v>2.8000000000000002E-7</v>
      </c>
      <c r="AA163" s="140">
        <f t="shared" si="21"/>
        <v>3.5000000000000004E-7</v>
      </c>
      <c r="AB163" s="157">
        <f t="shared" si="22"/>
        <v>0.8</v>
      </c>
      <c r="AC163" s="156">
        <f t="shared" si="23"/>
        <v>9.9999999999999995E-8</v>
      </c>
      <c r="AE163" s="140">
        <f t="shared" si="24"/>
        <v>6.9999999999999999E-6</v>
      </c>
      <c r="AF163">
        <v>0.7</v>
      </c>
      <c r="AG163" s="140">
        <f t="shared" si="25"/>
        <v>6.9999999999999978E-8</v>
      </c>
      <c r="AH163" s="140">
        <f t="shared" si="26"/>
        <v>1.3999999999999998E-7</v>
      </c>
      <c r="AI163" s="140">
        <f t="shared" si="27"/>
        <v>2.1E-7</v>
      </c>
      <c r="AJ163" s="140">
        <f t="shared" si="28"/>
        <v>2.8000000000000002E-7</v>
      </c>
      <c r="AK163" s="140">
        <f t="shared" si="29"/>
        <v>3.5000000000000004E-7</v>
      </c>
      <c r="AL163" s="157">
        <f t="shared" si="30"/>
        <v>1.2</v>
      </c>
      <c r="AM163" s="156">
        <f t="shared" si="31"/>
        <v>9.9999999999999995E-8</v>
      </c>
      <c r="AO163" s="140">
        <f t="shared" si="32"/>
        <v>6.9999999999999999E-6</v>
      </c>
      <c r="AP163">
        <v>0.7</v>
      </c>
      <c r="AQ163" s="140">
        <f t="shared" si="33"/>
        <v>6.9999999999999978E-8</v>
      </c>
      <c r="AR163" s="140">
        <f t="shared" si="34"/>
        <v>1.3999999999999998E-7</v>
      </c>
      <c r="AS163" s="140">
        <f t="shared" si="35"/>
        <v>2.1E-7</v>
      </c>
      <c r="AT163" s="140">
        <f t="shared" si="36"/>
        <v>2.8000000000000002E-7</v>
      </c>
      <c r="AU163" s="140">
        <f t="shared" si="37"/>
        <v>3.5000000000000004E-7</v>
      </c>
      <c r="AV163" s="157">
        <f t="shared" si="38"/>
        <v>1.2</v>
      </c>
      <c r="AW163" s="156">
        <f t="shared" si="39"/>
        <v>9.9999999999999995E-8</v>
      </c>
      <c r="AY163" s="140">
        <f t="shared" si="40"/>
        <v>6.9999999999999999E-6</v>
      </c>
      <c r="AZ163">
        <v>0.7</v>
      </c>
      <c r="BA163" s="140">
        <f t="shared" si="41"/>
        <v>6.9999999999999978E-8</v>
      </c>
      <c r="BB163" s="140">
        <f t="shared" si="42"/>
        <v>1.3999999999999998E-7</v>
      </c>
      <c r="BC163" s="140">
        <f t="shared" si="43"/>
        <v>2.1E-7</v>
      </c>
      <c r="BD163" s="140">
        <f t="shared" si="44"/>
        <v>2.8000000000000002E-7</v>
      </c>
      <c r="BE163" s="140">
        <f t="shared" si="45"/>
        <v>3.5000000000000004E-7</v>
      </c>
      <c r="BF163" s="157">
        <f>IF(AY163&lt;$B$89*DATA!$H$1037,DATA!$H$1037,IF(AY163&gt;DATA!$H$1036*$B$89,DATA!$H$1036,1))</f>
        <v>1.2</v>
      </c>
      <c r="BG163" s="156">
        <f t="shared" si="46"/>
        <v>9.9999999999999995E-8</v>
      </c>
      <c r="BI163" s="140">
        <f t="shared" si="47"/>
        <v>6.9999999999999999E-6</v>
      </c>
      <c r="BJ163">
        <v>0.7</v>
      </c>
      <c r="BK163" s="140">
        <f t="shared" si="48"/>
        <v>6.9999999999999978E-8</v>
      </c>
      <c r="BL163" s="140">
        <f t="shared" si="49"/>
        <v>1.3999999999999998E-7</v>
      </c>
      <c r="BM163" s="140">
        <f t="shared" si="50"/>
        <v>2.1E-7</v>
      </c>
      <c r="BN163" s="140">
        <f t="shared" si="51"/>
        <v>2.8000000000000002E-7</v>
      </c>
      <c r="BO163" s="140">
        <f t="shared" si="52"/>
        <v>3.5000000000000004E-7</v>
      </c>
      <c r="BP163" s="157">
        <f>IF(BI163&lt;$B$105*DATA!$H$1037,DATA!$H$1037,IF(BI163&gt;DATA!$H$1036*$B$105,DATA!$H$1036,1))</f>
        <v>1.2</v>
      </c>
      <c r="BQ163" s="156">
        <f t="shared" si="53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4"/>
        <v>7.1999999999999983E-8</v>
      </c>
      <c r="D164" s="140">
        <f t="shared" si="54"/>
        <v>1.4399999999999999E-7</v>
      </c>
      <c r="E164" s="140">
        <f t="shared" si="54"/>
        <v>2.16E-7</v>
      </c>
      <c r="F164" s="140">
        <f t="shared" si="54"/>
        <v>2.8800000000000004E-7</v>
      </c>
      <c r="G164" s="140">
        <f t="shared" si="54"/>
        <v>3.6000000000000005E-7</v>
      </c>
      <c r="H164" s="124">
        <f t="shared" si="6"/>
        <v>0.8</v>
      </c>
      <c r="I164" s="156">
        <f t="shared" si="7"/>
        <v>9.9999999999999995E-8</v>
      </c>
      <c r="K164" s="140">
        <f t="shared" si="8"/>
        <v>7.2000000000000005E-6</v>
      </c>
      <c r="L164">
        <v>0.72</v>
      </c>
      <c r="M164" s="140">
        <f t="shared" si="9"/>
        <v>7.1999999999999983E-8</v>
      </c>
      <c r="N164" s="140">
        <f t="shared" si="10"/>
        <v>1.4399999999999999E-7</v>
      </c>
      <c r="O164" s="140">
        <f t="shared" si="11"/>
        <v>2.16E-7</v>
      </c>
      <c r="P164" s="140">
        <f t="shared" si="12"/>
        <v>2.8800000000000004E-7</v>
      </c>
      <c r="Q164" s="140">
        <f t="shared" si="13"/>
        <v>3.6000000000000005E-7</v>
      </c>
      <c r="R164" s="157">
        <f t="shared" si="14"/>
        <v>0.8</v>
      </c>
      <c r="S164" s="156">
        <f t="shared" si="15"/>
        <v>9.9999999999999995E-8</v>
      </c>
      <c r="U164" s="140">
        <f t="shared" si="16"/>
        <v>7.2000000000000005E-6</v>
      </c>
      <c r="V164">
        <v>0.72</v>
      </c>
      <c r="W164" s="140">
        <f t="shared" si="17"/>
        <v>7.1999999999999983E-8</v>
      </c>
      <c r="X164" s="140">
        <f t="shared" si="18"/>
        <v>1.4399999999999999E-7</v>
      </c>
      <c r="Y164" s="140">
        <f t="shared" si="19"/>
        <v>2.16E-7</v>
      </c>
      <c r="Z164" s="140">
        <f t="shared" si="20"/>
        <v>2.8800000000000004E-7</v>
      </c>
      <c r="AA164" s="140">
        <f t="shared" si="21"/>
        <v>3.6000000000000005E-7</v>
      </c>
      <c r="AB164" s="157">
        <f t="shared" si="22"/>
        <v>0.8</v>
      </c>
      <c r="AC164" s="156">
        <f t="shared" si="23"/>
        <v>9.9999999999999995E-8</v>
      </c>
      <c r="AE164" s="140">
        <f t="shared" si="24"/>
        <v>7.2000000000000005E-6</v>
      </c>
      <c r="AF164">
        <v>0.72</v>
      </c>
      <c r="AG164" s="140">
        <f t="shared" si="25"/>
        <v>7.1999999999999983E-8</v>
      </c>
      <c r="AH164" s="140">
        <f t="shared" si="26"/>
        <v>1.4399999999999999E-7</v>
      </c>
      <c r="AI164" s="140">
        <f t="shared" si="27"/>
        <v>2.16E-7</v>
      </c>
      <c r="AJ164" s="140">
        <f t="shared" si="28"/>
        <v>2.8800000000000004E-7</v>
      </c>
      <c r="AK164" s="140">
        <f t="shared" si="29"/>
        <v>3.6000000000000005E-7</v>
      </c>
      <c r="AL164" s="157">
        <f t="shared" si="30"/>
        <v>1.2</v>
      </c>
      <c r="AM164" s="156">
        <f t="shared" si="31"/>
        <v>9.9999999999999995E-8</v>
      </c>
      <c r="AO164" s="140">
        <f t="shared" si="32"/>
        <v>7.2000000000000005E-6</v>
      </c>
      <c r="AP164">
        <v>0.72</v>
      </c>
      <c r="AQ164" s="140">
        <f t="shared" si="33"/>
        <v>7.1999999999999983E-8</v>
      </c>
      <c r="AR164" s="140">
        <f t="shared" si="34"/>
        <v>1.4399999999999999E-7</v>
      </c>
      <c r="AS164" s="140">
        <f t="shared" si="35"/>
        <v>2.16E-7</v>
      </c>
      <c r="AT164" s="140">
        <f t="shared" si="36"/>
        <v>2.8800000000000004E-7</v>
      </c>
      <c r="AU164" s="140">
        <f t="shared" si="37"/>
        <v>3.6000000000000005E-7</v>
      </c>
      <c r="AV164" s="157">
        <f t="shared" si="38"/>
        <v>1.2</v>
      </c>
      <c r="AW164" s="156">
        <f t="shared" si="39"/>
        <v>9.9999999999999995E-8</v>
      </c>
      <c r="AY164" s="140">
        <f t="shared" si="40"/>
        <v>7.2000000000000005E-6</v>
      </c>
      <c r="AZ164">
        <v>0.72</v>
      </c>
      <c r="BA164" s="140">
        <f t="shared" si="41"/>
        <v>7.1999999999999983E-8</v>
      </c>
      <c r="BB164" s="140">
        <f t="shared" si="42"/>
        <v>1.4399999999999999E-7</v>
      </c>
      <c r="BC164" s="140">
        <f t="shared" si="43"/>
        <v>2.16E-7</v>
      </c>
      <c r="BD164" s="140">
        <f t="shared" si="44"/>
        <v>2.8800000000000004E-7</v>
      </c>
      <c r="BE164" s="140">
        <f t="shared" si="45"/>
        <v>3.6000000000000005E-7</v>
      </c>
      <c r="BF164" s="157">
        <f>IF(AY164&lt;$B$89*DATA!$H$1037,DATA!$H$1037,IF(AY164&gt;DATA!$H$1036*$B$89,DATA!$H$1036,1))</f>
        <v>1.2</v>
      </c>
      <c r="BG164" s="156">
        <f t="shared" si="46"/>
        <v>9.9999999999999995E-8</v>
      </c>
      <c r="BI164" s="140">
        <f t="shared" si="47"/>
        <v>7.2000000000000005E-6</v>
      </c>
      <c r="BJ164">
        <v>0.72</v>
      </c>
      <c r="BK164" s="140">
        <f t="shared" si="48"/>
        <v>7.1999999999999983E-8</v>
      </c>
      <c r="BL164" s="140">
        <f t="shared" si="49"/>
        <v>1.4399999999999999E-7</v>
      </c>
      <c r="BM164" s="140">
        <f t="shared" si="50"/>
        <v>2.16E-7</v>
      </c>
      <c r="BN164" s="140">
        <f t="shared" si="51"/>
        <v>2.8800000000000004E-7</v>
      </c>
      <c r="BO164" s="140">
        <f t="shared" si="52"/>
        <v>3.6000000000000005E-7</v>
      </c>
      <c r="BP164" s="157">
        <f>IF(BI164&lt;$B$105*DATA!$H$1037,DATA!$H$1037,IF(BI164&gt;DATA!$H$1036*$B$105,DATA!$H$1036,1))</f>
        <v>1.2</v>
      </c>
      <c r="BQ164" s="156">
        <f t="shared" si="53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4"/>
        <v>7.3999999999999974E-8</v>
      </c>
      <c r="D165" s="140">
        <f t="shared" si="54"/>
        <v>1.4799999999999998E-7</v>
      </c>
      <c r="E165" s="140">
        <f t="shared" si="54"/>
        <v>2.22E-7</v>
      </c>
      <c r="F165" s="140">
        <f t="shared" si="54"/>
        <v>2.96E-7</v>
      </c>
      <c r="G165" s="140">
        <f t="shared" si="54"/>
        <v>3.7000000000000006E-7</v>
      </c>
      <c r="H165" s="124">
        <f t="shared" si="6"/>
        <v>0.8</v>
      </c>
      <c r="I165" s="156">
        <f t="shared" si="7"/>
        <v>9.9999999999999995E-8</v>
      </c>
      <c r="K165" s="140">
        <f t="shared" si="8"/>
        <v>7.4000000000000003E-6</v>
      </c>
      <c r="L165">
        <v>0.74</v>
      </c>
      <c r="M165" s="140">
        <f t="shared" si="9"/>
        <v>7.3999999999999974E-8</v>
      </c>
      <c r="N165" s="140">
        <f t="shared" si="10"/>
        <v>1.4799999999999998E-7</v>
      </c>
      <c r="O165" s="140">
        <f t="shared" si="11"/>
        <v>2.22E-7</v>
      </c>
      <c r="P165" s="140">
        <f t="shared" si="12"/>
        <v>2.96E-7</v>
      </c>
      <c r="Q165" s="140">
        <f t="shared" si="13"/>
        <v>3.7000000000000006E-7</v>
      </c>
      <c r="R165" s="157">
        <f t="shared" si="14"/>
        <v>0.8</v>
      </c>
      <c r="S165" s="156">
        <f t="shared" si="15"/>
        <v>9.9999999999999995E-8</v>
      </c>
      <c r="U165" s="140">
        <f t="shared" si="16"/>
        <v>7.4000000000000003E-6</v>
      </c>
      <c r="V165">
        <v>0.74</v>
      </c>
      <c r="W165" s="140">
        <f t="shared" si="17"/>
        <v>7.3999999999999974E-8</v>
      </c>
      <c r="X165" s="140">
        <f t="shared" si="18"/>
        <v>1.4799999999999998E-7</v>
      </c>
      <c r="Y165" s="140">
        <f t="shared" si="19"/>
        <v>2.22E-7</v>
      </c>
      <c r="Z165" s="140">
        <f t="shared" si="20"/>
        <v>2.96E-7</v>
      </c>
      <c r="AA165" s="140">
        <f t="shared" si="21"/>
        <v>3.7000000000000006E-7</v>
      </c>
      <c r="AB165" s="157">
        <f t="shared" si="22"/>
        <v>0.8</v>
      </c>
      <c r="AC165" s="156">
        <f t="shared" si="23"/>
        <v>9.9999999999999995E-8</v>
      </c>
      <c r="AE165" s="140">
        <f t="shared" si="24"/>
        <v>7.4000000000000003E-6</v>
      </c>
      <c r="AF165">
        <v>0.74</v>
      </c>
      <c r="AG165" s="140">
        <f t="shared" si="25"/>
        <v>7.3999999999999974E-8</v>
      </c>
      <c r="AH165" s="140">
        <f t="shared" si="26"/>
        <v>1.4799999999999998E-7</v>
      </c>
      <c r="AI165" s="140">
        <f t="shared" si="27"/>
        <v>2.22E-7</v>
      </c>
      <c r="AJ165" s="140">
        <f t="shared" si="28"/>
        <v>2.96E-7</v>
      </c>
      <c r="AK165" s="140">
        <f t="shared" si="29"/>
        <v>3.7000000000000006E-7</v>
      </c>
      <c r="AL165" s="157">
        <f t="shared" si="30"/>
        <v>1.2</v>
      </c>
      <c r="AM165" s="156">
        <f t="shared" si="31"/>
        <v>9.9999999999999995E-8</v>
      </c>
      <c r="AO165" s="140">
        <f t="shared" si="32"/>
        <v>7.4000000000000003E-6</v>
      </c>
      <c r="AP165">
        <v>0.74</v>
      </c>
      <c r="AQ165" s="140">
        <f t="shared" si="33"/>
        <v>7.3999999999999974E-8</v>
      </c>
      <c r="AR165" s="140">
        <f t="shared" si="34"/>
        <v>1.4799999999999998E-7</v>
      </c>
      <c r="AS165" s="140">
        <f t="shared" si="35"/>
        <v>2.22E-7</v>
      </c>
      <c r="AT165" s="140">
        <f t="shared" si="36"/>
        <v>2.96E-7</v>
      </c>
      <c r="AU165" s="140">
        <f t="shared" si="37"/>
        <v>3.7000000000000006E-7</v>
      </c>
      <c r="AV165" s="157">
        <f t="shared" si="38"/>
        <v>1.2</v>
      </c>
      <c r="AW165" s="156">
        <f t="shared" si="39"/>
        <v>9.9999999999999995E-8</v>
      </c>
      <c r="AY165" s="140">
        <f t="shared" si="40"/>
        <v>7.4000000000000003E-6</v>
      </c>
      <c r="AZ165">
        <v>0.74</v>
      </c>
      <c r="BA165" s="140">
        <f t="shared" si="41"/>
        <v>7.3999999999999974E-8</v>
      </c>
      <c r="BB165" s="140">
        <f t="shared" si="42"/>
        <v>1.4799999999999998E-7</v>
      </c>
      <c r="BC165" s="140">
        <f t="shared" si="43"/>
        <v>2.22E-7</v>
      </c>
      <c r="BD165" s="140">
        <f t="shared" si="44"/>
        <v>2.96E-7</v>
      </c>
      <c r="BE165" s="140">
        <f t="shared" si="45"/>
        <v>3.7000000000000006E-7</v>
      </c>
      <c r="BF165" s="157">
        <f>IF(AY165&lt;$B$89*DATA!$H$1037,DATA!$H$1037,IF(AY165&gt;DATA!$H$1036*$B$89,DATA!$H$1036,1))</f>
        <v>1.2</v>
      </c>
      <c r="BG165" s="156">
        <f t="shared" si="46"/>
        <v>9.9999999999999995E-8</v>
      </c>
      <c r="BI165" s="140">
        <f t="shared" si="47"/>
        <v>7.4000000000000003E-6</v>
      </c>
      <c r="BJ165">
        <v>0.74</v>
      </c>
      <c r="BK165" s="140">
        <f t="shared" si="48"/>
        <v>7.3999999999999974E-8</v>
      </c>
      <c r="BL165" s="140">
        <f t="shared" si="49"/>
        <v>1.4799999999999998E-7</v>
      </c>
      <c r="BM165" s="140">
        <f t="shared" si="50"/>
        <v>2.22E-7</v>
      </c>
      <c r="BN165" s="140">
        <f t="shared" si="51"/>
        <v>2.96E-7</v>
      </c>
      <c r="BO165" s="140">
        <f t="shared" si="52"/>
        <v>3.7000000000000006E-7</v>
      </c>
      <c r="BP165" s="157">
        <f>IF(BI165&lt;$B$105*DATA!$H$1037,DATA!$H$1037,IF(BI165&gt;DATA!$H$1036*$B$105,DATA!$H$1036,1))</f>
        <v>1.2</v>
      </c>
      <c r="BQ165" s="156">
        <f t="shared" si="53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4"/>
        <v>7.5999999999999979E-8</v>
      </c>
      <c r="D166" s="140">
        <f t="shared" si="54"/>
        <v>1.5199999999999998E-7</v>
      </c>
      <c r="E166" s="140">
        <f t="shared" si="54"/>
        <v>2.2800000000000003E-7</v>
      </c>
      <c r="F166" s="140">
        <f t="shared" si="54"/>
        <v>3.0400000000000002E-7</v>
      </c>
      <c r="G166" s="140">
        <f t="shared" si="54"/>
        <v>3.8000000000000007E-7</v>
      </c>
      <c r="H166" s="124">
        <f t="shared" si="6"/>
        <v>0.8</v>
      </c>
      <c r="I166" s="156">
        <f t="shared" si="7"/>
        <v>9.9999999999999995E-8</v>
      </c>
      <c r="K166" s="140">
        <f t="shared" si="8"/>
        <v>7.6000000000000009E-6</v>
      </c>
      <c r="L166">
        <v>0.76</v>
      </c>
      <c r="M166" s="140">
        <f t="shared" si="9"/>
        <v>7.5999999999999979E-8</v>
      </c>
      <c r="N166" s="140">
        <f t="shared" si="10"/>
        <v>1.5199999999999998E-7</v>
      </c>
      <c r="O166" s="140">
        <f t="shared" si="11"/>
        <v>2.2800000000000003E-7</v>
      </c>
      <c r="P166" s="140">
        <f t="shared" si="12"/>
        <v>3.0400000000000002E-7</v>
      </c>
      <c r="Q166" s="140">
        <f t="shared" si="13"/>
        <v>3.8000000000000007E-7</v>
      </c>
      <c r="R166" s="157">
        <f t="shared" si="14"/>
        <v>0.8</v>
      </c>
      <c r="S166" s="156">
        <f t="shared" si="15"/>
        <v>9.9999999999999995E-8</v>
      </c>
      <c r="U166" s="140">
        <f t="shared" si="16"/>
        <v>7.6000000000000009E-6</v>
      </c>
      <c r="V166">
        <v>0.76</v>
      </c>
      <c r="W166" s="140">
        <f t="shared" si="17"/>
        <v>7.5999999999999979E-8</v>
      </c>
      <c r="X166" s="140">
        <f t="shared" si="18"/>
        <v>1.5199999999999998E-7</v>
      </c>
      <c r="Y166" s="140">
        <f t="shared" si="19"/>
        <v>2.2800000000000003E-7</v>
      </c>
      <c r="Z166" s="140">
        <f t="shared" si="20"/>
        <v>3.0400000000000002E-7</v>
      </c>
      <c r="AA166" s="140">
        <f t="shared" si="21"/>
        <v>3.8000000000000007E-7</v>
      </c>
      <c r="AB166" s="157">
        <f t="shared" si="22"/>
        <v>0.8</v>
      </c>
      <c r="AC166" s="156">
        <f t="shared" si="23"/>
        <v>9.9999999999999995E-8</v>
      </c>
      <c r="AE166" s="140">
        <f t="shared" si="24"/>
        <v>7.6000000000000009E-6</v>
      </c>
      <c r="AF166">
        <v>0.76</v>
      </c>
      <c r="AG166" s="140">
        <f t="shared" si="25"/>
        <v>7.5999999999999979E-8</v>
      </c>
      <c r="AH166" s="140">
        <f t="shared" si="26"/>
        <v>1.5199999999999998E-7</v>
      </c>
      <c r="AI166" s="140">
        <f t="shared" si="27"/>
        <v>2.2800000000000003E-7</v>
      </c>
      <c r="AJ166" s="140">
        <f t="shared" si="28"/>
        <v>3.0400000000000002E-7</v>
      </c>
      <c r="AK166" s="140">
        <f t="shared" si="29"/>
        <v>3.8000000000000007E-7</v>
      </c>
      <c r="AL166" s="157">
        <f t="shared" si="30"/>
        <v>1.2</v>
      </c>
      <c r="AM166" s="156">
        <f t="shared" si="31"/>
        <v>9.9999999999999995E-8</v>
      </c>
      <c r="AO166" s="140">
        <f t="shared" si="32"/>
        <v>7.6000000000000009E-6</v>
      </c>
      <c r="AP166">
        <v>0.76</v>
      </c>
      <c r="AQ166" s="140">
        <f t="shared" si="33"/>
        <v>7.5999999999999979E-8</v>
      </c>
      <c r="AR166" s="140">
        <f t="shared" si="34"/>
        <v>1.5199999999999998E-7</v>
      </c>
      <c r="AS166" s="140">
        <f t="shared" si="35"/>
        <v>2.2800000000000003E-7</v>
      </c>
      <c r="AT166" s="140">
        <f t="shared" si="36"/>
        <v>3.0400000000000002E-7</v>
      </c>
      <c r="AU166" s="140">
        <f t="shared" si="37"/>
        <v>3.8000000000000007E-7</v>
      </c>
      <c r="AV166" s="157">
        <f t="shared" si="38"/>
        <v>1.2</v>
      </c>
      <c r="AW166" s="156">
        <f t="shared" si="39"/>
        <v>9.9999999999999995E-8</v>
      </c>
      <c r="AY166" s="140">
        <f t="shared" si="40"/>
        <v>7.6000000000000009E-6</v>
      </c>
      <c r="AZ166">
        <v>0.76</v>
      </c>
      <c r="BA166" s="140">
        <f t="shared" si="41"/>
        <v>7.5999999999999979E-8</v>
      </c>
      <c r="BB166" s="140">
        <f t="shared" si="42"/>
        <v>1.5199999999999998E-7</v>
      </c>
      <c r="BC166" s="140">
        <f t="shared" si="43"/>
        <v>2.2800000000000003E-7</v>
      </c>
      <c r="BD166" s="140">
        <f t="shared" si="44"/>
        <v>3.0400000000000002E-7</v>
      </c>
      <c r="BE166" s="140">
        <f t="shared" si="45"/>
        <v>3.8000000000000007E-7</v>
      </c>
      <c r="BF166" s="157">
        <f>IF(AY166&lt;$B$89*DATA!$H$1037,DATA!$H$1037,IF(AY166&gt;DATA!$H$1036*$B$89,DATA!$H$1036,1))</f>
        <v>1.2</v>
      </c>
      <c r="BG166" s="156">
        <f t="shared" si="46"/>
        <v>9.9999999999999995E-8</v>
      </c>
      <c r="BI166" s="140">
        <f t="shared" si="47"/>
        <v>7.6000000000000009E-6</v>
      </c>
      <c r="BJ166">
        <v>0.76</v>
      </c>
      <c r="BK166" s="140">
        <f t="shared" si="48"/>
        <v>7.5999999999999979E-8</v>
      </c>
      <c r="BL166" s="140">
        <f t="shared" si="49"/>
        <v>1.5199999999999998E-7</v>
      </c>
      <c r="BM166" s="140">
        <f t="shared" si="50"/>
        <v>2.2800000000000003E-7</v>
      </c>
      <c r="BN166" s="140">
        <f t="shared" si="51"/>
        <v>3.0400000000000002E-7</v>
      </c>
      <c r="BO166" s="140">
        <f t="shared" si="52"/>
        <v>3.8000000000000007E-7</v>
      </c>
      <c r="BP166" s="157">
        <f>IF(BI166&lt;$B$105*DATA!$H$1037,DATA!$H$1037,IF(BI166&gt;DATA!$H$1036*$B$105,DATA!$H$1036,1))</f>
        <v>1.2</v>
      </c>
      <c r="BQ166" s="156">
        <f t="shared" si="53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4"/>
        <v>7.7999999999999984E-8</v>
      </c>
      <c r="D167" s="140">
        <f t="shared" si="54"/>
        <v>1.5600000000000002E-7</v>
      </c>
      <c r="E167" s="140">
        <f t="shared" si="54"/>
        <v>2.3400000000000003E-7</v>
      </c>
      <c r="F167" s="140">
        <f t="shared" si="54"/>
        <v>3.1200000000000009E-7</v>
      </c>
      <c r="G167" s="140">
        <f t="shared" si="54"/>
        <v>3.9000000000000008E-7</v>
      </c>
      <c r="H167" s="124">
        <f t="shared" si="6"/>
        <v>0.8</v>
      </c>
      <c r="I167" s="156">
        <f t="shared" si="7"/>
        <v>9.9999999999999995E-8</v>
      </c>
      <c r="K167" s="140">
        <f t="shared" si="8"/>
        <v>7.8000000000000016E-6</v>
      </c>
      <c r="L167">
        <v>0.78</v>
      </c>
      <c r="M167" s="140">
        <f t="shared" si="9"/>
        <v>7.7999999999999984E-8</v>
      </c>
      <c r="N167" s="140">
        <f t="shared" si="10"/>
        <v>1.5600000000000002E-7</v>
      </c>
      <c r="O167" s="140">
        <f t="shared" si="11"/>
        <v>2.3400000000000003E-7</v>
      </c>
      <c r="P167" s="140">
        <f t="shared" si="12"/>
        <v>3.1200000000000009E-7</v>
      </c>
      <c r="Q167" s="140">
        <f t="shared" si="13"/>
        <v>3.9000000000000008E-7</v>
      </c>
      <c r="R167" s="157">
        <f t="shared" si="14"/>
        <v>0.8</v>
      </c>
      <c r="S167" s="156">
        <f t="shared" si="15"/>
        <v>9.9999999999999995E-8</v>
      </c>
      <c r="U167" s="140">
        <f t="shared" si="16"/>
        <v>7.8000000000000016E-6</v>
      </c>
      <c r="V167">
        <v>0.78</v>
      </c>
      <c r="W167" s="140">
        <f t="shared" si="17"/>
        <v>7.7999999999999984E-8</v>
      </c>
      <c r="X167" s="140">
        <f t="shared" si="18"/>
        <v>1.5600000000000002E-7</v>
      </c>
      <c r="Y167" s="140">
        <f t="shared" si="19"/>
        <v>2.3400000000000003E-7</v>
      </c>
      <c r="Z167" s="140">
        <f t="shared" si="20"/>
        <v>3.1200000000000009E-7</v>
      </c>
      <c r="AA167" s="140">
        <f t="shared" si="21"/>
        <v>3.9000000000000008E-7</v>
      </c>
      <c r="AB167" s="157">
        <f t="shared" si="22"/>
        <v>0.8</v>
      </c>
      <c r="AC167" s="156">
        <f t="shared" si="23"/>
        <v>9.9999999999999995E-8</v>
      </c>
      <c r="AE167" s="140">
        <f t="shared" si="24"/>
        <v>7.8000000000000016E-6</v>
      </c>
      <c r="AF167">
        <v>0.78</v>
      </c>
      <c r="AG167" s="140">
        <f t="shared" si="25"/>
        <v>7.7999999999999984E-8</v>
      </c>
      <c r="AH167" s="140">
        <f t="shared" si="26"/>
        <v>1.5600000000000002E-7</v>
      </c>
      <c r="AI167" s="140">
        <f t="shared" si="27"/>
        <v>2.3400000000000003E-7</v>
      </c>
      <c r="AJ167" s="140">
        <f t="shared" si="28"/>
        <v>3.1200000000000009E-7</v>
      </c>
      <c r="AK167" s="140">
        <f t="shared" si="29"/>
        <v>3.9000000000000008E-7</v>
      </c>
      <c r="AL167" s="157">
        <f t="shared" si="30"/>
        <v>1.2</v>
      </c>
      <c r="AM167" s="156">
        <f t="shared" si="31"/>
        <v>9.9999999999999995E-8</v>
      </c>
      <c r="AO167" s="140">
        <f t="shared" si="32"/>
        <v>7.8000000000000016E-6</v>
      </c>
      <c r="AP167">
        <v>0.78</v>
      </c>
      <c r="AQ167" s="140">
        <f t="shared" si="33"/>
        <v>7.7999999999999984E-8</v>
      </c>
      <c r="AR167" s="140">
        <f t="shared" si="34"/>
        <v>1.5600000000000002E-7</v>
      </c>
      <c r="AS167" s="140">
        <f t="shared" si="35"/>
        <v>2.3400000000000003E-7</v>
      </c>
      <c r="AT167" s="140">
        <f t="shared" si="36"/>
        <v>3.1200000000000009E-7</v>
      </c>
      <c r="AU167" s="140">
        <f t="shared" si="37"/>
        <v>3.9000000000000008E-7</v>
      </c>
      <c r="AV167" s="157">
        <f t="shared" si="38"/>
        <v>1.2</v>
      </c>
      <c r="AW167" s="156">
        <f t="shared" si="39"/>
        <v>9.9999999999999995E-8</v>
      </c>
      <c r="AY167" s="140">
        <f t="shared" si="40"/>
        <v>7.8000000000000016E-6</v>
      </c>
      <c r="AZ167">
        <v>0.78</v>
      </c>
      <c r="BA167" s="140">
        <f t="shared" si="41"/>
        <v>7.7999999999999984E-8</v>
      </c>
      <c r="BB167" s="140">
        <f t="shared" si="42"/>
        <v>1.5600000000000002E-7</v>
      </c>
      <c r="BC167" s="140">
        <f t="shared" si="43"/>
        <v>2.3400000000000003E-7</v>
      </c>
      <c r="BD167" s="140">
        <f t="shared" si="44"/>
        <v>3.1200000000000009E-7</v>
      </c>
      <c r="BE167" s="140">
        <f t="shared" si="45"/>
        <v>3.9000000000000008E-7</v>
      </c>
      <c r="BF167" s="157">
        <f>IF(AY167&lt;$B$89*DATA!$H$1037,DATA!$H$1037,IF(AY167&gt;DATA!$H$1036*$B$89,DATA!$H$1036,1))</f>
        <v>1.2</v>
      </c>
      <c r="BG167" s="156">
        <f t="shared" si="46"/>
        <v>9.9999999999999995E-8</v>
      </c>
      <c r="BI167" s="140">
        <f t="shared" si="47"/>
        <v>7.8000000000000016E-6</v>
      </c>
      <c r="BJ167">
        <v>0.78</v>
      </c>
      <c r="BK167" s="140">
        <f t="shared" si="48"/>
        <v>7.7999999999999984E-8</v>
      </c>
      <c r="BL167" s="140">
        <f t="shared" si="49"/>
        <v>1.5600000000000002E-7</v>
      </c>
      <c r="BM167" s="140">
        <f t="shared" si="50"/>
        <v>2.3400000000000003E-7</v>
      </c>
      <c r="BN167" s="140">
        <f t="shared" si="51"/>
        <v>3.1200000000000009E-7</v>
      </c>
      <c r="BO167" s="140">
        <f t="shared" si="52"/>
        <v>3.9000000000000008E-7</v>
      </c>
      <c r="BP167" s="157">
        <f>IF(BI167&lt;$B$105*DATA!$H$1037,DATA!$H$1037,IF(BI167&gt;DATA!$H$1036*$B$105,DATA!$H$1036,1))</f>
        <v>1.2</v>
      </c>
      <c r="BQ167" s="156">
        <f t="shared" si="53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4"/>
        <v>7.9999999999999988E-8</v>
      </c>
      <c r="D168" s="140">
        <f t="shared" si="54"/>
        <v>1.6E-7</v>
      </c>
      <c r="E168" s="140">
        <f t="shared" si="54"/>
        <v>2.4000000000000003E-7</v>
      </c>
      <c r="F168" s="140">
        <f t="shared" si="54"/>
        <v>3.2000000000000006E-7</v>
      </c>
      <c r="G168" s="140">
        <f t="shared" si="54"/>
        <v>4.0000000000000009E-7</v>
      </c>
      <c r="H168" s="124">
        <f t="shared" si="6"/>
        <v>0.8</v>
      </c>
      <c r="I168" s="156">
        <f t="shared" si="7"/>
        <v>9.9999999999999995E-8</v>
      </c>
      <c r="K168" s="140">
        <f t="shared" si="8"/>
        <v>8.0000000000000013E-6</v>
      </c>
      <c r="L168">
        <v>0.8</v>
      </c>
      <c r="M168" s="140">
        <f t="shared" si="9"/>
        <v>7.9999999999999988E-8</v>
      </c>
      <c r="N168" s="140">
        <f t="shared" si="10"/>
        <v>1.6E-7</v>
      </c>
      <c r="O168" s="140">
        <f t="shared" si="11"/>
        <v>2.4000000000000003E-7</v>
      </c>
      <c r="P168" s="140">
        <f t="shared" si="12"/>
        <v>3.2000000000000006E-7</v>
      </c>
      <c r="Q168" s="140">
        <f t="shared" si="13"/>
        <v>4.0000000000000009E-7</v>
      </c>
      <c r="R168" s="157">
        <f t="shared" si="14"/>
        <v>0.8</v>
      </c>
      <c r="S168" s="156">
        <f t="shared" si="15"/>
        <v>9.9999999999999995E-8</v>
      </c>
      <c r="U168" s="140">
        <f t="shared" si="16"/>
        <v>8.0000000000000013E-6</v>
      </c>
      <c r="V168">
        <v>0.8</v>
      </c>
      <c r="W168" s="140">
        <f t="shared" si="17"/>
        <v>7.9999999999999988E-8</v>
      </c>
      <c r="X168" s="140">
        <f t="shared" si="18"/>
        <v>1.6E-7</v>
      </c>
      <c r="Y168" s="140">
        <f t="shared" si="19"/>
        <v>2.4000000000000003E-7</v>
      </c>
      <c r="Z168" s="140">
        <f t="shared" si="20"/>
        <v>3.2000000000000006E-7</v>
      </c>
      <c r="AA168" s="140">
        <f t="shared" si="21"/>
        <v>4.0000000000000009E-7</v>
      </c>
      <c r="AB168" s="157">
        <f t="shared" si="22"/>
        <v>0.8</v>
      </c>
      <c r="AC168" s="156">
        <f t="shared" si="23"/>
        <v>9.9999999999999995E-8</v>
      </c>
      <c r="AE168" s="140">
        <f t="shared" si="24"/>
        <v>8.0000000000000013E-6</v>
      </c>
      <c r="AF168">
        <v>0.8</v>
      </c>
      <c r="AG168" s="140">
        <f t="shared" si="25"/>
        <v>7.9999999999999988E-8</v>
      </c>
      <c r="AH168" s="140">
        <f t="shared" si="26"/>
        <v>1.6E-7</v>
      </c>
      <c r="AI168" s="140">
        <f t="shared" si="27"/>
        <v>2.4000000000000003E-7</v>
      </c>
      <c r="AJ168" s="140">
        <f t="shared" si="28"/>
        <v>3.2000000000000006E-7</v>
      </c>
      <c r="AK168" s="140">
        <f t="shared" si="29"/>
        <v>4.0000000000000009E-7</v>
      </c>
      <c r="AL168" s="157">
        <f t="shared" si="30"/>
        <v>1.2</v>
      </c>
      <c r="AM168" s="156">
        <f t="shared" si="31"/>
        <v>9.9999999999999995E-8</v>
      </c>
      <c r="AO168" s="140">
        <f t="shared" si="32"/>
        <v>8.0000000000000013E-6</v>
      </c>
      <c r="AP168">
        <v>0.8</v>
      </c>
      <c r="AQ168" s="140">
        <f t="shared" si="33"/>
        <v>7.9999999999999988E-8</v>
      </c>
      <c r="AR168" s="140">
        <f t="shared" si="34"/>
        <v>1.6E-7</v>
      </c>
      <c r="AS168" s="140">
        <f t="shared" si="35"/>
        <v>2.4000000000000003E-7</v>
      </c>
      <c r="AT168" s="140">
        <f t="shared" si="36"/>
        <v>3.2000000000000006E-7</v>
      </c>
      <c r="AU168" s="140">
        <f t="shared" si="37"/>
        <v>4.0000000000000009E-7</v>
      </c>
      <c r="AV168" s="157">
        <f t="shared" si="38"/>
        <v>1.2</v>
      </c>
      <c r="AW168" s="156">
        <f t="shared" si="39"/>
        <v>9.9999999999999995E-8</v>
      </c>
      <c r="AY168" s="140">
        <f t="shared" si="40"/>
        <v>8.0000000000000013E-6</v>
      </c>
      <c r="AZ168">
        <v>0.8</v>
      </c>
      <c r="BA168" s="140">
        <f t="shared" si="41"/>
        <v>7.9999999999999988E-8</v>
      </c>
      <c r="BB168" s="140">
        <f t="shared" si="42"/>
        <v>1.6E-7</v>
      </c>
      <c r="BC168" s="140">
        <f t="shared" si="43"/>
        <v>2.4000000000000003E-7</v>
      </c>
      <c r="BD168" s="140">
        <f t="shared" si="44"/>
        <v>3.2000000000000006E-7</v>
      </c>
      <c r="BE168" s="140">
        <f t="shared" si="45"/>
        <v>4.0000000000000009E-7</v>
      </c>
      <c r="BF168" s="157">
        <f>IF(AY168&lt;$B$89*DATA!$H$1037,DATA!$H$1037,IF(AY168&gt;DATA!$H$1036*$B$89,DATA!$H$1036,1))</f>
        <v>1.2</v>
      </c>
      <c r="BG168" s="156">
        <f t="shared" si="46"/>
        <v>9.9999999999999995E-8</v>
      </c>
      <c r="BI168" s="140">
        <f t="shared" si="47"/>
        <v>8.0000000000000013E-6</v>
      </c>
      <c r="BJ168">
        <v>0.8</v>
      </c>
      <c r="BK168" s="140">
        <f t="shared" si="48"/>
        <v>7.9999999999999988E-8</v>
      </c>
      <c r="BL168" s="140">
        <f t="shared" si="49"/>
        <v>1.6E-7</v>
      </c>
      <c r="BM168" s="140">
        <f t="shared" si="50"/>
        <v>2.4000000000000003E-7</v>
      </c>
      <c r="BN168" s="140">
        <f t="shared" si="51"/>
        <v>3.2000000000000006E-7</v>
      </c>
      <c r="BO168" s="140">
        <f t="shared" si="52"/>
        <v>4.0000000000000009E-7</v>
      </c>
      <c r="BP168" s="157">
        <f>IF(BI168&lt;$B$105*DATA!$H$1037,DATA!$H$1037,IF(BI168&gt;DATA!$H$1036*$B$105,DATA!$H$1036,1))</f>
        <v>1.2</v>
      </c>
      <c r="BQ168" s="156">
        <f t="shared" si="53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4"/>
        <v>8.1999999999999967E-8</v>
      </c>
      <c r="D169" s="140">
        <f t="shared" si="54"/>
        <v>1.6399999999999996E-7</v>
      </c>
      <c r="E169" s="140">
        <f t="shared" si="54"/>
        <v>2.4599999999999995E-7</v>
      </c>
      <c r="F169" s="140">
        <f t="shared" si="54"/>
        <v>3.2799999999999997E-7</v>
      </c>
      <c r="G169" s="140">
        <f t="shared" si="54"/>
        <v>4.0999999999999999E-7</v>
      </c>
      <c r="H169" s="124">
        <f t="shared" si="6"/>
        <v>0.8</v>
      </c>
      <c r="I169" s="156">
        <f t="shared" si="7"/>
        <v>9.9999999999999995E-8</v>
      </c>
      <c r="K169" s="140">
        <f t="shared" si="8"/>
        <v>8.1999999999999994E-6</v>
      </c>
      <c r="L169">
        <v>0.82</v>
      </c>
      <c r="M169" s="140">
        <f t="shared" si="9"/>
        <v>8.1999999999999967E-8</v>
      </c>
      <c r="N169" s="140">
        <f t="shared" si="10"/>
        <v>1.6399999999999996E-7</v>
      </c>
      <c r="O169" s="140">
        <f t="shared" si="11"/>
        <v>2.4599999999999995E-7</v>
      </c>
      <c r="P169" s="140">
        <f t="shared" si="12"/>
        <v>3.2799999999999997E-7</v>
      </c>
      <c r="Q169" s="140">
        <f t="shared" si="13"/>
        <v>4.0999999999999999E-7</v>
      </c>
      <c r="R169" s="157">
        <f t="shared" si="14"/>
        <v>0.8</v>
      </c>
      <c r="S169" s="156">
        <f t="shared" si="15"/>
        <v>9.9999999999999995E-8</v>
      </c>
      <c r="U169" s="140">
        <f t="shared" si="16"/>
        <v>8.1999999999999994E-6</v>
      </c>
      <c r="V169">
        <v>0.82</v>
      </c>
      <c r="W169" s="140">
        <f t="shared" si="17"/>
        <v>8.1999999999999967E-8</v>
      </c>
      <c r="X169" s="140">
        <f t="shared" si="18"/>
        <v>1.6399999999999996E-7</v>
      </c>
      <c r="Y169" s="140">
        <f t="shared" si="19"/>
        <v>2.4599999999999995E-7</v>
      </c>
      <c r="Z169" s="140">
        <f t="shared" si="20"/>
        <v>3.2799999999999997E-7</v>
      </c>
      <c r="AA169" s="140">
        <f t="shared" si="21"/>
        <v>4.0999999999999999E-7</v>
      </c>
      <c r="AB169" s="157">
        <f t="shared" si="22"/>
        <v>0.8</v>
      </c>
      <c r="AC169" s="156">
        <f t="shared" si="23"/>
        <v>9.9999999999999995E-8</v>
      </c>
      <c r="AE169" s="140">
        <f t="shared" si="24"/>
        <v>8.1999999999999994E-6</v>
      </c>
      <c r="AF169">
        <v>0.82</v>
      </c>
      <c r="AG169" s="140">
        <f t="shared" si="25"/>
        <v>8.1999999999999967E-8</v>
      </c>
      <c r="AH169" s="140">
        <f t="shared" si="26"/>
        <v>1.6399999999999996E-7</v>
      </c>
      <c r="AI169" s="140">
        <f t="shared" si="27"/>
        <v>2.4599999999999995E-7</v>
      </c>
      <c r="AJ169" s="140">
        <f t="shared" si="28"/>
        <v>3.2799999999999997E-7</v>
      </c>
      <c r="AK169" s="140">
        <f t="shared" si="29"/>
        <v>4.0999999999999999E-7</v>
      </c>
      <c r="AL169" s="157">
        <f t="shared" si="30"/>
        <v>1.2</v>
      </c>
      <c r="AM169" s="156">
        <f t="shared" si="31"/>
        <v>9.9999999999999995E-8</v>
      </c>
      <c r="AO169" s="140">
        <f t="shared" si="32"/>
        <v>8.1999999999999994E-6</v>
      </c>
      <c r="AP169">
        <v>0.82</v>
      </c>
      <c r="AQ169" s="140">
        <f t="shared" si="33"/>
        <v>8.1999999999999967E-8</v>
      </c>
      <c r="AR169" s="140">
        <f t="shared" si="34"/>
        <v>1.6399999999999996E-7</v>
      </c>
      <c r="AS169" s="140">
        <f t="shared" si="35"/>
        <v>2.4599999999999995E-7</v>
      </c>
      <c r="AT169" s="140">
        <f t="shared" si="36"/>
        <v>3.2799999999999997E-7</v>
      </c>
      <c r="AU169" s="140">
        <f t="shared" si="37"/>
        <v>4.0999999999999999E-7</v>
      </c>
      <c r="AV169" s="157">
        <f t="shared" si="38"/>
        <v>1.2</v>
      </c>
      <c r="AW169" s="156">
        <f t="shared" si="39"/>
        <v>9.9999999999999995E-8</v>
      </c>
      <c r="AY169" s="140">
        <f t="shared" si="40"/>
        <v>8.1999999999999994E-6</v>
      </c>
      <c r="AZ169">
        <v>0.82</v>
      </c>
      <c r="BA169" s="140">
        <f t="shared" si="41"/>
        <v>8.1999999999999967E-8</v>
      </c>
      <c r="BB169" s="140">
        <f t="shared" si="42"/>
        <v>1.6399999999999996E-7</v>
      </c>
      <c r="BC169" s="140">
        <f t="shared" si="43"/>
        <v>2.4599999999999995E-7</v>
      </c>
      <c r="BD169" s="140">
        <f t="shared" si="44"/>
        <v>3.2799999999999997E-7</v>
      </c>
      <c r="BE169" s="140">
        <f t="shared" si="45"/>
        <v>4.0999999999999999E-7</v>
      </c>
      <c r="BF169" s="157">
        <f>IF(AY169&lt;$B$89*DATA!$H$1037,DATA!$H$1037,IF(AY169&gt;DATA!$H$1036*$B$89,DATA!$H$1036,1))</f>
        <v>1.2</v>
      </c>
      <c r="BG169" s="156">
        <f t="shared" si="46"/>
        <v>9.9999999999999995E-8</v>
      </c>
      <c r="BI169" s="140">
        <f t="shared" si="47"/>
        <v>8.1999999999999994E-6</v>
      </c>
      <c r="BJ169">
        <v>0.82</v>
      </c>
      <c r="BK169" s="140">
        <f t="shared" si="48"/>
        <v>8.1999999999999967E-8</v>
      </c>
      <c r="BL169" s="140">
        <f t="shared" si="49"/>
        <v>1.6399999999999996E-7</v>
      </c>
      <c r="BM169" s="140">
        <f t="shared" si="50"/>
        <v>2.4599999999999995E-7</v>
      </c>
      <c r="BN169" s="140">
        <f t="shared" si="51"/>
        <v>3.2799999999999997E-7</v>
      </c>
      <c r="BO169" s="140">
        <f t="shared" si="52"/>
        <v>4.0999999999999999E-7</v>
      </c>
      <c r="BP169" s="157">
        <f>IF(BI169&lt;$B$105*DATA!$H$1037,DATA!$H$1037,IF(BI169&gt;DATA!$H$1036*$B$105,DATA!$H$1036,1))</f>
        <v>1.2</v>
      </c>
      <c r="BQ169" s="156">
        <f t="shared" si="53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4"/>
        <v>8.3999999999999985E-8</v>
      </c>
      <c r="D170" s="140">
        <f t="shared" si="54"/>
        <v>1.68E-7</v>
      </c>
      <c r="E170" s="140">
        <f t="shared" si="54"/>
        <v>2.5200000000000003E-7</v>
      </c>
      <c r="F170" s="140">
        <f t="shared" si="54"/>
        <v>3.3600000000000004E-7</v>
      </c>
      <c r="G170" s="140">
        <f t="shared" si="54"/>
        <v>4.2000000000000006E-7</v>
      </c>
      <c r="H170" s="124">
        <f t="shared" si="6"/>
        <v>0.8</v>
      </c>
      <c r="I170" s="156">
        <f t="shared" si="7"/>
        <v>9.9999999999999995E-8</v>
      </c>
      <c r="K170" s="140">
        <f t="shared" si="8"/>
        <v>8.4000000000000009E-6</v>
      </c>
      <c r="L170">
        <v>0.84</v>
      </c>
      <c r="M170" s="140">
        <f t="shared" si="9"/>
        <v>8.3999999999999985E-8</v>
      </c>
      <c r="N170" s="140">
        <f t="shared" si="10"/>
        <v>1.68E-7</v>
      </c>
      <c r="O170" s="140">
        <f t="shared" si="11"/>
        <v>2.5200000000000003E-7</v>
      </c>
      <c r="P170" s="140">
        <f t="shared" si="12"/>
        <v>3.3600000000000004E-7</v>
      </c>
      <c r="Q170" s="140">
        <f t="shared" si="13"/>
        <v>4.2000000000000006E-7</v>
      </c>
      <c r="R170" s="157">
        <f t="shared" si="14"/>
        <v>0.8</v>
      </c>
      <c r="S170" s="156">
        <f t="shared" si="15"/>
        <v>9.9999999999999995E-8</v>
      </c>
      <c r="U170" s="140">
        <f t="shared" si="16"/>
        <v>8.4000000000000009E-6</v>
      </c>
      <c r="V170">
        <v>0.84</v>
      </c>
      <c r="W170" s="140">
        <f t="shared" si="17"/>
        <v>8.3999999999999985E-8</v>
      </c>
      <c r="X170" s="140">
        <f t="shared" si="18"/>
        <v>1.68E-7</v>
      </c>
      <c r="Y170" s="140">
        <f t="shared" si="19"/>
        <v>2.5200000000000003E-7</v>
      </c>
      <c r="Z170" s="140">
        <f t="shared" si="20"/>
        <v>3.3600000000000004E-7</v>
      </c>
      <c r="AA170" s="140">
        <f t="shared" si="21"/>
        <v>4.2000000000000006E-7</v>
      </c>
      <c r="AB170" s="157">
        <f t="shared" si="22"/>
        <v>0.8</v>
      </c>
      <c r="AC170" s="156">
        <f t="shared" si="23"/>
        <v>9.9999999999999995E-8</v>
      </c>
      <c r="AE170" s="140">
        <f t="shared" si="24"/>
        <v>8.4000000000000009E-6</v>
      </c>
      <c r="AF170">
        <v>0.84</v>
      </c>
      <c r="AG170" s="140">
        <f t="shared" si="25"/>
        <v>8.3999999999999985E-8</v>
      </c>
      <c r="AH170" s="140">
        <f t="shared" si="26"/>
        <v>1.68E-7</v>
      </c>
      <c r="AI170" s="140">
        <f t="shared" si="27"/>
        <v>2.5200000000000003E-7</v>
      </c>
      <c r="AJ170" s="140">
        <f t="shared" si="28"/>
        <v>3.3600000000000004E-7</v>
      </c>
      <c r="AK170" s="140">
        <f t="shared" si="29"/>
        <v>4.2000000000000006E-7</v>
      </c>
      <c r="AL170" s="157">
        <f t="shared" si="30"/>
        <v>1.2</v>
      </c>
      <c r="AM170" s="156">
        <f t="shared" si="31"/>
        <v>9.9999999999999995E-8</v>
      </c>
      <c r="AO170" s="140">
        <f t="shared" si="32"/>
        <v>8.4000000000000009E-6</v>
      </c>
      <c r="AP170">
        <v>0.84</v>
      </c>
      <c r="AQ170" s="140">
        <f t="shared" si="33"/>
        <v>8.3999999999999985E-8</v>
      </c>
      <c r="AR170" s="140">
        <f t="shared" si="34"/>
        <v>1.68E-7</v>
      </c>
      <c r="AS170" s="140">
        <f t="shared" si="35"/>
        <v>2.5200000000000003E-7</v>
      </c>
      <c r="AT170" s="140">
        <f t="shared" si="36"/>
        <v>3.3600000000000004E-7</v>
      </c>
      <c r="AU170" s="140">
        <f t="shared" si="37"/>
        <v>4.2000000000000006E-7</v>
      </c>
      <c r="AV170" s="157">
        <f t="shared" si="38"/>
        <v>1.2</v>
      </c>
      <c r="AW170" s="156">
        <f t="shared" si="39"/>
        <v>9.9999999999999995E-8</v>
      </c>
      <c r="AY170" s="140">
        <f t="shared" si="40"/>
        <v>8.4000000000000009E-6</v>
      </c>
      <c r="AZ170">
        <v>0.84</v>
      </c>
      <c r="BA170" s="140">
        <f t="shared" si="41"/>
        <v>8.3999999999999985E-8</v>
      </c>
      <c r="BB170" s="140">
        <f t="shared" si="42"/>
        <v>1.68E-7</v>
      </c>
      <c r="BC170" s="140">
        <f t="shared" si="43"/>
        <v>2.5200000000000003E-7</v>
      </c>
      <c r="BD170" s="140">
        <f t="shared" si="44"/>
        <v>3.3600000000000004E-7</v>
      </c>
      <c r="BE170" s="140">
        <f t="shared" si="45"/>
        <v>4.2000000000000006E-7</v>
      </c>
      <c r="BF170" s="157">
        <f>IF(AY170&lt;$B$89*DATA!$H$1037,DATA!$H$1037,IF(AY170&gt;DATA!$H$1036*$B$89,DATA!$H$1036,1))</f>
        <v>1.2</v>
      </c>
      <c r="BG170" s="156">
        <f t="shared" si="46"/>
        <v>9.9999999999999995E-8</v>
      </c>
      <c r="BI170" s="140">
        <f t="shared" si="47"/>
        <v>8.4000000000000009E-6</v>
      </c>
      <c r="BJ170">
        <v>0.84</v>
      </c>
      <c r="BK170" s="140">
        <f t="shared" si="48"/>
        <v>8.3999999999999985E-8</v>
      </c>
      <c r="BL170" s="140">
        <f t="shared" si="49"/>
        <v>1.68E-7</v>
      </c>
      <c r="BM170" s="140">
        <f t="shared" si="50"/>
        <v>2.5200000000000003E-7</v>
      </c>
      <c r="BN170" s="140">
        <f t="shared" si="51"/>
        <v>3.3600000000000004E-7</v>
      </c>
      <c r="BO170" s="140">
        <f t="shared" si="52"/>
        <v>4.2000000000000006E-7</v>
      </c>
      <c r="BP170" s="157">
        <f>IF(BI170&lt;$B$105*DATA!$H$1037,DATA!$H$1037,IF(BI170&gt;DATA!$H$1036*$B$105,DATA!$H$1036,1))</f>
        <v>1.2</v>
      </c>
      <c r="BQ170" s="156">
        <f t="shared" si="53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4"/>
        <v>8.5999999999999976E-8</v>
      </c>
      <c r="D171" s="140">
        <f t="shared" si="54"/>
        <v>1.7199999999999998E-7</v>
      </c>
      <c r="E171" s="140">
        <f t="shared" si="54"/>
        <v>2.5800000000000001E-7</v>
      </c>
      <c r="F171" s="140">
        <f t="shared" si="54"/>
        <v>3.4400000000000001E-7</v>
      </c>
      <c r="G171" s="140">
        <f t="shared" si="54"/>
        <v>4.3000000000000007E-7</v>
      </c>
      <c r="H171" s="124">
        <f t="shared" si="6"/>
        <v>0.8</v>
      </c>
      <c r="I171" s="156">
        <f t="shared" si="7"/>
        <v>9.9999999999999995E-8</v>
      </c>
      <c r="K171" s="140">
        <f t="shared" si="8"/>
        <v>8.6000000000000007E-6</v>
      </c>
      <c r="L171">
        <v>0.86</v>
      </c>
      <c r="M171" s="140">
        <f t="shared" si="9"/>
        <v>8.5999999999999976E-8</v>
      </c>
      <c r="N171" s="140">
        <f t="shared" si="10"/>
        <v>1.7199999999999998E-7</v>
      </c>
      <c r="O171" s="140">
        <f t="shared" si="11"/>
        <v>2.5800000000000001E-7</v>
      </c>
      <c r="P171" s="140">
        <f t="shared" si="12"/>
        <v>3.4400000000000001E-7</v>
      </c>
      <c r="Q171" s="140">
        <f t="shared" si="13"/>
        <v>4.3000000000000007E-7</v>
      </c>
      <c r="R171" s="157">
        <f t="shared" si="14"/>
        <v>0.8</v>
      </c>
      <c r="S171" s="156">
        <f t="shared" si="15"/>
        <v>9.9999999999999995E-8</v>
      </c>
      <c r="U171" s="140">
        <f t="shared" si="16"/>
        <v>8.6000000000000007E-6</v>
      </c>
      <c r="V171">
        <v>0.86</v>
      </c>
      <c r="W171" s="140">
        <f t="shared" si="17"/>
        <v>8.5999999999999976E-8</v>
      </c>
      <c r="X171" s="140">
        <f t="shared" si="18"/>
        <v>1.7199999999999998E-7</v>
      </c>
      <c r="Y171" s="140">
        <f t="shared" si="19"/>
        <v>2.5800000000000001E-7</v>
      </c>
      <c r="Z171" s="140">
        <f t="shared" si="20"/>
        <v>3.4400000000000001E-7</v>
      </c>
      <c r="AA171" s="140">
        <f t="shared" si="21"/>
        <v>4.3000000000000007E-7</v>
      </c>
      <c r="AB171" s="157">
        <f t="shared" si="22"/>
        <v>0.8</v>
      </c>
      <c r="AC171" s="156">
        <f t="shared" si="23"/>
        <v>9.9999999999999995E-8</v>
      </c>
      <c r="AE171" s="140">
        <f t="shared" si="24"/>
        <v>8.6000000000000007E-6</v>
      </c>
      <c r="AF171">
        <v>0.86</v>
      </c>
      <c r="AG171" s="140">
        <f t="shared" si="25"/>
        <v>8.5999999999999976E-8</v>
      </c>
      <c r="AH171" s="140">
        <f t="shared" si="26"/>
        <v>1.7199999999999998E-7</v>
      </c>
      <c r="AI171" s="140">
        <f t="shared" si="27"/>
        <v>2.5800000000000001E-7</v>
      </c>
      <c r="AJ171" s="140">
        <f t="shared" si="28"/>
        <v>3.4400000000000001E-7</v>
      </c>
      <c r="AK171" s="140">
        <f t="shared" si="29"/>
        <v>4.3000000000000007E-7</v>
      </c>
      <c r="AL171" s="157">
        <f t="shared" si="30"/>
        <v>1.2</v>
      </c>
      <c r="AM171" s="156">
        <f t="shared" si="31"/>
        <v>9.9999999999999995E-8</v>
      </c>
      <c r="AO171" s="140">
        <f t="shared" si="32"/>
        <v>8.6000000000000007E-6</v>
      </c>
      <c r="AP171">
        <v>0.86</v>
      </c>
      <c r="AQ171" s="140">
        <f t="shared" si="33"/>
        <v>8.5999999999999976E-8</v>
      </c>
      <c r="AR171" s="140">
        <f t="shared" si="34"/>
        <v>1.7199999999999998E-7</v>
      </c>
      <c r="AS171" s="140">
        <f t="shared" si="35"/>
        <v>2.5800000000000001E-7</v>
      </c>
      <c r="AT171" s="140">
        <f t="shared" si="36"/>
        <v>3.4400000000000001E-7</v>
      </c>
      <c r="AU171" s="140">
        <f t="shared" si="37"/>
        <v>4.3000000000000007E-7</v>
      </c>
      <c r="AV171" s="157">
        <f t="shared" si="38"/>
        <v>1.2</v>
      </c>
      <c r="AW171" s="156">
        <f t="shared" si="39"/>
        <v>9.9999999999999995E-8</v>
      </c>
      <c r="AY171" s="140">
        <f t="shared" si="40"/>
        <v>8.6000000000000007E-6</v>
      </c>
      <c r="AZ171">
        <v>0.86</v>
      </c>
      <c r="BA171" s="140">
        <f t="shared" si="41"/>
        <v>8.5999999999999976E-8</v>
      </c>
      <c r="BB171" s="140">
        <f t="shared" si="42"/>
        <v>1.7199999999999998E-7</v>
      </c>
      <c r="BC171" s="140">
        <f t="shared" si="43"/>
        <v>2.5800000000000001E-7</v>
      </c>
      <c r="BD171" s="140">
        <f t="shared" si="44"/>
        <v>3.4400000000000001E-7</v>
      </c>
      <c r="BE171" s="140">
        <f t="shared" si="45"/>
        <v>4.3000000000000007E-7</v>
      </c>
      <c r="BF171" s="157">
        <f>IF(AY171&lt;$B$89*DATA!$H$1037,DATA!$H$1037,IF(AY171&gt;DATA!$H$1036*$B$89,DATA!$H$1036,1))</f>
        <v>1.2</v>
      </c>
      <c r="BG171" s="156">
        <f t="shared" si="46"/>
        <v>9.9999999999999995E-8</v>
      </c>
      <c r="BI171" s="140">
        <f t="shared" si="47"/>
        <v>8.6000000000000007E-6</v>
      </c>
      <c r="BJ171">
        <v>0.86</v>
      </c>
      <c r="BK171" s="140">
        <f t="shared" si="48"/>
        <v>8.5999999999999976E-8</v>
      </c>
      <c r="BL171" s="140">
        <f t="shared" si="49"/>
        <v>1.7199999999999998E-7</v>
      </c>
      <c r="BM171" s="140">
        <f t="shared" si="50"/>
        <v>2.5800000000000001E-7</v>
      </c>
      <c r="BN171" s="140">
        <f t="shared" si="51"/>
        <v>3.4400000000000001E-7</v>
      </c>
      <c r="BO171" s="140">
        <f t="shared" si="52"/>
        <v>4.3000000000000007E-7</v>
      </c>
      <c r="BP171" s="157">
        <f>IF(BI171&lt;$B$105*DATA!$H$1037,DATA!$H$1037,IF(BI171&gt;DATA!$H$1036*$B$105,DATA!$H$1036,1))</f>
        <v>1.2</v>
      </c>
      <c r="BQ171" s="156">
        <f t="shared" si="53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4"/>
        <v>8.8000000000000073E-8</v>
      </c>
      <c r="D172" s="140">
        <f t="shared" si="54"/>
        <v>1.7600000000000017E-7</v>
      </c>
      <c r="E172" s="140">
        <f t="shared" si="54"/>
        <v>2.640000000000003E-7</v>
      </c>
      <c r="F172" s="140">
        <f t="shared" si="54"/>
        <v>3.5200000000000045E-7</v>
      </c>
      <c r="G172" s="140">
        <f t="shared" si="54"/>
        <v>4.4000000000000055E-7</v>
      </c>
      <c r="H172" s="124">
        <f t="shared" si="6"/>
        <v>0.8</v>
      </c>
      <c r="I172" s="156">
        <f t="shared" si="7"/>
        <v>9.9999999999999995E-8</v>
      </c>
      <c r="K172" s="140">
        <f t="shared" si="8"/>
        <v>8.8000000000000106E-6</v>
      </c>
      <c r="L172">
        <v>0.880000000000001</v>
      </c>
      <c r="M172" s="140">
        <f t="shared" si="9"/>
        <v>8.8000000000000073E-8</v>
      </c>
      <c r="N172" s="140">
        <f t="shared" si="10"/>
        <v>1.7600000000000017E-7</v>
      </c>
      <c r="O172" s="140">
        <f t="shared" si="11"/>
        <v>2.640000000000003E-7</v>
      </c>
      <c r="P172" s="140">
        <f t="shared" si="12"/>
        <v>3.5200000000000045E-7</v>
      </c>
      <c r="Q172" s="140">
        <f t="shared" si="13"/>
        <v>4.4000000000000055E-7</v>
      </c>
      <c r="R172" s="157">
        <f t="shared" si="14"/>
        <v>0.8</v>
      </c>
      <c r="S172" s="156">
        <f t="shared" si="15"/>
        <v>9.9999999999999995E-8</v>
      </c>
      <c r="U172" s="140">
        <f t="shared" si="16"/>
        <v>8.8000000000000106E-6</v>
      </c>
      <c r="V172">
        <v>0.880000000000001</v>
      </c>
      <c r="W172" s="140">
        <f t="shared" si="17"/>
        <v>8.8000000000000073E-8</v>
      </c>
      <c r="X172" s="140">
        <f t="shared" si="18"/>
        <v>1.7600000000000017E-7</v>
      </c>
      <c r="Y172" s="140">
        <f t="shared" si="19"/>
        <v>2.640000000000003E-7</v>
      </c>
      <c r="Z172" s="140">
        <f t="shared" si="20"/>
        <v>3.5200000000000045E-7</v>
      </c>
      <c r="AA172" s="140">
        <f t="shared" si="21"/>
        <v>4.4000000000000055E-7</v>
      </c>
      <c r="AB172" s="157">
        <f t="shared" si="22"/>
        <v>0.8</v>
      </c>
      <c r="AC172" s="156">
        <f t="shared" si="23"/>
        <v>9.9999999999999995E-8</v>
      </c>
      <c r="AE172" s="140">
        <f t="shared" si="24"/>
        <v>8.8000000000000106E-6</v>
      </c>
      <c r="AF172">
        <v>0.880000000000001</v>
      </c>
      <c r="AG172" s="140">
        <f t="shared" si="25"/>
        <v>8.8000000000000073E-8</v>
      </c>
      <c r="AH172" s="140">
        <f t="shared" si="26"/>
        <v>1.7600000000000017E-7</v>
      </c>
      <c r="AI172" s="140">
        <f t="shared" si="27"/>
        <v>2.640000000000003E-7</v>
      </c>
      <c r="AJ172" s="140">
        <f t="shared" si="28"/>
        <v>3.5200000000000045E-7</v>
      </c>
      <c r="AK172" s="140">
        <f t="shared" si="29"/>
        <v>4.4000000000000055E-7</v>
      </c>
      <c r="AL172" s="157">
        <f t="shared" si="30"/>
        <v>1.2</v>
      </c>
      <c r="AM172" s="156">
        <f t="shared" si="31"/>
        <v>9.9999999999999995E-8</v>
      </c>
      <c r="AO172" s="140">
        <f t="shared" si="32"/>
        <v>8.8000000000000106E-6</v>
      </c>
      <c r="AP172">
        <v>0.880000000000001</v>
      </c>
      <c r="AQ172" s="140">
        <f t="shared" si="33"/>
        <v>8.8000000000000073E-8</v>
      </c>
      <c r="AR172" s="140">
        <f t="shared" si="34"/>
        <v>1.7600000000000017E-7</v>
      </c>
      <c r="AS172" s="140">
        <f t="shared" si="35"/>
        <v>2.640000000000003E-7</v>
      </c>
      <c r="AT172" s="140">
        <f t="shared" si="36"/>
        <v>3.5200000000000045E-7</v>
      </c>
      <c r="AU172" s="140">
        <f t="shared" si="37"/>
        <v>4.4000000000000055E-7</v>
      </c>
      <c r="AV172" s="157">
        <f t="shared" si="38"/>
        <v>1.2</v>
      </c>
      <c r="AW172" s="156">
        <f t="shared" si="39"/>
        <v>9.9999999999999995E-8</v>
      </c>
      <c r="AY172" s="140">
        <f t="shared" si="40"/>
        <v>8.8000000000000106E-6</v>
      </c>
      <c r="AZ172">
        <v>0.880000000000001</v>
      </c>
      <c r="BA172" s="140">
        <f t="shared" si="41"/>
        <v>8.8000000000000073E-8</v>
      </c>
      <c r="BB172" s="140">
        <f t="shared" si="42"/>
        <v>1.7600000000000017E-7</v>
      </c>
      <c r="BC172" s="140">
        <f t="shared" si="43"/>
        <v>2.640000000000003E-7</v>
      </c>
      <c r="BD172" s="140">
        <f t="shared" si="44"/>
        <v>3.5200000000000045E-7</v>
      </c>
      <c r="BE172" s="140">
        <f t="shared" si="45"/>
        <v>4.4000000000000055E-7</v>
      </c>
      <c r="BF172" s="157">
        <f>IF(AY172&lt;$B$89*DATA!$H$1037,DATA!$H$1037,IF(AY172&gt;DATA!$H$1036*$B$89,DATA!$H$1036,1))</f>
        <v>1.2</v>
      </c>
      <c r="BG172" s="156">
        <f t="shared" si="46"/>
        <v>9.9999999999999995E-8</v>
      </c>
      <c r="BI172" s="140">
        <f t="shared" si="47"/>
        <v>8.8000000000000106E-6</v>
      </c>
      <c r="BJ172">
        <v>0.880000000000001</v>
      </c>
      <c r="BK172" s="140">
        <f t="shared" si="48"/>
        <v>8.8000000000000073E-8</v>
      </c>
      <c r="BL172" s="140">
        <f t="shared" si="49"/>
        <v>1.7600000000000017E-7</v>
      </c>
      <c r="BM172" s="140">
        <f t="shared" si="50"/>
        <v>2.640000000000003E-7</v>
      </c>
      <c r="BN172" s="140">
        <f t="shared" si="51"/>
        <v>3.5200000000000045E-7</v>
      </c>
      <c r="BO172" s="140">
        <f t="shared" si="52"/>
        <v>4.4000000000000055E-7</v>
      </c>
      <c r="BP172" s="157">
        <f>IF(BI172&lt;$B$105*DATA!$H$1037,DATA!$H$1037,IF(BI172&gt;DATA!$H$1036*$B$105,DATA!$H$1036,1))</f>
        <v>1.2</v>
      </c>
      <c r="BQ172" s="156">
        <f t="shared" si="53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4"/>
        <v>9.0000000000000078E-8</v>
      </c>
      <c r="D173" s="140">
        <f t="shared" si="54"/>
        <v>1.8000000000000018E-7</v>
      </c>
      <c r="E173" s="140">
        <f t="shared" si="54"/>
        <v>2.7000000000000033E-7</v>
      </c>
      <c r="F173" s="140">
        <f t="shared" si="54"/>
        <v>3.6000000000000042E-7</v>
      </c>
      <c r="G173" s="140">
        <f t="shared" si="54"/>
        <v>4.5000000000000056E-7</v>
      </c>
      <c r="H173" s="124">
        <f t="shared" si="6"/>
        <v>0.8</v>
      </c>
      <c r="I173" s="156">
        <f t="shared" si="7"/>
        <v>9.9999999999999995E-8</v>
      </c>
      <c r="K173" s="140">
        <f t="shared" si="8"/>
        <v>9.0000000000000104E-6</v>
      </c>
      <c r="L173">
        <v>0.90000000000000102</v>
      </c>
      <c r="M173" s="140">
        <f t="shared" si="9"/>
        <v>9.0000000000000078E-8</v>
      </c>
      <c r="N173" s="140">
        <f t="shared" si="10"/>
        <v>1.8000000000000018E-7</v>
      </c>
      <c r="O173" s="140">
        <f t="shared" si="11"/>
        <v>2.7000000000000033E-7</v>
      </c>
      <c r="P173" s="140">
        <f t="shared" si="12"/>
        <v>3.6000000000000042E-7</v>
      </c>
      <c r="Q173" s="140">
        <f t="shared" si="13"/>
        <v>4.5000000000000056E-7</v>
      </c>
      <c r="R173" s="157">
        <f t="shared" si="14"/>
        <v>0.8</v>
      </c>
      <c r="S173" s="156">
        <f t="shared" si="15"/>
        <v>9.9999999999999995E-8</v>
      </c>
      <c r="U173" s="140">
        <f t="shared" si="16"/>
        <v>9.0000000000000104E-6</v>
      </c>
      <c r="V173">
        <v>0.90000000000000102</v>
      </c>
      <c r="W173" s="140">
        <f t="shared" si="17"/>
        <v>9.0000000000000078E-8</v>
      </c>
      <c r="X173" s="140">
        <f t="shared" si="18"/>
        <v>1.8000000000000018E-7</v>
      </c>
      <c r="Y173" s="140">
        <f t="shared" si="19"/>
        <v>2.7000000000000033E-7</v>
      </c>
      <c r="Z173" s="140">
        <f t="shared" si="20"/>
        <v>3.6000000000000042E-7</v>
      </c>
      <c r="AA173" s="140">
        <f t="shared" si="21"/>
        <v>4.5000000000000056E-7</v>
      </c>
      <c r="AB173" s="157">
        <f t="shared" si="22"/>
        <v>0.8</v>
      </c>
      <c r="AC173" s="156">
        <f t="shared" si="23"/>
        <v>9.9999999999999995E-8</v>
      </c>
      <c r="AE173" s="140">
        <f t="shared" si="24"/>
        <v>9.0000000000000104E-6</v>
      </c>
      <c r="AF173">
        <v>0.90000000000000102</v>
      </c>
      <c r="AG173" s="140">
        <f t="shared" si="25"/>
        <v>9.0000000000000078E-8</v>
      </c>
      <c r="AH173" s="140">
        <f t="shared" si="26"/>
        <v>1.8000000000000018E-7</v>
      </c>
      <c r="AI173" s="140">
        <f t="shared" si="27"/>
        <v>2.7000000000000033E-7</v>
      </c>
      <c r="AJ173" s="140">
        <f t="shared" si="28"/>
        <v>3.6000000000000042E-7</v>
      </c>
      <c r="AK173" s="140">
        <f t="shared" si="29"/>
        <v>4.5000000000000056E-7</v>
      </c>
      <c r="AL173" s="157">
        <f t="shared" si="30"/>
        <v>1.2</v>
      </c>
      <c r="AM173" s="156">
        <f t="shared" si="31"/>
        <v>9.9999999999999995E-8</v>
      </c>
      <c r="AO173" s="140">
        <f t="shared" si="32"/>
        <v>9.0000000000000104E-6</v>
      </c>
      <c r="AP173">
        <v>0.90000000000000102</v>
      </c>
      <c r="AQ173" s="140">
        <f t="shared" si="33"/>
        <v>9.0000000000000078E-8</v>
      </c>
      <c r="AR173" s="140">
        <f t="shared" si="34"/>
        <v>1.8000000000000018E-7</v>
      </c>
      <c r="AS173" s="140">
        <f t="shared" si="35"/>
        <v>2.7000000000000033E-7</v>
      </c>
      <c r="AT173" s="140">
        <f t="shared" si="36"/>
        <v>3.6000000000000042E-7</v>
      </c>
      <c r="AU173" s="140">
        <f t="shared" si="37"/>
        <v>4.5000000000000056E-7</v>
      </c>
      <c r="AV173" s="157">
        <f t="shared" si="38"/>
        <v>1.2</v>
      </c>
      <c r="AW173" s="156">
        <f t="shared" si="39"/>
        <v>9.9999999999999995E-8</v>
      </c>
      <c r="AY173" s="140">
        <f t="shared" si="40"/>
        <v>9.0000000000000104E-6</v>
      </c>
      <c r="AZ173">
        <v>0.90000000000000102</v>
      </c>
      <c r="BA173" s="140">
        <f t="shared" si="41"/>
        <v>9.0000000000000078E-8</v>
      </c>
      <c r="BB173" s="140">
        <f t="shared" si="42"/>
        <v>1.8000000000000018E-7</v>
      </c>
      <c r="BC173" s="140">
        <f t="shared" si="43"/>
        <v>2.7000000000000033E-7</v>
      </c>
      <c r="BD173" s="140">
        <f t="shared" si="44"/>
        <v>3.6000000000000042E-7</v>
      </c>
      <c r="BE173" s="140">
        <f t="shared" si="45"/>
        <v>4.5000000000000056E-7</v>
      </c>
      <c r="BF173" s="157">
        <f>IF(AY173&lt;$B$89*DATA!$H$1037,DATA!$H$1037,IF(AY173&gt;DATA!$H$1036*$B$89,DATA!$H$1036,1))</f>
        <v>1.2</v>
      </c>
      <c r="BG173" s="156">
        <f t="shared" si="46"/>
        <v>9.9999999999999995E-8</v>
      </c>
      <c r="BI173" s="140">
        <f t="shared" si="47"/>
        <v>9.0000000000000104E-6</v>
      </c>
      <c r="BJ173">
        <v>0.90000000000000102</v>
      </c>
      <c r="BK173" s="140">
        <f t="shared" si="48"/>
        <v>9.0000000000000078E-8</v>
      </c>
      <c r="BL173" s="140">
        <f t="shared" si="49"/>
        <v>1.8000000000000018E-7</v>
      </c>
      <c r="BM173" s="140">
        <f t="shared" si="50"/>
        <v>2.7000000000000033E-7</v>
      </c>
      <c r="BN173" s="140">
        <f t="shared" si="51"/>
        <v>3.6000000000000042E-7</v>
      </c>
      <c r="BO173" s="140">
        <f t="shared" si="52"/>
        <v>4.5000000000000056E-7</v>
      </c>
      <c r="BP173" s="157">
        <f>IF(BI173&lt;$B$105*DATA!$H$1037,DATA!$H$1037,IF(BI173&gt;DATA!$H$1036*$B$105,DATA!$H$1036,1))</f>
        <v>1.2</v>
      </c>
      <c r="BQ173" s="156">
        <f t="shared" si="53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4"/>
        <v>9.2000000000000083E-8</v>
      </c>
      <c r="D174" s="140">
        <f t="shared" si="54"/>
        <v>1.8400000000000022E-7</v>
      </c>
      <c r="E174" s="140">
        <f t="shared" si="54"/>
        <v>2.7600000000000035E-7</v>
      </c>
      <c r="F174" s="140">
        <f t="shared" si="54"/>
        <v>3.6800000000000049E-7</v>
      </c>
      <c r="G174" s="140">
        <f t="shared" si="54"/>
        <v>4.6000000000000063E-7</v>
      </c>
      <c r="H174" s="124">
        <f t="shared" si="6"/>
        <v>0.8</v>
      </c>
      <c r="I174" s="156">
        <f t="shared" si="7"/>
        <v>9.9999999999999995E-8</v>
      </c>
      <c r="K174" s="140">
        <f t="shared" si="8"/>
        <v>9.2000000000000119E-6</v>
      </c>
      <c r="L174">
        <v>0.92000000000000104</v>
      </c>
      <c r="M174" s="140">
        <f t="shared" si="9"/>
        <v>9.2000000000000083E-8</v>
      </c>
      <c r="N174" s="140">
        <f t="shared" si="10"/>
        <v>1.8400000000000022E-7</v>
      </c>
      <c r="O174" s="140">
        <f t="shared" si="11"/>
        <v>2.7600000000000035E-7</v>
      </c>
      <c r="P174" s="140">
        <f t="shared" si="12"/>
        <v>3.6800000000000049E-7</v>
      </c>
      <c r="Q174" s="140">
        <f t="shared" si="13"/>
        <v>4.6000000000000063E-7</v>
      </c>
      <c r="R174" s="157">
        <f t="shared" si="14"/>
        <v>0.8</v>
      </c>
      <c r="S174" s="156">
        <f t="shared" si="15"/>
        <v>9.9999999999999995E-8</v>
      </c>
      <c r="U174" s="140">
        <f t="shared" si="16"/>
        <v>9.2000000000000119E-6</v>
      </c>
      <c r="V174">
        <v>0.92000000000000104</v>
      </c>
      <c r="W174" s="140">
        <f t="shared" si="17"/>
        <v>9.2000000000000083E-8</v>
      </c>
      <c r="X174" s="140">
        <f t="shared" si="18"/>
        <v>1.8400000000000022E-7</v>
      </c>
      <c r="Y174" s="140">
        <f t="shared" si="19"/>
        <v>2.7600000000000035E-7</v>
      </c>
      <c r="Z174" s="140">
        <f t="shared" si="20"/>
        <v>3.6800000000000049E-7</v>
      </c>
      <c r="AA174" s="140">
        <f t="shared" si="21"/>
        <v>4.6000000000000063E-7</v>
      </c>
      <c r="AB174" s="157">
        <f t="shared" si="22"/>
        <v>0.8</v>
      </c>
      <c r="AC174" s="156">
        <f t="shared" si="23"/>
        <v>9.9999999999999995E-8</v>
      </c>
      <c r="AE174" s="140">
        <f t="shared" si="24"/>
        <v>9.2000000000000119E-6</v>
      </c>
      <c r="AF174">
        <v>0.92000000000000104</v>
      </c>
      <c r="AG174" s="140">
        <f t="shared" si="25"/>
        <v>9.2000000000000083E-8</v>
      </c>
      <c r="AH174" s="140">
        <f t="shared" si="26"/>
        <v>1.8400000000000022E-7</v>
      </c>
      <c r="AI174" s="140">
        <f t="shared" si="27"/>
        <v>2.7600000000000035E-7</v>
      </c>
      <c r="AJ174" s="140">
        <f t="shared" si="28"/>
        <v>3.6800000000000049E-7</v>
      </c>
      <c r="AK174" s="140">
        <f t="shared" si="29"/>
        <v>4.6000000000000063E-7</v>
      </c>
      <c r="AL174" s="157">
        <f t="shared" si="30"/>
        <v>1.2</v>
      </c>
      <c r="AM174" s="156">
        <f t="shared" si="31"/>
        <v>9.9999999999999995E-8</v>
      </c>
      <c r="AO174" s="140">
        <f t="shared" si="32"/>
        <v>9.2000000000000119E-6</v>
      </c>
      <c r="AP174">
        <v>0.92000000000000104</v>
      </c>
      <c r="AQ174" s="140">
        <f t="shared" si="33"/>
        <v>9.2000000000000083E-8</v>
      </c>
      <c r="AR174" s="140">
        <f t="shared" si="34"/>
        <v>1.8400000000000022E-7</v>
      </c>
      <c r="AS174" s="140">
        <f t="shared" si="35"/>
        <v>2.7600000000000035E-7</v>
      </c>
      <c r="AT174" s="140">
        <f t="shared" si="36"/>
        <v>3.6800000000000049E-7</v>
      </c>
      <c r="AU174" s="140">
        <f t="shared" si="37"/>
        <v>4.6000000000000063E-7</v>
      </c>
      <c r="AV174" s="157">
        <f t="shared" si="38"/>
        <v>1.2</v>
      </c>
      <c r="AW174" s="156">
        <f t="shared" si="39"/>
        <v>9.9999999999999995E-8</v>
      </c>
      <c r="AY174" s="140">
        <f t="shared" si="40"/>
        <v>9.2000000000000119E-6</v>
      </c>
      <c r="AZ174">
        <v>0.92000000000000104</v>
      </c>
      <c r="BA174" s="140">
        <f t="shared" si="41"/>
        <v>9.2000000000000083E-8</v>
      </c>
      <c r="BB174" s="140">
        <f t="shared" si="42"/>
        <v>1.8400000000000022E-7</v>
      </c>
      <c r="BC174" s="140">
        <f t="shared" si="43"/>
        <v>2.7600000000000035E-7</v>
      </c>
      <c r="BD174" s="140">
        <f t="shared" si="44"/>
        <v>3.6800000000000049E-7</v>
      </c>
      <c r="BE174" s="140">
        <f t="shared" si="45"/>
        <v>4.6000000000000063E-7</v>
      </c>
      <c r="BF174" s="157">
        <f>IF(AY174&lt;$B$89*DATA!$H$1037,DATA!$H$1037,IF(AY174&gt;DATA!$H$1036*$B$89,DATA!$H$1036,1))</f>
        <v>1.2</v>
      </c>
      <c r="BG174" s="156">
        <f t="shared" si="46"/>
        <v>9.9999999999999995E-8</v>
      </c>
      <c r="BI174" s="140">
        <f t="shared" si="47"/>
        <v>9.2000000000000119E-6</v>
      </c>
      <c r="BJ174">
        <v>0.92000000000000104</v>
      </c>
      <c r="BK174" s="140">
        <f t="shared" si="48"/>
        <v>9.2000000000000083E-8</v>
      </c>
      <c r="BL174" s="140">
        <f t="shared" si="49"/>
        <v>1.8400000000000022E-7</v>
      </c>
      <c r="BM174" s="140">
        <f t="shared" si="50"/>
        <v>2.7600000000000035E-7</v>
      </c>
      <c r="BN174" s="140">
        <f t="shared" si="51"/>
        <v>3.6800000000000049E-7</v>
      </c>
      <c r="BO174" s="140">
        <f t="shared" si="52"/>
        <v>4.6000000000000063E-7</v>
      </c>
      <c r="BP174" s="157">
        <f>IF(BI174&lt;$B$105*DATA!$H$1037,DATA!$H$1037,IF(BI174&gt;DATA!$H$1036*$B$105,DATA!$H$1036,1))</f>
        <v>1.2</v>
      </c>
      <c r="BQ174" s="156">
        <f t="shared" si="53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ref="C175:G190" si="55">C$142*$A175</f>
        <v>9.4000000000000074E-8</v>
      </c>
      <c r="D175" s="140">
        <f t="shared" si="55"/>
        <v>1.8800000000000017E-7</v>
      </c>
      <c r="E175" s="140">
        <f t="shared" si="55"/>
        <v>2.8200000000000028E-7</v>
      </c>
      <c r="F175" s="140">
        <f t="shared" si="55"/>
        <v>3.760000000000004E-7</v>
      </c>
      <c r="G175" s="140">
        <f t="shared" si="55"/>
        <v>4.7000000000000053E-7</v>
      </c>
      <c r="H175" s="124">
        <f t="shared" si="6"/>
        <v>0.8</v>
      </c>
      <c r="I175" s="156">
        <f t="shared" si="7"/>
        <v>9.9999999999999995E-8</v>
      </c>
      <c r="K175" s="140">
        <f t="shared" si="8"/>
        <v>9.40000000000001E-6</v>
      </c>
      <c r="L175">
        <v>0.94000000000000095</v>
      </c>
      <c r="M175" s="140">
        <f t="shared" si="9"/>
        <v>9.4000000000000074E-8</v>
      </c>
      <c r="N175" s="140">
        <f t="shared" si="10"/>
        <v>1.8800000000000017E-7</v>
      </c>
      <c r="O175" s="140">
        <f t="shared" si="11"/>
        <v>2.8200000000000028E-7</v>
      </c>
      <c r="P175" s="140">
        <f t="shared" si="12"/>
        <v>3.760000000000004E-7</v>
      </c>
      <c r="Q175" s="140">
        <f t="shared" si="13"/>
        <v>4.7000000000000053E-7</v>
      </c>
      <c r="R175" s="157">
        <f t="shared" si="14"/>
        <v>0.8</v>
      </c>
      <c r="S175" s="156">
        <f t="shared" si="15"/>
        <v>9.9999999999999995E-8</v>
      </c>
      <c r="U175" s="140">
        <f t="shared" si="16"/>
        <v>9.40000000000001E-6</v>
      </c>
      <c r="V175">
        <v>0.94000000000000095</v>
      </c>
      <c r="W175" s="140">
        <f t="shared" si="17"/>
        <v>9.4000000000000074E-8</v>
      </c>
      <c r="X175" s="140">
        <f t="shared" si="18"/>
        <v>1.8800000000000017E-7</v>
      </c>
      <c r="Y175" s="140">
        <f t="shared" si="19"/>
        <v>2.8200000000000028E-7</v>
      </c>
      <c r="Z175" s="140">
        <f t="shared" si="20"/>
        <v>3.760000000000004E-7</v>
      </c>
      <c r="AA175" s="140">
        <f t="shared" si="21"/>
        <v>4.7000000000000053E-7</v>
      </c>
      <c r="AB175" s="157">
        <f t="shared" si="22"/>
        <v>0.8</v>
      </c>
      <c r="AC175" s="156">
        <f t="shared" si="23"/>
        <v>9.9999999999999995E-8</v>
      </c>
      <c r="AE175" s="140">
        <f t="shared" si="24"/>
        <v>9.40000000000001E-6</v>
      </c>
      <c r="AF175">
        <v>0.94000000000000095</v>
      </c>
      <c r="AG175" s="140">
        <f t="shared" si="25"/>
        <v>9.4000000000000074E-8</v>
      </c>
      <c r="AH175" s="140">
        <f t="shared" si="26"/>
        <v>1.8800000000000017E-7</v>
      </c>
      <c r="AI175" s="140">
        <f t="shared" si="27"/>
        <v>2.8200000000000028E-7</v>
      </c>
      <c r="AJ175" s="140">
        <f t="shared" si="28"/>
        <v>3.760000000000004E-7</v>
      </c>
      <c r="AK175" s="140">
        <f t="shared" si="29"/>
        <v>4.7000000000000053E-7</v>
      </c>
      <c r="AL175" s="157">
        <f t="shared" si="30"/>
        <v>1.2</v>
      </c>
      <c r="AM175" s="156">
        <f t="shared" si="31"/>
        <v>9.9999999999999995E-8</v>
      </c>
      <c r="AO175" s="140">
        <f t="shared" si="32"/>
        <v>9.40000000000001E-6</v>
      </c>
      <c r="AP175">
        <v>0.94000000000000095</v>
      </c>
      <c r="AQ175" s="140">
        <f t="shared" si="33"/>
        <v>9.4000000000000074E-8</v>
      </c>
      <c r="AR175" s="140">
        <f t="shared" si="34"/>
        <v>1.8800000000000017E-7</v>
      </c>
      <c r="AS175" s="140">
        <f t="shared" si="35"/>
        <v>2.8200000000000028E-7</v>
      </c>
      <c r="AT175" s="140">
        <f t="shared" si="36"/>
        <v>3.760000000000004E-7</v>
      </c>
      <c r="AU175" s="140">
        <f t="shared" si="37"/>
        <v>4.7000000000000053E-7</v>
      </c>
      <c r="AV175" s="157">
        <f t="shared" si="38"/>
        <v>1.2</v>
      </c>
      <c r="AW175" s="156">
        <f t="shared" si="39"/>
        <v>9.9999999999999995E-8</v>
      </c>
      <c r="AY175" s="140">
        <f t="shared" si="40"/>
        <v>9.40000000000001E-6</v>
      </c>
      <c r="AZ175">
        <v>0.94000000000000095</v>
      </c>
      <c r="BA175" s="140">
        <f t="shared" si="41"/>
        <v>9.4000000000000074E-8</v>
      </c>
      <c r="BB175" s="140">
        <f t="shared" si="42"/>
        <v>1.8800000000000017E-7</v>
      </c>
      <c r="BC175" s="140">
        <f t="shared" si="43"/>
        <v>2.8200000000000028E-7</v>
      </c>
      <c r="BD175" s="140">
        <f t="shared" si="44"/>
        <v>3.760000000000004E-7</v>
      </c>
      <c r="BE175" s="140">
        <f t="shared" si="45"/>
        <v>4.7000000000000053E-7</v>
      </c>
      <c r="BF175" s="157">
        <f>IF(AY175&lt;$B$89*DATA!$H$1037,DATA!$H$1037,IF(AY175&gt;DATA!$H$1036*$B$89,DATA!$H$1036,1))</f>
        <v>1.2</v>
      </c>
      <c r="BG175" s="156">
        <f t="shared" si="46"/>
        <v>9.9999999999999995E-8</v>
      </c>
      <c r="BI175" s="140">
        <f t="shared" si="47"/>
        <v>9.40000000000001E-6</v>
      </c>
      <c r="BJ175">
        <v>0.94000000000000095</v>
      </c>
      <c r="BK175" s="140">
        <f t="shared" si="48"/>
        <v>9.4000000000000074E-8</v>
      </c>
      <c r="BL175" s="140">
        <f t="shared" si="49"/>
        <v>1.8800000000000017E-7</v>
      </c>
      <c r="BM175" s="140">
        <f t="shared" si="50"/>
        <v>2.8200000000000028E-7</v>
      </c>
      <c r="BN175" s="140">
        <f t="shared" si="51"/>
        <v>3.760000000000004E-7</v>
      </c>
      <c r="BO175" s="140">
        <f t="shared" si="52"/>
        <v>4.7000000000000053E-7</v>
      </c>
      <c r="BP175" s="157">
        <f>IF(BI175&lt;$B$105*DATA!$H$1037,DATA!$H$1037,IF(BI175&gt;DATA!$H$1036*$B$105,DATA!$H$1036,1))</f>
        <v>1.2</v>
      </c>
      <c r="BQ175" s="156">
        <f t="shared" si="53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si="55"/>
        <v>9.6000000000000066E-8</v>
      </c>
      <c r="D176" s="140">
        <f t="shared" si="55"/>
        <v>1.9200000000000016E-7</v>
      </c>
      <c r="E176" s="140">
        <f t="shared" si="55"/>
        <v>2.880000000000003E-7</v>
      </c>
      <c r="F176" s="140">
        <f t="shared" si="55"/>
        <v>3.8400000000000042E-7</v>
      </c>
      <c r="G176" s="140">
        <f t="shared" si="55"/>
        <v>4.8000000000000049E-7</v>
      </c>
      <c r="H176" s="124">
        <f t="shared" si="6"/>
        <v>0.8</v>
      </c>
      <c r="I176" s="156">
        <f t="shared" si="7"/>
        <v>9.9999999999999995E-8</v>
      </c>
      <c r="K176" s="140">
        <f t="shared" si="8"/>
        <v>9.6000000000000097E-6</v>
      </c>
      <c r="L176">
        <v>0.96000000000000096</v>
      </c>
      <c r="M176" s="140">
        <f t="shared" si="9"/>
        <v>9.6000000000000066E-8</v>
      </c>
      <c r="N176" s="140">
        <f t="shared" si="10"/>
        <v>1.9200000000000016E-7</v>
      </c>
      <c r="O176" s="140">
        <f t="shared" si="11"/>
        <v>2.880000000000003E-7</v>
      </c>
      <c r="P176" s="140">
        <f t="shared" si="12"/>
        <v>3.8400000000000042E-7</v>
      </c>
      <c r="Q176" s="140">
        <f t="shared" si="13"/>
        <v>4.8000000000000049E-7</v>
      </c>
      <c r="R176" s="157">
        <f t="shared" si="14"/>
        <v>0.8</v>
      </c>
      <c r="S176" s="156">
        <f t="shared" si="15"/>
        <v>9.9999999999999995E-8</v>
      </c>
      <c r="U176" s="140">
        <f t="shared" si="16"/>
        <v>9.6000000000000097E-6</v>
      </c>
      <c r="V176">
        <v>0.96000000000000096</v>
      </c>
      <c r="W176" s="140">
        <f t="shared" si="17"/>
        <v>9.6000000000000066E-8</v>
      </c>
      <c r="X176" s="140">
        <f t="shared" si="18"/>
        <v>1.9200000000000016E-7</v>
      </c>
      <c r="Y176" s="140">
        <f t="shared" si="19"/>
        <v>2.880000000000003E-7</v>
      </c>
      <c r="Z176" s="140">
        <f t="shared" si="20"/>
        <v>3.8400000000000042E-7</v>
      </c>
      <c r="AA176" s="140">
        <f t="shared" si="21"/>
        <v>4.8000000000000049E-7</v>
      </c>
      <c r="AB176" s="157">
        <f t="shared" si="22"/>
        <v>0.8</v>
      </c>
      <c r="AC176" s="156">
        <f t="shared" si="23"/>
        <v>9.9999999999999995E-8</v>
      </c>
      <c r="AE176" s="140">
        <f t="shared" si="24"/>
        <v>9.6000000000000097E-6</v>
      </c>
      <c r="AF176">
        <v>0.96000000000000096</v>
      </c>
      <c r="AG176" s="140">
        <f t="shared" si="25"/>
        <v>9.6000000000000066E-8</v>
      </c>
      <c r="AH176" s="140">
        <f t="shared" si="26"/>
        <v>1.9200000000000016E-7</v>
      </c>
      <c r="AI176" s="140">
        <f t="shared" si="27"/>
        <v>2.880000000000003E-7</v>
      </c>
      <c r="AJ176" s="140">
        <f t="shared" si="28"/>
        <v>3.8400000000000042E-7</v>
      </c>
      <c r="AK176" s="140">
        <f t="shared" si="29"/>
        <v>4.8000000000000049E-7</v>
      </c>
      <c r="AL176" s="157">
        <f t="shared" si="30"/>
        <v>1.2</v>
      </c>
      <c r="AM176" s="156">
        <f t="shared" si="31"/>
        <v>9.9999999999999995E-8</v>
      </c>
      <c r="AO176" s="140">
        <f t="shared" si="32"/>
        <v>9.6000000000000097E-6</v>
      </c>
      <c r="AP176">
        <v>0.96000000000000096</v>
      </c>
      <c r="AQ176" s="140">
        <f t="shared" si="33"/>
        <v>9.6000000000000066E-8</v>
      </c>
      <c r="AR176" s="140">
        <f t="shared" si="34"/>
        <v>1.9200000000000016E-7</v>
      </c>
      <c r="AS176" s="140">
        <f t="shared" si="35"/>
        <v>2.880000000000003E-7</v>
      </c>
      <c r="AT176" s="140">
        <f t="shared" si="36"/>
        <v>3.8400000000000042E-7</v>
      </c>
      <c r="AU176" s="140">
        <f t="shared" si="37"/>
        <v>4.8000000000000049E-7</v>
      </c>
      <c r="AV176" s="157">
        <f t="shared" si="38"/>
        <v>1.2</v>
      </c>
      <c r="AW176" s="156">
        <f t="shared" si="39"/>
        <v>9.9999999999999995E-8</v>
      </c>
      <c r="AY176" s="140">
        <f t="shared" si="40"/>
        <v>9.6000000000000097E-6</v>
      </c>
      <c r="AZ176">
        <v>0.96000000000000096</v>
      </c>
      <c r="BA176" s="140">
        <f t="shared" si="41"/>
        <v>9.6000000000000066E-8</v>
      </c>
      <c r="BB176" s="140">
        <f t="shared" si="42"/>
        <v>1.9200000000000016E-7</v>
      </c>
      <c r="BC176" s="140">
        <f t="shared" si="43"/>
        <v>2.880000000000003E-7</v>
      </c>
      <c r="BD176" s="140">
        <f t="shared" si="44"/>
        <v>3.8400000000000042E-7</v>
      </c>
      <c r="BE176" s="140">
        <f t="shared" si="45"/>
        <v>4.8000000000000049E-7</v>
      </c>
      <c r="BF176" s="157">
        <f>IF(AY176&lt;$B$89*DATA!$H$1037,DATA!$H$1037,IF(AY176&gt;DATA!$H$1036*$B$89,DATA!$H$1036,1))</f>
        <v>1.2</v>
      </c>
      <c r="BG176" s="156">
        <f t="shared" si="46"/>
        <v>9.9999999999999995E-8</v>
      </c>
      <c r="BI176" s="140">
        <f t="shared" si="47"/>
        <v>9.6000000000000097E-6</v>
      </c>
      <c r="BJ176">
        <v>0.96000000000000096</v>
      </c>
      <c r="BK176" s="140">
        <f t="shared" si="48"/>
        <v>9.6000000000000066E-8</v>
      </c>
      <c r="BL176" s="140">
        <f t="shared" si="49"/>
        <v>1.9200000000000016E-7</v>
      </c>
      <c r="BM176" s="140">
        <f t="shared" si="50"/>
        <v>2.880000000000003E-7</v>
      </c>
      <c r="BN176" s="140">
        <f t="shared" si="51"/>
        <v>3.8400000000000042E-7</v>
      </c>
      <c r="BO176" s="140">
        <f t="shared" si="52"/>
        <v>4.8000000000000049E-7</v>
      </c>
      <c r="BP176" s="157">
        <f>IF(BI176&lt;$B$105*DATA!$H$1037,DATA!$H$1037,IF(BI176&gt;DATA!$H$1036*$B$105,DATA!$H$1036,1))</f>
        <v>1.2</v>
      </c>
      <c r="BQ176" s="156">
        <f t="shared" si="53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55"/>
        <v>9.8000000000000083E-8</v>
      </c>
      <c r="D177" s="140">
        <f t="shared" si="55"/>
        <v>1.9600000000000019E-7</v>
      </c>
      <c r="E177" s="140">
        <f t="shared" si="55"/>
        <v>2.9400000000000033E-7</v>
      </c>
      <c r="F177" s="140">
        <f t="shared" si="55"/>
        <v>3.9200000000000044E-7</v>
      </c>
      <c r="G177" s="140">
        <f t="shared" si="55"/>
        <v>4.900000000000006E-7</v>
      </c>
      <c r="H177" s="124">
        <f t="shared" si="6"/>
        <v>0.8</v>
      </c>
      <c r="I177" s="156">
        <f t="shared" si="7"/>
        <v>9.9999999999999995E-8</v>
      </c>
      <c r="K177" s="140">
        <f t="shared" si="8"/>
        <v>9.8000000000000112E-6</v>
      </c>
      <c r="L177">
        <v>0.98000000000000098</v>
      </c>
      <c r="M177" s="140">
        <f t="shared" si="9"/>
        <v>9.8000000000000083E-8</v>
      </c>
      <c r="N177" s="140">
        <f t="shared" si="10"/>
        <v>1.9600000000000019E-7</v>
      </c>
      <c r="O177" s="140">
        <f t="shared" si="11"/>
        <v>2.9400000000000033E-7</v>
      </c>
      <c r="P177" s="140">
        <f t="shared" si="12"/>
        <v>3.9200000000000044E-7</v>
      </c>
      <c r="Q177" s="140">
        <f t="shared" si="13"/>
        <v>4.900000000000006E-7</v>
      </c>
      <c r="R177" s="157">
        <f t="shared" si="14"/>
        <v>0.8</v>
      </c>
      <c r="S177" s="156">
        <f t="shared" si="15"/>
        <v>9.9999999999999995E-8</v>
      </c>
      <c r="U177" s="140">
        <f t="shared" si="16"/>
        <v>9.8000000000000112E-6</v>
      </c>
      <c r="V177">
        <v>0.98000000000000098</v>
      </c>
      <c r="W177" s="140">
        <f t="shared" si="17"/>
        <v>9.8000000000000083E-8</v>
      </c>
      <c r="X177" s="140">
        <f t="shared" si="18"/>
        <v>1.9600000000000019E-7</v>
      </c>
      <c r="Y177" s="140">
        <f t="shared" si="19"/>
        <v>2.9400000000000033E-7</v>
      </c>
      <c r="Z177" s="140">
        <f t="shared" si="20"/>
        <v>3.9200000000000044E-7</v>
      </c>
      <c r="AA177" s="140">
        <f t="shared" si="21"/>
        <v>4.900000000000006E-7</v>
      </c>
      <c r="AB177" s="157">
        <f t="shared" si="22"/>
        <v>0.8</v>
      </c>
      <c r="AC177" s="156">
        <f t="shared" si="23"/>
        <v>9.9999999999999995E-8</v>
      </c>
      <c r="AE177" s="140">
        <f t="shared" si="24"/>
        <v>9.8000000000000112E-6</v>
      </c>
      <c r="AF177">
        <v>0.98000000000000098</v>
      </c>
      <c r="AG177" s="140">
        <f t="shared" si="25"/>
        <v>9.8000000000000083E-8</v>
      </c>
      <c r="AH177" s="140">
        <f t="shared" si="26"/>
        <v>1.9600000000000019E-7</v>
      </c>
      <c r="AI177" s="140">
        <f t="shared" si="27"/>
        <v>2.9400000000000033E-7</v>
      </c>
      <c r="AJ177" s="140">
        <f t="shared" si="28"/>
        <v>3.9200000000000044E-7</v>
      </c>
      <c r="AK177" s="140">
        <f t="shared" si="29"/>
        <v>4.900000000000006E-7</v>
      </c>
      <c r="AL177" s="157">
        <f t="shared" si="30"/>
        <v>1.2</v>
      </c>
      <c r="AM177" s="156">
        <f t="shared" si="31"/>
        <v>9.9999999999999995E-8</v>
      </c>
      <c r="AO177" s="140">
        <f t="shared" si="32"/>
        <v>9.8000000000000112E-6</v>
      </c>
      <c r="AP177">
        <v>0.98000000000000098</v>
      </c>
      <c r="AQ177" s="140">
        <f t="shared" si="33"/>
        <v>9.8000000000000083E-8</v>
      </c>
      <c r="AR177" s="140">
        <f t="shared" si="34"/>
        <v>1.9600000000000019E-7</v>
      </c>
      <c r="AS177" s="140">
        <f t="shared" si="35"/>
        <v>2.9400000000000033E-7</v>
      </c>
      <c r="AT177" s="140">
        <f t="shared" si="36"/>
        <v>3.9200000000000044E-7</v>
      </c>
      <c r="AU177" s="140">
        <f t="shared" si="37"/>
        <v>4.900000000000006E-7</v>
      </c>
      <c r="AV177" s="157">
        <f t="shared" si="38"/>
        <v>1.2</v>
      </c>
      <c r="AW177" s="156">
        <f t="shared" si="39"/>
        <v>9.9999999999999995E-8</v>
      </c>
      <c r="AY177" s="140">
        <f t="shared" si="40"/>
        <v>9.8000000000000112E-6</v>
      </c>
      <c r="AZ177">
        <v>0.98000000000000098</v>
      </c>
      <c r="BA177" s="140">
        <f t="shared" si="41"/>
        <v>9.8000000000000083E-8</v>
      </c>
      <c r="BB177" s="140">
        <f t="shared" si="42"/>
        <v>1.9600000000000019E-7</v>
      </c>
      <c r="BC177" s="140">
        <f t="shared" si="43"/>
        <v>2.9400000000000033E-7</v>
      </c>
      <c r="BD177" s="140">
        <f t="shared" si="44"/>
        <v>3.9200000000000044E-7</v>
      </c>
      <c r="BE177" s="140">
        <f t="shared" si="45"/>
        <v>4.900000000000006E-7</v>
      </c>
      <c r="BF177" s="157">
        <f>IF(AY177&lt;$B$89*DATA!$H$1037,DATA!$H$1037,IF(AY177&gt;DATA!$H$1036*$B$89,DATA!$H$1036,1))</f>
        <v>1.2</v>
      </c>
      <c r="BG177" s="156">
        <f t="shared" si="46"/>
        <v>9.9999999999999995E-8</v>
      </c>
      <c r="BI177" s="140">
        <f t="shared" si="47"/>
        <v>9.8000000000000112E-6</v>
      </c>
      <c r="BJ177">
        <v>0.98000000000000098</v>
      </c>
      <c r="BK177" s="140">
        <f t="shared" si="48"/>
        <v>9.8000000000000083E-8</v>
      </c>
      <c r="BL177" s="140">
        <f t="shared" si="49"/>
        <v>1.9600000000000019E-7</v>
      </c>
      <c r="BM177" s="140">
        <f t="shared" si="50"/>
        <v>2.9400000000000033E-7</v>
      </c>
      <c r="BN177" s="140">
        <f t="shared" si="51"/>
        <v>3.9200000000000044E-7</v>
      </c>
      <c r="BO177" s="140">
        <f t="shared" si="52"/>
        <v>4.900000000000006E-7</v>
      </c>
      <c r="BP177" s="157">
        <f>IF(BI177&lt;$B$105*DATA!$H$1037,DATA!$H$1037,IF(BI177&gt;DATA!$H$1036*$B$105,DATA!$H$1036,1))</f>
        <v>1.2</v>
      </c>
      <c r="BQ177" s="156">
        <f t="shared" si="53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55"/>
        <v>9.9999999999999969E-8</v>
      </c>
      <c r="D178" s="140">
        <f t="shared" si="55"/>
        <v>1.9999999999999999E-7</v>
      </c>
      <c r="E178" s="140">
        <f t="shared" si="55"/>
        <v>3.0000000000000004E-7</v>
      </c>
      <c r="F178" s="140">
        <f t="shared" si="55"/>
        <v>4.0000000000000003E-7</v>
      </c>
      <c r="G178" s="140">
        <f t="shared" si="55"/>
        <v>5.0000000000000008E-7</v>
      </c>
      <c r="H178" s="124">
        <f t="shared" si="6"/>
        <v>0.8</v>
      </c>
      <c r="I178" s="156">
        <f t="shared" si="7"/>
        <v>9.9999999999999995E-8</v>
      </c>
      <c r="K178" s="140">
        <f t="shared" si="8"/>
        <v>1.0000000000000001E-5</v>
      </c>
      <c r="L178">
        <v>1</v>
      </c>
      <c r="M178" s="140">
        <f t="shared" si="9"/>
        <v>9.9999999999999969E-8</v>
      </c>
      <c r="N178" s="140">
        <f t="shared" si="10"/>
        <v>1.9999999999999999E-7</v>
      </c>
      <c r="O178" s="140">
        <f t="shared" si="11"/>
        <v>3.0000000000000004E-7</v>
      </c>
      <c r="P178" s="140">
        <f t="shared" si="12"/>
        <v>4.0000000000000003E-7</v>
      </c>
      <c r="Q178" s="140">
        <f t="shared" si="13"/>
        <v>5.0000000000000008E-7</v>
      </c>
      <c r="R178" s="157">
        <f t="shared" si="14"/>
        <v>0.8</v>
      </c>
      <c r="S178" s="156">
        <f t="shared" si="15"/>
        <v>9.9999999999999995E-8</v>
      </c>
      <c r="U178" s="140">
        <f t="shared" si="16"/>
        <v>1.0000000000000001E-5</v>
      </c>
      <c r="V178">
        <v>1</v>
      </c>
      <c r="W178" s="140">
        <f t="shared" si="17"/>
        <v>9.9999999999999969E-8</v>
      </c>
      <c r="X178" s="140">
        <f t="shared" si="18"/>
        <v>1.9999999999999999E-7</v>
      </c>
      <c r="Y178" s="140">
        <f t="shared" si="19"/>
        <v>3.0000000000000004E-7</v>
      </c>
      <c r="Z178" s="140">
        <f t="shared" si="20"/>
        <v>4.0000000000000003E-7</v>
      </c>
      <c r="AA178" s="140">
        <f t="shared" si="21"/>
        <v>5.0000000000000008E-7</v>
      </c>
      <c r="AB178" s="157">
        <f t="shared" si="22"/>
        <v>0.8</v>
      </c>
      <c r="AC178" s="156">
        <f t="shared" si="23"/>
        <v>9.9999999999999995E-8</v>
      </c>
      <c r="AE178" s="140">
        <f t="shared" si="24"/>
        <v>1.0000000000000001E-5</v>
      </c>
      <c r="AF178">
        <v>1</v>
      </c>
      <c r="AG178" s="140">
        <f t="shared" si="25"/>
        <v>9.9999999999999969E-8</v>
      </c>
      <c r="AH178" s="140">
        <f t="shared" si="26"/>
        <v>1.9999999999999999E-7</v>
      </c>
      <c r="AI178" s="140">
        <f t="shared" si="27"/>
        <v>3.0000000000000004E-7</v>
      </c>
      <c r="AJ178" s="140">
        <f t="shared" si="28"/>
        <v>4.0000000000000003E-7</v>
      </c>
      <c r="AK178" s="140">
        <f t="shared" si="29"/>
        <v>5.0000000000000008E-7</v>
      </c>
      <c r="AL178" s="157">
        <f t="shared" si="30"/>
        <v>1.2</v>
      </c>
      <c r="AM178" s="156">
        <f t="shared" si="31"/>
        <v>9.9999999999999995E-8</v>
      </c>
      <c r="AO178" s="140">
        <f t="shared" si="32"/>
        <v>1.0000000000000001E-5</v>
      </c>
      <c r="AP178">
        <v>1</v>
      </c>
      <c r="AQ178" s="140">
        <f t="shared" si="33"/>
        <v>9.9999999999999969E-8</v>
      </c>
      <c r="AR178" s="140">
        <f t="shared" si="34"/>
        <v>1.9999999999999999E-7</v>
      </c>
      <c r="AS178" s="140">
        <f t="shared" si="35"/>
        <v>3.0000000000000004E-7</v>
      </c>
      <c r="AT178" s="140">
        <f t="shared" si="36"/>
        <v>4.0000000000000003E-7</v>
      </c>
      <c r="AU178" s="140">
        <f t="shared" si="37"/>
        <v>5.0000000000000008E-7</v>
      </c>
      <c r="AV178" s="157">
        <f t="shared" si="38"/>
        <v>1.2</v>
      </c>
      <c r="AW178" s="156">
        <f t="shared" si="39"/>
        <v>9.9999999999999995E-8</v>
      </c>
      <c r="AY178" s="140">
        <f t="shared" si="40"/>
        <v>1.0000000000000001E-5</v>
      </c>
      <c r="AZ178">
        <v>1</v>
      </c>
      <c r="BA178" s="140">
        <f t="shared" si="41"/>
        <v>9.9999999999999969E-8</v>
      </c>
      <c r="BB178" s="140">
        <f t="shared" si="42"/>
        <v>1.9999999999999999E-7</v>
      </c>
      <c r="BC178" s="140">
        <f t="shared" si="43"/>
        <v>3.0000000000000004E-7</v>
      </c>
      <c r="BD178" s="140">
        <f t="shared" si="44"/>
        <v>4.0000000000000003E-7</v>
      </c>
      <c r="BE178" s="140">
        <f t="shared" si="45"/>
        <v>5.0000000000000008E-7</v>
      </c>
      <c r="BF178" s="157">
        <f>IF(AY178&lt;$B$89*DATA!$H$1037,DATA!$H$1037,IF(AY178&gt;DATA!$H$1036*$B$89,DATA!$H$1036,1))</f>
        <v>1.2</v>
      </c>
      <c r="BG178" s="156">
        <f t="shared" si="46"/>
        <v>9.9999999999999995E-8</v>
      </c>
      <c r="BI178" s="140">
        <f t="shared" si="47"/>
        <v>1.0000000000000001E-5</v>
      </c>
      <c r="BJ178">
        <v>1</v>
      </c>
      <c r="BK178" s="140">
        <f t="shared" si="48"/>
        <v>9.9999999999999969E-8</v>
      </c>
      <c r="BL178" s="140">
        <f t="shared" si="49"/>
        <v>1.9999999999999999E-7</v>
      </c>
      <c r="BM178" s="140">
        <f t="shared" si="50"/>
        <v>3.0000000000000004E-7</v>
      </c>
      <c r="BN178" s="140">
        <f t="shared" si="51"/>
        <v>4.0000000000000003E-7</v>
      </c>
      <c r="BO178" s="140">
        <f t="shared" si="52"/>
        <v>5.0000000000000008E-7</v>
      </c>
      <c r="BP178" s="157">
        <f>IF(BI178&lt;$B$105*DATA!$H$1037,DATA!$H$1037,IF(BI178&gt;DATA!$H$1036*$B$105,DATA!$H$1036,1))</f>
        <v>1.2</v>
      </c>
      <c r="BQ178" s="156">
        <f t="shared" si="53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55"/>
        <v>1.0199999999999997E-7</v>
      </c>
      <c r="D179" s="140">
        <f t="shared" si="55"/>
        <v>2.0399999999999997E-7</v>
      </c>
      <c r="E179" s="140">
        <f t="shared" si="55"/>
        <v>3.0600000000000001E-7</v>
      </c>
      <c r="F179" s="140">
        <f t="shared" si="55"/>
        <v>4.0800000000000005E-7</v>
      </c>
      <c r="G179" s="140">
        <f t="shared" si="55"/>
        <v>5.1000000000000009E-7</v>
      </c>
      <c r="H179" s="124">
        <f t="shared" si="6"/>
        <v>0.8</v>
      </c>
      <c r="I179" s="156">
        <f t="shared" si="7"/>
        <v>9.9999999999999995E-8</v>
      </c>
      <c r="K179" s="140">
        <f t="shared" si="8"/>
        <v>1.0200000000000001E-5</v>
      </c>
      <c r="L179">
        <v>1.02</v>
      </c>
      <c r="M179" s="140">
        <f t="shared" si="9"/>
        <v>1.0199999999999997E-7</v>
      </c>
      <c r="N179" s="140">
        <f t="shared" si="10"/>
        <v>2.0399999999999997E-7</v>
      </c>
      <c r="O179" s="140">
        <f t="shared" si="11"/>
        <v>3.0600000000000001E-7</v>
      </c>
      <c r="P179" s="140">
        <f t="shared" si="12"/>
        <v>4.0800000000000005E-7</v>
      </c>
      <c r="Q179" s="140">
        <f t="shared" si="13"/>
        <v>5.1000000000000009E-7</v>
      </c>
      <c r="R179" s="157">
        <f t="shared" si="14"/>
        <v>0.8</v>
      </c>
      <c r="S179" s="156">
        <f t="shared" si="15"/>
        <v>9.9999999999999995E-8</v>
      </c>
      <c r="U179" s="140">
        <f t="shared" si="16"/>
        <v>1.0200000000000001E-5</v>
      </c>
      <c r="V179">
        <v>1.02</v>
      </c>
      <c r="W179" s="140">
        <f t="shared" si="17"/>
        <v>1.0199999999999997E-7</v>
      </c>
      <c r="X179" s="140">
        <f t="shared" si="18"/>
        <v>2.0399999999999997E-7</v>
      </c>
      <c r="Y179" s="140">
        <f t="shared" si="19"/>
        <v>3.0600000000000001E-7</v>
      </c>
      <c r="Z179" s="140">
        <f t="shared" si="20"/>
        <v>4.0800000000000005E-7</v>
      </c>
      <c r="AA179" s="140">
        <f t="shared" si="21"/>
        <v>5.1000000000000009E-7</v>
      </c>
      <c r="AB179" s="157">
        <f t="shared" si="22"/>
        <v>0.8</v>
      </c>
      <c r="AC179" s="156">
        <f t="shared" si="23"/>
        <v>9.9999999999999995E-8</v>
      </c>
      <c r="AE179" s="140">
        <f t="shared" si="24"/>
        <v>1.0200000000000001E-5</v>
      </c>
      <c r="AF179">
        <v>1.02</v>
      </c>
      <c r="AG179" s="140">
        <f t="shared" si="25"/>
        <v>1.0199999999999997E-7</v>
      </c>
      <c r="AH179" s="140">
        <f t="shared" si="26"/>
        <v>2.0399999999999997E-7</v>
      </c>
      <c r="AI179" s="140">
        <f t="shared" si="27"/>
        <v>3.0600000000000001E-7</v>
      </c>
      <c r="AJ179" s="140">
        <f t="shared" si="28"/>
        <v>4.0800000000000005E-7</v>
      </c>
      <c r="AK179" s="140">
        <f t="shared" si="29"/>
        <v>5.1000000000000009E-7</v>
      </c>
      <c r="AL179" s="157">
        <f t="shared" si="30"/>
        <v>1.2</v>
      </c>
      <c r="AM179" s="156">
        <f t="shared" si="31"/>
        <v>9.9999999999999995E-8</v>
      </c>
      <c r="AO179" s="140">
        <f t="shared" si="32"/>
        <v>1.0200000000000001E-5</v>
      </c>
      <c r="AP179">
        <v>1.02</v>
      </c>
      <c r="AQ179" s="140">
        <f t="shared" si="33"/>
        <v>1.0199999999999997E-7</v>
      </c>
      <c r="AR179" s="140">
        <f t="shared" si="34"/>
        <v>2.0399999999999997E-7</v>
      </c>
      <c r="AS179" s="140">
        <f t="shared" si="35"/>
        <v>3.0600000000000001E-7</v>
      </c>
      <c r="AT179" s="140">
        <f t="shared" si="36"/>
        <v>4.0800000000000005E-7</v>
      </c>
      <c r="AU179" s="140">
        <f t="shared" si="37"/>
        <v>5.1000000000000009E-7</v>
      </c>
      <c r="AV179" s="157">
        <f t="shared" si="38"/>
        <v>1.2</v>
      </c>
      <c r="AW179" s="156">
        <f t="shared" si="39"/>
        <v>9.9999999999999995E-8</v>
      </c>
      <c r="AY179" s="140">
        <f t="shared" si="40"/>
        <v>1.0200000000000001E-5</v>
      </c>
      <c r="AZ179">
        <v>1.02</v>
      </c>
      <c r="BA179" s="140">
        <f t="shared" si="41"/>
        <v>1.0199999999999997E-7</v>
      </c>
      <c r="BB179" s="140">
        <f t="shared" si="42"/>
        <v>2.0399999999999997E-7</v>
      </c>
      <c r="BC179" s="140">
        <f t="shared" si="43"/>
        <v>3.0600000000000001E-7</v>
      </c>
      <c r="BD179" s="140">
        <f t="shared" si="44"/>
        <v>4.0800000000000005E-7</v>
      </c>
      <c r="BE179" s="140">
        <f t="shared" si="45"/>
        <v>5.1000000000000009E-7</v>
      </c>
      <c r="BF179" s="157">
        <f>IF(AY179&lt;$B$89*DATA!$H$1037,DATA!$H$1037,IF(AY179&gt;DATA!$H$1036*$B$89,DATA!$H$1036,1))</f>
        <v>1.2</v>
      </c>
      <c r="BG179" s="156">
        <f t="shared" si="46"/>
        <v>9.9999999999999995E-8</v>
      </c>
      <c r="BI179" s="140">
        <f t="shared" si="47"/>
        <v>1.0200000000000001E-5</v>
      </c>
      <c r="BJ179">
        <v>1.02</v>
      </c>
      <c r="BK179" s="140">
        <f t="shared" si="48"/>
        <v>1.0199999999999997E-7</v>
      </c>
      <c r="BL179" s="140">
        <f t="shared" si="49"/>
        <v>2.0399999999999997E-7</v>
      </c>
      <c r="BM179" s="140">
        <f t="shared" si="50"/>
        <v>3.0600000000000001E-7</v>
      </c>
      <c r="BN179" s="140">
        <f t="shared" si="51"/>
        <v>4.0800000000000005E-7</v>
      </c>
      <c r="BO179" s="140">
        <f t="shared" si="52"/>
        <v>5.1000000000000009E-7</v>
      </c>
      <c r="BP179" s="157">
        <f>IF(BI179&lt;$B$105*DATA!$H$1037,DATA!$H$1037,IF(BI179&gt;DATA!$H$1036*$B$105,DATA!$H$1036,1))</f>
        <v>1.2</v>
      </c>
      <c r="BQ179" s="156">
        <f t="shared" si="53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55"/>
        <v>1.0399999999999997E-7</v>
      </c>
      <c r="D180" s="140">
        <f t="shared" si="55"/>
        <v>2.0799999999999998E-7</v>
      </c>
      <c r="E180" s="140">
        <f t="shared" si="55"/>
        <v>3.1199999999999999E-7</v>
      </c>
      <c r="F180" s="140">
        <f t="shared" si="55"/>
        <v>4.1600000000000002E-7</v>
      </c>
      <c r="G180" s="140">
        <f t="shared" si="55"/>
        <v>5.2E-7</v>
      </c>
      <c r="H180" s="124">
        <f t="shared" si="6"/>
        <v>0.8</v>
      </c>
      <c r="I180" s="156">
        <f t="shared" si="7"/>
        <v>9.9999999999999995E-8</v>
      </c>
      <c r="K180" s="140">
        <f t="shared" si="8"/>
        <v>1.04E-5</v>
      </c>
      <c r="L180">
        <v>1.04</v>
      </c>
      <c r="M180" s="140">
        <f t="shared" si="9"/>
        <v>1.0399999999999997E-7</v>
      </c>
      <c r="N180" s="140">
        <f t="shared" si="10"/>
        <v>2.0799999999999998E-7</v>
      </c>
      <c r="O180" s="140">
        <f t="shared" si="11"/>
        <v>3.1199999999999999E-7</v>
      </c>
      <c r="P180" s="140">
        <f t="shared" si="12"/>
        <v>4.1600000000000002E-7</v>
      </c>
      <c r="Q180" s="140">
        <f t="shared" si="13"/>
        <v>5.2E-7</v>
      </c>
      <c r="R180" s="157">
        <f t="shared" si="14"/>
        <v>0.8</v>
      </c>
      <c r="S180" s="156">
        <f t="shared" si="15"/>
        <v>9.9999999999999995E-8</v>
      </c>
      <c r="U180" s="140">
        <f t="shared" si="16"/>
        <v>1.04E-5</v>
      </c>
      <c r="V180">
        <v>1.04</v>
      </c>
      <c r="W180" s="140">
        <f t="shared" si="17"/>
        <v>1.0399999999999997E-7</v>
      </c>
      <c r="X180" s="140">
        <f t="shared" si="18"/>
        <v>2.0799999999999998E-7</v>
      </c>
      <c r="Y180" s="140">
        <f t="shared" si="19"/>
        <v>3.1199999999999999E-7</v>
      </c>
      <c r="Z180" s="140">
        <f t="shared" si="20"/>
        <v>4.1600000000000002E-7</v>
      </c>
      <c r="AA180" s="140">
        <f t="shared" si="21"/>
        <v>5.2E-7</v>
      </c>
      <c r="AB180" s="157">
        <f t="shared" si="22"/>
        <v>0.8</v>
      </c>
      <c r="AC180" s="156">
        <f t="shared" si="23"/>
        <v>9.9999999999999995E-8</v>
      </c>
      <c r="AE180" s="140">
        <f t="shared" si="24"/>
        <v>1.04E-5</v>
      </c>
      <c r="AF180">
        <v>1.04</v>
      </c>
      <c r="AG180" s="140">
        <f t="shared" si="25"/>
        <v>1.0399999999999997E-7</v>
      </c>
      <c r="AH180" s="140">
        <f t="shared" si="26"/>
        <v>2.0799999999999998E-7</v>
      </c>
      <c r="AI180" s="140">
        <f t="shared" si="27"/>
        <v>3.1199999999999999E-7</v>
      </c>
      <c r="AJ180" s="140">
        <f t="shared" si="28"/>
        <v>4.1600000000000002E-7</v>
      </c>
      <c r="AK180" s="140">
        <f t="shared" si="29"/>
        <v>5.2E-7</v>
      </c>
      <c r="AL180" s="157">
        <f t="shared" si="30"/>
        <v>1.2</v>
      </c>
      <c r="AM180" s="156">
        <f t="shared" si="31"/>
        <v>9.9999999999999995E-8</v>
      </c>
      <c r="AO180" s="140">
        <f t="shared" si="32"/>
        <v>1.04E-5</v>
      </c>
      <c r="AP180">
        <v>1.04</v>
      </c>
      <c r="AQ180" s="140">
        <f t="shared" si="33"/>
        <v>1.0399999999999997E-7</v>
      </c>
      <c r="AR180" s="140">
        <f t="shared" si="34"/>
        <v>2.0799999999999998E-7</v>
      </c>
      <c r="AS180" s="140">
        <f t="shared" si="35"/>
        <v>3.1199999999999999E-7</v>
      </c>
      <c r="AT180" s="140">
        <f t="shared" si="36"/>
        <v>4.1600000000000002E-7</v>
      </c>
      <c r="AU180" s="140">
        <f t="shared" si="37"/>
        <v>5.2E-7</v>
      </c>
      <c r="AV180" s="157">
        <f t="shared" si="38"/>
        <v>1.2</v>
      </c>
      <c r="AW180" s="156">
        <f t="shared" si="39"/>
        <v>9.9999999999999995E-8</v>
      </c>
      <c r="AY180" s="140">
        <f t="shared" si="40"/>
        <v>1.04E-5</v>
      </c>
      <c r="AZ180">
        <v>1.04</v>
      </c>
      <c r="BA180" s="140">
        <f t="shared" si="41"/>
        <v>1.0399999999999997E-7</v>
      </c>
      <c r="BB180" s="140">
        <f t="shared" si="42"/>
        <v>2.0799999999999998E-7</v>
      </c>
      <c r="BC180" s="140">
        <f t="shared" si="43"/>
        <v>3.1199999999999999E-7</v>
      </c>
      <c r="BD180" s="140">
        <f t="shared" si="44"/>
        <v>4.1600000000000002E-7</v>
      </c>
      <c r="BE180" s="140">
        <f t="shared" si="45"/>
        <v>5.2E-7</v>
      </c>
      <c r="BF180" s="157">
        <f>IF(AY180&lt;$B$89*DATA!$H$1037,DATA!$H$1037,IF(AY180&gt;DATA!$H$1036*$B$89,DATA!$H$1036,1))</f>
        <v>1.2</v>
      </c>
      <c r="BG180" s="156">
        <f t="shared" si="46"/>
        <v>9.9999999999999995E-8</v>
      </c>
      <c r="BI180" s="140">
        <f t="shared" si="47"/>
        <v>1.04E-5</v>
      </c>
      <c r="BJ180">
        <v>1.04</v>
      </c>
      <c r="BK180" s="140">
        <f t="shared" si="48"/>
        <v>1.0399999999999997E-7</v>
      </c>
      <c r="BL180" s="140">
        <f t="shared" si="49"/>
        <v>2.0799999999999998E-7</v>
      </c>
      <c r="BM180" s="140">
        <f t="shared" si="50"/>
        <v>3.1199999999999999E-7</v>
      </c>
      <c r="BN180" s="140">
        <f t="shared" si="51"/>
        <v>4.1600000000000002E-7</v>
      </c>
      <c r="BO180" s="140">
        <f t="shared" si="52"/>
        <v>5.2E-7</v>
      </c>
      <c r="BP180" s="157">
        <f>IF(BI180&lt;$B$105*DATA!$H$1037,DATA!$H$1037,IF(BI180&gt;DATA!$H$1036*$B$105,DATA!$H$1036,1))</f>
        <v>1.2</v>
      </c>
      <c r="BQ180" s="156">
        <f t="shared" si="53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55"/>
        <v>1.0599999999999998E-7</v>
      </c>
      <c r="D181" s="140">
        <f t="shared" si="55"/>
        <v>2.1199999999999999E-7</v>
      </c>
      <c r="E181" s="140">
        <f t="shared" si="55"/>
        <v>3.1800000000000007E-7</v>
      </c>
      <c r="F181" s="140">
        <f t="shared" si="55"/>
        <v>4.2400000000000009E-7</v>
      </c>
      <c r="G181" s="140">
        <f t="shared" si="55"/>
        <v>5.3000000000000011E-7</v>
      </c>
      <c r="H181" s="124">
        <f t="shared" si="6"/>
        <v>0.8</v>
      </c>
      <c r="I181" s="156">
        <f t="shared" si="7"/>
        <v>9.9999999999999995E-8</v>
      </c>
      <c r="K181" s="140">
        <f t="shared" si="8"/>
        <v>1.0600000000000002E-5</v>
      </c>
      <c r="L181">
        <v>1.06</v>
      </c>
      <c r="M181" s="140">
        <f t="shared" si="9"/>
        <v>1.0599999999999998E-7</v>
      </c>
      <c r="N181" s="140">
        <f t="shared" si="10"/>
        <v>2.1199999999999999E-7</v>
      </c>
      <c r="O181" s="140">
        <f t="shared" si="11"/>
        <v>3.1800000000000007E-7</v>
      </c>
      <c r="P181" s="140">
        <f t="shared" si="12"/>
        <v>4.2400000000000009E-7</v>
      </c>
      <c r="Q181" s="140">
        <f t="shared" si="13"/>
        <v>5.3000000000000011E-7</v>
      </c>
      <c r="R181" s="157">
        <f t="shared" si="14"/>
        <v>0.8</v>
      </c>
      <c r="S181" s="156">
        <f t="shared" si="15"/>
        <v>9.9999999999999995E-8</v>
      </c>
      <c r="U181" s="140">
        <f t="shared" si="16"/>
        <v>1.0600000000000002E-5</v>
      </c>
      <c r="V181">
        <v>1.06</v>
      </c>
      <c r="W181" s="140">
        <f t="shared" si="17"/>
        <v>1.0599999999999998E-7</v>
      </c>
      <c r="X181" s="140">
        <f t="shared" si="18"/>
        <v>2.1199999999999999E-7</v>
      </c>
      <c r="Y181" s="140">
        <f t="shared" si="19"/>
        <v>3.1800000000000007E-7</v>
      </c>
      <c r="Z181" s="140">
        <f t="shared" si="20"/>
        <v>4.2400000000000009E-7</v>
      </c>
      <c r="AA181" s="140">
        <f t="shared" si="21"/>
        <v>5.3000000000000011E-7</v>
      </c>
      <c r="AB181" s="157">
        <f t="shared" si="22"/>
        <v>0.8</v>
      </c>
      <c r="AC181" s="156">
        <f t="shared" si="23"/>
        <v>9.9999999999999995E-8</v>
      </c>
      <c r="AE181" s="140">
        <f t="shared" si="24"/>
        <v>1.0600000000000002E-5</v>
      </c>
      <c r="AF181">
        <v>1.06</v>
      </c>
      <c r="AG181" s="140">
        <f t="shared" si="25"/>
        <v>1.0599999999999998E-7</v>
      </c>
      <c r="AH181" s="140">
        <f t="shared" si="26"/>
        <v>2.1199999999999999E-7</v>
      </c>
      <c r="AI181" s="140">
        <f t="shared" si="27"/>
        <v>3.1800000000000007E-7</v>
      </c>
      <c r="AJ181" s="140">
        <f t="shared" si="28"/>
        <v>4.2400000000000009E-7</v>
      </c>
      <c r="AK181" s="140">
        <f t="shared" si="29"/>
        <v>5.3000000000000011E-7</v>
      </c>
      <c r="AL181" s="157">
        <f t="shared" si="30"/>
        <v>1.2</v>
      </c>
      <c r="AM181" s="156">
        <f t="shared" si="31"/>
        <v>9.9999999999999995E-8</v>
      </c>
      <c r="AO181" s="140">
        <f t="shared" si="32"/>
        <v>1.0600000000000002E-5</v>
      </c>
      <c r="AP181">
        <v>1.06</v>
      </c>
      <c r="AQ181" s="140">
        <f t="shared" si="33"/>
        <v>1.0599999999999998E-7</v>
      </c>
      <c r="AR181" s="140">
        <f t="shared" si="34"/>
        <v>2.1199999999999999E-7</v>
      </c>
      <c r="AS181" s="140">
        <f t="shared" si="35"/>
        <v>3.1800000000000007E-7</v>
      </c>
      <c r="AT181" s="140">
        <f t="shared" si="36"/>
        <v>4.2400000000000009E-7</v>
      </c>
      <c r="AU181" s="140">
        <f t="shared" si="37"/>
        <v>5.3000000000000011E-7</v>
      </c>
      <c r="AV181" s="157">
        <f t="shared" si="38"/>
        <v>1.2</v>
      </c>
      <c r="AW181" s="156">
        <f t="shared" si="39"/>
        <v>9.9999999999999995E-8</v>
      </c>
      <c r="AY181" s="140">
        <f t="shared" si="40"/>
        <v>1.0600000000000002E-5</v>
      </c>
      <c r="AZ181">
        <v>1.06</v>
      </c>
      <c r="BA181" s="140">
        <f t="shared" si="41"/>
        <v>1.0599999999999998E-7</v>
      </c>
      <c r="BB181" s="140">
        <f t="shared" si="42"/>
        <v>2.1199999999999999E-7</v>
      </c>
      <c r="BC181" s="140">
        <f t="shared" si="43"/>
        <v>3.1800000000000007E-7</v>
      </c>
      <c r="BD181" s="140">
        <f t="shared" si="44"/>
        <v>4.2400000000000009E-7</v>
      </c>
      <c r="BE181" s="140">
        <f t="shared" si="45"/>
        <v>5.3000000000000011E-7</v>
      </c>
      <c r="BF181" s="157">
        <f>IF(AY181&lt;$B$89*DATA!$H$1037,DATA!$H$1037,IF(AY181&gt;DATA!$H$1036*$B$89,DATA!$H$1036,1))</f>
        <v>1.2</v>
      </c>
      <c r="BG181" s="156">
        <f t="shared" si="46"/>
        <v>9.9999999999999995E-8</v>
      </c>
      <c r="BI181" s="140">
        <f t="shared" si="47"/>
        <v>1.0600000000000002E-5</v>
      </c>
      <c r="BJ181">
        <v>1.06</v>
      </c>
      <c r="BK181" s="140">
        <f t="shared" si="48"/>
        <v>1.0599999999999998E-7</v>
      </c>
      <c r="BL181" s="140">
        <f t="shared" si="49"/>
        <v>2.1199999999999999E-7</v>
      </c>
      <c r="BM181" s="140">
        <f t="shared" si="50"/>
        <v>3.1800000000000007E-7</v>
      </c>
      <c r="BN181" s="140">
        <f t="shared" si="51"/>
        <v>4.2400000000000009E-7</v>
      </c>
      <c r="BO181" s="140">
        <f t="shared" si="52"/>
        <v>5.3000000000000011E-7</v>
      </c>
      <c r="BP181" s="157">
        <f>IF(BI181&lt;$B$105*DATA!$H$1037,DATA!$H$1037,IF(BI181&gt;DATA!$H$1036*$B$105,DATA!$H$1036,1))</f>
        <v>1.2</v>
      </c>
      <c r="BQ181" s="156">
        <f t="shared" si="53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55"/>
        <v>1.0799999999999997E-7</v>
      </c>
      <c r="D182" s="140">
        <f t="shared" si="55"/>
        <v>2.16E-7</v>
      </c>
      <c r="E182" s="140">
        <f t="shared" si="55"/>
        <v>3.2400000000000004E-7</v>
      </c>
      <c r="F182" s="140">
        <f t="shared" si="55"/>
        <v>4.3200000000000006E-7</v>
      </c>
      <c r="G182" s="140">
        <f t="shared" si="55"/>
        <v>5.4000000000000012E-7</v>
      </c>
      <c r="H182" s="124">
        <f t="shared" si="6"/>
        <v>0.8</v>
      </c>
      <c r="I182" s="156">
        <f t="shared" si="7"/>
        <v>9.9999999999999995E-8</v>
      </c>
      <c r="K182" s="140">
        <f t="shared" si="8"/>
        <v>1.0800000000000002E-5</v>
      </c>
      <c r="L182">
        <v>1.08</v>
      </c>
      <c r="M182" s="140">
        <f t="shared" si="9"/>
        <v>1.0799999999999997E-7</v>
      </c>
      <c r="N182" s="140">
        <f t="shared" si="10"/>
        <v>2.16E-7</v>
      </c>
      <c r="O182" s="140">
        <f t="shared" si="11"/>
        <v>3.2400000000000004E-7</v>
      </c>
      <c r="P182" s="140">
        <f t="shared" si="12"/>
        <v>4.3200000000000006E-7</v>
      </c>
      <c r="Q182" s="140">
        <f t="shared" si="13"/>
        <v>5.4000000000000012E-7</v>
      </c>
      <c r="R182" s="157">
        <f t="shared" si="14"/>
        <v>0.8</v>
      </c>
      <c r="S182" s="156">
        <f t="shared" si="15"/>
        <v>9.9999999999999995E-8</v>
      </c>
      <c r="U182" s="140">
        <f t="shared" si="16"/>
        <v>1.0800000000000002E-5</v>
      </c>
      <c r="V182">
        <v>1.08</v>
      </c>
      <c r="W182" s="140">
        <f t="shared" si="17"/>
        <v>1.0799999999999997E-7</v>
      </c>
      <c r="X182" s="140">
        <f t="shared" si="18"/>
        <v>2.16E-7</v>
      </c>
      <c r="Y182" s="140">
        <f t="shared" si="19"/>
        <v>3.2400000000000004E-7</v>
      </c>
      <c r="Z182" s="140">
        <f t="shared" si="20"/>
        <v>4.3200000000000006E-7</v>
      </c>
      <c r="AA182" s="140">
        <f t="shared" si="21"/>
        <v>5.4000000000000012E-7</v>
      </c>
      <c r="AB182" s="157">
        <f t="shared" si="22"/>
        <v>0.8</v>
      </c>
      <c r="AC182" s="156">
        <f t="shared" si="23"/>
        <v>9.9999999999999995E-8</v>
      </c>
      <c r="AE182" s="140">
        <f t="shared" si="24"/>
        <v>1.0800000000000002E-5</v>
      </c>
      <c r="AF182">
        <v>1.08</v>
      </c>
      <c r="AG182" s="140">
        <f t="shared" si="25"/>
        <v>1.0799999999999997E-7</v>
      </c>
      <c r="AH182" s="140">
        <f t="shared" si="26"/>
        <v>2.16E-7</v>
      </c>
      <c r="AI182" s="140">
        <f t="shared" si="27"/>
        <v>3.2400000000000004E-7</v>
      </c>
      <c r="AJ182" s="140">
        <f t="shared" si="28"/>
        <v>4.3200000000000006E-7</v>
      </c>
      <c r="AK182" s="140">
        <f t="shared" si="29"/>
        <v>5.4000000000000012E-7</v>
      </c>
      <c r="AL182" s="157">
        <f t="shared" si="30"/>
        <v>1.2</v>
      </c>
      <c r="AM182" s="156">
        <f t="shared" si="31"/>
        <v>9.9999999999999995E-8</v>
      </c>
      <c r="AO182" s="140">
        <f t="shared" si="32"/>
        <v>1.0800000000000002E-5</v>
      </c>
      <c r="AP182">
        <v>1.08</v>
      </c>
      <c r="AQ182" s="140">
        <f t="shared" si="33"/>
        <v>1.0799999999999997E-7</v>
      </c>
      <c r="AR182" s="140">
        <f t="shared" si="34"/>
        <v>2.16E-7</v>
      </c>
      <c r="AS182" s="140">
        <f t="shared" si="35"/>
        <v>3.2400000000000004E-7</v>
      </c>
      <c r="AT182" s="140">
        <f t="shared" si="36"/>
        <v>4.3200000000000006E-7</v>
      </c>
      <c r="AU182" s="140">
        <f t="shared" si="37"/>
        <v>5.4000000000000012E-7</v>
      </c>
      <c r="AV182" s="157">
        <f t="shared" si="38"/>
        <v>1.2</v>
      </c>
      <c r="AW182" s="156">
        <f t="shared" si="39"/>
        <v>9.9999999999999995E-8</v>
      </c>
      <c r="AY182" s="140">
        <f t="shared" si="40"/>
        <v>1.0800000000000002E-5</v>
      </c>
      <c r="AZ182">
        <v>1.08</v>
      </c>
      <c r="BA182" s="140">
        <f t="shared" si="41"/>
        <v>1.0799999999999997E-7</v>
      </c>
      <c r="BB182" s="140">
        <f t="shared" si="42"/>
        <v>2.16E-7</v>
      </c>
      <c r="BC182" s="140">
        <f t="shared" si="43"/>
        <v>3.2400000000000004E-7</v>
      </c>
      <c r="BD182" s="140">
        <f t="shared" si="44"/>
        <v>4.3200000000000006E-7</v>
      </c>
      <c r="BE182" s="140">
        <f t="shared" si="45"/>
        <v>5.4000000000000012E-7</v>
      </c>
      <c r="BF182" s="157">
        <f>IF(AY182&lt;$B$89*DATA!$H$1037,DATA!$H$1037,IF(AY182&gt;DATA!$H$1036*$B$89,DATA!$H$1036,1))</f>
        <v>1.2</v>
      </c>
      <c r="BG182" s="156">
        <f t="shared" si="46"/>
        <v>9.9999999999999995E-8</v>
      </c>
      <c r="BI182" s="140">
        <f t="shared" si="47"/>
        <v>1.0800000000000002E-5</v>
      </c>
      <c r="BJ182">
        <v>1.08</v>
      </c>
      <c r="BK182" s="140">
        <f t="shared" si="48"/>
        <v>1.0799999999999997E-7</v>
      </c>
      <c r="BL182" s="140">
        <f t="shared" si="49"/>
        <v>2.16E-7</v>
      </c>
      <c r="BM182" s="140">
        <f t="shared" si="50"/>
        <v>3.2400000000000004E-7</v>
      </c>
      <c r="BN182" s="140">
        <f t="shared" si="51"/>
        <v>4.3200000000000006E-7</v>
      </c>
      <c r="BO182" s="140">
        <f t="shared" si="52"/>
        <v>5.4000000000000012E-7</v>
      </c>
      <c r="BP182" s="157">
        <f>IF(BI182&lt;$B$105*DATA!$H$1037,DATA!$H$1037,IF(BI182&gt;DATA!$H$1036*$B$105,DATA!$H$1036,1))</f>
        <v>1.2</v>
      </c>
      <c r="BQ182" s="156">
        <f t="shared" si="53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55"/>
        <v>1.0999999999999998E-7</v>
      </c>
      <c r="D183" s="140">
        <f t="shared" si="55"/>
        <v>2.1999999999999998E-7</v>
      </c>
      <c r="E183" s="140">
        <f t="shared" si="55"/>
        <v>3.3000000000000002E-7</v>
      </c>
      <c r="F183" s="140">
        <f t="shared" si="55"/>
        <v>4.4000000000000008E-7</v>
      </c>
      <c r="G183" s="140">
        <f t="shared" si="55"/>
        <v>5.5000000000000013E-7</v>
      </c>
      <c r="H183" s="124">
        <f t="shared" si="6"/>
        <v>0.8</v>
      </c>
      <c r="I183" s="156">
        <f t="shared" si="7"/>
        <v>9.9999999999999995E-8</v>
      </c>
      <c r="K183" s="140">
        <f t="shared" si="8"/>
        <v>1.1000000000000001E-5</v>
      </c>
      <c r="L183">
        <v>1.1000000000000001</v>
      </c>
      <c r="M183" s="140">
        <f t="shared" si="9"/>
        <v>1.0999999999999998E-7</v>
      </c>
      <c r="N183" s="140">
        <f t="shared" si="10"/>
        <v>2.1999999999999998E-7</v>
      </c>
      <c r="O183" s="140">
        <f t="shared" si="11"/>
        <v>3.3000000000000002E-7</v>
      </c>
      <c r="P183" s="140">
        <f t="shared" si="12"/>
        <v>4.4000000000000008E-7</v>
      </c>
      <c r="Q183" s="140">
        <f t="shared" si="13"/>
        <v>5.5000000000000013E-7</v>
      </c>
      <c r="R183" s="157">
        <f t="shared" si="14"/>
        <v>0.8</v>
      </c>
      <c r="S183" s="156">
        <f t="shared" si="15"/>
        <v>9.9999999999999995E-8</v>
      </c>
      <c r="U183" s="140">
        <f t="shared" si="16"/>
        <v>1.1000000000000001E-5</v>
      </c>
      <c r="V183">
        <v>1.1000000000000001</v>
      </c>
      <c r="W183" s="140">
        <f t="shared" si="17"/>
        <v>1.0999999999999998E-7</v>
      </c>
      <c r="X183" s="140">
        <f t="shared" si="18"/>
        <v>2.1999999999999998E-7</v>
      </c>
      <c r="Y183" s="140">
        <f t="shared" si="19"/>
        <v>3.3000000000000002E-7</v>
      </c>
      <c r="Z183" s="140">
        <f t="shared" si="20"/>
        <v>4.4000000000000008E-7</v>
      </c>
      <c r="AA183" s="140">
        <f t="shared" si="21"/>
        <v>5.5000000000000013E-7</v>
      </c>
      <c r="AB183" s="157">
        <f t="shared" si="22"/>
        <v>0.8</v>
      </c>
      <c r="AC183" s="156">
        <f t="shared" si="23"/>
        <v>9.9999999999999995E-8</v>
      </c>
      <c r="AE183" s="140">
        <f t="shared" si="24"/>
        <v>1.1000000000000001E-5</v>
      </c>
      <c r="AF183">
        <v>1.1000000000000001</v>
      </c>
      <c r="AG183" s="140">
        <f t="shared" si="25"/>
        <v>1.0999999999999998E-7</v>
      </c>
      <c r="AH183" s="140">
        <f t="shared" si="26"/>
        <v>2.1999999999999998E-7</v>
      </c>
      <c r="AI183" s="140">
        <f t="shared" si="27"/>
        <v>3.3000000000000002E-7</v>
      </c>
      <c r="AJ183" s="140">
        <f t="shared" si="28"/>
        <v>4.4000000000000008E-7</v>
      </c>
      <c r="AK183" s="140">
        <f t="shared" si="29"/>
        <v>5.5000000000000013E-7</v>
      </c>
      <c r="AL183" s="157">
        <f t="shared" si="30"/>
        <v>1.2</v>
      </c>
      <c r="AM183" s="156">
        <f t="shared" si="31"/>
        <v>9.9999999999999995E-8</v>
      </c>
      <c r="AO183" s="140">
        <f t="shared" si="32"/>
        <v>1.1000000000000001E-5</v>
      </c>
      <c r="AP183">
        <v>1.1000000000000001</v>
      </c>
      <c r="AQ183" s="140">
        <f t="shared" si="33"/>
        <v>1.0999999999999998E-7</v>
      </c>
      <c r="AR183" s="140">
        <f t="shared" si="34"/>
        <v>2.1999999999999998E-7</v>
      </c>
      <c r="AS183" s="140">
        <f t="shared" si="35"/>
        <v>3.3000000000000002E-7</v>
      </c>
      <c r="AT183" s="140">
        <f t="shared" si="36"/>
        <v>4.4000000000000008E-7</v>
      </c>
      <c r="AU183" s="140">
        <f t="shared" si="37"/>
        <v>5.5000000000000013E-7</v>
      </c>
      <c r="AV183" s="157">
        <f t="shared" si="38"/>
        <v>1.2</v>
      </c>
      <c r="AW183" s="156">
        <f t="shared" si="39"/>
        <v>9.9999999999999995E-8</v>
      </c>
      <c r="AY183" s="140">
        <f t="shared" si="40"/>
        <v>1.1000000000000001E-5</v>
      </c>
      <c r="AZ183">
        <v>1.1000000000000001</v>
      </c>
      <c r="BA183" s="140">
        <f t="shared" si="41"/>
        <v>1.0999999999999998E-7</v>
      </c>
      <c r="BB183" s="140">
        <f t="shared" si="42"/>
        <v>2.1999999999999998E-7</v>
      </c>
      <c r="BC183" s="140">
        <f t="shared" si="43"/>
        <v>3.3000000000000002E-7</v>
      </c>
      <c r="BD183" s="140">
        <f t="shared" si="44"/>
        <v>4.4000000000000008E-7</v>
      </c>
      <c r="BE183" s="140">
        <f t="shared" si="45"/>
        <v>5.5000000000000013E-7</v>
      </c>
      <c r="BF183" s="157">
        <f>IF(AY183&lt;$B$89*DATA!$H$1037,DATA!$H$1037,IF(AY183&gt;DATA!$H$1036*$B$89,DATA!$H$1036,1))</f>
        <v>1.2</v>
      </c>
      <c r="BG183" s="156">
        <f t="shared" si="46"/>
        <v>9.9999999999999995E-8</v>
      </c>
      <c r="BI183" s="140">
        <f t="shared" si="47"/>
        <v>1.1000000000000001E-5</v>
      </c>
      <c r="BJ183">
        <v>1.1000000000000001</v>
      </c>
      <c r="BK183" s="140">
        <f t="shared" si="48"/>
        <v>1.0999999999999998E-7</v>
      </c>
      <c r="BL183" s="140">
        <f t="shared" si="49"/>
        <v>2.1999999999999998E-7</v>
      </c>
      <c r="BM183" s="140">
        <f t="shared" si="50"/>
        <v>3.3000000000000002E-7</v>
      </c>
      <c r="BN183" s="140">
        <f t="shared" si="51"/>
        <v>4.4000000000000008E-7</v>
      </c>
      <c r="BO183" s="140">
        <f t="shared" si="52"/>
        <v>5.5000000000000013E-7</v>
      </c>
      <c r="BP183" s="157">
        <f>IF(BI183&lt;$B$105*DATA!$H$1037,DATA!$H$1037,IF(BI183&gt;DATA!$H$1036*$B$105,DATA!$H$1036,1))</f>
        <v>1.2</v>
      </c>
      <c r="BQ183" s="156">
        <f t="shared" si="53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55"/>
        <v>1.1199999999999997E-7</v>
      </c>
      <c r="D184" s="140">
        <f t="shared" si="55"/>
        <v>2.2399999999999999E-7</v>
      </c>
      <c r="E184" s="140">
        <f t="shared" si="55"/>
        <v>3.3600000000000004E-7</v>
      </c>
      <c r="F184" s="140">
        <f t="shared" si="55"/>
        <v>4.4800000000000004E-7</v>
      </c>
      <c r="G184" s="140">
        <f t="shared" si="55"/>
        <v>5.6000000000000004E-7</v>
      </c>
      <c r="H184" s="124">
        <f t="shared" si="6"/>
        <v>0.8</v>
      </c>
      <c r="I184" s="156">
        <f t="shared" si="7"/>
        <v>9.9999999999999995E-8</v>
      </c>
      <c r="K184" s="140">
        <f t="shared" si="8"/>
        <v>1.1200000000000001E-5</v>
      </c>
      <c r="L184">
        <v>1.1200000000000001</v>
      </c>
      <c r="M184" s="140">
        <f t="shared" si="9"/>
        <v>1.1199999999999997E-7</v>
      </c>
      <c r="N184" s="140">
        <f t="shared" si="10"/>
        <v>2.2399999999999999E-7</v>
      </c>
      <c r="O184" s="140">
        <f t="shared" si="11"/>
        <v>3.3600000000000004E-7</v>
      </c>
      <c r="P184" s="140">
        <f t="shared" si="12"/>
        <v>4.4800000000000004E-7</v>
      </c>
      <c r="Q184" s="140">
        <f t="shared" si="13"/>
        <v>5.6000000000000004E-7</v>
      </c>
      <c r="R184" s="157">
        <f t="shared" si="14"/>
        <v>0.8</v>
      </c>
      <c r="S184" s="156">
        <f t="shared" si="15"/>
        <v>9.9999999999999995E-8</v>
      </c>
      <c r="U184" s="140">
        <f t="shared" si="16"/>
        <v>1.1200000000000001E-5</v>
      </c>
      <c r="V184">
        <v>1.1200000000000001</v>
      </c>
      <c r="W184" s="140">
        <f t="shared" si="17"/>
        <v>1.1199999999999997E-7</v>
      </c>
      <c r="X184" s="140">
        <f t="shared" si="18"/>
        <v>2.2399999999999999E-7</v>
      </c>
      <c r="Y184" s="140">
        <f t="shared" si="19"/>
        <v>3.3600000000000004E-7</v>
      </c>
      <c r="Z184" s="140">
        <f t="shared" si="20"/>
        <v>4.4800000000000004E-7</v>
      </c>
      <c r="AA184" s="140">
        <f t="shared" si="21"/>
        <v>5.6000000000000004E-7</v>
      </c>
      <c r="AB184" s="157">
        <f t="shared" si="22"/>
        <v>0.8</v>
      </c>
      <c r="AC184" s="156">
        <f t="shared" si="23"/>
        <v>9.9999999999999995E-8</v>
      </c>
      <c r="AE184" s="140">
        <f t="shared" si="24"/>
        <v>1.1200000000000001E-5</v>
      </c>
      <c r="AF184">
        <v>1.1200000000000001</v>
      </c>
      <c r="AG184" s="140">
        <f t="shared" si="25"/>
        <v>1.1199999999999997E-7</v>
      </c>
      <c r="AH184" s="140">
        <f t="shared" si="26"/>
        <v>2.2399999999999999E-7</v>
      </c>
      <c r="AI184" s="140">
        <f t="shared" si="27"/>
        <v>3.3600000000000004E-7</v>
      </c>
      <c r="AJ184" s="140">
        <f t="shared" si="28"/>
        <v>4.4800000000000004E-7</v>
      </c>
      <c r="AK184" s="140">
        <f t="shared" si="29"/>
        <v>5.6000000000000004E-7</v>
      </c>
      <c r="AL184" s="157">
        <f t="shared" si="30"/>
        <v>1.2</v>
      </c>
      <c r="AM184" s="156">
        <f t="shared" si="31"/>
        <v>9.9999999999999995E-8</v>
      </c>
      <c r="AO184" s="140">
        <f t="shared" si="32"/>
        <v>1.1200000000000001E-5</v>
      </c>
      <c r="AP184">
        <v>1.1200000000000001</v>
      </c>
      <c r="AQ184" s="140">
        <f t="shared" si="33"/>
        <v>1.1199999999999997E-7</v>
      </c>
      <c r="AR184" s="140">
        <f t="shared" si="34"/>
        <v>2.2399999999999999E-7</v>
      </c>
      <c r="AS184" s="140">
        <f t="shared" si="35"/>
        <v>3.3600000000000004E-7</v>
      </c>
      <c r="AT184" s="140">
        <f t="shared" si="36"/>
        <v>4.4800000000000004E-7</v>
      </c>
      <c r="AU184" s="140">
        <f t="shared" si="37"/>
        <v>5.6000000000000004E-7</v>
      </c>
      <c r="AV184" s="157">
        <f t="shared" si="38"/>
        <v>1.2</v>
      </c>
      <c r="AW184" s="156">
        <f t="shared" si="39"/>
        <v>9.9999999999999995E-8</v>
      </c>
      <c r="AY184" s="140">
        <f t="shared" si="40"/>
        <v>1.1200000000000001E-5</v>
      </c>
      <c r="AZ184">
        <v>1.1200000000000001</v>
      </c>
      <c r="BA184" s="140">
        <f t="shared" si="41"/>
        <v>1.1199999999999997E-7</v>
      </c>
      <c r="BB184" s="140">
        <f t="shared" si="42"/>
        <v>2.2399999999999999E-7</v>
      </c>
      <c r="BC184" s="140">
        <f t="shared" si="43"/>
        <v>3.3600000000000004E-7</v>
      </c>
      <c r="BD184" s="140">
        <f t="shared" si="44"/>
        <v>4.4800000000000004E-7</v>
      </c>
      <c r="BE184" s="140">
        <f t="shared" si="45"/>
        <v>5.6000000000000004E-7</v>
      </c>
      <c r="BF184" s="157">
        <f>IF(AY184&lt;$B$89*DATA!$H$1037,DATA!$H$1037,IF(AY184&gt;DATA!$H$1036*$B$89,DATA!$H$1036,1))</f>
        <v>1.2</v>
      </c>
      <c r="BG184" s="156">
        <f t="shared" si="46"/>
        <v>9.9999999999999995E-8</v>
      </c>
      <c r="BI184" s="140">
        <f t="shared" si="47"/>
        <v>1.1200000000000001E-5</v>
      </c>
      <c r="BJ184">
        <v>1.1200000000000001</v>
      </c>
      <c r="BK184" s="140">
        <f t="shared" si="48"/>
        <v>1.1199999999999997E-7</v>
      </c>
      <c r="BL184" s="140">
        <f t="shared" si="49"/>
        <v>2.2399999999999999E-7</v>
      </c>
      <c r="BM184" s="140">
        <f t="shared" si="50"/>
        <v>3.3600000000000004E-7</v>
      </c>
      <c r="BN184" s="140">
        <f t="shared" si="51"/>
        <v>4.4800000000000004E-7</v>
      </c>
      <c r="BO184" s="140">
        <f t="shared" si="52"/>
        <v>5.6000000000000004E-7</v>
      </c>
      <c r="BP184" s="157">
        <f>IF(BI184&lt;$B$105*DATA!$H$1037,DATA!$H$1037,IF(BI184&gt;DATA!$H$1036*$B$105,DATA!$H$1036,1))</f>
        <v>1.2</v>
      </c>
      <c r="BQ184" s="156">
        <f t="shared" si="53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55"/>
        <v>1.1399999999999996E-7</v>
      </c>
      <c r="D185" s="140">
        <f t="shared" si="55"/>
        <v>2.2799999999999995E-7</v>
      </c>
      <c r="E185" s="140">
        <f t="shared" si="55"/>
        <v>3.4199999999999997E-7</v>
      </c>
      <c r="F185" s="140">
        <f t="shared" si="55"/>
        <v>4.5599999999999995E-7</v>
      </c>
      <c r="G185" s="140">
        <f t="shared" si="55"/>
        <v>5.6999999999999994E-7</v>
      </c>
      <c r="H185" s="124">
        <f t="shared" si="6"/>
        <v>0.8</v>
      </c>
      <c r="I185" s="156">
        <f t="shared" si="7"/>
        <v>9.9999999999999995E-8</v>
      </c>
      <c r="K185" s="140">
        <f t="shared" si="8"/>
        <v>1.1399999999999999E-5</v>
      </c>
      <c r="L185">
        <v>1.1399999999999999</v>
      </c>
      <c r="M185" s="140">
        <f t="shared" si="9"/>
        <v>1.1399999999999996E-7</v>
      </c>
      <c r="N185" s="140">
        <f t="shared" si="10"/>
        <v>2.2799999999999995E-7</v>
      </c>
      <c r="O185" s="140">
        <f t="shared" si="11"/>
        <v>3.4199999999999997E-7</v>
      </c>
      <c r="P185" s="140">
        <f t="shared" si="12"/>
        <v>4.5599999999999995E-7</v>
      </c>
      <c r="Q185" s="140">
        <f t="shared" si="13"/>
        <v>5.6999999999999994E-7</v>
      </c>
      <c r="R185" s="157">
        <f t="shared" si="14"/>
        <v>0.8</v>
      </c>
      <c r="S185" s="156">
        <f t="shared" si="15"/>
        <v>9.9999999999999995E-8</v>
      </c>
      <c r="U185" s="140">
        <f t="shared" si="16"/>
        <v>1.1399999999999999E-5</v>
      </c>
      <c r="V185">
        <v>1.1399999999999999</v>
      </c>
      <c r="W185" s="140">
        <f t="shared" si="17"/>
        <v>1.1399999999999996E-7</v>
      </c>
      <c r="X185" s="140">
        <f t="shared" si="18"/>
        <v>2.2799999999999995E-7</v>
      </c>
      <c r="Y185" s="140">
        <f t="shared" si="19"/>
        <v>3.4199999999999997E-7</v>
      </c>
      <c r="Z185" s="140">
        <f t="shared" si="20"/>
        <v>4.5599999999999995E-7</v>
      </c>
      <c r="AA185" s="140">
        <f t="shared" si="21"/>
        <v>5.6999999999999994E-7</v>
      </c>
      <c r="AB185" s="157">
        <f t="shared" si="22"/>
        <v>0.8</v>
      </c>
      <c r="AC185" s="156">
        <f t="shared" si="23"/>
        <v>9.9999999999999995E-8</v>
      </c>
      <c r="AE185" s="140">
        <f t="shared" si="24"/>
        <v>1.1399999999999999E-5</v>
      </c>
      <c r="AF185">
        <v>1.1399999999999999</v>
      </c>
      <c r="AG185" s="140">
        <f t="shared" si="25"/>
        <v>1.1399999999999996E-7</v>
      </c>
      <c r="AH185" s="140">
        <f t="shared" si="26"/>
        <v>2.2799999999999995E-7</v>
      </c>
      <c r="AI185" s="140">
        <f t="shared" si="27"/>
        <v>3.4199999999999997E-7</v>
      </c>
      <c r="AJ185" s="140">
        <f t="shared" si="28"/>
        <v>4.5599999999999995E-7</v>
      </c>
      <c r="AK185" s="140">
        <f t="shared" si="29"/>
        <v>5.6999999999999994E-7</v>
      </c>
      <c r="AL185" s="157">
        <f t="shared" si="30"/>
        <v>1.2</v>
      </c>
      <c r="AM185" s="156">
        <f t="shared" si="31"/>
        <v>9.9999999999999995E-8</v>
      </c>
      <c r="AO185" s="140">
        <f t="shared" si="32"/>
        <v>1.1399999999999999E-5</v>
      </c>
      <c r="AP185">
        <v>1.1399999999999999</v>
      </c>
      <c r="AQ185" s="140">
        <f t="shared" si="33"/>
        <v>1.1399999999999996E-7</v>
      </c>
      <c r="AR185" s="140">
        <f t="shared" si="34"/>
        <v>2.2799999999999995E-7</v>
      </c>
      <c r="AS185" s="140">
        <f t="shared" si="35"/>
        <v>3.4199999999999997E-7</v>
      </c>
      <c r="AT185" s="140">
        <f t="shared" si="36"/>
        <v>4.5599999999999995E-7</v>
      </c>
      <c r="AU185" s="140">
        <f t="shared" si="37"/>
        <v>5.6999999999999994E-7</v>
      </c>
      <c r="AV185" s="157">
        <f t="shared" si="38"/>
        <v>1.2</v>
      </c>
      <c r="AW185" s="156">
        <f t="shared" si="39"/>
        <v>9.9999999999999995E-8</v>
      </c>
      <c r="AY185" s="140">
        <f t="shared" si="40"/>
        <v>1.1399999999999999E-5</v>
      </c>
      <c r="AZ185">
        <v>1.1399999999999999</v>
      </c>
      <c r="BA185" s="140">
        <f t="shared" si="41"/>
        <v>1.1399999999999996E-7</v>
      </c>
      <c r="BB185" s="140">
        <f t="shared" si="42"/>
        <v>2.2799999999999995E-7</v>
      </c>
      <c r="BC185" s="140">
        <f t="shared" si="43"/>
        <v>3.4199999999999997E-7</v>
      </c>
      <c r="BD185" s="140">
        <f t="shared" si="44"/>
        <v>4.5599999999999995E-7</v>
      </c>
      <c r="BE185" s="140">
        <f t="shared" si="45"/>
        <v>5.6999999999999994E-7</v>
      </c>
      <c r="BF185" s="157">
        <f>IF(AY185&lt;$B$89*DATA!$H$1037,DATA!$H$1037,IF(AY185&gt;DATA!$H$1036*$B$89,DATA!$H$1036,1))</f>
        <v>1.2</v>
      </c>
      <c r="BG185" s="156">
        <f t="shared" si="46"/>
        <v>9.9999999999999995E-8</v>
      </c>
      <c r="BI185" s="140">
        <f t="shared" si="47"/>
        <v>1.1399999999999999E-5</v>
      </c>
      <c r="BJ185">
        <v>1.1399999999999999</v>
      </c>
      <c r="BK185" s="140">
        <f t="shared" si="48"/>
        <v>1.1399999999999996E-7</v>
      </c>
      <c r="BL185" s="140">
        <f t="shared" si="49"/>
        <v>2.2799999999999995E-7</v>
      </c>
      <c r="BM185" s="140">
        <f t="shared" si="50"/>
        <v>3.4199999999999997E-7</v>
      </c>
      <c r="BN185" s="140">
        <f t="shared" si="51"/>
        <v>4.5599999999999995E-7</v>
      </c>
      <c r="BO185" s="140">
        <f t="shared" si="52"/>
        <v>5.6999999999999994E-7</v>
      </c>
      <c r="BP185" s="157">
        <f>IF(BI185&lt;$B$105*DATA!$H$1037,DATA!$H$1037,IF(BI185&gt;DATA!$H$1036*$B$105,DATA!$H$1036,1))</f>
        <v>1.2</v>
      </c>
      <c r="BQ185" s="156">
        <f t="shared" si="53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55"/>
        <v>1.1599999999999997E-7</v>
      </c>
      <c r="D186" s="140">
        <f t="shared" si="55"/>
        <v>2.3199999999999999E-7</v>
      </c>
      <c r="E186" s="140">
        <f t="shared" si="55"/>
        <v>3.4799999999999999E-7</v>
      </c>
      <c r="F186" s="140">
        <f t="shared" si="55"/>
        <v>4.6400000000000003E-7</v>
      </c>
      <c r="G186" s="140">
        <f t="shared" si="55"/>
        <v>5.8000000000000006E-7</v>
      </c>
      <c r="H186" s="124">
        <f t="shared" si="6"/>
        <v>0.8</v>
      </c>
      <c r="I186" s="156">
        <f t="shared" si="7"/>
        <v>9.9999999999999995E-8</v>
      </c>
      <c r="K186" s="140">
        <f t="shared" si="8"/>
        <v>1.1600000000000001E-5</v>
      </c>
      <c r="L186">
        <v>1.1599999999999999</v>
      </c>
      <c r="M186" s="140">
        <f t="shared" si="9"/>
        <v>1.1599999999999997E-7</v>
      </c>
      <c r="N186" s="140">
        <f t="shared" si="10"/>
        <v>2.3199999999999999E-7</v>
      </c>
      <c r="O186" s="140">
        <f t="shared" si="11"/>
        <v>3.4799999999999999E-7</v>
      </c>
      <c r="P186" s="140">
        <f t="shared" si="12"/>
        <v>4.6400000000000003E-7</v>
      </c>
      <c r="Q186" s="140">
        <f t="shared" si="13"/>
        <v>5.8000000000000006E-7</v>
      </c>
      <c r="R186" s="157">
        <f t="shared" si="14"/>
        <v>0.8</v>
      </c>
      <c r="S186" s="156">
        <f t="shared" si="15"/>
        <v>9.9999999999999995E-8</v>
      </c>
      <c r="U186" s="140">
        <f t="shared" si="16"/>
        <v>1.1600000000000001E-5</v>
      </c>
      <c r="V186">
        <v>1.1599999999999999</v>
      </c>
      <c r="W186" s="140">
        <f t="shared" si="17"/>
        <v>1.1599999999999997E-7</v>
      </c>
      <c r="X186" s="140">
        <f t="shared" si="18"/>
        <v>2.3199999999999999E-7</v>
      </c>
      <c r="Y186" s="140">
        <f t="shared" si="19"/>
        <v>3.4799999999999999E-7</v>
      </c>
      <c r="Z186" s="140">
        <f t="shared" si="20"/>
        <v>4.6400000000000003E-7</v>
      </c>
      <c r="AA186" s="140">
        <f t="shared" si="21"/>
        <v>5.8000000000000006E-7</v>
      </c>
      <c r="AB186" s="157">
        <f t="shared" si="22"/>
        <v>0.8</v>
      </c>
      <c r="AC186" s="156">
        <f t="shared" si="23"/>
        <v>9.9999999999999995E-8</v>
      </c>
      <c r="AE186" s="140">
        <f t="shared" si="24"/>
        <v>1.1600000000000001E-5</v>
      </c>
      <c r="AF186">
        <v>1.1599999999999999</v>
      </c>
      <c r="AG186" s="140">
        <f t="shared" si="25"/>
        <v>1.1599999999999997E-7</v>
      </c>
      <c r="AH186" s="140">
        <f t="shared" si="26"/>
        <v>2.3199999999999999E-7</v>
      </c>
      <c r="AI186" s="140">
        <f t="shared" si="27"/>
        <v>3.4799999999999999E-7</v>
      </c>
      <c r="AJ186" s="140">
        <f t="shared" si="28"/>
        <v>4.6400000000000003E-7</v>
      </c>
      <c r="AK186" s="140">
        <f t="shared" si="29"/>
        <v>5.8000000000000006E-7</v>
      </c>
      <c r="AL186" s="157">
        <f t="shared" si="30"/>
        <v>1.2</v>
      </c>
      <c r="AM186" s="156">
        <f t="shared" si="31"/>
        <v>9.9999999999999995E-8</v>
      </c>
      <c r="AO186" s="140">
        <f t="shared" si="32"/>
        <v>1.1600000000000001E-5</v>
      </c>
      <c r="AP186">
        <v>1.1599999999999999</v>
      </c>
      <c r="AQ186" s="140">
        <f t="shared" si="33"/>
        <v>1.1599999999999997E-7</v>
      </c>
      <c r="AR186" s="140">
        <f t="shared" si="34"/>
        <v>2.3199999999999999E-7</v>
      </c>
      <c r="AS186" s="140">
        <f t="shared" si="35"/>
        <v>3.4799999999999999E-7</v>
      </c>
      <c r="AT186" s="140">
        <f t="shared" si="36"/>
        <v>4.6400000000000003E-7</v>
      </c>
      <c r="AU186" s="140">
        <f t="shared" si="37"/>
        <v>5.8000000000000006E-7</v>
      </c>
      <c r="AV186" s="157">
        <f t="shared" si="38"/>
        <v>1.2</v>
      </c>
      <c r="AW186" s="156">
        <f t="shared" si="39"/>
        <v>9.9999999999999995E-8</v>
      </c>
      <c r="AY186" s="140">
        <f t="shared" si="40"/>
        <v>1.1600000000000001E-5</v>
      </c>
      <c r="AZ186">
        <v>1.1599999999999999</v>
      </c>
      <c r="BA186" s="140">
        <f t="shared" si="41"/>
        <v>1.1599999999999997E-7</v>
      </c>
      <c r="BB186" s="140">
        <f t="shared" si="42"/>
        <v>2.3199999999999999E-7</v>
      </c>
      <c r="BC186" s="140">
        <f t="shared" si="43"/>
        <v>3.4799999999999999E-7</v>
      </c>
      <c r="BD186" s="140">
        <f t="shared" si="44"/>
        <v>4.6400000000000003E-7</v>
      </c>
      <c r="BE186" s="140">
        <f t="shared" si="45"/>
        <v>5.8000000000000006E-7</v>
      </c>
      <c r="BF186" s="157">
        <f>IF(AY186&lt;$B$89*DATA!$H$1037,DATA!$H$1037,IF(AY186&gt;DATA!$H$1036*$B$89,DATA!$H$1036,1))</f>
        <v>1.2</v>
      </c>
      <c r="BG186" s="156">
        <f t="shared" si="46"/>
        <v>9.9999999999999995E-8</v>
      </c>
      <c r="BI186" s="140">
        <f t="shared" si="47"/>
        <v>1.1600000000000001E-5</v>
      </c>
      <c r="BJ186">
        <v>1.1599999999999999</v>
      </c>
      <c r="BK186" s="140">
        <f t="shared" si="48"/>
        <v>1.1599999999999997E-7</v>
      </c>
      <c r="BL186" s="140">
        <f t="shared" si="49"/>
        <v>2.3199999999999999E-7</v>
      </c>
      <c r="BM186" s="140">
        <f t="shared" si="50"/>
        <v>3.4799999999999999E-7</v>
      </c>
      <c r="BN186" s="140">
        <f t="shared" si="51"/>
        <v>4.6400000000000003E-7</v>
      </c>
      <c r="BO186" s="140">
        <f t="shared" si="52"/>
        <v>5.8000000000000006E-7</v>
      </c>
      <c r="BP186" s="157">
        <f>IF(BI186&lt;$B$105*DATA!$H$1037,DATA!$H$1037,IF(BI186&gt;DATA!$H$1036*$B$105,DATA!$H$1036,1))</f>
        <v>1.2</v>
      </c>
      <c r="BQ186" s="156">
        <f t="shared" si="53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55"/>
        <v>1.1799999999999997E-7</v>
      </c>
      <c r="D187" s="140">
        <f t="shared" si="55"/>
        <v>2.3599999999999997E-7</v>
      </c>
      <c r="E187" s="140">
        <f t="shared" si="55"/>
        <v>3.5400000000000002E-7</v>
      </c>
      <c r="F187" s="140">
        <f t="shared" si="55"/>
        <v>4.7200000000000004E-7</v>
      </c>
      <c r="G187" s="140">
        <f t="shared" si="55"/>
        <v>5.9000000000000007E-7</v>
      </c>
      <c r="H187" s="124">
        <f t="shared" si="6"/>
        <v>0.8</v>
      </c>
      <c r="I187" s="156">
        <f t="shared" si="7"/>
        <v>9.9999999999999995E-8</v>
      </c>
      <c r="K187" s="140">
        <f t="shared" si="8"/>
        <v>1.1800000000000001E-5</v>
      </c>
      <c r="L187">
        <v>1.18</v>
      </c>
      <c r="M187" s="140">
        <f t="shared" si="9"/>
        <v>1.1799999999999997E-7</v>
      </c>
      <c r="N187" s="140">
        <f t="shared" si="10"/>
        <v>2.3599999999999997E-7</v>
      </c>
      <c r="O187" s="140">
        <f t="shared" si="11"/>
        <v>3.5400000000000002E-7</v>
      </c>
      <c r="P187" s="140">
        <f t="shared" si="12"/>
        <v>4.7200000000000004E-7</v>
      </c>
      <c r="Q187" s="140">
        <f t="shared" si="13"/>
        <v>5.9000000000000007E-7</v>
      </c>
      <c r="R187" s="157">
        <f t="shared" si="14"/>
        <v>0.8</v>
      </c>
      <c r="S187" s="156">
        <f t="shared" si="15"/>
        <v>9.9999999999999995E-8</v>
      </c>
      <c r="U187" s="140">
        <f t="shared" si="16"/>
        <v>1.1800000000000001E-5</v>
      </c>
      <c r="V187">
        <v>1.18</v>
      </c>
      <c r="W187" s="140">
        <f t="shared" si="17"/>
        <v>1.1799999999999997E-7</v>
      </c>
      <c r="X187" s="140">
        <f t="shared" si="18"/>
        <v>2.3599999999999997E-7</v>
      </c>
      <c r="Y187" s="140">
        <f t="shared" si="19"/>
        <v>3.5400000000000002E-7</v>
      </c>
      <c r="Z187" s="140">
        <f t="shared" si="20"/>
        <v>4.7200000000000004E-7</v>
      </c>
      <c r="AA187" s="140">
        <f t="shared" si="21"/>
        <v>5.9000000000000007E-7</v>
      </c>
      <c r="AB187" s="157">
        <f t="shared" si="22"/>
        <v>0.8</v>
      </c>
      <c r="AC187" s="156">
        <f t="shared" si="23"/>
        <v>9.9999999999999995E-8</v>
      </c>
      <c r="AE187" s="140">
        <f t="shared" si="24"/>
        <v>1.1800000000000001E-5</v>
      </c>
      <c r="AF187">
        <v>1.18</v>
      </c>
      <c r="AG187" s="140">
        <f t="shared" si="25"/>
        <v>1.1799999999999997E-7</v>
      </c>
      <c r="AH187" s="140">
        <f t="shared" si="26"/>
        <v>2.3599999999999997E-7</v>
      </c>
      <c r="AI187" s="140">
        <f t="shared" si="27"/>
        <v>3.5400000000000002E-7</v>
      </c>
      <c r="AJ187" s="140">
        <f t="shared" si="28"/>
        <v>4.7200000000000004E-7</v>
      </c>
      <c r="AK187" s="140">
        <f t="shared" si="29"/>
        <v>5.9000000000000007E-7</v>
      </c>
      <c r="AL187" s="157">
        <f t="shared" si="30"/>
        <v>1.2</v>
      </c>
      <c r="AM187" s="156">
        <f t="shared" si="31"/>
        <v>9.9999999999999995E-8</v>
      </c>
      <c r="AO187" s="140">
        <f t="shared" si="32"/>
        <v>1.1800000000000001E-5</v>
      </c>
      <c r="AP187">
        <v>1.18</v>
      </c>
      <c r="AQ187" s="140">
        <f t="shared" si="33"/>
        <v>1.1799999999999997E-7</v>
      </c>
      <c r="AR187" s="140">
        <f t="shared" si="34"/>
        <v>2.3599999999999997E-7</v>
      </c>
      <c r="AS187" s="140">
        <f t="shared" si="35"/>
        <v>3.5400000000000002E-7</v>
      </c>
      <c r="AT187" s="140">
        <f t="shared" si="36"/>
        <v>4.7200000000000004E-7</v>
      </c>
      <c r="AU187" s="140">
        <f t="shared" si="37"/>
        <v>5.9000000000000007E-7</v>
      </c>
      <c r="AV187" s="157">
        <f t="shared" si="38"/>
        <v>1.2</v>
      </c>
      <c r="AW187" s="156">
        <f t="shared" si="39"/>
        <v>9.9999999999999995E-8</v>
      </c>
      <c r="AY187" s="140">
        <f t="shared" si="40"/>
        <v>1.1800000000000001E-5</v>
      </c>
      <c r="AZ187">
        <v>1.18</v>
      </c>
      <c r="BA187" s="140">
        <f t="shared" si="41"/>
        <v>1.1799999999999997E-7</v>
      </c>
      <c r="BB187" s="140">
        <f t="shared" si="42"/>
        <v>2.3599999999999997E-7</v>
      </c>
      <c r="BC187" s="140">
        <f t="shared" si="43"/>
        <v>3.5400000000000002E-7</v>
      </c>
      <c r="BD187" s="140">
        <f t="shared" si="44"/>
        <v>4.7200000000000004E-7</v>
      </c>
      <c r="BE187" s="140">
        <f t="shared" si="45"/>
        <v>5.9000000000000007E-7</v>
      </c>
      <c r="BF187" s="157">
        <f>IF(AY187&lt;$B$89*DATA!$H$1037,DATA!$H$1037,IF(AY187&gt;DATA!$H$1036*$B$89,DATA!$H$1036,1))</f>
        <v>1.2</v>
      </c>
      <c r="BG187" s="156">
        <f t="shared" si="46"/>
        <v>9.9999999999999995E-8</v>
      </c>
      <c r="BI187" s="140">
        <f t="shared" si="47"/>
        <v>1.1800000000000001E-5</v>
      </c>
      <c r="BJ187">
        <v>1.18</v>
      </c>
      <c r="BK187" s="140">
        <f t="shared" si="48"/>
        <v>1.1799999999999997E-7</v>
      </c>
      <c r="BL187" s="140">
        <f t="shared" si="49"/>
        <v>2.3599999999999997E-7</v>
      </c>
      <c r="BM187" s="140">
        <f t="shared" si="50"/>
        <v>3.5400000000000002E-7</v>
      </c>
      <c r="BN187" s="140">
        <f t="shared" si="51"/>
        <v>4.7200000000000004E-7</v>
      </c>
      <c r="BO187" s="140">
        <f t="shared" si="52"/>
        <v>5.9000000000000007E-7</v>
      </c>
      <c r="BP187" s="157">
        <f>IF(BI187&lt;$B$105*DATA!$H$1037,DATA!$H$1037,IF(BI187&gt;DATA!$H$1036*$B$105,DATA!$H$1036,1))</f>
        <v>1.2</v>
      </c>
      <c r="BQ187" s="156">
        <f t="shared" si="53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55"/>
        <v>1.1999999999999996E-7</v>
      </c>
      <c r="D188" s="140">
        <f t="shared" si="55"/>
        <v>2.3999999999999998E-7</v>
      </c>
      <c r="E188" s="140">
        <f t="shared" si="55"/>
        <v>3.5999999999999999E-7</v>
      </c>
      <c r="F188" s="140">
        <f t="shared" si="55"/>
        <v>4.8000000000000006E-7</v>
      </c>
      <c r="G188" s="140">
        <f t="shared" si="55"/>
        <v>6.0000000000000008E-7</v>
      </c>
      <c r="H188" s="124">
        <f t="shared" si="6"/>
        <v>0.8</v>
      </c>
      <c r="I188" s="156">
        <f t="shared" si="7"/>
        <v>9.9999999999999995E-8</v>
      </c>
      <c r="K188" s="140">
        <f t="shared" si="8"/>
        <v>1.2E-5</v>
      </c>
      <c r="L188">
        <v>1.2</v>
      </c>
      <c r="M188" s="140">
        <f t="shared" si="9"/>
        <v>1.1999999999999996E-7</v>
      </c>
      <c r="N188" s="140">
        <f t="shared" si="10"/>
        <v>2.3999999999999998E-7</v>
      </c>
      <c r="O188" s="140">
        <f t="shared" si="11"/>
        <v>3.5999999999999999E-7</v>
      </c>
      <c r="P188" s="140">
        <f t="shared" si="12"/>
        <v>4.8000000000000006E-7</v>
      </c>
      <c r="Q188" s="140">
        <f t="shared" si="13"/>
        <v>6.0000000000000008E-7</v>
      </c>
      <c r="R188" s="157">
        <f t="shared" si="14"/>
        <v>0.8</v>
      </c>
      <c r="S188" s="156">
        <f t="shared" si="15"/>
        <v>9.9999999999999995E-8</v>
      </c>
      <c r="U188" s="140">
        <f t="shared" si="16"/>
        <v>1.2E-5</v>
      </c>
      <c r="V188">
        <v>1.2</v>
      </c>
      <c r="W188" s="140">
        <f t="shared" si="17"/>
        <v>1.1999999999999996E-7</v>
      </c>
      <c r="X188" s="140">
        <f t="shared" si="18"/>
        <v>2.3999999999999998E-7</v>
      </c>
      <c r="Y188" s="140">
        <f t="shared" si="19"/>
        <v>3.5999999999999999E-7</v>
      </c>
      <c r="Z188" s="140">
        <f t="shared" si="20"/>
        <v>4.8000000000000006E-7</v>
      </c>
      <c r="AA188" s="140">
        <f t="shared" si="21"/>
        <v>6.0000000000000008E-7</v>
      </c>
      <c r="AB188" s="157">
        <f t="shared" si="22"/>
        <v>0.8</v>
      </c>
      <c r="AC188" s="156">
        <f t="shared" si="23"/>
        <v>9.9999999999999995E-8</v>
      </c>
      <c r="AE188" s="140">
        <f t="shared" si="24"/>
        <v>1.2E-5</v>
      </c>
      <c r="AF188">
        <v>1.2</v>
      </c>
      <c r="AG188" s="140">
        <f t="shared" si="25"/>
        <v>1.1999999999999996E-7</v>
      </c>
      <c r="AH188" s="140">
        <f t="shared" si="26"/>
        <v>2.3999999999999998E-7</v>
      </c>
      <c r="AI188" s="140">
        <f t="shared" si="27"/>
        <v>3.5999999999999999E-7</v>
      </c>
      <c r="AJ188" s="140">
        <f t="shared" si="28"/>
        <v>4.8000000000000006E-7</v>
      </c>
      <c r="AK188" s="140">
        <f t="shared" si="29"/>
        <v>6.0000000000000008E-7</v>
      </c>
      <c r="AL188" s="157">
        <f t="shared" si="30"/>
        <v>1.2</v>
      </c>
      <c r="AM188" s="156">
        <f t="shared" si="31"/>
        <v>9.9999999999999995E-8</v>
      </c>
      <c r="AO188" s="140">
        <f t="shared" si="32"/>
        <v>1.2E-5</v>
      </c>
      <c r="AP188">
        <v>1.2</v>
      </c>
      <c r="AQ188" s="140">
        <f t="shared" si="33"/>
        <v>1.1999999999999996E-7</v>
      </c>
      <c r="AR188" s="140">
        <f t="shared" si="34"/>
        <v>2.3999999999999998E-7</v>
      </c>
      <c r="AS188" s="140">
        <f t="shared" si="35"/>
        <v>3.5999999999999999E-7</v>
      </c>
      <c r="AT188" s="140">
        <f t="shared" si="36"/>
        <v>4.8000000000000006E-7</v>
      </c>
      <c r="AU188" s="140">
        <f t="shared" si="37"/>
        <v>6.0000000000000008E-7</v>
      </c>
      <c r="AV188" s="157">
        <f t="shared" si="38"/>
        <v>1.2</v>
      </c>
      <c r="AW188" s="156">
        <f t="shared" si="39"/>
        <v>9.9999999999999995E-8</v>
      </c>
      <c r="AY188" s="140">
        <f t="shared" si="40"/>
        <v>1.2E-5</v>
      </c>
      <c r="AZ188">
        <v>1.2</v>
      </c>
      <c r="BA188" s="140">
        <f t="shared" si="41"/>
        <v>1.1999999999999996E-7</v>
      </c>
      <c r="BB188" s="140">
        <f t="shared" si="42"/>
        <v>2.3999999999999998E-7</v>
      </c>
      <c r="BC188" s="140">
        <f t="shared" si="43"/>
        <v>3.5999999999999999E-7</v>
      </c>
      <c r="BD188" s="140">
        <f t="shared" si="44"/>
        <v>4.8000000000000006E-7</v>
      </c>
      <c r="BE188" s="140">
        <f t="shared" si="45"/>
        <v>6.0000000000000008E-7</v>
      </c>
      <c r="BF188" s="157">
        <f>IF(AY188&lt;$B$89*DATA!$H$1037,DATA!$H$1037,IF(AY188&gt;DATA!$H$1036*$B$89,DATA!$H$1036,1))</f>
        <v>1.2</v>
      </c>
      <c r="BG188" s="156">
        <f t="shared" si="46"/>
        <v>9.9999999999999995E-8</v>
      </c>
      <c r="BI188" s="140">
        <f t="shared" si="47"/>
        <v>1.2E-5</v>
      </c>
      <c r="BJ188">
        <v>1.2</v>
      </c>
      <c r="BK188" s="140">
        <f t="shared" si="48"/>
        <v>1.1999999999999996E-7</v>
      </c>
      <c r="BL188" s="140">
        <f t="shared" si="49"/>
        <v>2.3999999999999998E-7</v>
      </c>
      <c r="BM188" s="140">
        <f t="shared" si="50"/>
        <v>3.5999999999999999E-7</v>
      </c>
      <c r="BN188" s="140">
        <f t="shared" si="51"/>
        <v>4.8000000000000006E-7</v>
      </c>
      <c r="BO188" s="140">
        <f t="shared" si="52"/>
        <v>6.0000000000000008E-7</v>
      </c>
      <c r="BP188" s="157">
        <f>IF(BI188&lt;$B$105*DATA!$H$1037,DATA!$H$1037,IF(BI188&gt;DATA!$H$1036*$B$105,DATA!$H$1036,1))</f>
        <v>1.2</v>
      </c>
      <c r="BQ188" s="156">
        <f t="shared" si="53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55"/>
        <v>1.2199999999999995E-7</v>
      </c>
      <c r="D189" s="140">
        <f t="shared" si="55"/>
        <v>2.4399999999999996E-7</v>
      </c>
      <c r="E189" s="140">
        <f t="shared" si="55"/>
        <v>3.6599999999999997E-7</v>
      </c>
      <c r="F189" s="140">
        <f t="shared" si="55"/>
        <v>4.8800000000000003E-7</v>
      </c>
      <c r="G189" s="140">
        <f t="shared" si="55"/>
        <v>6.1000000000000009E-7</v>
      </c>
      <c r="H189" s="124">
        <f t="shared" si="6"/>
        <v>0.8</v>
      </c>
      <c r="I189" s="156">
        <f t="shared" si="7"/>
        <v>9.9999999999999995E-8</v>
      </c>
      <c r="K189" s="140">
        <f t="shared" si="8"/>
        <v>1.22E-5</v>
      </c>
      <c r="L189">
        <v>1.22</v>
      </c>
      <c r="M189" s="140">
        <f t="shared" si="9"/>
        <v>1.2199999999999995E-7</v>
      </c>
      <c r="N189" s="140">
        <f t="shared" si="10"/>
        <v>2.4399999999999996E-7</v>
      </c>
      <c r="O189" s="140">
        <f t="shared" si="11"/>
        <v>3.6599999999999997E-7</v>
      </c>
      <c r="P189" s="140">
        <f t="shared" si="12"/>
        <v>4.8800000000000003E-7</v>
      </c>
      <c r="Q189" s="140">
        <f t="shared" si="13"/>
        <v>6.1000000000000009E-7</v>
      </c>
      <c r="R189" s="157">
        <f t="shared" si="14"/>
        <v>0.8</v>
      </c>
      <c r="S189" s="156">
        <f t="shared" si="15"/>
        <v>9.9999999999999995E-8</v>
      </c>
      <c r="U189" s="140">
        <f t="shared" si="16"/>
        <v>1.22E-5</v>
      </c>
      <c r="V189">
        <v>1.22</v>
      </c>
      <c r="W189" s="140">
        <f t="shared" si="17"/>
        <v>1.2199999999999995E-7</v>
      </c>
      <c r="X189" s="140">
        <f t="shared" si="18"/>
        <v>2.4399999999999996E-7</v>
      </c>
      <c r="Y189" s="140">
        <f t="shared" si="19"/>
        <v>3.6599999999999997E-7</v>
      </c>
      <c r="Z189" s="140">
        <f t="shared" si="20"/>
        <v>4.8800000000000003E-7</v>
      </c>
      <c r="AA189" s="140">
        <f t="shared" si="21"/>
        <v>6.1000000000000009E-7</v>
      </c>
      <c r="AB189" s="157">
        <f t="shared" si="22"/>
        <v>0.8</v>
      </c>
      <c r="AC189" s="156">
        <f t="shared" si="23"/>
        <v>9.9999999999999995E-8</v>
      </c>
      <c r="AE189" s="140">
        <f t="shared" si="24"/>
        <v>1.22E-5</v>
      </c>
      <c r="AF189">
        <v>1.22</v>
      </c>
      <c r="AG189" s="140">
        <f t="shared" si="25"/>
        <v>1.2199999999999995E-7</v>
      </c>
      <c r="AH189" s="140">
        <f t="shared" si="26"/>
        <v>2.4399999999999996E-7</v>
      </c>
      <c r="AI189" s="140">
        <f t="shared" si="27"/>
        <v>3.6599999999999997E-7</v>
      </c>
      <c r="AJ189" s="140">
        <f t="shared" si="28"/>
        <v>4.8800000000000003E-7</v>
      </c>
      <c r="AK189" s="140">
        <f t="shared" si="29"/>
        <v>6.1000000000000009E-7</v>
      </c>
      <c r="AL189" s="157">
        <f t="shared" si="30"/>
        <v>1.2</v>
      </c>
      <c r="AM189" s="156">
        <f t="shared" si="31"/>
        <v>9.9999999999999995E-8</v>
      </c>
      <c r="AO189" s="140">
        <f t="shared" si="32"/>
        <v>1.22E-5</v>
      </c>
      <c r="AP189">
        <v>1.22</v>
      </c>
      <c r="AQ189" s="140">
        <f t="shared" si="33"/>
        <v>1.2199999999999995E-7</v>
      </c>
      <c r="AR189" s="140">
        <f t="shared" si="34"/>
        <v>2.4399999999999996E-7</v>
      </c>
      <c r="AS189" s="140">
        <f t="shared" si="35"/>
        <v>3.6599999999999997E-7</v>
      </c>
      <c r="AT189" s="140">
        <f t="shared" si="36"/>
        <v>4.8800000000000003E-7</v>
      </c>
      <c r="AU189" s="140">
        <f t="shared" si="37"/>
        <v>6.1000000000000009E-7</v>
      </c>
      <c r="AV189" s="157">
        <f t="shared" si="38"/>
        <v>1.2</v>
      </c>
      <c r="AW189" s="156">
        <f t="shared" si="39"/>
        <v>9.9999999999999995E-8</v>
      </c>
      <c r="AY189" s="140">
        <f t="shared" si="40"/>
        <v>1.22E-5</v>
      </c>
      <c r="AZ189">
        <v>1.22</v>
      </c>
      <c r="BA189" s="140">
        <f t="shared" si="41"/>
        <v>1.2199999999999995E-7</v>
      </c>
      <c r="BB189" s="140">
        <f t="shared" si="42"/>
        <v>2.4399999999999996E-7</v>
      </c>
      <c r="BC189" s="140">
        <f t="shared" si="43"/>
        <v>3.6599999999999997E-7</v>
      </c>
      <c r="BD189" s="140">
        <f t="shared" si="44"/>
        <v>4.8800000000000003E-7</v>
      </c>
      <c r="BE189" s="140">
        <f t="shared" si="45"/>
        <v>6.1000000000000009E-7</v>
      </c>
      <c r="BF189" s="157">
        <f>IF(AY189&lt;$B$89*DATA!$H$1037,DATA!$H$1037,IF(AY189&gt;DATA!$H$1036*$B$89,DATA!$H$1036,1))</f>
        <v>1.2</v>
      </c>
      <c r="BG189" s="156">
        <f t="shared" si="46"/>
        <v>9.9999999999999995E-8</v>
      </c>
      <c r="BI189" s="140">
        <f t="shared" si="47"/>
        <v>1.22E-5</v>
      </c>
      <c r="BJ189">
        <v>1.22</v>
      </c>
      <c r="BK189" s="140">
        <f t="shared" si="48"/>
        <v>1.2199999999999995E-7</v>
      </c>
      <c r="BL189" s="140">
        <f t="shared" si="49"/>
        <v>2.4399999999999996E-7</v>
      </c>
      <c r="BM189" s="140">
        <f t="shared" si="50"/>
        <v>3.6599999999999997E-7</v>
      </c>
      <c r="BN189" s="140">
        <f t="shared" si="51"/>
        <v>4.8800000000000003E-7</v>
      </c>
      <c r="BO189" s="140">
        <f t="shared" si="52"/>
        <v>6.1000000000000009E-7</v>
      </c>
      <c r="BP189" s="157">
        <f>IF(BI189&lt;$B$105*DATA!$H$1037,DATA!$H$1037,IF(BI189&gt;DATA!$H$1036*$B$105,DATA!$H$1036,1))</f>
        <v>1.2</v>
      </c>
      <c r="BQ189" s="156">
        <f t="shared" si="53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55"/>
        <v>1.2399999999999997E-7</v>
      </c>
      <c r="D190" s="140">
        <f t="shared" si="55"/>
        <v>2.48E-7</v>
      </c>
      <c r="E190" s="140">
        <f t="shared" si="55"/>
        <v>3.7200000000000005E-7</v>
      </c>
      <c r="F190" s="140">
        <f t="shared" si="55"/>
        <v>4.960000000000001E-7</v>
      </c>
      <c r="G190" s="140">
        <f t="shared" si="55"/>
        <v>6.200000000000001E-7</v>
      </c>
      <c r="H190" s="124">
        <f t="shared" si="6"/>
        <v>0.8</v>
      </c>
      <c r="I190" s="156">
        <f t="shared" si="7"/>
        <v>9.9999999999999995E-8</v>
      </c>
      <c r="K190" s="140">
        <f t="shared" si="8"/>
        <v>1.2400000000000002E-5</v>
      </c>
      <c r="L190">
        <v>1.24</v>
      </c>
      <c r="M190" s="140">
        <f t="shared" si="9"/>
        <v>1.2399999999999997E-7</v>
      </c>
      <c r="N190" s="140">
        <f t="shared" si="10"/>
        <v>2.48E-7</v>
      </c>
      <c r="O190" s="140">
        <f t="shared" si="11"/>
        <v>3.7200000000000005E-7</v>
      </c>
      <c r="P190" s="140">
        <f t="shared" si="12"/>
        <v>4.960000000000001E-7</v>
      </c>
      <c r="Q190" s="140">
        <f t="shared" si="13"/>
        <v>6.200000000000001E-7</v>
      </c>
      <c r="R190" s="157">
        <f t="shared" si="14"/>
        <v>0.8</v>
      </c>
      <c r="S190" s="156">
        <f t="shared" si="15"/>
        <v>9.9999999999999995E-8</v>
      </c>
      <c r="U190" s="140">
        <f t="shared" si="16"/>
        <v>1.2400000000000002E-5</v>
      </c>
      <c r="V190">
        <v>1.24</v>
      </c>
      <c r="W190" s="140">
        <f t="shared" si="17"/>
        <v>1.2399999999999997E-7</v>
      </c>
      <c r="X190" s="140">
        <f t="shared" si="18"/>
        <v>2.48E-7</v>
      </c>
      <c r="Y190" s="140">
        <f t="shared" si="19"/>
        <v>3.7200000000000005E-7</v>
      </c>
      <c r="Z190" s="140">
        <f t="shared" si="20"/>
        <v>4.960000000000001E-7</v>
      </c>
      <c r="AA190" s="140">
        <f t="shared" si="21"/>
        <v>6.200000000000001E-7</v>
      </c>
      <c r="AB190" s="157">
        <f t="shared" si="22"/>
        <v>0.8</v>
      </c>
      <c r="AC190" s="156">
        <f t="shared" si="23"/>
        <v>9.9999999999999995E-8</v>
      </c>
      <c r="AE190" s="140">
        <f t="shared" si="24"/>
        <v>1.2400000000000002E-5</v>
      </c>
      <c r="AF190">
        <v>1.24</v>
      </c>
      <c r="AG190" s="140">
        <f t="shared" si="25"/>
        <v>1.2399999999999997E-7</v>
      </c>
      <c r="AH190" s="140">
        <f t="shared" si="26"/>
        <v>2.48E-7</v>
      </c>
      <c r="AI190" s="140">
        <f t="shared" si="27"/>
        <v>3.7200000000000005E-7</v>
      </c>
      <c r="AJ190" s="140">
        <f t="shared" si="28"/>
        <v>4.960000000000001E-7</v>
      </c>
      <c r="AK190" s="140">
        <f t="shared" si="29"/>
        <v>6.200000000000001E-7</v>
      </c>
      <c r="AL190" s="157">
        <f t="shared" si="30"/>
        <v>1.2</v>
      </c>
      <c r="AM190" s="156">
        <f t="shared" si="31"/>
        <v>9.9999999999999995E-8</v>
      </c>
      <c r="AO190" s="140">
        <f t="shared" si="32"/>
        <v>1.2400000000000002E-5</v>
      </c>
      <c r="AP190">
        <v>1.24</v>
      </c>
      <c r="AQ190" s="140">
        <f t="shared" si="33"/>
        <v>1.2399999999999997E-7</v>
      </c>
      <c r="AR190" s="140">
        <f t="shared" si="34"/>
        <v>2.48E-7</v>
      </c>
      <c r="AS190" s="140">
        <f t="shared" si="35"/>
        <v>3.7200000000000005E-7</v>
      </c>
      <c r="AT190" s="140">
        <f t="shared" si="36"/>
        <v>4.960000000000001E-7</v>
      </c>
      <c r="AU190" s="140">
        <f t="shared" si="37"/>
        <v>6.200000000000001E-7</v>
      </c>
      <c r="AV190" s="157">
        <f t="shared" si="38"/>
        <v>1.2</v>
      </c>
      <c r="AW190" s="156">
        <f t="shared" si="39"/>
        <v>9.9999999999999995E-8</v>
      </c>
      <c r="AY190" s="140">
        <f t="shared" si="40"/>
        <v>1.2400000000000002E-5</v>
      </c>
      <c r="AZ190">
        <v>1.24</v>
      </c>
      <c r="BA190" s="140">
        <f t="shared" si="41"/>
        <v>1.2399999999999997E-7</v>
      </c>
      <c r="BB190" s="140">
        <f t="shared" si="42"/>
        <v>2.48E-7</v>
      </c>
      <c r="BC190" s="140">
        <f t="shared" si="43"/>
        <v>3.7200000000000005E-7</v>
      </c>
      <c r="BD190" s="140">
        <f t="shared" si="44"/>
        <v>4.960000000000001E-7</v>
      </c>
      <c r="BE190" s="140">
        <f t="shared" si="45"/>
        <v>6.200000000000001E-7</v>
      </c>
      <c r="BF190" s="157">
        <f>IF(AY190&lt;$B$89*DATA!$H$1037,DATA!$H$1037,IF(AY190&gt;DATA!$H$1036*$B$89,DATA!$H$1036,1))</f>
        <v>1.2</v>
      </c>
      <c r="BG190" s="156">
        <f t="shared" si="46"/>
        <v>9.9999999999999995E-8</v>
      </c>
      <c r="BI190" s="140">
        <f t="shared" si="47"/>
        <v>1.2400000000000002E-5</v>
      </c>
      <c r="BJ190">
        <v>1.24</v>
      </c>
      <c r="BK190" s="140">
        <f t="shared" si="48"/>
        <v>1.2399999999999997E-7</v>
      </c>
      <c r="BL190" s="140">
        <f t="shared" si="49"/>
        <v>2.48E-7</v>
      </c>
      <c r="BM190" s="140">
        <f t="shared" si="50"/>
        <v>3.7200000000000005E-7</v>
      </c>
      <c r="BN190" s="140">
        <f t="shared" si="51"/>
        <v>4.960000000000001E-7</v>
      </c>
      <c r="BO190" s="140">
        <f t="shared" si="52"/>
        <v>6.200000000000001E-7</v>
      </c>
      <c r="BP190" s="157">
        <f>IF(BI190&lt;$B$105*DATA!$H$1037,DATA!$H$1037,IF(BI190&gt;DATA!$H$1036*$B$105,DATA!$H$1036,1))</f>
        <v>1.2</v>
      </c>
      <c r="BQ190" s="156">
        <f t="shared" si="53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ref="C191:G206" si="56">C$142*$A191</f>
        <v>1.2599999999999996E-7</v>
      </c>
      <c r="D191" s="140">
        <f t="shared" si="56"/>
        <v>2.5199999999999998E-7</v>
      </c>
      <c r="E191" s="140">
        <f t="shared" si="56"/>
        <v>3.7800000000000002E-7</v>
      </c>
      <c r="F191" s="140">
        <f t="shared" si="56"/>
        <v>5.0400000000000007E-7</v>
      </c>
      <c r="G191" s="140">
        <f t="shared" si="56"/>
        <v>6.3000000000000011E-7</v>
      </c>
      <c r="H191" s="124">
        <f t="shared" si="6"/>
        <v>0.8</v>
      </c>
      <c r="I191" s="156">
        <f t="shared" si="7"/>
        <v>9.9999999999999995E-8</v>
      </c>
      <c r="K191" s="140">
        <f t="shared" si="8"/>
        <v>1.2600000000000001E-5</v>
      </c>
      <c r="L191">
        <v>1.26</v>
      </c>
      <c r="M191" s="140">
        <f t="shared" si="9"/>
        <v>1.2599999999999996E-7</v>
      </c>
      <c r="N191" s="140">
        <f t="shared" si="10"/>
        <v>2.5199999999999998E-7</v>
      </c>
      <c r="O191" s="140">
        <f t="shared" si="11"/>
        <v>3.7800000000000002E-7</v>
      </c>
      <c r="P191" s="140">
        <f t="shared" si="12"/>
        <v>5.0400000000000007E-7</v>
      </c>
      <c r="Q191" s="140">
        <f t="shared" si="13"/>
        <v>6.3000000000000011E-7</v>
      </c>
      <c r="R191" s="157">
        <f t="shared" si="14"/>
        <v>0.8</v>
      </c>
      <c r="S191" s="156">
        <f t="shared" si="15"/>
        <v>9.9999999999999995E-8</v>
      </c>
      <c r="U191" s="140">
        <f t="shared" si="16"/>
        <v>1.2600000000000001E-5</v>
      </c>
      <c r="V191">
        <v>1.26</v>
      </c>
      <c r="W191" s="140">
        <f t="shared" si="17"/>
        <v>1.2599999999999996E-7</v>
      </c>
      <c r="X191" s="140">
        <f t="shared" si="18"/>
        <v>2.5199999999999998E-7</v>
      </c>
      <c r="Y191" s="140">
        <f t="shared" si="19"/>
        <v>3.7800000000000002E-7</v>
      </c>
      <c r="Z191" s="140">
        <f t="shared" si="20"/>
        <v>5.0400000000000007E-7</v>
      </c>
      <c r="AA191" s="140">
        <f t="shared" si="21"/>
        <v>6.3000000000000011E-7</v>
      </c>
      <c r="AB191" s="157">
        <f t="shared" si="22"/>
        <v>0.8</v>
      </c>
      <c r="AC191" s="156">
        <f t="shared" si="23"/>
        <v>9.9999999999999995E-8</v>
      </c>
      <c r="AE191" s="140">
        <f t="shared" si="24"/>
        <v>1.2600000000000001E-5</v>
      </c>
      <c r="AF191">
        <v>1.26</v>
      </c>
      <c r="AG191" s="140">
        <f t="shared" si="25"/>
        <v>1.2599999999999996E-7</v>
      </c>
      <c r="AH191" s="140">
        <f t="shared" si="26"/>
        <v>2.5199999999999998E-7</v>
      </c>
      <c r="AI191" s="140">
        <f t="shared" si="27"/>
        <v>3.7800000000000002E-7</v>
      </c>
      <c r="AJ191" s="140">
        <f t="shared" si="28"/>
        <v>5.0400000000000007E-7</v>
      </c>
      <c r="AK191" s="140">
        <f t="shared" si="29"/>
        <v>6.3000000000000011E-7</v>
      </c>
      <c r="AL191" s="157">
        <f t="shared" si="30"/>
        <v>1.2</v>
      </c>
      <c r="AM191" s="156">
        <f t="shared" si="31"/>
        <v>9.9999999999999995E-8</v>
      </c>
      <c r="AO191" s="140">
        <f t="shared" si="32"/>
        <v>1.2600000000000001E-5</v>
      </c>
      <c r="AP191">
        <v>1.26</v>
      </c>
      <c r="AQ191" s="140">
        <f t="shared" si="33"/>
        <v>1.2599999999999996E-7</v>
      </c>
      <c r="AR191" s="140">
        <f t="shared" si="34"/>
        <v>2.5199999999999998E-7</v>
      </c>
      <c r="AS191" s="140">
        <f t="shared" si="35"/>
        <v>3.7800000000000002E-7</v>
      </c>
      <c r="AT191" s="140">
        <f t="shared" si="36"/>
        <v>5.0400000000000007E-7</v>
      </c>
      <c r="AU191" s="140">
        <f t="shared" si="37"/>
        <v>6.3000000000000011E-7</v>
      </c>
      <c r="AV191" s="157">
        <f t="shared" si="38"/>
        <v>1.2</v>
      </c>
      <c r="AW191" s="156">
        <f t="shared" si="39"/>
        <v>9.9999999999999995E-8</v>
      </c>
      <c r="AY191" s="140">
        <f t="shared" si="40"/>
        <v>1.2600000000000001E-5</v>
      </c>
      <c r="AZ191">
        <v>1.26</v>
      </c>
      <c r="BA191" s="140">
        <f t="shared" si="41"/>
        <v>1.2599999999999996E-7</v>
      </c>
      <c r="BB191" s="140">
        <f t="shared" si="42"/>
        <v>2.5199999999999998E-7</v>
      </c>
      <c r="BC191" s="140">
        <f t="shared" si="43"/>
        <v>3.7800000000000002E-7</v>
      </c>
      <c r="BD191" s="140">
        <f t="shared" si="44"/>
        <v>5.0400000000000007E-7</v>
      </c>
      <c r="BE191" s="140">
        <f t="shared" si="45"/>
        <v>6.3000000000000011E-7</v>
      </c>
      <c r="BF191" s="157">
        <f>IF(AY191&lt;$B$89*DATA!$H$1037,DATA!$H$1037,IF(AY191&gt;DATA!$H$1036*$B$89,DATA!$H$1036,1))</f>
        <v>1.2</v>
      </c>
      <c r="BG191" s="156">
        <f t="shared" si="46"/>
        <v>9.9999999999999995E-8</v>
      </c>
      <c r="BI191" s="140">
        <f t="shared" si="47"/>
        <v>1.2600000000000001E-5</v>
      </c>
      <c r="BJ191">
        <v>1.26</v>
      </c>
      <c r="BK191" s="140">
        <f t="shared" si="48"/>
        <v>1.2599999999999996E-7</v>
      </c>
      <c r="BL191" s="140">
        <f t="shared" si="49"/>
        <v>2.5199999999999998E-7</v>
      </c>
      <c r="BM191" s="140">
        <f t="shared" si="50"/>
        <v>3.7800000000000002E-7</v>
      </c>
      <c r="BN191" s="140">
        <f t="shared" si="51"/>
        <v>5.0400000000000007E-7</v>
      </c>
      <c r="BO191" s="140">
        <f t="shared" si="52"/>
        <v>6.3000000000000011E-7</v>
      </c>
      <c r="BP191" s="157">
        <f>IF(BI191&lt;$B$105*DATA!$H$1037,DATA!$H$1037,IF(BI191&gt;DATA!$H$1036*$B$105,DATA!$H$1036,1))</f>
        <v>1.2</v>
      </c>
      <c r="BQ191" s="156">
        <f t="shared" si="53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56"/>
        <v>1.2799999999999998E-7</v>
      </c>
      <c r="D192" s="140">
        <f t="shared" si="56"/>
        <v>2.5599999999999996E-7</v>
      </c>
      <c r="E192" s="140">
        <f t="shared" si="56"/>
        <v>3.84E-7</v>
      </c>
      <c r="F192" s="140">
        <f t="shared" si="56"/>
        <v>5.1200000000000003E-7</v>
      </c>
      <c r="G192" s="140">
        <f t="shared" si="56"/>
        <v>6.4000000000000012E-7</v>
      </c>
      <c r="H192" s="124">
        <f t="shared" si="6"/>
        <v>0.8</v>
      </c>
      <c r="I192" s="156">
        <f t="shared" si="7"/>
        <v>9.9999999999999995E-8</v>
      </c>
      <c r="K192" s="140">
        <f t="shared" si="8"/>
        <v>1.2800000000000001E-5</v>
      </c>
      <c r="L192">
        <v>1.28</v>
      </c>
      <c r="M192" s="140">
        <f t="shared" si="9"/>
        <v>1.2799999999999998E-7</v>
      </c>
      <c r="N192" s="140">
        <f t="shared" si="10"/>
        <v>2.5599999999999996E-7</v>
      </c>
      <c r="O192" s="140">
        <f t="shared" si="11"/>
        <v>3.84E-7</v>
      </c>
      <c r="P192" s="140">
        <f t="shared" si="12"/>
        <v>5.1200000000000003E-7</v>
      </c>
      <c r="Q192" s="140">
        <f t="shared" si="13"/>
        <v>6.4000000000000012E-7</v>
      </c>
      <c r="R192" s="157">
        <f t="shared" si="14"/>
        <v>0.8</v>
      </c>
      <c r="S192" s="156">
        <f t="shared" si="15"/>
        <v>9.9999999999999995E-8</v>
      </c>
      <c r="U192" s="140">
        <f t="shared" si="16"/>
        <v>1.2800000000000001E-5</v>
      </c>
      <c r="V192">
        <v>1.28</v>
      </c>
      <c r="W192" s="140">
        <f t="shared" si="17"/>
        <v>1.2799999999999998E-7</v>
      </c>
      <c r="X192" s="140">
        <f t="shared" si="18"/>
        <v>2.5599999999999996E-7</v>
      </c>
      <c r="Y192" s="140">
        <f t="shared" si="19"/>
        <v>3.84E-7</v>
      </c>
      <c r="Z192" s="140">
        <f t="shared" si="20"/>
        <v>5.1200000000000003E-7</v>
      </c>
      <c r="AA192" s="140">
        <f t="shared" si="21"/>
        <v>6.4000000000000012E-7</v>
      </c>
      <c r="AB192" s="157">
        <f t="shared" si="22"/>
        <v>0.8</v>
      </c>
      <c r="AC192" s="156">
        <f t="shared" si="23"/>
        <v>9.9999999999999995E-8</v>
      </c>
      <c r="AE192" s="140">
        <f t="shared" si="24"/>
        <v>1.2800000000000001E-5</v>
      </c>
      <c r="AF192">
        <v>1.28</v>
      </c>
      <c r="AG192" s="140">
        <f t="shared" si="25"/>
        <v>1.2799999999999998E-7</v>
      </c>
      <c r="AH192" s="140">
        <f t="shared" si="26"/>
        <v>2.5599999999999996E-7</v>
      </c>
      <c r="AI192" s="140">
        <f t="shared" si="27"/>
        <v>3.84E-7</v>
      </c>
      <c r="AJ192" s="140">
        <f t="shared" si="28"/>
        <v>5.1200000000000003E-7</v>
      </c>
      <c r="AK192" s="140">
        <f t="shared" si="29"/>
        <v>6.4000000000000012E-7</v>
      </c>
      <c r="AL192" s="157">
        <f t="shared" si="30"/>
        <v>1.2</v>
      </c>
      <c r="AM192" s="156">
        <f t="shared" si="31"/>
        <v>9.9999999999999995E-8</v>
      </c>
      <c r="AO192" s="140">
        <f t="shared" si="32"/>
        <v>1.2800000000000001E-5</v>
      </c>
      <c r="AP192">
        <v>1.28</v>
      </c>
      <c r="AQ192" s="140">
        <f t="shared" si="33"/>
        <v>1.2799999999999998E-7</v>
      </c>
      <c r="AR192" s="140">
        <f t="shared" si="34"/>
        <v>2.5599999999999996E-7</v>
      </c>
      <c r="AS192" s="140">
        <f t="shared" si="35"/>
        <v>3.84E-7</v>
      </c>
      <c r="AT192" s="140">
        <f t="shared" si="36"/>
        <v>5.1200000000000003E-7</v>
      </c>
      <c r="AU192" s="140">
        <f t="shared" si="37"/>
        <v>6.4000000000000012E-7</v>
      </c>
      <c r="AV192" s="157">
        <f t="shared" si="38"/>
        <v>1.2</v>
      </c>
      <c r="AW192" s="156">
        <f t="shared" si="39"/>
        <v>9.9999999999999995E-8</v>
      </c>
      <c r="AY192" s="140">
        <f t="shared" si="40"/>
        <v>1.2800000000000001E-5</v>
      </c>
      <c r="AZ192">
        <v>1.28</v>
      </c>
      <c r="BA192" s="140">
        <f t="shared" si="41"/>
        <v>1.2799999999999998E-7</v>
      </c>
      <c r="BB192" s="140">
        <f t="shared" si="42"/>
        <v>2.5599999999999996E-7</v>
      </c>
      <c r="BC192" s="140">
        <f t="shared" si="43"/>
        <v>3.84E-7</v>
      </c>
      <c r="BD192" s="140">
        <f t="shared" si="44"/>
        <v>5.1200000000000003E-7</v>
      </c>
      <c r="BE192" s="140">
        <f t="shared" si="45"/>
        <v>6.4000000000000012E-7</v>
      </c>
      <c r="BF192" s="157">
        <f>IF(AY192&lt;$B$89*DATA!$H$1037,DATA!$H$1037,IF(AY192&gt;DATA!$H$1036*$B$89,DATA!$H$1036,1))</f>
        <v>1.2</v>
      </c>
      <c r="BG192" s="156">
        <f t="shared" si="46"/>
        <v>9.9999999999999995E-8</v>
      </c>
      <c r="BI192" s="140">
        <f t="shared" si="47"/>
        <v>1.2800000000000001E-5</v>
      </c>
      <c r="BJ192">
        <v>1.28</v>
      </c>
      <c r="BK192" s="140">
        <f t="shared" si="48"/>
        <v>1.2799999999999998E-7</v>
      </c>
      <c r="BL192" s="140">
        <f t="shared" si="49"/>
        <v>2.5599999999999996E-7</v>
      </c>
      <c r="BM192" s="140">
        <f t="shared" si="50"/>
        <v>3.84E-7</v>
      </c>
      <c r="BN192" s="140">
        <f t="shared" si="51"/>
        <v>5.1200000000000003E-7</v>
      </c>
      <c r="BO192" s="140">
        <f t="shared" si="52"/>
        <v>6.4000000000000012E-7</v>
      </c>
      <c r="BP192" s="157">
        <f>IF(BI192&lt;$B$105*DATA!$H$1037,DATA!$H$1037,IF(BI192&gt;DATA!$H$1036*$B$105,DATA!$H$1036,1))</f>
        <v>1.2</v>
      </c>
      <c r="BQ192" s="156">
        <f t="shared" si="53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56"/>
        <v>1.2999999999999997E-7</v>
      </c>
      <c r="D193" s="140">
        <f t="shared" si="56"/>
        <v>2.6E-7</v>
      </c>
      <c r="E193" s="140">
        <f t="shared" si="56"/>
        <v>3.9000000000000002E-7</v>
      </c>
      <c r="F193" s="140">
        <f t="shared" si="56"/>
        <v>5.2E-7</v>
      </c>
      <c r="G193" s="140">
        <f t="shared" si="56"/>
        <v>6.5000000000000013E-7</v>
      </c>
      <c r="H193" s="124">
        <f t="shared" si="6"/>
        <v>0.8</v>
      </c>
      <c r="I193" s="156">
        <f t="shared" si="7"/>
        <v>9.9999999999999995E-8</v>
      </c>
      <c r="K193" s="140">
        <f t="shared" si="8"/>
        <v>1.3000000000000001E-5</v>
      </c>
      <c r="L193">
        <v>1.3</v>
      </c>
      <c r="M193" s="140">
        <f t="shared" si="9"/>
        <v>1.2999999999999997E-7</v>
      </c>
      <c r="N193" s="140">
        <f t="shared" si="10"/>
        <v>2.6E-7</v>
      </c>
      <c r="O193" s="140">
        <f t="shared" si="11"/>
        <v>3.9000000000000002E-7</v>
      </c>
      <c r="P193" s="140">
        <f t="shared" si="12"/>
        <v>5.2E-7</v>
      </c>
      <c r="Q193" s="140">
        <f t="shared" si="13"/>
        <v>6.5000000000000013E-7</v>
      </c>
      <c r="R193" s="157">
        <f t="shared" si="14"/>
        <v>0.8</v>
      </c>
      <c r="S193" s="156">
        <f t="shared" si="15"/>
        <v>9.9999999999999995E-8</v>
      </c>
      <c r="U193" s="140">
        <f t="shared" si="16"/>
        <v>1.3000000000000001E-5</v>
      </c>
      <c r="V193">
        <v>1.3</v>
      </c>
      <c r="W193" s="140">
        <f t="shared" si="17"/>
        <v>1.2999999999999997E-7</v>
      </c>
      <c r="X193" s="140">
        <f t="shared" si="18"/>
        <v>2.6E-7</v>
      </c>
      <c r="Y193" s="140">
        <f t="shared" si="19"/>
        <v>3.9000000000000002E-7</v>
      </c>
      <c r="Z193" s="140">
        <f t="shared" si="20"/>
        <v>5.2E-7</v>
      </c>
      <c r="AA193" s="140">
        <f t="shared" si="21"/>
        <v>6.5000000000000013E-7</v>
      </c>
      <c r="AB193" s="157">
        <f t="shared" si="22"/>
        <v>0.8</v>
      </c>
      <c r="AC193" s="156">
        <f t="shared" si="23"/>
        <v>9.9999999999999995E-8</v>
      </c>
      <c r="AE193" s="140">
        <f t="shared" si="24"/>
        <v>1.3000000000000001E-5</v>
      </c>
      <c r="AF193">
        <v>1.3</v>
      </c>
      <c r="AG193" s="140">
        <f t="shared" si="25"/>
        <v>1.2999999999999997E-7</v>
      </c>
      <c r="AH193" s="140">
        <f t="shared" si="26"/>
        <v>2.6E-7</v>
      </c>
      <c r="AI193" s="140">
        <f t="shared" si="27"/>
        <v>3.9000000000000002E-7</v>
      </c>
      <c r="AJ193" s="140">
        <f t="shared" si="28"/>
        <v>5.2E-7</v>
      </c>
      <c r="AK193" s="140">
        <f t="shared" si="29"/>
        <v>6.5000000000000013E-7</v>
      </c>
      <c r="AL193" s="157">
        <f t="shared" si="30"/>
        <v>1.2</v>
      </c>
      <c r="AM193" s="156">
        <f t="shared" si="31"/>
        <v>9.9999999999999995E-8</v>
      </c>
      <c r="AO193" s="140">
        <f t="shared" si="32"/>
        <v>1.3000000000000001E-5</v>
      </c>
      <c r="AP193">
        <v>1.3</v>
      </c>
      <c r="AQ193" s="140">
        <f t="shared" si="33"/>
        <v>1.2999999999999997E-7</v>
      </c>
      <c r="AR193" s="140">
        <f t="shared" si="34"/>
        <v>2.6E-7</v>
      </c>
      <c r="AS193" s="140">
        <f t="shared" si="35"/>
        <v>3.9000000000000002E-7</v>
      </c>
      <c r="AT193" s="140">
        <f t="shared" si="36"/>
        <v>5.2E-7</v>
      </c>
      <c r="AU193" s="140">
        <f t="shared" si="37"/>
        <v>6.5000000000000013E-7</v>
      </c>
      <c r="AV193" s="157">
        <f t="shared" si="38"/>
        <v>1.2</v>
      </c>
      <c r="AW193" s="156">
        <f t="shared" si="39"/>
        <v>9.9999999999999995E-8</v>
      </c>
      <c r="AY193" s="140">
        <f t="shared" si="40"/>
        <v>1.3000000000000001E-5</v>
      </c>
      <c r="AZ193">
        <v>1.3</v>
      </c>
      <c r="BA193" s="140">
        <f t="shared" si="41"/>
        <v>1.2999999999999997E-7</v>
      </c>
      <c r="BB193" s="140">
        <f t="shared" si="42"/>
        <v>2.6E-7</v>
      </c>
      <c r="BC193" s="140">
        <f t="shared" si="43"/>
        <v>3.9000000000000002E-7</v>
      </c>
      <c r="BD193" s="140">
        <f t="shared" si="44"/>
        <v>5.2E-7</v>
      </c>
      <c r="BE193" s="140">
        <f t="shared" si="45"/>
        <v>6.5000000000000013E-7</v>
      </c>
      <c r="BF193" s="157">
        <f>IF(AY193&lt;$B$89*DATA!$H$1037,DATA!$H$1037,IF(AY193&gt;DATA!$H$1036*$B$89,DATA!$H$1036,1))</f>
        <v>1.2</v>
      </c>
      <c r="BG193" s="156">
        <f t="shared" si="46"/>
        <v>9.9999999999999995E-8</v>
      </c>
      <c r="BI193" s="140">
        <f t="shared" si="47"/>
        <v>1.3000000000000001E-5</v>
      </c>
      <c r="BJ193">
        <v>1.3</v>
      </c>
      <c r="BK193" s="140">
        <f t="shared" si="48"/>
        <v>1.2999999999999997E-7</v>
      </c>
      <c r="BL193" s="140">
        <f t="shared" si="49"/>
        <v>2.6E-7</v>
      </c>
      <c r="BM193" s="140">
        <f t="shared" si="50"/>
        <v>3.9000000000000002E-7</v>
      </c>
      <c r="BN193" s="140">
        <f t="shared" si="51"/>
        <v>5.2E-7</v>
      </c>
      <c r="BO193" s="140">
        <f t="shared" si="52"/>
        <v>6.5000000000000013E-7</v>
      </c>
      <c r="BP193" s="157">
        <f>IF(BI193&lt;$B$105*DATA!$H$1037,DATA!$H$1037,IF(BI193&gt;DATA!$H$1036*$B$105,DATA!$H$1036,1))</f>
        <v>1.2</v>
      </c>
      <c r="BQ193" s="156">
        <f t="shared" si="53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56"/>
        <v>1.3199999999999999E-7</v>
      </c>
      <c r="D194" s="140">
        <f t="shared" si="56"/>
        <v>2.6399999999999998E-7</v>
      </c>
      <c r="E194" s="140">
        <f t="shared" si="56"/>
        <v>3.9600000000000005E-7</v>
      </c>
      <c r="F194" s="140">
        <f t="shared" si="56"/>
        <v>5.2800000000000007E-7</v>
      </c>
      <c r="G194" s="140">
        <f t="shared" si="56"/>
        <v>6.6000000000000014E-7</v>
      </c>
      <c r="H194" s="124">
        <f t="shared" si="6"/>
        <v>0.8</v>
      </c>
      <c r="I194" s="156">
        <f t="shared" si="7"/>
        <v>9.9999999999999995E-8</v>
      </c>
      <c r="K194" s="140">
        <f t="shared" si="8"/>
        <v>1.3200000000000002E-5</v>
      </c>
      <c r="L194">
        <v>1.32</v>
      </c>
      <c r="M194" s="140">
        <f t="shared" si="9"/>
        <v>1.3199999999999999E-7</v>
      </c>
      <c r="N194" s="140">
        <f t="shared" si="10"/>
        <v>2.6399999999999998E-7</v>
      </c>
      <c r="O194" s="140">
        <f t="shared" si="11"/>
        <v>3.9600000000000005E-7</v>
      </c>
      <c r="P194" s="140">
        <f t="shared" si="12"/>
        <v>5.2800000000000007E-7</v>
      </c>
      <c r="Q194" s="140">
        <f t="shared" si="13"/>
        <v>6.6000000000000014E-7</v>
      </c>
      <c r="R194" s="157">
        <f t="shared" si="14"/>
        <v>0.8</v>
      </c>
      <c r="S194" s="156">
        <f t="shared" si="15"/>
        <v>9.9999999999999995E-8</v>
      </c>
      <c r="U194" s="140">
        <f t="shared" si="16"/>
        <v>1.3200000000000002E-5</v>
      </c>
      <c r="V194">
        <v>1.32</v>
      </c>
      <c r="W194" s="140">
        <f t="shared" si="17"/>
        <v>1.3199999999999999E-7</v>
      </c>
      <c r="X194" s="140">
        <f t="shared" si="18"/>
        <v>2.6399999999999998E-7</v>
      </c>
      <c r="Y194" s="140">
        <f t="shared" si="19"/>
        <v>3.9600000000000005E-7</v>
      </c>
      <c r="Z194" s="140">
        <f t="shared" si="20"/>
        <v>5.2800000000000007E-7</v>
      </c>
      <c r="AA194" s="140">
        <f t="shared" si="21"/>
        <v>6.6000000000000014E-7</v>
      </c>
      <c r="AB194" s="157">
        <f t="shared" si="22"/>
        <v>0.8</v>
      </c>
      <c r="AC194" s="156">
        <f t="shared" si="23"/>
        <v>9.9999999999999995E-8</v>
      </c>
      <c r="AE194" s="140">
        <f t="shared" si="24"/>
        <v>1.3200000000000002E-5</v>
      </c>
      <c r="AF194">
        <v>1.32</v>
      </c>
      <c r="AG194" s="140">
        <f t="shared" si="25"/>
        <v>1.3199999999999999E-7</v>
      </c>
      <c r="AH194" s="140">
        <f t="shared" si="26"/>
        <v>2.6399999999999998E-7</v>
      </c>
      <c r="AI194" s="140">
        <f t="shared" si="27"/>
        <v>3.9600000000000005E-7</v>
      </c>
      <c r="AJ194" s="140">
        <f t="shared" si="28"/>
        <v>5.2800000000000007E-7</v>
      </c>
      <c r="AK194" s="140">
        <f t="shared" si="29"/>
        <v>6.6000000000000014E-7</v>
      </c>
      <c r="AL194" s="157">
        <f t="shared" si="30"/>
        <v>1.2</v>
      </c>
      <c r="AM194" s="156">
        <f t="shared" si="31"/>
        <v>9.9999999999999995E-8</v>
      </c>
      <c r="AO194" s="140">
        <f t="shared" si="32"/>
        <v>1.3200000000000002E-5</v>
      </c>
      <c r="AP194">
        <v>1.32</v>
      </c>
      <c r="AQ194" s="140">
        <f t="shared" si="33"/>
        <v>1.3199999999999999E-7</v>
      </c>
      <c r="AR194" s="140">
        <f t="shared" si="34"/>
        <v>2.6399999999999998E-7</v>
      </c>
      <c r="AS194" s="140">
        <f t="shared" si="35"/>
        <v>3.9600000000000005E-7</v>
      </c>
      <c r="AT194" s="140">
        <f t="shared" si="36"/>
        <v>5.2800000000000007E-7</v>
      </c>
      <c r="AU194" s="140">
        <f t="shared" si="37"/>
        <v>6.6000000000000014E-7</v>
      </c>
      <c r="AV194" s="157">
        <f t="shared" si="38"/>
        <v>1.2</v>
      </c>
      <c r="AW194" s="156">
        <f t="shared" si="39"/>
        <v>9.9999999999999995E-8</v>
      </c>
      <c r="AY194" s="140">
        <f t="shared" si="40"/>
        <v>1.3200000000000002E-5</v>
      </c>
      <c r="AZ194">
        <v>1.32</v>
      </c>
      <c r="BA194" s="140">
        <f t="shared" si="41"/>
        <v>1.3199999999999999E-7</v>
      </c>
      <c r="BB194" s="140">
        <f t="shared" si="42"/>
        <v>2.6399999999999998E-7</v>
      </c>
      <c r="BC194" s="140">
        <f t="shared" si="43"/>
        <v>3.9600000000000005E-7</v>
      </c>
      <c r="BD194" s="140">
        <f t="shared" si="44"/>
        <v>5.2800000000000007E-7</v>
      </c>
      <c r="BE194" s="140">
        <f t="shared" si="45"/>
        <v>6.6000000000000014E-7</v>
      </c>
      <c r="BF194" s="157">
        <f>IF(AY194&lt;$B$89*DATA!$H$1037,DATA!$H$1037,IF(AY194&gt;DATA!$H$1036*$B$89,DATA!$H$1036,1))</f>
        <v>1.2</v>
      </c>
      <c r="BG194" s="156">
        <f t="shared" si="46"/>
        <v>9.9999999999999995E-8</v>
      </c>
      <c r="BI194" s="140">
        <f t="shared" si="47"/>
        <v>1.3200000000000002E-5</v>
      </c>
      <c r="BJ194">
        <v>1.32</v>
      </c>
      <c r="BK194" s="140">
        <f t="shared" si="48"/>
        <v>1.3199999999999999E-7</v>
      </c>
      <c r="BL194" s="140">
        <f t="shared" si="49"/>
        <v>2.6399999999999998E-7</v>
      </c>
      <c r="BM194" s="140">
        <f t="shared" si="50"/>
        <v>3.9600000000000005E-7</v>
      </c>
      <c r="BN194" s="140">
        <f t="shared" si="51"/>
        <v>5.2800000000000007E-7</v>
      </c>
      <c r="BO194" s="140">
        <f t="shared" si="52"/>
        <v>6.6000000000000014E-7</v>
      </c>
      <c r="BP194" s="157">
        <f>IF(BI194&lt;$B$105*DATA!$H$1037,DATA!$H$1037,IF(BI194&gt;DATA!$H$1036*$B$105,DATA!$H$1036,1))</f>
        <v>1.2</v>
      </c>
      <c r="BQ194" s="156">
        <f t="shared" si="53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56"/>
        <v>1.3399999999999998E-7</v>
      </c>
      <c r="D195" s="140">
        <f t="shared" si="56"/>
        <v>2.6800000000000002E-7</v>
      </c>
      <c r="E195" s="140">
        <f t="shared" si="56"/>
        <v>4.0200000000000003E-7</v>
      </c>
      <c r="F195" s="140">
        <f t="shared" si="56"/>
        <v>5.3600000000000014E-7</v>
      </c>
      <c r="G195" s="140">
        <f t="shared" si="56"/>
        <v>6.7000000000000015E-7</v>
      </c>
      <c r="H195" s="124">
        <f t="shared" si="6"/>
        <v>0.8</v>
      </c>
      <c r="I195" s="156">
        <f t="shared" si="7"/>
        <v>9.9999999999999995E-8</v>
      </c>
      <c r="K195" s="140">
        <f t="shared" si="8"/>
        <v>1.3400000000000002E-5</v>
      </c>
      <c r="L195">
        <v>1.34</v>
      </c>
      <c r="M195" s="140">
        <f t="shared" si="9"/>
        <v>1.3399999999999998E-7</v>
      </c>
      <c r="N195" s="140">
        <f t="shared" si="10"/>
        <v>2.6800000000000002E-7</v>
      </c>
      <c r="O195" s="140">
        <f t="shared" si="11"/>
        <v>4.0200000000000003E-7</v>
      </c>
      <c r="P195" s="140">
        <f t="shared" si="12"/>
        <v>5.3600000000000014E-7</v>
      </c>
      <c r="Q195" s="140">
        <f t="shared" si="13"/>
        <v>6.7000000000000015E-7</v>
      </c>
      <c r="R195" s="157">
        <f t="shared" si="14"/>
        <v>0.8</v>
      </c>
      <c r="S195" s="156">
        <f t="shared" si="15"/>
        <v>9.9999999999999995E-8</v>
      </c>
      <c r="U195" s="140">
        <f t="shared" si="16"/>
        <v>1.3400000000000002E-5</v>
      </c>
      <c r="V195">
        <v>1.34</v>
      </c>
      <c r="W195" s="140">
        <f t="shared" si="17"/>
        <v>1.3399999999999998E-7</v>
      </c>
      <c r="X195" s="140">
        <f t="shared" si="18"/>
        <v>2.6800000000000002E-7</v>
      </c>
      <c r="Y195" s="140">
        <f t="shared" si="19"/>
        <v>4.0200000000000003E-7</v>
      </c>
      <c r="Z195" s="140">
        <f t="shared" si="20"/>
        <v>5.3600000000000014E-7</v>
      </c>
      <c r="AA195" s="140">
        <f t="shared" si="21"/>
        <v>6.7000000000000015E-7</v>
      </c>
      <c r="AB195" s="157">
        <f t="shared" si="22"/>
        <v>0.8</v>
      </c>
      <c r="AC195" s="156">
        <f t="shared" si="23"/>
        <v>9.9999999999999995E-8</v>
      </c>
      <c r="AE195" s="140">
        <f t="shared" si="24"/>
        <v>1.3400000000000002E-5</v>
      </c>
      <c r="AF195">
        <v>1.34</v>
      </c>
      <c r="AG195" s="140">
        <f t="shared" si="25"/>
        <v>1.3399999999999998E-7</v>
      </c>
      <c r="AH195" s="140">
        <f t="shared" si="26"/>
        <v>2.6800000000000002E-7</v>
      </c>
      <c r="AI195" s="140">
        <f t="shared" si="27"/>
        <v>4.0200000000000003E-7</v>
      </c>
      <c r="AJ195" s="140">
        <f t="shared" si="28"/>
        <v>5.3600000000000014E-7</v>
      </c>
      <c r="AK195" s="140">
        <f t="shared" si="29"/>
        <v>6.7000000000000015E-7</v>
      </c>
      <c r="AL195" s="157">
        <f t="shared" si="30"/>
        <v>1.2</v>
      </c>
      <c r="AM195" s="156">
        <f t="shared" si="31"/>
        <v>9.9999999999999995E-8</v>
      </c>
      <c r="AO195" s="140">
        <f t="shared" si="32"/>
        <v>1.3400000000000002E-5</v>
      </c>
      <c r="AP195">
        <v>1.34</v>
      </c>
      <c r="AQ195" s="140">
        <f t="shared" si="33"/>
        <v>1.3399999999999998E-7</v>
      </c>
      <c r="AR195" s="140">
        <f t="shared" si="34"/>
        <v>2.6800000000000002E-7</v>
      </c>
      <c r="AS195" s="140">
        <f t="shared" si="35"/>
        <v>4.0200000000000003E-7</v>
      </c>
      <c r="AT195" s="140">
        <f t="shared" si="36"/>
        <v>5.3600000000000014E-7</v>
      </c>
      <c r="AU195" s="140">
        <f t="shared" si="37"/>
        <v>6.7000000000000015E-7</v>
      </c>
      <c r="AV195" s="157">
        <f t="shared" si="38"/>
        <v>1.2</v>
      </c>
      <c r="AW195" s="156">
        <f t="shared" si="39"/>
        <v>9.9999999999999995E-8</v>
      </c>
      <c r="AY195" s="140">
        <f t="shared" si="40"/>
        <v>1.3400000000000002E-5</v>
      </c>
      <c r="AZ195">
        <v>1.34</v>
      </c>
      <c r="BA195" s="140">
        <f t="shared" si="41"/>
        <v>1.3399999999999998E-7</v>
      </c>
      <c r="BB195" s="140">
        <f t="shared" si="42"/>
        <v>2.6800000000000002E-7</v>
      </c>
      <c r="BC195" s="140">
        <f t="shared" si="43"/>
        <v>4.0200000000000003E-7</v>
      </c>
      <c r="BD195" s="140">
        <f t="shared" si="44"/>
        <v>5.3600000000000014E-7</v>
      </c>
      <c r="BE195" s="140">
        <f t="shared" si="45"/>
        <v>6.7000000000000015E-7</v>
      </c>
      <c r="BF195" s="157">
        <f>IF(AY195&lt;$B$89*DATA!$H$1037,DATA!$H$1037,IF(AY195&gt;DATA!$H$1036*$B$89,DATA!$H$1036,1))</f>
        <v>1.2</v>
      </c>
      <c r="BG195" s="156">
        <f t="shared" si="46"/>
        <v>9.9999999999999995E-8</v>
      </c>
      <c r="BI195" s="140">
        <f t="shared" si="47"/>
        <v>1.3400000000000002E-5</v>
      </c>
      <c r="BJ195">
        <v>1.34</v>
      </c>
      <c r="BK195" s="140">
        <f t="shared" si="48"/>
        <v>1.3399999999999998E-7</v>
      </c>
      <c r="BL195" s="140">
        <f t="shared" si="49"/>
        <v>2.6800000000000002E-7</v>
      </c>
      <c r="BM195" s="140">
        <f t="shared" si="50"/>
        <v>4.0200000000000003E-7</v>
      </c>
      <c r="BN195" s="140">
        <f t="shared" si="51"/>
        <v>5.3600000000000014E-7</v>
      </c>
      <c r="BO195" s="140">
        <f t="shared" si="52"/>
        <v>6.7000000000000015E-7</v>
      </c>
      <c r="BP195" s="157">
        <f>IF(BI195&lt;$B$105*DATA!$H$1037,DATA!$H$1037,IF(BI195&gt;DATA!$H$1036*$B$105,DATA!$H$1036,1))</f>
        <v>1.2</v>
      </c>
      <c r="BQ195" s="156">
        <f t="shared" si="53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56"/>
        <v>1.3599999999999997E-7</v>
      </c>
      <c r="D196" s="140">
        <f t="shared" si="56"/>
        <v>2.72E-7</v>
      </c>
      <c r="E196" s="140">
        <f t="shared" si="56"/>
        <v>4.0800000000000005E-7</v>
      </c>
      <c r="F196" s="140">
        <f t="shared" si="56"/>
        <v>5.4400000000000011E-7</v>
      </c>
      <c r="G196" s="140">
        <f t="shared" si="56"/>
        <v>6.8000000000000016E-7</v>
      </c>
      <c r="H196" s="124">
        <f t="shared" si="6"/>
        <v>0.8</v>
      </c>
      <c r="I196" s="156">
        <f t="shared" si="7"/>
        <v>9.9999999999999995E-8</v>
      </c>
      <c r="K196" s="140">
        <f t="shared" si="8"/>
        <v>1.3600000000000002E-5</v>
      </c>
      <c r="L196">
        <v>1.36</v>
      </c>
      <c r="M196" s="140">
        <f t="shared" si="9"/>
        <v>1.3599999999999997E-7</v>
      </c>
      <c r="N196" s="140">
        <f t="shared" si="10"/>
        <v>2.72E-7</v>
      </c>
      <c r="O196" s="140">
        <f t="shared" si="11"/>
        <v>4.0800000000000005E-7</v>
      </c>
      <c r="P196" s="140">
        <f t="shared" si="12"/>
        <v>5.4400000000000011E-7</v>
      </c>
      <c r="Q196" s="140">
        <f t="shared" si="13"/>
        <v>6.8000000000000016E-7</v>
      </c>
      <c r="R196" s="157">
        <f t="shared" si="14"/>
        <v>0.8</v>
      </c>
      <c r="S196" s="156">
        <f t="shared" si="15"/>
        <v>9.9999999999999995E-8</v>
      </c>
      <c r="U196" s="140">
        <f t="shared" si="16"/>
        <v>1.3600000000000002E-5</v>
      </c>
      <c r="V196">
        <v>1.36</v>
      </c>
      <c r="W196" s="140">
        <f t="shared" si="17"/>
        <v>1.3599999999999997E-7</v>
      </c>
      <c r="X196" s="140">
        <f t="shared" si="18"/>
        <v>2.72E-7</v>
      </c>
      <c r="Y196" s="140">
        <f t="shared" si="19"/>
        <v>4.0800000000000005E-7</v>
      </c>
      <c r="Z196" s="140">
        <f t="shared" si="20"/>
        <v>5.4400000000000011E-7</v>
      </c>
      <c r="AA196" s="140">
        <f t="shared" si="21"/>
        <v>6.8000000000000016E-7</v>
      </c>
      <c r="AB196" s="157">
        <f t="shared" si="22"/>
        <v>0.8</v>
      </c>
      <c r="AC196" s="156">
        <f t="shared" si="23"/>
        <v>9.9999999999999995E-8</v>
      </c>
      <c r="AE196" s="140">
        <f t="shared" si="24"/>
        <v>1.3600000000000002E-5</v>
      </c>
      <c r="AF196">
        <v>1.36</v>
      </c>
      <c r="AG196" s="140">
        <f t="shared" si="25"/>
        <v>1.3599999999999997E-7</v>
      </c>
      <c r="AH196" s="140">
        <f t="shared" si="26"/>
        <v>2.72E-7</v>
      </c>
      <c r="AI196" s="140">
        <f t="shared" si="27"/>
        <v>4.0800000000000005E-7</v>
      </c>
      <c r="AJ196" s="140">
        <f t="shared" si="28"/>
        <v>5.4400000000000011E-7</v>
      </c>
      <c r="AK196" s="140">
        <f t="shared" si="29"/>
        <v>6.8000000000000016E-7</v>
      </c>
      <c r="AL196" s="157">
        <f t="shared" si="30"/>
        <v>1.2</v>
      </c>
      <c r="AM196" s="156">
        <f t="shared" si="31"/>
        <v>9.9999999999999995E-8</v>
      </c>
      <c r="AO196" s="140">
        <f t="shared" si="32"/>
        <v>1.3600000000000002E-5</v>
      </c>
      <c r="AP196">
        <v>1.36</v>
      </c>
      <c r="AQ196" s="140">
        <f t="shared" si="33"/>
        <v>1.3599999999999997E-7</v>
      </c>
      <c r="AR196" s="140">
        <f t="shared" si="34"/>
        <v>2.72E-7</v>
      </c>
      <c r="AS196" s="140">
        <f t="shared" si="35"/>
        <v>4.0800000000000005E-7</v>
      </c>
      <c r="AT196" s="140">
        <f t="shared" si="36"/>
        <v>5.4400000000000011E-7</v>
      </c>
      <c r="AU196" s="140">
        <f t="shared" si="37"/>
        <v>6.8000000000000016E-7</v>
      </c>
      <c r="AV196" s="157">
        <f t="shared" si="38"/>
        <v>1.2</v>
      </c>
      <c r="AW196" s="156">
        <f t="shared" si="39"/>
        <v>9.9999999999999995E-8</v>
      </c>
      <c r="AY196" s="140">
        <f t="shared" si="40"/>
        <v>1.3600000000000002E-5</v>
      </c>
      <c r="AZ196">
        <v>1.36</v>
      </c>
      <c r="BA196" s="140">
        <f t="shared" si="41"/>
        <v>1.3599999999999997E-7</v>
      </c>
      <c r="BB196" s="140">
        <f t="shared" si="42"/>
        <v>2.72E-7</v>
      </c>
      <c r="BC196" s="140">
        <f t="shared" si="43"/>
        <v>4.0800000000000005E-7</v>
      </c>
      <c r="BD196" s="140">
        <f t="shared" si="44"/>
        <v>5.4400000000000011E-7</v>
      </c>
      <c r="BE196" s="140">
        <f t="shared" si="45"/>
        <v>6.8000000000000016E-7</v>
      </c>
      <c r="BF196" s="157">
        <f>IF(AY196&lt;$B$89*DATA!$H$1037,DATA!$H$1037,IF(AY196&gt;DATA!$H$1036*$B$89,DATA!$H$1036,1))</f>
        <v>1.2</v>
      </c>
      <c r="BG196" s="156">
        <f t="shared" si="46"/>
        <v>9.9999999999999995E-8</v>
      </c>
      <c r="BI196" s="140">
        <f t="shared" si="47"/>
        <v>1.3600000000000002E-5</v>
      </c>
      <c r="BJ196">
        <v>1.36</v>
      </c>
      <c r="BK196" s="140">
        <f t="shared" si="48"/>
        <v>1.3599999999999997E-7</v>
      </c>
      <c r="BL196" s="140">
        <f t="shared" si="49"/>
        <v>2.72E-7</v>
      </c>
      <c r="BM196" s="140">
        <f t="shared" si="50"/>
        <v>4.0800000000000005E-7</v>
      </c>
      <c r="BN196" s="140">
        <f t="shared" si="51"/>
        <v>5.4400000000000011E-7</v>
      </c>
      <c r="BO196" s="140">
        <f t="shared" si="52"/>
        <v>6.8000000000000016E-7</v>
      </c>
      <c r="BP196" s="157">
        <f>IF(BI196&lt;$B$105*DATA!$H$1037,DATA!$H$1037,IF(BI196&gt;DATA!$H$1036*$B$105,DATA!$H$1036,1))</f>
        <v>1.2</v>
      </c>
      <c r="BQ196" s="156">
        <f t="shared" si="53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56"/>
        <v>1.3799999999999997E-7</v>
      </c>
      <c r="D197" s="140">
        <f t="shared" si="56"/>
        <v>2.7599999999999998E-7</v>
      </c>
      <c r="E197" s="140">
        <f t="shared" si="56"/>
        <v>4.1399999999999997E-7</v>
      </c>
      <c r="F197" s="140">
        <f t="shared" si="56"/>
        <v>5.5199999999999997E-7</v>
      </c>
      <c r="G197" s="140">
        <f t="shared" si="56"/>
        <v>6.9000000000000006E-7</v>
      </c>
      <c r="H197" s="124">
        <f t="shared" si="6"/>
        <v>0.8</v>
      </c>
      <c r="I197" s="156">
        <f t="shared" si="7"/>
        <v>9.9999999999999995E-8</v>
      </c>
      <c r="K197" s="140">
        <f t="shared" si="8"/>
        <v>1.38E-5</v>
      </c>
      <c r="L197">
        <v>1.38</v>
      </c>
      <c r="M197" s="140">
        <f t="shared" si="9"/>
        <v>1.3799999999999997E-7</v>
      </c>
      <c r="N197" s="140">
        <f t="shared" si="10"/>
        <v>2.7599999999999998E-7</v>
      </c>
      <c r="O197" s="140">
        <f t="shared" si="11"/>
        <v>4.1399999999999997E-7</v>
      </c>
      <c r="P197" s="140">
        <f t="shared" si="12"/>
        <v>5.5199999999999997E-7</v>
      </c>
      <c r="Q197" s="140">
        <f t="shared" si="13"/>
        <v>6.9000000000000006E-7</v>
      </c>
      <c r="R197" s="157">
        <f t="shared" si="14"/>
        <v>0.8</v>
      </c>
      <c r="S197" s="156">
        <f t="shared" si="15"/>
        <v>9.9999999999999995E-8</v>
      </c>
      <c r="U197" s="140">
        <f t="shared" si="16"/>
        <v>1.38E-5</v>
      </c>
      <c r="V197">
        <v>1.38</v>
      </c>
      <c r="W197" s="140">
        <f t="shared" si="17"/>
        <v>1.3799999999999997E-7</v>
      </c>
      <c r="X197" s="140">
        <f t="shared" si="18"/>
        <v>2.7599999999999998E-7</v>
      </c>
      <c r="Y197" s="140">
        <f t="shared" si="19"/>
        <v>4.1399999999999997E-7</v>
      </c>
      <c r="Z197" s="140">
        <f t="shared" si="20"/>
        <v>5.5199999999999997E-7</v>
      </c>
      <c r="AA197" s="140">
        <f t="shared" si="21"/>
        <v>6.9000000000000006E-7</v>
      </c>
      <c r="AB197" s="157">
        <f t="shared" si="22"/>
        <v>0.8</v>
      </c>
      <c r="AC197" s="156">
        <f t="shared" si="23"/>
        <v>9.9999999999999995E-8</v>
      </c>
      <c r="AE197" s="140">
        <f t="shared" si="24"/>
        <v>1.38E-5</v>
      </c>
      <c r="AF197">
        <v>1.38</v>
      </c>
      <c r="AG197" s="140">
        <f t="shared" si="25"/>
        <v>1.3799999999999997E-7</v>
      </c>
      <c r="AH197" s="140">
        <f t="shared" si="26"/>
        <v>2.7599999999999998E-7</v>
      </c>
      <c r="AI197" s="140">
        <f t="shared" si="27"/>
        <v>4.1399999999999997E-7</v>
      </c>
      <c r="AJ197" s="140">
        <f t="shared" si="28"/>
        <v>5.5199999999999997E-7</v>
      </c>
      <c r="AK197" s="140">
        <f t="shared" si="29"/>
        <v>6.9000000000000006E-7</v>
      </c>
      <c r="AL197" s="157">
        <f t="shared" si="30"/>
        <v>1.2</v>
      </c>
      <c r="AM197" s="156">
        <f t="shared" si="31"/>
        <v>9.9999999999999995E-8</v>
      </c>
      <c r="AO197" s="140">
        <f t="shared" si="32"/>
        <v>1.38E-5</v>
      </c>
      <c r="AP197">
        <v>1.38</v>
      </c>
      <c r="AQ197" s="140">
        <f t="shared" si="33"/>
        <v>1.3799999999999997E-7</v>
      </c>
      <c r="AR197" s="140">
        <f t="shared" si="34"/>
        <v>2.7599999999999998E-7</v>
      </c>
      <c r="AS197" s="140">
        <f t="shared" si="35"/>
        <v>4.1399999999999997E-7</v>
      </c>
      <c r="AT197" s="140">
        <f t="shared" si="36"/>
        <v>5.5199999999999997E-7</v>
      </c>
      <c r="AU197" s="140">
        <f t="shared" si="37"/>
        <v>6.9000000000000006E-7</v>
      </c>
      <c r="AV197" s="157">
        <f t="shared" si="38"/>
        <v>1.2</v>
      </c>
      <c r="AW197" s="156">
        <f t="shared" si="39"/>
        <v>9.9999999999999995E-8</v>
      </c>
      <c r="AY197" s="140">
        <f t="shared" si="40"/>
        <v>1.38E-5</v>
      </c>
      <c r="AZ197">
        <v>1.38</v>
      </c>
      <c r="BA197" s="140">
        <f t="shared" si="41"/>
        <v>1.3799999999999997E-7</v>
      </c>
      <c r="BB197" s="140">
        <f t="shared" si="42"/>
        <v>2.7599999999999998E-7</v>
      </c>
      <c r="BC197" s="140">
        <f t="shared" si="43"/>
        <v>4.1399999999999997E-7</v>
      </c>
      <c r="BD197" s="140">
        <f t="shared" si="44"/>
        <v>5.5199999999999997E-7</v>
      </c>
      <c r="BE197" s="140">
        <f t="shared" si="45"/>
        <v>6.9000000000000006E-7</v>
      </c>
      <c r="BF197" s="157">
        <f>IF(AY197&lt;$B$89*DATA!$H$1037,DATA!$H$1037,IF(AY197&gt;DATA!$H$1036*$B$89,DATA!$H$1036,1))</f>
        <v>1.2</v>
      </c>
      <c r="BG197" s="156">
        <f t="shared" si="46"/>
        <v>9.9999999999999995E-8</v>
      </c>
      <c r="BI197" s="140">
        <f t="shared" si="47"/>
        <v>1.38E-5</v>
      </c>
      <c r="BJ197">
        <v>1.38</v>
      </c>
      <c r="BK197" s="140">
        <f t="shared" si="48"/>
        <v>1.3799999999999997E-7</v>
      </c>
      <c r="BL197" s="140">
        <f t="shared" si="49"/>
        <v>2.7599999999999998E-7</v>
      </c>
      <c r="BM197" s="140">
        <f t="shared" si="50"/>
        <v>4.1399999999999997E-7</v>
      </c>
      <c r="BN197" s="140">
        <f t="shared" si="51"/>
        <v>5.5199999999999997E-7</v>
      </c>
      <c r="BO197" s="140">
        <f t="shared" si="52"/>
        <v>6.9000000000000006E-7</v>
      </c>
      <c r="BP197" s="157">
        <f>IF(BI197&lt;$B$105*DATA!$H$1037,DATA!$H$1037,IF(BI197&gt;DATA!$H$1036*$B$105,DATA!$H$1036,1))</f>
        <v>1.2</v>
      </c>
      <c r="BQ197" s="156">
        <f t="shared" si="53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56"/>
        <v>1.3999999999999996E-7</v>
      </c>
      <c r="D198" s="140">
        <f t="shared" si="56"/>
        <v>2.7999999999999997E-7</v>
      </c>
      <c r="E198" s="140">
        <f t="shared" si="56"/>
        <v>4.2E-7</v>
      </c>
      <c r="F198" s="140">
        <f t="shared" si="56"/>
        <v>5.6000000000000004E-7</v>
      </c>
      <c r="G198" s="140">
        <f t="shared" si="56"/>
        <v>7.0000000000000007E-7</v>
      </c>
      <c r="H198" s="124">
        <f t="shared" si="6"/>
        <v>0.8</v>
      </c>
      <c r="I198" s="156">
        <f t="shared" si="7"/>
        <v>9.9999999999999995E-8</v>
      </c>
      <c r="K198" s="140">
        <f t="shared" si="8"/>
        <v>1.4E-5</v>
      </c>
      <c r="L198">
        <v>1.4</v>
      </c>
      <c r="M198" s="140">
        <f t="shared" si="9"/>
        <v>1.3999999999999996E-7</v>
      </c>
      <c r="N198" s="140">
        <f t="shared" si="10"/>
        <v>2.7999999999999997E-7</v>
      </c>
      <c r="O198" s="140">
        <f t="shared" si="11"/>
        <v>4.2E-7</v>
      </c>
      <c r="P198" s="140">
        <f t="shared" si="12"/>
        <v>5.6000000000000004E-7</v>
      </c>
      <c r="Q198" s="140">
        <f t="shared" si="13"/>
        <v>7.0000000000000007E-7</v>
      </c>
      <c r="R198" s="157">
        <f t="shared" si="14"/>
        <v>0.8</v>
      </c>
      <c r="S198" s="156">
        <f t="shared" si="15"/>
        <v>9.9999999999999995E-8</v>
      </c>
      <c r="U198" s="140">
        <f t="shared" si="16"/>
        <v>1.4E-5</v>
      </c>
      <c r="V198">
        <v>1.4</v>
      </c>
      <c r="W198" s="140">
        <f t="shared" si="17"/>
        <v>1.3999999999999996E-7</v>
      </c>
      <c r="X198" s="140">
        <f t="shared" si="18"/>
        <v>2.7999999999999997E-7</v>
      </c>
      <c r="Y198" s="140">
        <f t="shared" si="19"/>
        <v>4.2E-7</v>
      </c>
      <c r="Z198" s="140">
        <f t="shared" si="20"/>
        <v>5.6000000000000004E-7</v>
      </c>
      <c r="AA198" s="140">
        <f t="shared" si="21"/>
        <v>7.0000000000000007E-7</v>
      </c>
      <c r="AB198" s="157">
        <f t="shared" si="22"/>
        <v>0.8</v>
      </c>
      <c r="AC198" s="156">
        <f t="shared" si="23"/>
        <v>9.9999999999999995E-8</v>
      </c>
      <c r="AE198" s="140">
        <f t="shared" si="24"/>
        <v>1.4E-5</v>
      </c>
      <c r="AF198">
        <v>1.4</v>
      </c>
      <c r="AG198" s="140">
        <f t="shared" si="25"/>
        <v>1.3999999999999996E-7</v>
      </c>
      <c r="AH198" s="140">
        <f t="shared" si="26"/>
        <v>2.7999999999999997E-7</v>
      </c>
      <c r="AI198" s="140">
        <f t="shared" si="27"/>
        <v>4.2E-7</v>
      </c>
      <c r="AJ198" s="140">
        <f t="shared" si="28"/>
        <v>5.6000000000000004E-7</v>
      </c>
      <c r="AK198" s="140">
        <f t="shared" si="29"/>
        <v>7.0000000000000007E-7</v>
      </c>
      <c r="AL198" s="157">
        <f t="shared" si="30"/>
        <v>1.2</v>
      </c>
      <c r="AM198" s="156">
        <f t="shared" si="31"/>
        <v>9.9999999999999995E-8</v>
      </c>
      <c r="AO198" s="140">
        <f t="shared" si="32"/>
        <v>1.4E-5</v>
      </c>
      <c r="AP198">
        <v>1.4</v>
      </c>
      <c r="AQ198" s="140">
        <f t="shared" si="33"/>
        <v>1.3999999999999996E-7</v>
      </c>
      <c r="AR198" s="140">
        <f t="shared" si="34"/>
        <v>2.7999999999999997E-7</v>
      </c>
      <c r="AS198" s="140">
        <f t="shared" si="35"/>
        <v>4.2E-7</v>
      </c>
      <c r="AT198" s="140">
        <f t="shared" si="36"/>
        <v>5.6000000000000004E-7</v>
      </c>
      <c r="AU198" s="140">
        <f t="shared" si="37"/>
        <v>7.0000000000000007E-7</v>
      </c>
      <c r="AV198" s="157">
        <f t="shared" si="38"/>
        <v>1.2</v>
      </c>
      <c r="AW198" s="156">
        <f t="shared" si="39"/>
        <v>9.9999999999999995E-8</v>
      </c>
      <c r="AY198" s="140">
        <f t="shared" si="40"/>
        <v>1.4E-5</v>
      </c>
      <c r="AZ198">
        <v>1.4</v>
      </c>
      <c r="BA198" s="140">
        <f t="shared" si="41"/>
        <v>1.3999999999999996E-7</v>
      </c>
      <c r="BB198" s="140">
        <f t="shared" si="42"/>
        <v>2.7999999999999997E-7</v>
      </c>
      <c r="BC198" s="140">
        <f t="shared" si="43"/>
        <v>4.2E-7</v>
      </c>
      <c r="BD198" s="140">
        <f t="shared" si="44"/>
        <v>5.6000000000000004E-7</v>
      </c>
      <c r="BE198" s="140">
        <f t="shared" si="45"/>
        <v>7.0000000000000007E-7</v>
      </c>
      <c r="BF198" s="157">
        <f>IF(AY198&lt;$B$89*DATA!$H$1037,DATA!$H$1037,IF(AY198&gt;DATA!$H$1036*$B$89,DATA!$H$1036,1))</f>
        <v>1.2</v>
      </c>
      <c r="BG198" s="156">
        <f t="shared" si="46"/>
        <v>9.9999999999999995E-8</v>
      </c>
      <c r="BI198" s="140">
        <f t="shared" si="47"/>
        <v>1.4E-5</v>
      </c>
      <c r="BJ198">
        <v>1.4</v>
      </c>
      <c r="BK198" s="140">
        <f t="shared" si="48"/>
        <v>1.3999999999999996E-7</v>
      </c>
      <c r="BL198" s="140">
        <f t="shared" si="49"/>
        <v>2.7999999999999997E-7</v>
      </c>
      <c r="BM198" s="140">
        <f t="shared" si="50"/>
        <v>4.2E-7</v>
      </c>
      <c r="BN198" s="140">
        <f t="shared" si="51"/>
        <v>5.6000000000000004E-7</v>
      </c>
      <c r="BO198" s="140">
        <f t="shared" si="52"/>
        <v>7.0000000000000007E-7</v>
      </c>
      <c r="BP198" s="157">
        <f>IF(BI198&lt;$B$105*DATA!$H$1037,DATA!$H$1037,IF(BI198&gt;DATA!$H$1036*$B$105,DATA!$H$1036,1))</f>
        <v>1.2</v>
      </c>
      <c r="BQ198" s="156">
        <f t="shared" si="53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56"/>
        <v>1.4199999999999997E-7</v>
      </c>
      <c r="D199" s="140">
        <f t="shared" si="56"/>
        <v>2.84E-7</v>
      </c>
      <c r="E199" s="140">
        <f t="shared" si="56"/>
        <v>4.2600000000000003E-7</v>
      </c>
      <c r="F199" s="140">
        <f t="shared" si="56"/>
        <v>5.6800000000000011E-7</v>
      </c>
      <c r="G199" s="140">
        <f t="shared" si="56"/>
        <v>7.1000000000000008E-7</v>
      </c>
      <c r="H199" s="124">
        <f t="shared" si="6"/>
        <v>0.8</v>
      </c>
      <c r="I199" s="156">
        <f t="shared" si="7"/>
        <v>9.9999999999999995E-8</v>
      </c>
      <c r="K199" s="140">
        <f t="shared" si="8"/>
        <v>1.4200000000000001E-5</v>
      </c>
      <c r="L199">
        <v>1.42</v>
      </c>
      <c r="M199" s="140">
        <f t="shared" si="9"/>
        <v>1.4199999999999997E-7</v>
      </c>
      <c r="N199" s="140">
        <f t="shared" si="10"/>
        <v>2.84E-7</v>
      </c>
      <c r="O199" s="140">
        <f t="shared" si="11"/>
        <v>4.2600000000000003E-7</v>
      </c>
      <c r="P199" s="140">
        <f t="shared" si="12"/>
        <v>5.6800000000000011E-7</v>
      </c>
      <c r="Q199" s="140">
        <f t="shared" si="13"/>
        <v>7.1000000000000008E-7</v>
      </c>
      <c r="R199" s="157">
        <f t="shared" si="14"/>
        <v>0.8</v>
      </c>
      <c r="S199" s="156">
        <f t="shared" si="15"/>
        <v>9.9999999999999995E-8</v>
      </c>
      <c r="U199" s="140">
        <f t="shared" si="16"/>
        <v>1.4200000000000001E-5</v>
      </c>
      <c r="V199">
        <v>1.42</v>
      </c>
      <c r="W199" s="140">
        <f t="shared" si="17"/>
        <v>1.4199999999999997E-7</v>
      </c>
      <c r="X199" s="140">
        <f t="shared" si="18"/>
        <v>2.84E-7</v>
      </c>
      <c r="Y199" s="140">
        <f t="shared" si="19"/>
        <v>4.2600000000000003E-7</v>
      </c>
      <c r="Z199" s="140">
        <f t="shared" si="20"/>
        <v>5.6800000000000011E-7</v>
      </c>
      <c r="AA199" s="140">
        <f t="shared" si="21"/>
        <v>7.1000000000000008E-7</v>
      </c>
      <c r="AB199" s="157">
        <f t="shared" si="22"/>
        <v>0.8</v>
      </c>
      <c r="AC199" s="156">
        <f t="shared" si="23"/>
        <v>9.9999999999999995E-8</v>
      </c>
      <c r="AE199" s="140">
        <f t="shared" si="24"/>
        <v>1.4200000000000001E-5</v>
      </c>
      <c r="AF199">
        <v>1.42</v>
      </c>
      <c r="AG199" s="140">
        <f t="shared" si="25"/>
        <v>1.4199999999999997E-7</v>
      </c>
      <c r="AH199" s="140">
        <f t="shared" si="26"/>
        <v>2.84E-7</v>
      </c>
      <c r="AI199" s="140">
        <f t="shared" si="27"/>
        <v>4.2600000000000003E-7</v>
      </c>
      <c r="AJ199" s="140">
        <f t="shared" si="28"/>
        <v>5.6800000000000011E-7</v>
      </c>
      <c r="AK199" s="140">
        <f t="shared" si="29"/>
        <v>7.1000000000000008E-7</v>
      </c>
      <c r="AL199" s="157">
        <f t="shared" si="30"/>
        <v>1.2</v>
      </c>
      <c r="AM199" s="156">
        <f t="shared" si="31"/>
        <v>9.9999999999999995E-8</v>
      </c>
      <c r="AO199" s="140">
        <f t="shared" si="32"/>
        <v>1.4200000000000001E-5</v>
      </c>
      <c r="AP199">
        <v>1.42</v>
      </c>
      <c r="AQ199" s="140">
        <f t="shared" si="33"/>
        <v>1.4199999999999997E-7</v>
      </c>
      <c r="AR199" s="140">
        <f t="shared" si="34"/>
        <v>2.84E-7</v>
      </c>
      <c r="AS199" s="140">
        <f t="shared" si="35"/>
        <v>4.2600000000000003E-7</v>
      </c>
      <c r="AT199" s="140">
        <f t="shared" si="36"/>
        <v>5.6800000000000011E-7</v>
      </c>
      <c r="AU199" s="140">
        <f t="shared" si="37"/>
        <v>7.1000000000000008E-7</v>
      </c>
      <c r="AV199" s="157">
        <f t="shared" si="38"/>
        <v>1.2</v>
      </c>
      <c r="AW199" s="156">
        <f t="shared" si="39"/>
        <v>9.9999999999999995E-8</v>
      </c>
      <c r="AY199" s="140">
        <f t="shared" si="40"/>
        <v>1.4200000000000001E-5</v>
      </c>
      <c r="AZ199">
        <v>1.42</v>
      </c>
      <c r="BA199" s="140">
        <f t="shared" si="41"/>
        <v>1.4199999999999997E-7</v>
      </c>
      <c r="BB199" s="140">
        <f t="shared" si="42"/>
        <v>2.84E-7</v>
      </c>
      <c r="BC199" s="140">
        <f t="shared" si="43"/>
        <v>4.2600000000000003E-7</v>
      </c>
      <c r="BD199" s="140">
        <f t="shared" si="44"/>
        <v>5.6800000000000011E-7</v>
      </c>
      <c r="BE199" s="140">
        <f t="shared" si="45"/>
        <v>7.1000000000000008E-7</v>
      </c>
      <c r="BF199" s="157">
        <f>IF(AY199&lt;$B$89*DATA!$H$1037,DATA!$H$1037,IF(AY199&gt;DATA!$H$1036*$B$89,DATA!$H$1036,1))</f>
        <v>1.2</v>
      </c>
      <c r="BG199" s="156">
        <f t="shared" si="46"/>
        <v>9.9999999999999995E-8</v>
      </c>
      <c r="BI199" s="140">
        <f t="shared" si="47"/>
        <v>1.4200000000000001E-5</v>
      </c>
      <c r="BJ199">
        <v>1.42</v>
      </c>
      <c r="BK199" s="140">
        <f t="shared" si="48"/>
        <v>1.4199999999999997E-7</v>
      </c>
      <c r="BL199" s="140">
        <f t="shared" si="49"/>
        <v>2.84E-7</v>
      </c>
      <c r="BM199" s="140">
        <f t="shared" si="50"/>
        <v>4.2600000000000003E-7</v>
      </c>
      <c r="BN199" s="140">
        <f t="shared" si="51"/>
        <v>5.6800000000000011E-7</v>
      </c>
      <c r="BO199" s="140">
        <f t="shared" si="52"/>
        <v>7.1000000000000008E-7</v>
      </c>
      <c r="BP199" s="157">
        <f>IF(BI199&lt;$B$105*DATA!$H$1037,DATA!$H$1037,IF(BI199&gt;DATA!$H$1036*$B$105,DATA!$H$1036,1))</f>
        <v>1.2</v>
      </c>
      <c r="BQ199" s="156">
        <f t="shared" si="53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56"/>
        <v>1.4399999999999997E-7</v>
      </c>
      <c r="D200" s="140">
        <f t="shared" si="56"/>
        <v>2.8799999999999998E-7</v>
      </c>
      <c r="E200" s="140">
        <f t="shared" si="56"/>
        <v>4.32E-7</v>
      </c>
      <c r="F200" s="140">
        <f t="shared" si="56"/>
        <v>5.7600000000000008E-7</v>
      </c>
      <c r="G200" s="140">
        <f t="shared" si="56"/>
        <v>7.2000000000000009E-7</v>
      </c>
      <c r="H200" s="124">
        <f t="shared" si="6"/>
        <v>0.8</v>
      </c>
      <c r="I200" s="156">
        <f t="shared" si="7"/>
        <v>9.9999999999999995E-8</v>
      </c>
      <c r="K200" s="140">
        <f t="shared" si="8"/>
        <v>1.4400000000000001E-5</v>
      </c>
      <c r="L200">
        <v>1.44</v>
      </c>
      <c r="M200" s="140">
        <f t="shared" si="9"/>
        <v>1.4399999999999997E-7</v>
      </c>
      <c r="N200" s="140">
        <f t="shared" si="10"/>
        <v>2.8799999999999998E-7</v>
      </c>
      <c r="O200" s="140">
        <f t="shared" si="11"/>
        <v>4.32E-7</v>
      </c>
      <c r="P200" s="140">
        <f t="shared" si="12"/>
        <v>5.7600000000000008E-7</v>
      </c>
      <c r="Q200" s="140">
        <f t="shared" si="13"/>
        <v>7.2000000000000009E-7</v>
      </c>
      <c r="R200" s="157">
        <f t="shared" si="14"/>
        <v>0.8</v>
      </c>
      <c r="S200" s="156">
        <f t="shared" si="15"/>
        <v>9.9999999999999995E-8</v>
      </c>
      <c r="U200" s="140">
        <f t="shared" si="16"/>
        <v>1.4400000000000001E-5</v>
      </c>
      <c r="V200">
        <v>1.44</v>
      </c>
      <c r="W200" s="140">
        <f t="shared" si="17"/>
        <v>1.4399999999999997E-7</v>
      </c>
      <c r="X200" s="140">
        <f t="shared" si="18"/>
        <v>2.8799999999999998E-7</v>
      </c>
      <c r="Y200" s="140">
        <f t="shared" si="19"/>
        <v>4.32E-7</v>
      </c>
      <c r="Z200" s="140">
        <f t="shared" si="20"/>
        <v>5.7600000000000008E-7</v>
      </c>
      <c r="AA200" s="140">
        <f t="shared" si="21"/>
        <v>7.2000000000000009E-7</v>
      </c>
      <c r="AB200" s="157">
        <f t="shared" si="22"/>
        <v>0.8</v>
      </c>
      <c r="AC200" s="156">
        <f t="shared" si="23"/>
        <v>9.9999999999999995E-8</v>
      </c>
      <c r="AE200" s="140">
        <f t="shared" si="24"/>
        <v>1.4400000000000001E-5</v>
      </c>
      <c r="AF200">
        <v>1.44</v>
      </c>
      <c r="AG200" s="140">
        <f t="shared" si="25"/>
        <v>1.4399999999999997E-7</v>
      </c>
      <c r="AH200" s="140">
        <f t="shared" si="26"/>
        <v>2.8799999999999998E-7</v>
      </c>
      <c r="AI200" s="140">
        <f t="shared" si="27"/>
        <v>4.32E-7</v>
      </c>
      <c r="AJ200" s="140">
        <f t="shared" si="28"/>
        <v>5.7600000000000008E-7</v>
      </c>
      <c r="AK200" s="140">
        <f t="shared" si="29"/>
        <v>7.2000000000000009E-7</v>
      </c>
      <c r="AL200" s="157">
        <f t="shared" si="30"/>
        <v>1.2</v>
      </c>
      <c r="AM200" s="156">
        <f t="shared" si="31"/>
        <v>9.9999999999999995E-8</v>
      </c>
      <c r="AO200" s="140">
        <f t="shared" si="32"/>
        <v>1.4400000000000001E-5</v>
      </c>
      <c r="AP200">
        <v>1.44</v>
      </c>
      <c r="AQ200" s="140">
        <f t="shared" si="33"/>
        <v>1.4399999999999997E-7</v>
      </c>
      <c r="AR200" s="140">
        <f t="shared" si="34"/>
        <v>2.8799999999999998E-7</v>
      </c>
      <c r="AS200" s="140">
        <f t="shared" si="35"/>
        <v>4.32E-7</v>
      </c>
      <c r="AT200" s="140">
        <f t="shared" si="36"/>
        <v>5.7600000000000008E-7</v>
      </c>
      <c r="AU200" s="140">
        <f t="shared" si="37"/>
        <v>7.2000000000000009E-7</v>
      </c>
      <c r="AV200" s="157">
        <f t="shared" si="38"/>
        <v>1.2</v>
      </c>
      <c r="AW200" s="156">
        <f t="shared" si="39"/>
        <v>9.9999999999999995E-8</v>
      </c>
      <c r="AY200" s="140">
        <f t="shared" si="40"/>
        <v>1.4400000000000001E-5</v>
      </c>
      <c r="AZ200">
        <v>1.44</v>
      </c>
      <c r="BA200" s="140">
        <f t="shared" si="41"/>
        <v>1.4399999999999997E-7</v>
      </c>
      <c r="BB200" s="140">
        <f t="shared" si="42"/>
        <v>2.8799999999999998E-7</v>
      </c>
      <c r="BC200" s="140">
        <f t="shared" si="43"/>
        <v>4.32E-7</v>
      </c>
      <c r="BD200" s="140">
        <f t="shared" si="44"/>
        <v>5.7600000000000008E-7</v>
      </c>
      <c r="BE200" s="140">
        <f t="shared" si="45"/>
        <v>7.2000000000000009E-7</v>
      </c>
      <c r="BF200" s="157">
        <f>IF(AY200&lt;$B$89*DATA!$H$1037,DATA!$H$1037,IF(AY200&gt;DATA!$H$1036*$B$89,DATA!$H$1036,1))</f>
        <v>1.2</v>
      </c>
      <c r="BG200" s="156">
        <f t="shared" si="46"/>
        <v>9.9999999999999995E-8</v>
      </c>
      <c r="BI200" s="140">
        <f t="shared" si="47"/>
        <v>1.4400000000000001E-5</v>
      </c>
      <c r="BJ200">
        <v>1.44</v>
      </c>
      <c r="BK200" s="140">
        <f t="shared" si="48"/>
        <v>1.4399999999999997E-7</v>
      </c>
      <c r="BL200" s="140">
        <f t="shared" si="49"/>
        <v>2.8799999999999998E-7</v>
      </c>
      <c r="BM200" s="140">
        <f t="shared" si="50"/>
        <v>4.32E-7</v>
      </c>
      <c r="BN200" s="140">
        <f t="shared" si="51"/>
        <v>5.7600000000000008E-7</v>
      </c>
      <c r="BO200" s="140">
        <f t="shared" si="52"/>
        <v>7.2000000000000009E-7</v>
      </c>
      <c r="BP200" s="157">
        <f>IF(BI200&lt;$B$105*DATA!$H$1037,DATA!$H$1037,IF(BI200&gt;DATA!$H$1036*$B$105,DATA!$H$1036,1))</f>
        <v>1.2</v>
      </c>
      <c r="BQ200" s="156">
        <f t="shared" si="53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56"/>
        <v>1.4599999999999996E-7</v>
      </c>
      <c r="D201" s="140">
        <f t="shared" si="56"/>
        <v>2.9199999999999997E-7</v>
      </c>
      <c r="E201" s="140">
        <f t="shared" si="56"/>
        <v>4.3800000000000003E-7</v>
      </c>
      <c r="F201" s="140">
        <f t="shared" si="56"/>
        <v>5.8400000000000004E-7</v>
      </c>
      <c r="G201" s="140">
        <f t="shared" si="56"/>
        <v>7.300000000000001E-7</v>
      </c>
      <c r="H201" s="124">
        <f t="shared" si="6"/>
        <v>0.8</v>
      </c>
      <c r="I201" s="156">
        <f t="shared" si="7"/>
        <v>9.9999999999999995E-8</v>
      </c>
      <c r="K201" s="140">
        <f t="shared" si="8"/>
        <v>1.4600000000000001E-5</v>
      </c>
      <c r="L201">
        <v>1.46</v>
      </c>
      <c r="M201" s="140">
        <f t="shared" si="9"/>
        <v>1.4599999999999996E-7</v>
      </c>
      <c r="N201" s="140">
        <f t="shared" si="10"/>
        <v>2.9199999999999997E-7</v>
      </c>
      <c r="O201" s="140">
        <f t="shared" si="11"/>
        <v>4.3800000000000003E-7</v>
      </c>
      <c r="P201" s="140">
        <f t="shared" si="12"/>
        <v>5.8400000000000004E-7</v>
      </c>
      <c r="Q201" s="140">
        <f t="shared" si="13"/>
        <v>7.300000000000001E-7</v>
      </c>
      <c r="R201" s="157">
        <f t="shared" si="14"/>
        <v>0.8</v>
      </c>
      <c r="S201" s="156">
        <f t="shared" si="15"/>
        <v>9.9999999999999995E-8</v>
      </c>
      <c r="U201" s="140">
        <f t="shared" si="16"/>
        <v>1.4600000000000001E-5</v>
      </c>
      <c r="V201">
        <v>1.46</v>
      </c>
      <c r="W201" s="140">
        <f t="shared" si="17"/>
        <v>1.4599999999999996E-7</v>
      </c>
      <c r="X201" s="140">
        <f t="shared" si="18"/>
        <v>2.9199999999999997E-7</v>
      </c>
      <c r="Y201" s="140">
        <f t="shared" si="19"/>
        <v>4.3800000000000003E-7</v>
      </c>
      <c r="Z201" s="140">
        <f t="shared" si="20"/>
        <v>5.8400000000000004E-7</v>
      </c>
      <c r="AA201" s="140">
        <f t="shared" si="21"/>
        <v>7.300000000000001E-7</v>
      </c>
      <c r="AB201" s="157">
        <f t="shared" si="22"/>
        <v>0.8</v>
      </c>
      <c r="AC201" s="156">
        <f t="shared" si="23"/>
        <v>9.9999999999999995E-8</v>
      </c>
      <c r="AE201" s="140">
        <f t="shared" si="24"/>
        <v>1.4600000000000001E-5</v>
      </c>
      <c r="AF201">
        <v>1.46</v>
      </c>
      <c r="AG201" s="140">
        <f t="shared" si="25"/>
        <v>1.4599999999999996E-7</v>
      </c>
      <c r="AH201" s="140">
        <f t="shared" si="26"/>
        <v>2.9199999999999997E-7</v>
      </c>
      <c r="AI201" s="140">
        <f t="shared" si="27"/>
        <v>4.3800000000000003E-7</v>
      </c>
      <c r="AJ201" s="140">
        <f t="shared" si="28"/>
        <v>5.8400000000000004E-7</v>
      </c>
      <c r="AK201" s="140">
        <f t="shared" si="29"/>
        <v>7.300000000000001E-7</v>
      </c>
      <c r="AL201" s="157">
        <f t="shared" si="30"/>
        <v>1.2</v>
      </c>
      <c r="AM201" s="156">
        <f t="shared" si="31"/>
        <v>9.9999999999999995E-8</v>
      </c>
      <c r="AO201" s="140">
        <f t="shared" si="32"/>
        <v>1.4600000000000001E-5</v>
      </c>
      <c r="AP201">
        <v>1.46</v>
      </c>
      <c r="AQ201" s="140">
        <f t="shared" si="33"/>
        <v>1.4599999999999996E-7</v>
      </c>
      <c r="AR201" s="140">
        <f t="shared" si="34"/>
        <v>2.9199999999999997E-7</v>
      </c>
      <c r="AS201" s="140">
        <f t="shared" si="35"/>
        <v>4.3800000000000003E-7</v>
      </c>
      <c r="AT201" s="140">
        <f t="shared" si="36"/>
        <v>5.8400000000000004E-7</v>
      </c>
      <c r="AU201" s="140">
        <f t="shared" si="37"/>
        <v>7.300000000000001E-7</v>
      </c>
      <c r="AV201" s="157">
        <f t="shared" si="38"/>
        <v>1.2</v>
      </c>
      <c r="AW201" s="156">
        <f t="shared" si="39"/>
        <v>9.9999999999999995E-8</v>
      </c>
      <c r="AY201" s="140">
        <f t="shared" si="40"/>
        <v>1.4600000000000001E-5</v>
      </c>
      <c r="AZ201">
        <v>1.46</v>
      </c>
      <c r="BA201" s="140">
        <f t="shared" si="41"/>
        <v>1.4599999999999996E-7</v>
      </c>
      <c r="BB201" s="140">
        <f t="shared" si="42"/>
        <v>2.9199999999999997E-7</v>
      </c>
      <c r="BC201" s="140">
        <f t="shared" si="43"/>
        <v>4.3800000000000003E-7</v>
      </c>
      <c r="BD201" s="140">
        <f t="shared" si="44"/>
        <v>5.8400000000000004E-7</v>
      </c>
      <c r="BE201" s="140">
        <f t="shared" si="45"/>
        <v>7.300000000000001E-7</v>
      </c>
      <c r="BF201" s="157">
        <f>IF(AY201&lt;$B$89*DATA!$H$1037,DATA!$H$1037,IF(AY201&gt;DATA!$H$1036*$B$89,DATA!$H$1036,1))</f>
        <v>1.2</v>
      </c>
      <c r="BG201" s="156">
        <f t="shared" si="46"/>
        <v>9.9999999999999995E-8</v>
      </c>
      <c r="BI201" s="140">
        <f t="shared" si="47"/>
        <v>1.4600000000000001E-5</v>
      </c>
      <c r="BJ201">
        <v>1.46</v>
      </c>
      <c r="BK201" s="140">
        <f t="shared" si="48"/>
        <v>1.4599999999999996E-7</v>
      </c>
      <c r="BL201" s="140">
        <f t="shared" si="49"/>
        <v>2.9199999999999997E-7</v>
      </c>
      <c r="BM201" s="140">
        <f t="shared" si="50"/>
        <v>4.3800000000000003E-7</v>
      </c>
      <c r="BN201" s="140">
        <f t="shared" si="51"/>
        <v>5.8400000000000004E-7</v>
      </c>
      <c r="BO201" s="140">
        <f t="shared" si="52"/>
        <v>7.300000000000001E-7</v>
      </c>
      <c r="BP201" s="157">
        <f>IF(BI201&lt;$B$105*DATA!$H$1037,DATA!$H$1037,IF(BI201&gt;DATA!$H$1036*$B$105,DATA!$H$1036,1))</f>
        <v>1.2</v>
      </c>
      <c r="BQ201" s="156">
        <f t="shared" si="53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56"/>
        <v>1.4799999999999995E-7</v>
      </c>
      <c r="D202" s="140">
        <f t="shared" si="56"/>
        <v>2.9599999999999995E-7</v>
      </c>
      <c r="E202" s="140">
        <f t="shared" si="56"/>
        <v>4.4400000000000001E-7</v>
      </c>
      <c r="F202" s="140">
        <f t="shared" si="56"/>
        <v>5.9200000000000001E-7</v>
      </c>
      <c r="G202" s="140">
        <f t="shared" si="56"/>
        <v>7.4000000000000011E-7</v>
      </c>
      <c r="H202" s="124">
        <f t="shared" si="6"/>
        <v>0.8</v>
      </c>
      <c r="I202" s="156">
        <f t="shared" si="7"/>
        <v>9.9999999999999995E-8</v>
      </c>
      <c r="K202" s="140">
        <f t="shared" si="8"/>
        <v>1.4800000000000001E-5</v>
      </c>
      <c r="L202">
        <v>1.48</v>
      </c>
      <c r="M202" s="140">
        <f t="shared" si="9"/>
        <v>1.4799999999999995E-7</v>
      </c>
      <c r="N202" s="140">
        <f t="shared" si="10"/>
        <v>2.9599999999999995E-7</v>
      </c>
      <c r="O202" s="140">
        <f t="shared" si="11"/>
        <v>4.4400000000000001E-7</v>
      </c>
      <c r="P202" s="140">
        <f t="shared" si="12"/>
        <v>5.9200000000000001E-7</v>
      </c>
      <c r="Q202" s="140">
        <f t="shared" si="13"/>
        <v>7.4000000000000011E-7</v>
      </c>
      <c r="R202" s="157">
        <f t="shared" si="14"/>
        <v>0.8</v>
      </c>
      <c r="S202" s="156">
        <f t="shared" si="15"/>
        <v>9.9999999999999995E-8</v>
      </c>
      <c r="U202" s="140">
        <f t="shared" si="16"/>
        <v>1.4800000000000001E-5</v>
      </c>
      <c r="V202">
        <v>1.48</v>
      </c>
      <c r="W202" s="140">
        <f t="shared" si="17"/>
        <v>1.4799999999999995E-7</v>
      </c>
      <c r="X202" s="140">
        <f t="shared" si="18"/>
        <v>2.9599999999999995E-7</v>
      </c>
      <c r="Y202" s="140">
        <f t="shared" si="19"/>
        <v>4.4400000000000001E-7</v>
      </c>
      <c r="Z202" s="140">
        <f t="shared" si="20"/>
        <v>5.9200000000000001E-7</v>
      </c>
      <c r="AA202" s="140">
        <f t="shared" si="21"/>
        <v>7.4000000000000011E-7</v>
      </c>
      <c r="AB202" s="157">
        <f t="shared" si="22"/>
        <v>0.8</v>
      </c>
      <c r="AC202" s="156">
        <f t="shared" si="23"/>
        <v>9.9999999999999995E-8</v>
      </c>
      <c r="AE202" s="140">
        <f t="shared" si="24"/>
        <v>1.4800000000000001E-5</v>
      </c>
      <c r="AF202">
        <v>1.48</v>
      </c>
      <c r="AG202" s="140">
        <f t="shared" si="25"/>
        <v>1.4799999999999995E-7</v>
      </c>
      <c r="AH202" s="140">
        <f t="shared" si="26"/>
        <v>2.9599999999999995E-7</v>
      </c>
      <c r="AI202" s="140">
        <f t="shared" si="27"/>
        <v>4.4400000000000001E-7</v>
      </c>
      <c r="AJ202" s="140">
        <f t="shared" si="28"/>
        <v>5.9200000000000001E-7</v>
      </c>
      <c r="AK202" s="140">
        <f t="shared" si="29"/>
        <v>7.4000000000000011E-7</v>
      </c>
      <c r="AL202" s="157">
        <f t="shared" si="30"/>
        <v>1.2</v>
      </c>
      <c r="AM202" s="156">
        <f t="shared" si="31"/>
        <v>9.9999999999999995E-8</v>
      </c>
      <c r="AO202" s="140">
        <f t="shared" si="32"/>
        <v>1.4800000000000001E-5</v>
      </c>
      <c r="AP202">
        <v>1.48</v>
      </c>
      <c r="AQ202" s="140">
        <f t="shared" si="33"/>
        <v>1.4799999999999995E-7</v>
      </c>
      <c r="AR202" s="140">
        <f t="shared" si="34"/>
        <v>2.9599999999999995E-7</v>
      </c>
      <c r="AS202" s="140">
        <f t="shared" si="35"/>
        <v>4.4400000000000001E-7</v>
      </c>
      <c r="AT202" s="140">
        <f t="shared" si="36"/>
        <v>5.9200000000000001E-7</v>
      </c>
      <c r="AU202" s="140">
        <f t="shared" si="37"/>
        <v>7.4000000000000011E-7</v>
      </c>
      <c r="AV202" s="157">
        <f t="shared" si="38"/>
        <v>1.2</v>
      </c>
      <c r="AW202" s="156">
        <f t="shared" si="39"/>
        <v>9.9999999999999995E-8</v>
      </c>
      <c r="AY202" s="140">
        <f t="shared" si="40"/>
        <v>1.4800000000000001E-5</v>
      </c>
      <c r="AZ202">
        <v>1.48</v>
      </c>
      <c r="BA202" s="140">
        <f t="shared" si="41"/>
        <v>1.4799999999999995E-7</v>
      </c>
      <c r="BB202" s="140">
        <f t="shared" si="42"/>
        <v>2.9599999999999995E-7</v>
      </c>
      <c r="BC202" s="140">
        <f t="shared" si="43"/>
        <v>4.4400000000000001E-7</v>
      </c>
      <c r="BD202" s="140">
        <f t="shared" si="44"/>
        <v>5.9200000000000001E-7</v>
      </c>
      <c r="BE202" s="140">
        <f t="shared" si="45"/>
        <v>7.4000000000000011E-7</v>
      </c>
      <c r="BF202" s="157">
        <f>IF(AY202&lt;$B$89*DATA!$H$1037,DATA!$H$1037,IF(AY202&gt;DATA!$H$1036*$B$89,DATA!$H$1036,1))</f>
        <v>1.2</v>
      </c>
      <c r="BG202" s="156">
        <f t="shared" si="46"/>
        <v>9.9999999999999995E-8</v>
      </c>
      <c r="BI202" s="140">
        <f t="shared" si="47"/>
        <v>1.4800000000000001E-5</v>
      </c>
      <c r="BJ202">
        <v>1.48</v>
      </c>
      <c r="BK202" s="140">
        <f t="shared" si="48"/>
        <v>1.4799999999999995E-7</v>
      </c>
      <c r="BL202" s="140">
        <f t="shared" si="49"/>
        <v>2.9599999999999995E-7</v>
      </c>
      <c r="BM202" s="140">
        <f t="shared" si="50"/>
        <v>4.4400000000000001E-7</v>
      </c>
      <c r="BN202" s="140">
        <f t="shared" si="51"/>
        <v>5.9200000000000001E-7</v>
      </c>
      <c r="BO202" s="140">
        <f t="shared" si="52"/>
        <v>7.4000000000000011E-7</v>
      </c>
      <c r="BP202" s="157">
        <f>IF(BI202&lt;$B$105*DATA!$H$1037,DATA!$H$1037,IF(BI202&gt;DATA!$H$1036*$B$105,DATA!$H$1036,1))</f>
        <v>1.2</v>
      </c>
      <c r="BQ202" s="156">
        <f t="shared" si="53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56"/>
        <v>1.4999999999999997E-7</v>
      </c>
      <c r="D203" s="140">
        <f t="shared" si="56"/>
        <v>2.9999999999999999E-7</v>
      </c>
      <c r="E203" s="140">
        <f t="shared" si="56"/>
        <v>4.5000000000000003E-7</v>
      </c>
      <c r="F203" s="140">
        <f t="shared" si="56"/>
        <v>6.0000000000000008E-7</v>
      </c>
      <c r="G203" s="140">
        <f t="shared" si="56"/>
        <v>7.5000000000000012E-7</v>
      </c>
      <c r="H203" s="124">
        <f t="shared" si="6"/>
        <v>0.8</v>
      </c>
      <c r="I203" s="156">
        <f t="shared" si="7"/>
        <v>9.9999999999999995E-8</v>
      </c>
      <c r="K203" s="140">
        <f t="shared" si="8"/>
        <v>1.5000000000000002E-5</v>
      </c>
      <c r="L203">
        <v>1.5</v>
      </c>
      <c r="M203" s="140">
        <f t="shared" si="9"/>
        <v>1.4999999999999997E-7</v>
      </c>
      <c r="N203" s="140">
        <f t="shared" si="10"/>
        <v>2.9999999999999999E-7</v>
      </c>
      <c r="O203" s="140">
        <f t="shared" si="11"/>
        <v>4.5000000000000003E-7</v>
      </c>
      <c r="P203" s="140">
        <f t="shared" si="12"/>
        <v>6.0000000000000008E-7</v>
      </c>
      <c r="Q203" s="140">
        <f t="shared" si="13"/>
        <v>7.5000000000000012E-7</v>
      </c>
      <c r="R203" s="157">
        <f t="shared" si="14"/>
        <v>0.8</v>
      </c>
      <c r="S203" s="156">
        <f t="shared" si="15"/>
        <v>9.9999999999999995E-8</v>
      </c>
      <c r="U203" s="140">
        <f t="shared" si="16"/>
        <v>1.5000000000000002E-5</v>
      </c>
      <c r="V203">
        <v>1.5</v>
      </c>
      <c r="W203" s="140">
        <f t="shared" si="17"/>
        <v>1.4999999999999997E-7</v>
      </c>
      <c r="X203" s="140">
        <f t="shared" si="18"/>
        <v>2.9999999999999999E-7</v>
      </c>
      <c r="Y203" s="140">
        <f t="shared" si="19"/>
        <v>4.5000000000000003E-7</v>
      </c>
      <c r="Z203" s="140">
        <f t="shared" si="20"/>
        <v>6.0000000000000008E-7</v>
      </c>
      <c r="AA203" s="140">
        <f t="shared" si="21"/>
        <v>7.5000000000000012E-7</v>
      </c>
      <c r="AB203" s="157">
        <f t="shared" si="22"/>
        <v>0.8</v>
      </c>
      <c r="AC203" s="156">
        <f t="shared" si="23"/>
        <v>9.9999999999999995E-8</v>
      </c>
      <c r="AE203" s="140">
        <f t="shared" si="24"/>
        <v>1.5000000000000002E-5</v>
      </c>
      <c r="AF203">
        <v>1.5</v>
      </c>
      <c r="AG203" s="140">
        <f t="shared" si="25"/>
        <v>1.4999999999999997E-7</v>
      </c>
      <c r="AH203" s="140">
        <f t="shared" si="26"/>
        <v>2.9999999999999999E-7</v>
      </c>
      <c r="AI203" s="140">
        <f t="shared" si="27"/>
        <v>4.5000000000000003E-7</v>
      </c>
      <c r="AJ203" s="140">
        <f t="shared" si="28"/>
        <v>6.0000000000000008E-7</v>
      </c>
      <c r="AK203" s="140">
        <f t="shared" si="29"/>
        <v>7.5000000000000012E-7</v>
      </c>
      <c r="AL203" s="157">
        <f t="shared" si="30"/>
        <v>1.2</v>
      </c>
      <c r="AM203" s="156">
        <f t="shared" si="31"/>
        <v>9.9999999999999995E-8</v>
      </c>
      <c r="AO203" s="140">
        <f t="shared" si="32"/>
        <v>1.5000000000000002E-5</v>
      </c>
      <c r="AP203">
        <v>1.5</v>
      </c>
      <c r="AQ203" s="140">
        <f t="shared" si="33"/>
        <v>1.4999999999999997E-7</v>
      </c>
      <c r="AR203" s="140">
        <f t="shared" si="34"/>
        <v>2.9999999999999999E-7</v>
      </c>
      <c r="AS203" s="140">
        <f t="shared" si="35"/>
        <v>4.5000000000000003E-7</v>
      </c>
      <c r="AT203" s="140">
        <f t="shared" si="36"/>
        <v>6.0000000000000008E-7</v>
      </c>
      <c r="AU203" s="140">
        <f t="shared" si="37"/>
        <v>7.5000000000000012E-7</v>
      </c>
      <c r="AV203" s="157">
        <f t="shared" si="38"/>
        <v>1.2</v>
      </c>
      <c r="AW203" s="156">
        <f t="shared" si="39"/>
        <v>9.9999999999999995E-8</v>
      </c>
      <c r="AY203" s="140">
        <f t="shared" si="40"/>
        <v>1.5000000000000002E-5</v>
      </c>
      <c r="AZ203">
        <v>1.5</v>
      </c>
      <c r="BA203" s="140">
        <f t="shared" si="41"/>
        <v>1.4999999999999997E-7</v>
      </c>
      <c r="BB203" s="140">
        <f t="shared" si="42"/>
        <v>2.9999999999999999E-7</v>
      </c>
      <c r="BC203" s="140">
        <f t="shared" si="43"/>
        <v>4.5000000000000003E-7</v>
      </c>
      <c r="BD203" s="140">
        <f t="shared" si="44"/>
        <v>6.0000000000000008E-7</v>
      </c>
      <c r="BE203" s="140">
        <f t="shared" si="45"/>
        <v>7.5000000000000012E-7</v>
      </c>
      <c r="BF203" s="157">
        <f>IF(AY203&lt;$B$89*DATA!$H$1037,DATA!$H$1037,IF(AY203&gt;DATA!$H$1036*$B$89,DATA!$H$1036,1))</f>
        <v>1.2</v>
      </c>
      <c r="BG203" s="156">
        <f t="shared" si="46"/>
        <v>9.9999999999999995E-8</v>
      </c>
      <c r="BI203" s="140">
        <f t="shared" si="47"/>
        <v>1.5000000000000002E-5</v>
      </c>
      <c r="BJ203">
        <v>1.5</v>
      </c>
      <c r="BK203" s="140">
        <f t="shared" si="48"/>
        <v>1.4999999999999997E-7</v>
      </c>
      <c r="BL203" s="140">
        <f t="shared" si="49"/>
        <v>2.9999999999999999E-7</v>
      </c>
      <c r="BM203" s="140">
        <f t="shared" si="50"/>
        <v>4.5000000000000003E-7</v>
      </c>
      <c r="BN203" s="140">
        <f t="shared" si="51"/>
        <v>6.0000000000000008E-7</v>
      </c>
      <c r="BO203" s="140">
        <f t="shared" si="52"/>
        <v>7.5000000000000012E-7</v>
      </c>
      <c r="BP203" s="157">
        <f>IF(BI203&lt;$B$105*DATA!$H$1037,DATA!$H$1037,IF(BI203&gt;DATA!$H$1036*$B$105,DATA!$H$1036,1))</f>
        <v>1.2</v>
      </c>
      <c r="BQ203" s="156">
        <f t="shared" si="53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56"/>
        <v>1.5199999999999996E-7</v>
      </c>
      <c r="D204" s="140">
        <f t="shared" si="56"/>
        <v>3.0399999999999997E-7</v>
      </c>
      <c r="E204" s="140">
        <f t="shared" si="56"/>
        <v>4.5600000000000006E-7</v>
      </c>
      <c r="F204" s="140">
        <f t="shared" si="56"/>
        <v>6.0800000000000004E-7</v>
      </c>
      <c r="G204" s="140">
        <f t="shared" si="56"/>
        <v>7.6000000000000014E-7</v>
      </c>
      <c r="H204" s="124">
        <f t="shared" si="6"/>
        <v>0.8</v>
      </c>
      <c r="I204" s="156">
        <f t="shared" si="7"/>
        <v>9.9999999999999995E-8</v>
      </c>
      <c r="K204" s="140">
        <f t="shared" si="8"/>
        <v>1.5200000000000002E-5</v>
      </c>
      <c r="L204">
        <v>1.52</v>
      </c>
      <c r="M204" s="140">
        <f t="shared" si="9"/>
        <v>1.5199999999999996E-7</v>
      </c>
      <c r="N204" s="140">
        <f t="shared" si="10"/>
        <v>3.0399999999999997E-7</v>
      </c>
      <c r="O204" s="140">
        <f t="shared" si="11"/>
        <v>4.5600000000000006E-7</v>
      </c>
      <c r="P204" s="140">
        <f t="shared" si="12"/>
        <v>6.0800000000000004E-7</v>
      </c>
      <c r="Q204" s="140">
        <f t="shared" si="13"/>
        <v>7.6000000000000014E-7</v>
      </c>
      <c r="R204" s="157">
        <f t="shared" si="14"/>
        <v>0.8</v>
      </c>
      <c r="S204" s="156">
        <f t="shared" si="15"/>
        <v>9.9999999999999995E-8</v>
      </c>
      <c r="U204" s="140">
        <f t="shared" si="16"/>
        <v>1.5200000000000002E-5</v>
      </c>
      <c r="V204">
        <v>1.52</v>
      </c>
      <c r="W204" s="140">
        <f t="shared" si="17"/>
        <v>1.5199999999999996E-7</v>
      </c>
      <c r="X204" s="140">
        <f t="shared" si="18"/>
        <v>3.0399999999999997E-7</v>
      </c>
      <c r="Y204" s="140">
        <f t="shared" si="19"/>
        <v>4.5600000000000006E-7</v>
      </c>
      <c r="Z204" s="140">
        <f t="shared" si="20"/>
        <v>6.0800000000000004E-7</v>
      </c>
      <c r="AA204" s="140">
        <f t="shared" si="21"/>
        <v>7.6000000000000014E-7</v>
      </c>
      <c r="AB204" s="157">
        <f t="shared" si="22"/>
        <v>0.8</v>
      </c>
      <c r="AC204" s="156">
        <f t="shared" si="23"/>
        <v>9.9999999999999995E-8</v>
      </c>
      <c r="AE204" s="140">
        <f t="shared" si="24"/>
        <v>1.5200000000000002E-5</v>
      </c>
      <c r="AF204">
        <v>1.52</v>
      </c>
      <c r="AG204" s="140">
        <f t="shared" si="25"/>
        <v>1.5199999999999996E-7</v>
      </c>
      <c r="AH204" s="140">
        <f t="shared" si="26"/>
        <v>3.0399999999999997E-7</v>
      </c>
      <c r="AI204" s="140">
        <f t="shared" si="27"/>
        <v>4.5600000000000006E-7</v>
      </c>
      <c r="AJ204" s="140">
        <f t="shared" si="28"/>
        <v>6.0800000000000004E-7</v>
      </c>
      <c r="AK204" s="140">
        <f t="shared" si="29"/>
        <v>7.6000000000000014E-7</v>
      </c>
      <c r="AL204" s="157">
        <f t="shared" si="30"/>
        <v>1.2</v>
      </c>
      <c r="AM204" s="156">
        <f t="shared" si="31"/>
        <v>9.9999999999999995E-8</v>
      </c>
      <c r="AO204" s="140">
        <f t="shared" si="32"/>
        <v>1.5200000000000002E-5</v>
      </c>
      <c r="AP204">
        <v>1.52</v>
      </c>
      <c r="AQ204" s="140">
        <f t="shared" si="33"/>
        <v>1.5199999999999996E-7</v>
      </c>
      <c r="AR204" s="140">
        <f t="shared" si="34"/>
        <v>3.0399999999999997E-7</v>
      </c>
      <c r="AS204" s="140">
        <f t="shared" si="35"/>
        <v>4.5600000000000006E-7</v>
      </c>
      <c r="AT204" s="140">
        <f t="shared" si="36"/>
        <v>6.0800000000000004E-7</v>
      </c>
      <c r="AU204" s="140">
        <f t="shared" si="37"/>
        <v>7.6000000000000014E-7</v>
      </c>
      <c r="AV204" s="157">
        <f t="shared" si="38"/>
        <v>1.2</v>
      </c>
      <c r="AW204" s="156">
        <f t="shared" si="39"/>
        <v>9.9999999999999995E-8</v>
      </c>
      <c r="AY204" s="140">
        <f t="shared" si="40"/>
        <v>1.5200000000000002E-5</v>
      </c>
      <c r="AZ204">
        <v>1.52</v>
      </c>
      <c r="BA204" s="140">
        <f t="shared" si="41"/>
        <v>1.5199999999999996E-7</v>
      </c>
      <c r="BB204" s="140">
        <f t="shared" si="42"/>
        <v>3.0399999999999997E-7</v>
      </c>
      <c r="BC204" s="140">
        <f t="shared" si="43"/>
        <v>4.5600000000000006E-7</v>
      </c>
      <c r="BD204" s="140">
        <f t="shared" si="44"/>
        <v>6.0800000000000004E-7</v>
      </c>
      <c r="BE204" s="140">
        <f t="shared" si="45"/>
        <v>7.6000000000000014E-7</v>
      </c>
      <c r="BF204" s="157">
        <f>IF(AY204&lt;$B$89*DATA!$H$1037,DATA!$H$1037,IF(AY204&gt;DATA!$H$1036*$B$89,DATA!$H$1036,1))</f>
        <v>1.2</v>
      </c>
      <c r="BG204" s="156">
        <f t="shared" si="46"/>
        <v>9.9999999999999995E-8</v>
      </c>
      <c r="BI204" s="140">
        <f t="shared" si="47"/>
        <v>1.5200000000000002E-5</v>
      </c>
      <c r="BJ204">
        <v>1.52</v>
      </c>
      <c r="BK204" s="140">
        <f t="shared" si="48"/>
        <v>1.5199999999999996E-7</v>
      </c>
      <c r="BL204" s="140">
        <f t="shared" si="49"/>
        <v>3.0399999999999997E-7</v>
      </c>
      <c r="BM204" s="140">
        <f t="shared" si="50"/>
        <v>4.5600000000000006E-7</v>
      </c>
      <c r="BN204" s="140">
        <f t="shared" si="51"/>
        <v>6.0800000000000004E-7</v>
      </c>
      <c r="BO204" s="140">
        <f t="shared" si="52"/>
        <v>7.6000000000000014E-7</v>
      </c>
      <c r="BP204" s="157">
        <f>IF(BI204&lt;$B$105*DATA!$H$1037,DATA!$H$1037,IF(BI204&gt;DATA!$H$1036*$B$105,DATA!$H$1036,1))</f>
        <v>1.2</v>
      </c>
      <c r="BQ204" s="156">
        <f t="shared" si="53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56"/>
        <v>1.5399999999999998E-7</v>
      </c>
      <c r="D205" s="140">
        <f t="shared" si="56"/>
        <v>3.0800000000000001E-7</v>
      </c>
      <c r="E205" s="140">
        <f t="shared" si="56"/>
        <v>4.6200000000000003E-7</v>
      </c>
      <c r="F205" s="140">
        <f t="shared" si="56"/>
        <v>6.1600000000000012E-7</v>
      </c>
      <c r="G205" s="140">
        <f t="shared" si="56"/>
        <v>7.7000000000000015E-7</v>
      </c>
      <c r="H205" s="124">
        <f t="shared" si="6"/>
        <v>0.8</v>
      </c>
      <c r="I205" s="156">
        <f t="shared" si="7"/>
        <v>9.9999999999999995E-8</v>
      </c>
      <c r="K205" s="140">
        <f t="shared" si="8"/>
        <v>1.5400000000000002E-5</v>
      </c>
      <c r="L205">
        <v>1.54</v>
      </c>
      <c r="M205" s="140">
        <f t="shared" si="9"/>
        <v>1.5399999999999998E-7</v>
      </c>
      <c r="N205" s="140">
        <f t="shared" si="10"/>
        <v>3.0800000000000001E-7</v>
      </c>
      <c r="O205" s="140">
        <f t="shared" si="11"/>
        <v>4.6200000000000003E-7</v>
      </c>
      <c r="P205" s="140">
        <f t="shared" si="12"/>
        <v>6.1600000000000012E-7</v>
      </c>
      <c r="Q205" s="140">
        <f t="shared" si="13"/>
        <v>7.7000000000000015E-7</v>
      </c>
      <c r="R205" s="157">
        <f t="shared" si="14"/>
        <v>0.8</v>
      </c>
      <c r="S205" s="156">
        <f t="shared" si="15"/>
        <v>9.9999999999999995E-8</v>
      </c>
      <c r="U205" s="140">
        <f t="shared" si="16"/>
        <v>1.5400000000000002E-5</v>
      </c>
      <c r="V205">
        <v>1.54</v>
      </c>
      <c r="W205" s="140">
        <f t="shared" si="17"/>
        <v>1.5399999999999998E-7</v>
      </c>
      <c r="X205" s="140">
        <f t="shared" si="18"/>
        <v>3.0800000000000001E-7</v>
      </c>
      <c r="Y205" s="140">
        <f t="shared" si="19"/>
        <v>4.6200000000000003E-7</v>
      </c>
      <c r="Z205" s="140">
        <f t="shared" si="20"/>
        <v>6.1600000000000012E-7</v>
      </c>
      <c r="AA205" s="140">
        <f t="shared" si="21"/>
        <v>7.7000000000000015E-7</v>
      </c>
      <c r="AB205" s="157">
        <f t="shared" si="22"/>
        <v>0.8</v>
      </c>
      <c r="AC205" s="156">
        <f t="shared" si="23"/>
        <v>9.9999999999999995E-8</v>
      </c>
      <c r="AE205" s="140">
        <f t="shared" si="24"/>
        <v>1.5400000000000002E-5</v>
      </c>
      <c r="AF205">
        <v>1.54</v>
      </c>
      <c r="AG205" s="140">
        <f t="shared" si="25"/>
        <v>1.5399999999999998E-7</v>
      </c>
      <c r="AH205" s="140">
        <f t="shared" si="26"/>
        <v>3.0800000000000001E-7</v>
      </c>
      <c r="AI205" s="140">
        <f t="shared" si="27"/>
        <v>4.6200000000000003E-7</v>
      </c>
      <c r="AJ205" s="140">
        <f t="shared" si="28"/>
        <v>6.1600000000000012E-7</v>
      </c>
      <c r="AK205" s="140">
        <f t="shared" si="29"/>
        <v>7.7000000000000015E-7</v>
      </c>
      <c r="AL205" s="157">
        <f t="shared" si="30"/>
        <v>1.2</v>
      </c>
      <c r="AM205" s="156">
        <f t="shared" si="31"/>
        <v>9.9999999999999995E-8</v>
      </c>
      <c r="AO205" s="140">
        <f t="shared" si="32"/>
        <v>1.5400000000000002E-5</v>
      </c>
      <c r="AP205">
        <v>1.54</v>
      </c>
      <c r="AQ205" s="140">
        <f t="shared" si="33"/>
        <v>1.5399999999999998E-7</v>
      </c>
      <c r="AR205" s="140">
        <f t="shared" si="34"/>
        <v>3.0800000000000001E-7</v>
      </c>
      <c r="AS205" s="140">
        <f t="shared" si="35"/>
        <v>4.6200000000000003E-7</v>
      </c>
      <c r="AT205" s="140">
        <f t="shared" si="36"/>
        <v>6.1600000000000012E-7</v>
      </c>
      <c r="AU205" s="140">
        <f t="shared" si="37"/>
        <v>7.7000000000000015E-7</v>
      </c>
      <c r="AV205" s="157">
        <f t="shared" si="38"/>
        <v>1.2</v>
      </c>
      <c r="AW205" s="156">
        <f t="shared" si="39"/>
        <v>9.9999999999999995E-8</v>
      </c>
      <c r="AY205" s="140">
        <f t="shared" si="40"/>
        <v>1.5400000000000002E-5</v>
      </c>
      <c r="AZ205">
        <v>1.54</v>
      </c>
      <c r="BA205" s="140">
        <f t="shared" si="41"/>
        <v>1.5399999999999998E-7</v>
      </c>
      <c r="BB205" s="140">
        <f t="shared" si="42"/>
        <v>3.0800000000000001E-7</v>
      </c>
      <c r="BC205" s="140">
        <f t="shared" si="43"/>
        <v>4.6200000000000003E-7</v>
      </c>
      <c r="BD205" s="140">
        <f t="shared" si="44"/>
        <v>6.1600000000000012E-7</v>
      </c>
      <c r="BE205" s="140">
        <f t="shared" si="45"/>
        <v>7.7000000000000015E-7</v>
      </c>
      <c r="BF205" s="157">
        <f>IF(AY205&lt;$B$89*DATA!$H$1037,DATA!$H$1037,IF(AY205&gt;DATA!$H$1036*$B$89,DATA!$H$1036,1))</f>
        <v>1.2</v>
      </c>
      <c r="BG205" s="156">
        <f t="shared" si="46"/>
        <v>9.9999999999999995E-8</v>
      </c>
      <c r="BI205" s="140">
        <f t="shared" si="47"/>
        <v>1.5400000000000002E-5</v>
      </c>
      <c r="BJ205">
        <v>1.54</v>
      </c>
      <c r="BK205" s="140">
        <f t="shared" si="48"/>
        <v>1.5399999999999998E-7</v>
      </c>
      <c r="BL205" s="140">
        <f t="shared" si="49"/>
        <v>3.0800000000000001E-7</v>
      </c>
      <c r="BM205" s="140">
        <f t="shared" si="50"/>
        <v>4.6200000000000003E-7</v>
      </c>
      <c r="BN205" s="140">
        <f t="shared" si="51"/>
        <v>6.1600000000000012E-7</v>
      </c>
      <c r="BO205" s="140">
        <f t="shared" si="52"/>
        <v>7.7000000000000015E-7</v>
      </c>
      <c r="BP205" s="157">
        <f>IF(BI205&lt;$B$105*DATA!$H$1037,DATA!$H$1037,IF(BI205&gt;DATA!$H$1036*$B$105,DATA!$H$1036,1))</f>
        <v>1.2</v>
      </c>
      <c r="BQ205" s="156">
        <f t="shared" si="53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56"/>
        <v>1.5599999999999997E-7</v>
      </c>
      <c r="D206" s="140">
        <f t="shared" si="56"/>
        <v>3.1200000000000004E-7</v>
      </c>
      <c r="E206" s="140">
        <f t="shared" si="56"/>
        <v>4.6800000000000006E-7</v>
      </c>
      <c r="F206" s="140">
        <f t="shared" si="56"/>
        <v>6.2400000000000019E-7</v>
      </c>
      <c r="G206" s="140">
        <f t="shared" si="56"/>
        <v>7.8000000000000016E-7</v>
      </c>
      <c r="H206" s="124">
        <f t="shared" si="6"/>
        <v>0.8</v>
      </c>
      <c r="I206" s="156">
        <f t="shared" si="7"/>
        <v>9.9999999999999995E-8</v>
      </c>
      <c r="K206" s="140">
        <f t="shared" si="8"/>
        <v>1.5600000000000003E-5</v>
      </c>
      <c r="L206">
        <v>1.56</v>
      </c>
      <c r="M206" s="140">
        <f t="shared" si="9"/>
        <v>1.5599999999999997E-7</v>
      </c>
      <c r="N206" s="140">
        <f t="shared" si="10"/>
        <v>3.1200000000000004E-7</v>
      </c>
      <c r="O206" s="140">
        <f t="shared" si="11"/>
        <v>4.6800000000000006E-7</v>
      </c>
      <c r="P206" s="140">
        <f t="shared" si="12"/>
        <v>6.2400000000000019E-7</v>
      </c>
      <c r="Q206" s="140">
        <f t="shared" si="13"/>
        <v>7.8000000000000016E-7</v>
      </c>
      <c r="R206" s="157">
        <f t="shared" si="14"/>
        <v>0.8</v>
      </c>
      <c r="S206" s="156">
        <f t="shared" si="15"/>
        <v>9.9999999999999995E-8</v>
      </c>
      <c r="U206" s="140">
        <f t="shared" si="16"/>
        <v>1.5600000000000003E-5</v>
      </c>
      <c r="V206">
        <v>1.56</v>
      </c>
      <c r="W206" s="140">
        <f t="shared" si="17"/>
        <v>1.5599999999999997E-7</v>
      </c>
      <c r="X206" s="140">
        <f t="shared" si="18"/>
        <v>3.1200000000000004E-7</v>
      </c>
      <c r="Y206" s="140">
        <f t="shared" si="19"/>
        <v>4.6800000000000006E-7</v>
      </c>
      <c r="Z206" s="140">
        <f t="shared" si="20"/>
        <v>6.2400000000000019E-7</v>
      </c>
      <c r="AA206" s="140">
        <f t="shared" si="21"/>
        <v>7.8000000000000016E-7</v>
      </c>
      <c r="AB206" s="157">
        <f t="shared" si="22"/>
        <v>0.8</v>
      </c>
      <c r="AC206" s="156">
        <f t="shared" si="23"/>
        <v>9.9999999999999995E-8</v>
      </c>
      <c r="AE206" s="140">
        <f t="shared" si="24"/>
        <v>1.5600000000000003E-5</v>
      </c>
      <c r="AF206">
        <v>1.56</v>
      </c>
      <c r="AG206" s="140">
        <f t="shared" si="25"/>
        <v>1.5599999999999997E-7</v>
      </c>
      <c r="AH206" s="140">
        <f t="shared" si="26"/>
        <v>3.1200000000000004E-7</v>
      </c>
      <c r="AI206" s="140">
        <f t="shared" si="27"/>
        <v>4.6800000000000006E-7</v>
      </c>
      <c r="AJ206" s="140">
        <f t="shared" si="28"/>
        <v>6.2400000000000019E-7</v>
      </c>
      <c r="AK206" s="140">
        <f t="shared" si="29"/>
        <v>7.8000000000000016E-7</v>
      </c>
      <c r="AL206" s="157">
        <f t="shared" si="30"/>
        <v>1.2</v>
      </c>
      <c r="AM206" s="156">
        <f t="shared" si="31"/>
        <v>9.9999999999999995E-8</v>
      </c>
      <c r="AO206" s="140">
        <f t="shared" si="32"/>
        <v>1.5600000000000003E-5</v>
      </c>
      <c r="AP206">
        <v>1.56</v>
      </c>
      <c r="AQ206" s="140">
        <f t="shared" si="33"/>
        <v>1.5599999999999997E-7</v>
      </c>
      <c r="AR206" s="140">
        <f t="shared" si="34"/>
        <v>3.1200000000000004E-7</v>
      </c>
      <c r="AS206" s="140">
        <f t="shared" si="35"/>
        <v>4.6800000000000006E-7</v>
      </c>
      <c r="AT206" s="140">
        <f t="shared" si="36"/>
        <v>6.2400000000000019E-7</v>
      </c>
      <c r="AU206" s="140">
        <f t="shared" si="37"/>
        <v>7.8000000000000016E-7</v>
      </c>
      <c r="AV206" s="157">
        <f t="shared" si="38"/>
        <v>1.2</v>
      </c>
      <c r="AW206" s="156">
        <f t="shared" si="39"/>
        <v>9.9999999999999995E-8</v>
      </c>
      <c r="AY206" s="140">
        <f t="shared" si="40"/>
        <v>1.5600000000000003E-5</v>
      </c>
      <c r="AZ206">
        <v>1.56</v>
      </c>
      <c r="BA206" s="140">
        <f t="shared" si="41"/>
        <v>1.5599999999999997E-7</v>
      </c>
      <c r="BB206" s="140">
        <f t="shared" si="42"/>
        <v>3.1200000000000004E-7</v>
      </c>
      <c r="BC206" s="140">
        <f t="shared" si="43"/>
        <v>4.6800000000000006E-7</v>
      </c>
      <c r="BD206" s="140">
        <f t="shared" si="44"/>
        <v>6.2400000000000019E-7</v>
      </c>
      <c r="BE206" s="140">
        <f t="shared" si="45"/>
        <v>7.8000000000000016E-7</v>
      </c>
      <c r="BF206" s="157">
        <f>IF(AY206&lt;$B$89*DATA!$H$1037,DATA!$H$1037,IF(AY206&gt;DATA!$H$1036*$B$89,DATA!$H$1036,1))</f>
        <v>1.2</v>
      </c>
      <c r="BG206" s="156">
        <f t="shared" si="46"/>
        <v>9.9999999999999995E-8</v>
      </c>
      <c r="BI206" s="140">
        <f t="shared" si="47"/>
        <v>1.5600000000000003E-5</v>
      </c>
      <c r="BJ206">
        <v>1.56</v>
      </c>
      <c r="BK206" s="140">
        <f t="shared" si="48"/>
        <v>1.5599999999999997E-7</v>
      </c>
      <c r="BL206" s="140">
        <f t="shared" si="49"/>
        <v>3.1200000000000004E-7</v>
      </c>
      <c r="BM206" s="140">
        <f t="shared" si="50"/>
        <v>4.6800000000000006E-7</v>
      </c>
      <c r="BN206" s="140">
        <f t="shared" si="51"/>
        <v>6.2400000000000019E-7</v>
      </c>
      <c r="BO206" s="140">
        <f t="shared" si="52"/>
        <v>7.8000000000000016E-7</v>
      </c>
      <c r="BP206" s="157">
        <f>IF(BI206&lt;$B$105*DATA!$H$1037,DATA!$H$1037,IF(BI206&gt;DATA!$H$1036*$B$105,DATA!$H$1036,1))</f>
        <v>1.2</v>
      </c>
      <c r="BQ206" s="156">
        <f t="shared" si="53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ref="C207:G222" si="57">C$142*$A207</f>
        <v>1.5799999999999996E-7</v>
      </c>
      <c r="D207" s="140">
        <f t="shared" si="57"/>
        <v>3.1599999999999997E-7</v>
      </c>
      <c r="E207" s="140">
        <f t="shared" si="57"/>
        <v>4.7400000000000004E-7</v>
      </c>
      <c r="F207" s="140">
        <f t="shared" si="57"/>
        <v>6.3200000000000005E-7</v>
      </c>
      <c r="G207" s="140">
        <f t="shared" si="57"/>
        <v>7.9000000000000006E-7</v>
      </c>
      <c r="H207" s="124">
        <f t="shared" si="6"/>
        <v>0.8</v>
      </c>
      <c r="I207" s="156">
        <f t="shared" si="7"/>
        <v>9.9999999999999995E-8</v>
      </c>
      <c r="K207" s="140">
        <f t="shared" si="8"/>
        <v>1.5800000000000001E-5</v>
      </c>
      <c r="L207">
        <v>1.58</v>
      </c>
      <c r="M207" s="140">
        <f t="shared" si="9"/>
        <v>1.5799999999999996E-7</v>
      </c>
      <c r="N207" s="140">
        <f t="shared" si="10"/>
        <v>3.1599999999999997E-7</v>
      </c>
      <c r="O207" s="140">
        <f t="shared" si="11"/>
        <v>4.7400000000000004E-7</v>
      </c>
      <c r="P207" s="140">
        <f t="shared" ref="P207:P270" si="58">P$142*$K207</f>
        <v>6.3200000000000005E-7</v>
      </c>
      <c r="Q207" s="140">
        <f t="shared" si="13"/>
        <v>7.9000000000000006E-7</v>
      </c>
      <c r="R207" s="157">
        <f t="shared" si="14"/>
        <v>0.8</v>
      </c>
      <c r="S207" s="156">
        <f t="shared" si="15"/>
        <v>9.9999999999999995E-8</v>
      </c>
      <c r="U207" s="140">
        <f t="shared" si="16"/>
        <v>1.5800000000000001E-5</v>
      </c>
      <c r="V207">
        <v>1.58</v>
      </c>
      <c r="W207" s="140">
        <f t="shared" si="17"/>
        <v>1.5799999999999996E-7</v>
      </c>
      <c r="X207" s="140">
        <f t="shared" si="18"/>
        <v>3.1599999999999997E-7</v>
      </c>
      <c r="Y207" s="140">
        <f t="shared" si="19"/>
        <v>4.7400000000000004E-7</v>
      </c>
      <c r="Z207" s="140">
        <f t="shared" si="20"/>
        <v>6.3200000000000005E-7</v>
      </c>
      <c r="AA207" s="140">
        <f t="shared" si="21"/>
        <v>7.9000000000000006E-7</v>
      </c>
      <c r="AB207" s="157">
        <f t="shared" si="22"/>
        <v>0.8</v>
      </c>
      <c r="AC207" s="156">
        <f t="shared" si="23"/>
        <v>9.9999999999999995E-8</v>
      </c>
      <c r="AE207" s="140">
        <f t="shared" si="24"/>
        <v>1.5800000000000001E-5</v>
      </c>
      <c r="AF207">
        <v>1.58</v>
      </c>
      <c r="AG207" s="140">
        <f t="shared" si="25"/>
        <v>1.5799999999999996E-7</v>
      </c>
      <c r="AH207" s="140">
        <f t="shared" si="26"/>
        <v>3.1599999999999997E-7</v>
      </c>
      <c r="AI207" s="140">
        <f t="shared" si="27"/>
        <v>4.7400000000000004E-7</v>
      </c>
      <c r="AJ207" s="140">
        <f t="shared" si="28"/>
        <v>6.3200000000000005E-7</v>
      </c>
      <c r="AK207" s="140">
        <f t="shared" si="29"/>
        <v>7.9000000000000006E-7</v>
      </c>
      <c r="AL207" s="157">
        <f t="shared" si="30"/>
        <v>1.2</v>
      </c>
      <c r="AM207" s="156">
        <f t="shared" si="31"/>
        <v>9.9999999999999995E-8</v>
      </c>
      <c r="AO207" s="140">
        <f t="shared" si="32"/>
        <v>1.5800000000000001E-5</v>
      </c>
      <c r="AP207">
        <v>1.58</v>
      </c>
      <c r="AQ207" s="140">
        <f t="shared" si="33"/>
        <v>1.5799999999999996E-7</v>
      </c>
      <c r="AR207" s="140">
        <f t="shared" si="34"/>
        <v>3.1599999999999997E-7</v>
      </c>
      <c r="AS207" s="140">
        <f t="shared" si="35"/>
        <v>4.7400000000000004E-7</v>
      </c>
      <c r="AT207" s="140">
        <f t="shared" si="36"/>
        <v>6.3200000000000005E-7</v>
      </c>
      <c r="AU207" s="140">
        <f t="shared" si="37"/>
        <v>7.9000000000000006E-7</v>
      </c>
      <c r="AV207" s="157">
        <f t="shared" si="38"/>
        <v>1.2</v>
      </c>
      <c r="AW207" s="156">
        <f t="shared" si="39"/>
        <v>9.9999999999999995E-8</v>
      </c>
      <c r="AY207" s="140">
        <f t="shared" si="40"/>
        <v>1.5800000000000001E-5</v>
      </c>
      <c r="AZ207">
        <v>1.58</v>
      </c>
      <c r="BA207" s="140">
        <f t="shared" si="41"/>
        <v>1.5799999999999996E-7</v>
      </c>
      <c r="BB207" s="140">
        <f t="shared" si="42"/>
        <v>3.1599999999999997E-7</v>
      </c>
      <c r="BC207" s="140">
        <f t="shared" si="43"/>
        <v>4.7400000000000004E-7</v>
      </c>
      <c r="BD207" s="140">
        <f t="shared" si="44"/>
        <v>6.3200000000000005E-7</v>
      </c>
      <c r="BE207" s="140">
        <f t="shared" si="45"/>
        <v>7.9000000000000006E-7</v>
      </c>
      <c r="BF207" s="157">
        <f>IF(AY207&lt;$B$89*DATA!$H$1037,DATA!$H$1037,IF(AY207&gt;DATA!$H$1036*$B$89,DATA!$H$1036,1))</f>
        <v>1.2</v>
      </c>
      <c r="BG207" s="156">
        <f t="shared" si="46"/>
        <v>9.9999999999999995E-8</v>
      </c>
      <c r="BI207" s="140">
        <f t="shared" si="47"/>
        <v>1.5800000000000001E-5</v>
      </c>
      <c r="BJ207">
        <v>1.58</v>
      </c>
      <c r="BK207" s="140">
        <f t="shared" si="48"/>
        <v>1.5799999999999996E-7</v>
      </c>
      <c r="BL207" s="140">
        <f t="shared" si="49"/>
        <v>3.1599999999999997E-7</v>
      </c>
      <c r="BM207" s="140">
        <f t="shared" si="50"/>
        <v>4.7400000000000004E-7</v>
      </c>
      <c r="BN207" s="140">
        <f t="shared" si="51"/>
        <v>6.3200000000000005E-7</v>
      </c>
      <c r="BO207" s="140">
        <f t="shared" si="52"/>
        <v>7.9000000000000006E-7</v>
      </c>
      <c r="BP207" s="157">
        <f>IF(BI207&lt;$B$105*DATA!$H$1037,DATA!$H$1037,IF(BI207&gt;DATA!$H$1036*$B$105,DATA!$H$1036,1))</f>
        <v>1.2</v>
      </c>
      <c r="BQ207" s="156">
        <f t="shared" si="53"/>
        <v>9.9999999999999995E-8</v>
      </c>
    </row>
    <row r="208" spans="1:69">
      <c r="A208" s="140">
        <f t="shared" ref="A208:A271" si="59">B208*B$136</f>
        <v>1.6000000000000003E-5</v>
      </c>
      <c r="B208">
        <v>1.6</v>
      </c>
      <c r="C208" s="140">
        <f t="shared" si="57"/>
        <v>1.5999999999999998E-7</v>
      </c>
      <c r="D208" s="140">
        <f t="shared" si="57"/>
        <v>3.2000000000000001E-7</v>
      </c>
      <c r="E208" s="140">
        <f t="shared" si="57"/>
        <v>4.8000000000000006E-7</v>
      </c>
      <c r="F208" s="140">
        <f t="shared" si="57"/>
        <v>6.4000000000000012E-7</v>
      </c>
      <c r="G208" s="140">
        <f t="shared" si="57"/>
        <v>8.0000000000000018E-7</v>
      </c>
      <c r="H208" s="124">
        <f t="shared" ref="H208:H271" si="60">IF(A208&lt;$B$9*0.8,0.8,IF(A208&gt;1.2*$B$9,1.2,1))</f>
        <v>0.8</v>
      </c>
      <c r="I208" s="156">
        <f t="shared" ref="I208:I271" si="61">IF(OR(B$134=0,B$133=0),0.0000001,IF(H208=1,B$134,A208*((B$134*B$138)/(H208*B$133)+0.023*LOG10(H208*B$133/A208))/B$138))</f>
        <v>9.9999999999999995E-8</v>
      </c>
      <c r="K208" s="140">
        <f t="shared" ref="K208:K271" si="62">L208*L$136</f>
        <v>1.6000000000000003E-5</v>
      </c>
      <c r="L208">
        <v>1.6</v>
      </c>
      <c r="M208" s="140">
        <f t="shared" ref="M208:M271" si="63">M$142*K208</f>
        <v>1.5999999999999998E-7</v>
      </c>
      <c r="N208" s="140">
        <f t="shared" ref="N208:N271" si="64">N$142*K208</f>
        <v>3.2000000000000001E-7</v>
      </c>
      <c r="O208" s="140">
        <f t="shared" ref="O208:O271" si="65">O$142*K208</f>
        <v>4.8000000000000006E-7</v>
      </c>
      <c r="P208" s="140">
        <f t="shared" si="58"/>
        <v>6.4000000000000012E-7</v>
      </c>
      <c r="Q208" s="140">
        <f t="shared" ref="Q208:Q271" si="66">Q$142*K208</f>
        <v>8.0000000000000018E-7</v>
      </c>
      <c r="R208" s="157">
        <f t="shared" ref="R208:R271" si="67">IF(K208&lt;$B$25*0.8,0.8,IF(K208&gt;1.2*$B$25,1.2,1))</f>
        <v>0.8</v>
      </c>
      <c r="S208" s="156">
        <f t="shared" ref="S208:S271" si="68">IF(OR(L$134=0,L$133=0),0.0000001,IF(R208=1,L$134,K208*((L$134*L$138)/(R208*L$133)+0.023*LOG10(R208*L$133/K208))/L$138))</f>
        <v>9.9999999999999995E-8</v>
      </c>
      <c r="U208" s="140">
        <f t="shared" ref="U208:U271" si="69">V208*V$136</f>
        <v>1.6000000000000003E-5</v>
      </c>
      <c r="V208">
        <v>1.6</v>
      </c>
      <c r="W208" s="140">
        <f t="shared" ref="W208:W271" si="70">W$142*U208</f>
        <v>1.5999999999999998E-7</v>
      </c>
      <c r="X208" s="140">
        <f t="shared" ref="X208:X271" si="71">X$142*U208</f>
        <v>3.2000000000000001E-7</v>
      </c>
      <c r="Y208" s="140">
        <f t="shared" ref="Y208:Y271" si="72">Y$142*U208</f>
        <v>4.8000000000000006E-7</v>
      </c>
      <c r="Z208" s="140">
        <f t="shared" ref="Z208:Z271" si="73">Z$142*U208</f>
        <v>6.4000000000000012E-7</v>
      </c>
      <c r="AA208" s="140">
        <f t="shared" ref="AA208:AA271" si="74">AA$142*U208</f>
        <v>8.0000000000000018E-7</v>
      </c>
      <c r="AB208" s="157">
        <f t="shared" ref="AB208:AB271" si="75">IF(U208&lt;$B$41*0.8,0.8,IF(U208&gt;1.2*$B$41,1.2,1))</f>
        <v>0.8</v>
      </c>
      <c r="AC208" s="156">
        <f t="shared" ref="AC208:AC271" si="76">IF(OR(V$134=0,V$133=0),0.0000001,IF(AB208=1,V$134,U208*((V$134*V$138)/(AB208*V$133)+0.023*LOG10(AB208*V$133/U208))/V$138))</f>
        <v>9.9999999999999995E-8</v>
      </c>
      <c r="AE208" s="140">
        <f t="shared" ref="AE208:AE271" si="77">AF208*AF$136</f>
        <v>1.6000000000000003E-5</v>
      </c>
      <c r="AF208">
        <v>1.6</v>
      </c>
      <c r="AG208" s="140">
        <f t="shared" ref="AG208:AG271" si="78">AG$142*AE208</f>
        <v>1.5999999999999998E-7</v>
      </c>
      <c r="AH208" s="140">
        <f t="shared" ref="AH208:AH271" si="79">AH$142*AE208</f>
        <v>3.2000000000000001E-7</v>
      </c>
      <c r="AI208" s="140">
        <f t="shared" ref="AI208:AI271" si="80">AI$142*AE208</f>
        <v>4.8000000000000006E-7</v>
      </c>
      <c r="AJ208" s="140">
        <f t="shared" ref="AJ208:AJ271" si="81">AJ$142*AE208</f>
        <v>6.4000000000000012E-7</v>
      </c>
      <c r="AK208" s="140">
        <f t="shared" ref="AK208:AK271" si="82">AK$142*AE208</f>
        <v>8.0000000000000018E-7</v>
      </c>
      <c r="AL208" s="157">
        <f t="shared" ref="AL208:AL271" si="83">IF(AE208&lt;$B$57*0.8,0.8,IF(AE208&gt;1.2*$B$57,1.2,1))</f>
        <v>1.2</v>
      </c>
      <c r="AM208" s="156">
        <f t="shared" ref="AM208:AM271" si="84">IF(OR(AF$134=0,AF$133=0),0.0000001,IF(AL208=1,AF$134,AE208*((AF$134*AF$138)/(AL208*AF$133)+0.023*LOG10(AL208*AF$133/AE208))/AF$138))</f>
        <v>9.9999999999999995E-8</v>
      </c>
      <c r="AO208" s="140">
        <f t="shared" ref="AO208:AO271" si="85">AP208*AP$136</f>
        <v>1.6000000000000003E-5</v>
      </c>
      <c r="AP208">
        <v>1.6</v>
      </c>
      <c r="AQ208" s="140">
        <f t="shared" ref="AQ208:AQ271" si="86">AQ$142*AO208</f>
        <v>1.5999999999999998E-7</v>
      </c>
      <c r="AR208" s="140">
        <f t="shared" ref="AR208:AR271" si="87">AR$142*AO208</f>
        <v>3.2000000000000001E-7</v>
      </c>
      <c r="AS208" s="140">
        <f t="shared" ref="AS208:AS271" si="88">AS$142*AO208</f>
        <v>4.8000000000000006E-7</v>
      </c>
      <c r="AT208" s="140">
        <f t="shared" ref="AT208:AT271" si="89">AT$142*AO208</f>
        <v>6.4000000000000012E-7</v>
      </c>
      <c r="AU208" s="140">
        <f t="shared" ref="AU208:AU271" si="90">AU$142*AO208</f>
        <v>8.0000000000000018E-7</v>
      </c>
      <c r="AV208" s="157">
        <f t="shared" ref="AV208:AV271" si="91">IF(AO208&lt;$B$73*0.8,0.8,IF(AO208&gt;1.2*$B$73,1.2,1))</f>
        <v>1.2</v>
      </c>
      <c r="AW208" s="156">
        <f t="shared" ref="AW208:AW271" si="92">IF(OR(AP$134=0,AP$133=0),0.0000001,IF(AV208=1,AP$134,AO208*((AP$134*AP$138)/(AV208*AP$133)+0.023*LOG10(AV208*AP$133/AO208))/AP$138))</f>
        <v>9.9999999999999995E-8</v>
      </c>
      <c r="AY208" s="140">
        <f t="shared" ref="AY208:AY271" si="93">AZ208*AZ$136</f>
        <v>1.6000000000000003E-5</v>
      </c>
      <c r="AZ208">
        <v>1.6</v>
      </c>
      <c r="BA208" s="140">
        <f t="shared" ref="BA208:BA271" si="94">BA$142*AY208</f>
        <v>1.5999999999999998E-7</v>
      </c>
      <c r="BB208" s="140">
        <f t="shared" ref="BB208:BB271" si="95">BB$142*AY208</f>
        <v>3.2000000000000001E-7</v>
      </c>
      <c r="BC208" s="140">
        <f t="shared" ref="BC208:BC271" si="96">BC$142*AY208</f>
        <v>4.8000000000000006E-7</v>
      </c>
      <c r="BD208" s="140">
        <f t="shared" ref="BD208:BD271" si="97">BD$142*AY208</f>
        <v>6.4000000000000012E-7</v>
      </c>
      <c r="BE208" s="140">
        <f t="shared" ref="BE208:BE271" si="98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9">IF(OR(AZ$134=0,AZ$133=0),0.0000001,IF(BF208=1,AZ$134,AY208*((AZ$134*AZ$138)/(BF208*AZ$133)+0.023*LOG10(BF208*AZ$133/AY208))/AZ$138))</f>
        <v>9.9999999999999995E-8</v>
      </c>
      <c r="BI208" s="140">
        <f t="shared" ref="BI208:BI271" si="100">BJ208*BJ$136</f>
        <v>1.6000000000000003E-5</v>
      </c>
      <c r="BJ208">
        <v>1.6</v>
      </c>
      <c r="BK208" s="140">
        <f t="shared" ref="BK208:BK271" si="101">BK$142*BI208</f>
        <v>1.5999999999999998E-7</v>
      </c>
      <c r="BL208" s="140">
        <f t="shared" ref="BL208:BL271" si="102">BL$142*BI208</f>
        <v>3.2000000000000001E-7</v>
      </c>
      <c r="BM208" s="140">
        <f t="shared" ref="BM208:BM271" si="103">BM$142*BI208</f>
        <v>4.8000000000000006E-7</v>
      </c>
      <c r="BN208" s="140">
        <f t="shared" ref="BN208:BN271" si="104">BN$142*BI208</f>
        <v>6.4000000000000012E-7</v>
      </c>
      <c r="BO208" s="140">
        <f t="shared" ref="BO208:BO271" si="105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106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9"/>
        <v>1.6200000000000001E-5</v>
      </c>
      <c r="B209">
        <v>1.62</v>
      </c>
      <c r="C209" s="140">
        <f t="shared" si="57"/>
        <v>1.6199999999999994E-7</v>
      </c>
      <c r="D209" s="140">
        <f t="shared" si="57"/>
        <v>3.2399999999999999E-7</v>
      </c>
      <c r="E209" s="140">
        <f t="shared" si="57"/>
        <v>4.8599999999999998E-7</v>
      </c>
      <c r="F209" s="140">
        <f t="shared" si="57"/>
        <v>6.4800000000000009E-7</v>
      </c>
      <c r="G209" s="140">
        <f t="shared" si="57"/>
        <v>8.1000000000000008E-7</v>
      </c>
      <c r="H209" s="124">
        <f t="shared" si="60"/>
        <v>0.8</v>
      </c>
      <c r="I209" s="156">
        <f t="shared" si="61"/>
        <v>9.9999999999999995E-8</v>
      </c>
      <c r="K209" s="140">
        <f t="shared" si="62"/>
        <v>1.6200000000000001E-5</v>
      </c>
      <c r="L209">
        <v>1.62</v>
      </c>
      <c r="M209" s="140">
        <f t="shared" si="63"/>
        <v>1.6199999999999994E-7</v>
      </c>
      <c r="N209" s="140">
        <f t="shared" si="64"/>
        <v>3.2399999999999999E-7</v>
      </c>
      <c r="O209" s="140">
        <f t="shared" si="65"/>
        <v>4.8599999999999998E-7</v>
      </c>
      <c r="P209" s="140">
        <f t="shared" si="58"/>
        <v>6.4800000000000009E-7</v>
      </c>
      <c r="Q209" s="140">
        <f t="shared" si="66"/>
        <v>8.1000000000000008E-7</v>
      </c>
      <c r="R209" s="157">
        <f t="shared" si="67"/>
        <v>0.8</v>
      </c>
      <c r="S209" s="156">
        <f t="shared" si="68"/>
        <v>9.9999999999999995E-8</v>
      </c>
      <c r="U209" s="140">
        <f t="shared" si="69"/>
        <v>1.6200000000000001E-5</v>
      </c>
      <c r="V209">
        <v>1.62</v>
      </c>
      <c r="W209" s="140">
        <f t="shared" si="70"/>
        <v>1.6199999999999994E-7</v>
      </c>
      <c r="X209" s="140">
        <f t="shared" si="71"/>
        <v>3.2399999999999999E-7</v>
      </c>
      <c r="Y209" s="140">
        <f t="shared" si="72"/>
        <v>4.8599999999999998E-7</v>
      </c>
      <c r="Z209" s="140">
        <f t="shared" si="73"/>
        <v>6.4800000000000009E-7</v>
      </c>
      <c r="AA209" s="140">
        <f t="shared" si="74"/>
        <v>8.1000000000000008E-7</v>
      </c>
      <c r="AB209" s="157">
        <f t="shared" si="75"/>
        <v>0.8</v>
      </c>
      <c r="AC209" s="156">
        <f t="shared" si="76"/>
        <v>9.9999999999999995E-8</v>
      </c>
      <c r="AE209" s="140">
        <f t="shared" si="77"/>
        <v>1.6200000000000001E-5</v>
      </c>
      <c r="AF209">
        <v>1.62</v>
      </c>
      <c r="AG209" s="140">
        <f t="shared" si="78"/>
        <v>1.6199999999999994E-7</v>
      </c>
      <c r="AH209" s="140">
        <f t="shared" si="79"/>
        <v>3.2399999999999999E-7</v>
      </c>
      <c r="AI209" s="140">
        <f t="shared" si="80"/>
        <v>4.8599999999999998E-7</v>
      </c>
      <c r="AJ209" s="140">
        <f t="shared" si="81"/>
        <v>6.4800000000000009E-7</v>
      </c>
      <c r="AK209" s="140">
        <f t="shared" si="82"/>
        <v>8.1000000000000008E-7</v>
      </c>
      <c r="AL209" s="157">
        <f t="shared" si="83"/>
        <v>1.2</v>
      </c>
      <c r="AM209" s="156">
        <f t="shared" si="84"/>
        <v>9.9999999999999995E-8</v>
      </c>
      <c r="AO209" s="140">
        <f t="shared" si="85"/>
        <v>1.6200000000000001E-5</v>
      </c>
      <c r="AP209">
        <v>1.62</v>
      </c>
      <c r="AQ209" s="140">
        <f t="shared" si="86"/>
        <v>1.6199999999999994E-7</v>
      </c>
      <c r="AR209" s="140">
        <f t="shared" si="87"/>
        <v>3.2399999999999999E-7</v>
      </c>
      <c r="AS209" s="140">
        <f t="shared" si="88"/>
        <v>4.8599999999999998E-7</v>
      </c>
      <c r="AT209" s="140">
        <f t="shared" si="89"/>
        <v>6.4800000000000009E-7</v>
      </c>
      <c r="AU209" s="140">
        <f t="shared" si="90"/>
        <v>8.1000000000000008E-7</v>
      </c>
      <c r="AV209" s="157">
        <f t="shared" si="91"/>
        <v>1.2</v>
      </c>
      <c r="AW209" s="156">
        <f t="shared" si="92"/>
        <v>9.9999999999999995E-8</v>
      </c>
      <c r="AY209" s="140">
        <f t="shared" si="93"/>
        <v>1.6200000000000001E-5</v>
      </c>
      <c r="AZ209">
        <v>1.62</v>
      </c>
      <c r="BA209" s="140">
        <f t="shared" si="94"/>
        <v>1.6199999999999994E-7</v>
      </c>
      <c r="BB209" s="140">
        <f t="shared" si="95"/>
        <v>3.2399999999999999E-7</v>
      </c>
      <c r="BC209" s="140">
        <f t="shared" si="96"/>
        <v>4.8599999999999998E-7</v>
      </c>
      <c r="BD209" s="140">
        <f t="shared" si="97"/>
        <v>6.4800000000000009E-7</v>
      </c>
      <c r="BE209" s="140">
        <f t="shared" si="98"/>
        <v>8.1000000000000008E-7</v>
      </c>
      <c r="BF209" s="157">
        <f>IF(AY209&lt;$B$89*DATA!$H$1037,DATA!$H$1037,IF(AY209&gt;DATA!$H$1036*$B$89,DATA!$H$1036,1))</f>
        <v>1.2</v>
      </c>
      <c r="BG209" s="156">
        <f t="shared" si="99"/>
        <v>9.9999999999999995E-8</v>
      </c>
      <c r="BI209" s="140">
        <f t="shared" si="100"/>
        <v>1.6200000000000001E-5</v>
      </c>
      <c r="BJ209">
        <v>1.62</v>
      </c>
      <c r="BK209" s="140">
        <f t="shared" si="101"/>
        <v>1.6199999999999994E-7</v>
      </c>
      <c r="BL209" s="140">
        <f t="shared" si="102"/>
        <v>3.2399999999999999E-7</v>
      </c>
      <c r="BM209" s="140">
        <f t="shared" si="103"/>
        <v>4.8599999999999998E-7</v>
      </c>
      <c r="BN209" s="140">
        <f t="shared" si="104"/>
        <v>6.4800000000000009E-7</v>
      </c>
      <c r="BO209" s="140">
        <f t="shared" si="105"/>
        <v>8.1000000000000008E-7</v>
      </c>
      <c r="BP209" s="157">
        <f>IF(BI209&lt;$B$105*DATA!$H$1037,DATA!$H$1037,IF(BI209&gt;DATA!$H$1036*$B$105,DATA!$H$1036,1))</f>
        <v>1.2</v>
      </c>
      <c r="BQ209" s="156">
        <f t="shared" si="106"/>
        <v>9.9999999999999995E-8</v>
      </c>
    </row>
    <row r="210" spans="1:69">
      <c r="A210" s="140">
        <f t="shared" si="59"/>
        <v>1.6399999999999999E-5</v>
      </c>
      <c r="B210">
        <v>1.64</v>
      </c>
      <c r="C210" s="140">
        <f t="shared" si="57"/>
        <v>1.6399999999999993E-7</v>
      </c>
      <c r="D210" s="140">
        <f t="shared" si="57"/>
        <v>3.2799999999999992E-7</v>
      </c>
      <c r="E210" s="140">
        <f t="shared" si="57"/>
        <v>4.9199999999999991E-7</v>
      </c>
      <c r="F210" s="140">
        <f t="shared" si="57"/>
        <v>6.5599999999999994E-7</v>
      </c>
      <c r="G210" s="140">
        <f t="shared" si="57"/>
        <v>8.1999999999999998E-7</v>
      </c>
      <c r="H210" s="124">
        <f t="shared" si="60"/>
        <v>0.8</v>
      </c>
      <c r="I210" s="156">
        <f t="shared" si="61"/>
        <v>9.9999999999999995E-8</v>
      </c>
      <c r="K210" s="140">
        <f t="shared" si="62"/>
        <v>1.6399999999999999E-5</v>
      </c>
      <c r="L210">
        <v>1.64</v>
      </c>
      <c r="M210" s="140">
        <f t="shared" si="63"/>
        <v>1.6399999999999993E-7</v>
      </c>
      <c r="N210" s="140">
        <f t="shared" si="64"/>
        <v>3.2799999999999992E-7</v>
      </c>
      <c r="O210" s="140">
        <f t="shared" si="65"/>
        <v>4.9199999999999991E-7</v>
      </c>
      <c r="P210" s="140">
        <f t="shared" si="58"/>
        <v>6.5599999999999994E-7</v>
      </c>
      <c r="Q210" s="140">
        <f t="shared" si="66"/>
        <v>8.1999999999999998E-7</v>
      </c>
      <c r="R210" s="157">
        <f t="shared" si="67"/>
        <v>0.8</v>
      </c>
      <c r="S210" s="156">
        <f t="shared" si="68"/>
        <v>9.9999999999999995E-8</v>
      </c>
      <c r="U210" s="140">
        <f t="shared" si="69"/>
        <v>1.6399999999999999E-5</v>
      </c>
      <c r="V210">
        <v>1.64</v>
      </c>
      <c r="W210" s="140">
        <f t="shared" si="70"/>
        <v>1.6399999999999993E-7</v>
      </c>
      <c r="X210" s="140">
        <f t="shared" si="71"/>
        <v>3.2799999999999992E-7</v>
      </c>
      <c r="Y210" s="140">
        <f t="shared" si="72"/>
        <v>4.9199999999999991E-7</v>
      </c>
      <c r="Z210" s="140">
        <f t="shared" si="73"/>
        <v>6.5599999999999994E-7</v>
      </c>
      <c r="AA210" s="140">
        <f t="shared" si="74"/>
        <v>8.1999999999999998E-7</v>
      </c>
      <c r="AB210" s="157">
        <f t="shared" si="75"/>
        <v>0.8</v>
      </c>
      <c r="AC210" s="156">
        <f t="shared" si="76"/>
        <v>9.9999999999999995E-8</v>
      </c>
      <c r="AE210" s="140">
        <f t="shared" si="77"/>
        <v>1.6399999999999999E-5</v>
      </c>
      <c r="AF210">
        <v>1.64</v>
      </c>
      <c r="AG210" s="140">
        <f t="shared" si="78"/>
        <v>1.6399999999999993E-7</v>
      </c>
      <c r="AH210" s="140">
        <f t="shared" si="79"/>
        <v>3.2799999999999992E-7</v>
      </c>
      <c r="AI210" s="140">
        <f t="shared" si="80"/>
        <v>4.9199999999999991E-7</v>
      </c>
      <c r="AJ210" s="140">
        <f t="shared" si="81"/>
        <v>6.5599999999999994E-7</v>
      </c>
      <c r="AK210" s="140">
        <f t="shared" si="82"/>
        <v>8.1999999999999998E-7</v>
      </c>
      <c r="AL210" s="157">
        <f t="shared" si="83"/>
        <v>1.2</v>
      </c>
      <c r="AM210" s="156">
        <f t="shared" si="84"/>
        <v>9.9999999999999995E-8</v>
      </c>
      <c r="AO210" s="140">
        <f t="shared" si="85"/>
        <v>1.6399999999999999E-5</v>
      </c>
      <c r="AP210">
        <v>1.64</v>
      </c>
      <c r="AQ210" s="140">
        <f t="shared" si="86"/>
        <v>1.6399999999999993E-7</v>
      </c>
      <c r="AR210" s="140">
        <f t="shared" si="87"/>
        <v>3.2799999999999992E-7</v>
      </c>
      <c r="AS210" s="140">
        <f t="shared" si="88"/>
        <v>4.9199999999999991E-7</v>
      </c>
      <c r="AT210" s="140">
        <f t="shared" si="89"/>
        <v>6.5599999999999994E-7</v>
      </c>
      <c r="AU210" s="140">
        <f t="shared" si="90"/>
        <v>8.1999999999999998E-7</v>
      </c>
      <c r="AV210" s="157">
        <f t="shared" si="91"/>
        <v>1.2</v>
      </c>
      <c r="AW210" s="156">
        <f t="shared" si="92"/>
        <v>9.9999999999999995E-8</v>
      </c>
      <c r="AY210" s="140">
        <f t="shared" si="93"/>
        <v>1.6399999999999999E-5</v>
      </c>
      <c r="AZ210">
        <v>1.64</v>
      </c>
      <c r="BA210" s="140">
        <f t="shared" si="94"/>
        <v>1.6399999999999993E-7</v>
      </c>
      <c r="BB210" s="140">
        <f t="shared" si="95"/>
        <v>3.2799999999999992E-7</v>
      </c>
      <c r="BC210" s="140">
        <f t="shared" si="96"/>
        <v>4.9199999999999991E-7</v>
      </c>
      <c r="BD210" s="140">
        <f t="shared" si="97"/>
        <v>6.5599999999999994E-7</v>
      </c>
      <c r="BE210" s="140">
        <f t="shared" si="98"/>
        <v>8.1999999999999998E-7</v>
      </c>
      <c r="BF210" s="157">
        <f>IF(AY210&lt;$B$89*DATA!$H$1037,DATA!$H$1037,IF(AY210&gt;DATA!$H$1036*$B$89,DATA!$H$1036,1))</f>
        <v>1.2</v>
      </c>
      <c r="BG210" s="156">
        <f t="shared" si="99"/>
        <v>9.9999999999999995E-8</v>
      </c>
      <c r="BI210" s="140">
        <f t="shared" si="100"/>
        <v>1.6399999999999999E-5</v>
      </c>
      <c r="BJ210">
        <v>1.64</v>
      </c>
      <c r="BK210" s="140">
        <f t="shared" si="101"/>
        <v>1.6399999999999993E-7</v>
      </c>
      <c r="BL210" s="140">
        <f t="shared" si="102"/>
        <v>3.2799999999999992E-7</v>
      </c>
      <c r="BM210" s="140">
        <f t="shared" si="103"/>
        <v>4.9199999999999991E-7</v>
      </c>
      <c r="BN210" s="140">
        <f t="shared" si="104"/>
        <v>6.5599999999999994E-7</v>
      </c>
      <c r="BO210" s="140">
        <f t="shared" si="105"/>
        <v>8.1999999999999998E-7</v>
      </c>
      <c r="BP210" s="157">
        <f>IF(BI210&lt;$B$105*DATA!$H$1037,DATA!$H$1037,IF(BI210&gt;DATA!$H$1036*$B$105,DATA!$H$1036,1))</f>
        <v>1.2</v>
      </c>
      <c r="BQ210" s="156">
        <f t="shared" si="106"/>
        <v>9.9999999999999995E-8</v>
      </c>
    </row>
    <row r="211" spans="1:69">
      <c r="A211" s="140">
        <f t="shared" si="59"/>
        <v>1.66E-5</v>
      </c>
      <c r="B211">
        <v>1.66</v>
      </c>
      <c r="C211" s="140">
        <f t="shared" si="57"/>
        <v>1.6599999999999995E-7</v>
      </c>
      <c r="D211" s="140">
        <f t="shared" si="57"/>
        <v>3.3199999999999996E-7</v>
      </c>
      <c r="E211" s="140">
        <f t="shared" si="57"/>
        <v>4.9800000000000004E-7</v>
      </c>
      <c r="F211" s="140">
        <f t="shared" si="57"/>
        <v>6.6400000000000002E-7</v>
      </c>
      <c r="G211" s="140">
        <f t="shared" si="57"/>
        <v>8.300000000000001E-7</v>
      </c>
      <c r="H211" s="124">
        <f t="shared" si="60"/>
        <v>0.8</v>
      </c>
      <c r="I211" s="156">
        <f t="shared" si="61"/>
        <v>9.9999999999999995E-8</v>
      </c>
      <c r="K211" s="140">
        <f t="shared" si="62"/>
        <v>1.66E-5</v>
      </c>
      <c r="L211">
        <v>1.66</v>
      </c>
      <c r="M211" s="140">
        <f t="shared" si="63"/>
        <v>1.6599999999999995E-7</v>
      </c>
      <c r="N211" s="140">
        <f t="shared" si="64"/>
        <v>3.3199999999999996E-7</v>
      </c>
      <c r="O211" s="140">
        <f t="shared" si="65"/>
        <v>4.9800000000000004E-7</v>
      </c>
      <c r="P211" s="140">
        <f t="shared" si="58"/>
        <v>6.6400000000000002E-7</v>
      </c>
      <c r="Q211" s="140">
        <f t="shared" si="66"/>
        <v>8.300000000000001E-7</v>
      </c>
      <c r="R211" s="157">
        <f t="shared" si="67"/>
        <v>0.8</v>
      </c>
      <c r="S211" s="156">
        <f t="shared" si="68"/>
        <v>9.9999999999999995E-8</v>
      </c>
      <c r="U211" s="140">
        <f t="shared" si="69"/>
        <v>1.66E-5</v>
      </c>
      <c r="V211">
        <v>1.66</v>
      </c>
      <c r="W211" s="140">
        <f t="shared" si="70"/>
        <v>1.6599999999999995E-7</v>
      </c>
      <c r="X211" s="140">
        <f t="shared" si="71"/>
        <v>3.3199999999999996E-7</v>
      </c>
      <c r="Y211" s="140">
        <f t="shared" si="72"/>
        <v>4.9800000000000004E-7</v>
      </c>
      <c r="Z211" s="140">
        <f t="shared" si="73"/>
        <v>6.6400000000000002E-7</v>
      </c>
      <c r="AA211" s="140">
        <f t="shared" si="74"/>
        <v>8.300000000000001E-7</v>
      </c>
      <c r="AB211" s="157">
        <f t="shared" si="75"/>
        <v>0.8</v>
      </c>
      <c r="AC211" s="156">
        <f t="shared" si="76"/>
        <v>9.9999999999999995E-8</v>
      </c>
      <c r="AE211" s="140">
        <f t="shared" si="77"/>
        <v>1.66E-5</v>
      </c>
      <c r="AF211">
        <v>1.66</v>
      </c>
      <c r="AG211" s="140">
        <f t="shared" si="78"/>
        <v>1.6599999999999995E-7</v>
      </c>
      <c r="AH211" s="140">
        <f t="shared" si="79"/>
        <v>3.3199999999999996E-7</v>
      </c>
      <c r="AI211" s="140">
        <f t="shared" si="80"/>
        <v>4.9800000000000004E-7</v>
      </c>
      <c r="AJ211" s="140">
        <f t="shared" si="81"/>
        <v>6.6400000000000002E-7</v>
      </c>
      <c r="AK211" s="140">
        <f t="shared" si="82"/>
        <v>8.300000000000001E-7</v>
      </c>
      <c r="AL211" s="157">
        <f t="shared" si="83"/>
        <v>1.2</v>
      </c>
      <c r="AM211" s="156">
        <f t="shared" si="84"/>
        <v>9.9999999999999995E-8</v>
      </c>
      <c r="AO211" s="140">
        <f t="shared" si="85"/>
        <v>1.66E-5</v>
      </c>
      <c r="AP211">
        <v>1.66</v>
      </c>
      <c r="AQ211" s="140">
        <f t="shared" si="86"/>
        <v>1.6599999999999995E-7</v>
      </c>
      <c r="AR211" s="140">
        <f t="shared" si="87"/>
        <v>3.3199999999999996E-7</v>
      </c>
      <c r="AS211" s="140">
        <f t="shared" si="88"/>
        <v>4.9800000000000004E-7</v>
      </c>
      <c r="AT211" s="140">
        <f t="shared" si="89"/>
        <v>6.6400000000000002E-7</v>
      </c>
      <c r="AU211" s="140">
        <f t="shared" si="90"/>
        <v>8.300000000000001E-7</v>
      </c>
      <c r="AV211" s="157">
        <f t="shared" si="91"/>
        <v>1.2</v>
      </c>
      <c r="AW211" s="156">
        <f t="shared" si="92"/>
        <v>9.9999999999999995E-8</v>
      </c>
      <c r="AY211" s="140">
        <f t="shared" si="93"/>
        <v>1.66E-5</v>
      </c>
      <c r="AZ211">
        <v>1.66</v>
      </c>
      <c r="BA211" s="140">
        <f t="shared" si="94"/>
        <v>1.6599999999999995E-7</v>
      </c>
      <c r="BB211" s="140">
        <f t="shared" si="95"/>
        <v>3.3199999999999996E-7</v>
      </c>
      <c r="BC211" s="140">
        <f t="shared" si="96"/>
        <v>4.9800000000000004E-7</v>
      </c>
      <c r="BD211" s="140">
        <f t="shared" si="97"/>
        <v>6.6400000000000002E-7</v>
      </c>
      <c r="BE211" s="140">
        <f t="shared" si="98"/>
        <v>8.300000000000001E-7</v>
      </c>
      <c r="BF211" s="157">
        <f>IF(AY211&lt;$B$89*DATA!$H$1037,DATA!$H$1037,IF(AY211&gt;DATA!$H$1036*$B$89,DATA!$H$1036,1))</f>
        <v>1.2</v>
      </c>
      <c r="BG211" s="156">
        <f t="shared" si="99"/>
        <v>9.9999999999999995E-8</v>
      </c>
      <c r="BI211" s="140">
        <f t="shared" si="100"/>
        <v>1.66E-5</v>
      </c>
      <c r="BJ211">
        <v>1.66</v>
      </c>
      <c r="BK211" s="140">
        <f t="shared" si="101"/>
        <v>1.6599999999999995E-7</v>
      </c>
      <c r="BL211" s="140">
        <f t="shared" si="102"/>
        <v>3.3199999999999996E-7</v>
      </c>
      <c r="BM211" s="140">
        <f t="shared" si="103"/>
        <v>4.9800000000000004E-7</v>
      </c>
      <c r="BN211" s="140">
        <f t="shared" si="104"/>
        <v>6.6400000000000002E-7</v>
      </c>
      <c r="BO211" s="140">
        <f t="shared" si="105"/>
        <v>8.300000000000001E-7</v>
      </c>
      <c r="BP211" s="157">
        <f>IF(BI211&lt;$B$105*DATA!$H$1037,DATA!$H$1037,IF(BI211&gt;DATA!$H$1036*$B$105,DATA!$H$1036,1))</f>
        <v>1.2</v>
      </c>
      <c r="BQ211" s="156">
        <f t="shared" si="106"/>
        <v>9.9999999999999995E-8</v>
      </c>
    </row>
    <row r="212" spans="1:69">
      <c r="A212" s="140">
        <f t="shared" si="59"/>
        <v>1.6800000000000002E-5</v>
      </c>
      <c r="B212">
        <v>1.68</v>
      </c>
      <c r="C212" s="140">
        <f t="shared" si="57"/>
        <v>1.6799999999999997E-7</v>
      </c>
      <c r="D212" s="140">
        <f t="shared" si="57"/>
        <v>3.3599999999999999E-7</v>
      </c>
      <c r="E212" s="140">
        <f t="shared" si="57"/>
        <v>5.0400000000000007E-7</v>
      </c>
      <c r="F212" s="140">
        <f t="shared" si="57"/>
        <v>6.7200000000000009E-7</v>
      </c>
      <c r="G212" s="140">
        <f t="shared" si="57"/>
        <v>8.4000000000000011E-7</v>
      </c>
      <c r="H212" s="124">
        <f t="shared" si="60"/>
        <v>0.8</v>
      </c>
      <c r="I212" s="156">
        <f t="shared" si="61"/>
        <v>9.9999999999999995E-8</v>
      </c>
      <c r="K212" s="140">
        <f t="shared" si="62"/>
        <v>1.6800000000000002E-5</v>
      </c>
      <c r="L212">
        <v>1.68</v>
      </c>
      <c r="M212" s="140">
        <f t="shared" si="63"/>
        <v>1.6799999999999997E-7</v>
      </c>
      <c r="N212" s="140">
        <f t="shared" si="64"/>
        <v>3.3599999999999999E-7</v>
      </c>
      <c r="O212" s="140">
        <f t="shared" si="65"/>
        <v>5.0400000000000007E-7</v>
      </c>
      <c r="P212" s="140">
        <f t="shared" si="58"/>
        <v>6.7200000000000009E-7</v>
      </c>
      <c r="Q212" s="140">
        <f t="shared" si="66"/>
        <v>8.4000000000000011E-7</v>
      </c>
      <c r="R212" s="157">
        <f t="shared" si="67"/>
        <v>0.8</v>
      </c>
      <c r="S212" s="156">
        <f t="shared" si="68"/>
        <v>9.9999999999999995E-8</v>
      </c>
      <c r="U212" s="140">
        <f t="shared" si="69"/>
        <v>1.6800000000000002E-5</v>
      </c>
      <c r="V212">
        <v>1.68</v>
      </c>
      <c r="W212" s="140">
        <f t="shared" si="70"/>
        <v>1.6799999999999997E-7</v>
      </c>
      <c r="X212" s="140">
        <f t="shared" si="71"/>
        <v>3.3599999999999999E-7</v>
      </c>
      <c r="Y212" s="140">
        <f t="shared" si="72"/>
        <v>5.0400000000000007E-7</v>
      </c>
      <c r="Z212" s="140">
        <f t="shared" si="73"/>
        <v>6.7200000000000009E-7</v>
      </c>
      <c r="AA212" s="140">
        <f t="shared" si="74"/>
        <v>8.4000000000000011E-7</v>
      </c>
      <c r="AB212" s="157">
        <f t="shared" si="75"/>
        <v>0.8</v>
      </c>
      <c r="AC212" s="156">
        <f t="shared" si="76"/>
        <v>9.9999999999999995E-8</v>
      </c>
      <c r="AE212" s="140">
        <f t="shared" si="77"/>
        <v>1.6800000000000002E-5</v>
      </c>
      <c r="AF212">
        <v>1.68</v>
      </c>
      <c r="AG212" s="140">
        <f t="shared" si="78"/>
        <v>1.6799999999999997E-7</v>
      </c>
      <c r="AH212" s="140">
        <f t="shared" si="79"/>
        <v>3.3599999999999999E-7</v>
      </c>
      <c r="AI212" s="140">
        <f t="shared" si="80"/>
        <v>5.0400000000000007E-7</v>
      </c>
      <c r="AJ212" s="140">
        <f t="shared" si="81"/>
        <v>6.7200000000000009E-7</v>
      </c>
      <c r="AK212" s="140">
        <f t="shared" si="82"/>
        <v>8.4000000000000011E-7</v>
      </c>
      <c r="AL212" s="157">
        <f t="shared" si="83"/>
        <v>1.2</v>
      </c>
      <c r="AM212" s="156">
        <f t="shared" si="84"/>
        <v>9.9999999999999995E-8</v>
      </c>
      <c r="AO212" s="140">
        <f t="shared" si="85"/>
        <v>1.6800000000000002E-5</v>
      </c>
      <c r="AP212">
        <v>1.68</v>
      </c>
      <c r="AQ212" s="140">
        <f t="shared" si="86"/>
        <v>1.6799999999999997E-7</v>
      </c>
      <c r="AR212" s="140">
        <f t="shared" si="87"/>
        <v>3.3599999999999999E-7</v>
      </c>
      <c r="AS212" s="140">
        <f t="shared" si="88"/>
        <v>5.0400000000000007E-7</v>
      </c>
      <c r="AT212" s="140">
        <f t="shared" si="89"/>
        <v>6.7200000000000009E-7</v>
      </c>
      <c r="AU212" s="140">
        <f t="shared" si="90"/>
        <v>8.4000000000000011E-7</v>
      </c>
      <c r="AV212" s="157">
        <f t="shared" si="91"/>
        <v>1.2</v>
      </c>
      <c r="AW212" s="156">
        <f t="shared" si="92"/>
        <v>9.9999999999999995E-8</v>
      </c>
      <c r="AY212" s="140">
        <f t="shared" si="93"/>
        <v>1.6800000000000002E-5</v>
      </c>
      <c r="AZ212">
        <v>1.68</v>
      </c>
      <c r="BA212" s="140">
        <f t="shared" si="94"/>
        <v>1.6799999999999997E-7</v>
      </c>
      <c r="BB212" s="140">
        <f t="shared" si="95"/>
        <v>3.3599999999999999E-7</v>
      </c>
      <c r="BC212" s="140">
        <f t="shared" si="96"/>
        <v>5.0400000000000007E-7</v>
      </c>
      <c r="BD212" s="140">
        <f t="shared" si="97"/>
        <v>6.7200000000000009E-7</v>
      </c>
      <c r="BE212" s="140">
        <f t="shared" si="98"/>
        <v>8.4000000000000011E-7</v>
      </c>
      <c r="BF212" s="157">
        <f>IF(AY212&lt;$B$89*DATA!$H$1037,DATA!$H$1037,IF(AY212&gt;DATA!$H$1036*$B$89,DATA!$H$1036,1))</f>
        <v>1.2</v>
      </c>
      <c r="BG212" s="156">
        <f t="shared" si="99"/>
        <v>9.9999999999999995E-8</v>
      </c>
      <c r="BI212" s="140">
        <f t="shared" si="100"/>
        <v>1.6800000000000002E-5</v>
      </c>
      <c r="BJ212">
        <v>1.68</v>
      </c>
      <c r="BK212" s="140">
        <f t="shared" si="101"/>
        <v>1.6799999999999997E-7</v>
      </c>
      <c r="BL212" s="140">
        <f t="shared" si="102"/>
        <v>3.3599999999999999E-7</v>
      </c>
      <c r="BM212" s="140">
        <f t="shared" si="103"/>
        <v>5.0400000000000007E-7</v>
      </c>
      <c r="BN212" s="140">
        <f t="shared" si="104"/>
        <v>6.7200000000000009E-7</v>
      </c>
      <c r="BO212" s="140">
        <f t="shared" si="105"/>
        <v>8.4000000000000011E-7</v>
      </c>
      <c r="BP212" s="157">
        <f>IF(BI212&lt;$B$105*DATA!$H$1037,DATA!$H$1037,IF(BI212&gt;DATA!$H$1036*$B$105,DATA!$H$1036,1))</f>
        <v>1.2</v>
      </c>
      <c r="BQ212" s="156">
        <f t="shared" si="106"/>
        <v>9.9999999999999995E-8</v>
      </c>
    </row>
    <row r="213" spans="1:69">
      <c r="A213" s="140">
        <f t="shared" si="59"/>
        <v>1.7E-5</v>
      </c>
      <c r="B213">
        <v>1.7</v>
      </c>
      <c r="C213" s="140">
        <f t="shared" si="57"/>
        <v>1.6999999999999993E-7</v>
      </c>
      <c r="D213" s="140">
        <f t="shared" si="57"/>
        <v>3.3999999999999992E-7</v>
      </c>
      <c r="E213" s="140">
        <f t="shared" si="57"/>
        <v>5.0999999999999999E-7</v>
      </c>
      <c r="F213" s="140">
        <f t="shared" si="57"/>
        <v>6.8000000000000005E-7</v>
      </c>
      <c r="G213" s="140">
        <f t="shared" si="57"/>
        <v>8.5000000000000001E-7</v>
      </c>
      <c r="H213" s="124">
        <f t="shared" si="60"/>
        <v>0.8</v>
      </c>
      <c r="I213" s="156">
        <f t="shared" si="61"/>
        <v>9.9999999999999995E-8</v>
      </c>
      <c r="K213" s="140">
        <f t="shared" si="62"/>
        <v>1.7E-5</v>
      </c>
      <c r="L213">
        <v>1.7</v>
      </c>
      <c r="M213" s="140">
        <f t="shared" si="63"/>
        <v>1.6999999999999993E-7</v>
      </c>
      <c r="N213" s="140">
        <f t="shared" si="64"/>
        <v>3.3999999999999992E-7</v>
      </c>
      <c r="O213" s="140">
        <f t="shared" si="65"/>
        <v>5.0999999999999999E-7</v>
      </c>
      <c r="P213" s="140">
        <f t="shared" si="58"/>
        <v>6.8000000000000005E-7</v>
      </c>
      <c r="Q213" s="140">
        <f t="shared" si="66"/>
        <v>8.5000000000000001E-7</v>
      </c>
      <c r="R213" s="157">
        <f t="shared" si="67"/>
        <v>0.8</v>
      </c>
      <c r="S213" s="156">
        <f t="shared" si="68"/>
        <v>9.9999999999999995E-8</v>
      </c>
      <c r="U213" s="140">
        <f t="shared" si="69"/>
        <v>1.7E-5</v>
      </c>
      <c r="V213">
        <v>1.7</v>
      </c>
      <c r="W213" s="140">
        <f t="shared" si="70"/>
        <v>1.6999999999999993E-7</v>
      </c>
      <c r="X213" s="140">
        <f t="shared" si="71"/>
        <v>3.3999999999999992E-7</v>
      </c>
      <c r="Y213" s="140">
        <f t="shared" si="72"/>
        <v>5.0999999999999999E-7</v>
      </c>
      <c r="Z213" s="140">
        <f t="shared" si="73"/>
        <v>6.8000000000000005E-7</v>
      </c>
      <c r="AA213" s="140">
        <f t="shared" si="74"/>
        <v>8.5000000000000001E-7</v>
      </c>
      <c r="AB213" s="157">
        <f t="shared" si="75"/>
        <v>0.8</v>
      </c>
      <c r="AC213" s="156">
        <f t="shared" si="76"/>
        <v>9.9999999999999995E-8</v>
      </c>
      <c r="AE213" s="140">
        <f t="shared" si="77"/>
        <v>1.7E-5</v>
      </c>
      <c r="AF213">
        <v>1.7</v>
      </c>
      <c r="AG213" s="140">
        <f t="shared" si="78"/>
        <v>1.6999999999999993E-7</v>
      </c>
      <c r="AH213" s="140">
        <f t="shared" si="79"/>
        <v>3.3999999999999992E-7</v>
      </c>
      <c r="AI213" s="140">
        <f t="shared" si="80"/>
        <v>5.0999999999999999E-7</v>
      </c>
      <c r="AJ213" s="140">
        <f t="shared" si="81"/>
        <v>6.8000000000000005E-7</v>
      </c>
      <c r="AK213" s="140">
        <f t="shared" si="82"/>
        <v>8.5000000000000001E-7</v>
      </c>
      <c r="AL213" s="157">
        <f t="shared" si="83"/>
        <v>1.2</v>
      </c>
      <c r="AM213" s="156">
        <f t="shared" si="84"/>
        <v>9.9999999999999995E-8</v>
      </c>
      <c r="AO213" s="140">
        <f t="shared" si="85"/>
        <v>1.7E-5</v>
      </c>
      <c r="AP213">
        <v>1.7</v>
      </c>
      <c r="AQ213" s="140">
        <f t="shared" si="86"/>
        <v>1.6999999999999993E-7</v>
      </c>
      <c r="AR213" s="140">
        <f t="shared" si="87"/>
        <v>3.3999999999999992E-7</v>
      </c>
      <c r="AS213" s="140">
        <f t="shared" si="88"/>
        <v>5.0999999999999999E-7</v>
      </c>
      <c r="AT213" s="140">
        <f t="shared" si="89"/>
        <v>6.8000000000000005E-7</v>
      </c>
      <c r="AU213" s="140">
        <f t="shared" si="90"/>
        <v>8.5000000000000001E-7</v>
      </c>
      <c r="AV213" s="157">
        <f t="shared" si="91"/>
        <v>1.2</v>
      </c>
      <c r="AW213" s="156">
        <f t="shared" si="92"/>
        <v>9.9999999999999995E-8</v>
      </c>
      <c r="AY213" s="140">
        <f t="shared" si="93"/>
        <v>1.7E-5</v>
      </c>
      <c r="AZ213">
        <v>1.7</v>
      </c>
      <c r="BA213" s="140">
        <f t="shared" si="94"/>
        <v>1.6999999999999993E-7</v>
      </c>
      <c r="BB213" s="140">
        <f t="shared" si="95"/>
        <v>3.3999999999999992E-7</v>
      </c>
      <c r="BC213" s="140">
        <f t="shared" si="96"/>
        <v>5.0999999999999999E-7</v>
      </c>
      <c r="BD213" s="140">
        <f t="shared" si="97"/>
        <v>6.8000000000000005E-7</v>
      </c>
      <c r="BE213" s="140">
        <f t="shared" si="98"/>
        <v>8.5000000000000001E-7</v>
      </c>
      <c r="BF213" s="157">
        <f>IF(AY213&lt;$B$89*DATA!$H$1037,DATA!$H$1037,IF(AY213&gt;DATA!$H$1036*$B$89,DATA!$H$1036,1))</f>
        <v>1.2</v>
      </c>
      <c r="BG213" s="156">
        <f t="shared" si="99"/>
        <v>9.9999999999999995E-8</v>
      </c>
      <c r="BI213" s="140">
        <f t="shared" si="100"/>
        <v>1.7E-5</v>
      </c>
      <c r="BJ213">
        <v>1.7</v>
      </c>
      <c r="BK213" s="140">
        <f t="shared" si="101"/>
        <v>1.6999999999999993E-7</v>
      </c>
      <c r="BL213" s="140">
        <f t="shared" si="102"/>
        <v>3.3999999999999992E-7</v>
      </c>
      <c r="BM213" s="140">
        <f t="shared" si="103"/>
        <v>5.0999999999999999E-7</v>
      </c>
      <c r="BN213" s="140">
        <f t="shared" si="104"/>
        <v>6.8000000000000005E-7</v>
      </c>
      <c r="BO213" s="140">
        <f t="shared" si="105"/>
        <v>8.5000000000000001E-7</v>
      </c>
      <c r="BP213" s="157">
        <f>IF(BI213&lt;$B$105*DATA!$H$1037,DATA!$H$1037,IF(BI213&gt;DATA!$H$1036*$B$105,DATA!$H$1036,1))</f>
        <v>1.2</v>
      </c>
      <c r="BQ213" s="156">
        <f t="shared" si="106"/>
        <v>9.9999999999999995E-8</v>
      </c>
    </row>
    <row r="214" spans="1:69">
      <c r="A214" s="140">
        <f t="shared" si="59"/>
        <v>1.7200000000000001E-5</v>
      </c>
      <c r="B214">
        <v>1.72</v>
      </c>
      <c r="C214" s="140">
        <f t="shared" si="57"/>
        <v>1.7199999999999995E-7</v>
      </c>
      <c r="D214" s="140">
        <f t="shared" si="57"/>
        <v>3.4399999999999996E-7</v>
      </c>
      <c r="E214" s="140">
        <f t="shared" si="57"/>
        <v>5.1600000000000001E-7</v>
      </c>
      <c r="F214" s="140">
        <f t="shared" si="57"/>
        <v>6.8800000000000002E-7</v>
      </c>
      <c r="G214" s="140">
        <f t="shared" si="57"/>
        <v>8.6000000000000013E-7</v>
      </c>
      <c r="H214" s="124">
        <f t="shared" si="60"/>
        <v>0.8</v>
      </c>
      <c r="I214" s="156">
        <f t="shared" si="61"/>
        <v>9.9999999999999995E-8</v>
      </c>
      <c r="K214" s="140">
        <f t="shared" si="62"/>
        <v>1.7200000000000001E-5</v>
      </c>
      <c r="L214">
        <v>1.72</v>
      </c>
      <c r="M214" s="140">
        <f t="shared" si="63"/>
        <v>1.7199999999999995E-7</v>
      </c>
      <c r="N214" s="140">
        <f t="shared" si="64"/>
        <v>3.4399999999999996E-7</v>
      </c>
      <c r="O214" s="140">
        <f t="shared" si="65"/>
        <v>5.1600000000000001E-7</v>
      </c>
      <c r="P214" s="140">
        <f t="shared" si="58"/>
        <v>6.8800000000000002E-7</v>
      </c>
      <c r="Q214" s="140">
        <f t="shared" si="66"/>
        <v>8.6000000000000013E-7</v>
      </c>
      <c r="R214" s="157">
        <f t="shared" si="67"/>
        <v>0.8</v>
      </c>
      <c r="S214" s="156">
        <f t="shared" si="68"/>
        <v>9.9999999999999995E-8</v>
      </c>
      <c r="U214" s="140">
        <f t="shared" si="69"/>
        <v>1.7200000000000001E-5</v>
      </c>
      <c r="V214">
        <v>1.72</v>
      </c>
      <c r="W214" s="140">
        <f t="shared" si="70"/>
        <v>1.7199999999999995E-7</v>
      </c>
      <c r="X214" s="140">
        <f t="shared" si="71"/>
        <v>3.4399999999999996E-7</v>
      </c>
      <c r="Y214" s="140">
        <f t="shared" si="72"/>
        <v>5.1600000000000001E-7</v>
      </c>
      <c r="Z214" s="140">
        <f t="shared" si="73"/>
        <v>6.8800000000000002E-7</v>
      </c>
      <c r="AA214" s="140">
        <f t="shared" si="74"/>
        <v>8.6000000000000013E-7</v>
      </c>
      <c r="AB214" s="157">
        <f t="shared" si="75"/>
        <v>0.8</v>
      </c>
      <c r="AC214" s="156">
        <f t="shared" si="76"/>
        <v>9.9999999999999995E-8</v>
      </c>
      <c r="AE214" s="140">
        <f t="shared" si="77"/>
        <v>1.7200000000000001E-5</v>
      </c>
      <c r="AF214">
        <v>1.72</v>
      </c>
      <c r="AG214" s="140">
        <f t="shared" si="78"/>
        <v>1.7199999999999995E-7</v>
      </c>
      <c r="AH214" s="140">
        <f t="shared" si="79"/>
        <v>3.4399999999999996E-7</v>
      </c>
      <c r="AI214" s="140">
        <f t="shared" si="80"/>
        <v>5.1600000000000001E-7</v>
      </c>
      <c r="AJ214" s="140">
        <f t="shared" si="81"/>
        <v>6.8800000000000002E-7</v>
      </c>
      <c r="AK214" s="140">
        <f t="shared" si="82"/>
        <v>8.6000000000000013E-7</v>
      </c>
      <c r="AL214" s="157">
        <f t="shared" si="83"/>
        <v>1.2</v>
      </c>
      <c r="AM214" s="156">
        <f t="shared" si="84"/>
        <v>9.9999999999999995E-8</v>
      </c>
      <c r="AO214" s="140">
        <f t="shared" si="85"/>
        <v>1.7200000000000001E-5</v>
      </c>
      <c r="AP214">
        <v>1.72</v>
      </c>
      <c r="AQ214" s="140">
        <f t="shared" si="86"/>
        <v>1.7199999999999995E-7</v>
      </c>
      <c r="AR214" s="140">
        <f t="shared" si="87"/>
        <v>3.4399999999999996E-7</v>
      </c>
      <c r="AS214" s="140">
        <f t="shared" si="88"/>
        <v>5.1600000000000001E-7</v>
      </c>
      <c r="AT214" s="140">
        <f t="shared" si="89"/>
        <v>6.8800000000000002E-7</v>
      </c>
      <c r="AU214" s="140">
        <f t="shared" si="90"/>
        <v>8.6000000000000013E-7</v>
      </c>
      <c r="AV214" s="157">
        <f t="shared" si="91"/>
        <v>1.2</v>
      </c>
      <c r="AW214" s="156">
        <f t="shared" si="92"/>
        <v>9.9999999999999995E-8</v>
      </c>
      <c r="AY214" s="140">
        <f t="shared" si="93"/>
        <v>1.7200000000000001E-5</v>
      </c>
      <c r="AZ214">
        <v>1.72</v>
      </c>
      <c r="BA214" s="140">
        <f t="shared" si="94"/>
        <v>1.7199999999999995E-7</v>
      </c>
      <c r="BB214" s="140">
        <f t="shared" si="95"/>
        <v>3.4399999999999996E-7</v>
      </c>
      <c r="BC214" s="140">
        <f t="shared" si="96"/>
        <v>5.1600000000000001E-7</v>
      </c>
      <c r="BD214" s="140">
        <f t="shared" si="97"/>
        <v>6.8800000000000002E-7</v>
      </c>
      <c r="BE214" s="140">
        <f t="shared" si="98"/>
        <v>8.6000000000000013E-7</v>
      </c>
      <c r="BF214" s="157">
        <f>IF(AY214&lt;$B$89*DATA!$H$1037,DATA!$H$1037,IF(AY214&gt;DATA!$H$1036*$B$89,DATA!$H$1036,1))</f>
        <v>1.2</v>
      </c>
      <c r="BG214" s="156">
        <f t="shared" si="99"/>
        <v>9.9999999999999995E-8</v>
      </c>
      <c r="BI214" s="140">
        <f t="shared" si="100"/>
        <v>1.7200000000000001E-5</v>
      </c>
      <c r="BJ214">
        <v>1.72</v>
      </c>
      <c r="BK214" s="140">
        <f t="shared" si="101"/>
        <v>1.7199999999999995E-7</v>
      </c>
      <c r="BL214" s="140">
        <f t="shared" si="102"/>
        <v>3.4399999999999996E-7</v>
      </c>
      <c r="BM214" s="140">
        <f t="shared" si="103"/>
        <v>5.1600000000000001E-7</v>
      </c>
      <c r="BN214" s="140">
        <f t="shared" si="104"/>
        <v>6.8800000000000002E-7</v>
      </c>
      <c r="BO214" s="140">
        <f t="shared" si="105"/>
        <v>8.6000000000000013E-7</v>
      </c>
      <c r="BP214" s="157">
        <f>IF(BI214&lt;$B$105*DATA!$H$1037,DATA!$H$1037,IF(BI214&gt;DATA!$H$1036*$B$105,DATA!$H$1036,1))</f>
        <v>1.2</v>
      </c>
      <c r="BQ214" s="156">
        <f t="shared" si="106"/>
        <v>9.9999999999999995E-8</v>
      </c>
    </row>
    <row r="215" spans="1:69">
      <c r="A215" s="140">
        <f t="shared" si="59"/>
        <v>1.7400000000000003E-5</v>
      </c>
      <c r="B215">
        <v>1.74</v>
      </c>
      <c r="C215" s="140">
        <f t="shared" si="57"/>
        <v>1.7399999999999997E-7</v>
      </c>
      <c r="D215" s="140">
        <f t="shared" si="57"/>
        <v>3.4799999999999999E-7</v>
      </c>
      <c r="E215" s="140">
        <f t="shared" si="57"/>
        <v>5.2200000000000004E-7</v>
      </c>
      <c r="F215" s="140">
        <f t="shared" si="57"/>
        <v>6.9600000000000009E-7</v>
      </c>
      <c r="G215" s="140">
        <f t="shared" si="57"/>
        <v>8.7000000000000014E-7</v>
      </c>
      <c r="H215" s="124">
        <f t="shared" si="60"/>
        <v>0.8</v>
      </c>
      <c r="I215" s="156">
        <f t="shared" si="61"/>
        <v>9.9999999999999995E-8</v>
      </c>
      <c r="K215" s="140">
        <f t="shared" si="62"/>
        <v>1.7400000000000003E-5</v>
      </c>
      <c r="L215">
        <v>1.74</v>
      </c>
      <c r="M215" s="140">
        <f t="shared" si="63"/>
        <v>1.7399999999999997E-7</v>
      </c>
      <c r="N215" s="140">
        <f t="shared" si="64"/>
        <v>3.4799999999999999E-7</v>
      </c>
      <c r="O215" s="140">
        <f t="shared" si="65"/>
        <v>5.2200000000000004E-7</v>
      </c>
      <c r="P215" s="140">
        <f t="shared" si="58"/>
        <v>6.9600000000000009E-7</v>
      </c>
      <c r="Q215" s="140">
        <f t="shared" si="66"/>
        <v>8.7000000000000014E-7</v>
      </c>
      <c r="R215" s="157">
        <f t="shared" si="67"/>
        <v>0.8</v>
      </c>
      <c r="S215" s="156">
        <f t="shared" si="68"/>
        <v>9.9999999999999995E-8</v>
      </c>
      <c r="U215" s="140">
        <f t="shared" si="69"/>
        <v>1.7400000000000003E-5</v>
      </c>
      <c r="V215">
        <v>1.74</v>
      </c>
      <c r="W215" s="140">
        <f t="shared" si="70"/>
        <v>1.7399999999999997E-7</v>
      </c>
      <c r="X215" s="140">
        <f t="shared" si="71"/>
        <v>3.4799999999999999E-7</v>
      </c>
      <c r="Y215" s="140">
        <f t="shared" si="72"/>
        <v>5.2200000000000004E-7</v>
      </c>
      <c r="Z215" s="140">
        <f t="shared" si="73"/>
        <v>6.9600000000000009E-7</v>
      </c>
      <c r="AA215" s="140">
        <f t="shared" si="74"/>
        <v>8.7000000000000014E-7</v>
      </c>
      <c r="AB215" s="157">
        <f t="shared" si="75"/>
        <v>0.8</v>
      </c>
      <c r="AC215" s="156">
        <f t="shared" si="76"/>
        <v>9.9999999999999995E-8</v>
      </c>
      <c r="AE215" s="140">
        <f t="shared" si="77"/>
        <v>1.7400000000000003E-5</v>
      </c>
      <c r="AF215">
        <v>1.74</v>
      </c>
      <c r="AG215" s="140">
        <f t="shared" si="78"/>
        <v>1.7399999999999997E-7</v>
      </c>
      <c r="AH215" s="140">
        <f t="shared" si="79"/>
        <v>3.4799999999999999E-7</v>
      </c>
      <c r="AI215" s="140">
        <f t="shared" si="80"/>
        <v>5.2200000000000004E-7</v>
      </c>
      <c r="AJ215" s="140">
        <f t="shared" si="81"/>
        <v>6.9600000000000009E-7</v>
      </c>
      <c r="AK215" s="140">
        <f t="shared" si="82"/>
        <v>8.7000000000000014E-7</v>
      </c>
      <c r="AL215" s="157">
        <f t="shared" si="83"/>
        <v>1.2</v>
      </c>
      <c r="AM215" s="156">
        <f t="shared" si="84"/>
        <v>9.9999999999999995E-8</v>
      </c>
      <c r="AO215" s="140">
        <f t="shared" si="85"/>
        <v>1.7400000000000003E-5</v>
      </c>
      <c r="AP215">
        <v>1.74</v>
      </c>
      <c r="AQ215" s="140">
        <f t="shared" si="86"/>
        <v>1.7399999999999997E-7</v>
      </c>
      <c r="AR215" s="140">
        <f t="shared" si="87"/>
        <v>3.4799999999999999E-7</v>
      </c>
      <c r="AS215" s="140">
        <f t="shared" si="88"/>
        <v>5.2200000000000004E-7</v>
      </c>
      <c r="AT215" s="140">
        <f t="shared" si="89"/>
        <v>6.9600000000000009E-7</v>
      </c>
      <c r="AU215" s="140">
        <f t="shared" si="90"/>
        <v>8.7000000000000014E-7</v>
      </c>
      <c r="AV215" s="157">
        <f t="shared" si="91"/>
        <v>1.2</v>
      </c>
      <c r="AW215" s="156">
        <f t="shared" si="92"/>
        <v>9.9999999999999995E-8</v>
      </c>
      <c r="AY215" s="140">
        <f t="shared" si="93"/>
        <v>1.7400000000000003E-5</v>
      </c>
      <c r="AZ215">
        <v>1.74</v>
      </c>
      <c r="BA215" s="140">
        <f t="shared" si="94"/>
        <v>1.7399999999999997E-7</v>
      </c>
      <c r="BB215" s="140">
        <f t="shared" si="95"/>
        <v>3.4799999999999999E-7</v>
      </c>
      <c r="BC215" s="140">
        <f t="shared" si="96"/>
        <v>5.2200000000000004E-7</v>
      </c>
      <c r="BD215" s="140">
        <f t="shared" si="97"/>
        <v>6.9600000000000009E-7</v>
      </c>
      <c r="BE215" s="140">
        <f t="shared" si="98"/>
        <v>8.7000000000000014E-7</v>
      </c>
      <c r="BF215" s="157">
        <f>IF(AY215&lt;$B$89*DATA!$H$1037,DATA!$H$1037,IF(AY215&gt;DATA!$H$1036*$B$89,DATA!$H$1036,1))</f>
        <v>1.2</v>
      </c>
      <c r="BG215" s="156">
        <f t="shared" si="99"/>
        <v>9.9999999999999995E-8</v>
      </c>
      <c r="BI215" s="140">
        <f t="shared" si="100"/>
        <v>1.7400000000000003E-5</v>
      </c>
      <c r="BJ215">
        <v>1.74</v>
      </c>
      <c r="BK215" s="140">
        <f t="shared" si="101"/>
        <v>1.7399999999999997E-7</v>
      </c>
      <c r="BL215" s="140">
        <f t="shared" si="102"/>
        <v>3.4799999999999999E-7</v>
      </c>
      <c r="BM215" s="140">
        <f t="shared" si="103"/>
        <v>5.2200000000000004E-7</v>
      </c>
      <c r="BN215" s="140">
        <f t="shared" si="104"/>
        <v>6.9600000000000009E-7</v>
      </c>
      <c r="BO215" s="140">
        <f t="shared" si="105"/>
        <v>8.7000000000000014E-7</v>
      </c>
      <c r="BP215" s="157">
        <f>IF(BI215&lt;$B$105*DATA!$H$1037,DATA!$H$1037,IF(BI215&gt;DATA!$H$1036*$B$105,DATA!$H$1036,1))</f>
        <v>1.2</v>
      </c>
      <c r="BQ215" s="156">
        <f t="shared" si="106"/>
        <v>9.9999999999999995E-8</v>
      </c>
    </row>
    <row r="216" spans="1:69">
      <c r="A216" s="140">
        <f t="shared" si="59"/>
        <v>1.7600000000000001E-5</v>
      </c>
      <c r="B216">
        <v>1.76</v>
      </c>
      <c r="C216" s="140">
        <f t="shared" si="57"/>
        <v>1.7599999999999996E-7</v>
      </c>
      <c r="D216" s="140">
        <f t="shared" si="57"/>
        <v>3.5199999999999998E-7</v>
      </c>
      <c r="E216" s="140">
        <f t="shared" si="57"/>
        <v>5.2799999999999996E-7</v>
      </c>
      <c r="F216" s="140">
        <f t="shared" si="57"/>
        <v>7.0400000000000006E-7</v>
      </c>
      <c r="G216" s="140">
        <f t="shared" si="57"/>
        <v>8.8000000000000004E-7</v>
      </c>
      <c r="H216" s="124">
        <f t="shared" si="60"/>
        <v>0.8</v>
      </c>
      <c r="I216" s="156">
        <f t="shared" si="61"/>
        <v>9.9999999999999995E-8</v>
      </c>
      <c r="K216" s="140">
        <f t="shared" si="62"/>
        <v>1.7600000000000001E-5</v>
      </c>
      <c r="L216">
        <v>1.76</v>
      </c>
      <c r="M216" s="140">
        <f t="shared" si="63"/>
        <v>1.7599999999999996E-7</v>
      </c>
      <c r="N216" s="140">
        <f t="shared" si="64"/>
        <v>3.5199999999999998E-7</v>
      </c>
      <c r="O216" s="140">
        <f t="shared" si="65"/>
        <v>5.2799999999999996E-7</v>
      </c>
      <c r="P216" s="140">
        <f t="shared" si="58"/>
        <v>7.0400000000000006E-7</v>
      </c>
      <c r="Q216" s="140">
        <f t="shared" si="66"/>
        <v>8.8000000000000004E-7</v>
      </c>
      <c r="R216" s="157">
        <f t="shared" si="67"/>
        <v>0.8</v>
      </c>
      <c r="S216" s="156">
        <f t="shared" si="68"/>
        <v>9.9999999999999995E-8</v>
      </c>
      <c r="U216" s="140">
        <f t="shared" si="69"/>
        <v>1.7600000000000001E-5</v>
      </c>
      <c r="V216">
        <v>1.76</v>
      </c>
      <c r="W216" s="140">
        <f t="shared" si="70"/>
        <v>1.7599999999999996E-7</v>
      </c>
      <c r="X216" s="140">
        <f t="shared" si="71"/>
        <v>3.5199999999999998E-7</v>
      </c>
      <c r="Y216" s="140">
        <f t="shared" si="72"/>
        <v>5.2799999999999996E-7</v>
      </c>
      <c r="Z216" s="140">
        <f t="shared" si="73"/>
        <v>7.0400000000000006E-7</v>
      </c>
      <c r="AA216" s="140">
        <f t="shared" si="74"/>
        <v>8.8000000000000004E-7</v>
      </c>
      <c r="AB216" s="157">
        <f t="shared" si="75"/>
        <v>0.8</v>
      </c>
      <c r="AC216" s="156">
        <f t="shared" si="76"/>
        <v>9.9999999999999995E-8</v>
      </c>
      <c r="AE216" s="140">
        <f t="shared" si="77"/>
        <v>1.7600000000000001E-5</v>
      </c>
      <c r="AF216">
        <v>1.76</v>
      </c>
      <c r="AG216" s="140">
        <f t="shared" si="78"/>
        <v>1.7599999999999996E-7</v>
      </c>
      <c r="AH216" s="140">
        <f t="shared" si="79"/>
        <v>3.5199999999999998E-7</v>
      </c>
      <c r="AI216" s="140">
        <f t="shared" si="80"/>
        <v>5.2799999999999996E-7</v>
      </c>
      <c r="AJ216" s="140">
        <f t="shared" si="81"/>
        <v>7.0400000000000006E-7</v>
      </c>
      <c r="AK216" s="140">
        <f t="shared" si="82"/>
        <v>8.8000000000000004E-7</v>
      </c>
      <c r="AL216" s="157">
        <f t="shared" si="83"/>
        <v>1.2</v>
      </c>
      <c r="AM216" s="156">
        <f t="shared" si="84"/>
        <v>9.9999999999999995E-8</v>
      </c>
      <c r="AO216" s="140">
        <f t="shared" si="85"/>
        <v>1.7600000000000001E-5</v>
      </c>
      <c r="AP216">
        <v>1.76</v>
      </c>
      <c r="AQ216" s="140">
        <f t="shared" si="86"/>
        <v>1.7599999999999996E-7</v>
      </c>
      <c r="AR216" s="140">
        <f t="shared" si="87"/>
        <v>3.5199999999999998E-7</v>
      </c>
      <c r="AS216" s="140">
        <f t="shared" si="88"/>
        <v>5.2799999999999996E-7</v>
      </c>
      <c r="AT216" s="140">
        <f t="shared" si="89"/>
        <v>7.0400000000000006E-7</v>
      </c>
      <c r="AU216" s="140">
        <f t="shared" si="90"/>
        <v>8.8000000000000004E-7</v>
      </c>
      <c r="AV216" s="157">
        <f t="shared" si="91"/>
        <v>1.2</v>
      </c>
      <c r="AW216" s="156">
        <f t="shared" si="92"/>
        <v>9.9999999999999995E-8</v>
      </c>
      <c r="AY216" s="140">
        <f t="shared" si="93"/>
        <v>1.7600000000000001E-5</v>
      </c>
      <c r="AZ216">
        <v>1.76</v>
      </c>
      <c r="BA216" s="140">
        <f t="shared" si="94"/>
        <v>1.7599999999999996E-7</v>
      </c>
      <c r="BB216" s="140">
        <f t="shared" si="95"/>
        <v>3.5199999999999998E-7</v>
      </c>
      <c r="BC216" s="140">
        <f t="shared" si="96"/>
        <v>5.2799999999999996E-7</v>
      </c>
      <c r="BD216" s="140">
        <f t="shared" si="97"/>
        <v>7.0400000000000006E-7</v>
      </c>
      <c r="BE216" s="140">
        <f t="shared" si="98"/>
        <v>8.8000000000000004E-7</v>
      </c>
      <c r="BF216" s="157">
        <f>IF(AY216&lt;$B$89*DATA!$H$1037,DATA!$H$1037,IF(AY216&gt;DATA!$H$1036*$B$89,DATA!$H$1036,1))</f>
        <v>1.2</v>
      </c>
      <c r="BG216" s="156">
        <f t="shared" si="99"/>
        <v>9.9999999999999995E-8</v>
      </c>
      <c r="BI216" s="140">
        <f t="shared" si="100"/>
        <v>1.7600000000000001E-5</v>
      </c>
      <c r="BJ216">
        <v>1.76</v>
      </c>
      <c r="BK216" s="140">
        <f t="shared" si="101"/>
        <v>1.7599999999999996E-7</v>
      </c>
      <c r="BL216" s="140">
        <f t="shared" si="102"/>
        <v>3.5199999999999998E-7</v>
      </c>
      <c r="BM216" s="140">
        <f t="shared" si="103"/>
        <v>5.2799999999999996E-7</v>
      </c>
      <c r="BN216" s="140">
        <f t="shared" si="104"/>
        <v>7.0400000000000006E-7</v>
      </c>
      <c r="BO216" s="140">
        <f t="shared" si="105"/>
        <v>8.8000000000000004E-7</v>
      </c>
      <c r="BP216" s="157">
        <f>IF(BI216&lt;$B$105*DATA!$H$1037,DATA!$H$1037,IF(BI216&gt;DATA!$H$1036*$B$105,DATA!$H$1036,1))</f>
        <v>1.2</v>
      </c>
      <c r="BQ216" s="156">
        <f t="shared" si="106"/>
        <v>9.9999999999999995E-8</v>
      </c>
    </row>
    <row r="217" spans="1:69">
      <c r="A217" s="140">
        <f t="shared" si="59"/>
        <v>1.7800000000000002E-5</v>
      </c>
      <c r="B217">
        <v>1.78</v>
      </c>
      <c r="C217" s="140">
        <f t="shared" si="57"/>
        <v>1.7799999999999995E-7</v>
      </c>
      <c r="D217" s="140">
        <f t="shared" si="57"/>
        <v>3.5600000000000001E-7</v>
      </c>
      <c r="E217" s="140">
        <f t="shared" si="57"/>
        <v>5.340000000000001E-7</v>
      </c>
      <c r="F217" s="140">
        <f t="shared" si="57"/>
        <v>7.1200000000000013E-7</v>
      </c>
      <c r="G217" s="140">
        <f t="shared" si="57"/>
        <v>8.9000000000000016E-7</v>
      </c>
      <c r="H217" s="124">
        <f t="shared" si="60"/>
        <v>0.8</v>
      </c>
      <c r="I217" s="156">
        <f t="shared" si="61"/>
        <v>9.9999999999999995E-8</v>
      </c>
      <c r="K217" s="140">
        <f t="shared" si="62"/>
        <v>1.7800000000000002E-5</v>
      </c>
      <c r="L217">
        <v>1.78</v>
      </c>
      <c r="M217" s="140">
        <f t="shared" si="63"/>
        <v>1.7799999999999995E-7</v>
      </c>
      <c r="N217" s="140">
        <f t="shared" si="64"/>
        <v>3.5600000000000001E-7</v>
      </c>
      <c r="O217" s="140">
        <f t="shared" si="65"/>
        <v>5.340000000000001E-7</v>
      </c>
      <c r="P217" s="140">
        <f t="shared" si="58"/>
        <v>7.1200000000000013E-7</v>
      </c>
      <c r="Q217" s="140">
        <f t="shared" si="66"/>
        <v>8.9000000000000016E-7</v>
      </c>
      <c r="R217" s="157">
        <f t="shared" si="67"/>
        <v>0.8</v>
      </c>
      <c r="S217" s="156">
        <f t="shared" si="68"/>
        <v>9.9999999999999995E-8</v>
      </c>
      <c r="U217" s="140">
        <f t="shared" si="69"/>
        <v>1.7800000000000002E-5</v>
      </c>
      <c r="V217">
        <v>1.78</v>
      </c>
      <c r="W217" s="140">
        <f t="shared" si="70"/>
        <v>1.7799999999999995E-7</v>
      </c>
      <c r="X217" s="140">
        <f t="shared" si="71"/>
        <v>3.5600000000000001E-7</v>
      </c>
      <c r="Y217" s="140">
        <f t="shared" si="72"/>
        <v>5.340000000000001E-7</v>
      </c>
      <c r="Z217" s="140">
        <f t="shared" si="73"/>
        <v>7.1200000000000013E-7</v>
      </c>
      <c r="AA217" s="140">
        <f t="shared" si="74"/>
        <v>8.9000000000000016E-7</v>
      </c>
      <c r="AB217" s="157">
        <f t="shared" si="75"/>
        <v>0.8</v>
      </c>
      <c r="AC217" s="156">
        <f t="shared" si="76"/>
        <v>9.9999999999999995E-8</v>
      </c>
      <c r="AE217" s="140">
        <f t="shared" si="77"/>
        <v>1.7800000000000002E-5</v>
      </c>
      <c r="AF217">
        <v>1.78</v>
      </c>
      <c r="AG217" s="140">
        <f t="shared" si="78"/>
        <v>1.7799999999999995E-7</v>
      </c>
      <c r="AH217" s="140">
        <f t="shared" si="79"/>
        <v>3.5600000000000001E-7</v>
      </c>
      <c r="AI217" s="140">
        <f t="shared" si="80"/>
        <v>5.340000000000001E-7</v>
      </c>
      <c r="AJ217" s="140">
        <f t="shared" si="81"/>
        <v>7.1200000000000013E-7</v>
      </c>
      <c r="AK217" s="140">
        <f t="shared" si="82"/>
        <v>8.9000000000000016E-7</v>
      </c>
      <c r="AL217" s="157">
        <f t="shared" si="83"/>
        <v>1.2</v>
      </c>
      <c r="AM217" s="156">
        <f t="shared" si="84"/>
        <v>9.9999999999999995E-8</v>
      </c>
      <c r="AO217" s="140">
        <f t="shared" si="85"/>
        <v>1.7800000000000002E-5</v>
      </c>
      <c r="AP217">
        <v>1.78</v>
      </c>
      <c r="AQ217" s="140">
        <f t="shared" si="86"/>
        <v>1.7799999999999995E-7</v>
      </c>
      <c r="AR217" s="140">
        <f t="shared" si="87"/>
        <v>3.5600000000000001E-7</v>
      </c>
      <c r="AS217" s="140">
        <f t="shared" si="88"/>
        <v>5.340000000000001E-7</v>
      </c>
      <c r="AT217" s="140">
        <f t="shared" si="89"/>
        <v>7.1200000000000013E-7</v>
      </c>
      <c r="AU217" s="140">
        <f t="shared" si="90"/>
        <v>8.9000000000000016E-7</v>
      </c>
      <c r="AV217" s="157">
        <f t="shared" si="91"/>
        <v>1.2</v>
      </c>
      <c r="AW217" s="156">
        <f t="shared" si="92"/>
        <v>9.9999999999999995E-8</v>
      </c>
      <c r="AY217" s="140">
        <f t="shared" si="93"/>
        <v>1.7800000000000002E-5</v>
      </c>
      <c r="AZ217">
        <v>1.78</v>
      </c>
      <c r="BA217" s="140">
        <f t="shared" si="94"/>
        <v>1.7799999999999995E-7</v>
      </c>
      <c r="BB217" s="140">
        <f t="shared" si="95"/>
        <v>3.5600000000000001E-7</v>
      </c>
      <c r="BC217" s="140">
        <f t="shared" si="96"/>
        <v>5.340000000000001E-7</v>
      </c>
      <c r="BD217" s="140">
        <f t="shared" si="97"/>
        <v>7.1200000000000013E-7</v>
      </c>
      <c r="BE217" s="140">
        <f t="shared" si="98"/>
        <v>8.9000000000000016E-7</v>
      </c>
      <c r="BF217" s="157">
        <f>IF(AY217&lt;$B$89*DATA!$H$1037,DATA!$H$1037,IF(AY217&gt;DATA!$H$1036*$B$89,DATA!$H$1036,1))</f>
        <v>1.2</v>
      </c>
      <c r="BG217" s="156">
        <f t="shared" si="99"/>
        <v>9.9999999999999995E-8</v>
      </c>
      <c r="BI217" s="140">
        <f t="shared" si="100"/>
        <v>1.7800000000000002E-5</v>
      </c>
      <c r="BJ217">
        <v>1.78</v>
      </c>
      <c r="BK217" s="140">
        <f t="shared" si="101"/>
        <v>1.7799999999999995E-7</v>
      </c>
      <c r="BL217" s="140">
        <f t="shared" si="102"/>
        <v>3.5600000000000001E-7</v>
      </c>
      <c r="BM217" s="140">
        <f t="shared" si="103"/>
        <v>5.340000000000001E-7</v>
      </c>
      <c r="BN217" s="140">
        <f t="shared" si="104"/>
        <v>7.1200000000000013E-7</v>
      </c>
      <c r="BO217" s="140">
        <f t="shared" si="105"/>
        <v>8.9000000000000016E-7</v>
      </c>
      <c r="BP217" s="157">
        <f>IF(BI217&lt;$B$105*DATA!$H$1037,DATA!$H$1037,IF(BI217&gt;DATA!$H$1036*$B$105,DATA!$H$1036,1))</f>
        <v>1.2</v>
      </c>
      <c r="BQ217" s="156">
        <f t="shared" si="106"/>
        <v>9.9999999999999995E-8</v>
      </c>
    </row>
    <row r="218" spans="1:69">
      <c r="A218" s="140">
        <f t="shared" si="59"/>
        <v>1.8E-5</v>
      </c>
      <c r="B218">
        <v>1.8</v>
      </c>
      <c r="C218" s="140">
        <f t="shared" si="57"/>
        <v>1.7999999999999994E-7</v>
      </c>
      <c r="D218" s="140">
        <f t="shared" si="57"/>
        <v>3.5999999999999994E-7</v>
      </c>
      <c r="E218" s="140">
        <f t="shared" si="57"/>
        <v>5.4000000000000002E-7</v>
      </c>
      <c r="F218" s="140">
        <f t="shared" si="57"/>
        <v>7.1999999999999999E-7</v>
      </c>
      <c r="G218" s="140">
        <f t="shared" si="57"/>
        <v>9.0000000000000007E-7</v>
      </c>
      <c r="H218" s="124">
        <f t="shared" si="60"/>
        <v>0.8</v>
      </c>
      <c r="I218" s="156">
        <f t="shared" si="61"/>
        <v>9.9999999999999995E-8</v>
      </c>
      <c r="K218" s="140">
        <f t="shared" si="62"/>
        <v>1.8E-5</v>
      </c>
      <c r="L218">
        <v>1.8</v>
      </c>
      <c r="M218" s="140">
        <f t="shared" si="63"/>
        <v>1.7999999999999994E-7</v>
      </c>
      <c r="N218" s="140">
        <f t="shared" si="64"/>
        <v>3.5999999999999994E-7</v>
      </c>
      <c r="O218" s="140">
        <f t="shared" si="65"/>
        <v>5.4000000000000002E-7</v>
      </c>
      <c r="P218" s="140">
        <f t="shared" si="58"/>
        <v>7.1999999999999999E-7</v>
      </c>
      <c r="Q218" s="140">
        <f t="shared" si="66"/>
        <v>9.0000000000000007E-7</v>
      </c>
      <c r="R218" s="157">
        <f t="shared" si="67"/>
        <v>0.8</v>
      </c>
      <c r="S218" s="156">
        <f t="shared" si="68"/>
        <v>9.9999999999999995E-8</v>
      </c>
      <c r="U218" s="140">
        <f t="shared" si="69"/>
        <v>1.8E-5</v>
      </c>
      <c r="V218">
        <v>1.8</v>
      </c>
      <c r="W218" s="140">
        <f t="shared" si="70"/>
        <v>1.7999999999999994E-7</v>
      </c>
      <c r="X218" s="140">
        <f t="shared" si="71"/>
        <v>3.5999999999999994E-7</v>
      </c>
      <c r="Y218" s="140">
        <f t="shared" si="72"/>
        <v>5.4000000000000002E-7</v>
      </c>
      <c r="Z218" s="140">
        <f t="shared" si="73"/>
        <v>7.1999999999999999E-7</v>
      </c>
      <c r="AA218" s="140">
        <f t="shared" si="74"/>
        <v>9.0000000000000007E-7</v>
      </c>
      <c r="AB218" s="157">
        <f t="shared" si="75"/>
        <v>0.8</v>
      </c>
      <c r="AC218" s="156">
        <f t="shared" si="76"/>
        <v>9.9999999999999995E-8</v>
      </c>
      <c r="AE218" s="140">
        <f t="shared" si="77"/>
        <v>1.8E-5</v>
      </c>
      <c r="AF218">
        <v>1.8</v>
      </c>
      <c r="AG218" s="140">
        <f t="shared" si="78"/>
        <v>1.7999999999999994E-7</v>
      </c>
      <c r="AH218" s="140">
        <f t="shared" si="79"/>
        <v>3.5999999999999994E-7</v>
      </c>
      <c r="AI218" s="140">
        <f t="shared" si="80"/>
        <v>5.4000000000000002E-7</v>
      </c>
      <c r="AJ218" s="140">
        <f t="shared" si="81"/>
        <v>7.1999999999999999E-7</v>
      </c>
      <c r="AK218" s="140">
        <f t="shared" si="82"/>
        <v>9.0000000000000007E-7</v>
      </c>
      <c r="AL218" s="157">
        <f t="shared" si="83"/>
        <v>1.2</v>
      </c>
      <c r="AM218" s="156">
        <f t="shared" si="84"/>
        <v>9.9999999999999995E-8</v>
      </c>
      <c r="AO218" s="140">
        <f t="shared" si="85"/>
        <v>1.8E-5</v>
      </c>
      <c r="AP218">
        <v>1.8</v>
      </c>
      <c r="AQ218" s="140">
        <f t="shared" si="86"/>
        <v>1.7999999999999994E-7</v>
      </c>
      <c r="AR218" s="140">
        <f t="shared" si="87"/>
        <v>3.5999999999999994E-7</v>
      </c>
      <c r="AS218" s="140">
        <f t="shared" si="88"/>
        <v>5.4000000000000002E-7</v>
      </c>
      <c r="AT218" s="140">
        <f t="shared" si="89"/>
        <v>7.1999999999999999E-7</v>
      </c>
      <c r="AU218" s="140">
        <f t="shared" si="90"/>
        <v>9.0000000000000007E-7</v>
      </c>
      <c r="AV218" s="157">
        <f t="shared" si="91"/>
        <v>1.2</v>
      </c>
      <c r="AW218" s="156">
        <f t="shared" si="92"/>
        <v>9.9999999999999995E-8</v>
      </c>
      <c r="AY218" s="140">
        <f t="shared" si="93"/>
        <v>1.8E-5</v>
      </c>
      <c r="AZ218">
        <v>1.8</v>
      </c>
      <c r="BA218" s="140">
        <f t="shared" si="94"/>
        <v>1.7999999999999994E-7</v>
      </c>
      <c r="BB218" s="140">
        <f t="shared" si="95"/>
        <v>3.5999999999999994E-7</v>
      </c>
      <c r="BC218" s="140">
        <f t="shared" si="96"/>
        <v>5.4000000000000002E-7</v>
      </c>
      <c r="BD218" s="140">
        <f t="shared" si="97"/>
        <v>7.1999999999999999E-7</v>
      </c>
      <c r="BE218" s="140">
        <f t="shared" si="98"/>
        <v>9.0000000000000007E-7</v>
      </c>
      <c r="BF218" s="157">
        <f>IF(AY218&lt;$B$89*DATA!$H$1037,DATA!$H$1037,IF(AY218&gt;DATA!$H$1036*$B$89,DATA!$H$1036,1))</f>
        <v>1.2</v>
      </c>
      <c r="BG218" s="156">
        <f t="shared" si="99"/>
        <v>9.9999999999999995E-8</v>
      </c>
      <c r="BI218" s="140">
        <f t="shared" si="100"/>
        <v>1.8E-5</v>
      </c>
      <c r="BJ218">
        <v>1.8</v>
      </c>
      <c r="BK218" s="140">
        <f t="shared" si="101"/>
        <v>1.7999999999999994E-7</v>
      </c>
      <c r="BL218" s="140">
        <f t="shared" si="102"/>
        <v>3.5999999999999994E-7</v>
      </c>
      <c r="BM218" s="140">
        <f t="shared" si="103"/>
        <v>5.4000000000000002E-7</v>
      </c>
      <c r="BN218" s="140">
        <f t="shared" si="104"/>
        <v>7.1999999999999999E-7</v>
      </c>
      <c r="BO218" s="140">
        <f t="shared" si="105"/>
        <v>9.0000000000000007E-7</v>
      </c>
      <c r="BP218" s="157">
        <f>IF(BI218&lt;$B$105*DATA!$H$1037,DATA!$H$1037,IF(BI218&gt;DATA!$H$1036*$B$105,DATA!$H$1036,1))</f>
        <v>1.2</v>
      </c>
      <c r="BQ218" s="156">
        <f t="shared" si="106"/>
        <v>9.9999999999999995E-8</v>
      </c>
    </row>
    <row r="219" spans="1:69">
      <c r="A219" s="140">
        <f t="shared" si="59"/>
        <v>1.8200000000000002E-5</v>
      </c>
      <c r="B219">
        <v>1.82</v>
      </c>
      <c r="C219" s="140">
        <f t="shared" si="57"/>
        <v>1.8199999999999996E-7</v>
      </c>
      <c r="D219" s="140">
        <f t="shared" si="57"/>
        <v>3.6399999999999998E-7</v>
      </c>
      <c r="E219" s="140">
        <f t="shared" si="57"/>
        <v>5.4600000000000005E-7</v>
      </c>
      <c r="F219" s="140">
        <f t="shared" si="57"/>
        <v>7.2800000000000006E-7</v>
      </c>
      <c r="G219" s="140">
        <f t="shared" si="57"/>
        <v>9.1000000000000018E-7</v>
      </c>
      <c r="H219" s="124">
        <f t="shared" si="60"/>
        <v>0.8</v>
      </c>
      <c r="I219" s="156">
        <f t="shared" si="61"/>
        <v>9.9999999999999995E-8</v>
      </c>
      <c r="K219" s="140">
        <f t="shared" si="62"/>
        <v>1.8200000000000002E-5</v>
      </c>
      <c r="L219">
        <v>1.82</v>
      </c>
      <c r="M219" s="140">
        <f t="shared" si="63"/>
        <v>1.8199999999999996E-7</v>
      </c>
      <c r="N219" s="140">
        <f t="shared" si="64"/>
        <v>3.6399999999999998E-7</v>
      </c>
      <c r="O219" s="140">
        <f t="shared" si="65"/>
        <v>5.4600000000000005E-7</v>
      </c>
      <c r="P219" s="140">
        <f t="shared" si="58"/>
        <v>7.2800000000000006E-7</v>
      </c>
      <c r="Q219" s="140">
        <f t="shared" si="66"/>
        <v>9.1000000000000018E-7</v>
      </c>
      <c r="R219" s="157">
        <f t="shared" si="67"/>
        <v>0.8</v>
      </c>
      <c r="S219" s="156">
        <f t="shared" si="68"/>
        <v>9.9999999999999995E-8</v>
      </c>
      <c r="U219" s="140">
        <f t="shared" si="69"/>
        <v>1.8200000000000002E-5</v>
      </c>
      <c r="V219">
        <v>1.82</v>
      </c>
      <c r="W219" s="140">
        <f t="shared" si="70"/>
        <v>1.8199999999999996E-7</v>
      </c>
      <c r="X219" s="140">
        <f t="shared" si="71"/>
        <v>3.6399999999999998E-7</v>
      </c>
      <c r="Y219" s="140">
        <f t="shared" si="72"/>
        <v>5.4600000000000005E-7</v>
      </c>
      <c r="Z219" s="140">
        <f t="shared" si="73"/>
        <v>7.2800000000000006E-7</v>
      </c>
      <c r="AA219" s="140">
        <f t="shared" si="74"/>
        <v>9.1000000000000018E-7</v>
      </c>
      <c r="AB219" s="157">
        <f t="shared" si="75"/>
        <v>0.8</v>
      </c>
      <c r="AC219" s="156">
        <f t="shared" si="76"/>
        <v>9.9999999999999995E-8</v>
      </c>
      <c r="AE219" s="140">
        <f t="shared" si="77"/>
        <v>1.8200000000000002E-5</v>
      </c>
      <c r="AF219">
        <v>1.82</v>
      </c>
      <c r="AG219" s="140">
        <f t="shared" si="78"/>
        <v>1.8199999999999996E-7</v>
      </c>
      <c r="AH219" s="140">
        <f t="shared" si="79"/>
        <v>3.6399999999999998E-7</v>
      </c>
      <c r="AI219" s="140">
        <f t="shared" si="80"/>
        <v>5.4600000000000005E-7</v>
      </c>
      <c r="AJ219" s="140">
        <f t="shared" si="81"/>
        <v>7.2800000000000006E-7</v>
      </c>
      <c r="AK219" s="140">
        <f t="shared" si="82"/>
        <v>9.1000000000000018E-7</v>
      </c>
      <c r="AL219" s="157">
        <f t="shared" si="83"/>
        <v>1.2</v>
      </c>
      <c r="AM219" s="156">
        <f t="shared" si="84"/>
        <v>9.9999999999999995E-8</v>
      </c>
      <c r="AO219" s="140">
        <f t="shared" si="85"/>
        <v>1.8200000000000002E-5</v>
      </c>
      <c r="AP219">
        <v>1.82</v>
      </c>
      <c r="AQ219" s="140">
        <f t="shared" si="86"/>
        <v>1.8199999999999996E-7</v>
      </c>
      <c r="AR219" s="140">
        <f t="shared" si="87"/>
        <v>3.6399999999999998E-7</v>
      </c>
      <c r="AS219" s="140">
        <f t="shared" si="88"/>
        <v>5.4600000000000005E-7</v>
      </c>
      <c r="AT219" s="140">
        <f t="shared" si="89"/>
        <v>7.2800000000000006E-7</v>
      </c>
      <c r="AU219" s="140">
        <f t="shared" si="90"/>
        <v>9.1000000000000018E-7</v>
      </c>
      <c r="AV219" s="157">
        <f t="shared" si="91"/>
        <v>1.2</v>
      </c>
      <c r="AW219" s="156">
        <f t="shared" si="92"/>
        <v>9.9999999999999995E-8</v>
      </c>
      <c r="AY219" s="140">
        <f t="shared" si="93"/>
        <v>1.8200000000000002E-5</v>
      </c>
      <c r="AZ219">
        <v>1.82</v>
      </c>
      <c r="BA219" s="140">
        <f t="shared" si="94"/>
        <v>1.8199999999999996E-7</v>
      </c>
      <c r="BB219" s="140">
        <f t="shared" si="95"/>
        <v>3.6399999999999998E-7</v>
      </c>
      <c r="BC219" s="140">
        <f t="shared" si="96"/>
        <v>5.4600000000000005E-7</v>
      </c>
      <c r="BD219" s="140">
        <f t="shared" si="97"/>
        <v>7.2800000000000006E-7</v>
      </c>
      <c r="BE219" s="140">
        <f t="shared" si="98"/>
        <v>9.1000000000000018E-7</v>
      </c>
      <c r="BF219" s="157">
        <f>IF(AY219&lt;$B$89*DATA!$H$1037,DATA!$H$1037,IF(AY219&gt;DATA!$H$1036*$B$89,DATA!$H$1036,1))</f>
        <v>1.2</v>
      </c>
      <c r="BG219" s="156">
        <f t="shared" si="99"/>
        <v>9.9999999999999995E-8</v>
      </c>
      <c r="BI219" s="140">
        <f t="shared" si="100"/>
        <v>1.8200000000000002E-5</v>
      </c>
      <c r="BJ219">
        <v>1.82</v>
      </c>
      <c r="BK219" s="140">
        <f t="shared" si="101"/>
        <v>1.8199999999999996E-7</v>
      </c>
      <c r="BL219" s="140">
        <f t="shared" si="102"/>
        <v>3.6399999999999998E-7</v>
      </c>
      <c r="BM219" s="140">
        <f t="shared" si="103"/>
        <v>5.4600000000000005E-7</v>
      </c>
      <c r="BN219" s="140">
        <f t="shared" si="104"/>
        <v>7.2800000000000006E-7</v>
      </c>
      <c r="BO219" s="140">
        <f t="shared" si="105"/>
        <v>9.1000000000000018E-7</v>
      </c>
      <c r="BP219" s="157">
        <f>IF(BI219&lt;$B$105*DATA!$H$1037,DATA!$H$1037,IF(BI219&gt;DATA!$H$1036*$B$105,DATA!$H$1036,1))</f>
        <v>1.2</v>
      </c>
      <c r="BQ219" s="156">
        <f t="shared" si="106"/>
        <v>9.9999999999999995E-8</v>
      </c>
    </row>
    <row r="220" spans="1:69">
      <c r="A220" s="140">
        <f t="shared" si="59"/>
        <v>1.8400000000000003E-5</v>
      </c>
      <c r="B220">
        <v>1.84</v>
      </c>
      <c r="C220" s="140">
        <f t="shared" si="57"/>
        <v>1.8399999999999998E-7</v>
      </c>
      <c r="D220" s="140">
        <f t="shared" si="57"/>
        <v>3.6800000000000001E-7</v>
      </c>
      <c r="E220" s="140">
        <f t="shared" si="57"/>
        <v>5.5200000000000007E-7</v>
      </c>
      <c r="F220" s="140">
        <f t="shared" si="57"/>
        <v>7.3600000000000013E-7</v>
      </c>
      <c r="G220" s="140">
        <f t="shared" si="57"/>
        <v>9.2000000000000019E-7</v>
      </c>
      <c r="H220" s="124">
        <f t="shared" si="60"/>
        <v>0.8</v>
      </c>
      <c r="I220" s="156">
        <f t="shared" si="61"/>
        <v>9.9999999999999995E-8</v>
      </c>
      <c r="K220" s="140">
        <f t="shared" si="62"/>
        <v>1.8400000000000003E-5</v>
      </c>
      <c r="L220">
        <v>1.84</v>
      </c>
      <c r="M220" s="140">
        <f t="shared" si="63"/>
        <v>1.8399999999999998E-7</v>
      </c>
      <c r="N220" s="140">
        <f t="shared" si="64"/>
        <v>3.6800000000000001E-7</v>
      </c>
      <c r="O220" s="140">
        <f t="shared" si="65"/>
        <v>5.5200000000000007E-7</v>
      </c>
      <c r="P220" s="140">
        <f t="shared" si="58"/>
        <v>7.3600000000000013E-7</v>
      </c>
      <c r="Q220" s="140">
        <f t="shared" si="66"/>
        <v>9.2000000000000019E-7</v>
      </c>
      <c r="R220" s="157">
        <f t="shared" si="67"/>
        <v>0.8</v>
      </c>
      <c r="S220" s="156">
        <f t="shared" si="68"/>
        <v>9.9999999999999995E-8</v>
      </c>
      <c r="U220" s="140">
        <f t="shared" si="69"/>
        <v>1.8400000000000003E-5</v>
      </c>
      <c r="V220">
        <v>1.84</v>
      </c>
      <c r="W220" s="140">
        <f t="shared" si="70"/>
        <v>1.8399999999999998E-7</v>
      </c>
      <c r="X220" s="140">
        <f t="shared" si="71"/>
        <v>3.6800000000000001E-7</v>
      </c>
      <c r="Y220" s="140">
        <f t="shared" si="72"/>
        <v>5.5200000000000007E-7</v>
      </c>
      <c r="Z220" s="140">
        <f t="shared" si="73"/>
        <v>7.3600000000000013E-7</v>
      </c>
      <c r="AA220" s="140">
        <f t="shared" si="74"/>
        <v>9.2000000000000019E-7</v>
      </c>
      <c r="AB220" s="157">
        <f t="shared" si="75"/>
        <v>0.8</v>
      </c>
      <c r="AC220" s="156">
        <f t="shared" si="76"/>
        <v>9.9999999999999995E-8</v>
      </c>
      <c r="AE220" s="140">
        <f t="shared" si="77"/>
        <v>1.8400000000000003E-5</v>
      </c>
      <c r="AF220">
        <v>1.84</v>
      </c>
      <c r="AG220" s="140">
        <f t="shared" si="78"/>
        <v>1.8399999999999998E-7</v>
      </c>
      <c r="AH220" s="140">
        <f t="shared" si="79"/>
        <v>3.6800000000000001E-7</v>
      </c>
      <c r="AI220" s="140">
        <f t="shared" si="80"/>
        <v>5.5200000000000007E-7</v>
      </c>
      <c r="AJ220" s="140">
        <f t="shared" si="81"/>
        <v>7.3600000000000013E-7</v>
      </c>
      <c r="AK220" s="140">
        <f t="shared" si="82"/>
        <v>9.2000000000000019E-7</v>
      </c>
      <c r="AL220" s="157">
        <f t="shared" si="83"/>
        <v>1.2</v>
      </c>
      <c r="AM220" s="156">
        <f t="shared" si="84"/>
        <v>9.9999999999999995E-8</v>
      </c>
      <c r="AO220" s="140">
        <f t="shared" si="85"/>
        <v>1.8400000000000003E-5</v>
      </c>
      <c r="AP220">
        <v>1.84</v>
      </c>
      <c r="AQ220" s="140">
        <f t="shared" si="86"/>
        <v>1.8399999999999998E-7</v>
      </c>
      <c r="AR220" s="140">
        <f t="shared" si="87"/>
        <v>3.6800000000000001E-7</v>
      </c>
      <c r="AS220" s="140">
        <f t="shared" si="88"/>
        <v>5.5200000000000007E-7</v>
      </c>
      <c r="AT220" s="140">
        <f t="shared" si="89"/>
        <v>7.3600000000000013E-7</v>
      </c>
      <c r="AU220" s="140">
        <f t="shared" si="90"/>
        <v>9.2000000000000019E-7</v>
      </c>
      <c r="AV220" s="157">
        <f t="shared" si="91"/>
        <v>1.2</v>
      </c>
      <c r="AW220" s="156">
        <f t="shared" si="92"/>
        <v>9.9999999999999995E-8</v>
      </c>
      <c r="AY220" s="140">
        <f t="shared" si="93"/>
        <v>1.8400000000000003E-5</v>
      </c>
      <c r="AZ220">
        <v>1.84</v>
      </c>
      <c r="BA220" s="140">
        <f t="shared" si="94"/>
        <v>1.8399999999999998E-7</v>
      </c>
      <c r="BB220" s="140">
        <f t="shared" si="95"/>
        <v>3.6800000000000001E-7</v>
      </c>
      <c r="BC220" s="140">
        <f t="shared" si="96"/>
        <v>5.5200000000000007E-7</v>
      </c>
      <c r="BD220" s="140">
        <f t="shared" si="97"/>
        <v>7.3600000000000013E-7</v>
      </c>
      <c r="BE220" s="140">
        <f t="shared" si="98"/>
        <v>9.2000000000000019E-7</v>
      </c>
      <c r="BF220" s="157">
        <f>IF(AY220&lt;$B$89*DATA!$H$1037,DATA!$H$1037,IF(AY220&gt;DATA!$H$1036*$B$89,DATA!$H$1036,1))</f>
        <v>1.2</v>
      </c>
      <c r="BG220" s="156">
        <f t="shared" si="99"/>
        <v>9.9999999999999995E-8</v>
      </c>
      <c r="BI220" s="140">
        <f t="shared" si="100"/>
        <v>1.8400000000000003E-5</v>
      </c>
      <c r="BJ220">
        <v>1.84</v>
      </c>
      <c r="BK220" s="140">
        <f t="shared" si="101"/>
        <v>1.8399999999999998E-7</v>
      </c>
      <c r="BL220" s="140">
        <f t="shared" si="102"/>
        <v>3.6800000000000001E-7</v>
      </c>
      <c r="BM220" s="140">
        <f t="shared" si="103"/>
        <v>5.5200000000000007E-7</v>
      </c>
      <c r="BN220" s="140">
        <f t="shared" si="104"/>
        <v>7.3600000000000013E-7</v>
      </c>
      <c r="BO220" s="140">
        <f t="shared" si="105"/>
        <v>9.2000000000000019E-7</v>
      </c>
      <c r="BP220" s="157">
        <f>IF(BI220&lt;$B$105*DATA!$H$1037,DATA!$H$1037,IF(BI220&gt;DATA!$H$1036*$B$105,DATA!$H$1036,1))</f>
        <v>1.2</v>
      </c>
      <c r="BQ220" s="156">
        <f t="shared" si="106"/>
        <v>9.9999999999999995E-8</v>
      </c>
    </row>
    <row r="221" spans="1:69">
      <c r="A221" s="140">
        <f t="shared" si="59"/>
        <v>1.8600000000000001E-5</v>
      </c>
      <c r="B221">
        <v>1.86</v>
      </c>
      <c r="C221" s="140">
        <f t="shared" si="57"/>
        <v>1.8599999999999994E-7</v>
      </c>
      <c r="D221" s="140">
        <f t="shared" si="57"/>
        <v>3.72E-7</v>
      </c>
      <c r="E221" s="140">
        <f t="shared" si="57"/>
        <v>5.5799999999999999E-7</v>
      </c>
      <c r="F221" s="140">
        <f t="shared" si="57"/>
        <v>7.440000000000001E-7</v>
      </c>
      <c r="G221" s="140">
        <f t="shared" si="57"/>
        <v>9.300000000000001E-7</v>
      </c>
      <c r="H221" s="124">
        <f t="shared" si="60"/>
        <v>0.8</v>
      </c>
      <c r="I221" s="156">
        <f t="shared" si="61"/>
        <v>9.9999999999999995E-8</v>
      </c>
      <c r="K221" s="140">
        <f t="shared" si="62"/>
        <v>1.8600000000000001E-5</v>
      </c>
      <c r="L221">
        <v>1.86</v>
      </c>
      <c r="M221" s="140">
        <f t="shared" si="63"/>
        <v>1.8599999999999994E-7</v>
      </c>
      <c r="N221" s="140">
        <f t="shared" si="64"/>
        <v>3.72E-7</v>
      </c>
      <c r="O221" s="140">
        <f t="shared" si="65"/>
        <v>5.5799999999999999E-7</v>
      </c>
      <c r="P221" s="140">
        <f t="shared" si="58"/>
        <v>7.440000000000001E-7</v>
      </c>
      <c r="Q221" s="140">
        <f t="shared" si="66"/>
        <v>9.300000000000001E-7</v>
      </c>
      <c r="R221" s="157">
        <f t="shared" si="67"/>
        <v>0.8</v>
      </c>
      <c r="S221" s="156">
        <f t="shared" si="68"/>
        <v>9.9999999999999995E-8</v>
      </c>
      <c r="U221" s="140">
        <f t="shared" si="69"/>
        <v>1.8600000000000001E-5</v>
      </c>
      <c r="V221">
        <v>1.86</v>
      </c>
      <c r="W221" s="140">
        <f t="shared" si="70"/>
        <v>1.8599999999999994E-7</v>
      </c>
      <c r="X221" s="140">
        <f t="shared" si="71"/>
        <v>3.72E-7</v>
      </c>
      <c r="Y221" s="140">
        <f t="shared" si="72"/>
        <v>5.5799999999999999E-7</v>
      </c>
      <c r="Z221" s="140">
        <f t="shared" si="73"/>
        <v>7.440000000000001E-7</v>
      </c>
      <c r="AA221" s="140">
        <f t="shared" si="74"/>
        <v>9.300000000000001E-7</v>
      </c>
      <c r="AB221" s="157">
        <f t="shared" si="75"/>
        <v>0.8</v>
      </c>
      <c r="AC221" s="156">
        <f t="shared" si="76"/>
        <v>9.9999999999999995E-8</v>
      </c>
      <c r="AE221" s="140">
        <f t="shared" si="77"/>
        <v>1.8600000000000001E-5</v>
      </c>
      <c r="AF221">
        <v>1.86</v>
      </c>
      <c r="AG221" s="140">
        <f t="shared" si="78"/>
        <v>1.8599999999999994E-7</v>
      </c>
      <c r="AH221" s="140">
        <f t="shared" si="79"/>
        <v>3.72E-7</v>
      </c>
      <c r="AI221" s="140">
        <f t="shared" si="80"/>
        <v>5.5799999999999999E-7</v>
      </c>
      <c r="AJ221" s="140">
        <f t="shared" si="81"/>
        <v>7.440000000000001E-7</v>
      </c>
      <c r="AK221" s="140">
        <f t="shared" si="82"/>
        <v>9.300000000000001E-7</v>
      </c>
      <c r="AL221" s="157">
        <f t="shared" si="83"/>
        <v>1.2</v>
      </c>
      <c r="AM221" s="156">
        <f t="shared" si="84"/>
        <v>9.9999999999999995E-8</v>
      </c>
      <c r="AO221" s="140">
        <f t="shared" si="85"/>
        <v>1.8600000000000001E-5</v>
      </c>
      <c r="AP221">
        <v>1.86</v>
      </c>
      <c r="AQ221" s="140">
        <f t="shared" si="86"/>
        <v>1.8599999999999994E-7</v>
      </c>
      <c r="AR221" s="140">
        <f t="shared" si="87"/>
        <v>3.72E-7</v>
      </c>
      <c r="AS221" s="140">
        <f t="shared" si="88"/>
        <v>5.5799999999999999E-7</v>
      </c>
      <c r="AT221" s="140">
        <f t="shared" si="89"/>
        <v>7.440000000000001E-7</v>
      </c>
      <c r="AU221" s="140">
        <f t="shared" si="90"/>
        <v>9.300000000000001E-7</v>
      </c>
      <c r="AV221" s="157">
        <f t="shared" si="91"/>
        <v>1.2</v>
      </c>
      <c r="AW221" s="156">
        <f t="shared" si="92"/>
        <v>9.9999999999999995E-8</v>
      </c>
      <c r="AY221" s="140">
        <f t="shared" si="93"/>
        <v>1.8600000000000001E-5</v>
      </c>
      <c r="AZ221">
        <v>1.86</v>
      </c>
      <c r="BA221" s="140">
        <f t="shared" si="94"/>
        <v>1.8599999999999994E-7</v>
      </c>
      <c r="BB221" s="140">
        <f t="shared" si="95"/>
        <v>3.72E-7</v>
      </c>
      <c r="BC221" s="140">
        <f t="shared" si="96"/>
        <v>5.5799999999999999E-7</v>
      </c>
      <c r="BD221" s="140">
        <f t="shared" si="97"/>
        <v>7.440000000000001E-7</v>
      </c>
      <c r="BE221" s="140">
        <f t="shared" si="98"/>
        <v>9.300000000000001E-7</v>
      </c>
      <c r="BF221" s="157">
        <f>IF(AY221&lt;$B$89*DATA!$H$1037,DATA!$H$1037,IF(AY221&gt;DATA!$H$1036*$B$89,DATA!$H$1036,1))</f>
        <v>1.2</v>
      </c>
      <c r="BG221" s="156">
        <f t="shared" si="99"/>
        <v>9.9999999999999995E-8</v>
      </c>
      <c r="BI221" s="140">
        <f t="shared" si="100"/>
        <v>1.8600000000000001E-5</v>
      </c>
      <c r="BJ221">
        <v>1.86</v>
      </c>
      <c r="BK221" s="140">
        <f t="shared" si="101"/>
        <v>1.8599999999999994E-7</v>
      </c>
      <c r="BL221" s="140">
        <f t="shared" si="102"/>
        <v>3.72E-7</v>
      </c>
      <c r="BM221" s="140">
        <f t="shared" si="103"/>
        <v>5.5799999999999999E-7</v>
      </c>
      <c r="BN221" s="140">
        <f t="shared" si="104"/>
        <v>7.440000000000001E-7</v>
      </c>
      <c r="BO221" s="140">
        <f t="shared" si="105"/>
        <v>9.300000000000001E-7</v>
      </c>
      <c r="BP221" s="157">
        <f>IF(BI221&lt;$B$105*DATA!$H$1037,DATA!$H$1037,IF(BI221&gt;DATA!$H$1036*$B$105,DATA!$H$1036,1))</f>
        <v>1.2</v>
      </c>
      <c r="BQ221" s="156">
        <f t="shared" si="106"/>
        <v>9.9999999999999995E-8</v>
      </c>
    </row>
    <row r="222" spans="1:69">
      <c r="A222" s="140">
        <f t="shared" si="59"/>
        <v>1.88E-5</v>
      </c>
      <c r="B222">
        <v>1.88</v>
      </c>
      <c r="C222" s="140">
        <f t="shared" si="57"/>
        <v>1.8799999999999994E-7</v>
      </c>
      <c r="D222" s="140">
        <f t="shared" si="57"/>
        <v>3.7599999999999993E-7</v>
      </c>
      <c r="E222" s="140">
        <f t="shared" si="57"/>
        <v>5.6399999999999992E-7</v>
      </c>
      <c r="F222" s="140">
        <f t="shared" si="57"/>
        <v>7.5199999999999996E-7</v>
      </c>
      <c r="G222" s="140">
        <f t="shared" si="57"/>
        <v>9.4E-7</v>
      </c>
      <c r="H222" s="124">
        <f t="shared" si="60"/>
        <v>0.8</v>
      </c>
      <c r="I222" s="156">
        <f t="shared" si="61"/>
        <v>9.9999999999999995E-8</v>
      </c>
      <c r="K222" s="140">
        <f t="shared" si="62"/>
        <v>1.88E-5</v>
      </c>
      <c r="L222">
        <v>1.88</v>
      </c>
      <c r="M222" s="140">
        <f t="shared" si="63"/>
        <v>1.8799999999999994E-7</v>
      </c>
      <c r="N222" s="140">
        <f t="shared" si="64"/>
        <v>3.7599999999999993E-7</v>
      </c>
      <c r="O222" s="140">
        <f t="shared" si="65"/>
        <v>5.6399999999999992E-7</v>
      </c>
      <c r="P222" s="140">
        <f t="shared" si="58"/>
        <v>7.5199999999999996E-7</v>
      </c>
      <c r="Q222" s="140">
        <f t="shared" si="66"/>
        <v>9.4E-7</v>
      </c>
      <c r="R222" s="157">
        <f t="shared" si="67"/>
        <v>0.8</v>
      </c>
      <c r="S222" s="156">
        <f t="shared" si="68"/>
        <v>9.9999999999999995E-8</v>
      </c>
      <c r="U222" s="140">
        <f t="shared" si="69"/>
        <v>1.88E-5</v>
      </c>
      <c r="V222">
        <v>1.88</v>
      </c>
      <c r="W222" s="140">
        <f t="shared" si="70"/>
        <v>1.8799999999999994E-7</v>
      </c>
      <c r="X222" s="140">
        <f t="shared" si="71"/>
        <v>3.7599999999999993E-7</v>
      </c>
      <c r="Y222" s="140">
        <f t="shared" si="72"/>
        <v>5.6399999999999992E-7</v>
      </c>
      <c r="Z222" s="140">
        <f t="shared" si="73"/>
        <v>7.5199999999999996E-7</v>
      </c>
      <c r="AA222" s="140">
        <f t="shared" si="74"/>
        <v>9.4E-7</v>
      </c>
      <c r="AB222" s="157">
        <f t="shared" si="75"/>
        <v>0.8</v>
      </c>
      <c r="AC222" s="156">
        <f t="shared" si="76"/>
        <v>9.9999999999999995E-8</v>
      </c>
      <c r="AE222" s="140">
        <f t="shared" si="77"/>
        <v>1.88E-5</v>
      </c>
      <c r="AF222">
        <v>1.88</v>
      </c>
      <c r="AG222" s="140">
        <f t="shared" si="78"/>
        <v>1.8799999999999994E-7</v>
      </c>
      <c r="AH222" s="140">
        <f t="shared" si="79"/>
        <v>3.7599999999999993E-7</v>
      </c>
      <c r="AI222" s="140">
        <f t="shared" si="80"/>
        <v>5.6399999999999992E-7</v>
      </c>
      <c r="AJ222" s="140">
        <f t="shared" si="81"/>
        <v>7.5199999999999996E-7</v>
      </c>
      <c r="AK222" s="140">
        <f t="shared" si="82"/>
        <v>9.4E-7</v>
      </c>
      <c r="AL222" s="157">
        <f t="shared" si="83"/>
        <v>1.2</v>
      </c>
      <c r="AM222" s="156">
        <f t="shared" si="84"/>
        <v>9.9999999999999995E-8</v>
      </c>
      <c r="AO222" s="140">
        <f t="shared" si="85"/>
        <v>1.88E-5</v>
      </c>
      <c r="AP222">
        <v>1.88</v>
      </c>
      <c r="AQ222" s="140">
        <f t="shared" si="86"/>
        <v>1.8799999999999994E-7</v>
      </c>
      <c r="AR222" s="140">
        <f t="shared" si="87"/>
        <v>3.7599999999999993E-7</v>
      </c>
      <c r="AS222" s="140">
        <f t="shared" si="88"/>
        <v>5.6399999999999992E-7</v>
      </c>
      <c r="AT222" s="140">
        <f t="shared" si="89"/>
        <v>7.5199999999999996E-7</v>
      </c>
      <c r="AU222" s="140">
        <f t="shared" si="90"/>
        <v>9.4E-7</v>
      </c>
      <c r="AV222" s="157">
        <f t="shared" si="91"/>
        <v>1.2</v>
      </c>
      <c r="AW222" s="156">
        <f t="shared" si="92"/>
        <v>9.9999999999999995E-8</v>
      </c>
      <c r="AY222" s="140">
        <f t="shared" si="93"/>
        <v>1.88E-5</v>
      </c>
      <c r="AZ222">
        <v>1.88</v>
      </c>
      <c r="BA222" s="140">
        <f t="shared" si="94"/>
        <v>1.8799999999999994E-7</v>
      </c>
      <c r="BB222" s="140">
        <f t="shared" si="95"/>
        <v>3.7599999999999993E-7</v>
      </c>
      <c r="BC222" s="140">
        <f t="shared" si="96"/>
        <v>5.6399999999999992E-7</v>
      </c>
      <c r="BD222" s="140">
        <f t="shared" si="97"/>
        <v>7.5199999999999996E-7</v>
      </c>
      <c r="BE222" s="140">
        <f t="shared" si="98"/>
        <v>9.4E-7</v>
      </c>
      <c r="BF222" s="157">
        <f>IF(AY222&lt;$B$89*DATA!$H$1037,DATA!$H$1037,IF(AY222&gt;DATA!$H$1036*$B$89,DATA!$H$1036,1))</f>
        <v>1.2</v>
      </c>
      <c r="BG222" s="156">
        <f t="shared" si="99"/>
        <v>9.9999999999999995E-8</v>
      </c>
      <c r="BI222" s="140">
        <f t="shared" si="100"/>
        <v>1.88E-5</v>
      </c>
      <c r="BJ222">
        <v>1.88</v>
      </c>
      <c r="BK222" s="140">
        <f t="shared" si="101"/>
        <v>1.8799999999999994E-7</v>
      </c>
      <c r="BL222" s="140">
        <f t="shared" si="102"/>
        <v>3.7599999999999993E-7</v>
      </c>
      <c r="BM222" s="140">
        <f t="shared" si="103"/>
        <v>5.6399999999999992E-7</v>
      </c>
      <c r="BN222" s="140">
        <f t="shared" si="104"/>
        <v>7.5199999999999996E-7</v>
      </c>
      <c r="BO222" s="140">
        <f t="shared" si="105"/>
        <v>9.4E-7</v>
      </c>
      <c r="BP222" s="157">
        <f>IF(BI222&lt;$B$105*DATA!$H$1037,DATA!$H$1037,IF(BI222&gt;DATA!$H$1036*$B$105,DATA!$H$1036,1))</f>
        <v>1.2</v>
      </c>
      <c r="BQ222" s="156">
        <f t="shared" si="106"/>
        <v>9.9999999999999995E-8</v>
      </c>
    </row>
    <row r="223" spans="1:69">
      <c r="A223" s="140">
        <f t="shared" si="59"/>
        <v>1.9000000000000001E-5</v>
      </c>
      <c r="B223">
        <v>1.9</v>
      </c>
      <c r="C223" s="140">
        <f t="shared" ref="C223:G238" si="107">C$142*$A223</f>
        <v>1.8999999999999995E-7</v>
      </c>
      <c r="D223" s="140">
        <f t="shared" si="107"/>
        <v>3.7999999999999996E-7</v>
      </c>
      <c r="E223" s="140">
        <f t="shared" si="107"/>
        <v>5.7000000000000005E-7</v>
      </c>
      <c r="F223" s="140">
        <f t="shared" si="107"/>
        <v>7.6000000000000003E-7</v>
      </c>
      <c r="G223" s="140">
        <f t="shared" si="107"/>
        <v>9.5000000000000012E-7</v>
      </c>
      <c r="H223" s="124">
        <f t="shared" si="60"/>
        <v>0.8</v>
      </c>
      <c r="I223" s="156">
        <f t="shared" si="61"/>
        <v>9.9999999999999995E-8</v>
      </c>
      <c r="K223" s="140">
        <f t="shared" si="62"/>
        <v>1.9000000000000001E-5</v>
      </c>
      <c r="L223">
        <v>1.9</v>
      </c>
      <c r="M223" s="140">
        <f t="shared" si="63"/>
        <v>1.8999999999999995E-7</v>
      </c>
      <c r="N223" s="140">
        <f t="shared" si="64"/>
        <v>3.7999999999999996E-7</v>
      </c>
      <c r="O223" s="140">
        <f t="shared" si="65"/>
        <v>5.7000000000000005E-7</v>
      </c>
      <c r="P223" s="140">
        <f t="shared" si="58"/>
        <v>7.6000000000000003E-7</v>
      </c>
      <c r="Q223" s="140">
        <f t="shared" si="66"/>
        <v>9.5000000000000012E-7</v>
      </c>
      <c r="R223" s="157">
        <f t="shared" si="67"/>
        <v>0.8</v>
      </c>
      <c r="S223" s="156">
        <f t="shared" si="68"/>
        <v>9.9999999999999995E-8</v>
      </c>
      <c r="U223" s="140">
        <f t="shared" si="69"/>
        <v>1.9000000000000001E-5</v>
      </c>
      <c r="V223">
        <v>1.9</v>
      </c>
      <c r="W223" s="140">
        <f t="shared" si="70"/>
        <v>1.8999999999999995E-7</v>
      </c>
      <c r="X223" s="140">
        <f t="shared" si="71"/>
        <v>3.7999999999999996E-7</v>
      </c>
      <c r="Y223" s="140">
        <f t="shared" si="72"/>
        <v>5.7000000000000005E-7</v>
      </c>
      <c r="Z223" s="140">
        <f t="shared" si="73"/>
        <v>7.6000000000000003E-7</v>
      </c>
      <c r="AA223" s="140">
        <f t="shared" si="74"/>
        <v>9.5000000000000012E-7</v>
      </c>
      <c r="AB223" s="157">
        <f t="shared" si="75"/>
        <v>0.8</v>
      </c>
      <c r="AC223" s="156">
        <f t="shared" si="76"/>
        <v>9.9999999999999995E-8</v>
      </c>
      <c r="AE223" s="140">
        <f t="shared" si="77"/>
        <v>1.9000000000000001E-5</v>
      </c>
      <c r="AF223">
        <v>1.9</v>
      </c>
      <c r="AG223" s="140">
        <f t="shared" si="78"/>
        <v>1.8999999999999995E-7</v>
      </c>
      <c r="AH223" s="140">
        <f t="shared" si="79"/>
        <v>3.7999999999999996E-7</v>
      </c>
      <c r="AI223" s="140">
        <f t="shared" si="80"/>
        <v>5.7000000000000005E-7</v>
      </c>
      <c r="AJ223" s="140">
        <f t="shared" si="81"/>
        <v>7.6000000000000003E-7</v>
      </c>
      <c r="AK223" s="140">
        <f t="shared" si="82"/>
        <v>9.5000000000000012E-7</v>
      </c>
      <c r="AL223" s="157">
        <f t="shared" si="83"/>
        <v>1.2</v>
      </c>
      <c r="AM223" s="156">
        <f t="shared" si="84"/>
        <v>9.9999999999999995E-8</v>
      </c>
      <c r="AO223" s="140">
        <f t="shared" si="85"/>
        <v>1.9000000000000001E-5</v>
      </c>
      <c r="AP223">
        <v>1.9</v>
      </c>
      <c r="AQ223" s="140">
        <f t="shared" si="86"/>
        <v>1.8999999999999995E-7</v>
      </c>
      <c r="AR223" s="140">
        <f t="shared" si="87"/>
        <v>3.7999999999999996E-7</v>
      </c>
      <c r="AS223" s="140">
        <f t="shared" si="88"/>
        <v>5.7000000000000005E-7</v>
      </c>
      <c r="AT223" s="140">
        <f t="shared" si="89"/>
        <v>7.6000000000000003E-7</v>
      </c>
      <c r="AU223" s="140">
        <f t="shared" si="90"/>
        <v>9.5000000000000012E-7</v>
      </c>
      <c r="AV223" s="157">
        <f t="shared" si="91"/>
        <v>1.2</v>
      </c>
      <c r="AW223" s="156">
        <f t="shared" si="92"/>
        <v>9.9999999999999995E-8</v>
      </c>
      <c r="AY223" s="140">
        <f t="shared" si="93"/>
        <v>1.9000000000000001E-5</v>
      </c>
      <c r="AZ223">
        <v>1.9</v>
      </c>
      <c r="BA223" s="140">
        <f t="shared" si="94"/>
        <v>1.8999999999999995E-7</v>
      </c>
      <c r="BB223" s="140">
        <f t="shared" si="95"/>
        <v>3.7999999999999996E-7</v>
      </c>
      <c r="BC223" s="140">
        <f t="shared" si="96"/>
        <v>5.7000000000000005E-7</v>
      </c>
      <c r="BD223" s="140">
        <f t="shared" si="97"/>
        <v>7.6000000000000003E-7</v>
      </c>
      <c r="BE223" s="140">
        <f t="shared" si="98"/>
        <v>9.5000000000000012E-7</v>
      </c>
      <c r="BF223" s="157">
        <f>IF(AY223&lt;$B$89*DATA!$H$1037,DATA!$H$1037,IF(AY223&gt;DATA!$H$1036*$B$89,DATA!$H$1036,1))</f>
        <v>1.2</v>
      </c>
      <c r="BG223" s="156">
        <f t="shared" si="99"/>
        <v>9.9999999999999995E-8</v>
      </c>
      <c r="BI223" s="140">
        <f t="shared" si="100"/>
        <v>1.9000000000000001E-5</v>
      </c>
      <c r="BJ223">
        <v>1.9</v>
      </c>
      <c r="BK223" s="140">
        <f t="shared" si="101"/>
        <v>1.8999999999999995E-7</v>
      </c>
      <c r="BL223" s="140">
        <f t="shared" si="102"/>
        <v>3.7999999999999996E-7</v>
      </c>
      <c r="BM223" s="140">
        <f t="shared" si="103"/>
        <v>5.7000000000000005E-7</v>
      </c>
      <c r="BN223" s="140">
        <f t="shared" si="104"/>
        <v>7.6000000000000003E-7</v>
      </c>
      <c r="BO223" s="140">
        <f t="shared" si="105"/>
        <v>9.5000000000000012E-7</v>
      </c>
      <c r="BP223" s="157">
        <f>IF(BI223&lt;$B$105*DATA!$H$1037,DATA!$H$1037,IF(BI223&gt;DATA!$H$1036*$B$105,DATA!$H$1036,1))</f>
        <v>1.2</v>
      </c>
      <c r="BQ223" s="156">
        <f t="shared" si="106"/>
        <v>9.9999999999999995E-8</v>
      </c>
    </row>
    <row r="224" spans="1:69">
      <c r="A224" s="140">
        <f t="shared" si="59"/>
        <v>1.9200000000000003E-5</v>
      </c>
      <c r="B224">
        <v>1.92</v>
      </c>
      <c r="C224" s="140">
        <f t="shared" si="107"/>
        <v>1.9199999999999997E-7</v>
      </c>
      <c r="D224" s="140">
        <f t="shared" si="107"/>
        <v>3.84E-7</v>
      </c>
      <c r="E224" s="140">
        <f t="shared" si="107"/>
        <v>5.7600000000000008E-7</v>
      </c>
      <c r="F224" s="140">
        <f t="shared" si="107"/>
        <v>7.680000000000001E-7</v>
      </c>
      <c r="G224" s="140">
        <f t="shared" si="107"/>
        <v>9.6000000000000013E-7</v>
      </c>
      <c r="H224" s="124">
        <f t="shared" si="60"/>
        <v>0.8</v>
      </c>
      <c r="I224" s="156">
        <f t="shared" si="61"/>
        <v>9.9999999999999995E-8</v>
      </c>
      <c r="K224" s="140">
        <f t="shared" si="62"/>
        <v>1.9200000000000003E-5</v>
      </c>
      <c r="L224">
        <v>1.92</v>
      </c>
      <c r="M224" s="140">
        <f t="shared" si="63"/>
        <v>1.9199999999999997E-7</v>
      </c>
      <c r="N224" s="140">
        <f t="shared" si="64"/>
        <v>3.84E-7</v>
      </c>
      <c r="O224" s="140">
        <f t="shared" si="65"/>
        <v>5.7600000000000008E-7</v>
      </c>
      <c r="P224" s="140">
        <f t="shared" si="58"/>
        <v>7.680000000000001E-7</v>
      </c>
      <c r="Q224" s="140">
        <f t="shared" si="66"/>
        <v>9.6000000000000013E-7</v>
      </c>
      <c r="R224" s="157">
        <f t="shared" si="67"/>
        <v>0.8</v>
      </c>
      <c r="S224" s="156">
        <f t="shared" si="68"/>
        <v>9.9999999999999995E-8</v>
      </c>
      <c r="U224" s="140">
        <f t="shared" si="69"/>
        <v>1.9200000000000003E-5</v>
      </c>
      <c r="V224">
        <v>1.92</v>
      </c>
      <c r="W224" s="140">
        <f t="shared" si="70"/>
        <v>1.9199999999999997E-7</v>
      </c>
      <c r="X224" s="140">
        <f t="shared" si="71"/>
        <v>3.84E-7</v>
      </c>
      <c r="Y224" s="140">
        <f t="shared" si="72"/>
        <v>5.7600000000000008E-7</v>
      </c>
      <c r="Z224" s="140">
        <f t="shared" si="73"/>
        <v>7.680000000000001E-7</v>
      </c>
      <c r="AA224" s="140">
        <f t="shared" si="74"/>
        <v>9.6000000000000013E-7</v>
      </c>
      <c r="AB224" s="157">
        <f t="shared" si="75"/>
        <v>0.8</v>
      </c>
      <c r="AC224" s="156">
        <f t="shared" si="76"/>
        <v>9.9999999999999995E-8</v>
      </c>
      <c r="AE224" s="140">
        <f t="shared" si="77"/>
        <v>1.9200000000000003E-5</v>
      </c>
      <c r="AF224">
        <v>1.92</v>
      </c>
      <c r="AG224" s="140">
        <f t="shared" si="78"/>
        <v>1.9199999999999997E-7</v>
      </c>
      <c r="AH224" s="140">
        <f t="shared" si="79"/>
        <v>3.84E-7</v>
      </c>
      <c r="AI224" s="140">
        <f t="shared" si="80"/>
        <v>5.7600000000000008E-7</v>
      </c>
      <c r="AJ224" s="140">
        <f t="shared" si="81"/>
        <v>7.680000000000001E-7</v>
      </c>
      <c r="AK224" s="140">
        <f t="shared" si="82"/>
        <v>9.6000000000000013E-7</v>
      </c>
      <c r="AL224" s="157">
        <f t="shared" si="83"/>
        <v>1.2</v>
      </c>
      <c r="AM224" s="156">
        <f t="shared" si="84"/>
        <v>9.9999999999999995E-8</v>
      </c>
      <c r="AO224" s="140">
        <f t="shared" si="85"/>
        <v>1.9200000000000003E-5</v>
      </c>
      <c r="AP224">
        <v>1.92</v>
      </c>
      <c r="AQ224" s="140">
        <f t="shared" si="86"/>
        <v>1.9199999999999997E-7</v>
      </c>
      <c r="AR224" s="140">
        <f t="shared" si="87"/>
        <v>3.84E-7</v>
      </c>
      <c r="AS224" s="140">
        <f t="shared" si="88"/>
        <v>5.7600000000000008E-7</v>
      </c>
      <c r="AT224" s="140">
        <f t="shared" si="89"/>
        <v>7.680000000000001E-7</v>
      </c>
      <c r="AU224" s="140">
        <f t="shared" si="90"/>
        <v>9.6000000000000013E-7</v>
      </c>
      <c r="AV224" s="157">
        <f t="shared" si="91"/>
        <v>1.2</v>
      </c>
      <c r="AW224" s="156">
        <f t="shared" si="92"/>
        <v>9.9999999999999995E-8</v>
      </c>
      <c r="AY224" s="140">
        <f t="shared" si="93"/>
        <v>1.9200000000000003E-5</v>
      </c>
      <c r="AZ224">
        <v>1.92</v>
      </c>
      <c r="BA224" s="140">
        <f t="shared" si="94"/>
        <v>1.9199999999999997E-7</v>
      </c>
      <c r="BB224" s="140">
        <f t="shared" si="95"/>
        <v>3.84E-7</v>
      </c>
      <c r="BC224" s="140">
        <f t="shared" si="96"/>
        <v>5.7600000000000008E-7</v>
      </c>
      <c r="BD224" s="140">
        <f t="shared" si="97"/>
        <v>7.680000000000001E-7</v>
      </c>
      <c r="BE224" s="140">
        <f t="shared" si="98"/>
        <v>9.6000000000000013E-7</v>
      </c>
      <c r="BF224" s="157">
        <f>IF(AY224&lt;$B$89*DATA!$H$1037,DATA!$H$1037,IF(AY224&gt;DATA!$H$1036*$B$89,DATA!$H$1036,1))</f>
        <v>1.2</v>
      </c>
      <c r="BG224" s="156">
        <f t="shared" si="99"/>
        <v>9.9999999999999995E-8</v>
      </c>
      <c r="BI224" s="140">
        <f t="shared" si="100"/>
        <v>1.9200000000000003E-5</v>
      </c>
      <c r="BJ224">
        <v>1.92</v>
      </c>
      <c r="BK224" s="140">
        <f t="shared" si="101"/>
        <v>1.9199999999999997E-7</v>
      </c>
      <c r="BL224" s="140">
        <f t="shared" si="102"/>
        <v>3.84E-7</v>
      </c>
      <c r="BM224" s="140">
        <f t="shared" si="103"/>
        <v>5.7600000000000008E-7</v>
      </c>
      <c r="BN224" s="140">
        <f t="shared" si="104"/>
        <v>7.680000000000001E-7</v>
      </c>
      <c r="BO224" s="140">
        <f t="shared" si="105"/>
        <v>9.6000000000000013E-7</v>
      </c>
      <c r="BP224" s="157">
        <f>IF(BI224&lt;$B$105*DATA!$H$1037,DATA!$H$1037,IF(BI224&gt;DATA!$H$1036*$B$105,DATA!$H$1036,1))</f>
        <v>1.2</v>
      </c>
      <c r="BQ224" s="156">
        <f t="shared" si="106"/>
        <v>9.9999999999999995E-8</v>
      </c>
    </row>
    <row r="225" spans="1:69">
      <c r="A225" s="140">
        <f t="shared" si="59"/>
        <v>1.9400000000000001E-5</v>
      </c>
      <c r="B225">
        <v>1.94</v>
      </c>
      <c r="C225" s="140">
        <f t="shared" si="107"/>
        <v>1.9399999999999994E-7</v>
      </c>
      <c r="D225" s="140">
        <f t="shared" si="107"/>
        <v>3.8799999999999993E-7</v>
      </c>
      <c r="E225" s="140">
        <f t="shared" si="107"/>
        <v>5.82E-7</v>
      </c>
      <c r="F225" s="140">
        <f t="shared" si="107"/>
        <v>7.7600000000000007E-7</v>
      </c>
      <c r="G225" s="140">
        <f t="shared" si="107"/>
        <v>9.7000000000000003E-7</v>
      </c>
      <c r="H225" s="124">
        <f t="shared" si="60"/>
        <v>0.8</v>
      </c>
      <c r="I225" s="156">
        <f t="shared" si="61"/>
        <v>9.9999999999999995E-8</v>
      </c>
      <c r="K225" s="140">
        <f t="shared" si="62"/>
        <v>1.9400000000000001E-5</v>
      </c>
      <c r="L225">
        <v>1.94</v>
      </c>
      <c r="M225" s="140">
        <f t="shared" si="63"/>
        <v>1.9399999999999994E-7</v>
      </c>
      <c r="N225" s="140">
        <f t="shared" si="64"/>
        <v>3.8799999999999993E-7</v>
      </c>
      <c r="O225" s="140">
        <f t="shared" si="65"/>
        <v>5.82E-7</v>
      </c>
      <c r="P225" s="140">
        <f t="shared" si="58"/>
        <v>7.7600000000000007E-7</v>
      </c>
      <c r="Q225" s="140">
        <f t="shared" si="66"/>
        <v>9.7000000000000003E-7</v>
      </c>
      <c r="R225" s="157">
        <f t="shared" si="67"/>
        <v>0.8</v>
      </c>
      <c r="S225" s="156">
        <f t="shared" si="68"/>
        <v>9.9999999999999995E-8</v>
      </c>
      <c r="U225" s="140">
        <f t="shared" si="69"/>
        <v>1.9400000000000001E-5</v>
      </c>
      <c r="V225">
        <v>1.94</v>
      </c>
      <c r="W225" s="140">
        <f t="shared" si="70"/>
        <v>1.9399999999999994E-7</v>
      </c>
      <c r="X225" s="140">
        <f t="shared" si="71"/>
        <v>3.8799999999999993E-7</v>
      </c>
      <c r="Y225" s="140">
        <f t="shared" si="72"/>
        <v>5.82E-7</v>
      </c>
      <c r="Z225" s="140">
        <f t="shared" si="73"/>
        <v>7.7600000000000007E-7</v>
      </c>
      <c r="AA225" s="140">
        <f t="shared" si="74"/>
        <v>9.7000000000000003E-7</v>
      </c>
      <c r="AB225" s="157">
        <f t="shared" si="75"/>
        <v>0.8</v>
      </c>
      <c r="AC225" s="156">
        <f t="shared" si="76"/>
        <v>9.9999999999999995E-8</v>
      </c>
      <c r="AE225" s="140">
        <f t="shared" si="77"/>
        <v>1.9400000000000001E-5</v>
      </c>
      <c r="AF225">
        <v>1.94</v>
      </c>
      <c r="AG225" s="140">
        <f t="shared" si="78"/>
        <v>1.9399999999999994E-7</v>
      </c>
      <c r="AH225" s="140">
        <f t="shared" si="79"/>
        <v>3.8799999999999993E-7</v>
      </c>
      <c r="AI225" s="140">
        <f t="shared" si="80"/>
        <v>5.82E-7</v>
      </c>
      <c r="AJ225" s="140">
        <f t="shared" si="81"/>
        <v>7.7600000000000007E-7</v>
      </c>
      <c r="AK225" s="140">
        <f t="shared" si="82"/>
        <v>9.7000000000000003E-7</v>
      </c>
      <c r="AL225" s="157">
        <f t="shared" si="83"/>
        <v>1.2</v>
      </c>
      <c r="AM225" s="156">
        <f t="shared" si="84"/>
        <v>9.9999999999999995E-8</v>
      </c>
      <c r="AO225" s="140">
        <f t="shared" si="85"/>
        <v>1.9400000000000001E-5</v>
      </c>
      <c r="AP225">
        <v>1.94</v>
      </c>
      <c r="AQ225" s="140">
        <f t="shared" si="86"/>
        <v>1.9399999999999994E-7</v>
      </c>
      <c r="AR225" s="140">
        <f t="shared" si="87"/>
        <v>3.8799999999999993E-7</v>
      </c>
      <c r="AS225" s="140">
        <f t="shared" si="88"/>
        <v>5.82E-7</v>
      </c>
      <c r="AT225" s="140">
        <f t="shared" si="89"/>
        <v>7.7600000000000007E-7</v>
      </c>
      <c r="AU225" s="140">
        <f t="shared" si="90"/>
        <v>9.7000000000000003E-7</v>
      </c>
      <c r="AV225" s="157">
        <f t="shared" si="91"/>
        <v>1.2</v>
      </c>
      <c r="AW225" s="156">
        <f t="shared" si="92"/>
        <v>9.9999999999999995E-8</v>
      </c>
      <c r="AY225" s="140">
        <f t="shared" si="93"/>
        <v>1.9400000000000001E-5</v>
      </c>
      <c r="AZ225">
        <v>1.94</v>
      </c>
      <c r="BA225" s="140">
        <f t="shared" si="94"/>
        <v>1.9399999999999994E-7</v>
      </c>
      <c r="BB225" s="140">
        <f t="shared" si="95"/>
        <v>3.8799999999999993E-7</v>
      </c>
      <c r="BC225" s="140">
        <f t="shared" si="96"/>
        <v>5.82E-7</v>
      </c>
      <c r="BD225" s="140">
        <f t="shared" si="97"/>
        <v>7.7600000000000007E-7</v>
      </c>
      <c r="BE225" s="140">
        <f t="shared" si="98"/>
        <v>9.7000000000000003E-7</v>
      </c>
      <c r="BF225" s="157">
        <f>IF(AY225&lt;$B$89*DATA!$H$1037,DATA!$H$1037,IF(AY225&gt;DATA!$H$1036*$B$89,DATA!$H$1036,1))</f>
        <v>1.2</v>
      </c>
      <c r="BG225" s="156">
        <f t="shared" si="99"/>
        <v>9.9999999999999995E-8</v>
      </c>
      <c r="BI225" s="140">
        <f t="shared" si="100"/>
        <v>1.9400000000000001E-5</v>
      </c>
      <c r="BJ225">
        <v>1.94</v>
      </c>
      <c r="BK225" s="140">
        <f t="shared" si="101"/>
        <v>1.9399999999999994E-7</v>
      </c>
      <c r="BL225" s="140">
        <f t="shared" si="102"/>
        <v>3.8799999999999993E-7</v>
      </c>
      <c r="BM225" s="140">
        <f t="shared" si="103"/>
        <v>5.82E-7</v>
      </c>
      <c r="BN225" s="140">
        <f t="shared" si="104"/>
        <v>7.7600000000000007E-7</v>
      </c>
      <c r="BO225" s="140">
        <f t="shared" si="105"/>
        <v>9.7000000000000003E-7</v>
      </c>
      <c r="BP225" s="157">
        <f>IF(BI225&lt;$B$105*DATA!$H$1037,DATA!$H$1037,IF(BI225&gt;DATA!$H$1036*$B$105,DATA!$H$1036,1))</f>
        <v>1.2</v>
      </c>
      <c r="BQ225" s="156">
        <f t="shared" si="106"/>
        <v>9.9999999999999995E-8</v>
      </c>
    </row>
    <row r="226" spans="1:69">
      <c r="A226" s="140">
        <f t="shared" si="59"/>
        <v>1.9600000000000002E-5</v>
      </c>
      <c r="B226">
        <v>1.96</v>
      </c>
      <c r="C226" s="140">
        <f t="shared" si="107"/>
        <v>1.9599999999999996E-7</v>
      </c>
      <c r="D226" s="140">
        <f t="shared" si="107"/>
        <v>3.9199999999999996E-7</v>
      </c>
      <c r="E226" s="140">
        <f t="shared" si="107"/>
        <v>5.8800000000000002E-7</v>
      </c>
      <c r="F226" s="140">
        <f t="shared" si="107"/>
        <v>7.8400000000000014E-7</v>
      </c>
      <c r="G226" s="140">
        <f t="shared" si="107"/>
        <v>9.8000000000000015E-7</v>
      </c>
      <c r="H226" s="124">
        <f t="shared" si="60"/>
        <v>0.8</v>
      </c>
      <c r="I226" s="156">
        <f t="shared" si="61"/>
        <v>9.9999999999999995E-8</v>
      </c>
      <c r="K226" s="140">
        <f t="shared" si="62"/>
        <v>1.9600000000000002E-5</v>
      </c>
      <c r="L226">
        <v>1.96</v>
      </c>
      <c r="M226" s="140">
        <f t="shared" si="63"/>
        <v>1.9599999999999996E-7</v>
      </c>
      <c r="N226" s="140">
        <f t="shared" si="64"/>
        <v>3.9199999999999996E-7</v>
      </c>
      <c r="O226" s="140">
        <f t="shared" si="65"/>
        <v>5.8800000000000002E-7</v>
      </c>
      <c r="P226" s="140">
        <f t="shared" si="58"/>
        <v>7.8400000000000014E-7</v>
      </c>
      <c r="Q226" s="140">
        <f t="shared" si="66"/>
        <v>9.8000000000000015E-7</v>
      </c>
      <c r="R226" s="157">
        <f t="shared" si="67"/>
        <v>0.8</v>
      </c>
      <c r="S226" s="156">
        <f t="shared" si="68"/>
        <v>9.9999999999999995E-8</v>
      </c>
      <c r="U226" s="140">
        <f t="shared" si="69"/>
        <v>1.9600000000000002E-5</v>
      </c>
      <c r="V226">
        <v>1.96</v>
      </c>
      <c r="W226" s="140">
        <f t="shared" si="70"/>
        <v>1.9599999999999996E-7</v>
      </c>
      <c r="X226" s="140">
        <f t="shared" si="71"/>
        <v>3.9199999999999996E-7</v>
      </c>
      <c r="Y226" s="140">
        <f t="shared" si="72"/>
        <v>5.8800000000000002E-7</v>
      </c>
      <c r="Z226" s="140">
        <f t="shared" si="73"/>
        <v>7.8400000000000014E-7</v>
      </c>
      <c r="AA226" s="140">
        <f t="shared" si="74"/>
        <v>9.8000000000000015E-7</v>
      </c>
      <c r="AB226" s="157">
        <f t="shared" si="75"/>
        <v>0.8</v>
      </c>
      <c r="AC226" s="156">
        <f t="shared" si="76"/>
        <v>9.9999999999999995E-8</v>
      </c>
      <c r="AE226" s="140">
        <f t="shared" si="77"/>
        <v>1.9600000000000002E-5</v>
      </c>
      <c r="AF226">
        <v>1.96</v>
      </c>
      <c r="AG226" s="140">
        <f t="shared" si="78"/>
        <v>1.9599999999999996E-7</v>
      </c>
      <c r="AH226" s="140">
        <f t="shared" si="79"/>
        <v>3.9199999999999996E-7</v>
      </c>
      <c r="AI226" s="140">
        <f t="shared" si="80"/>
        <v>5.8800000000000002E-7</v>
      </c>
      <c r="AJ226" s="140">
        <f t="shared" si="81"/>
        <v>7.8400000000000014E-7</v>
      </c>
      <c r="AK226" s="140">
        <f t="shared" si="82"/>
        <v>9.8000000000000015E-7</v>
      </c>
      <c r="AL226" s="157">
        <f t="shared" si="83"/>
        <v>1.2</v>
      </c>
      <c r="AM226" s="156">
        <f t="shared" si="84"/>
        <v>9.9999999999999995E-8</v>
      </c>
      <c r="AO226" s="140">
        <f t="shared" si="85"/>
        <v>1.9600000000000002E-5</v>
      </c>
      <c r="AP226">
        <v>1.96</v>
      </c>
      <c r="AQ226" s="140">
        <f t="shared" si="86"/>
        <v>1.9599999999999996E-7</v>
      </c>
      <c r="AR226" s="140">
        <f t="shared" si="87"/>
        <v>3.9199999999999996E-7</v>
      </c>
      <c r="AS226" s="140">
        <f t="shared" si="88"/>
        <v>5.8800000000000002E-7</v>
      </c>
      <c r="AT226" s="140">
        <f t="shared" si="89"/>
        <v>7.8400000000000014E-7</v>
      </c>
      <c r="AU226" s="140">
        <f t="shared" si="90"/>
        <v>9.8000000000000015E-7</v>
      </c>
      <c r="AV226" s="157">
        <f t="shared" si="91"/>
        <v>1.2</v>
      </c>
      <c r="AW226" s="156">
        <f t="shared" si="92"/>
        <v>9.9999999999999995E-8</v>
      </c>
      <c r="AY226" s="140">
        <f t="shared" si="93"/>
        <v>1.9600000000000002E-5</v>
      </c>
      <c r="AZ226">
        <v>1.96</v>
      </c>
      <c r="BA226" s="140">
        <f t="shared" si="94"/>
        <v>1.9599999999999996E-7</v>
      </c>
      <c r="BB226" s="140">
        <f t="shared" si="95"/>
        <v>3.9199999999999996E-7</v>
      </c>
      <c r="BC226" s="140">
        <f t="shared" si="96"/>
        <v>5.8800000000000002E-7</v>
      </c>
      <c r="BD226" s="140">
        <f t="shared" si="97"/>
        <v>7.8400000000000014E-7</v>
      </c>
      <c r="BE226" s="140">
        <f t="shared" si="98"/>
        <v>9.8000000000000015E-7</v>
      </c>
      <c r="BF226" s="157">
        <f>IF(AY226&lt;$B$89*DATA!$H$1037,DATA!$H$1037,IF(AY226&gt;DATA!$H$1036*$B$89,DATA!$H$1036,1))</f>
        <v>1.2</v>
      </c>
      <c r="BG226" s="156">
        <f t="shared" si="99"/>
        <v>9.9999999999999995E-8</v>
      </c>
      <c r="BI226" s="140">
        <f t="shared" si="100"/>
        <v>1.9600000000000002E-5</v>
      </c>
      <c r="BJ226">
        <v>1.96</v>
      </c>
      <c r="BK226" s="140">
        <f t="shared" si="101"/>
        <v>1.9599999999999996E-7</v>
      </c>
      <c r="BL226" s="140">
        <f t="shared" si="102"/>
        <v>3.9199999999999996E-7</v>
      </c>
      <c r="BM226" s="140">
        <f t="shared" si="103"/>
        <v>5.8800000000000002E-7</v>
      </c>
      <c r="BN226" s="140">
        <f t="shared" si="104"/>
        <v>7.8400000000000014E-7</v>
      </c>
      <c r="BO226" s="140">
        <f t="shared" si="105"/>
        <v>9.8000000000000015E-7</v>
      </c>
      <c r="BP226" s="157">
        <f>IF(BI226&lt;$B$105*DATA!$H$1037,DATA!$H$1037,IF(BI226&gt;DATA!$H$1036*$B$105,DATA!$H$1036,1))</f>
        <v>1.2</v>
      </c>
      <c r="BQ226" s="156">
        <f t="shared" si="106"/>
        <v>9.9999999999999995E-8</v>
      </c>
    </row>
    <row r="227" spans="1:69">
      <c r="A227" s="140">
        <f t="shared" si="59"/>
        <v>1.98E-5</v>
      </c>
      <c r="B227">
        <v>1.98</v>
      </c>
      <c r="C227" s="140">
        <f t="shared" si="107"/>
        <v>1.9799999999999995E-7</v>
      </c>
      <c r="D227" s="140">
        <f t="shared" si="107"/>
        <v>3.9599999999999995E-7</v>
      </c>
      <c r="E227" s="140">
        <f t="shared" si="107"/>
        <v>5.9399999999999995E-7</v>
      </c>
      <c r="F227" s="140">
        <f t="shared" si="107"/>
        <v>7.92E-7</v>
      </c>
      <c r="G227" s="140">
        <f t="shared" si="107"/>
        <v>9.9000000000000005E-7</v>
      </c>
      <c r="H227" s="124">
        <f t="shared" si="60"/>
        <v>0.8</v>
      </c>
      <c r="I227" s="156">
        <f t="shared" si="61"/>
        <v>9.9999999999999995E-8</v>
      </c>
      <c r="K227" s="140">
        <f t="shared" si="62"/>
        <v>1.98E-5</v>
      </c>
      <c r="L227">
        <v>1.98</v>
      </c>
      <c r="M227" s="140">
        <f t="shared" si="63"/>
        <v>1.9799999999999995E-7</v>
      </c>
      <c r="N227" s="140">
        <f t="shared" si="64"/>
        <v>3.9599999999999995E-7</v>
      </c>
      <c r="O227" s="140">
        <f t="shared" si="65"/>
        <v>5.9399999999999995E-7</v>
      </c>
      <c r="P227" s="140">
        <f t="shared" si="58"/>
        <v>7.92E-7</v>
      </c>
      <c r="Q227" s="140">
        <f t="shared" si="66"/>
        <v>9.9000000000000005E-7</v>
      </c>
      <c r="R227" s="157">
        <f t="shared" si="67"/>
        <v>0.8</v>
      </c>
      <c r="S227" s="156">
        <f t="shared" si="68"/>
        <v>9.9999999999999995E-8</v>
      </c>
      <c r="U227" s="140">
        <f t="shared" si="69"/>
        <v>1.98E-5</v>
      </c>
      <c r="V227">
        <v>1.98</v>
      </c>
      <c r="W227" s="140">
        <f t="shared" si="70"/>
        <v>1.9799999999999995E-7</v>
      </c>
      <c r="X227" s="140">
        <f t="shared" si="71"/>
        <v>3.9599999999999995E-7</v>
      </c>
      <c r="Y227" s="140">
        <f t="shared" si="72"/>
        <v>5.9399999999999995E-7</v>
      </c>
      <c r="Z227" s="140">
        <f t="shared" si="73"/>
        <v>7.92E-7</v>
      </c>
      <c r="AA227" s="140">
        <f t="shared" si="74"/>
        <v>9.9000000000000005E-7</v>
      </c>
      <c r="AB227" s="157">
        <f t="shared" si="75"/>
        <v>0.8</v>
      </c>
      <c r="AC227" s="156">
        <f t="shared" si="76"/>
        <v>9.9999999999999995E-8</v>
      </c>
      <c r="AE227" s="140">
        <f t="shared" si="77"/>
        <v>1.98E-5</v>
      </c>
      <c r="AF227">
        <v>1.98</v>
      </c>
      <c r="AG227" s="140">
        <f t="shared" si="78"/>
        <v>1.9799999999999995E-7</v>
      </c>
      <c r="AH227" s="140">
        <f t="shared" si="79"/>
        <v>3.9599999999999995E-7</v>
      </c>
      <c r="AI227" s="140">
        <f t="shared" si="80"/>
        <v>5.9399999999999995E-7</v>
      </c>
      <c r="AJ227" s="140">
        <f t="shared" si="81"/>
        <v>7.92E-7</v>
      </c>
      <c r="AK227" s="140">
        <f t="shared" si="82"/>
        <v>9.9000000000000005E-7</v>
      </c>
      <c r="AL227" s="157">
        <f t="shared" si="83"/>
        <v>1.2</v>
      </c>
      <c r="AM227" s="156">
        <f t="shared" si="84"/>
        <v>9.9999999999999995E-8</v>
      </c>
      <c r="AO227" s="140">
        <f t="shared" si="85"/>
        <v>1.98E-5</v>
      </c>
      <c r="AP227">
        <v>1.98</v>
      </c>
      <c r="AQ227" s="140">
        <f t="shared" si="86"/>
        <v>1.9799999999999995E-7</v>
      </c>
      <c r="AR227" s="140">
        <f t="shared" si="87"/>
        <v>3.9599999999999995E-7</v>
      </c>
      <c r="AS227" s="140">
        <f t="shared" si="88"/>
        <v>5.9399999999999995E-7</v>
      </c>
      <c r="AT227" s="140">
        <f t="shared" si="89"/>
        <v>7.92E-7</v>
      </c>
      <c r="AU227" s="140">
        <f t="shared" si="90"/>
        <v>9.9000000000000005E-7</v>
      </c>
      <c r="AV227" s="157">
        <f t="shared" si="91"/>
        <v>1.2</v>
      </c>
      <c r="AW227" s="156">
        <f t="shared" si="92"/>
        <v>9.9999999999999995E-8</v>
      </c>
      <c r="AY227" s="140">
        <f t="shared" si="93"/>
        <v>1.98E-5</v>
      </c>
      <c r="AZ227">
        <v>1.98</v>
      </c>
      <c r="BA227" s="140">
        <f t="shared" si="94"/>
        <v>1.9799999999999995E-7</v>
      </c>
      <c r="BB227" s="140">
        <f t="shared" si="95"/>
        <v>3.9599999999999995E-7</v>
      </c>
      <c r="BC227" s="140">
        <f t="shared" si="96"/>
        <v>5.9399999999999995E-7</v>
      </c>
      <c r="BD227" s="140">
        <f t="shared" si="97"/>
        <v>7.92E-7</v>
      </c>
      <c r="BE227" s="140">
        <f t="shared" si="98"/>
        <v>9.9000000000000005E-7</v>
      </c>
      <c r="BF227" s="157">
        <f>IF(AY227&lt;$B$89*DATA!$H$1037,DATA!$H$1037,IF(AY227&gt;DATA!$H$1036*$B$89,DATA!$H$1036,1))</f>
        <v>1.2</v>
      </c>
      <c r="BG227" s="156">
        <f t="shared" si="99"/>
        <v>9.9999999999999995E-8</v>
      </c>
      <c r="BI227" s="140">
        <f t="shared" si="100"/>
        <v>1.98E-5</v>
      </c>
      <c r="BJ227">
        <v>1.98</v>
      </c>
      <c r="BK227" s="140">
        <f t="shared" si="101"/>
        <v>1.9799999999999995E-7</v>
      </c>
      <c r="BL227" s="140">
        <f t="shared" si="102"/>
        <v>3.9599999999999995E-7</v>
      </c>
      <c r="BM227" s="140">
        <f t="shared" si="103"/>
        <v>5.9399999999999995E-7</v>
      </c>
      <c r="BN227" s="140">
        <f t="shared" si="104"/>
        <v>7.92E-7</v>
      </c>
      <c r="BO227" s="140">
        <f t="shared" si="105"/>
        <v>9.9000000000000005E-7</v>
      </c>
      <c r="BP227" s="157">
        <f>IF(BI227&lt;$B$105*DATA!$H$1037,DATA!$H$1037,IF(BI227&gt;DATA!$H$1036*$B$105,DATA!$H$1036,1))</f>
        <v>1.2</v>
      </c>
      <c r="BQ227" s="156">
        <f t="shared" si="106"/>
        <v>9.9999999999999995E-8</v>
      </c>
    </row>
    <row r="228" spans="1:69">
      <c r="A228" s="140">
        <f t="shared" si="59"/>
        <v>2.0000000000000002E-5</v>
      </c>
      <c r="B228">
        <v>2</v>
      </c>
      <c r="C228" s="140">
        <f t="shared" si="107"/>
        <v>1.9999999999999994E-7</v>
      </c>
      <c r="D228" s="140">
        <f t="shared" si="107"/>
        <v>3.9999999999999998E-7</v>
      </c>
      <c r="E228" s="140">
        <f t="shared" si="107"/>
        <v>6.0000000000000008E-7</v>
      </c>
      <c r="F228" s="140">
        <f t="shared" si="107"/>
        <v>8.0000000000000007E-7</v>
      </c>
      <c r="G228" s="140">
        <f t="shared" si="107"/>
        <v>1.0000000000000002E-6</v>
      </c>
      <c r="H228" s="124">
        <f t="shared" si="60"/>
        <v>0.8</v>
      </c>
      <c r="I228" s="156">
        <f t="shared" si="61"/>
        <v>9.9999999999999995E-8</v>
      </c>
      <c r="K228" s="140">
        <f t="shared" si="62"/>
        <v>2.0000000000000002E-5</v>
      </c>
      <c r="L228">
        <v>2</v>
      </c>
      <c r="M228" s="140">
        <f t="shared" si="63"/>
        <v>1.9999999999999994E-7</v>
      </c>
      <c r="N228" s="140">
        <f t="shared" si="64"/>
        <v>3.9999999999999998E-7</v>
      </c>
      <c r="O228" s="140">
        <f t="shared" si="65"/>
        <v>6.0000000000000008E-7</v>
      </c>
      <c r="P228" s="140">
        <f t="shared" si="58"/>
        <v>8.0000000000000007E-7</v>
      </c>
      <c r="Q228" s="140">
        <f t="shared" si="66"/>
        <v>1.0000000000000002E-6</v>
      </c>
      <c r="R228" s="157">
        <f t="shared" si="67"/>
        <v>0.8</v>
      </c>
      <c r="S228" s="156">
        <f t="shared" si="68"/>
        <v>9.9999999999999995E-8</v>
      </c>
      <c r="U228" s="140">
        <f t="shared" si="69"/>
        <v>2.0000000000000002E-5</v>
      </c>
      <c r="V228">
        <v>2</v>
      </c>
      <c r="W228" s="140">
        <f t="shared" si="70"/>
        <v>1.9999999999999994E-7</v>
      </c>
      <c r="X228" s="140">
        <f t="shared" si="71"/>
        <v>3.9999999999999998E-7</v>
      </c>
      <c r="Y228" s="140">
        <f t="shared" si="72"/>
        <v>6.0000000000000008E-7</v>
      </c>
      <c r="Z228" s="140">
        <f t="shared" si="73"/>
        <v>8.0000000000000007E-7</v>
      </c>
      <c r="AA228" s="140">
        <f t="shared" si="74"/>
        <v>1.0000000000000002E-6</v>
      </c>
      <c r="AB228" s="157">
        <f t="shared" si="75"/>
        <v>0.8</v>
      </c>
      <c r="AC228" s="156">
        <f t="shared" si="76"/>
        <v>9.9999999999999995E-8</v>
      </c>
      <c r="AE228" s="140">
        <f t="shared" si="77"/>
        <v>2.0000000000000002E-5</v>
      </c>
      <c r="AF228">
        <v>2</v>
      </c>
      <c r="AG228" s="140">
        <f t="shared" si="78"/>
        <v>1.9999999999999994E-7</v>
      </c>
      <c r="AH228" s="140">
        <f t="shared" si="79"/>
        <v>3.9999999999999998E-7</v>
      </c>
      <c r="AI228" s="140">
        <f t="shared" si="80"/>
        <v>6.0000000000000008E-7</v>
      </c>
      <c r="AJ228" s="140">
        <f t="shared" si="81"/>
        <v>8.0000000000000007E-7</v>
      </c>
      <c r="AK228" s="140">
        <f t="shared" si="82"/>
        <v>1.0000000000000002E-6</v>
      </c>
      <c r="AL228" s="157">
        <f t="shared" si="83"/>
        <v>1.2</v>
      </c>
      <c r="AM228" s="156">
        <f t="shared" si="84"/>
        <v>9.9999999999999995E-8</v>
      </c>
      <c r="AO228" s="140">
        <f t="shared" si="85"/>
        <v>2.0000000000000002E-5</v>
      </c>
      <c r="AP228">
        <v>2</v>
      </c>
      <c r="AQ228" s="140">
        <f t="shared" si="86"/>
        <v>1.9999999999999994E-7</v>
      </c>
      <c r="AR228" s="140">
        <f t="shared" si="87"/>
        <v>3.9999999999999998E-7</v>
      </c>
      <c r="AS228" s="140">
        <f t="shared" si="88"/>
        <v>6.0000000000000008E-7</v>
      </c>
      <c r="AT228" s="140">
        <f t="shared" si="89"/>
        <v>8.0000000000000007E-7</v>
      </c>
      <c r="AU228" s="140">
        <f t="shared" si="90"/>
        <v>1.0000000000000002E-6</v>
      </c>
      <c r="AV228" s="157">
        <f t="shared" si="91"/>
        <v>1.2</v>
      </c>
      <c r="AW228" s="156">
        <f t="shared" si="92"/>
        <v>9.9999999999999995E-8</v>
      </c>
      <c r="AY228" s="140">
        <f t="shared" si="93"/>
        <v>2.0000000000000002E-5</v>
      </c>
      <c r="AZ228">
        <v>2</v>
      </c>
      <c r="BA228" s="140">
        <f t="shared" si="94"/>
        <v>1.9999999999999994E-7</v>
      </c>
      <c r="BB228" s="140">
        <f t="shared" si="95"/>
        <v>3.9999999999999998E-7</v>
      </c>
      <c r="BC228" s="140">
        <f t="shared" si="96"/>
        <v>6.0000000000000008E-7</v>
      </c>
      <c r="BD228" s="140">
        <f t="shared" si="97"/>
        <v>8.0000000000000007E-7</v>
      </c>
      <c r="BE228" s="140">
        <f t="shared" si="98"/>
        <v>1.0000000000000002E-6</v>
      </c>
      <c r="BF228" s="157">
        <f>IF(AY228&lt;$B$89*DATA!$H$1037,DATA!$H$1037,IF(AY228&gt;DATA!$H$1036*$B$89,DATA!$H$1036,1))</f>
        <v>1.2</v>
      </c>
      <c r="BG228" s="156">
        <f t="shared" si="99"/>
        <v>9.9999999999999995E-8</v>
      </c>
      <c r="BI228" s="140">
        <f t="shared" si="100"/>
        <v>2.0000000000000002E-5</v>
      </c>
      <c r="BJ228">
        <v>2</v>
      </c>
      <c r="BK228" s="140">
        <f t="shared" si="101"/>
        <v>1.9999999999999994E-7</v>
      </c>
      <c r="BL228" s="140">
        <f t="shared" si="102"/>
        <v>3.9999999999999998E-7</v>
      </c>
      <c r="BM228" s="140">
        <f t="shared" si="103"/>
        <v>6.0000000000000008E-7</v>
      </c>
      <c r="BN228" s="140">
        <f t="shared" si="104"/>
        <v>8.0000000000000007E-7</v>
      </c>
      <c r="BO228" s="140">
        <f t="shared" si="105"/>
        <v>1.0000000000000002E-6</v>
      </c>
      <c r="BP228" s="157">
        <f>IF(BI228&lt;$B$105*DATA!$H$1037,DATA!$H$1037,IF(BI228&gt;DATA!$H$1036*$B$105,DATA!$H$1036,1))</f>
        <v>1.2</v>
      </c>
      <c r="BQ228" s="156">
        <f t="shared" si="106"/>
        <v>9.9999999999999995E-8</v>
      </c>
    </row>
    <row r="229" spans="1:69">
      <c r="A229" s="140">
        <f t="shared" si="59"/>
        <v>2.0200000000000003E-5</v>
      </c>
      <c r="B229">
        <v>2.02</v>
      </c>
      <c r="C229" s="140">
        <f t="shared" si="107"/>
        <v>2.0199999999999996E-7</v>
      </c>
      <c r="D229" s="140">
        <f t="shared" si="107"/>
        <v>4.0400000000000002E-7</v>
      </c>
      <c r="E229" s="140">
        <f t="shared" si="107"/>
        <v>6.0600000000000011E-7</v>
      </c>
      <c r="F229" s="140">
        <f t="shared" si="107"/>
        <v>8.0800000000000014E-7</v>
      </c>
      <c r="G229" s="140">
        <f t="shared" si="107"/>
        <v>1.0100000000000003E-6</v>
      </c>
      <c r="H229" s="124">
        <f t="shared" si="60"/>
        <v>0.8</v>
      </c>
      <c r="I229" s="156">
        <f t="shared" si="61"/>
        <v>9.9999999999999995E-8</v>
      </c>
      <c r="K229" s="140">
        <f t="shared" si="62"/>
        <v>2.0200000000000003E-5</v>
      </c>
      <c r="L229">
        <v>2.02</v>
      </c>
      <c r="M229" s="140">
        <f t="shared" si="63"/>
        <v>2.0199999999999996E-7</v>
      </c>
      <c r="N229" s="140">
        <f t="shared" si="64"/>
        <v>4.0400000000000002E-7</v>
      </c>
      <c r="O229" s="140">
        <f t="shared" si="65"/>
        <v>6.0600000000000011E-7</v>
      </c>
      <c r="P229" s="140">
        <f t="shared" si="58"/>
        <v>8.0800000000000014E-7</v>
      </c>
      <c r="Q229" s="140">
        <f t="shared" si="66"/>
        <v>1.0100000000000003E-6</v>
      </c>
      <c r="R229" s="157">
        <f t="shared" si="67"/>
        <v>0.8</v>
      </c>
      <c r="S229" s="156">
        <f t="shared" si="68"/>
        <v>9.9999999999999995E-8</v>
      </c>
      <c r="U229" s="140">
        <f t="shared" si="69"/>
        <v>2.0200000000000003E-5</v>
      </c>
      <c r="V229">
        <v>2.02</v>
      </c>
      <c r="W229" s="140">
        <f t="shared" si="70"/>
        <v>2.0199999999999996E-7</v>
      </c>
      <c r="X229" s="140">
        <f t="shared" si="71"/>
        <v>4.0400000000000002E-7</v>
      </c>
      <c r="Y229" s="140">
        <f t="shared" si="72"/>
        <v>6.0600000000000011E-7</v>
      </c>
      <c r="Z229" s="140">
        <f t="shared" si="73"/>
        <v>8.0800000000000014E-7</v>
      </c>
      <c r="AA229" s="140">
        <f t="shared" si="74"/>
        <v>1.0100000000000003E-6</v>
      </c>
      <c r="AB229" s="157">
        <f t="shared" si="75"/>
        <v>0.8</v>
      </c>
      <c r="AC229" s="156">
        <f t="shared" si="76"/>
        <v>9.9999999999999995E-8</v>
      </c>
      <c r="AE229" s="140">
        <f t="shared" si="77"/>
        <v>2.0200000000000003E-5</v>
      </c>
      <c r="AF229">
        <v>2.02</v>
      </c>
      <c r="AG229" s="140">
        <f t="shared" si="78"/>
        <v>2.0199999999999996E-7</v>
      </c>
      <c r="AH229" s="140">
        <f t="shared" si="79"/>
        <v>4.0400000000000002E-7</v>
      </c>
      <c r="AI229" s="140">
        <f t="shared" si="80"/>
        <v>6.0600000000000011E-7</v>
      </c>
      <c r="AJ229" s="140">
        <f t="shared" si="81"/>
        <v>8.0800000000000014E-7</v>
      </c>
      <c r="AK229" s="140">
        <f t="shared" si="82"/>
        <v>1.0100000000000003E-6</v>
      </c>
      <c r="AL229" s="157">
        <f t="shared" si="83"/>
        <v>1.2</v>
      </c>
      <c r="AM229" s="156">
        <f t="shared" si="84"/>
        <v>9.9999999999999995E-8</v>
      </c>
      <c r="AO229" s="140">
        <f t="shared" si="85"/>
        <v>2.0200000000000003E-5</v>
      </c>
      <c r="AP229">
        <v>2.02</v>
      </c>
      <c r="AQ229" s="140">
        <f t="shared" si="86"/>
        <v>2.0199999999999996E-7</v>
      </c>
      <c r="AR229" s="140">
        <f t="shared" si="87"/>
        <v>4.0400000000000002E-7</v>
      </c>
      <c r="AS229" s="140">
        <f t="shared" si="88"/>
        <v>6.0600000000000011E-7</v>
      </c>
      <c r="AT229" s="140">
        <f t="shared" si="89"/>
        <v>8.0800000000000014E-7</v>
      </c>
      <c r="AU229" s="140">
        <f t="shared" si="90"/>
        <v>1.0100000000000003E-6</v>
      </c>
      <c r="AV229" s="157">
        <f t="shared" si="91"/>
        <v>1.2</v>
      </c>
      <c r="AW229" s="156">
        <f t="shared" si="92"/>
        <v>9.9999999999999995E-8</v>
      </c>
      <c r="AY229" s="140">
        <f t="shared" si="93"/>
        <v>2.0200000000000003E-5</v>
      </c>
      <c r="AZ229">
        <v>2.02</v>
      </c>
      <c r="BA229" s="140">
        <f t="shared" si="94"/>
        <v>2.0199999999999996E-7</v>
      </c>
      <c r="BB229" s="140">
        <f t="shared" si="95"/>
        <v>4.0400000000000002E-7</v>
      </c>
      <c r="BC229" s="140">
        <f t="shared" si="96"/>
        <v>6.0600000000000011E-7</v>
      </c>
      <c r="BD229" s="140">
        <f t="shared" si="97"/>
        <v>8.0800000000000014E-7</v>
      </c>
      <c r="BE229" s="140">
        <f t="shared" si="98"/>
        <v>1.0100000000000003E-6</v>
      </c>
      <c r="BF229" s="157">
        <f>IF(AY229&lt;$B$89*DATA!$H$1037,DATA!$H$1037,IF(AY229&gt;DATA!$H$1036*$B$89,DATA!$H$1036,1))</f>
        <v>1.2</v>
      </c>
      <c r="BG229" s="156">
        <f t="shared" si="99"/>
        <v>9.9999999999999995E-8</v>
      </c>
      <c r="BI229" s="140">
        <f t="shared" si="100"/>
        <v>2.0200000000000003E-5</v>
      </c>
      <c r="BJ229">
        <v>2.02</v>
      </c>
      <c r="BK229" s="140">
        <f t="shared" si="101"/>
        <v>2.0199999999999996E-7</v>
      </c>
      <c r="BL229" s="140">
        <f t="shared" si="102"/>
        <v>4.0400000000000002E-7</v>
      </c>
      <c r="BM229" s="140">
        <f t="shared" si="103"/>
        <v>6.0600000000000011E-7</v>
      </c>
      <c r="BN229" s="140">
        <f t="shared" si="104"/>
        <v>8.0800000000000014E-7</v>
      </c>
      <c r="BO229" s="140">
        <f t="shared" si="105"/>
        <v>1.0100000000000003E-6</v>
      </c>
      <c r="BP229" s="157">
        <f>IF(BI229&lt;$B$105*DATA!$H$1037,DATA!$H$1037,IF(BI229&gt;DATA!$H$1036*$B$105,DATA!$H$1036,1))</f>
        <v>1.2</v>
      </c>
      <c r="BQ229" s="156">
        <f t="shared" si="106"/>
        <v>9.9999999999999995E-8</v>
      </c>
    </row>
    <row r="230" spans="1:69">
      <c r="A230" s="140">
        <f t="shared" si="59"/>
        <v>2.0400000000000001E-5</v>
      </c>
      <c r="B230">
        <v>2.04</v>
      </c>
      <c r="C230" s="140">
        <f t="shared" si="107"/>
        <v>2.0399999999999995E-7</v>
      </c>
      <c r="D230" s="140">
        <f t="shared" si="107"/>
        <v>4.0799999999999995E-7</v>
      </c>
      <c r="E230" s="140">
        <f t="shared" si="107"/>
        <v>6.1200000000000003E-7</v>
      </c>
      <c r="F230" s="140">
        <f t="shared" si="107"/>
        <v>8.1600000000000011E-7</v>
      </c>
      <c r="G230" s="140">
        <f t="shared" si="107"/>
        <v>1.0200000000000002E-6</v>
      </c>
      <c r="H230" s="124">
        <f t="shared" si="60"/>
        <v>0.8</v>
      </c>
      <c r="I230" s="156">
        <f t="shared" si="61"/>
        <v>9.9999999999999995E-8</v>
      </c>
      <c r="K230" s="140">
        <f t="shared" si="62"/>
        <v>2.0400000000000001E-5</v>
      </c>
      <c r="L230">
        <v>2.04</v>
      </c>
      <c r="M230" s="140">
        <f t="shared" si="63"/>
        <v>2.0399999999999995E-7</v>
      </c>
      <c r="N230" s="140">
        <f t="shared" si="64"/>
        <v>4.0799999999999995E-7</v>
      </c>
      <c r="O230" s="140">
        <f t="shared" si="65"/>
        <v>6.1200000000000003E-7</v>
      </c>
      <c r="P230" s="140">
        <f t="shared" si="58"/>
        <v>8.1600000000000011E-7</v>
      </c>
      <c r="Q230" s="140">
        <f t="shared" si="66"/>
        <v>1.0200000000000002E-6</v>
      </c>
      <c r="R230" s="157">
        <f t="shared" si="67"/>
        <v>0.8</v>
      </c>
      <c r="S230" s="156">
        <f t="shared" si="68"/>
        <v>9.9999999999999995E-8</v>
      </c>
      <c r="U230" s="140">
        <f t="shared" si="69"/>
        <v>2.0400000000000001E-5</v>
      </c>
      <c r="V230">
        <v>2.04</v>
      </c>
      <c r="W230" s="140">
        <f t="shared" si="70"/>
        <v>2.0399999999999995E-7</v>
      </c>
      <c r="X230" s="140">
        <f t="shared" si="71"/>
        <v>4.0799999999999995E-7</v>
      </c>
      <c r="Y230" s="140">
        <f t="shared" si="72"/>
        <v>6.1200000000000003E-7</v>
      </c>
      <c r="Z230" s="140">
        <f t="shared" si="73"/>
        <v>8.1600000000000011E-7</v>
      </c>
      <c r="AA230" s="140">
        <f t="shared" si="74"/>
        <v>1.0200000000000002E-6</v>
      </c>
      <c r="AB230" s="157">
        <f t="shared" si="75"/>
        <v>0.8</v>
      </c>
      <c r="AC230" s="156">
        <f t="shared" si="76"/>
        <v>9.9999999999999995E-8</v>
      </c>
      <c r="AE230" s="140">
        <f t="shared" si="77"/>
        <v>2.0400000000000001E-5</v>
      </c>
      <c r="AF230">
        <v>2.04</v>
      </c>
      <c r="AG230" s="140">
        <f t="shared" si="78"/>
        <v>2.0399999999999995E-7</v>
      </c>
      <c r="AH230" s="140">
        <f t="shared" si="79"/>
        <v>4.0799999999999995E-7</v>
      </c>
      <c r="AI230" s="140">
        <f t="shared" si="80"/>
        <v>6.1200000000000003E-7</v>
      </c>
      <c r="AJ230" s="140">
        <f t="shared" si="81"/>
        <v>8.1600000000000011E-7</v>
      </c>
      <c r="AK230" s="140">
        <f t="shared" si="82"/>
        <v>1.0200000000000002E-6</v>
      </c>
      <c r="AL230" s="157">
        <f t="shared" si="83"/>
        <v>1.2</v>
      </c>
      <c r="AM230" s="156">
        <f t="shared" si="84"/>
        <v>9.9999999999999995E-8</v>
      </c>
      <c r="AO230" s="140">
        <f t="shared" si="85"/>
        <v>2.0400000000000001E-5</v>
      </c>
      <c r="AP230">
        <v>2.04</v>
      </c>
      <c r="AQ230" s="140">
        <f t="shared" si="86"/>
        <v>2.0399999999999995E-7</v>
      </c>
      <c r="AR230" s="140">
        <f t="shared" si="87"/>
        <v>4.0799999999999995E-7</v>
      </c>
      <c r="AS230" s="140">
        <f t="shared" si="88"/>
        <v>6.1200000000000003E-7</v>
      </c>
      <c r="AT230" s="140">
        <f t="shared" si="89"/>
        <v>8.1600000000000011E-7</v>
      </c>
      <c r="AU230" s="140">
        <f t="shared" si="90"/>
        <v>1.0200000000000002E-6</v>
      </c>
      <c r="AV230" s="157">
        <f t="shared" si="91"/>
        <v>1.2</v>
      </c>
      <c r="AW230" s="156">
        <f t="shared" si="92"/>
        <v>9.9999999999999995E-8</v>
      </c>
      <c r="AY230" s="140">
        <f t="shared" si="93"/>
        <v>2.0400000000000001E-5</v>
      </c>
      <c r="AZ230">
        <v>2.04</v>
      </c>
      <c r="BA230" s="140">
        <f t="shared" si="94"/>
        <v>2.0399999999999995E-7</v>
      </c>
      <c r="BB230" s="140">
        <f t="shared" si="95"/>
        <v>4.0799999999999995E-7</v>
      </c>
      <c r="BC230" s="140">
        <f t="shared" si="96"/>
        <v>6.1200000000000003E-7</v>
      </c>
      <c r="BD230" s="140">
        <f t="shared" si="97"/>
        <v>8.1600000000000011E-7</v>
      </c>
      <c r="BE230" s="140">
        <f t="shared" si="98"/>
        <v>1.0200000000000002E-6</v>
      </c>
      <c r="BF230" s="157">
        <f>IF(AY230&lt;$B$89*DATA!$H$1037,DATA!$H$1037,IF(AY230&gt;DATA!$H$1036*$B$89,DATA!$H$1036,1))</f>
        <v>1.2</v>
      </c>
      <c r="BG230" s="156">
        <f t="shared" si="99"/>
        <v>9.9999999999999995E-8</v>
      </c>
      <c r="BI230" s="140">
        <f t="shared" si="100"/>
        <v>2.0400000000000001E-5</v>
      </c>
      <c r="BJ230">
        <v>2.04</v>
      </c>
      <c r="BK230" s="140">
        <f t="shared" si="101"/>
        <v>2.0399999999999995E-7</v>
      </c>
      <c r="BL230" s="140">
        <f t="shared" si="102"/>
        <v>4.0799999999999995E-7</v>
      </c>
      <c r="BM230" s="140">
        <f t="shared" si="103"/>
        <v>6.1200000000000003E-7</v>
      </c>
      <c r="BN230" s="140">
        <f t="shared" si="104"/>
        <v>8.1600000000000011E-7</v>
      </c>
      <c r="BO230" s="140">
        <f t="shared" si="105"/>
        <v>1.0200000000000002E-6</v>
      </c>
      <c r="BP230" s="157">
        <f>IF(BI230&lt;$B$105*DATA!$H$1037,DATA!$H$1037,IF(BI230&gt;DATA!$H$1036*$B$105,DATA!$H$1036,1))</f>
        <v>1.2</v>
      </c>
      <c r="BQ230" s="156">
        <f t="shared" si="106"/>
        <v>9.9999999999999995E-8</v>
      </c>
    </row>
    <row r="231" spans="1:69">
      <c r="A231" s="140">
        <f t="shared" si="59"/>
        <v>2.0600000000000003E-5</v>
      </c>
      <c r="B231">
        <v>2.06</v>
      </c>
      <c r="C231" s="140">
        <f t="shared" si="107"/>
        <v>2.0599999999999997E-7</v>
      </c>
      <c r="D231" s="140">
        <f t="shared" si="107"/>
        <v>4.1199999999999998E-7</v>
      </c>
      <c r="E231" s="140">
        <f t="shared" si="107"/>
        <v>6.1800000000000005E-7</v>
      </c>
      <c r="F231" s="140">
        <f t="shared" si="107"/>
        <v>8.2400000000000007E-7</v>
      </c>
      <c r="G231" s="140">
        <f t="shared" si="107"/>
        <v>1.0300000000000001E-6</v>
      </c>
      <c r="H231" s="124">
        <f t="shared" si="60"/>
        <v>0.8</v>
      </c>
      <c r="I231" s="156">
        <f t="shared" si="61"/>
        <v>9.9999999999999995E-8</v>
      </c>
      <c r="K231" s="140">
        <f t="shared" si="62"/>
        <v>2.0600000000000003E-5</v>
      </c>
      <c r="L231">
        <v>2.06</v>
      </c>
      <c r="M231" s="140">
        <f t="shared" si="63"/>
        <v>2.0599999999999997E-7</v>
      </c>
      <c r="N231" s="140">
        <f t="shared" si="64"/>
        <v>4.1199999999999998E-7</v>
      </c>
      <c r="O231" s="140">
        <f t="shared" si="65"/>
        <v>6.1800000000000005E-7</v>
      </c>
      <c r="P231" s="140">
        <f t="shared" si="58"/>
        <v>8.2400000000000007E-7</v>
      </c>
      <c r="Q231" s="140">
        <f t="shared" si="66"/>
        <v>1.0300000000000001E-6</v>
      </c>
      <c r="R231" s="157">
        <f t="shared" si="67"/>
        <v>0.8</v>
      </c>
      <c r="S231" s="156">
        <f t="shared" si="68"/>
        <v>9.9999999999999995E-8</v>
      </c>
      <c r="U231" s="140">
        <f t="shared" si="69"/>
        <v>2.0600000000000003E-5</v>
      </c>
      <c r="V231">
        <v>2.06</v>
      </c>
      <c r="W231" s="140">
        <f t="shared" si="70"/>
        <v>2.0599999999999997E-7</v>
      </c>
      <c r="X231" s="140">
        <f t="shared" si="71"/>
        <v>4.1199999999999998E-7</v>
      </c>
      <c r="Y231" s="140">
        <f t="shared" si="72"/>
        <v>6.1800000000000005E-7</v>
      </c>
      <c r="Z231" s="140">
        <f t="shared" si="73"/>
        <v>8.2400000000000007E-7</v>
      </c>
      <c r="AA231" s="140">
        <f t="shared" si="74"/>
        <v>1.0300000000000001E-6</v>
      </c>
      <c r="AB231" s="157">
        <f t="shared" si="75"/>
        <v>0.8</v>
      </c>
      <c r="AC231" s="156">
        <f t="shared" si="76"/>
        <v>9.9999999999999995E-8</v>
      </c>
      <c r="AE231" s="140">
        <f t="shared" si="77"/>
        <v>2.0600000000000003E-5</v>
      </c>
      <c r="AF231">
        <v>2.06</v>
      </c>
      <c r="AG231" s="140">
        <f t="shared" si="78"/>
        <v>2.0599999999999997E-7</v>
      </c>
      <c r="AH231" s="140">
        <f t="shared" si="79"/>
        <v>4.1199999999999998E-7</v>
      </c>
      <c r="AI231" s="140">
        <f t="shared" si="80"/>
        <v>6.1800000000000005E-7</v>
      </c>
      <c r="AJ231" s="140">
        <f t="shared" si="81"/>
        <v>8.2400000000000007E-7</v>
      </c>
      <c r="AK231" s="140">
        <f t="shared" si="82"/>
        <v>1.0300000000000001E-6</v>
      </c>
      <c r="AL231" s="157">
        <f t="shared" si="83"/>
        <v>1.2</v>
      </c>
      <c r="AM231" s="156">
        <f t="shared" si="84"/>
        <v>9.9999999999999995E-8</v>
      </c>
      <c r="AO231" s="140">
        <f t="shared" si="85"/>
        <v>2.0600000000000003E-5</v>
      </c>
      <c r="AP231">
        <v>2.06</v>
      </c>
      <c r="AQ231" s="140">
        <f t="shared" si="86"/>
        <v>2.0599999999999997E-7</v>
      </c>
      <c r="AR231" s="140">
        <f t="shared" si="87"/>
        <v>4.1199999999999998E-7</v>
      </c>
      <c r="AS231" s="140">
        <f t="shared" si="88"/>
        <v>6.1800000000000005E-7</v>
      </c>
      <c r="AT231" s="140">
        <f t="shared" si="89"/>
        <v>8.2400000000000007E-7</v>
      </c>
      <c r="AU231" s="140">
        <f t="shared" si="90"/>
        <v>1.0300000000000001E-6</v>
      </c>
      <c r="AV231" s="157">
        <f t="shared" si="91"/>
        <v>1.2</v>
      </c>
      <c r="AW231" s="156">
        <f t="shared" si="92"/>
        <v>9.9999999999999995E-8</v>
      </c>
      <c r="AY231" s="140">
        <f t="shared" si="93"/>
        <v>2.0600000000000003E-5</v>
      </c>
      <c r="AZ231">
        <v>2.06</v>
      </c>
      <c r="BA231" s="140">
        <f t="shared" si="94"/>
        <v>2.0599999999999997E-7</v>
      </c>
      <c r="BB231" s="140">
        <f t="shared" si="95"/>
        <v>4.1199999999999998E-7</v>
      </c>
      <c r="BC231" s="140">
        <f t="shared" si="96"/>
        <v>6.1800000000000005E-7</v>
      </c>
      <c r="BD231" s="140">
        <f t="shared" si="97"/>
        <v>8.2400000000000007E-7</v>
      </c>
      <c r="BE231" s="140">
        <f t="shared" si="98"/>
        <v>1.0300000000000001E-6</v>
      </c>
      <c r="BF231" s="157">
        <f>IF(AY231&lt;$B$89*DATA!$H$1037,DATA!$H$1037,IF(AY231&gt;DATA!$H$1036*$B$89,DATA!$H$1036,1))</f>
        <v>1.2</v>
      </c>
      <c r="BG231" s="156">
        <f t="shared" si="99"/>
        <v>9.9999999999999995E-8</v>
      </c>
      <c r="BI231" s="140">
        <f t="shared" si="100"/>
        <v>2.0600000000000003E-5</v>
      </c>
      <c r="BJ231">
        <v>2.06</v>
      </c>
      <c r="BK231" s="140">
        <f t="shared" si="101"/>
        <v>2.0599999999999997E-7</v>
      </c>
      <c r="BL231" s="140">
        <f t="shared" si="102"/>
        <v>4.1199999999999998E-7</v>
      </c>
      <c r="BM231" s="140">
        <f t="shared" si="103"/>
        <v>6.1800000000000005E-7</v>
      </c>
      <c r="BN231" s="140">
        <f t="shared" si="104"/>
        <v>8.2400000000000007E-7</v>
      </c>
      <c r="BO231" s="140">
        <f t="shared" si="105"/>
        <v>1.0300000000000001E-6</v>
      </c>
      <c r="BP231" s="157">
        <f>IF(BI231&lt;$B$105*DATA!$H$1037,DATA!$H$1037,IF(BI231&gt;DATA!$H$1036*$B$105,DATA!$H$1036,1))</f>
        <v>1.2</v>
      </c>
      <c r="BQ231" s="156">
        <f t="shared" si="106"/>
        <v>9.9999999999999995E-8</v>
      </c>
    </row>
    <row r="232" spans="1:69">
      <c r="A232" s="140">
        <f t="shared" si="59"/>
        <v>2.0800000000000001E-5</v>
      </c>
      <c r="B232">
        <v>2.08</v>
      </c>
      <c r="C232" s="140">
        <f t="shared" si="107"/>
        <v>2.0799999999999993E-7</v>
      </c>
      <c r="D232" s="140">
        <f t="shared" si="107"/>
        <v>4.1599999999999997E-7</v>
      </c>
      <c r="E232" s="140">
        <f t="shared" si="107"/>
        <v>6.2399999999999998E-7</v>
      </c>
      <c r="F232" s="140">
        <f t="shared" si="107"/>
        <v>8.3200000000000004E-7</v>
      </c>
      <c r="G232" s="140">
        <f t="shared" si="107"/>
        <v>1.04E-6</v>
      </c>
      <c r="H232" s="124">
        <f t="shared" si="60"/>
        <v>0.8</v>
      </c>
      <c r="I232" s="156">
        <f t="shared" si="61"/>
        <v>9.9999999999999995E-8</v>
      </c>
      <c r="K232" s="140">
        <f t="shared" si="62"/>
        <v>2.0800000000000001E-5</v>
      </c>
      <c r="L232">
        <v>2.08</v>
      </c>
      <c r="M232" s="140">
        <f t="shared" si="63"/>
        <v>2.0799999999999993E-7</v>
      </c>
      <c r="N232" s="140">
        <f t="shared" si="64"/>
        <v>4.1599999999999997E-7</v>
      </c>
      <c r="O232" s="140">
        <f t="shared" si="65"/>
        <v>6.2399999999999998E-7</v>
      </c>
      <c r="P232" s="140">
        <f t="shared" si="58"/>
        <v>8.3200000000000004E-7</v>
      </c>
      <c r="Q232" s="140">
        <f t="shared" si="66"/>
        <v>1.04E-6</v>
      </c>
      <c r="R232" s="157">
        <f t="shared" si="67"/>
        <v>0.8</v>
      </c>
      <c r="S232" s="156">
        <f t="shared" si="68"/>
        <v>9.9999999999999995E-8</v>
      </c>
      <c r="U232" s="140">
        <f t="shared" si="69"/>
        <v>2.0800000000000001E-5</v>
      </c>
      <c r="V232">
        <v>2.08</v>
      </c>
      <c r="W232" s="140">
        <f t="shared" si="70"/>
        <v>2.0799999999999993E-7</v>
      </c>
      <c r="X232" s="140">
        <f t="shared" si="71"/>
        <v>4.1599999999999997E-7</v>
      </c>
      <c r="Y232" s="140">
        <f t="shared" si="72"/>
        <v>6.2399999999999998E-7</v>
      </c>
      <c r="Z232" s="140">
        <f t="shared" si="73"/>
        <v>8.3200000000000004E-7</v>
      </c>
      <c r="AA232" s="140">
        <f t="shared" si="74"/>
        <v>1.04E-6</v>
      </c>
      <c r="AB232" s="157">
        <f t="shared" si="75"/>
        <v>0.8</v>
      </c>
      <c r="AC232" s="156">
        <f t="shared" si="76"/>
        <v>9.9999999999999995E-8</v>
      </c>
      <c r="AE232" s="140">
        <f t="shared" si="77"/>
        <v>2.0800000000000001E-5</v>
      </c>
      <c r="AF232">
        <v>2.08</v>
      </c>
      <c r="AG232" s="140">
        <f t="shared" si="78"/>
        <v>2.0799999999999993E-7</v>
      </c>
      <c r="AH232" s="140">
        <f t="shared" si="79"/>
        <v>4.1599999999999997E-7</v>
      </c>
      <c r="AI232" s="140">
        <f t="shared" si="80"/>
        <v>6.2399999999999998E-7</v>
      </c>
      <c r="AJ232" s="140">
        <f t="shared" si="81"/>
        <v>8.3200000000000004E-7</v>
      </c>
      <c r="AK232" s="140">
        <f t="shared" si="82"/>
        <v>1.04E-6</v>
      </c>
      <c r="AL232" s="157">
        <f t="shared" si="83"/>
        <v>1.2</v>
      </c>
      <c r="AM232" s="156">
        <f t="shared" si="84"/>
        <v>9.9999999999999995E-8</v>
      </c>
      <c r="AO232" s="140">
        <f t="shared" si="85"/>
        <v>2.0800000000000001E-5</v>
      </c>
      <c r="AP232">
        <v>2.08</v>
      </c>
      <c r="AQ232" s="140">
        <f t="shared" si="86"/>
        <v>2.0799999999999993E-7</v>
      </c>
      <c r="AR232" s="140">
        <f t="shared" si="87"/>
        <v>4.1599999999999997E-7</v>
      </c>
      <c r="AS232" s="140">
        <f t="shared" si="88"/>
        <v>6.2399999999999998E-7</v>
      </c>
      <c r="AT232" s="140">
        <f t="shared" si="89"/>
        <v>8.3200000000000004E-7</v>
      </c>
      <c r="AU232" s="140">
        <f t="shared" si="90"/>
        <v>1.04E-6</v>
      </c>
      <c r="AV232" s="157">
        <f t="shared" si="91"/>
        <v>1.2</v>
      </c>
      <c r="AW232" s="156">
        <f t="shared" si="92"/>
        <v>9.9999999999999995E-8</v>
      </c>
      <c r="AY232" s="140">
        <f t="shared" si="93"/>
        <v>2.0800000000000001E-5</v>
      </c>
      <c r="AZ232">
        <v>2.08</v>
      </c>
      <c r="BA232" s="140">
        <f t="shared" si="94"/>
        <v>2.0799999999999993E-7</v>
      </c>
      <c r="BB232" s="140">
        <f t="shared" si="95"/>
        <v>4.1599999999999997E-7</v>
      </c>
      <c r="BC232" s="140">
        <f t="shared" si="96"/>
        <v>6.2399999999999998E-7</v>
      </c>
      <c r="BD232" s="140">
        <f t="shared" si="97"/>
        <v>8.3200000000000004E-7</v>
      </c>
      <c r="BE232" s="140">
        <f t="shared" si="98"/>
        <v>1.04E-6</v>
      </c>
      <c r="BF232" s="157">
        <f>IF(AY232&lt;$B$89*DATA!$H$1037,DATA!$H$1037,IF(AY232&gt;DATA!$H$1036*$B$89,DATA!$H$1036,1))</f>
        <v>1.2</v>
      </c>
      <c r="BG232" s="156">
        <f t="shared" si="99"/>
        <v>9.9999999999999995E-8</v>
      </c>
      <c r="BI232" s="140">
        <f t="shared" si="100"/>
        <v>2.0800000000000001E-5</v>
      </c>
      <c r="BJ232">
        <v>2.08</v>
      </c>
      <c r="BK232" s="140">
        <f t="shared" si="101"/>
        <v>2.0799999999999993E-7</v>
      </c>
      <c r="BL232" s="140">
        <f t="shared" si="102"/>
        <v>4.1599999999999997E-7</v>
      </c>
      <c r="BM232" s="140">
        <f t="shared" si="103"/>
        <v>6.2399999999999998E-7</v>
      </c>
      <c r="BN232" s="140">
        <f t="shared" si="104"/>
        <v>8.3200000000000004E-7</v>
      </c>
      <c r="BO232" s="140">
        <f t="shared" si="105"/>
        <v>1.04E-6</v>
      </c>
      <c r="BP232" s="157">
        <f>IF(BI232&lt;$B$105*DATA!$H$1037,DATA!$H$1037,IF(BI232&gt;DATA!$H$1036*$B$105,DATA!$H$1036,1))</f>
        <v>1.2</v>
      </c>
      <c r="BQ232" s="156">
        <f t="shared" si="106"/>
        <v>9.9999999999999995E-8</v>
      </c>
    </row>
    <row r="233" spans="1:69">
      <c r="A233" s="140">
        <f t="shared" si="59"/>
        <v>2.1000000000000002E-5</v>
      </c>
      <c r="B233">
        <v>2.1</v>
      </c>
      <c r="C233" s="140">
        <f t="shared" si="107"/>
        <v>2.0999999999999995E-7</v>
      </c>
      <c r="D233" s="140">
        <f t="shared" si="107"/>
        <v>4.2E-7</v>
      </c>
      <c r="E233" s="140">
        <f t="shared" si="107"/>
        <v>6.3E-7</v>
      </c>
      <c r="F233" s="140">
        <f t="shared" si="107"/>
        <v>8.4000000000000011E-7</v>
      </c>
      <c r="G233" s="140">
        <f t="shared" si="107"/>
        <v>1.0500000000000001E-6</v>
      </c>
      <c r="H233" s="124">
        <f t="shared" si="60"/>
        <v>0.8</v>
      </c>
      <c r="I233" s="156">
        <f t="shared" si="61"/>
        <v>9.9999999999999995E-8</v>
      </c>
      <c r="K233" s="140">
        <f t="shared" si="62"/>
        <v>2.1000000000000002E-5</v>
      </c>
      <c r="L233">
        <v>2.1</v>
      </c>
      <c r="M233" s="140">
        <f t="shared" si="63"/>
        <v>2.0999999999999995E-7</v>
      </c>
      <c r="N233" s="140">
        <f t="shared" si="64"/>
        <v>4.2E-7</v>
      </c>
      <c r="O233" s="140">
        <f t="shared" si="65"/>
        <v>6.3E-7</v>
      </c>
      <c r="P233" s="140">
        <f t="shared" si="58"/>
        <v>8.4000000000000011E-7</v>
      </c>
      <c r="Q233" s="140">
        <f t="shared" si="66"/>
        <v>1.0500000000000001E-6</v>
      </c>
      <c r="R233" s="157">
        <f t="shared" si="67"/>
        <v>0.8</v>
      </c>
      <c r="S233" s="156">
        <f t="shared" si="68"/>
        <v>9.9999999999999995E-8</v>
      </c>
      <c r="U233" s="140">
        <f t="shared" si="69"/>
        <v>2.1000000000000002E-5</v>
      </c>
      <c r="V233">
        <v>2.1</v>
      </c>
      <c r="W233" s="140">
        <f t="shared" si="70"/>
        <v>2.0999999999999995E-7</v>
      </c>
      <c r="X233" s="140">
        <f t="shared" si="71"/>
        <v>4.2E-7</v>
      </c>
      <c r="Y233" s="140">
        <f t="shared" si="72"/>
        <v>6.3E-7</v>
      </c>
      <c r="Z233" s="140">
        <f t="shared" si="73"/>
        <v>8.4000000000000011E-7</v>
      </c>
      <c r="AA233" s="140">
        <f t="shared" si="74"/>
        <v>1.0500000000000001E-6</v>
      </c>
      <c r="AB233" s="157">
        <f t="shared" si="75"/>
        <v>0.8</v>
      </c>
      <c r="AC233" s="156">
        <f t="shared" si="76"/>
        <v>9.9999999999999995E-8</v>
      </c>
      <c r="AE233" s="140">
        <f t="shared" si="77"/>
        <v>2.1000000000000002E-5</v>
      </c>
      <c r="AF233">
        <v>2.1</v>
      </c>
      <c r="AG233" s="140">
        <f t="shared" si="78"/>
        <v>2.0999999999999995E-7</v>
      </c>
      <c r="AH233" s="140">
        <f t="shared" si="79"/>
        <v>4.2E-7</v>
      </c>
      <c r="AI233" s="140">
        <f t="shared" si="80"/>
        <v>6.3E-7</v>
      </c>
      <c r="AJ233" s="140">
        <f t="shared" si="81"/>
        <v>8.4000000000000011E-7</v>
      </c>
      <c r="AK233" s="140">
        <f t="shared" si="82"/>
        <v>1.0500000000000001E-6</v>
      </c>
      <c r="AL233" s="157">
        <f t="shared" si="83"/>
        <v>1.2</v>
      </c>
      <c r="AM233" s="156">
        <f t="shared" si="84"/>
        <v>9.9999999999999995E-8</v>
      </c>
      <c r="AO233" s="140">
        <f t="shared" si="85"/>
        <v>2.1000000000000002E-5</v>
      </c>
      <c r="AP233">
        <v>2.1</v>
      </c>
      <c r="AQ233" s="140">
        <f t="shared" si="86"/>
        <v>2.0999999999999995E-7</v>
      </c>
      <c r="AR233" s="140">
        <f t="shared" si="87"/>
        <v>4.2E-7</v>
      </c>
      <c r="AS233" s="140">
        <f t="shared" si="88"/>
        <v>6.3E-7</v>
      </c>
      <c r="AT233" s="140">
        <f t="shared" si="89"/>
        <v>8.4000000000000011E-7</v>
      </c>
      <c r="AU233" s="140">
        <f t="shared" si="90"/>
        <v>1.0500000000000001E-6</v>
      </c>
      <c r="AV233" s="157">
        <f t="shared" si="91"/>
        <v>1.2</v>
      </c>
      <c r="AW233" s="156">
        <f t="shared" si="92"/>
        <v>9.9999999999999995E-8</v>
      </c>
      <c r="AY233" s="140">
        <f t="shared" si="93"/>
        <v>2.1000000000000002E-5</v>
      </c>
      <c r="AZ233">
        <v>2.1</v>
      </c>
      <c r="BA233" s="140">
        <f t="shared" si="94"/>
        <v>2.0999999999999995E-7</v>
      </c>
      <c r="BB233" s="140">
        <f t="shared" si="95"/>
        <v>4.2E-7</v>
      </c>
      <c r="BC233" s="140">
        <f t="shared" si="96"/>
        <v>6.3E-7</v>
      </c>
      <c r="BD233" s="140">
        <f t="shared" si="97"/>
        <v>8.4000000000000011E-7</v>
      </c>
      <c r="BE233" s="140">
        <f t="shared" si="98"/>
        <v>1.0500000000000001E-6</v>
      </c>
      <c r="BF233" s="157">
        <f>IF(AY233&lt;$B$89*DATA!$H$1037,DATA!$H$1037,IF(AY233&gt;DATA!$H$1036*$B$89,DATA!$H$1036,1))</f>
        <v>1.2</v>
      </c>
      <c r="BG233" s="156">
        <f t="shared" si="99"/>
        <v>9.9999999999999995E-8</v>
      </c>
      <c r="BI233" s="140">
        <f t="shared" si="100"/>
        <v>2.1000000000000002E-5</v>
      </c>
      <c r="BJ233">
        <v>2.1</v>
      </c>
      <c r="BK233" s="140">
        <f t="shared" si="101"/>
        <v>2.0999999999999995E-7</v>
      </c>
      <c r="BL233" s="140">
        <f t="shared" si="102"/>
        <v>4.2E-7</v>
      </c>
      <c r="BM233" s="140">
        <f t="shared" si="103"/>
        <v>6.3E-7</v>
      </c>
      <c r="BN233" s="140">
        <f t="shared" si="104"/>
        <v>8.4000000000000011E-7</v>
      </c>
      <c r="BO233" s="140">
        <f t="shared" si="105"/>
        <v>1.0500000000000001E-6</v>
      </c>
      <c r="BP233" s="157">
        <f>IF(BI233&lt;$B$105*DATA!$H$1037,DATA!$H$1037,IF(BI233&gt;DATA!$H$1036*$B$105,DATA!$H$1036,1))</f>
        <v>1.2</v>
      </c>
      <c r="BQ233" s="156">
        <f t="shared" si="106"/>
        <v>9.9999999999999995E-8</v>
      </c>
    </row>
    <row r="234" spans="1:69">
      <c r="A234" s="140">
        <f t="shared" si="59"/>
        <v>2.1200000000000004E-5</v>
      </c>
      <c r="B234">
        <v>2.12</v>
      </c>
      <c r="C234" s="140">
        <f t="shared" si="107"/>
        <v>2.1199999999999997E-7</v>
      </c>
      <c r="D234" s="140">
        <f t="shared" si="107"/>
        <v>4.2399999999999999E-7</v>
      </c>
      <c r="E234" s="140">
        <f t="shared" si="107"/>
        <v>6.3600000000000014E-7</v>
      </c>
      <c r="F234" s="140">
        <f t="shared" si="107"/>
        <v>8.4800000000000018E-7</v>
      </c>
      <c r="G234" s="140">
        <f t="shared" si="107"/>
        <v>1.0600000000000002E-6</v>
      </c>
      <c r="H234" s="124">
        <f t="shared" si="60"/>
        <v>0.8</v>
      </c>
      <c r="I234" s="156">
        <f t="shared" si="61"/>
        <v>9.9999999999999995E-8</v>
      </c>
      <c r="K234" s="140">
        <f t="shared" si="62"/>
        <v>2.1200000000000004E-5</v>
      </c>
      <c r="L234">
        <v>2.12</v>
      </c>
      <c r="M234" s="140">
        <f t="shared" si="63"/>
        <v>2.1199999999999997E-7</v>
      </c>
      <c r="N234" s="140">
        <f t="shared" si="64"/>
        <v>4.2399999999999999E-7</v>
      </c>
      <c r="O234" s="140">
        <f t="shared" si="65"/>
        <v>6.3600000000000014E-7</v>
      </c>
      <c r="P234" s="140">
        <f t="shared" si="58"/>
        <v>8.4800000000000018E-7</v>
      </c>
      <c r="Q234" s="140">
        <f t="shared" si="66"/>
        <v>1.0600000000000002E-6</v>
      </c>
      <c r="R234" s="157">
        <f t="shared" si="67"/>
        <v>0.8</v>
      </c>
      <c r="S234" s="156">
        <f t="shared" si="68"/>
        <v>9.9999999999999995E-8</v>
      </c>
      <c r="U234" s="140">
        <f t="shared" si="69"/>
        <v>2.1200000000000004E-5</v>
      </c>
      <c r="V234">
        <v>2.12</v>
      </c>
      <c r="W234" s="140">
        <f t="shared" si="70"/>
        <v>2.1199999999999997E-7</v>
      </c>
      <c r="X234" s="140">
        <f t="shared" si="71"/>
        <v>4.2399999999999999E-7</v>
      </c>
      <c r="Y234" s="140">
        <f t="shared" si="72"/>
        <v>6.3600000000000014E-7</v>
      </c>
      <c r="Z234" s="140">
        <f t="shared" si="73"/>
        <v>8.4800000000000018E-7</v>
      </c>
      <c r="AA234" s="140">
        <f t="shared" si="74"/>
        <v>1.0600000000000002E-6</v>
      </c>
      <c r="AB234" s="157">
        <f t="shared" si="75"/>
        <v>0.8</v>
      </c>
      <c r="AC234" s="156">
        <f t="shared" si="76"/>
        <v>9.9999999999999995E-8</v>
      </c>
      <c r="AE234" s="140">
        <f t="shared" si="77"/>
        <v>2.1200000000000004E-5</v>
      </c>
      <c r="AF234">
        <v>2.12</v>
      </c>
      <c r="AG234" s="140">
        <f t="shared" si="78"/>
        <v>2.1199999999999997E-7</v>
      </c>
      <c r="AH234" s="140">
        <f t="shared" si="79"/>
        <v>4.2399999999999999E-7</v>
      </c>
      <c r="AI234" s="140">
        <f t="shared" si="80"/>
        <v>6.3600000000000014E-7</v>
      </c>
      <c r="AJ234" s="140">
        <f t="shared" si="81"/>
        <v>8.4800000000000018E-7</v>
      </c>
      <c r="AK234" s="140">
        <f t="shared" si="82"/>
        <v>1.0600000000000002E-6</v>
      </c>
      <c r="AL234" s="157">
        <f t="shared" si="83"/>
        <v>1.2</v>
      </c>
      <c r="AM234" s="156">
        <f t="shared" si="84"/>
        <v>9.9999999999999995E-8</v>
      </c>
      <c r="AO234" s="140">
        <f t="shared" si="85"/>
        <v>2.1200000000000004E-5</v>
      </c>
      <c r="AP234">
        <v>2.12</v>
      </c>
      <c r="AQ234" s="140">
        <f t="shared" si="86"/>
        <v>2.1199999999999997E-7</v>
      </c>
      <c r="AR234" s="140">
        <f t="shared" si="87"/>
        <v>4.2399999999999999E-7</v>
      </c>
      <c r="AS234" s="140">
        <f t="shared" si="88"/>
        <v>6.3600000000000014E-7</v>
      </c>
      <c r="AT234" s="140">
        <f t="shared" si="89"/>
        <v>8.4800000000000018E-7</v>
      </c>
      <c r="AU234" s="140">
        <f t="shared" si="90"/>
        <v>1.0600000000000002E-6</v>
      </c>
      <c r="AV234" s="157">
        <f t="shared" si="91"/>
        <v>1.2</v>
      </c>
      <c r="AW234" s="156">
        <f t="shared" si="92"/>
        <v>9.9999999999999995E-8</v>
      </c>
      <c r="AY234" s="140">
        <f t="shared" si="93"/>
        <v>2.1200000000000004E-5</v>
      </c>
      <c r="AZ234">
        <v>2.12</v>
      </c>
      <c r="BA234" s="140">
        <f t="shared" si="94"/>
        <v>2.1199999999999997E-7</v>
      </c>
      <c r="BB234" s="140">
        <f t="shared" si="95"/>
        <v>4.2399999999999999E-7</v>
      </c>
      <c r="BC234" s="140">
        <f t="shared" si="96"/>
        <v>6.3600000000000014E-7</v>
      </c>
      <c r="BD234" s="140">
        <f t="shared" si="97"/>
        <v>8.4800000000000018E-7</v>
      </c>
      <c r="BE234" s="140">
        <f t="shared" si="98"/>
        <v>1.0600000000000002E-6</v>
      </c>
      <c r="BF234" s="157">
        <f>IF(AY234&lt;$B$89*DATA!$H$1037,DATA!$H$1037,IF(AY234&gt;DATA!$H$1036*$B$89,DATA!$H$1036,1))</f>
        <v>1.2</v>
      </c>
      <c r="BG234" s="156">
        <f t="shared" si="99"/>
        <v>9.9999999999999995E-8</v>
      </c>
      <c r="BI234" s="140">
        <f t="shared" si="100"/>
        <v>2.1200000000000004E-5</v>
      </c>
      <c r="BJ234">
        <v>2.12</v>
      </c>
      <c r="BK234" s="140">
        <f t="shared" si="101"/>
        <v>2.1199999999999997E-7</v>
      </c>
      <c r="BL234" s="140">
        <f t="shared" si="102"/>
        <v>4.2399999999999999E-7</v>
      </c>
      <c r="BM234" s="140">
        <f t="shared" si="103"/>
        <v>6.3600000000000014E-7</v>
      </c>
      <c r="BN234" s="140">
        <f t="shared" si="104"/>
        <v>8.4800000000000018E-7</v>
      </c>
      <c r="BO234" s="140">
        <f t="shared" si="105"/>
        <v>1.0600000000000002E-6</v>
      </c>
      <c r="BP234" s="157">
        <f>IF(BI234&lt;$B$105*DATA!$H$1037,DATA!$H$1037,IF(BI234&gt;DATA!$H$1036*$B$105,DATA!$H$1036,1))</f>
        <v>1.2</v>
      </c>
      <c r="BQ234" s="156">
        <f t="shared" si="106"/>
        <v>9.9999999999999995E-8</v>
      </c>
    </row>
    <row r="235" spans="1:69">
      <c r="A235" s="140">
        <f t="shared" si="59"/>
        <v>2.1400000000000002E-5</v>
      </c>
      <c r="B235">
        <v>2.14</v>
      </c>
      <c r="C235" s="140">
        <f t="shared" si="107"/>
        <v>2.1399999999999996E-7</v>
      </c>
      <c r="D235" s="140">
        <f t="shared" si="107"/>
        <v>4.2799999999999997E-7</v>
      </c>
      <c r="E235" s="140">
        <f t="shared" si="107"/>
        <v>6.4200000000000006E-7</v>
      </c>
      <c r="F235" s="140">
        <f t="shared" si="107"/>
        <v>8.5600000000000004E-7</v>
      </c>
      <c r="G235" s="140">
        <f t="shared" si="107"/>
        <v>1.0700000000000001E-6</v>
      </c>
      <c r="H235" s="124">
        <f t="shared" si="60"/>
        <v>0.8</v>
      </c>
      <c r="I235" s="156">
        <f t="shared" si="61"/>
        <v>9.9999999999999995E-8</v>
      </c>
      <c r="K235" s="140">
        <f t="shared" si="62"/>
        <v>2.1400000000000002E-5</v>
      </c>
      <c r="L235">
        <v>2.14</v>
      </c>
      <c r="M235" s="140">
        <f t="shared" si="63"/>
        <v>2.1399999999999996E-7</v>
      </c>
      <c r="N235" s="140">
        <f t="shared" si="64"/>
        <v>4.2799999999999997E-7</v>
      </c>
      <c r="O235" s="140">
        <f t="shared" si="65"/>
        <v>6.4200000000000006E-7</v>
      </c>
      <c r="P235" s="140">
        <f t="shared" si="58"/>
        <v>8.5600000000000004E-7</v>
      </c>
      <c r="Q235" s="140">
        <f t="shared" si="66"/>
        <v>1.0700000000000001E-6</v>
      </c>
      <c r="R235" s="157">
        <f t="shared" si="67"/>
        <v>0.8</v>
      </c>
      <c r="S235" s="156">
        <f t="shared" si="68"/>
        <v>9.9999999999999995E-8</v>
      </c>
      <c r="U235" s="140">
        <f t="shared" si="69"/>
        <v>2.1400000000000002E-5</v>
      </c>
      <c r="V235">
        <v>2.14</v>
      </c>
      <c r="W235" s="140">
        <f t="shared" si="70"/>
        <v>2.1399999999999996E-7</v>
      </c>
      <c r="X235" s="140">
        <f t="shared" si="71"/>
        <v>4.2799999999999997E-7</v>
      </c>
      <c r="Y235" s="140">
        <f t="shared" si="72"/>
        <v>6.4200000000000006E-7</v>
      </c>
      <c r="Z235" s="140">
        <f t="shared" si="73"/>
        <v>8.5600000000000004E-7</v>
      </c>
      <c r="AA235" s="140">
        <f t="shared" si="74"/>
        <v>1.0700000000000001E-6</v>
      </c>
      <c r="AB235" s="157">
        <f t="shared" si="75"/>
        <v>0.8</v>
      </c>
      <c r="AC235" s="156">
        <f t="shared" si="76"/>
        <v>9.9999999999999995E-8</v>
      </c>
      <c r="AE235" s="140">
        <f t="shared" si="77"/>
        <v>2.1400000000000002E-5</v>
      </c>
      <c r="AF235">
        <v>2.14</v>
      </c>
      <c r="AG235" s="140">
        <f t="shared" si="78"/>
        <v>2.1399999999999996E-7</v>
      </c>
      <c r="AH235" s="140">
        <f t="shared" si="79"/>
        <v>4.2799999999999997E-7</v>
      </c>
      <c r="AI235" s="140">
        <f t="shared" si="80"/>
        <v>6.4200000000000006E-7</v>
      </c>
      <c r="AJ235" s="140">
        <f t="shared" si="81"/>
        <v>8.5600000000000004E-7</v>
      </c>
      <c r="AK235" s="140">
        <f t="shared" si="82"/>
        <v>1.0700000000000001E-6</v>
      </c>
      <c r="AL235" s="157">
        <f t="shared" si="83"/>
        <v>1.2</v>
      </c>
      <c r="AM235" s="156">
        <f t="shared" si="84"/>
        <v>9.9999999999999995E-8</v>
      </c>
      <c r="AO235" s="140">
        <f t="shared" si="85"/>
        <v>2.1400000000000002E-5</v>
      </c>
      <c r="AP235">
        <v>2.14</v>
      </c>
      <c r="AQ235" s="140">
        <f t="shared" si="86"/>
        <v>2.1399999999999996E-7</v>
      </c>
      <c r="AR235" s="140">
        <f t="shared" si="87"/>
        <v>4.2799999999999997E-7</v>
      </c>
      <c r="AS235" s="140">
        <f t="shared" si="88"/>
        <v>6.4200000000000006E-7</v>
      </c>
      <c r="AT235" s="140">
        <f t="shared" si="89"/>
        <v>8.5600000000000004E-7</v>
      </c>
      <c r="AU235" s="140">
        <f t="shared" si="90"/>
        <v>1.0700000000000001E-6</v>
      </c>
      <c r="AV235" s="157">
        <f t="shared" si="91"/>
        <v>1.2</v>
      </c>
      <c r="AW235" s="156">
        <f t="shared" si="92"/>
        <v>9.9999999999999995E-8</v>
      </c>
      <c r="AY235" s="140">
        <f t="shared" si="93"/>
        <v>2.1400000000000002E-5</v>
      </c>
      <c r="AZ235">
        <v>2.14</v>
      </c>
      <c r="BA235" s="140">
        <f t="shared" si="94"/>
        <v>2.1399999999999996E-7</v>
      </c>
      <c r="BB235" s="140">
        <f t="shared" si="95"/>
        <v>4.2799999999999997E-7</v>
      </c>
      <c r="BC235" s="140">
        <f t="shared" si="96"/>
        <v>6.4200000000000006E-7</v>
      </c>
      <c r="BD235" s="140">
        <f t="shared" si="97"/>
        <v>8.5600000000000004E-7</v>
      </c>
      <c r="BE235" s="140">
        <f t="shared" si="98"/>
        <v>1.0700000000000001E-6</v>
      </c>
      <c r="BF235" s="157">
        <f>IF(AY235&lt;$B$89*DATA!$H$1037,DATA!$H$1037,IF(AY235&gt;DATA!$H$1036*$B$89,DATA!$H$1036,1))</f>
        <v>1.2</v>
      </c>
      <c r="BG235" s="156">
        <f t="shared" si="99"/>
        <v>9.9999999999999995E-8</v>
      </c>
      <c r="BI235" s="140">
        <f t="shared" si="100"/>
        <v>2.1400000000000002E-5</v>
      </c>
      <c r="BJ235">
        <v>2.14</v>
      </c>
      <c r="BK235" s="140">
        <f t="shared" si="101"/>
        <v>2.1399999999999996E-7</v>
      </c>
      <c r="BL235" s="140">
        <f t="shared" si="102"/>
        <v>4.2799999999999997E-7</v>
      </c>
      <c r="BM235" s="140">
        <f t="shared" si="103"/>
        <v>6.4200000000000006E-7</v>
      </c>
      <c r="BN235" s="140">
        <f t="shared" si="104"/>
        <v>8.5600000000000004E-7</v>
      </c>
      <c r="BO235" s="140">
        <f t="shared" si="105"/>
        <v>1.0700000000000001E-6</v>
      </c>
      <c r="BP235" s="157">
        <f>IF(BI235&lt;$B$105*DATA!$H$1037,DATA!$H$1037,IF(BI235&gt;DATA!$H$1036*$B$105,DATA!$H$1036,1))</f>
        <v>1.2</v>
      </c>
      <c r="BQ235" s="156">
        <f t="shared" si="106"/>
        <v>9.9999999999999995E-8</v>
      </c>
    </row>
    <row r="236" spans="1:69">
      <c r="A236" s="140">
        <f t="shared" si="59"/>
        <v>2.1600000000000003E-5</v>
      </c>
      <c r="B236">
        <v>2.16</v>
      </c>
      <c r="C236" s="140">
        <f t="shared" si="107"/>
        <v>2.1599999999999995E-7</v>
      </c>
      <c r="D236" s="140">
        <f t="shared" si="107"/>
        <v>4.32E-7</v>
      </c>
      <c r="E236" s="140">
        <f t="shared" si="107"/>
        <v>6.4800000000000009E-7</v>
      </c>
      <c r="F236" s="140">
        <f t="shared" si="107"/>
        <v>8.6400000000000011E-7</v>
      </c>
      <c r="G236" s="140">
        <f t="shared" si="107"/>
        <v>1.0800000000000002E-6</v>
      </c>
      <c r="H236" s="124">
        <f t="shared" si="60"/>
        <v>0.8</v>
      </c>
      <c r="I236" s="156">
        <f t="shared" si="61"/>
        <v>9.9999999999999995E-8</v>
      </c>
      <c r="K236" s="140">
        <f t="shared" si="62"/>
        <v>2.1600000000000003E-5</v>
      </c>
      <c r="L236">
        <v>2.16</v>
      </c>
      <c r="M236" s="140">
        <f t="shared" si="63"/>
        <v>2.1599999999999995E-7</v>
      </c>
      <c r="N236" s="140">
        <f t="shared" si="64"/>
        <v>4.32E-7</v>
      </c>
      <c r="O236" s="140">
        <f t="shared" si="65"/>
        <v>6.4800000000000009E-7</v>
      </c>
      <c r="P236" s="140">
        <f t="shared" si="58"/>
        <v>8.6400000000000011E-7</v>
      </c>
      <c r="Q236" s="140">
        <f t="shared" si="66"/>
        <v>1.0800000000000002E-6</v>
      </c>
      <c r="R236" s="157">
        <f t="shared" si="67"/>
        <v>0.8</v>
      </c>
      <c r="S236" s="156">
        <f t="shared" si="68"/>
        <v>9.9999999999999995E-8</v>
      </c>
      <c r="U236" s="140">
        <f t="shared" si="69"/>
        <v>2.1600000000000003E-5</v>
      </c>
      <c r="V236">
        <v>2.16</v>
      </c>
      <c r="W236" s="140">
        <f t="shared" si="70"/>
        <v>2.1599999999999995E-7</v>
      </c>
      <c r="X236" s="140">
        <f t="shared" si="71"/>
        <v>4.32E-7</v>
      </c>
      <c r="Y236" s="140">
        <f t="shared" si="72"/>
        <v>6.4800000000000009E-7</v>
      </c>
      <c r="Z236" s="140">
        <f t="shared" si="73"/>
        <v>8.6400000000000011E-7</v>
      </c>
      <c r="AA236" s="140">
        <f t="shared" si="74"/>
        <v>1.0800000000000002E-6</v>
      </c>
      <c r="AB236" s="157">
        <f t="shared" si="75"/>
        <v>0.8</v>
      </c>
      <c r="AC236" s="156">
        <f t="shared" si="76"/>
        <v>9.9999999999999995E-8</v>
      </c>
      <c r="AE236" s="140">
        <f t="shared" si="77"/>
        <v>2.1600000000000003E-5</v>
      </c>
      <c r="AF236">
        <v>2.16</v>
      </c>
      <c r="AG236" s="140">
        <f t="shared" si="78"/>
        <v>2.1599999999999995E-7</v>
      </c>
      <c r="AH236" s="140">
        <f t="shared" si="79"/>
        <v>4.32E-7</v>
      </c>
      <c r="AI236" s="140">
        <f t="shared" si="80"/>
        <v>6.4800000000000009E-7</v>
      </c>
      <c r="AJ236" s="140">
        <f t="shared" si="81"/>
        <v>8.6400000000000011E-7</v>
      </c>
      <c r="AK236" s="140">
        <f t="shared" si="82"/>
        <v>1.0800000000000002E-6</v>
      </c>
      <c r="AL236" s="157">
        <f t="shared" si="83"/>
        <v>1.2</v>
      </c>
      <c r="AM236" s="156">
        <f t="shared" si="84"/>
        <v>9.9999999999999995E-8</v>
      </c>
      <c r="AO236" s="140">
        <f t="shared" si="85"/>
        <v>2.1600000000000003E-5</v>
      </c>
      <c r="AP236">
        <v>2.16</v>
      </c>
      <c r="AQ236" s="140">
        <f t="shared" si="86"/>
        <v>2.1599999999999995E-7</v>
      </c>
      <c r="AR236" s="140">
        <f t="shared" si="87"/>
        <v>4.32E-7</v>
      </c>
      <c r="AS236" s="140">
        <f t="shared" si="88"/>
        <v>6.4800000000000009E-7</v>
      </c>
      <c r="AT236" s="140">
        <f t="shared" si="89"/>
        <v>8.6400000000000011E-7</v>
      </c>
      <c r="AU236" s="140">
        <f t="shared" si="90"/>
        <v>1.0800000000000002E-6</v>
      </c>
      <c r="AV236" s="157">
        <f t="shared" si="91"/>
        <v>1.2</v>
      </c>
      <c r="AW236" s="156">
        <f t="shared" si="92"/>
        <v>9.9999999999999995E-8</v>
      </c>
      <c r="AY236" s="140">
        <f t="shared" si="93"/>
        <v>2.1600000000000003E-5</v>
      </c>
      <c r="AZ236">
        <v>2.16</v>
      </c>
      <c r="BA236" s="140">
        <f t="shared" si="94"/>
        <v>2.1599999999999995E-7</v>
      </c>
      <c r="BB236" s="140">
        <f t="shared" si="95"/>
        <v>4.32E-7</v>
      </c>
      <c r="BC236" s="140">
        <f t="shared" si="96"/>
        <v>6.4800000000000009E-7</v>
      </c>
      <c r="BD236" s="140">
        <f t="shared" si="97"/>
        <v>8.6400000000000011E-7</v>
      </c>
      <c r="BE236" s="140">
        <f t="shared" si="98"/>
        <v>1.0800000000000002E-6</v>
      </c>
      <c r="BF236" s="157">
        <f>IF(AY236&lt;$B$89*DATA!$H$1037,DATA!$H$1037,IF(AY236&gt;DATA!$H$1036*$B$89,DATA!$H$1036,1))</f>
        <v>1.2</v>
      </c>
      <c r="BG236" s="156">
        <f t="shared" si="99"/>
        <v>9.9999999999999995E-8</v>
      </c>
      <c r="BI236" s="140">
        <f t="shared" si="100"/>
        <v>2.1600000000000003E-5</v>
      </c>
      <c r="BJ236">
        <v>2.16</v>
      </c>
      <c r="BK236" s="140">
        <f t="shared" si="101"/>
        <v>2.1599999999999995E-7</v>
      </c>
      <c r="BL236" s="140">
        <f t="shared" si="102"/>
        <v>4.32E-7</v>
      </c>
      <c r="BM236" s="140">
        <f t="shared" si="103"/>
        <v>6.4800000000000009E-7</v>
      </c>
      <c r="BN236" s="140">
        <f t="shared" si="104"/>
        <v>8.6400000000000011E-7</v>
      </c>
      <c r="BO236" s="140">
        <f t="shared" si="105"/>
        <v>1.0800000000000002E-6</v>
      </c>
      <c r="BP236" s="157">
        <f>IF(BI236&lt;$B$105*DATA!$H$1037,DATA!$H$1037,IF(BI236&gt;DATA!$H$1036*$B$105,DATA!$H$1036,1))</f>
        <v>1.2</v>
      </c>
      <c r="BQ236" s="156">
        <f t="shared" si="106"/>
        <v>9.9999999999999995E-8</v>
      </c>
    </row>
    <row r="237" spans="1:69">
      <c r="A237" s="140">
        <f t="shared" si="59"/>
        <v>2.1800000000000005E-5</v>
      </c>
      <c r="B237">
        <v>2.1800000000000002</v>
      </c>
      <c r="C237" s="140">
        <f t="shared" si="107"/>
        <v>2.1799999999999997E-7</v>
      </c>
      <c r="D237" s="140">
        <f t="shared" si="107"/>
        <v>4.3600000000000004E-7</v>
      </c>
      <c r="E237" s="140">
        <f t="shared" si="107"/>
        <v>6.5400000000000011E-7</v>
      </c>
      <c r="F237" s="140">
        <f t="shared" si="107"/>
        <v>8.7200000000000019E-7</v>
      </c>
      <c r="G237" s="140">
        <f t="shared" si="107"/>
        <v>1.0900000000000004E-6</v>
      </c>
      <c r="H237" s="124">
        <f t="shared" si="60"/>
        <v>0.8</v>
      </c>
      <c r="I237" s="156">
        <f t="shared" si="61"/>
        <v>9.9999999999999995E-8</v>
      </c>
      <c r="K237" s="140">
        <f t="shared" si="62"/>
        <v>2.1800000000000005E-5</v>
      </c>
      <c r="L237">
        <v>2.1800000000000002</v>
      </c>
      <c r="M237" s="140">
        <f t="shared" si="63"/>
        <v>2.1799999999999997E-7</v>
      </c>
      <c r="N237" s="140">
        <f t="shared" si="64"/>
        <v>4.3600000000000004E-7</v>
      </c>
      <c r="O237" s="140">
        <f t="shared" si="65"/>
        <v>6.5400000000000011E-7</v>
      </c>
      <c r="P237" s="140">
        <f t="shared" si="58"/>
        <v>8.7200000000000019E-7</v>
      </c>
      <c r="Q237" s="140">
        <f t="shared" si="66"/>
        <v>1.0900000000000004E-6</v>
      </c>
      <c r="R237" s="157">
        <f t="shared" si="67"/>
        <v>0.8</v>
      </c>
      <c r="S237" s="156">
        <f t="shared" si="68"/>
        <v>9.9999999999999995E-8</v>
      </c>
      <c r="U237" s="140">
        <f t="shared" si="69"/>
        <v>2.1800000000000005E-5</v>
      </c>
      <c r="V237">
        <v>2.1800000000000002</v>
      </c>
      <c r="W237" s="140">
        <f t="shared" si="70"/>
        <v>2.1799999999999997E-7</v>
      </c>
      <c r="X237" s="140">
        <f t="shared" si="71"/>
        <v>4.3600000000000004E-7</v>
      </c>
      <c r="Y237" s="140">
        <f t="shared" si="72"/>
        <v>6.5400000000000011E-7</v>
      </c>
      <c r="Z237" s="140">
        <f t="shared" si="73"/>
        <v>8.7200000000000019E-7</v>
      </c>
      <c r="AA237" s="140">
        <f t="shared" si="74"/>
        <v>1.0900000000000004E-6</v>
      </c>
      <c r="AB237" s="157">
        <f t="shared" si="75"/>
        <v>0.8</v>
      </c>
      <c r="AC237" s="156">
        <f t="shared" si="76"/>
        <v>9.9999999999999995E-8</v>
      </c>
      <c r="AE237" s="140">
        <f t="shared" si="77"/>
        <v>2.1800000000000005E-5</v>
      </c>
      <c r="AF237">
        <v>2.1800000000000002</v>
      </c>
      <c r="AG237" s="140">
        <f t="shared" si="78"/>
        <v>2.1799999999999997E-7</v>
      </c>
      <c r="AH237" s="140">
        <f t="shared" si="79"/>
        <v>4.3600000000000004E-7</v>
      </c>
      <c r="AI237" s="140">
        <f t="shared" si="80"/>
        <v>6.5400000000000011E-7</v>
      </c>
      <c r="AJ237" s="140">
        <f t="shared" si="81"/>
        <v>8.7200000000000019E-7</v>
      </c>
      <c r="AK237" s="140">
        <f t="shared" si="82"/>
        <v>1.0900000000000004E-6</v>
      </c>
      <c r="AL237" s="157">
        <f t="shared" si="83"/>
        <v>1.2</v>
      </c>
      <c r="AM237" s="156">
        <f t="shared" si="84"/>
        <v>9.9999999999999995E-8</v>
      </c>
      <c r="AO237" s="140">
        <f t="shared" si="85"/>
        <v>2.1800000000000005E-5</v>
      </c>
      <c r="AP237">
        <v>2.1800000000000002</v>
      </c>
      <c r="AQ237" s="140">
        <f t="shared" si="86"/>
        <v>2.1799999999999997E-7</v>
      </c>
      <c r="AR237" s="140">
        <f t="shared" si="87"/>
        <v>4.3600000000000004E-7</v>
      </c>
      <c r="AS237" s="140">
        <f t="shared" si="88"/>
        <v>6.5400000000000011E-7</v>
      </c>
      <c r="AT237" s="140">
        <f t="shared" si="89"/>
        <v>8.7200000000000019E-7</v>
      </c>
      <c r="AU237" s="140">
        <f t="shared" si="90"/>
        <v>1.0900000000000004E-6</v>
      </c>
      <c r="AV237" s="157">
        <f t="shared" si="91"/>
        <v>1.2</v>
      </c>
      <c r="AW237" s="156">
        <f t="shared" si="92"/>
        <v>9.9999999999999995E-8</v>
      </c>
      <c r="AY237" s="140">
        <f t="shared" si="93"/>
        <v>2.1800000000000005E-5</v>
      </c>
      <c r="AZ237">
        <v>2.1800000000000002</v>
      </c>
      <c r="BA237" s="140">
        <f t="shared" si="94"/>
        <v>2.1799999999999997E-7</v>
      </c>
      <c r="BB237" s="140">
        <f t="shared" si="95"/>
        <v>4.3600000000000004E-7</v>
      </c>
      <c r="BC237" s="140">
        <f t="shared" si="96"/>
        <v>6.5400000000000011E-7</v>
      </c>
      <c r="BD237" s="140">
        <f t="shared" si="97"/>
        <v>8.7200000000000019E-7</v>
      </c>
      <c r="BE237" s="140">
        <f t="shared" si="98"/>
        <v>1.0900000000000004E-6</v>
      </c>
      <c r="BF237" s="157">
        <f>IF(AY237&lt;$B$89*DATA!$H$1037,DATA!$H$1037,IF(AY237&gt;DATA!$H$1036*$B$89,DATA!$H$1036,1))</f>
        <v>1.2</v>
      </c>
      <c r="BG237" s="156">
        <f t="shared" si="99"/>
        <v>9.9999999999999995E-8</v>
      </c>
      <c r="BI237" s="140">
        <f t="shared" si="100"/>
        <v>2.1800000000000005E-5</v>
      </c>
      <c r="BJ237">
        <v>2.1800000000000002</v>
      </c>
      <c r="BK237" s="140">
        <f t="shared" si="101"/>
        <v>2.1799999999999997E-7</v>
      </c>
      <c r="BL237" s="140">
        <f t="shared" si="102"/>
        <v>4.3600000000000004E-7</v>
      </c>
      <c r="BM237" s="140">
        <f t="shared" si="103"/>
        <v>6.5400000000000011E-7</v>
      </c>
      <c r="BN237" s="140">
        <f t="shared" si="104"/>
        <v>8.7200000000000019E-7</v>
      </c>
      <c r="BO237" s="140">
        <f t="shared" si="105"/>
        <v>1.0900000000000004E-6</v>
      </c>
      <c r="BP237" s="157">
        <f>IF(BI237&lt;$B$105*DATA!$H$1037,DATA!$H$1037,IF(BI237&gt;DATA!$H$1036*$B$105,DATA!$H$1036,1))</f>
        <v>1.2</v>
      </c>
      <c r="BQ237" s="156">
        <f t="shared" si="106"/>
        <v>9.9999999999999995E-8</v>
      </c>
    </row>
    <row r="238" spans="1:69">
      <c r="A238" s="140">
        <f t="shared" si="59"/>
        <v>2.2000000000000003E-5</v>
      </c>
      <c r="B238">
        <v>2.2000000000000002</v>
      </c>
      <c r="C238" s="140">
        <f t="shared" si="107"/>
        <v>2.1999999999999996E-7</v>
      </c>
      <c r="D238" s="140">
        <f t="shared" si="107"/>
        <v>4.3999999999999997E-7</v>
      </c>
      <c r="E238" s="140">
        <f t="shared" si="107"/>
        <v>6.6000000000000003E-7</v>
      </c>
      <c r="F238" s="140">
        <f t="shared" si="107"/>
        <v>8.8000000000000015E-7</v>
      </c>
      <c r="G238" s="140">
        <f t="shared" si="107"/>
        <v>1.1000000000000003E-6</v>
      </c>
      <c r="H238" s="124">
        <f t="shared" si="60"/>
        <v>0.8</v>
      </c>
      <c r="I238" s="156">
        <f t="shared" si="61"/>
        <v>9.9999999999999995E-8</v>
      </c>
      <c r="K238" s="140">
        <f t="shared" si="62"/>
        <v>2.2000000000000003E-5</v>
      </c>
      <c r="L238">
        <v>2.2000000000000002</v>
      </c>
      <c r="M238" s="140">
        <f t="shared" si="63"/>
        <v>2.1999999999999996E-7</v>
      </c>
      <c r="N238" s="140">
        <f t="shared" si="64"/>
        <v>4.3999999999999997E-7</v>
      </c>
      <c r="O238" s="140">
        <f t="shared" si="65"/>
        <v>6.6000000000000003E-7</v>
      </c>
      <c r="P238" s="140">
        <f t="shared" si="58"/>
        <v>8.8000000000000015E-7</v>
      </c>
      <c r="Q238" s="140">
        <f t="shared" si="66"/>
        <v>1.1000000000000003E-6</v>
      </c>
      <c r="R238" s="157">
        <f t="shared" si="67"/>
        <v>0.8</v>
      </c>
      <c r="S238" s="156">
        <f t="shared" si="68"/>
        <v>9.9999999999999995E-8</v>
      </c>
      <c r="U238" s="140">
        <f t="shared" si="69"/>
        <v>2.2000000000000003E-5</v>
      </c>
      <c r="V238">
        <v>2.2000000000000002</v>
      </c>
      <c r="W238" s="140">
        <f t="shared" si="70"/>
        <v>2.1999999999999996E-7</v>
      </c>
      <c r="X238" s="140">
        <f t="shared" si="71"/>
        <v>4.3999999999999997E-7</v>
      </c>
      <c r="Y238" s="140">
        <f t="shared" si="72"/>
        <v>6.6000000000000003E-7</v>
      </c>
      <c r="Z238" s="140">
        <f t="shared" si="73"/>
        <v>8.8000000000000015E-7</v>
      </c>
      <c r="AA238" s="140">
        <f t="shared" si="74"/>
        <v>1.1000000000000003E-6</v>
      </c>
      <c r="AB238" s="157">
        <f t="shared" si="75"/>
        <v>0.8</v>
      </c>
      <c r="AC238" s="156">
        <f t="shared" si="76"/>
        <v>9.9999999999999995E-8</v>
      </c>
      <c r="AE238" s="140">
        <f t="shared" si="77"/>
        <v>2.2000000000000003E-5</v>
      </c>
      <c r="AF238">
        <v>2.2000000000000002</v>
      </c>
      <c r="AG238" s="140">
        <f t="shared" si="78"/>
        <v>2.1999999999999996E-7</v>
      </c>
      <c r="AH238" s="140">
        <f t="shared" si="79"/>
        <v>4.3999999999999997E-7</v>
      </c>
      <c r="AI238" s="140">
        <f t="shared" si="80"/>
        <v>6.6000000000000003E-7</v>
      </c>
      <c r="AJ238" s="140">
        <f t="shared" si="81"/>
        <v>8.8000000000000015E-7</v>
      </c>
      <c r="AK238" s="140">
        <f t="shared" si="82"/>
        <v>1.1000000000000003E-6</v>
      </c>
      <c r="AL238" s="157">
        <f t="shared" si="83"/>
        <v>1.2</v>
      </c>
      <c r="AM238" s="156">
        <f t="shared" si="84"/>
        <v>9.9999999999999995E-8</v>
      </c>
      <c r="AO238" s="140">
        <f t="shared" si="85"/>
        <v>2.2000000000000003E-5</v>
      </c>
      <c r="AP238">
        <v>2.2000000000000002</v>
      </c>
      <c r="AQ238" s="140">
        <f t="shared" si="86"/>
        <v>2.1999999999999996E-7</v>
      </c>
      <c r="AR238" s="140">
        <f t="shared" si="87"/>
        <v>4.3999999999999997E-7</v>
      </c>
      <c r="AS238" s="140">
        <f t="shared" si="88"/>
        <v>6.6000000000000003E-7</v>
      </c>
      <c r="AT238" s="140">
        <f t="shared" si="89"/>
        <v>8.8000000000000015E-7</v>
      </c>
      <c r="AU238" s="140">
        <f t="shared" si="90"/>
        <v>1.1000000000000003E-6</v>
      </c>
      <c r="AV238" s="157">
        <f t="shared" si="91"/>
        <v>1.2</v>
      </c>
      <c r="AW238" s="156">
        <f t="shared" si="92"/>
        <v>9.9999999999999995E-8</v>
      </c>
      <c r="AY238" s="140">
        <f t="shared" si="93"/>
        <v>2.2000000000000003E-5</v>
      </c>
      <c r="AZ238">
        <v>2.2000000000000002</v>
      </c>
      <c r="BA238" s="140">
        <f t="shared" si="94"/>
        <v>2.1999999999999996E-7</v>
      </c>
      <c r="BB238" s="140">
        <f t="shared" si="95"/>
        <v>4.3999999999999997E-7</v>
      </c>
      <c r="BC238" s="140">
        <f t="shared" si="96"/>
        <v>6.6000000000000003E-7</v>
      </c>
      <c r="BD238" s="140">
        <f t="shared" si="97"/>
        <v>8.8000000000000015E-7</v>
      </c>
      <c r="BE238" s="140">
        <f t="shared" si="98"/>
        <v>1.1000000000000003E-6</v>
      </c>
      <c r="BF238" s="157">
        <f>IF(AY238&lt;$B$89*DATA!$H$1037,DATA!$H$1037,IF(AY238&gt;DATA!$H$1036*$B$89,DATA!$H$1036,1))</f>
        <v>1.2</v>
      </c>
      <c r="BG238" s="156">
        <f t="shared" si="99"/>
        <v>9.9999999999999995E-8</v>
      </c>
      <c r="BI238" s="140">
        <f t="shared" si="100"/>
        <v>2.2000000000000003E-5</v>
      </c>
      <c r="BJ238">
        <v>2.2000000000000002</v>
      </c>
      <c r="BK238" s="140">
        <f t="shared" si="101"/>
        <v>2.1999999999999996E-7</v>
      </c>
      <c r="BL238" s="140">
        <f t="shared" si="102"/>
        <v>4.3999999999999997E-7</v>
      </c>
      <c r="BM238" s="140">
        <f t="shared" si="103"/>
        <v>6.6000000000000003E-7</v>
      </c>
      <c r="BN238" s="140">
        <f t="shared" si="104"/>
        <v>8.8000000000000015E-7</v>
      </c>
      <c r="BO238" s="140">
        <f t="shared" si="105"/>
        <v>1.1000000000000003E-6</v>
      </c>
      <c r="BP238" s="157">
        <f>IF(BI238&lt;$B$105*DATA!$H$1037,DATA!$H$1037,IF(BI238&gt;DATA!$H$1036*$B$105,DATA!$H$1036,1))</f>
        <v>1.2</v>
      </c>
      <c r="BQ238" s="156">
        <f t="shared" si="106"/>
        <v>9.9999999999999995E-8</v>
      </c>
    </row>
    <row r="239" spans="1:69">
      <c r="A239" s="140">
        <f t="shared" si="59"/>
        <v>2.2200000000000004E-5</v>
      </c>
      <c r="B239">
        <v>2.2200000000000002</v>
      </c>
      <c r="C239" s="140">
        <f t="shared" ref="C239:G254" si="108">C$142*$A239</f>
        <v>2.2199999999999998E-7</v>
      </c>
      <c r="D239" s="140">
        <f t="shared" si="108"/>
        <v>4.4400000000000001E-7</v>
      </c>
      <c r="E239" s="140">
        <f t="shared" si="108"/>
        <v>6.6600000000000006E-7</v>
      </c>
      <c r="F239" s="140">
        <f t="shared" si="108"/>
        <v>8.8800000000000022E-7</v>
      </c>
      <c r="G239" s="140">
        <f t="shared" si="108"/>
        <v>1.1100000000000002E-6</v>
      </c>
      <c r="H239" s="124">
        <f t="shared" si="60"/>
        <v>0.8</v>
      </c>
      <c r="I239" s="156">
        <f t="shared" si="61"/>
        <v>9.9999999999999995E-8</v>
      </c>
      <c r="K239" s="140">
        <f t="shared" si="62"/>
        <v>2.2200000000000004E-5</v>
      </c>
      <c r="L239">
        <v>2.2200000000000002</v>
      </c>
      <c r="M239" s="140">
        <f t="shared" si="63"/>
        <v>2.2199999999999998E-7</v>
      </c>
      <c r="N239" s="140">
        <f t="shared" si="64"/>
        <v>4.4400000000000001E-7</v>
      </c>
      <c r="O239" s="140">
        <f t="shared" si="65"/>
        <v>6.6600000000000006E-7</v>
      </c>
      <c r="P239" s="140">
        <f t="shared" si="58"/>
        <v>8.8800000000000022E-7</v>
      </c>
      <c r="Q239" s="140">
        <f t="shared" si="66"/>
        <v>1.1100000000000002E-6</v>
      </c>
      <c r="R239" s="157">
        <f t="shared" si="67"/>
        <v>0.8</v>
      </c>
      <c r="S239" s="156">
        <f t="shared" si="68"/>
        <v>9.9999999999999995E-8</v>
      </c>
      <c r="U239" s="140">
        <f t="shared" si="69"/>
        <v>2.2200000000000004E-5</v>
      </c>
      <c r="V239">
        <v>2.2200000000000002</v>
      </c>
      <c r="W239" s="140">
        <f t="shared" si="70"/>
        <v>2.2199999999999998E-7</v>
      </c>
      <c r="X239" s="140">
        <f t="shared" si="71"/>
        <v>4.4400000000000001E-7</v>
      </c>
      <c r="Y239" s="140">
        <f t="shared" si="72"/>
        <v>6.6600000000000006E-7</v>
      </c>
      <c r="Z239" s="140">
        <f t="shared" si="73"/>
        <v>8.8800000000000022E-7</v>
      </c>
      <c r="AA239" s="140">
        <f t="shared" si="74"/>
        <v>1.1100000000000002E-6</v>
      </c>
      <c r="AB239" s="157">
        <f t="shared" si="75"/>
        <v>0.8</v>
      </c>
      <c r="AC239" s="156">
        <f t="shared" si="76"/>
        <v>9.9999999999999995E-8</v>
      </c>
      <c r="AE239" s="140">
        <f t="shared" si="77"/>
        <v>2.2200000000000004E-5</v>
      </c>
      <c r="AF239">
        <v>2.2200000000000002</v>
      </c>
      <c r="AG239" s="140">
        <f t="shared" si="78"/>
        <v>2.2199999999999998E-7</v>
      </c>
      <c r="AH239" s="140">
        <f t="shared" si="79"/>
        <v>4.4400000000000001E-7</v>
      </c>
      <c r="AI239" s="140">
        <f t="shared" si="80"/>
        <v>6.6600000000000006E-7</v>
      </c>
      <c r="AJ239" s="140">
        <f t="shared" si="81"/>
        <v>8.8800000000000022E-7</v>
      </c>
      <c r="AK239" s="140">
        <f t="shared" si="82"/>
        <v>1.1100000000000002E-6</v>
      </c>
      <c r="AL239" s="157">
        <f t="shared" si="83"/>
        <v>1.2</v>
      </c>
      <c r="AM239" s="156">
        <f t="shared" si="84"/>
        <v>9.9999999999999995E-8</v>
      </c>
      <c r="AO239" s="140">
        <f t="shared" si="85"/>
        <v>2.2200000000000004E-5</v>
      </c>
      <c r="AP239">
        <v>2.2200000000000002</v>
      </c>
      <c r="AQ239" s="140">
        <f t="shared" si="86"/>
        <v>2.2199999999999998E-7</v>
      </c>
      <c r="AR239" s="140">
        <f t="shared" si="87"/>
        <v>4.4400000000000001E-7</v>
      </c>
      <c r="AS239" s="140">
        <f t="shared" si="88"/>
        <v>6.6600000000000006E-7</v>
      </c>
      <c r="AT239" s="140">
        <f t="shared" si="89"/>
        <v>8.8800000000000022E-7</v>
      </c>
      <c r="AU239" s="140">
        <f t="shared" si="90"/>
        <v>1.1100000000000002E-6</v>
      </c>
      <c r="AV239" s="157">
        <f t="shared" si="91"/>
        <v>1.2</v>
      </c>
      <c r="AW239" s="156">
        <f t="shared" si="92"/>
        <v>9.9999999999999995E-8</v>
      </c>
      <c r="AY239" s="140">
        <f t="shared" si="93"/>
        <v>2.2200000000000004E-5</v>
      </c>
      <c r="AZ239">
        <v>2.2200000000000002</v>
      </c>
      <c r="BA239" s="140">
        <f t="shared" si="94"/>
        <v>2.2199999999999998E-7</v>
      </c>
      <c r="BB239" s="140">
        <f t="shared" si="95"/>
        <v>4.4400000000000001E-7</v>
      </c>
      <c r="BC239" s="140">
        <f t="shared" si="96"/>
        <v>6.6600000000000006E-7</v>
      </c>
      <c r="BD239" s="140">
        <f t="shared" si="97"/>
        <v>8.8800000000000022E-7</v>
      </c>
      <c r="BE239" s="140">
        <f t="shared" si="98"/>
        <v>1.1100000000000002E-6</v>
      </c>
      <c r="BF239" s="157">
        <f>IF(AY239&lt;$B$89*DATA!$H$1037,DATA!$H$1037,IF(AY239&gt;DATA!$H$1036*$B$89,DATA!$H$1036,1))</f>
        <v>1.2</v>
      </c>
      <c r="BG239" s="156">
        <f t="shared" si="99"/>
        <v>9.9999999999999995E-8</v>
      </c>
      <c r="BI239" s="140">
        <f t="shared" si="100"/>
        <v>2.2200000000000004E-5</v>
      </c>
      <c r="BJ239">
        <v>2.2200000000000002</v>
      </c>
      <c r="BK239" s="140">
        <f t="shared" si="101"/>
        <v>2.2199999999999998E-7</v>
      </c>
      <c r="BL239" s="140">
        <f t="shared" si="102"/>
        <v>4.4400000000000001E-7</v>
      </c>
      <c r="BM239" s="140">
        <f t="shared" si="103"/>
        <v>6.6600000000000006E-7</v>
      </c>
      <c r="BN239" s="140">
        <f t="shared" si="104"/>
        <v>8.8800000000000022E-7</v>
      </c>
      <c r="BO239" s="140">
        <f t="shared" si="105"/>
        <v>1.1100000000000002E-6</v>
      </c>
      <c r="BP239" s="157">
        <f>IF(BI239&lt;$B$105*DATA!$H$1037,DATA!$H$1037,IF(BI239&gt;DATA!$H$1036*$B$105,DATA!$H$1036,1))</f>
        <v>1.2</v>
      </c>
      <c r="BQ239" s="156">
        <f t="shared" si="106"/>
        <v>9.9999999999999995E-8</v>
      </c>
    </row>
    <row r="240" spans="1:69">
      <c r="A240" s="140">
        <f t="shared" si="59"/>
        <v>2.2400000000000002E-5</v>
      </c>
      <c r="B240">
        <v>2.2400000000000002</v>
      </c>
      <c r="C240" s="140">
        <f t="shared" si="108"/>
        <v>2.2399999999999994E-7</v>
      </c>
      <c r="D240" s="140">
        <f t="shared" si="108"/>
        <v>4.4799999999999999E-7</v>
      </c>
      <c r="E240" s="140">
        <f t="shared" si="108"/>
        <v>6.7200000000000009E-7</v>
      </c>
      <c r="F240" s="140">
        <f t="shared" si="108"/>
        <v>8.9600000000000008E-7</v>
      </c>
      <c r="G240" s="140">
        <f t="shared" si="108"/>
        <v>1.1200000000000001E-6</v>
      </c>
      <c r="H240" s="124">
        <f t="shared" si="60"/>
        <v>0.8</v>
      </c>
      <c r="I240" s="156">
        <f t="shared" si="61"/>
        <v>9.9999999999999995E-8</v>
      </c>
      <c r="K240" s="140">
        <f t="shared" si="62"/>
        <v>2.2400000000000002E-5</v>
      </c>
      <c r="L240">
        <v>2.2400000000000002</v>
      </c>
      <c r="M240" s="140">
        <f t="shared" si="63"/>
        <v>2.2399999999999994E-7</v>
      </c>
      <c r="N240" s="140">
        <f t="shared" si="64"/>
        <v>4.4799999999999999E-7</v>
      </c>
      <c r="O240" s="140">
        <f t="shared" si="65"/>
        <v>6.7200000000000009E-7</v>
      </c>
      <c r="P240" s="140">
        <f t="shared" si="58"/>
        <v>8.9600000000000008E-7</v>
      </c>
      <c r="Q240" s="140">
        <f t="shared" si="66"/>
        <v>1.1200000000000001E-6</v>
      </c>
      <c r="R240" s="157">
        <f t="shared" si="67"/>
        <v>0.8</v>
      </c>
      <c r="S240" s="156">
        <f t="shared" si="68"/>
        <v>9.9999999999999995E-8</v>
      </c>
      <c r="U240" s="140">
        <f t="shared" si="69"/>
        <v>2.2400000000000002E-5</v>
      </c>
      <c r="V240">
        <v>2.2400000000000002</v>
      </c>
      <c r="W240" s="140">
        <f t="shared" si="70"/>
        <v>2.2399999999999994E-7</v>
      </c>
      <c r="X240" s="140">
        <f t="shared" si="71"/>
        <v>4.4799999999999999E-7</v>
      </c>
      <c r="Y240" s="140">
        <f t="shared" si="72"/>
        <v>6.7200000000000009E-7</v>
      </c>
      <c r="Z240" s="140">
        <f t="shared" si="73"/>
        <v>8.9600000000000008E-7</v>
      </c>
      <c r="AA240" s="140">
        <f t="shared" si="74"/>
        <v>1.1200000000000001E-6</v>
      </c>
      <c r="AB240" s="157">
        <f t="shared" si="75"/>
        <v>0.8</v>
      </c>
      <c r="AC240" s="156">
        <f t="shared" si="76"/>
        <v>9.9999999999999995E-8</v>
      </c>
      <c r="AE240" s="140">
        <f t="shared" si="77"/>
        <v>2.2400000000000002E-5</v>
      </c>
      <c r="AF240">
        <v>2.2400000000000002</v>
      </c>
      <c r="AG240" s="140">
        <f t="shared" si="78"/>
        <v>2.2399999999999994E-7</v>
      </c>
      <c r="AH240" s="140">
        <f t="shared" si="79"/>
        <v>4.4799999999999999E-7</v>
      </c>
      <c r="AI240" s="140">
        <f t="shared" si="80"/>
        <v>6.7200000000000009E-7</v>
      </c>
      <c r="AJ240" s="140">
        <f t="shared" si="81"/>
        <v>8.9600000000000008E-7</v>
      </c>
      <c r="AK240" s="140">
        <f t="shared" si="82"/>
        <v>1.1200000000000001E-6</v>
      </c>
      <c r="AL240" s="157">
        <f t="shared" si="83"/>
        <v>1.2</v>
      </c>
      <c r="AM240" s="156">
        <f t="shared" si="84"/>
        <v>9.9999999999999995E-8</v>
      </c>
      <c r="AO240" s="140">
        <f t="shared" si="85"/>
        <v>2.2400000000000002E-5</v>
      </c>
      <c r="AP240">
        <v>2.2400000000000002</v>
      </c>
      <c r="AQ240" s="140">
        <f t="shared" si="86"/>
        <v>2.2399999999999994E-7</v>
      </c>
      <c r="AR240" s="140">
        <f t="shared" si="87"/>
        <v>4.4799999999999999E-7</v>
      </c>
      <c r="AS240" s="140">
        <f t="shared" si="88"/>
        <v>6.7200000000000009E-7</v>
      </c>
      <c r="AT240" s="140">
        <f t="shared" si="89"/>
        <v>8.9600000000000008E-7</v>
      </c>
      <c r="AU240" s="140">
        <f t="shared" si="90"/>
        <v>1.1200000000000001E-6</v>
      </c>
      <c r="AV240" s="157">
        <f t="shared" si="91"/>
        <v>1.2</v>
      </c>
      <c r="AW240" s="156">
        <f t="shared" si="92"/>
        <v>9.9999999999999995E-8</v>
      </c>
      <c r="AY240" s="140">
        <f t="shared" si="93"/>
        <v>2.2400000000000002E-5</v>
      </c>
      <c r="AZ240">
        <v>2.2400000000000002</v>
      </c>
      <c r="BA240" s="140">
        <f t="shared" si="94"/>
        <v>2.2399999999999994E-7</v>
      </c>
      <c r="BB240" s="140">
        <f t="shared" si="95"/>
        <v>4.4799999999999999E-7</v>
      </c>
      <c r="BC240" s="140">
        <f t="shared" si="96"/>
        <v>6.7200000000000009E-7</v>
      </c>
      <c r="BD240" s="140">
        <f t="shared" si="97"/>
        <v>8.9600000000000008E-7</v>
      </c>
      <c r="BE240" s="140">
        <f t="shared" si="98"/>
        <v>1.1200000000000001E-6</v>
      </c>
      <c r="BF240" s="157">
        <f>IF(AY240&lt;$B$89*DATA!$H$1037,DATA!$H$1037,IF(AY240&gt;DATA!$H$1036*$B$89,DATA!$H$1036,1))</f>
        <v>1.2</v>
      </c>
      <c r="BG240" s="156">
        <f t="shared" si="99"/>
        <v>9.9999999999999995E-8</v>
      </c>
      <c r="BI240" s="140">
        <f t="shared" si="100"/>
        <v>2.2400000000000002E-5</v>
      </c>
      <c r="BJ240">
        <v>2.2400000000000002</v>
      </c>
      <c r="BK240" s="140">
        <f t="shared" si="101"/>
        <v>2.2399999999999994E-7</v>
      </c>
      <c r="BL240" s="140">
        <f t="shared" si="102"/>
        <v>4.4799999999999999E-7</v>
      </c>
      <c r="BM240" s="140">
        <f t="shared" si="103"/>
        <v>6.7200000000000009E-7</v>
      </c>
      <c r="BN240" s="140">
        <f t="shared" si="104"/>
        <v>8.9600000000000008E-7</v>
      </c>
      <c r="BO240" s="140">
        <f t="shared" si="105"/>
        <v>1.1200000000000001E-6</v>
      </c>
      <c r="BP240" s="157">
        <f>IF(BI240&lt;$B$105*DATA!$H$1037,DATA!$H$1037,IF(BI240&gt;DATA!$H$1036*$B$105,DATA!$H$1036,1))</f>
        <v>1.2</v>
      </c>
      <c r="BQ240" s="156">
        <f t="shared" si="106"/>
        <v>9.9999999999999995E-8</v>
      </c>
    </row>
    <row r="241" spans="1:69">
      <c r="A241" s="140">
        <f t="shared" si="59"/>
        <v>2.26E-5</v>
      </c>
      <c r="B241">
        <v>2.2599999999999998</v>
      </c>
      <c r="C241" s="140">
        <f t="shared" si="108"/>
        <v>2.2599999999999993E-7</v>
      </c>
      <c r="D241" s="140">
        <f t="shared" si="108"/>
        <v>4.5199999999999992E-7</v>
      </c>
      <c r="E241" s="140">
        <f t="shared" si="108"/>
        <v>6.7800000000000001E-7</v>
      </c>
      <c r="F241" s="140">
        <f t="shared" si="108"/>
        <v>9.0400000000000005E-7</v>
      </c>
      <c r="G241" s="140">
        <f t="shared" si="108"/>
        <v>1.13E-6</v>
      </c>
      <c r="H241" s="124">
        <f t="shared" si="60"/>
        <v>0.8</v>
      </c>
      <c r="I241" s="156">
        <f t="shared" si="61"/>
        <v>9.9999999999999995E-8</v>
      </c>
      <c r="K241" s="140">
        <f t="shared" si="62"/>
        <v>2.26E-5</v>
      </c>
      <c r="L241">
        <v>2.2599999999999998</v>
      </c>
      <c r="M241" s="140">
        <f t="shared" si="63"/>
        <v>2.2599999999999993E-7</v>
      </c>
      <c r="N241" s="140">
        <f t="shared" si="64"/>
        <v>4.5199999999999992E-7</v>
      </c>
      <c r="O241" s="140">
        <f t="shared" si="65"/>
        <v>6.7800000000000001E-7</v>
      </c>
      <c r="P241" s="140">
        <f t="shared" si="58"/>
        <v>9.0400000000000005E-7</v>
      </c>
      <c r="Q241" s="140">
        <f t="shared" si="66"/>
        <v>1.13E-6</v>
      </c>
      <c r="R241" s="157">
        <f t="shared" si="67"/>
        <v>0.8</v>
      </c>
      <c r="S241" s="156">
        <f t="shared" si="68"/>
        <v>9.9999999999999995E-8</v>
      </c>
      <c r="U241" s="140">
        <f t="shared" si="69"/>
        <v>2.26E-5</v>
      </c>
      <c r="V241">
        <v>2.2599999999999998</v>
      </c>
      <c r="W241" s="140">
        <f t="shared" si="70"/>
        <v>2.2599999999999993E-7</v>
      </c>
      <c r="X241" s="140">
        <f t="shared" si="71"/>
        <v>4.5199999999999992E-7</v>
      </c>
      <c r="Y241" s="140">
        <f t="shared" si="72"/>
        <v>6.7800000000000001E-7</v>
      </c>
      <c r="Z241" s="140">
        <f t="shared" si="73"/>
        <v>9.0400000000000005E-7</v>
      </c>
      <c r="AA241" s="140">
        <f t="shared" si="74"/>
        <v>1.13E-6</v>
      </c>
      <c r="AB241" s="157">
        <f t="shared" si="75"/>
        <v>0.8</v>
      </c>
      <c r="AC241" s="156">
        <f t="shared" si="76"/>
        <v>9.9999999999999995E-8</v>
      </c>
      <c r="AE241" s="140">
        <f t="shared" si="77"/>
        <v>2.26E-5</v>
      </c>
      <c r="AF241">
        <v>2.2599999999999998</v>
      </c>
      <c r="AG241" s="140">
        <f t="shared" si="78"/>
        <v>2.2599999999999993E-7</v>
      </c>
      <c r="AH241" s="140">
        <f t="shared" si="79"/>
        <v>4.5199999999999992E-7</v>
      </c>
      <c r="AI241" s="140">
        <f t="shared" si="80"/>
        <v>6.7800000000000001E-7</v>
      </c>
      <c r="AJ241" s="140">
        <f t="shared" si="81"/>
        <v>9.0400000000000005E-7</v>
      </c>
      <c r="AK241" s="140">
        <f t="shared" si="82"/>
        <v>1.13E-6</v>
      </c>
      <c r="AL241" s="157">
        <f t="shared" si="83"/>
        <v>1.2</v>
      </c>
      <c r="AM241" s="156">
        <f t="shared" si="84"/>
        <v>9.9999999999999995E-8</v>
      </c>
      <c r="AO241" s="140">
        <f t="shared" si="85"/>
        <v>2.26E-5</v>
      </c>
      <c r="AP241">
        <v>2.2599999999999998</v>
      </c>
      <c r="AQ241" s="140">
        <f t="shared" si="86"/>
        <v>2.2599999999999993E-7</v>
      </c>
      <c r="AR241" s="140">
        <f t="shared" si="87"/>
        <v>4.5199999999999992E-7</v>
      </c>
      <c r="AS241" s="140">
        <f t="shared" si="88"/>
        <v>6.7800000000000001E-7</v>
      </c>
      <c r="AT241" s="140">
        <f t="shared" si="89"/>
        <v>9.0400000000000005E-7</v>
      </c>
      <c r="AU241" s="140">
        <f t="shared" si="90"/>
        <v>1.13E-6</v>
      </c>
      <c r="AV241" s="157">
        <f t="shared" si="91"/>
        <v>1.2</v>
      </c>
      <c r="AW241" s="156">
        <f t="shared" si="92"/>
        <v>9.9999999999999995E-8</v>
      </c>
      <c r="AY241" s="140">
        <f t="shared" si="93"/>
        <v>2.26E-5</v>
      </c>
      <c r="AZ241">
        <v>2.2599999999999998</v>
      </c>
      <c r="BA241" s="140">
        <f t="shared" si="94"/>
        <v>2.2599999999999993E-7</v>
      </c>
      <c r="BB241" s="140">
        <f t="shared" si="95"/>
        <v>4.5199999999999992E-7</v>
      </c>
      <c r="BC241" s="140">
        <f t="shared" si="96"/>
        <v>6.7800000000000001E-7</v>
      </c>
      <c r="BD241" s="140">
        <f t="shared" si="97"/>
        <v>9.0400000000000005E-7</v>
      </c>
      <c r="BE241" s="140">
        <f t="shared" si="98"/>
        <v>1.13E-6</v>
      </c>
      <c r="BF241" s="157">
        <f>IF(AY241&lt;$B$89*DATA!$H$1037,DATA!$H$1037,IF(AY241&gt;DATA!$H$1036*$B$89,DATA!$H$1036,1))</f>
        <v>1.2</v>
      </c>
      <c r="BG241" s="156">
        <f t="shared" si="99"/>
        <v>9.9999999999999995E-8</v>
      </c>
      <c r="BI241" s="140">
        <f t="shared" si="100"/>
        <v>2.26E-5</v>
      </c>
      <c r="BJ241">
        <v>2.2599999999999998</v>
      </c>
      <c r="BK241" s="140">
        <f t="shared" si="101"/>
        <v>2.2599999999999993E-7</v>
      </c>
      <c r="BL241" s="140">
        <f t="shared" si="102"/>
        <v>4.5199999999999992E-7</v>
      </c>
      <c r="BM241" s="140">
        <f t="shared" si="103"/>
        <v>6.7800000000000001E-7</v>
      </c>
      <c r="BN241" s="140">
        <f t="shared" si="104"/>
        <v>9.0400000000000005E-7</v>
      </c>
      <c r="BO241" s="140">
        <f t="shared" si="105"/>
        <v>1.13E-6</v>
      </c>
      <c r="BP241" s="157">
        <f>IF(BI241&lt;$B$105*DATA!$H$1037,DATA!$H$1037,IF(BI241&gt;DATA!$H$1036*$B$105,DATA!$H$1036,1))</f>
        <v>1.2</v>
      </c>
      <c r="BQ241" s="156">
        <f t="shared" si="106"/>
        <v>9.9999999999999995E-8</v>
      </c>
    </row>
    <row r="242" spans="1:69">
      <c r="A242" s="140">
        <f t="shared" si="59"/>
        <v>2.2799999999999999E-5</v>
      </c>
      <c r="B242">
        <v>2.2799999999999998</v>
      </c>
      <c r="C242" s="140">
        <f t="shared" si="108"/>
        <v>2.2799999999999992E-7</v>
      </c>
      <c r="D242" s="140">
        <f t="shared" si="108"/>
        <v>4.559999999999999E-7</v>
      </c>
      <c r="E242" s="140">
        <f t="shared" si="108"/>
        <v>6.8399999999999993E-7</v>
      </c>
      <c r="F242" s="140">
        <f t="shared" si="108"/>
        <v>9.1199999999999991E-7</v>
      </c>
      <c r="G242" s="140">
        <f t="shared" si="108"/>
        <v>1.1399999999999999E-6</v>
      </c>
      <c r="H242" s="124">
        <f t="shared" si="60"/>
        <v>0.8</v>
      </c>
      <c r="I242" s="156">
        <f t="shared" si="61"/>
        <v>9.9999999999999995E-8</v>
      </c>
      <c r="K242" s="140">
        <f t="shared" si="62"/>
        <v>2.2799999999999999E-5</v>
      </c>
      <c r="L242">
        <v>2.2799999999999998</v>
      </c>
      <c r="M242" s="140">
        <f t="shared" si="63"/>
        <v>2.2799999999999992E-7</v>
      </c>
      <c r="N242" s="140">
        <f t="shared" si="64"/>
        <v>4.559999999999999E-7</v>
      </c>
      <c r="O242" s="140">
        <f t="shared" si="65"/>
        <v>6.8399999999999993E-7</v>
      </c>
      <c r="P242" s="140">
        <f t="shared" si="58"/>
        <v>9.1199999999999991E-7</v>
      </c>
      <c r="Q242" s="140">
        <f t="shared" si="66"/>
        <v>1.1399999999999999E-6</v>
      </c>
      <c r="R242" s="157">
        <f t="shared" si="67"/>
        <v>0.8</v>
      </c>
      <c r="S242" s="156">
        <f t="shared" si="68"/>
        <v>9.9999999999999995E-8</v>
      </c>
      <c r="U242" s="140">
        <f t="shared" si="69"/>
        <v>2.2799999999999999E-5</v>
      </c>
      <c r="V242">
        <v>2.2799999999999998</v>
      </c>
      <c r="W242" s="140">
        <f t="shared" si="70"/>
        <v>2.2799999999999992E-7</v>
      </c>
      <c r="X242" s="140">
        <f t="shared" si="71"/>
        <v>4.559999999999999E-7</v>
      </c>
      <c r="Y242" s="140">
        <f t="shared" si="72"/>
        <v>6.8399999999999993E-7</v>
      </c>
      <c r="Z242" s="140">
        <f t="shared" si="73"/>
        <v>9.1199999999999991E-7</v>
      </c>
      <c r="AA242" s="140">
        <f t="shared" si="74"/>
        <v>1.1399999999999999E-6</v>
      </c>
      <c r="AB242" s="157">
        <f t="shared" si="75"/>
        <v>0.8</v>
      </c>
      <c r="AC242" s="156">
        <f t="shared" si="76"/>
        <v>9.9999999999999995E-8</v>
      </c>
      <c r="AE242" s="140">
        <f t="shared" si="77"/>
        <v>2.2799999999999999E-5</v>
      </c>
      <c r="AF242">
        <v>2.2799999999999998</v>
      </c>
      <c r="AG242" s="140">
        <f t="shared" si="78"/>
        <v>2.2799999999999992E-7</v>
      </c>
      <c r="AH242" s="140">
        <f t="shared" si="79"/>
        <v>4.559999999999999E-7</v>
      </c>
      <c r="AI242" s="140">
        <f t="shared" si="80"/>
        <v>6.8399999999999993E-7</v>
      </c>
      <c r="AJ242" s="140">
        <f t="shared" si="81"/>
        <v>9.1199999999999991E-7</v>
      </c>
      <c r="AK242" s="140">
        <f t="shared" si="82"/>
        <v>1.1399999999999999E-6</v>
      </c>
      <c r="AL242" s="157">
        <f t="shared" si="83"/>
        <v>1.2</v>
      </c>
      <c r="AM242" s="156">
        <f t="shared" si="84"/>
        <v>9.9999999999999995E-8</v>
      </c>
      <c r="AO242" s="140">
        <f t="shared" si="85"/>
        <v>2.2799999999999999E-5</v>
      </c>
      <c r="AP242">
        <v>2.2799999999999998</v>
      </c>
      <c r="AQ242" s="140">
        <f t="shared" si="86"/>
        <v>2.2799999999999992E-7</v>
      </c>
      <c r="AR242" s="140">
        <f t="shared" si="87"/>
        <v>4.559999999999999E-7</v>
      </c>
      <c r="AS242" s="140">
        <f t="shared" si="88"/>
        <v>6.8399999999999993E-7</v>
      </c>
      <c r="AT242" s="140">
        <f t="shared" si="89"/>
        <v>9.1199999999999991E-7</v>
      </c>
      <c r="AU242" s="140">
        <f t="shared" si="90"/>
        <v>1.1399999999999999E-6</v>
      </c>
      <c r="AV242" s="157">
        <f t="shared" si="91"/>
        <v>1.2</v>
      </c>
      <c r="AW242" s="156">
        <f t="shared" si="92"/>
        <v>9.9999999999999995E-8</v>
      </c>
      <c r="AY242" s="140">
        <f t="shared" si="93"/>
        <v>2.2799999999999999E-5</v>
      </c>
      <c r="AZ242">
        <v>2.2799999999999998</v>
      </c>
      <c r="BA242" s="140">
        <f t="shared" si="94"/>
        <v>2.2799999999999992E-7</v>
      </c>
      <c r="BB242" s="140">
        <f t="shared" si="95"/>
        <v>4.559999999999999E-7</v>
      </c>
      <c r="BC242" s="140">
        <f t="shared" si="96"/>
        <v>6.8399999999999993E-7</v>
      </c>
      <c r="BD242" s="140">
        <f t="shared" si="97"/>
        <v>9.1199999999999991E-7</v>
      </c>
      <c r="BE242" s="140">
        <f t="shared" si="98"/>
        <v>1.1399999999999999E-6</v>
      </c>
      <c r="BF242" s="157">
        <f>IF(AY242&lt;$B$89*DATA!$H$1037,DATA!$H$1037,IF(AY242&gt;DATA!$H$1036*$B$89,DATA!$H$1036,1))</f>
        <v>1.2</v>
      </c>
      <c r="BG242" s="156">
        <f t="shared" si="99"/>
        <v>9.9999999999999995E-8</v>
      </c>
      <c r="BI242" s="140">
        <f t="shared" si="100"/>
        <v>2.2799999999999999E-5</v>
      </c>
      <c r="BJ242">
        <v>2.2799999999999998</v>
      </c>
      <c r="BK242" s="140">
        <f t="shared" si="101"/>
        <v>2.2799999999999992E-7</v>
      </c>
      <c r="BL242" s="140">
        <f t="shared" si="102"/>
        <v>4.559999999999999E-7</v>
      </c>
      <c r="BM242" s="140">
        <f t="shared" si="103"/>
        <v>6.8399999999999993E-7</v>
      </c>
      <c r="BN242" s="140">
        <f t="shared" si="104"/>
        <v>9.1199999999999991E-7</v>
      </c>
      <c r="BO242" s="140">
        <f t="shared" si="105"/>
        <v>1.1399999999999999E-6</v>
      </c>
      <c r="BP242" s="157">
        <f>IF(BI242&lt;$B$105*DATA!$H$1037,DATA!$H$1037,IF(BI242&gt;DATA!$H$1036*$B$105,DATA!$H$1036,1))</f>
        <v>1.2</v>
      </c>
      <c r="BQ242" s="156">
        <f t="shared" si="106"/>
        <v>9.9999999999999995E-8</v>
      </c>
    </row>
    <row r="243" spans="1:69">
      <c r="A243" s="140">
        <f t="shared" si="59"/>
        <v>2.3E-5</v>
      </c>
      <c r="B243">
        <v>2.2999999999999998</v>
      </c>
      <c r="C243" s="140">
        <f t="shared" si="108"/>
        <v>2.2999999999999992E-7</v>
      </c>
      <c r="D243" s="140">
        <f t="shared" si="108"/>
        <v>4.5999999999999994E-7</v>
      </c>
      <c r="E243" s="140">
        <f t="shared" si="108"/>
        <v>6.8999999999999996E-7</v>
      </c>
      <c r="F243" s="140">
        <f t="shared" si="108"/>
        <v>9.1999999999999998E-7</v>
      </c>
      <c r="G243" s="140">
        <f t="shared" si="108"/>
        <v>1.15E-6</v>
      </c>
      <c r="H243" s="124">
        <f t="shared" si="60"/>
        <v>0.8</v>
      </c>
      <c r="I243" s="156">
        <f t="shared" si="61"/>
        <v>9.9999999999999995E-8</v>
      </c>
      <c r="K243" s="140">
        <f t="shared" si="62"/>
        <v>2.3E-5</v>
      </c>
      <c r="L243">
        <v>2.2999999999999998</v>
      </c>
      <c r="M243" s="140">
        <f t="shared" si="63"/>
        <v>2.2999999999999992E-7</v>
      </c>
      <c r="N243" s="140">
        <f t="shared" si="64"/>
        <v>4.5999999999999994E-7</v>
      </c>
      <c r="O243" s="140">
        <f t="shared" si="65"/>
        <v>6.8999999999999996E-7</v>
      </c>
      <c r="P243" s="140">
        <f t="shared" si="58"/>
        <v>9.1999999999999998E-7</v>
      </c>
      <c r="Q243" s="140">
        <f t="shared" si="66"/>
        <v>1.15E-6</v>
      </c>
      <c r="R243" s="157">
        <f t="shared" si="67"/>
        <v>0.8</v>
      </c>
      <c r="S243" s="156">
        <f t="shared" si="68"/>
        <v>9.9999999999999995E-8</v>
      </c>
      <c r="U243" s="140">
        <f t="shared" si="69"/>
        <v>2.3E-5</v>
      </c>
      <c r="V243">
        <v>2.2999999999999998</v>
      </c>
      <c r="W243" s="140">
        <f t="shared" si="70"/>
        <v>2.2999999999999992E-7</v>
      </c>
      <c r="X243" s="140">
        <f t="shared" si="71"/>
        <v>4.5999999999999994E-7</v>
      </c>
      <c r="Y243" s="140">
        <f t="shared" si="72"/>
        <v>6.8999999999999996E-7</v>
      </c>
      <c r="Z243" s="140">
        <f t="shared" si="73"/>
        <v>9.1999999999999998E-7</v>
      </c>
      <c r="AA243" s="140">
        <f t="shared" si="74"/>
        <v>1.15E-6</v>
      </c>
      <c r="AB243" s="157">
        <f t="shared" si="75"/>
        <v>0.8</v>
      </c>
      <c r="AC243" s="156">
        <f t="shared" si="76"/>
        <v>9.9999999999999995E-8</v>
      </c>
      <c r="AE243" s="140">
        <f t="shared" si="77"/>
        <v>2.3E-5</v>
      </c>
      <c r="AF243">
        <v>2.2999999999999998</v>
      </c>
      <c r="AG243" s="140">
        <f t="shared" si="78"/>
        <v>2.2999999999999992E-7</v>
      </c>
      <c r="AH243" s="140">
        <f t="shared" si="79"/>
        <v>4.5999999999999994E-7</v>
      </c>
      <c r="AI243" s="140">
        <f t="shared" si="80"/>
        <v>6.8999999999999996E-7</v>
      </c>
      <c r="AJ243" s="140">
        <f t="shared" si="81"/>
        <v>9.1999999999999998E-7</v>
      </c>
      <c r="AK243" s="140">
        <f t="shared" si="82"/>
        <v>1.15E-6</v>
      </c>
      <c r="AL243" s="157">
        <f t="shared" si="83"/>
        <v>1.2</v>
      </c>
      <c r="AM243" s="156">
        <f t="shared" si="84"/>
        <v>9.9999999999999995E-8</v>
      </c>
      <c r="AO243" s="140">
        <f t="shared" si="85"/>
        <v>2.3E-5</v>
      </c>
      <c r="AP243">
        <v>2.2999999999999998</v>
      </c>
      <c r="AQ243" s="140">
        <f t="shared" si="86"/>
        <v>2.2999999999999992E-7</v>
      </c>
      <c r="AR243" s="140">
        <f t="shared" si="87"/>
        <v>4.5999999999999994E-7</v>
      </c>
      <c r="AS243" s="140">
        <f t="shared" si="88"/>
        <v>6.8999999999999996E-7</v>
      </c>
      <c r="AT243" s="140">
        <f t="shared" si="89"/>
        <v>9.1999999999999998E-7</v>
      </c>
      <c r="AU243" s="140">
        <f t="shared" si="90"/>
        <v>1.15E-6</v>
      </c>
      <c r="AV243" s="157">
        <f t="shared" si="91"/>
        <v>1.2</v>
      </c>
      <c r="AW243" s="156">
        <f t="shared" si="92"/>
        <v>9.9999999999999995E-8</v>
      </c>
      <c r="AY243" s="140">
        <f t="shared" si="93"/>
        <v>2.3E-5</v>
      </c>
      <c r="AZ243">
        <v>2.2999999999999998</v>
      </c>
      <c r="BA243" s="140">
        <f t="shared" si="94"/>
        <v>2.2999999999999992E-7</v>
      </c>
      <c r="BB243" s="140">
        <f t="shared" si="95"/>
        <v>4.5999999999999994E-7</v>
      </c>
      <c r="BC243" s="140">
        <f t="shared" si="96"/>
        <v>6.8999999999999996E-7</v>
      </c>
      <c r="BD243" s="140">
        <f t="shared" si="97"/>
        <v>9.1999999999999998E-7</v>
      </c>
      <c r="BE243" s="140">
        <f t="shared" si="98"/>
        <v>1.15E-6</v>
      </c>
      <c r="BF243" s="157">
        <f>IF(AY243&lt;$B$89*DATA!$H$1037,DATA!$H$1037,IF(AY243&gt;DATA!$H$1036*$B$89,DATA!$H$1036,1))</f>
        <v>1.2</v>
      </c>
      <c r="BG243" s="156">
        <f t="shared" si="99"/>
        <v>9.9999999999999995E-8</v>
      </c>
      <c r="BI243" s="140">
        <f t="shared" si="100"/>
        <v>2.3E-5</v>
      </c>
      <c r="BJ243">
        <v>2.2999999999999998</v>
      </c>
      <c r="BK243" s="140">
        <f t="shared" si="101"/>
        <v>2.2999999999999992E-7</v>
      </c>
      <c r="BL243" s="140">
        <f t="shared" si="102"/>
        <v>4.5999999999999994E-7</v>
      </c>
      <c r="BM243" s="140">
        <f t="shared" si="103"/>
        <v>6.8999999999999996E-7</v>
      </c>
      <c r="BN243" s="140">
        <f t="shared" si="104"/>
        <v>9.1999999999999998E-7</v>
      </c>
      <c r="BO243" s="140">
        <f t="shared" si="105"/>
        <v>1.15E-6</v>
      </c>
      <c r="BP243" s="157">
        <f>IF(BI243&lt;$B$105*DATA!$H$1037,DATA!$H$1037,IF(BI243&gt;DATA!$H$1036*$B$105,DATA!$H$1036,1))</f>
        <v>1.2</v>
      </c>
      <c r="BQ243" s="156">
        <f t="shared" si="106"/>
        <v>9.9999999999999995E-8</v>
      </c>
    </row>
    <row r="244" spans="1:69">
      <c r="A244" s="140">
        <f t="shared" si="59"/>
        <v>2.3200000000000001E-5</v>
      </c>
      <c r="B244">
        <v>2.3199999999999998</v>
      </c>
      <c r="C244" s="140">
        <f t="shared" si="108"/>
        <v>2.3199999999999993E-7</v>
      </c>
      <c r="D244" s="140">
        <f t="shared" si="108"/>
        <v>4.6399999999999997E-7</v>
      </c>
      <c r="E244" s="140">
        <f t="shared" si="108"/>
        <v>6.9599999999999999E-7</v>
      </c>
      <c r="F244" s="140">
        <f t="shared" si="108"/>
        <v>9.2800000000000005E-7</v>
      </c>
      <c r="G244" s="140">
        <f t="shared" si="108"/>
        <v>1.1600000000000001E-6</v>
      </c>
      <c r="H244" s="124">
        <f t="shared" si="60"/>
        <v>0.8</v>
      </c>
      <c r="I244" s="156">
        <f t="shared" si="61"/>
        <v>9.9999999999999995E-8</v>
      </c>
      <c r="K244" s="140">
        <f t="shared" si="62"/>
        <v>2.3200000000000001E-5</v>
      </c>
      <c r="L244">
        <v>2.3199999999999998</v>
      </c>
      <c r="M244" s="140">
        <f t="shared" si="63"/>
        <v>2.3199999999999993E-7</v>
      </c>
      <c r="N244" s="140">
        <f t="shared" si="64"/>
        <v>4.6399999999999997E-7</v>
      </c>
      <c r="O244" s="140">
        <f t="shared" si="65"/>
        <v>6.9599999999999999E-7</v>
      </c>
      <c r="P244" s="140">
        <f t="shared" si="58"/>
        <v>9.2800000000000005E-7</v>
      </c>
      <c r="Q244" s="140">
        <f t="shared" si="66"/>
        <v>1.1600000000000001E-6</v>
      </c>
      <c r="R244" s="157">
        <f t="shared" si="67"/>
        <v>0.8</v>
      </c>
      <c r="S244" s="156">
        <f t="shared" si="68"/>
        <v>9.9999999999999995E-8</v>
      </c>
      <c r="U244" s="140">
        <f t="shared" si="69"/>
        <v>2.3200000000000001E-5</v>
      </c>
      <c r="V244">
        <v>2.3199999999999998</v>
      </c>
      <c r="W244" s="140">
        <f t="shared" si="70"/>
        <v>2.3199999999999993E-7</v>
      </c>
      <c r="X244" s="140">
        <f t="shared" si="71"/>
        <v>4.6399999999999997E-7</v>
      </c>
      <c r="Y244" s="140">
        <f t="shared" si="72"/>
        <v>6.9599999999999999E-7</v>
      </c>
      <c r="Z244" s="140">
        <f t="shared" si="73"/>
        <v>9.2800000000000005E-7</v>
      </c>
      <c r="AA244" s="140">
        <f t="shared" si="74"/>
        <v>1.1600000000000001E-6</v>
      </c>
      <c r="AB244" s="157">
        <f t="shared" si="75"/>
        <v>0.8</v>
      </c>
      <c r="AC244" s="156">
        <f t="shared" si="76"/>
        <v>9.9999999999999995E-8</v>
      </c>
      <c r="AE244" s="140">
        <f t="shared" si="77"/>
        <v>2.3200000000000001E-5</v>
      </c>
      <c r="AF244">
        <v>2.3199999999999998</v>
      </c>
      <c r="AG244" s="140">
        <f t="shared" si="78"/>
        <v>2.3199999999999993E-7</v>
      </c>
      <c r="AH244" s="140">
        <f t="shared" si="79"/>
        <v>4.6399999999999997E-7</v>
      </c>
      <c r="AI244" s="140">
        <f t="shared" si="80"/>
        <v>6.9599999999999999E-7</v>
      </c>
      <c r="AJ244" s="140">
        <f t="shared" si="81"/>
        <v>9.2800000000000005E-7</v>
      </c>
      <c r="AK244" s="140">
        <f t="shared" si="82"/>
        <v>1.1600000000000001E-6</v>
      </c>
      <c r="AL244" s="157">
        <f t="shared" si="83"/>
        <v>1.2</v>
      </c>
      <c r="AM244" s="156">
        <f t="shared" si="84"/>
        <v>9.9999999999999995E-8</v>
      </c>
      <c r="AO244" s="140">
        <f t="shared" si="85"/>
        <v>2.3200000000000001E-5</v>
      </c>
      <c r="AP244">
        <v>2.3199999999999998</v>
      </c>
      <c r="AQ244" s="140">
        <f t="shared" si="86"/>
        <v>2.3199999999999993E-7</v>
      </c>
      <c r="AR244" s="140">
        <f t="shared" si="87"/>
        <v>4.6399999999999997E-7</v>
      </c>
      <c r="AS244" s="140">
        <f t="shared" si="88"/>
        <v>6.9599999999999999E-7</v>
      </c>
      <c r="AT244" s="140">
        <f t="shared" si="89"/>
        <v>9.2800000000000005E-7</v>
      </c>
      <c r="AU244" s="140">
        <f t="shared" si="90"/>
        <v>1.1600000000000001E-6</v>
      </c>
      <c r="AV244" s="157">
        <f t="shared" si="91"/>
        <v>1.2</v>
      </c>
      <c r="AW244" s="156">
        <f t="shared" si="92"/>
        <v>9.9999999999999995E-8</v>
      </c>
      <c r="AY244" s="140">
        <f t="shared" si="93"/>
        <v>2.3200000000000001E-5</v>
      </c>
      <c r="AZ244">
        <v>2.3199999999999998</v>
      </c>
      <c r="BA244" s="140">
        <f t="shared" si="94"/>
        <v>2.3199999999999993E-7</v>
      </c>
      <c r="BB244" s="140">
        <f t="shared" si="95"/>
        <v>4.6399999999999997E-7</v>
      </c>
      <c r="BC244" s="140">
        <f t="shared" si="96"/>
        <v>6.9599999999999999E-7</v>
      </c>
      <c r="BD244" s="140">
        <f t="shared" si="97"/>
        <v>9.2800000000000005E-7</v>
      </c>
      <c r="BE244" s="140">
        <f t="shared" si="98"/>
        <v>1.1600000000000001E-6</v>
      </c>
      <c r="BF244" s="157">
        <f>IF(AY244&lt;$B$89*DATA!$H$1037,DATA!$H$1037,IF(AY244&gt;DATA!$H$1036*$B$89,DATA!$H$1036,1))</f>
        <v>1.2</v>
      </c>
      <c r="BG244" s="156">
        <f t="shared" si="99"/>
        <v>9.9999999999999995E-8</v>
      </c>
      <c r="BI244" s="140">
        <f t="shared" si="100"/>
        <v>2.3200000000000001E-5</v>
      </c>
      <c r="BJ244">
        <v>2.3199999999999998</v>
      </c>
      <c r="BK244" s="140">
        <f t="shared" si="101"/>
        <v>2.3199999999999993E-7</v>
      </c>
      <c r="BL244" s="140">
        <f t="shared" si="102"/>
        <v>4.6399999999999997E-7</v>
      </c>
      <c r="BM244" s="140">
        <f t="shared" si="103"/>
        <v>6.9599999999999999E-7</v>
      </c>
      <c r="BN244" s="140">
        <f t="shared" si="104"/>
        <v>9.2800000000000005E-7</v>
      </c>
      <c r="BO244" s="140">
        <f t="shared" si="105"/>
        <v>1.1600000000000001E-6</v>
      </c>
      <c r="BP244" s="157">
        <f>IF(BI244&lt;$B$105*DATA!$H$1037,DATA!$H$1037,IF(BI244&gt;DATA!$H$1036*$B$105,DATA!$H$1036,1))</f>
        <v>1.2</v>
      </c>
      <c r="BQ244" s="156">
        <f t="shared" si="106"/>
        <v>9.9999999999999995E-8</v>
      </c>
    </row>
    <row r="245" spans="1:69">
      <c r="A245" s="140">
        <f t="shared" si="59"/>
        <v>2.34E-5</v>
      </c>
      <c r="B245">
        <v>2.34</v>
      </c>
      <c r="C245" s="140">
        <f t="shared" si="108"/>
        <v>2.3399999999999992E-7</v>
      </c>
      <c r="D245" s="140">
        <f t="shared" si="108"/>
        <v>4.679999999999999E-7</v>
      </c>
      <c r="E245" s="140">
        <f t="shared" si="108"/>
        <v>7.0200000000000001E-7</v>
      </c>
      <c r="F245" s="140">
        <f t="shared" si="108"/>
        <v>9.3600000000000002E-7</v>
      </c>
      <c r="G245" s="140">
        <f t="shared" si="108"/>
        <v>1.17E-6</v>
      </c>
      <c r="H245" s="124">
        <f t="shared" si="60"/>
        <v>0.8</v>
      </c>
      <c r="I245" s="156">
        <f t="shared" si="61"/>
        <v>9.9999999999999995E-8</v>
      </c>
      <c r="K245" s="140">
        <f t="shared" si="62"/>
        <v>2.34E-5</v>
      </c>
      <c r="L245">
        <v>2.34</v>
      </c>
      <c r="M245" s="140">
        <f t="shared" si="63"/>
        <v>2.3399999999999992E-7</v>
      </c>
      <c r="N245" s="140">
        <f t="shared" si="64"/>
        <v>4.679999999999999E-7</v>
      </c>
      <c r="O245" s="140">
        <f t="shared" si="65"/>
        <v>7.0200000000000001E-7</v>
      </c>
      <c r="P245" s="140">
        <f t="shared" si="58"/>
        <v>9.3600000000000002E-7</v>
      </c>
      <c r="Q245" s="140">
        <f t="shared" si="66"/>
        <v>1.17E-6</v>
      </c>
      <c r="R245" s="157">
        <f t="shared" si="67"/>
        <v>0.8</v>
      </c>
      <c r="S245" s="156">
        <f t="shared" si="68"/>
        <v>9.9999999999999995E-8</v>
      </c>
      <c r="U245" s="140">
        <f t="shared" si="69"/>
        <v>2.34E-5</v>
      </c>
      <c r="V245">
        <v>2.34</v>
      </c>
      <c r="W245" s="140">
        <f t="shared" si="70"/>
        <v>2.3399999999999992E-7</v>
      </c>
      <c r="X245" s="140">
        <f t="shared" si="71"/>
        <v>4.679999999999999E-7</v>
      </c>
      <c r="Y245" s="140">
        <f t="shared" si="72"/>
        <v>7.0200000000000001E-7</v>
      </c>
      <c r="Z245" s="140">
        <f t="shared" si="73"/>
        <v>9.3600000000000002E-7</v>
      </c>
      <c r="AA245" s="140">
        <f t="shared" si="74"/>
        <v>1.17E-6</v>
      </c>
      <c r="AB245" s="157">
        <f t="shared" si="75"/>
        <v>0.8</v>
      </c>
      <c r="AC245" s="156">
        <f t="shared" si="76"/>
        <v>9.9999999999999995E-8</v>
      </c>
      <c r="AE245" s="140">
        <f t="shared" si="77"/>
        <v>2.34E-5</v>
      </c>
      <c r="AF245">
        <v>2.34</v>
      </c>
      <c r="AG245" s="140">
        <f t="shared" si="78"/>
        <v>2.3399999999999992E-7</v>
      </c>
      <c r="AH245" s="140">
        <f t="shared" si="79"/>
        <v>4.679999999999999E-7</v>
      </c>
      <c r="AI245" s="140">
        <f t="shared" si="80"/>
        <v>7.0200000000000001E-7</v>
      </c>
      <c r="AJ245" s="140">
        <f t="shared" si="81"/>
        <v>9.3600000000000002E-7</v>
      </c>
      <c r="AK245" s="140">
        <f t="shared" si="82"/>
        <v>1.17E-6</v>
      </c>
      <c r="AL245" s="157">
        <f t="shared" si="83"/>
        <v>1.2</v>
      </c>
      <c r="AM245" s="156">
        <f t="shared" si="84"/>
        <v>9.9999999999999995E-8</v>
      </c>
      <c r="AO245" s="140">
        <f t="shared" si="85"/>
        <v>2.34E-5</v>
      </c>
      <c r="AP245">
        <v>2.34</v>
      </c>
      <c r="AQ245" s="140">
        <f t="shared" si="86"/>
        <v>2.3399999999999992E-7</v>
      </c>
      <c r="AR245" s="140">
        <f t="shared" si="87"/>
        <v>4.679999999999999E-7</v>
      </c>
      <c r="AS245" s="140">
        <f t="shared" si="88"/>
        <v>7.0200000000000001E-7</v>
      </c>
      <c r="AT245" s="140">
        <f t="shared" si="89"/>
        <v>9.3600000000000002E-7</v>
      </c>
      <c r="AU245" s="140">
        <f t="shared" si="90"/>
        <v>1.17E-6</v>
      </c>
      <c r="AV245" s="157">
        <f t="shared" si="91"/>
        <v>1.2</v>
      </c>
      <c r="AW245" s="156">
        <f t="shared" si="92"/>
        <v>9.9999999999999995E-8</v>
      </c>
      <c r="AY245" s="140">
        <f t="shared" si="93"/>
        <v>2.34E-5</v>
      </c>
      <c r="AZ245">
        <v>2.34</v>
      </c>
      <c r="BA245" s="140">
        <f t="shared" si="94"/>
        <v>2.3399999999999992E-7</v>
      </c>
      <c r="BB245" s="140">
        <f t="shared" si="95"/>
        <v>4.679999999999999E-7</v>
      </c>
      <c r="BC245" s="140">
        <f t="shared" si="96"/>
        <v>7.0200000000000001E-7</v>
      </c>
      <c r="BD245" s="140">
        <f t="shared" si="97"/>
        <v>9.3600000000000002E-7</v>
      </c>
      <c r="BE245" s="140">
        <f t="shared" si="98"/>
        <v>1.17E-6</v>
      </c>
      <c r="BF245" s="157">
        <f>IF(AY245&lt;$B$89*DATA!$H$1037,DATA!$H$1037,IF(AY245&gt;DATA!$H$1036*$B$89,DATA!$H$1036,1))</f>
        <v>1.2</v>
      </c>
      <c r="BG245" s="156">
        <f t="shared" si="99"/>
        <v>9.9999999999999995E-8</v>
      </c>
      <c r="BI245" s="140">
        <f t="shared" si="100"/>
        <v>2.34E-5</v>
      </c>
      <c r="BJ245">
        <v>2.34</v>
      </c>
      <c r="BK245" s="140">
        <f t="shared" si="101"/>
        <v>2.3399999999999992E-7</v>
      </c>
      <c r="BL245" s="140">
        <f t="shared" si="102"/>
        <v>4.679999999999999E-7</v>
      </c>
      <c r="BM245" s="140">
        <f t="shared" si="103"/>
        <v>7.0200000000000001E-7</v>
      </c>
      <c r="BN245" s="140">
        <f t="shared" si="104"/>
        <v>9.3600000000000002E-7</v>
      </c>
      <c r="BO245" s="140">
        <f t="shared" si="105"/>
        <v>1.17E-6</v>
      </c>
      <c r="BP245" s="157">
        <f>IF(BI245&lt;$B$105*DATA!$H$1037,DATA!$H$1037,IF(BI245&gt;DATA!$H$1036*$B$105,DATA!$H$1036,1))</f>
        <v>1.2</v>
      </c>
      <c r="BQ245" s="156">
        <f t="shared" si="106"/>
        <v>9.9999999999999995E-8</v>
      </c>
    </row>
    <row r="246" spans="1:69">
      <c r="A246" s="140">
        <f t="shared" si="59"/>
        <v>2.3600000000000001E-5</v>
      </c>
      <c r="B246">
        <v>2.36</v>
      </c>
      <c r="C246" s="140">
        <f t="shared" si="108"/>
        <v>2.3599999999999994E-7</v>
      </c>
      <c r="D246" s="140">
        <f t="shared" si="108"/>
        <v>4.7199999999999994E-7</v>
      </c>
      <c r="E246" s="140">
        <f t="shared" si="108"/>
        <v>7.0800000000000004E-7</v>
      </c>
      <c r="F246" s="140">
        <f t="shared" si="108"/>
        <v>9.4400000000000009E-7</v>
      </c>
      <c r="G246" s="140">
        <f t="shared" si="108"/>
        <v>1.1800000000000001E-6</v>
      </c>
      <c r="H246" s="124">
        <f t="shared" si="60"/>
        <v>0.8</v>
      </c>
      <c r="I246" s="156">
        <f t="shared" si="61"/>
        <v>9.9999999999999995E-8</v>
      </c>
      <c r="K246" s="140">
        <f t="shared" si="62"/>
        <v>2.3600000000000001E-5</v>
      </c>
      <c r="L246">
        <v>2.36</v>
      </c>
      <c r="M246" s="140">
        <f t="shared" si="63"/>
        <v>2.3599999999999994E-7</v>
      </c>
      <c r="N246" s="140">
        <f t="shared" si="64"/>
        <v>4.7199999999999994E-7</v>
      </c>
      <c r="O246" s="140">
        <f t="shared" si="65"/>
        <v>7.0800000000000004E-7</v>
      </c>
      <c r="P246" s="140">
        <f t="shared" si="58"/>
        <v>9.4400000000000009E-7</v>
      </c>
      <c r="Q246" s="140">
        <f t="shared" si="66"/>
        <v>1.1800000000000001E-6</v>
      </c>
      <c r="R246" s="157">
        <f t="shared" si="67"/>
        <v>0.8</v>
      </c>
      <c r="S246" s="156">
        <f t="shared" si="68"/>
        <v>9.9999999999999995E-8</v>
      </c>
      <c r="U246" s="140">
        <f t="shared" si="69"/>
        <v>2.3600000000000001E-5</v>
      </c>
      <c r="V246">
        <v>2.36</v>
      </c>
      <c r="W246" s="140">
        <f t="shared" si="70"/>
        <v>2.3599999999999994E-7</v>
      </c>
      <c r="X246" s="140">
        <f t="shared" si="71"/>
        <v>4.7199999999999994E-7</v>
      </c>
      <c r="Y246" s="140">
        <f t="shared" si="72"/>
        <v>7.0800000000000004E-7</v>
      </c>
      <c r="Z246" s="140">
        <f t="shared" si="73"/>
        <v>9.4400000000000009E-7</v>
      </c>
      <c r="AA246" s="140">
        <f t="shared" si="74"/>
        <v>1.1800000000000001E-6</v>
      </c>
      <c r="AB246" s="157">
        <f t="shared" si="75"/>
        <v>0.8</v>
      </c>
      <c r="AC246" s="156">
        <f t="shared" si="76"/>
        <v>9.9999999999999995E-8</v>
      </c>
      <c r="AE246" s="140">
        <f t="shared" si="77"/>
        <v>2.3600000000000001E-5</v>
      </c>
      <c r="AF246">
        <v>2.36</v>
      </c>
      <c r="AG246" s="140">
        <f t="shared" si="78"/>
        <v>2.3599999999999994E-7</v>
      </c>
      <c r="AH246" s="140">
        <f t="shared" si="79"/>
        <v>4.7199999999999994E-7</v>
      </c>
      <c r="AI246" s="140">
        <f t="shared" si="80"/>
        <v>7.0800000000000004E-7</v>
      </c>
      <c r="AJ246" s="140">
        <f t="shared" si="81"/>
        <v>9.4400000000000009E-7</v>
      </c>
      <c r="AK246" s="140">
        <f t="shared" si="82"/>
        <v>1.1800000000000001E-6</v>
      </c>
      <c r="AL246" s="157">
        <f t="shared" si="83"/>
        <v>1.2</v>
      </c>
      <c r="AM246" s="156">
        <f t="shared" si="84"/>
        <v>9.9999999999999995E-8</v>
      </c>
      <c r="AO246" s="140">
        <f t="shared" si="85"/>
        <v>2.3600000000000001E-5</v>
      </c>
      <c r="AP246">
        <v>2.36</v>
      </c>
      <c r="AQ246" s="140">
        <f t="shared" si="86"/>
        <v>2.3599999999999994E-7</v>
      </c>
      <c r="AR246" s="140">
        <f t="shared" si="87"/>
        <v>4.7199999999999994E-7</v>
      </c>
      <c r="AS246" s="140">
        <f t="shared" si="88"/>
        <v>7.0800000000000004E-7</v>
      </c>
      <c r="AT246" s="140">
        <f t="shared" si="89"/>
        <v>9.4400000000000009E-7</v>
      </c>
      <c r="AU246" s="140">
        <f t="shared" si="90"/>
        <v>1.1800000000000001E-6</v>
      </c>
      <c r="AV246" s="157">
        <f t="shared" si="91"/>
        <v>1.2</v>
      </c>
      <c r="AW246" s="156">
        <f t="shared" si="92"/>
        <v>9.9999999999999995E-8</v>
      </c>
      <c r="AY246" s="140">
        <f t="shared" si="93"/>
        <v>2.3600000000000001E-5</v>
      </c>
      <c r="AZ246">
        <v>2.36</v>
      </c>
      <c r="BA246" s="140">
        <f t="shared" si="94"/>
        <v>2.3599999999999994E-7</v>
      </c>
      <c r="BB246" s="140">
        <f t="shared" si="95"/>
        <v>4.7199999999999994E-7</v>
      </c>
      <c r="BC246" s="140">
        <f t="shared" si="96"/>
        <v>7.0800000000000004E-7</v>
      </c>
      <c r="BD246" s="140">
        <f t="shared" si="97"/>
        <v>9.4400000000000009E-7</v>
      </c>
      <c r="BE246" s="140">
        <f t="shared" si="98"/>
        <v>1.1800000000000001E-6</v>
      </c>
      <c r="BF246" s="157">
        <f>IF(AY246&lt;$B$89*DATA!$H$1037,DATA!$H$1037,IF(AY246&gt;DATA!$H$1036*$B$89,DATA!$H$1036,1))</f>
        <v>1.2</v>
      </c>
      <c r="BG246" s="156">
        <f t="shared" si="99"/>
        <v>9.9999999999999995E-8</v>
      </c>
      <c r="BI246" s="140">
        <f t="shared" si="100"/>
        <v>2.3600000000000001E-5</v>
      </c>
      <c r="BJ246">
        <v>2.36</v>
      </c>
      <c r="BK246" s="140">
        <f t="shared" si="101"/>
        <v>2.3599999999999994E-7</v>
      </c>
      <c r="BL246" s="140">
        <f t="shared" si="102"/>
        <v>4.7199999999999994E-7</v>
      </c>
      <c r="BM246" s="140">
        <f t="shared" si="103"/>
        <v>7.0800000000000004E-7</v>
      </c>
      <c r="BN246" s="140">
        <f t="shared" si="104"/>
        <v>9.4400000000000009E-7</v>
      </c>
      <c r="BO246" s="140">
        <f t="shared" si="105"/>
        <v>1.1800000000000001E-6</v>
      </c>
      <c r="BP246" s="157">
        <f>IF(BI246&lt;$B$105*DATA!$H$1037,DATA!$H$1037,IF(BI246&gt;DATA!$H$1036*$B$105,DATA!$H$1036,1))</f>
        <v>1.2</v>
      </c>
      <c r="BQ246" s="156">
        <f t="shared" si="106"/>
        <v>9.9999999999999995E-8</v>
      </c>
    </row>
    <row r="247" spans="1:69">
      <c r="A247" s="140">
        <f t="shared" si="59"/>
        <v>2.3800000000000003E-5</v>
      </c>
      <c r="B247">
        <v>2.38</v>
      </c>
      <c r="C247" s="140">
        <f t="shared" si="108"/>
        <v>2.3799999999999996E-7</v>
      </c>
      <c r="D247" s="140">
        <f t="shared" si="108"/>
        <v>4.7599999999999997E-7</v>
      </c>
      <c r="E247" s="140">
        <f t="shared" si="108"/>
        <v>7.1400000000000007E-7</v>
      </c>
      <c r="F247" s="140">
        <f t="shared" si="108"/>
        <v>9.5200000000000016E-7</v>
      </c>
      <c r="G247" s="140">
        <f t="shared" si="108"/>
        <v>1.1900000000000003E-6</v>
      </c>
      <c r="H247" s="124">
        <f t="shared" si="60"/>
        <v>0.8</v>
      </c>
      <c r="I247" s="156">
        <f t="shared" si="61"/>
        <v>9.9999999999999995E-8</v>
      </c>
      <c r="K247" s="140">
        <f t="shared" si="62"/>
        <v>2.3800000000000003E-5</v>
      </c>
      <c r="L247">
        <v>2.38</v>
      </c>
      <c r="M247" s="140">
        <f t="shared" si="63"/>
        <v>2.3799999999999996E-7</v>
      </c>
      <c r="N247" s="140">
        <f t="shared" si="64"/>
        <v>4.7599999999999997E-7</v>
      </c>
      <c r="O247" s="140">
        <f t="shared" si="65"/>
        <v>7.1400000000000007E-7</v>
      </c>
      <c r="P247" s="140">
        <f t="shared" si="58"/>
        <v>9.5200000000000016E-7</v>
      </c>
      <c r="Q247" s="140">
        <f t="shared" si="66"/>
        <v>1.1900000000000003E-6</v>
      </c>
      <c r="R247" s="157">
        <f t="shared" si="67"/>
        <v>0.8</v>
      </c>
      <c r="S247" s="156">
        <f t="shared" si="68"/>
        <v>9.9999999999999995E-8</v>
      </c>
      <c r="U247" s="140">
        <f t="shared" si="69"/>
        <v>2.3800000000000003E-5</v>
      </c>
      <c r="V247">
        <v>2.38</v>
      </c>
      <c r="W247" s="140">
        <f t="shared" si="70"/>
        <v>2.3799999999999996E-7</v>
      </c>
      <c r="X247" s="140">
        <f t="shared" si="71"/>
        <v>4.7599999999999997E-7</v>
      </c>
      <c r="Y247" s="140">
        <f t="shared" si="72"/>
        <v>7.1400000000000007E-7</v>
      </c>
      <c r="Z247" s="140">
        <f t="shared" si="73"/>
        <v>9.5200000000000016E-7</v>
      </c>
      <c r="AA247" s="140">
        <f t="shared" si="74"/>
        <v>1.1900000000000003E-6</v>
      </c>
      <c r="AB247" s="157">
        <f t="shared" si="75"/>
        <v>0.8</v>
      </c>
      <c r="AC247" s="156">
        <f t="shared" si="76"/>
        <v>9.9999999999999995E-8</v>
      </c>
      <c r="AE247" s="140">
        <f t="shared" si="77"/>
        <v>2.3800000000000003E-5</v>
      </c>
      <c r="AF247">
        <v>2.38</v>
      </c>
      <c r="AG247" s="140">
        <f t="shared" si="78"/>
        <v>2.3799999999999996E-7</v>
      </c>
      <c r="AH247" s="140">
        <f t="shared" si="79"/>
        <v>4.7599999999999997E-7</v>
      </c>
      <c r="AI247" s="140">
        <f t="shared" si="80"/>
        <v>7.1400000000000007E-7</v>
      </c>
      <c r="AJ247" s="140">
        <f t="shared" si="81"/>
        <v>9.5200000000000016E-7</v>
      </c>
      <c r="AK247" s="140">
        <f t="shared" si="82"/>
        <v>1.1900000000000003E-6</v>
      </c>
      <c r="AL247" s="157">
        <f t="shared" si="83"/>
        <v>1.2</v>
      </c>
      <c r="AM247" s="156">
        <f t="shared" si="84"/>
        <v>9.9999999999999995E-8</v>
      </c>
      <c r="AO247" s="140">
        <f t="shared" si="85"/>
        <v>2.3800000000000003E-5</v>
      </c>
      <c r="AP247">
        <v>2.38</v>
      </c>
      <c r="AQ247" s="140">
        <f t="shared" si="86"/>
        <v>2.3799999999999996E-7</v>
      </c>
      <c r="AR247" s="140">
        <f t="shared" si="87"/>
        <v>4.7599999999999997E-7</v>
      </c>
      <c r="AS247" s="140">
        <f t="shared" si="88"/>
        <v>7.1400000000000007E-7</v>
      </c>
      <c r="AT247" s="140">
        <f t="shared" si="89"/>
        <v>9.5200000000000016E-7</v>
      </c>
      <c r="AU247" s="140">
        <f t="shared" si="90"/>
        <v>1.1900000000000003E-6</v>
      </c>
      <c r="AV247" s="157">
        <f t="shared" si="91"/>
        <v>1.2</v>
      </c>
      <c r="AW247" s="156">
        <f t="shared" si="92"/>
        <v>9.9999999999999995E-8</v>
      </c>
      <c r="AY247" s="140">
        <f t="shared" si="93"/>
        <v>2.3800000000000003E-5</v>
      </c>
      <c r="AZ247">
        <v>2.38</v>
      </c>
      <c r="BA247" s="140">
        <f t="shared" si="94"/>
        <v>2.3799999999999996E-7</v>
      </c>
      <c r="BB247" s="140">
        <f t="shared" si="95"/>
        <v>4.7599999999999997E-7</v>
      </c>
      <c r="BC247" s="140">
        <f t="shared" si="96"/>
        <v>7.1400000000000007E-7</v>
      </c>
      <c r="BD247" s="140">
        <f t="shared" si="97"/>
        <v>9.5200000000000016E-7</v>
      </c>
      <c r="BE247" s="140">
        <f t="shared" si="98"/>
        <v>1.1900000000000003E-6</v>
      </c>
      <c r="BF247" s="157">
        <f>IF(AY247&lt;$B$89*DATA!$H$1037,DATA!$H$1037,IF(AY247&gt;DATA!$H$1036*$B$89,DATA!$H$1036,1))</f>
        <v>1.2</v>
      </c>
      <c r="BG247" s="156">
        <f t="shared" si="99"/>
        <v>9.9999999999999995E-8</v>
      </c>
      <c r="BI247" s="140">
        <f t="shared" si="100"/>
        <v>2.3800000000000003E-5</v>
      </c>
      <c r="BJ247">
        <v>2.38</v>
      </c>
      <c r="BK247" s="140">
        <f t="shared" si="101"/>
        <v>2.3799999999999996E-7</v>
      </c>
      <c r="BL247" s="140">
        <f t="shared" si="102"/>
        <v>4.7599999999999997E-7</v>
      </c>
      <c r="BM247" s="140">
        <f t="shared" si="103"/>
        <v>7.1400000000000007E-7</v>
      </c>
      <c r="BN247" s="140">
        <f t="shared" si="104"/>
        <v>9.5200000000000016E-7</v>
      </c>
      <c r="BO247" s="140">
        <f t="shared" si="105"/>
        <v>1.1900000000000003E-6</v>
      </c>
      <c r="BP247" s="157">
        <f>IF(BI247&lt;$B$105*DATA!$H$1037,DATA!$H$1037,IF(BI247&gt;DATA!$H$1036*$B$105,DATA!$H$1036,1))</f>
        <v>1.2</v>
      </c>
      <c r="BQ247" s="156">
        <f t="shared" si="106"/>
        <v>9.9999999999999995E-8</v>
      </c>
    </row>
    <row r="248" spans="1:69">
      <c r="A248" s="140">
        <f t="shared" si="59"/>
        <v>2.4000000000000001E-5</v>
      </c>
      <c r="B248">
        <v>2.4</v>
      </c>
      <c r="C248" s="140">
        <f t="shared" si="108"/>
        <v>2.3999999999999993E-7</v>
      </c>
      <c r="D248" s="140">
        <f t="shared" si="108"/>
        <v>4.7999999999999996E-7</v>
      </c>
      <c r="E248" s="140">
        <f t="shared" si="108"/>
        <v>7.1999999999999999E-7</v>
      </c>
      <c r="F248" s="140">
        <f t="shared" si="108"/>
        <v>9.6000000000000013E-7</v>
      </c>
      <c r="G248" s="140">
        <f t="shared" si="108"/>
        <v>1.2000000000000002E-6</v>
      </c>
      <c r="H248" s="124">
        <f t="shared" si="60"/>
        <v>0.8</v>
      </c>
      <c r="I248" s="156">
        <f t="shared" si="61"/>
        <v>9.9999999999999995E-8</v>
      </c>
      <c r="K248" s="140">
        <f t="shared" si="62"/>
        <v>2.4000000000000001E-5</v>
      </c>
      <c r="L248">
        <v>2.4</v>
      </c>
      <c r="M248" s="140">
        <f t="shared" si="63"/>
        <v>2.3999999999999993E-7</v>
      </c>
      <c r="N248" s="140">
        <f t="shared" si="64"/>
        <v>4.7999999999999996E-7</v>
      </c>
      <c r="O248" s="140">
        <f t="shared" si="65"/>
        <v>7.1999999999999999E-7</v>
      </c>
      <c r="P248" s="140">
        <f t="shared" si="58"/>
        <v>9.6000000000000013E-7</v>
      </c>
      <c r="Q248" s="140">
        <f t="shared" si="66"/>
        <v>1.2000000000000002E-6</v>
      </c>
      <c r="R248" s="157">
        <f t="shared" si="67"/>
        <v>0.8</v>
      </c>
      <c r="S248" s="156">
        <f t="shared" si="68"/>
        <v>9.9999999999999995E-8</v>
      </c>
      <c r="U248" s="140">
        <f t="shared" si="69"/>
        <v>2.4000000000000001E-5</v>
      </c>
      <c r="V248">
        <v>2.4</v>
      </c>
      <c r="W248" s="140">
        <f t="shared" si="70"/>
        <v>2.3999999999999993E-7</v>
      </c>
      <c r="X248" s="140">
        <f t="shared" si="71"/>
        <v>4.7999999999999996E-7</v>
      </c>
      <c r="Y248" s="140">
        <f t="shared" si="72"/>
        <v>7.1999999999999999E-7</v>
      </c>
      <c r="Z248" s="140">
        <f t="shared" si="73"/>
        <v>9.6000000000000013E-7</v>
      </c>
      <c r="AA248" s="140">
        <f t="shared" si="74"/>
        <v>1.2000000000000002E-6</v>
      </c>
      <c r="AB248" s="157">
        <f t="shared" si="75"/>
        <v>0.8</v>
      </c>
      <c r="AC248" s="156">
        <f t="shared" si="76"/>
        <v>9.9999999999999995E-8</v>
      </c>
      <c r="AE248" s="140">
        <f t="shared" si="77"/>
        <v>2.4000000000000001E-5</v>
      </c>
      <c r="AF248">
        <v>2.4</v>
      </c>
      <c r="AG248" s="140">
        <f t="shared" si="78"/>
        <v>2.3999999999999993E-7</v>
      </c>
      <c r="AH248" s="140">
        <f t="shared" si="79"/>
        <v>4.7999999999999996E-7</v>
      </c>
      <c r="AI248" s="140">
        <f t="shared" si="80"/>
        <v>7.1999999999999999E-7</v>
      </c>
      <c r="AJ248" s="140">
        <f t="shared" si="81"/>
        <v>9.6000000000000013E-7</v>
      </c>
      <c r="AK248" s="140">
        <f t="shared" si="82"/>
        <v>1.2000000000000002E-6</v>
      </c>
      <c r="AL248" s="157">
        <f t="shared" si="83"/>
        <v>1.2</v>
      </c>
      <c r="AM248" s="156">
        <f t="shared" si="84"/>
        <v>9.9999999999999995E-8</v>
      </c>
      <c r="AO248" s="140">
        <f t="shared" si="85"/>
        <v>2.4000000000000001E-5</v>
      </c>
      <c r="AP248">
        <v>2.4</v>
      </c>
      <c r="AQ248" s="140">
        <f t="shared" si="86"/>
        <v>2.3999999999999993E-7</v>
      </c>
      <c r="AR248" s="140">
        <f t="shared" si="87"/>
        <v>4.7999999999999996E-7</v>
      </c>
      <c r="AS248" s="140">
        <f t="shared" si="88"/>
        <v>7.1999999999999999E-7</v>
      </c>
      <c r="AT248" s="140">
        <f t="shared" si="89"/>
        <v>9.6000000000000013E-7</v>
      </c>
      <c r="AU248" s="140">
        <f t="shared" si="90"/>
        <v>1.2000000000000002E-6</v>
      </c>
      <c r="AV248" s="157">
        <f t="shared" si="91"/>
        <v>1.2</v>
      </c>
      <c r="AW248" s="156">
        <f t="shared" si="92"/>
        <v>9.9999999999999995E-8</v>
      </c>
      <c r="AY248" s="140">
        <f t="shared" si="93"/>
        <v>2.4000000000000001E-5</v>
      </c>
      <c r="AZ248">
        <v>2.4</v>
      </c>
      <c r="BA248" s="140">
        <f t="shared" si="94"/>
        <v>2.3999999999999993E-7</v>
      </c>
      <c r="BB248" s="140">
        <f t="shared" si="95"/>
        <v>4.7999999999999996E-7</v>
      </c>
      <c r="BC248" s="140">
        <f t="shared" si="96"/>
        <v>7.1999999999999999E-7</v>
      </c>
      <c r="BD248" s="140">
        <f t="shared" si="97"/>
        <v>9.6000000000000013E-7</v>
      </c>
      <c r="BE248" s="140">
        <f t="shared" si="98"/>
        <v>1.2000000000000002E-6</v>
      </c>
      <c r="BF248" s="157">
        <f>IF(AY248&lt;$B$89*DATA!$H$1037,DATA!$H$1037,IF(AY248&gt;DATA!$H$1036*$B$89,DATA!$H$1036,1))</f>
        <v>1.2</v>
      </c>
      <c r="BG248" s="156">
        <f t="shared" si="99"/>
        <v>9.9999999999999995E-8</v>
      </c>
      <c r="BI248" s="140">
        <f t="shared" si="100"/>
        <v>2.4000000000000001E-5</v>
      </c>
      <c r="BJ248">
        <v>2.4</v>
      </c>
      <c r="BK248" s="140">
        <f t="shared" si="101"/>
        <v>2.3999999999999993E-7</v>
      </c>
      <c r="BL248" s="140">
        <f t="shared" si="102"/>
        <v>4.7999999999999996E-7</v>
      </c>
      <c r="BM248" s="140">
        <f t="shared" si="103"/>
        <v>7.1999999999999999E-7</v>
      </c>
      <c r="BN248" s="140">
        <f t="shared" si="104"/>
        <v>9.6000000000000013E-7</v>
      </c>
      <c r="BO248" s="140">
        <f t="shared" si="105"/>
        <v>1.2000000000000002E-6</v>
      </c>
      <c r="BP248" s="157">
        <f>IF(BI248&lt;$B$105*DATA!$H$1037,DATA!$H$1037,IF(BI248&gt;DATA!$H$1036*$B$105,DATA!$H$1036,1))</f>
        <v>1.2</v>
      </c>
      <c r="BQ248" s="156">
        <f t="shared" si="106"/>
        <v>9.9999999999999995E-8</v>
      </c>
    </row>
    <row r="249" spans="1:69">
      <c r="A249" s="140">
        <f t="shared" si="59"/>
        <v>2.4200000000000002E-5</v>
      </c>
      <c r="B249">
        <v>2.42</v>
      </c>
      <c r="C249" s="140">
        <f t="shared" si="108"/>
        <v>2.4199999999999992E-7</v>
      </c>
      <c r="D249" s="140">
        <f t="shared" si="108"/>
        <v>4.8399999999999994E-7</v>
      </c>
      <c r="E249" s="140">
        <f t="shared" si="108"/>
        <v>7.2600000000000002E-7</v>
      </c>
      <c r="F249" s="140">
        <f t="shared" si="108"/>
        <v>9.6800000000000009E-7</v>
      </c>
      <c r="G249" s="140">
        <f t="shared" si="108"/>
        <v>1.2100000000000003E-6</v>
      </c>
      <c r="H249" s="124">
        <f t="shared" si="60"/>
        <v>0.8</v>
      </c>
      <c r="I249" s="156">
        <f t="shared" si="61"/>
        <v>9.9999999999999995E-8</v>
      </c>
      <c r="K249" s="140">
        <f t="shared" si="62"/>
        <v>2.4200000000000002E-5</v>
      </c>
      <c r="L249">
        <v>2.42</v>
      </c>
      <c r="M249" s="140">
        <f t="shared" si="63"/>
        <v>2.4199999999999992E-7</v>
      </c>
      <c r="N249" s="140">
        <f t="shared" si="64"/>
        <v>4.8399999999999994E-7</v>
      </c>
      <c r="O249" s="140">
        <f t="shared" si="65"/>
        <v>7.2600000000000002E-7</v>
      </c>
      <c r="P249" s="140">
        <f t="shared" si="58"/>
        <v>9.6800000000000009E-7</v>
      </c>
      <c r="Q249" s="140">
        <f t="shared" si="66"/>
        <v>1.2100000000000003E-6</v>
      </c>
      <c r="R249" s="157">
        <f t="shared" si="67"/>
        <v>0.8</v>
      </c>
      <c r="S249" s="156">
        <f t="shared" si="68"/>
        <v>9.9999999999999995E-8</v>
      </c>
      <c r="U249" s="140">
        <f t="shared" si="69"/>
        <v>2.4200000000000002E-5</v>
      </c>
      <c r="V249">
        <v>2.42</v>
      </c>
      <c r="W249" s="140">
        <f t="shared" si="70"/>
        <v>2.4199999999999992E-7</v>
      </c>
      <c r="X249" s="140">
        <f t="shared" si="71"/>
        <v>4.8399999999999994E-7</v>
      </c>
      <c r="Y249" s="140">
        <f t="shared" si="72"/>
        <v>7.2600000000000002E-7</v>
      </c>
      <c r="Z249" s="140">
        <f t="shared" si="73"/>
        <v>9.6800000000000009E-7</v>
      </c>
      <c r="AA249" s="140">
        <f t="shared" si="74"/>
        <v>1.2100000000000003E-6</v>
      </c>
      <c r="AB249" s="157">
        <f t="shared" si="75"/>
        <v>0.8</v>
      </c>
      <c r="AC249" s="156">
        <f t="shared" si="76"/>
        <v>9.9999999999999995E-8</v>
      </c>
      <c r="AE249" s="140">
        <f t="shared" si="77"/>
        <v>2.4200000000000002E-5</v>
      </c>
      <c r="AF249">
        <v>2.42</v>
      </c>
      <c r="AG249" s="140">
        <f t="shared" si="78"/>
        <v>2.4199999999999992E-7</v>
      </c>
      <c r="AH249" s="140">
        <f t="shared" si="79"/>
        <v>4.8399999999999994E-7</v>
      </c>
      <c r="AI249" s="140">
        <f t="shared" si="80"/>
        <v>7.2600000000000002E-7</v>
      </c>
      <c r="AJ249" s="140">
        <f t="shared" si="81"/>
        <v>9.6800000000000009E-7</v>
      </c>
      <c r="AK249" s="140">
        <f t="shared" si="82"/>
        <v>1.2100000000000003E-6</v>
      </c>
      <c r="AL249" s="157">
        <f t="shared" si="83"/>
        <v>1.2</v>
      </c>
      <c r="AM249" s="156">
        <f t="shared" si="84"/>
        <v>9.9999999999999995E-8</v>
      </c>
      <c r="AO249" s="140">
        <f t="shared" si="85"/>
        <v>2.4200000000000002E-5</v>
      </c>
      <c r="AP249">
        <v>2.42</v>
      </c>
      <c r="AQ249" s="140">
        <f t="shared" si="86"/>
        <v>2.4199999999999992E-7</v>
      </c>
      <c r="AR249" s="140">
        <f t="shared" si="87"/>
        <v>4.8399999999999994E-7</v>
      </c>
      <c r="AS249" s="140">
        <f t="shared" si="88"/>
        <v>7.2600000000000002E-7</v>
      </c>
      <c r="AT249" s="140">
        <f t="shared" si="89"/>
        <v>9.6800000000000009E-7</v>
      </c>
      <c r="AU249" s="140">
        <f t="shared" si="90"/>
        <v>1.2100000000000003E-6</v>
      </c>
      <c r="AV249" s="157">
        <f t="shared" si="91"/>
        <v>1.2</v>
      </c>
      <c r="AW249" s="156">
        <f t="shared" si="92"/>
        <v>9.9999999999999995E-8</v>
      </c>
      <c r="AY249" s="140">
        <f t="shared" si="93"/>
        <v>2.4200000000000002E-5</v>
      </c>
      <c r="AZ249">
        <v>2.42</v>
      </c>
      <c r="BA249" s="140">
        <f t="shared" si="94"/>
        <v>2.4199999999999992E-7</v>
      </c>
      <c r="BB249" s="140">
        <f t="shared" si="95"/>
        <v>4.8399999999999994E-7</v>
      </c>
      <c r="BC249" s="140">
        <f t="shared" si="96"/>
        <v>7.2600000000000002E-7</v>
      </c>
      <c r="BD249" s="140">
        <f t="shared" si="97"/>
        <v>9.6800000000000009E-7</v>
      </c>
      <c r="BE249" s="140">
        <f t="shared" si="98"/>
        <v>1.2100000000000003E-6</v>
      </c>
      <c r="BF249" s="157">
        <f>IF(AY249&lt;$B$89*DATA!$H$1037,DATA!$H$1037,IF(AY249&gt;DATA!$H$1036*$B$89,DATA!$H$1036,1))</f>
        <v>1.2</v>
      </c>
      <c r="BG249" s="156">
        <f t="shared" si="99"/>
        <v>9.9999999999999995E-8</v>
      </c>
      <c r="BI249" s="140">
        <f t="shared" si="100"/>
        <v>2.4200000000000002E-5</v>
      </c>
      <c r="BJ249">
        <v>2.42</v>
      </c>
      <c r="BK249" s="140">
        <f t="shared" si="101"/>
        <v>2.4199999999999992E-7</v>
      </c>
      <c r="BL249" s="140">
        <f t="shared" si="102"/>
        <v>4.8399999999999994E-7</v>
      </c>
      <c r="BM249" s="140">
        <f t="shared" si="103"/>
        <v>7.2600000000000002E-7</v>
      </c>
      <c r="BN249" s="140">
        <f t="shared" si="104"/>
        <v>9.6800000000000009E-7</v>
      </c>
      <c r="BO249" s="140">
        <f t="shared" si="105"/>
        <v>1.2100000000000003E-6</v>
      </c>
      <c r="BP249" s="157">
        <f>IF(BI249&lt;$B$105*DATA!$H$1037,DATA!$H$1037,IF(BI249&gt;DATA!$H$1036*$B$105,DATA!$H$1036,1))</f>
        <v>1.2</v>
      </c>
      <c r="BQ249" s="156">
        <f t="shared" si="106"/>
        <v>9.9999999999999995E-8</v>
      </c>
    </row>
    <row r="250" spans="1:69">
      <c r="A250" s="140">
        <f t="shared" si="59"/>
        <v>2.44E-5</v>
      </c>
      <c r="B250">
        <v>2.44</v>
      </c>
      <c r="C250" s="140">
        <f t="shared" si="108"/>
        <v>2.4399999999999991E-7</v>
      </c>
      <c r="D250" s="140">
        <f t="shared" si="108"/>
        <v>4.8799999999999992E-7</v>
      </c>
      <c r="E250" s="140">
        <f t="shared" si="108"/>
        <v>7.3199999999999994E-7</v>
      </c>
      <c r="F250" s="140">
        <f t="shared" si="108"/>
        <v>9.7600000000000006E-7</v>
      </c>
      <c r="G250" s="140">
        <f t="shared" si="108"/>
        <v>1.2200000000000002E-6</v>
      </c>
      <c r="H250" s="124">
        <f t="shared" si="60"/>
        <v>0.8</v>
      </c>
      <c r="I250" s="156">
        <f t="shared" si="61"/>
        <v>9.9999999999999995E-8</v>
      </c>
      <c r="K250" s="140">
        <f t="shared" si="62"/>
        <v>2.44E-5</v>
      </c>
      <c r="L250">
        <v>2.44</v>
      </c>
      <c r="M250" s="140">
        <f t="shared" si="63"/>
        <v>2.4399999999999991E-7</v>
      </c>
      <c r="N250" s="140">
        <f t="shared" si="64"/>
        <v>4.8799999999999992E-7</v>
      </c>
      <c r="O250" s="140">
        <f t="shared" si="65"/>
        <v>7.3199999999999994E-7</v>
      </c>
      <c r="P250" s="140">
        <f t="shared" si="58"/>
        <v>9.7600000000000006E-7</v>
      </c>
      <c r="Q250" s="140">
        <f t="shared" si="66"/>
        <v>1.2200000000000002E-6</v>
      </c>
      <c r="R250" s="157">
        <f t="shared" si="67"/>
        <v>0.8</v>
      </c>
      <c r="S250" s="156">
        <f t="shared" si="68"/>
        <v>9.9999999999999995E-8</v>
      </c>
      <c r="U250" s="140">
        <f t="shared" si="69"/>
        <v>2.44E-5</v>
      </c>
      <c r="V250">
        <v>2.44</v>
      </c>
      <c r="W250" s="140">
        <f t="shared" si="70"/>
        <v>2.4399999999999991E-7</v>
      </c>
      <c r="X250" s="140">
        <f t="shared" si="71"/>
        <v>4.8799999999999992E-7</v>
      </c>
      <c r="Y250" s="140">
        <f t="shared" si="72"/>
        <v>7.3199999999999994E-7</v>
      </c>
      <c r="Z250" s="140">
        <f t="shared" si="73"/>
        <v>9.7600000000000006E-7</v>
      </c>
      <c r="AA250" s="140">
        <f t="shared" si="74"/>
        <v>1.2200000000000002E-6</v>
      </c>
      <c r="AB250" s="157">
        <f t="shared" si="75"/>
        <v>0.8</v>
      </c>
      <c r="AC250" s="156">
        <f t="shared" si="76"/>
        <v>9.9999999999999995E-8</v>
      </c>
      <c r="AE250" s="140">
        <f t="shared" si="77"/>
        <v>2.44E-5</v>
      </c>
      <c r="AF250">
        <v>2.44</v>
      </c>
      <c r="AG250" s="140">
        <f t="shared" si="78"/>
        <v>2.4399999999999991E-7</v>
      </c>
      <c r="AH250" s="140">
        <f t="shared" si="79"/>
        <v>4.8799999999999992E-7</v>
      </c>
      <c r="AI250" s="140">
        <f t="shared" si="80"/>
        <v>7.3199999999999994E-7</v>
      </c>
      <c r="AJ250" s="140">
        <f t="shared" si="81"/>
        <v>9.7600000000000006E-7</v>
      </c>
      <c r="AK250" s="140">
        <f t="shared" si="82"/>
        <v>1.2200000000000002E-6</v>
      </c>
      <c r="AL250" s="157">
        <f t="shared" si="83"/>
        <v>1.2</v>
      </c>
      <c r="AM250" s="156">
        <f t="shared" si="84"/>
        <v>9.9999999999999995E-8</v>
      </c>
      <c r="AO250" s="140">
        <f t="shared" si="85"/>
        <v>2.44E-5</v>
      </c>
      <c r="AP250">
        <v>2.44</v>
      </c>
      <c r="AQ250" s="140">
        <f t="shared" si="86"/>
        <v>2.4399999999999991E-7</v>
      </c>
      <c r="AR250" s="140">
        <f t="shared" si="87"/>
        <v>4.8799999999999992E-7</v>
      </c>
      <c r="AS250" s="140">
        <f t="shared" si="88"/>
        <v>7.3199999999999994E-7</v>
      </c>
      <c r="AT250" s="140">
        <f t="shared" si="89"/>
        <v>9.7600000000000006E-7</v>
      </c>
      <c r="AU250" s="140">
        <f t="shared" si="90"/>
        <v>1.2200000000000002E-6</v>
      </c>
      <c r="AV250" s="157">
        <f t="shared" si="91"/>
        <v>1.2</v>
      </c>
      <c r="AW250" s="156">
        <f t="shared" si="92"/>
        <v>9.9999999999999995E-8</v>
      </c>
      <c r="AY250" s="140">
        <f t="shared" si="93"/>
        <v>2.44E-5</v>
      </c>
      <c r="AZ250">
        <v>2.44</v>
      </c>
      <c r="BA250" s="140">
        <f t="shared" si="94"/>
        <v>2.4399999999999991E-7</v>
      </c>
      <c r="BB250" s="140">
        <f t="shared" si="95"/>
        <v>4.8799999999999992E-7</v>
      </c>
      <c r="BC250" s="140">
        <f t="shared" si="96"/>
        <v>7.3199999999999994E-7</v>
      </c>
      <c r="BD250" s="140">
        <f t="shared" si="97"/>
        <v>9.7600000000000006E-7</v>
      </c>
      <c r="BE250" s="140">
        <f t="shared" si="98"/>
        <v>1.2200000000000002E-6</v>
      </c>
      <c r="BF250" s="157">
        <f>IF(AY250&lt;$B$89*DATA!$H$1037,DATA!$H$1037,IF(AY250&gt;DATA!$H$1036*$B$89,DATA!$H$1036,1))</f>
        <v>1.2</v>
      </c>
      <c r="BG250" s="156">
        <f t="shared" si="99"/>
        <v>9.9999999999999995E-8</v>
      </c>
      <c r="BI250" s="140">
        <f t="shared" si="100"/>
        <v>2.44E-5</v>
      </c>
      <c r="BJ250">
        <v>2.44</v>
      </c>
      <c r="BK250" s="140">
        <f t="shared" si="101"/>
        <v>2.4399999999999991E-7</v>
      </c>
      <c r="BL250" s="140">
        <f t="shared" si="102"/>
        <v>4.8799999999999992E-7</v>
      </c>
      <c r="BM250" s="140">
        <f t="shared" si="103"/>
        <v>7.3199999999999994E-7</v>
      </c>
      <c r="BN250" s="140">
        <f t="shared" si="104"/>
        <v>9.7600000000000006E-7</v>
      </c>
      <c r="BO250" s="140">
        <f t="shared" si="105"/>
        <v>1.2200000000000002E-6</v>
      </c>
      <c r="BP250" s="157">
        <f>IF(BI250&lt;$B$105*DATA!$H$1037,DATA!$H$1037,IF(BI250&gt;DATA!$H$1036*$B$105,DATA!$H$1036,1))</f>
        <v>1.2</v>
      </c>
      <c r="BQ250" s="156">
        <f t="shared" si="106"/>
        <v>9.9999999999999995E-8</v>
      </c>
    </row>
    <row r="251" spans="1:69">
      <c r="A251" s="140">
        <f t="shared" si="59"/>
        <v>2.4600000000000002E-5</v>
      </c>
      <c r="B251">
        <v>2.46</v>
      </c>
      <c r="C251" s="140">
        <f t="shared" si="108"/>
        <v>2.4599999999999995E-7</v>
      </c>
      <c r="D251" s="140">
        <f t="shared" si="108"/>
        <v>4.9199999999999991E-7</v>
      </c>
      <c r="E251" s="140">
        <f t="shared" si="108"/>
        <v>7.3800000000000007E-7</v>
      </c>
      <c r="F251" s="140">
        <f t="shared" si="108"/>
        <v>9.8400000000000002E-7</v>
      </c>
      <c r="G251" s="140">
        <f t="shared" si="108"/>
        <v>1.2300000000000001E-6</v>
      </c>
      <c r="H251" s="124">
        <f t="shared" si="60"/>
        <v>0.8</v>
      </c>
      <c r="I251" s="156">
        <f t="shared" si="61"/>
        <v>9.9999999999999995E-8</v>
      </c>
      <c r="K251" s="140">
        <f t="shared" si="62"/>
        <v>2.4600000000000002E-5</v>
      </c>
      <c r="L251">
        <v>2.46</v>
      </c>
      <c r="M251" s="140">
        <f t="shared" si="63"/>
        <v>2.4599999999999995E-7</v>
      </c>
      <c r="N251" s="140">
        <f t="shared" si="64"/>
        <v>4.9199999999999991E-7</v>
      </c>
      <c r="O251" s="140">
        <f t="shared" si="65"/>
        <v>7.3800000000000007E-7</v>
      </c>
      <c r="P251" s="140">
        <f t="shared" si="58"/>
        <v>9.8400000000000002E-7</v>
      </c>
      <c r="Q251" s="140">
        <f t="shared" si="66"/>
        <v>1.2300000000000001E-6</v>
      </c>
      <c r="R251" s="157">
        <f t="shared" si="67"/>
        <v>0.8</v>
      </c>
      <c r="S251" s="156">
        <f t="shared" si="68"/>
        <v>9.9999999999999995E-8</v>
      </c>
      <c r="U251" s="140">
        <f t="shared" si="69"/>
        <v>2.4600000000000002E-5</v>
      </c>
      <c r="V251">
        <v>2.46</v>
      </c>
      <c r="W251" s="140">
        <f t="shared" si="70"/>
        <v>2.4599999999999995E-7</v>
      </c>
      <c r="X251" s="140">
        <f t="shared" si="71"/>
        <v>4.9199999999999991E-7</v>
      </c>
      <c r="Y251" s="140">
        <f t="shared" si="72"/>
        <v>7.3800000000000007E-7</v>
      </c>
      <c r="Z251" s="140">
        <f t="shared" si="73"/>
        <v>9.8400000000000002E-7</v>
      </c>
      <c r="AA251" s="140">
        <f t="shared" si="74"/>
        <v>1.2300000000000001E-6</v>
      </c>
      <c r="AB251" s="157">
        <f t="shared" si="75"/>
        <v>0.8</v>
      </c>
      <c r="AC251" s="156">
        <f t="shared" si="76"/>
        <v>9.9999999999999995E-8</v>
      </c>
      <c r="AE251" s="140">
        <f t="shared" si="77"/>
        <v>2.4600000000000002E-5</v>
      </c>
      <c r="AF251">
        <v>2.46</v>
      </c>
      <c r="AG251" s="140">
        <f t="shared" si="78"/>
        <v>2.4599999999999995E-7</v>
      </c>
      <c r="AH251" s="140">
        <f t="shared" si="79"/>
        <v>4.9199999999999991E-7</v>
      </c>
      <c r="AI251" s="140">
        <f t="shared" si="80"/>
        <v>7.3800000000000007E-7</v>
      </c>
      <c r="AJ251" s="140">
        <f t="shared" si="81"/>
        <v>9.8400000000000002E-7</v>
      </c>
      <c r="AK251" s="140">
        <f t="shared" si="82"/>
        <v>1.2300000000000001E-6</v>
      </c>
      <c r="AL251" s="157">
        <f t="shared" si="83"/>
        <v>1.2</v>
      </c>
      <c r="AM251" s="156">
        <f t="shared" si="84"/>
        <v>9.9999999999999995E-8</v>
      </c>
      <c r="AO251" s="140">
        <f t="shared" si="85"/>
        <v>2.4600000000000002E-5</v>
      </c>
      <c r="AP251">
        <v>2.46</v>
      </c>
      <c r="AQ251" s="140">
        <f t="shared" si="86"/>
        <v>2.4599999999999995E-7</v>
      </c>
      <c r="AR251" s="140">
        <f t="shared" si="87"/>
        <v>4.9199999999999991E-7</v>
      </c>
      <c r="AS251" s="140">
        <f t="shared" si="88"/>
        <v>7.3800000000000007E-7</v>
      </c>
      <c r="AT251" s="140">
        <f t="shared" si="89"/>
        <v>9.8400000000000002E-7</v>
      </c>
      <c r="AU251" s="140">
        <f t="shared" si="90"/>
        <v>1.2300000000000001E-6</v>
      </c>
      <c r="AV251" s="157">
        <f t="shared" si="91"/>
        <v>1.2</v>
      </c>
      <c r="AW251" s="156">
        <f t="shared" si="92"/>
        <v>9.9999999999999995E-8</v>
      </c>
      <c r="AY251" s="140">
        <f t="shared" si="93"/>
        <v>2.4600000000000002E-5</v>
      </c>
      <c r="AZ251">
        <v>2.46</v>
      </c>
      <c r="BA251" s="140">
        <f t="shared" si="94"/>
        <v>2.4599999999999995E-7</v>
      </c>
      <c r="BB251" s="140">
        <f t="shared" si="95"/>
        <v>4.9199999999999991E-7</v>
      </c>
      <c r="BC251" s="140">
        <f t="shared" si="96"/>
        <v>7.3800000000000007E-7</v>
      </c>
      <c r="BD251" s="140">
        <f t="shared" si="97"/>
        <v>9.8400000000000002E-7</v>
      </c>
      <c r="BE251" s="140">
        <f t="shared" si="98"/>
        <v>1.2300000000000001E-6</v>
      </c>
      <c r="BF251" s="157">
        <f>IF(AY251&lt;$B$89*DATA!$H$1037,DATA!$H$1037,IF(AY251&gt;DATA!$H$1036*$B$89,DATA!$H$1036,1))</f>
        <v>1.2</v>
      </c>
      <c r="BG251" s="156">
        <f t="shared" si="99"/>
        <v>9.9999999999999995E-8</v>
      </c>
      <c r="BI251" s="140">
        <f t="shared" si="100"/>
        <v>2.4600000000000002E-5</v>
      </c>
      <c r="BJ251">
        <v>2.46</v>
      </c>
      <c r="BK251" s="140">
        <f t="shared" si="101"/>
        <v>2.4599999999999995E-7</v>
      </c>
      <c r="BL251" s="140">
        <f t="shared" si="102"/>
        <v>4.9199999999999991E-7</v>
      </c>
      <c r="BM251" s="140">
        <f t="shared" si="103"/>
        <v>7.3800000000000007E-7</v>
      </c>
      <c r="BN251" s="140">
        <f t="shared" si="104"/>
        <v>9.8400000000000002E-7</v>
      </c>
      <c r="BO251" s="140">
        <f t="shared" si="105"/>
        <v>1.2300000000000001E-6</v>
      </c>
      <c r="BP251" s="157">
        <f>IF(BI251&lt;$B$105*DATA!$H$1037,DATA!$H$1037,IF(BI251&gt;DATA!$H$1036*$B$105,DATA!$H$1036,1))</f>
        <v>1.2</v>
      </c>
      <c r="BQ251" s="156">
        <f t="shared" si="106"/>
        <v>9.9999999999999995E-8</v>
      </c>
    </row>
    <row r="252" spans="1:69">
      <c r="A252" s="140">
        <f t="shared" si="59"/>
        <v>2.4800000000000003E-5</v>
      </c>
      <c r="B252">
        <v>2.48</v>
      </c>
      <c r="C252" s="140">
        <f t="shared" si="108"/>
        <v>2.4799999999999994E-7</v>
      </c>
      <c r="D252" s="140">
        <f t="shared" si="108"/>
        <v>4.9599999999999999E-7</v>
      </c>
      <c r="E252" s="140">
        <f t="shared" si="108"/>
        <v>7.440000000000001E-7</v>
      </c>
      <c r="F252" s="140">
        <f t="shared" si="108"/>
        <v>9.920000000000002E-7</v>
      </c>
      <c r="G252" s="140">
        <f t="shared" si="108"/>
        <v>1.2400000000000002E-6</v>
      </c>
      <c r="H252" s="124">
        <f t="shared" si="60"/>
        <v>0.8</v>
      </c>
      <c r="I252" s="156">
        <f t="shared" si="61"/>
        <v>9.9999999999999995E-8</v>
      </c>
      <c r="K252" s="140">
        <f t="shared" si="62"/>
        <v>2.4800000000000003E-5</v>
      </c>
      <c r="L252">
        <v>2.48</v>
      </c>
      <c r="M252" s="140">
        <f t="shared" si="63"/>
        <v>2.4799999999999994E-7</v>
      </c>
      <c r="N252" s="140">
        <f t="shared" si="64"/>
        <v>4.9599999999999999E-7</v>
      </c>
      <c r="O252" s="140">
        <f t="shared" si="65"/>
        <v>7.440000000000001E-7</v>
      </c>
      <c r="P252" s="140">
        <f t="shared" si="58"/>
        <v>9.920000000000002E-7</v>
      </c>
      <c r="Q252" s="140">
        <f t="shared" si="66"/>
        <v>1.2400000000000002E-6</v>
      </c>
      <c r="R252" s="157">
        <f t="shared" si="67"/>
        <v>0.8</v>
      </c>
      <c r="S252" s="156">
        <f t="shared" si="68"/>
        <v>9.9999999999999995E-8</v>
      </c>
      <c r="U252" s="140">
        <f t="shared" si="69"/>
        <v>2.4800000000000003E-5</v>
      </c>
      <c r="V252">
        <v>2.48</v>
      </c>
      <c r="W252" s="140">
        <f t="shared" si="70"/>
        <v>2.4799999999999994E-7</v>
      </c>
      <c r="X252" s="140">
        <f t="shared" si="71"/>
        <v>4.9599999999999999E-7</v>
      </c>
      <c r="Y252" s="140">
        <f t="shared" si="72"/>
        <v>7.440000000000001E-7</v>
      </c>
      <c r="Z252" s="140">
        <f t="shared" si="73"/>
        <v>9.920000000000002E-7</v>
      </c>
      <c r="AA252" s="140">
        <f t="shared" si="74"/>
        <v>1.2400000000000002E-6</v>
      </c>
      <c r="AB252" s="157">
        <f t="shared" si="75"/>
        <v>0.8</v>
      </c>
      <c r="AC252" s="156">
        <f t="shared" si="76"/>
        <v>9.9999999999999995E-8</v>
      </c>
      <c r="AE252" s="140">
        <f t="shared" si="77"/>
        <v>2.4800000000000003E-5</v>
      </c>
      <c r="AF252">
        <v>2.48</v>
      </c>
      <c r="AG252" s="140">
        <f t="shared" si="78"/>
        <v>2.4799999999999994E-7</v>
      </c>
      <c r="AH252" s="140">
        <f t="shared" si="79"/>
        <v>4.9599999999999999E-7</v>
      </c>
      <c r="AI252" s="140">
        <f t="shared" si="80"/>
        <v>7.440000000000001E-7</v>
      </c>
      <c r="AJ252" s="140">
        <f t="shared" si="81"/>
        <v>9.920000000000002E-7</v>
      </c>
      <c r="AK252" s="140">
        <f t="shared" si="82"/>
        <v>1.2400000000000002E-6</v>
      </c>
      <c r="AL252" s="157">
        <f t="shared" si="83"/>
        <v>1.2</v>
      </c>
      <c r="AM252" s="156">
        <f t="shared" si="84"/>
        <v>9.9999999999999995E-8</v>
      </c>
      <c r="AO252" s="140">
        <f t="shared" si="85"/>
        <v>2.4800000000000003E-5</v>
      </c>
      <c r="AP252">
        <v>2.48</v>
      </c>
      <c r="AQ252" s="140">
        <f t="shared" si="86"/>
        <v>2.4799999999999994E-7</v>
      </c>
      <c r="AR252" s="140">
        <f t="shared" si="87"/>
        <v>4.9599999999999999E-7</v>
      </c>
      <c r="AS252" s="140">
        <f t="shared" si="88"/>
        <v>7.440000000000001E-7</v>
      </c>
      <c r="AT252" s="140">
        <f t="shared" si="89"/>
        <v>9.920000000000002E-7</v>
      </c>
      <c r="AU252" s="140">
        <f t="shared" si="90"/>
        <v>1.2400000000000002E-6</v>
      </c>
      <c r="AV252" s="157">
        <f t="shared" si="91"/>
        <v>1.2</v>
      </c>
      <c r="AW252" s="156">
        <f t="shared" si="92"/>
        <v>9.9999999999999995E-8</v>
      </c>
      <c r="AY252" s="140">
        <f t="shared" si="93"/>
        <v>2.4800000000000003E-5</v>
      </c>
      <c r="AZ252">
        <v>2.48</v>
      </c>
      <c r="BA252" s="140">
        <f t="shared" si="94"/>
        <v>2.4799999999999994E-7</v>
      </c>
      <c r="BB252" s="140">
        <f t="shared" si="95"/>
        <v>4.9599999999999999E-7</v>
      </c>
      <c r="BC252" s="140">
        <f t="shared" si="96"/>
        <v>7.440000000000001E-7</v>
      </c>
      <c r="BD252" s="140">
        <f t="shared" si="97"/>
        <v>9.920000000000002E-7</v>
      </c>
      <c r="BE252" s="140">
        <f t="shared" si="98"/>
        <v>1.2400000000000002E-6</v>
      </c>
      <c r="BF252" s="157">
        <f>IF(AY252&lt;$B$89*DATA!$H$1037,DATA!$H$1037,IF(AY252&gt;DATA!$H$1036*$B$89,DATA!$H$1036,1))</f>
        <v>1.2</v>
      </c>
      <c r="BG252" s="156">
        <f t="shared" si="99"/>
        <v>9.9999999999999995E-8</v>
      </c>
      <c r="BI252" s="140">
        <f t="shared" si="100"/>
        <v>2.4800000000000003E-5</v>
      </c>
      <c r="BJ252">
        <v>2.48</v>
      </c>
      <c r="BK252" s="140">
        <f t="shared" si="101"/>
        <v>2.4799999999999994E-7</v>
      </c>
      <c r="BL252" s="140">
        <f t="shared" si="102"/>
        <v>4.9599999999999999E-7</v>
      </c>
      <c r="BM252" s="140">
        <f t="shared" si="103"/>
        <v>7.440000000000001E-7</v>
      </c>
      <c r="BN252" s="140">
        <f t="shared" si="104"/>
        <v>9.920000000000002E-7</v>
      </c>
      <c r="BO252" s="140">
        <f t="shared" si="105"/>
        <v>1.2400000000000002E-6</v>
      </c>
      <c r="BP252" s="157">
        <f>IF(BI252&lt;$B$105*DATA!$H$1037,DATA!$H$1037,IF(BI252&gt;DATA!$H$1036*$B$105,DATA!$H$1036,1))</f>
        <v>1.2</v>
      </c>
      <c r="BQ252" s="156">
        <f t="shared" si="106"/>
        <v>9.9999999999999995E-8</v>
      </c>
    </row>
    <row r="253" spans="1:69">
      <c r="A253" s="140">
        <f t="shared" si="59"/>
        <v>2.5000000000000001E-5</v>
      </c>
      <c r="B253">
        <v>2.5</v>
      </c>
      <c r="C253" s="140">
        <f t="shared" si="108"/>
        <v>2.4999999999999994E-7</v>
      </c>
      <c r="D253" s="140">
        <f t="shared" si="108"/>
        <v>4.9999999999999998E-7</v>
      </c>
      <c r="E253" s="140">
        <f t="shared" si="108"/>
        <v>7.5000000000000002E-7</v>
      </c>
      <c r="F253" s="140">
        <f t="shared" si="108"/>
        <v>1.0000000000000002E-6</v>
      </c>
      <c r="G253" s="140">
        <f t="shared" si="108"/>
        <v>1.2500000000000001E-6</v>
      </c>
      <c r="H253" s="124">
        <f t="shared" si="60"/>
        <v>0.8</v>
      </c>
      <c r="I253" s="156">
        <f t="shared" si="61"/>
        <v>9.9999999999999995E-8</v>
      </c>
      <c r="K253" s="140">
        <f t="shared" si="62"/>
        <v>2.5000000000000001E-5</v>
      </c>
      <c r="L253">
        <v>2.5</v>
      </c>
      <c r="M253" s="140">
        <f t="shared" si="63"/>
        <v>2.4999999999999994E-7</v>
      </c>
      <c r="N253" s="140">
        <f t="shared" si="64"/>
        <v>4.9999999999999998E-7</v>
      </c>
      <c r="O253" s="140">
        <f t="shared" si="65"/>
        <v>7.5000000000000002E-7</v>
      </c>
      <c r="P253" s="140">
        <f t="shared" si="58"/>
        <v>1.0000000000000002E-6</v>
      </c>
      <c r="Q253" s="140">
        <f t="shared" si="66"/>
        <v>1.2500000000000001E-6</v>
      </c>
      <c r="R253" s="157">
        <f t="shared" si="67"/>
        <v>0.8</v>
      </c>
      <c r="S253" s="156">
        <f t="shared" si="68"/>
        <v>9.9999999999999995E-8</v>
      </c>
      <c r="U253" s="140">
        <f t="shared" si="69"/>
        <v>2.5000000000000001E-5</v>
      </c>
      <c r="V253">
        <v>2.5</v>
      </c>
      <c r="W253" s="140">
        <f t="shared" si="70"/>
        <v>2.4999999999999994E-7</v>
      </c>
      <c r="X253" s="140">
        <f t="shared" si="71"/>
        <v>4.9999999999999998E-7</v>
      </c>
      <c r="Y253" s="140">
        <f t="shared" si="72"/>
        <v>7.5000000000000002E-7</v>
      </c>
      <c r="Z253" s="140">
        <f t="shared" si="73"/>
        <v>1.0000000000000002E-6</v>
      </c>
      <c r="AA253" s="140">
        <f t="shared" si="74"/>
        <v>1.2500000000000001E-6</v>
      </c>
      <c r="AB253" s="157">
        <f t="shared" si="75"/>
        <v>0.8</v>
      </c>
      <c r="AC253" s="156">
        <f t="shared" si="76"/>
        <v>9.9999999999999995E-8</v>
      </c>
      <c r="AE253" s="140">
        <f t="shared" si="77"/>
        <v>2.5000000000000001E-5</v>
      </c>
      <c r="AF253">
        <v>2.5</v>
      </c>
      <c r="AG253" s="140">
        <f t="shared" si="78"/>
        <v>2.4999999999999994E-7</v>
      </c>
      <c r="AH253" s="140">
        <f t="shared" si="79"/>
        <v>4.9999999999999998E-7</v>
      </c>
      <c r="AI253" s="140">
        <f t="shared" si="80"/>
        <v>7.5000000000000002E-7</v>
      </c>
      <c r="AJ253" s="140">
        <f t="shared" si="81"/>
        <v>1.0000000000000002E-6</v>
      </c>
      <c r="AK253" s="140">
        <f t="shared" si="82"/>
        <v>1.2500000000000001E-6</v>
      </c>
      <c r="AL253" s="157">
        <f t="shared" si="83"/>
        <v>1.2</v>
      </c>
      <c r="AM253" s="156">
        <f t="shared" si="84"/>
        <v>9.9999999999999995E-8</v>
      </c>
      <c r="AO253" s="140">
        <f t="shared" si="85"/>
        <v>2.5000000000000001E-5</v>
      </c>
      <c r="AP253">
        <v>2.5</v>
      </c>
      <c r="AQ253" s="140">
        <f t="shared" si="86"/>
        <v>2.4999999999999994E-7</v>
      </c>
      <c r="AR253" s="140">
        <f t="shared" si="87"/>
        <v>4.9999999999999998E-7</v>
      </c>
      <c r="AS253" s="140">
        <f t="shared" si="88"/>
        <v>7.5000000000000002E-7</v>
      </c>
      <c r="AT253" s="140">
        <f t="shared" si="89"/>
        <v>1.0000000000000002E-6</v>
      </c>
      <c r="AU253" s="140">
        <f t="shared" si="90"/>
        <v>1.2500000000000001E-6</v>
      </c>
      <c r="AV253" s="157">
        <f t="shared" si="91"/>
        <v>1.2</v>
      </c>
      <c r="AW253" s="156">
        <f t="shared" si="92"/>
        <v>9.9999999999999995E-8</v>
      </c>
      <c r="AY253" s="140">
        <f t="shared" si="93"/>
        <v>2.5000000000000001E-5</v>
      </c>
      <c r="AZ253">
        <v>2.5</v>
      </c>
      <c r="BA253" s="140">
        <f t="shared" si="94"/>
        <v>2.4999999999999994E-7</v>
      </c>
      <c r="BB253" s="140">
        <f t="shared" si="95"/>
        <v>4.9999999999999998E-7</v>
      </c>
      <c r="BC253" s="140">
        <f t="shared" si="96"/>
        <v>7.5000000000000002E-7</v>
      </c>
      <c r="BD253" s="140">
        <f t="shared" si="97"/>
        <v>1.0000000000000002E-6</v>
      </c>
      <c r="BE253" s="140">
        <f t="shared" si="98"/>
        <v>1.2500000000000001E-6</v>
      </c>
      <c r="BF253" s="157">
        <f>IF(AY253&lt;$B$89*DATA!$H$1037,DATA!$H$1037,IF(AY253&gt;DATA!$H$1036*$B$89,DATA!$H$1036,1))</f>
        <v>1.2</v>
      </c>
      <c r="BG253" s="156">
        <f t="shared" si="99"/>
        <v>9.9999999999999995E-8</v>
      </c>
      <c r="BI253" s="140">
        <f t="shared" si="100"/>
        <v>2.5000000000000001E-5</v>
      </c>
      <c r="BJ253">
        <v>2.5</v>
      </c>
      <c r="BK253" s="140">
        <f t="shared" si="101"/>
        <v>2.4999999999999994E-7</v>
      </c>
      <c r="BL253" s="140">
        <f t="shared" si="102"/>
        <v>4.9999999999999998E-7</v>
      </c>
      <c r="BM253" s="140">
        <f t="shared" si="103"/>
        <v>7.5000000000000002E-7</v>
      </c>
      <c r="BN253" s="140">
        <f t="shared" si="104"/>
        <v>1.0000000000000002E-6</v>
      </c>
      <c r="BO253" s="140">
        <f t="shared" si="105"/>
        <v>1.2500000000000001E-6</v>
      </c>
      <c r="BP253" s="157">
        <f>IF(BI253&lt;$B$105*DATA!$H$1037,DATA!$H$1037,IF(BI253&gt;DATA!$H$1036*$B$105,DATA!$H$1036,1))</f>
        <v>1.2</v>
      </c>
      <c r="BQ253" s="156">
        <f t="shared" si="106"/>
        <v>9.9999999999999995E-8</v>
      </c>
    </row>
    <row r="254" spans="1:69">
      <c r="A254" s="140">
        <f t="shared" si="59"/>
        <v>2.5200000000000003E-5</v>
      </c>
      <c r="B254">
        <v>2.52</v>
      </c>
      <c r="C254" s="140">
        <f t="shared" si="108"/>
        <v>2.5199999999999993E-7</v>
      </c>
      <c r="D254" s="140">
        <f t="shared" si="108"/>
        <v>5.0399999999999996E-7</v>
      </c>
      <c r="E254" s="140">
        <f t="shared" si="108"/>
        <v>7.5600000000000005E-7</v>
      </c>
      <c r="F254" s="140">
        <f t="shared" si="108"/>
        <v>1.0080000000000001E-6</v>
      </c>
      <c r="G254" s="140">
        <f t="shared" si="108"/>
        <v>1.2600000000000002E-6</v>
      </c>
      <c r="H254" s="124">
        <f t="shared" si="60"/>
        <v>0.8</v>
      </c>
      <c r="I254" s="156">
        <f t="shared" si="61"/>
        <v>9.9999999999999995E-8</v>
      </c>
      <c r="K254" s="140">
        <f t="shared" si="62"/>
        <v>2.5200000000000003E-5</v>
      </c>
      <c r="L254">
        <v>2.52</v>
      </c>
      <c r="M254" s="140">
        <f t="shared" si="63"/>
        <v>2.5199999999999993E-7</v>
      </c>
      <c r="N254" s="140">
        <f t="shared" si="64"/>
        <v>5.0399999999999996E-7</v>
      </c>
      <c r="O254" s="140">
        <f t="shared" si="65"/>
        <v>7.5600000000000005E-7</v>
      </c>
      <c r="P254" s="140">
        <f t="shared" si="58"/>
        <v>1.0080000000000001E-6</v>
      </c>
      <c r="Q254" s="140">
        <f t="shared" si="66"/>
        <v>1.2600000000000002E-6</v>
      </c>
      <c r="R254" s="157">
        <f t="shared" si="67"/>
        <v>0.8</v>
      </c>
      <c r="S254" s="156">
        <f t="shared" si="68"/>
        <v>9.9999999999999995E-8</v>
      </c>
      <c r="U254" s="140">
        <f t="shared" si="69"/>
        <v>2.5200000000000003E-5</v>
      </c>
      <c r="V254">
        <v>2.52</v>
      </c>
      <c r="W254" s="140">
        <f t="shared" si="70"/>
        <v>2.5199999999999993E-7</v>
      </c>
      <c r="X254" s="140">
        <f t="shared" si="71"/>
        <v>5.0399999999999996E-7</v>
      </c>
      <c r="Y254" s="140">
        <f t="shared" si="72"/>
        <v>7.5600000000000005E-7</v>
      </c>
      <c r="Z254" s="140">
        <f t="shared" si="73"/>
        <v>1.0080000000000001E-6</v>
      </c>
      <c r="AA254" s="140">
        <f t="shared" si="74"/>
        <v>1.2600000000000002E-6</v>
      </c>
      <c r="AB254" s="157">
        <f t="shared" si="75"/>
        <v>0.8</v>
      </c>
      <c r="AC254" s="156">
        <f t="shared" si="76"/>
        <v>9.9999999999999995E-8</v>
      </c>
      <c r="AE254" s="140">
        <f t="shared" si="77"/>
        <v>2.5200000000000003E-5</v>
      </c>
      <c r="AF254">
        <v>2.52</v>
      </c>
      <c r="AG254" s="140">
        <f t="shared" si="78"/>
        <v>2.5199999999999993E-7</v>
      </c>
      <c r="AH254" s="140">
        <f t="shared" si="79"/>
        <v>5.0399999999999996E-7</v>
      </c>
      <c r="AI254" s="140">
        <f t="shared" si="80"/>
        <v>7.5600000000000005E-7</v>
      </c>
      <c r="AJ254" s="140">
        <f t="shared" si="81"/>
        <v>1.0080000000000001E-6</v>
      </c>
      <c r="AK254" s="140">
        <f t="shared" si="82"/>
        <v>1.2600000000000002E-6</v>
      </c>
      <c r="AL254" s="157">
        <f t="shared" si="83"/>
        <v>1.2</v>
      </c>
      <c r="AM254" s="156">
        <f t="shared" si="84"/>
        <v>9.9999999999999995E-8</v>
      </c>
      <c r="AO254" s="140">
        <f t="shared" si="85"/>
        <v>2.5200000000000003E-5</v>
      </c>
      <c r="AP254">
        <v>2.52</v>
      </c>
      <c r="AQ254" s="140">
        <f t="shared" si="86"/>
        <v>2.5199999999999993E-7</v>
      </c>
      <c r="AR254" s="140">
        <f t="shared" si="87"/>
        <v>5.0399999999999996E-7</v>
      </c>
      <c r="AS254" s="140">
        <f t="shared" si="88"/>
        <v>7.5600000000000005E-7</v>
      </c>
      <c r="AT254" s="140">
        <f t="shared" si="89"/>
        <v>1.0080000000000001E-6</v>
      </c>
      <c r="AU254" s="140">
        <f t="shared" si="90"/>
        <v>1.2600000000000002E-6</v>
      </c>
      <c r="AV254" s="157">
        <f t="shared" si="91"/>
        <v>1.2</v>
      </c>
      <c r="AW254" s="156">
        <f t="shared" si="92"/>
        <v>9.9999999999999995E-8</v>
      </c>
      <c r="AY254" s="140">
        <f t="shared" si="93"/>
        <v>2.5200000000000003E-5</v>
      </c>
      <c r="AZ254">
        <v>2.52</v>
      </c>
      <c r="BA254" s="140">
        <f t="shared" si="94"/>
        <v>2.5199999999999993E-7</v>
      </c>
      <c r="BB254" s="140">
        <f t="shared" si="95"/>
        <v>5.0399999999999996E-7</v>
      </c>
      <c r="BC254" s="140">
        <f t="shared" si="96"/>
        <v>7.5600000000000005E-7</v>
      </c>
      <c r="BD254" s="140">
        <f t="shared" si="97"/>
        <v>1.0080000000000001E-6</v>
      </c>
      <c r="BE254" s="140">
        <f t="shared" si="98"/>
        <v>1.2600000000000002E-6</v>
      </c>
      <c r="BF254" s="157">
        <f>IF(AY254&lt;$B$89*DATA!$H$1037,DATA!$H$1037,IF(AY254&gt;DATA!$H$1036*$B$89,DATA!$H$1036,1))</f>
        <v>1.2</v>
      </c>
      <c r="BG254" s="156">
        <f t="shared" si="99"/>
        <v>9.9999999999999995E-8</v>
      </c>
      <c r="BI254" s="140">
        <f t="shared" si="100"/>
        <v>2.5200000000000003E-5</v>
      </c>
      <c r="BJ254">
        <v>2.52</v>
      </c>
      <c r="BK254" s="140">
        <f t="shared" si="101"/>
        <v>2.5199999999999993E-7</v>
      </c>
      <c r="BL254" s="140">
        <f t="shared" si="102"/>
        <v>5.0399999999999996E-7</v>
      </c>
      <c r="BM254" s="140">
        <f t="shared" si="103"/>
        <v>7.5600000000000005E-7</v>
      </c>
      <c r="BN254" s="140">
        <f t="shared" si="104"/>
        <v>1.0080000000000001E-6</v>
      </c>
      <c r="BO254" s="140">
        <f t="shared" si="105"/>
        <v>1.2600000000000002E-6</v>
      </c>
      <c r="BP254" s="157">
        <f>IF(BI254&lt;$B$105*DATA!$H$1037,DATA!$H$1037,IF(BI254&gt;DATA!$H$1036*$B$105,DATA!$H$1036,1))</f>
        <v>1.2</v>
      </c>
      <c r="BQ254" s="156">
        <f t="shared" si="106"/>
        <v>9.9999999999999995E-8</v>
      </c>
    </row>
    <row r="255" spans="1:69">
      <c r="A255" s="140">
        <f t="shared" si="59"/>
        <v>2.5400000000000001E-5</v>
      </c>
      <c r="B255">
        <v>2.54</v>
      </c>
      <c r="C255" s="140">
        <f t="shared" ref="C255:G270" si="109">C$142*$A255</f>
        <v>2.5399999999999992E-7</v>
      </c>
      <c r="D255" s="140">
        <f t="shared" si="109"/>
        <v>5.0799999999999994E-7</v>
      </c>
      <c r="E255" s="140">
        <f t="shared" si="109"/>
        <v>7.6199999999999997E-7</v>
      </c>
      <c r="F255" s="140">
        <f t="shared" si="109"/>
        <v>1.0160000000000001E-6</v>
      </c>
      <c r="G255" s="140">
        <f t="shared" si="109"/>
        <v>1.2700000000000001E-6</v>
      </c>
      <c r="H255" s="124">
        <f t="shared" si="60"/>
        <v>0.8</v>
      </c>
      <c r="I255" s="156">
        <f t="shared" si="61"/>
        <v>9.9999999999999995E-8</v>
      </c>
      <c r="K255" s="140">
        <f t="shared" si="62"/>
        <v>2.5400000000000001E-5</v>
      </c>
      <c r="L255">
        <v>2.54</v>
      </c>
      <c r="M255" s="140">
        <f t="shared" si="63"/>
        <v>2.5399999999999992E-7</v>
      </c>
      <c r="N255" s="140">
        <f t="shared" si="64"/>
        <v>5.0799999999999994E-7</v>
      </c>
      <c r="O255" s="140">
        <f t="shared" si="65"/>
        <v>7.6199999999999997E-7</v>
      </c>
      <c r="P255" s="140">
        <f t="shared" si="58"/>
        <v>1.0160000000000001E-6</v>
      </c>
      <c r="Q255" s="140">
        <f t="shared" si="66"/>
        <v>1.2700000000000001E-6</v>
      </c>
      <c r="R255" s="157">
        <f t="shared" si="67"/>
        <v>0.8</v>
      </c>
      <c r="S255" s="156">
        <f t="shared" si="68"/>
        <v>9.9999999999999995E-8</v>
      </c>
      <c r="U255" s="140">
        <f t="shared" si="69"/>
        <v>2.5400000000000001E-5</v>
      </c>
      <c r="V255">
        <v>2.54</v>
      </c>
      <c r="W255" s="140">
        <f t="shared" si="70"/>
        <v>2.5399999999999992E-7</v>
      </c>
      <c r="X255" s="140">
        <f t="shared" si="71"/>
        <v>5.0799999999999994E-7</v>
      </c>
      <c r="Y255" s="140">
        <f t="shared" si="72"/>
        <v>7.6199999999999997E-7</v>
      </c>
      <c r="Z255" s="140">
        <f t="shared" si="73"/>
        <v>1.0160000000000001E-6</v>
      </c>
      <c r="AA255" s="140">
        <f t="shared" si="74"/>
        <v>1.2700000000000001E-6</v>
      </c>
      <c r="AB255" s="157">
        <f t="shared" si="75"/>
        <v>0.8</v>
      </c>
      <c r="AC255" s="156">
        <f t="shared" si="76"/>
        <v>9.9999999999999995E-8</v>
      </c>
      <c r="AE255" s="140">
        <f t="shared" si="77"/>
        <v>2.5400000000000001E-5</v>
      </c>
      <c r="AF255">
        <v>2.54</v>
      </c>
      <c r="AG255" s="140">
        <f t="shared" si="78"/>
        <v>2.5399999999999992E-7</v>
      </c>
      <c r="AH255" s="140">
        <f t="shared" si="79"/>
        <v>5.0799999999999994E-7</v>
      </c>
      <c r="AI255" s="140">
        <f t="shared" si="80"/>
        <v>7.6199999999999997E-7</v>
      </c>
      <c r="AJ255" s="140">
        <f t="shared" si="81"/>
        <v>1.0160000000000001E-6</v>
      </c>
      <c r="AK255" s="140">
        <f t="shared" si="82"/>
        <v>1.2700000000000001E-6</v>
      </c>
      <c r="AL255" s="157">
        <f t="shared" si="83"/>
        <v>1.2</v>
      </c>
      <c r="AM255" s="156">
        <f t="shared" si="84"/>
        <v>9.9999999999999995E-8</v>
      </c>
      <c r="AO255" s="140">
        <f t="shared" si="85"/>
        <v>2.5400000000000001E-5</v>
      </c>
      <c r="AP255">
        <v>2.54</v>
      </c>
      <c r="AQ255" s="140">
        <f t="shared" si="86"/>
        <v>2.5399999999999992E-7</v>
      </c>
      <c r="AR255" s="140">
        <f t="shared" si="87"/>
        <v>5.0799999999999994E-7</v>
      </c>
      <c r="AS255" s="140">
        <f t="shared" si="88"/>
        <v>7.6199999999999997E-7</v>
      </c>
      <c r="AT255" s="140">
        <f t="shared" si="89"/>
        <v>1.0160000000000001E-6</v>
      </c>
      <c r="AU255" s="140">
        <f t="shared" si="90"/>
        <v>1.2700000000000001E-6</v>
      </c>
      <c r="AV255" s="157">
        <f t="shared" si="91"/>
        <v>1.2</v>
      </c>
      <c r="AW255" s="156">
        <f t="shared" si="92"/>
        <v>9.9999999999999995E-8</v>
      </c>
      <c r="AY255" s="140">
        <f t="shared" si="93"/>
        <v>2.5400000000000001E-5</v>
      </c>
      <c r="AZ255">
        <v>2.54</v>
      </c>
      <c r="BA255" s="140">
        <f t="shared" si="94"/>
        <v>2.5399999999999992E-7</v>
      </c>
      <c r="BB255" s="140">
        <f t="shared" si="95"/>
        <v>5.0799999999999994E-7</v>
      </c>
      <c r="BC255" s="140">
        <f t="shared" si="96"/>
        <v>7.6199999999999997E-7</v>
      </c>
      <c r="BD255" s="140">
        <f t="shared" si="97"/>
        <v>1.0160000000000001E-6</v>
      </c>
      <c r="BE255" s="140">
        <f t="shared" si="98"/>
        <v>1.2700000000000001E-6</v>
      </c>
      <c r="BF255" s="157">
        <f>IF(AY255&lt;$B$89*DATA!$H$1037,DATA!$H$1037,IF(AY255&gt;DATA!$H$1036*$B$89,DATA!$H$1036,1))</f>
        <v>1.2</v>
      </c>
      <c r="BG255" s="156">
        <f t="shared" si="99"/>
        <v>9.9999999999999995E-8</v>
      </c>
      <c r="BI255" s="140">
        <f t="shared" si="100"/>
        <v>2.5400000000000001E-5</v>
      </c>
      <c r="BJ255">
        <v>2.54</v>
      </c>
      <c r="BK255" s="140">
        <f t="shared" si="101"/>
        <v>2.5399999999999992E-7</v>
      </c>
      <c r="BL255" s="140">
        <f t="shared" si="102"/>
        <v>5.0799999999999994E-7</v>
      </c>
      <c r="BM255" s="140">
        <f t="shared" si="103"/>
        <v>7.6199999999999997E-7</v>
      </c>
      <c r="BN255" s="140">
        <f t="shared" si="104"/>
        <v>1.0160000000000001E-6</v>
      </c>
      <c r="BO255" s="140">
        <f t="shared" si="105"/>
        <v>1.2700000000000001E-6</v>
      </c>
      <c r="BP255" s="157">
        <f>IF(BI255&lt;$B$105*DATA!$H$1037,DATA!$H$1037,IF(BI255&gt;DATA!$H$1036*$B$105,DATA!$H$1036,1))</f>
        <v>1.2</v>
      </c>
      <c r="BQ255" s="156">
        <f t="shared" si="106"/>
        <v>9.9999999999999995E-8</v>
      </c>
    </row>
    <row r="256" spans="1:69">
      <c r="A256" s="140">
        <f t="shared" si="59"/>
        <v>2.5600000000000002E-5</v>
      </c>
      <c r="B256">
        <v>2.56</v>
      </c>
      <c r="C256" s="140">
        <f t="shared" si="109"/>
        <v>2.5599999999999996E-7</v>
      </c>
      <c r="D256" s="140">
        <f t="shared" si="109"/>
        <v>5.1199999999999993E-7</v>
      </c>
      <c r="E256" s="140">
        <f t="shared" si="109"/>
        <v>7.6799999999999999E-7</v>
      </c>
      <c r="F256" s="140">
        <f t="shared" si="109"/>
        <v>1.0240000000000001E-6</v>
      </c>
      <c r="G256" s="140">
        <f t="shared" si="109"/>
        <v>1.2800000000000002E-6</v>
      </c>
      <c r="H256" s="124">
        <f t="shared" si="60"/>
        <v>0.8</v>
      </c>
      <c r="I256" s="156">
        <f t="shared" si="61"/>
        <v>9.9999999999999995E-8</v>
      </c>
      <c r="K256" s="140">
        <f t="shared" si="62"/>
        <v>2.5600000000000002E-5</v>
      </c>
      <c r="L256">
        <v>2.56</v>
      </c>
      <c r="M256" s="140">
        <f t="shared" si="63"/>
        <v>2.5599999999999996E-7</v>
      </c>
      <c r="N256" s="140">
        <f t="shared" si="64"/>
        <v>5.1199999999999993E-7</v>
      </c>
      <c r="O256" s="140">
        <f t="shared" si="65"/>
        <v>7.6799999999999999E-7</v>
      </c>
      <c r="P256" s="140">
        <f t="shared" si="58"/>
        <v>1.0240000000000001E-6</v>
      </c>
      <c r="Q256" s="140">
        <f t="shared" si="66"/>
        <v>1.2800000000000002E-6</v>
      </c>
      <c r="R256" s="157">
        <f t="shared" si="67"/>
        <v>0.8</v>
      </c>
      <c r="S256" s="156">
        <f t="shared" si="68"/>
        <v>9.9999999999999995E-8</v>
      </c>
      <c r="U256" s="140">
        <f t="shared" si="69"/>
        <v>2.5600000000000002E-5</v>
      </c>
      <c r="V256">
        <v>2.56</v>
      </c>
      <c r="W256" s="140">
        <f t="shared" si="70"/>
        <v>2.5599999999999996E-7</v>
      </c>
      <c r="X256" s="140">
        <f t="shared" si="71"/>
        <v>5.1199999999999993E-7</v>
      </c>
      <c r="Y256" s="140">
        <f t="shared" si="72"/>
        <v>7.6799999999999999E-7</v>
      </c>
      <c r="Z256" s="140">
        <f t="shared" si="73"/>
        <v>1.0240000000000001E-6</v>
      </c>
      <c r="AA256" s="140">
        <f t="shared" si="74"/>
        <v>1.2800000000000002E-6</v>
      </c>
      <c r="AB256" s="157">
        <f t="shared" si="75"/>
        <v>0.8</v>
      </c>
      <c r="AC256" s="156">
        <f t="shared" si="76"/>
        <v>9.9999999999999995E-8</v>
      </c>
      <c r="AE256" s="140">
        <f t="shared" si="77"/>
        <v>2.5600000000000002E-5</v>
      </c>
      <c r="AF256">
        <v>2.56</v>
      </c>
      <c r="AG256" s="140">
        <f t="shared" si="78"/>
        <v>2.5599999999999996E-7</v>
      </c>
      <c r="AH256" s="140">
        <f t="shared" si="79"/>
        <v>5.1199999999999993E-7</v>
      </c>
      <c r="AI256" s="140">
        <f t="shared" si="80"/>
        <v>7.6799999999999999E-7</v>
      </c>
      <c r="AJ256" s="140">
        <f t="shared" si="81"/>
        <v>1.0240000000000001E-6</v>
      </c>
      <c r="AK256" s="140">
        <f t="shared" si="82"/>
        <v>1.2800000000000002E-6</v>
      </c>
      <c r="AL256" s="157">
        <f t="shared" si="83"/>
        <v>1.2</v>
      </c>
      <c r="AM256" s="156">
        <f t="shared" si="84"/>
        <v>9.9999999999999995E-8</v>
      </c>
      <c r="AO256" s="140">
        <f t="shared" si="85"/>
        <v>2.5600000000000002E-5</v>
      </c>
      <c r="AP256">
        <v>2.56</v>
      </c>
      <c r="AQ256" s="140">
        <f t="shared" si="86"/>
        <v>2.5599999999999996E-7</v>
      </c>
      <c r="AR256" s="140">
        <f t="shared" si="87"/>
        <v>5.1199999999999993E-7</v>
      </c>
      <c r="AS256" s="140">
        <f t="shared" si="88"/>
        <v>7.6799999999999999E-7</v>
      </c>
      <c r="AT256" s="140">
        <f t="shared" si="89"/>
        <v>1.0240000000000001E-6</v>
      </c>
      <c r="AU256" s="140">
        <f t="shared" si="90"/>
        <v>1.2800000000000002E-6</v>
      </c>
      <c r="AV256" s="157">
        <f t="shared" si="91"/>
        <v>1.2</v>
      </c>
      <c r="AW256" s="156">
        <f t="shared" si="92"/>
        <v>9.9999999999999995E-8</v>
      </c>
      <c r="AY256" s="140">
        <f t="shared" si="93"/>
        <v>2.5600000000000002E-5</v>
      </c>
      <c r="AZ256">
        <v>2.56</v>
      </c>
      <c r="BA256" s="140">
        <f t="shared" si="94"/>
        <v>2.5599999999999996E-7</v>
      </c>
      <c r="BB256" s="140">
        <f t="shared" si="95"/>
        <v>5.1199999999999993E-7</v>
      </c>
      <c r="BC256" s="140">
        <f t="shared" si="96"/>
        <v>7.6799999999999999E-7</v>
      </c>
      <c r="BD256" s="140">
        <f t="shared" si="97"/>
        <v>1.0240000000000001E-6</v>
      </c>
      <c r="BE256" s="140">
        <f t="shared" si="98"/>
        <v>1.2800000000000002E-6</v>
      </c>
      <c r="BF256" s="157">
        <f>IF(AY256&lt;$B$89*DATA!$H$1037,DATA!$H$1037,IF(AY256&gt;DATA!$H$1036*$B$89,DATA!$H$1036,1))</f>
        <v>1.2</v>
      </c>
      <c r="BG256" s="156">
        <f t="shared" si="99"/>
        <v>9.9999999999999995E-8</v>
      </c>
      <c r="BI256" s="140">
        <f t="shared" si="100"/>
        <v>2.5600000000000002E-5</v>
      </c>
      <c r="BJ256">
        <v>2.56</v>
      </c>
      <c r="BK256" s="140">
        <f t="shared" si="101"/>
        <v>2.5599999999999996E-7</v>
      </c>
      <c r="BL256" s="140">
        <f t="shared" si="102"/>
        <v>5.1199999999999993E-7</v>
      </c>
      <c r="BM256" s="140">
        <f t="shared" si="103"/>
        <v>7.6799999999999999E-7</v>
      </c>
      <c r="BN256" s="140">
        <f t="shared" si="104"/>
        <v>1.0240000000000001E-6</v>
      </c>
      <c r="BO256" s="140">
        <f t="shared" si="105"/>
        <v>1.2800000000000002E-6</v>
      </c>
      <c r="BP256" s="157">
        <f>IF(BI256&lt;$B$105*DATA!$H$1037,DATA!$H$1037,IF(BI256&gt;DATA!$H$1036*$B$105,DATA!$H$1036,1))</f>
        <v>1.2</v>
      </c>
      <c r="BQ256" s="156">
        <f t="shared" si="106"/>
        <v>9.9999999999999995E-8</v>
      </c>
    </row>
    <row r="257" spans="1:69">
      <c r="A257" s="140">
        <f t="shared" si="59"/>
        <v>2.5800000000000004E-5</v>
      </c>
      <c r="B257">
        <v>2.58</v>
      </c>
      <c r="C257" s="140">
        <f t="shared" si="109"/>
        <v>2.5799999999999995E-7</v>
      </c>
      <c r="D257" s="140">
        <f t="shared" si="109"/>
        <v>5.1600000000000001E-7</v>
      </c>
      <c r="E257" s="140">
        <f t="shared" si="109"/>
        <v>7.7400000000000013E-7</v>
      </c>
      <c r="F257" s="140">
        <f t="shared" si="109"/>
        <v>1.0320000000000002E-6</v>
      </c>
      <c r="G257" s="140">
        <f t="shared" si="109"/>
        <v>1.2900000000000004E-6</v>
      </c>
      <c r="H257" s="124">
        <f t="shared" si="60"/>
        <v>0.8</v>
      </c>
      <c r="I257" s="156">
        <f t="shared" si="61"/>
        <v>9.9999999999999995E-8</v>
      </c>
      <c r="K257" s="140">
        <f t="shared" si="62"/>
        <v>2.5800000000000004E-5</v>
      </c>
      <c r="L257">
        <v>2.58</v>
      </c>
      <c r="M257" s="140">
        <f t="shared" si="63"/>
        <v>2.5799999999999995E-7</v>
      </c>
      <c r="N257" s="140">
        <f t="shared" si="64"/>
        <v>5.1600000000000001E-7</v>
      </c>
      <c r="O257" s="140">
        <f t="shared" si="65"/>
        <v>7.7400000000000013E-7</v>
      </c>
      <c r="P257" s="140">
        <f t="shared" si="58"/>
        <v>1.0320000000000002E-6</v>
      </c>
      <c r="Q257" s="140">
        <f t="shared" si="66"/>
        <v>1.2900000000000004E-6</v>
      </c>
      <c r="R257" s="157">
        <f t="shared" si="67"/>
        <v>0.8</v>
      </c>
      <c r="S257" s="156">
        <f t="shared" si="68"/>
        <v>9.9999999999999995E-8</v>
      </c>
      <c r="U257" s="140">
        <f t="shared" si="69"/>
        <v>2.5800000000000004E-5</v>
      </c>
      <c r="V257">
        <v>2.58</v>
      </c>
      <c r="W257" s="140">
        <f t="shared" si="70"/>
        <v>2.5799999999999995E-7</v>
      </c>
      <c r="X257" s="140">
        <f t="shared" si="71"/>
        <v>5.1600000000000001E-7</v>
      </c>
      <c r="Y257" s="140">
        <f t="shared" si="72"/>
        <v>7.7400000000000013E-7</v>
      </c>
      <c r="Z257" s="140">
        <f t="shared" si="73"/>
        <v>1.0320000000000002E-6</v>
      </c>
      <c r="AA257" s="140">
        <f t="shared" si="74"/>
        <v>1.2900000000000004E-6</v>
      </c>
      <c r="AB257" s="157">
        <f t="shared" si="75"/>
        <v>0.8</v>
      </c>
      <c r="AC257" s="156">
        <f t="shared" si="76"/>
        <v>9.9999999999999995E-8</v>
      </c>
      <c r="AE257" s="140">
        <f t="shared" si="77"/>
        <v>2.5800000000000004E-5</v>
      </c>
      <c r="AF257">
        <v>2.58</v>
      </c>
      <c r="AG257" s="140">
        <f t="shared" si="78"/>
        <v>2.5799999999999995E-7</v>
      </c>
      <c r="AH257" s="140">
        <f t="shared" si="79"/>
        <v>5.1600000000000001E-7</v>
      </c>
      <c r="AI257" s="140">
        <f t="shared" si="80"/>
        <v>7.7400000000000013E-7</v>
      </c>
      <c r="AJ257" s="140">
        <f t="shared" si="81"/>
        <v>1.0320000000000002E-6</v>
      </c>
      <c r="AK257" s="140">
        <f t="shared" si="82"/>
        <v>1.2900000000000004E-6</v>
      </c>
      <c r="AL257" s="157">
        <f t="shared" si="83"/>
        <v>1.2</v>
      </c>
      <c r="AM257" s="156">
        <f t="shared" si="84"/>
        <v>9.9999999999999995E-8</v>
      </c>
      <c r="AO257" s="140">
        <f t="shared" si="85"/>
        <v>2.5800000000000004E-5</v>
      </c>
      <c r="AP257">
        <v>2.58</v>
      </c>
      <c r="AQ257" s="140">
        <f t="shared" si="86"/>
        <v>2.5799999999999995E-7</v>
      </c>
      <c r="AR257" s="140">
        <f t="shared" si="87"/>
        <v>5.1600000000000001E-7</v>
      </c>
      <c r="AS257" s="140">
        <f t="shared" si="88"/>
        <v>7.7400000000000013E-7</v>
      </c>
      <c r="AT257" s="140">
        <f t="shared" si="89"/>
        <v>1.0320000000000002E-6</v>
      </c>
      <c r="AU257" s="140">
        <f t="shared" si="90"/>
        <v>1.2900000000000004E-6</v>
      </c>
      <c r="AV257" s="157">
        <f t="shared" si="91"/>
        <v>1.2</v>
      </c>
      <c r="AW257" s="156">
        <f t="shared" si="92"/>
        <v>9.9999999999999995E-8</v>
      </c>
      <c r="AY257" s="140">
        <f t="shared" si="93"/>
        <v>2.5800000000000004E-5</v>
      </c>
      <c r="AZ257">
        <v>2.58</v>
      </c>
      <c r="BA257" s="140">
        <f t="shared" si="94"/>
        <v>2.5799999999999995E-7</v>
      </c>
      <c r="BB257" s="140">
        <f t="shared" si="95"/>
        <v>5.1600000000000001E-7</v>
      </c>
      <c r="BC257" s="140">
        <f t="shared" si="96"/>
        <v>7.7400000000000013E-7</v>
      </c>
      <c r="BD257" s="140">
        <f t="shared" si="97"/>
        <v>1.0320000000000002E-6</v>
      </c>
      <c r="BE257" s="140">
        <f t="shared" si="98"/>
        <v>1.2900000000000004E-6</v>
      </c>
      <c r="BF257" s="157">
        <f>IF(AY257&lt;$B$89*DATA!$H$1037,DATA!$H$1037,IF(AY257&gt;DATA!$H$1036*$B$89,DATA!$H$1036,1))</f>
        <v>1.2</v>
      </c>
      <c r="BG257" s="156">
        <f t="shared" si="99"/>
        <v>9.9999999999999995E-8</v>
      </c>
      <c r="BI257" s="140">
        <f t="shared" si="100"/>
        <v>2.5800000000000004E-5</v>
      </c>
      <c r="BJ257">
        <v>2.58</v>
      </c>
      <c r="BK257" s="140">
        <f t="shared" si="101"/>
        <v>2.5799999999999995E-7</v>
      </c>
      <c r="BL257" s="140">
        <f t="shared" si="102"/>
        <v>5.1600000000000001E-7</v>
      </c>
      <c r="BM257" s="140">
        <f t="shared" si="103"/>
        <v>7.7400000000000013E-7</v>
      </c>
      <c r="BN257" s="140">
        <f t="shared" si="104"/>
        <v>1.0320000000000002E-6</v>
      </c>
      <c r="BO257" s="140">
        <f t="shared" si="105"/>
        <v>1.2900000000000004E-6</v>
      </c>
      <c r="BP257" s="157">
        <f>IF(BI257&lt;$B$105*DATA!$H$1037,DATA!$H$1037,IF(BI257&gt;DATA!$H$1036*$B$105,DATA!$H$1036,1))</f>
        <v>1.2</v>
      </c>
      <c r="BQ257" s="156">
        <f t="shared" si="106"/>
        <v>9.9999999999999995E-8</v>
      </c>
    </row>
    <row r="258" spans="1:69">
      <c r="A258" s="140">
        <f t="shared" si="59"/>
        <v>2.6000000000000002E-5</v>
      </c>
      <c r="B258">
        <v>2.6</v>
      </c>
      <c r="C258" s="140">
        <f t="shared" si="109"/>
        <v>2.5999999999999995E-7</v>
      </c>
      <c r="D258" s="140">
        <f t="shared" si="109"/>
        <v>5.2E-7</v>
      </c>
      <c r="E258" s="140">
        <f t="shared" si="109"/>
        <v>7.8000000000000005E-7</v>
      </c>
      <c r="F258" s="140">
        <f t="shared" si="109"/>
        <v>1.04E-6</v>
      </c>
      <c r="G258" s="140">
        <f t="shared" si="109"/>
        <v>1.3000000000000003E-6</v>
      </c>
      <c r="H258" s="124">
        <f t="shared" si="60"/>
        <v>0.8</v>
      </c>
      <c r="I258" s="156">
        <f t="shared" si="61"/>
        <v>9.9999999999999995E-8</v>
      </c>
      <c r="K258" s="140">
        <f t="shared" si="62"/>
        <v>2.6000000000000002E-5</v>
      </c>
      <c r="L258">
        <v>2.6</v>
      </c>
      <c r="M258" s="140">
        <f t="shared" si="63"/>
        <v>2.5999999999999995E-7</v>
      </c>
      <c r="N258" s="140">
        <f t="shared" si="64"/>
        <v>5.2E-7</v>
      </c>
      <c r="O258" s="140">
        <f t="shared" si="65"/>
        <v>7.8000000000000005E-7</v>
      </c>
      <c r="P258" s="140">
        <f t="shared" si="58"/>
        <v>1.04E-6</v>
      </c>
      <c r="Q258" s="140">
        <f t="shared" si="66"/>
        <v>1.3000000000000003E-6</v>
      </c>
      <c r="R258" s="157">
        <f t="shared" si="67"/>
        <v>0.8</v>
      </c>
      <c r="S258" s="156">
        <f t="shared" si="68"/>
        <v>9.9999999999999995E-8</v>
      </c>
      <c r="U258" s="140">
        <f t="shared" si="69"/>
        <v>2.6000000000000002E-5</v>
      </c>
      <c r="V258">
        <v>2.6</v>
      </c>
      <c r="W258" s="140">
        <f t="shared" si="70"/>
        <v>2.5999999999999995E-7</v>
      </c>
      <c r="X258" s="140">
        <f t="shared" si="71"/>
        <v>5.2E-7</v>
      </c>
      <c r="Y258" s="140">
        <f t="shared" si="72"/>
        <v>7.8000000000000005E-7</v>
      </c>
      <c r="Z258" s="140">
        <f t="shared" si="73"/>
        <v>1.04E-6</v>
      </c>
      <c r="AA258" s="140">
        <f t="shared" si="74"/>
        <v>1.3000000000000003E-6</v>
      </c>
      <c r="AB258" s="157">
        <f t="shared" si="75"/>
        <v>0.8</v>
      </c>
      <c r="AC258" s="156">
        <f t="shared" si="76"/>
        <v>9.9999999999999995E-8</v>
      </c>
      <c r="AE258" s="140">
        <f t="shared" si="77"/>
        <v>2.6000000000000002E-5</v>
      </c>
      <c r="AF258">
        <v>2.6</v>
      </c>
      <c r="AG258" s="140">
        <f t="shared" si="78"/>
        <v>2.5999999999999995E-7</v>
      </c>
      <c r="AH258" s="140">
        <f t="shared" si="79"/>
        <v>5.2E-7</v>
      </c>
      <c r="AI258" s="140">
        <f t="shared" si="80"/>
        <v>7.8000000000000005E-7</v>
      </c>
      <c r="AJ258" s="140">
        <f t="shared" si="81"/>
        <v>1.04E-6</v>
      </c>
      <c r="AK258" s="140">
        <f t="shared" si="82"/>
        <v>1.3000000000000003E-6</v>
      </c>
      <c r="AL258" s="157">
        <f t="shared" si="83"/>
        <v>1.2</v>
      </c>
      <c r="AM258" s="156">
        <f t="shared" si="84"/>
        <v>9.9999999999999995E-8</v>
      </c>
      <c r="AO258" s="140">
        <f t="shared" si="85"/>
        <v>2.6000000000000002E-5</v>
      </c>
      <c r="AP258">
        <v>2.6</v>
      </c>
      <c r="AQ258" s="140">
        <f t="shared" si="86"/>
        <v>2.5999999999999995E-7</v>
      </c>
      <c r="AR258" s="140">
        <f t="shared" si="87"/>
        <v>5.2E-7</v>
      </c>
      <c r="AS258" s="140">
        <f t="shared" si="88"/>
        <v>7.8000000000000005E-7</v>
      </c>
      <c r="AT258" s="140">
        <f t="shared" si="89"/>
        <v>1.04E-6</v>
      </c>
      <c r="AU258" s="140">
        <f t="shared" si="90"/>
        <v>1.3000000000000003E-6</v>
      </c>
      <c r="AV258" s="157">
        <f t="shared" si="91"/>
        <v>1.2</v>
      </c>
      <c r="AW258" s="156">
        <f t="shared" si="92"/>
        <v>9.9999999999999995E-8</v>
      </c>
      <c r="AY258" s="140">
        <f t="shared" si="93"/>
        <v>2.6000000000000002E-5</v>
      </c>
      <c r="AZ258">
        <v>2.6</v>
      </c>
      <c r="BA258" s="140">
        <f t="shared" si="94"/>
        <v>2.5999999999999995E-7</v>
      </c>
      <c r="BB258" s="140">
        <f t="shared" si="95"/>
        <v>5.2E-7</v>
      </c>
      <c r="BC258" s="140">
        <f t="shared" si="96"/>
        <v>7.8000000000000005E-7</v>
      </c>
      <c r="BD258" s="140">
        <f t="shared" si="97"/>
        <v>1.04E-6</v>
      </c>
      <c r="BE258" s="140">
        <f t="shared" si="98"/>
        <v>1.3000000000000003E-6</v>
      </c>
      <c r="BF258" s="157">
        <f>IF(AY258&lt;$B$89*DATA!$H$1037,DATA!$H$1037,IF(AY258&gt;DATA!$H$1036*$B$89,DATA!$H$1036,1))</f>
        <v>1.2</v>
      </c>
      <c r="BG258" s="156">
        <f t="shared" si="99"/>
        <v>9.9999999999999995E-8</v>
      </c>
      <c r="BI258" s="140">
        <f t="shared" si="100"/>
        <v>2.6000000000000002E-5</v>
      </c>
      <c r="BJ258">
        <v>2.6</v>
      </c>
      <c r="BK258" s="140">
        <f t="shared" si="101"/>
        <v>2.5999999999999995E-7</v>
      </c>
      <c r="BL258" s="140">
        <f t="shared" si="102"/>
        <v>5.2E-7</v>
      </c>
      <c r="BM258" s="140">
        <f t="shared" si="103"/>
        <v>7.8000000000000005E-7</v>
      </c>
      <c r="BN258" s="140">
        <f t="shared" si="104"/>
        <v>1.04E-6</v>
      </c>
      <c r="BO258" s="140">
        <f t="shared" si="105"/>
        <v>1.3000000000000003E-6</v>
      </c>
      <c r="BP258" s="157">
        <f>IF(BI258&lt;$B$105*DATA!$H$1037,DATA!$H$1037,IF(BI258&gt;DATA!$H$1036*$B$105,DATA!$H$1036,1))</f>
        <v>1.2</v>
      </c>
      <c r="BQ258" s="156">
        <f t="shared" si="106"/>
        <v>9.9999999999999995E-8</v>
      </c>
    </row>
    <row r="259" spans="1:69">
      <c r="A259" s="140">
        <f t="shared" si="59"/>
        <v>2.6200000000000003E-5</v>
      </c>
      <c r="B259">
        <v>2.62</v>
      </c>
      <c r="C259" s="140">
        <f t="shared" si="109"/>
        <v>2.6199999999999994E-7</v>
      </c>
      <c r="D259" s="140">
        <f t="shared" si="109"/>
        <v>5.2399999999999998E-7</v>
      </c>
      <c r="E259" s="140">
        <f t="shared" si="109"/>
        <v>7.8600000000000008E-7</v>
      </c>
      <c r="F259" s="140">
        <f t="shared" si="109"/>
        <v>1.0480000000000002E-6</v>
      </c>
      <c r="G259" s="140">
        <f t="shared" si="109"/>
        <v>1.3100000000000002E-6</v>
      </c>
      <c r="H259" s="124">
        <f t="shared" si="60"/>
        <v>0.8</v>
      </c>
      <c r="I259" s="156">
        <f t="shared" si="61"/>
        <v>9.9999999999999995E-8</v>
      </c>
      <c r="K259" s="140">
        <f t="shared" si="62"/>
        <v>2.6200000000000003E-5</v>
      </c>
      <c r="L259">
        <v>2.62</v>
      </c>
      <c r="M259" s="140">
        <f t="shared" si="63"/>
        <v>2.6199999999999994E-7</v>
      </c>
      <c r="N259" s="140">
        <f t="shared" si="64"/>
        <v>5.2399999999999998E-7</v>
      </c>
      <c r="O259" s="140">
        <f t="shared" si="65"/>
        <v>7.8600000000000008E-7</v>
      </c>
      <c r="P259" s="140">
        <f t="shared" si="58"/>
        <v>1.0480000000000002E-6</v>
      </c>
      <c r="Q259" s="140">
        <f t="shared" si="66"/>
        <v>1.3100000000000002E-6</v>
      </c>
      <c r="R259" s="157">
        <f t="shared" si="67"/>
        <v>0.8</v>
      </c>
      <c r="S259" s="156">
        <f t="shared" si="68"/>
        <v>9.9999999999999995E-8</v>
      </c>
      <c r="U259" s="140">
        <f t="shared" si="69"/>
        <v>2.6200000000000003E-5</v>
      </c>
      <c r="V259">
        <v>2.62</v>
      </c>
      <c r="W259" s="140">
        <f t="shared" si="70"/>
        <v>2.6199999999999994E-7</v>
      </c>
      <c r="X259" s="140">
        <f t="shared" si="71"/>
        <v>5.2399999999999998E-7</v>
      </c>
      <c r="Y259" s="140">
        <f t="shared" si="72"/>
        <v>7.8600000000000008E-7</v>
      </c>
      <c r="Z259" s="140">
        <f t="shared" si="73"/>
        <v>1.0480000000000002E-6</v>
      </c>
      <c r="AA259" s="140">
        <f t="shared" si="74"/>
        <v>1.3100000000000002E-6</v>
      </c>
      <c r="AB259" s="157">
        <f t="shared" si="75"/>
        <v>0.8</v>
      </c>
      <c r="AC259" s="156">
        <f t="shared" si="76"/>
        <v>9.9999999999999995E-8</v>
      </c>
      <c r="AE259" s="140">
        <f t="shared" si="77"/>
        <v>2.6200000000000003E-5</v>
      </c>
      <c r="AF259">
        <v>2.62</v>
      </c>
      <c r="AG259" s="140">
        <f t="shared" si="78"/>
        <v>2.6199999999999994E-7</v>
      </c>
      <c r="AH259" s="140">
        <f t="shared" si="79"/>
        <v>5.2399999999999998E-7</v>
      </c>
      <c r="AI259" s="140">
        <f t="shared" si="80"/>
        <v>7.8600000000000008E-7</v>
      </c>
      <c r="AJ259" s="140">
        <f t="shared" si="81"/>
        <v>1.0480000000000002E-6</v>
      </c>
      <c r="AK259" s="140">
        <f t="shared" si="82"/>
        <v>1.3100000000000002E-6</v>
      </c>
      <c r="AL259" s="157">
        <f t="shared" si="83"/>
        <v>1.2</v>
      </c>
      <c r="AM259" s="156">
        <f t="shared" si="84"/>
        <v>9.9999999999999995E-8</v>
      </c>
      <c r="AO259" s="140">
        <f t="shared" si="85"/>
        <v>2.6200000000000003E-5</v>
      </c>
      <c r="AP259">
        <v>2.62</v>
      </c>
      <c r="AQ259" s="140">
        <f t="shared" si="86"/>
        <v>2.6199999999999994E-7</v>
      </c>
      <c r="AR259" s="140">
        <f t="shared" si="87"/>
        <v>5.2399999999999998E-7</v>
      </c>
      <c r="AS259" s="140">
        <f t="shared" si="88"/>
        <v>7.8600000000000008E-7</v>
      </c>
      <c r="AT259" s="140">
        <f t="shared" si="89"/>
        <v>1.0480000000000002E-6</v>
      </c>
      <c r="AU259" s="140">
        <f t="shared" si="90"/>
        <v>1.3100000000000002E-6</v>
      </c>
      <c r="AV259" s="157">
        <f t="shared" si="91"/>
        <v>1.2</v>
      </c>
      <c r="AW259" s="156">
        <f t="shared" si="92"/>
        <v>9.9999999999999995E-8</v>
      </c>
      <c r="AY259" s="140">
        <f t="shared" si="93"/>
        <v>2.6200000000000003E-5</v>
      </c>
      <c r="AZ259">
        <v>2.62</v>
      </c>
      <c r="BA259" s="140">
        <f t="shared" si="94"/>
        <v>2.6199999999999994E-7</v>
      </c>
      <c r="BB259" s="140">
        <f t="shared" si="95"/>
        <v>5.2399999999999998E-7</v>
      </c>
      <c r="BC259" s="140">
        <f t="shared" si="96"/>
        <v>7.8600000000000008E-7</v>
      </c>
      <c r="BD259" s="140">
        <f t="shared" si="97"/>
        <v>1.0480000000000002E-6</v>
      </c>
      <c r="BE259" s="140">
        <f t="shared" si="98"/>
        <v>1.3100000000000002E-6</v>
      </c>
      <c r="BF259" s="157">
        <f>IF(AY259&lt;$B$89*DATA!$H$1037,DATA!$H$1037,IF(AY259&gt;DATA!$H$1036*$B$89,DATA!$H$1036,1))</f>
        <v>1.2</v>
      </c>
      <c r="BG259" s="156">
        <f t="shared" si="99"/>
        <v>9.9999999999999995E-8</v>
      </c>
      <c r="BI259" s="140">
        <f t="shared" si="100"/>
        <v>2.6200000000000003E-5</v>
      </c>
      <c r="BJ259">
        <v>2.62</v>
      </c>
      <c r="BK259" s="140">
        <f t="shared" si="101"/>
        <v>2.6199999999999994E-7</v>
      </c>
      <c r="BL259" s="140">
        <f t="shared" si="102"/>
        <v>5.2399999999999998E-7</v>
      </c>
      <c r="BM259" s="140">
        <f t="shared" si="103"/>
        <v>7.8600000000000008E-7</v>
      </c>
      <c r="BN259" s="140">
        <f t="shared" si="104"/>
        <v>1.0480000000000002E-6</v>
      </c>
      <c r="BO259" s="140">
        <f t="shared" si="105"/>
        <v>1.3100000000000002E-6</v>
      </c>
      <c r="BP259" s="157">
        <f>IF(BI259&lt;$B$105*DATA!$H$1037,DATA!$H$1037,IF(BI259&gt;DATA!$H$1036*$B$105,DATA!$H$1036,1))</f>
        <v>1.2</v>
      </c>
      <c r="BQ259" s="156">
        <f t="shared" si="106"/>
        <v>9.9999999999999995E-8</v>
      </c>
    </row>
    <row r="260" spans="1:69">
      <c r="A260" s="140">
        <f t="shared" si="59"/>
        <v>2.6400000000000005E-5</v>
      </c>
      <c r="B260">
        <v>2.64</v>
      </c>
      <c r="C260" s="140">
        <f t="shared" si="109"/>
        <v>2.6399999999999998E-7</v>
      </c>
      <c r="D260" s="140">
        <f t="shared" si="109"/>
        <v>5.2799999999999996E-7</v>
      </c>
      <c r="E260" s="140">
        <f t="shared" si="109"/>
        <v>7.920000000000001E-7</v>
      </c>
      <c r="F260" s="140">
        <f t="shared" si="109"/>
        <v>1.0560000000000001E-6</v>
      </c>
      <c r="G260" s="140">
        <f t="shared" si="109"/>
        <v>1.3200000000000003E-6</v>
      </c>
      <c r="H260" s="124">
        <f t="shared" si="60"/>
        <v>0.8</v>
      </c>
      <c r="I260" s="156">
        <f t="shared" si="61"/>
        <v>9.9999999999999995E-8</v>
      </c>
      <c r="K260" s="140">
        <f t="shared" si="62"/>
        <v>2.6400000000000005E-5</v>
      </c>
      <c r="L260">
        <v>2.64</v>
      </c>
      <c r="M260" s="140">
        <f t="shared" si="63"/>
        <v>2.6399999999999998E-7</v>
      </c>
      <c r="N260" s="140">
        <f t="shared" si="64"/>
        <v>5.2799999999999996E-7</v>
      </c>
      <c r="O260" s="140">
        <f t="shared" si="65"/>
        <v>7.920000000000001E-7</v>
      </c>
      <c r="P260" s="140">
        <f t="shared" si="58"/>
        <v>1.0560000000000001E-6</v>
      </c>
      <c r="Q260" s="140">
        <f t="shared" si="66"/>
        <v>1.3200000000000003E-6</v>
      </c>
      <c r="R260" s="157">
        <f t="shared" si="67"/>
        <v>0.8</v>
      </c>
      <c r="S260" s="156">
        <f t="shared" si="68"/>
        <v>9.9999999999999995E-8</v>
      </c>
      <c r="U260" s="140">
        <f t="shared" si="69"/>
        <v>2.6400000000000005E-5</v>
      </c>
      <c r="V260">
        <v>2.64</v>
      </c>
      <c r="W260" s="140">
        <f t="shared" si="70"/>
        <v>2.6399999999999998E-7</v>
      </c>
      <c r="X260" s="140">
        <f t="shared" si="71"/>
        <v>5.2799999999999996E-7</v>
      </c>
      <c r="Y260" s="140">
        <f t="shared" si="72"/>
        <v>7.920000000000001E-7</v>
      </c>
      <c r="Z260" s="140">
        <f t="shared" si="73"/>
        <v>1.0560000000000001E-6</v>
      </c>
      <c r="AA260" s="140">
        <f t="shared" si="74"/>
        <v>1.3200000000000003E-6</v>
      </c>
      <c r="AB260" s="157">
        <f t="shared" si="75"/>
        <v>0.8</v>
      </c>
      <c r="AC260" s="156">
        <f t="shared" si="76"/>
        <v>9.9999999999999995E-8</v>
      </c>
      <c r="AE260" s="140">
        <f t="shared" si="77"/>
        <v>2.6400000000000005E-5</v>
      </c>
      <c r="AF260">
        <v>2.64</v>
      </c>
      <c r="AG260" s="140">
        <f t="shared" si="78"/>
        <v>2.6399999999999998E-7</v>
      </c>
      <c r="AH260" s="140">
        <f t="shared" si="79"/>
        <v>5.2799999999999996E-7</v>
      </c>
      <c r="AI260" s="140">
        <f t="shared" si="80"/>
        <v>7.920000000000001E-7</v>
      </c>
      <c r="AJ260" s="140">
        <f t="shared" si="81"/>
        <v>1.0560000000000001E-6</v>
      </c>
      <c r="AK260" s="140">
        <f t="shared" si="82"/>
        <v>1.3200000000000003E-6</v>
      </c>
      <c r="AL260" s="157">
        <f t="shared" si="83"/>
        <v>1.2</v>
      </c>
      <c r="AM260" s="156">
        <f t="shared" si="84"/>
        <v>9.9999999999999995E-8</v>
      </c>
      <c r="AO260" s="140">
        <f t="shared" si="85"/>
        <v>2.6400000000000005E-5</v>
      </c>
      <c r="AP260">
        <v>2.64</v>
      </c>
      <c r="AQ260" s="140">
        <f t="shared" si="86"/>
        <v>2.6399999999999998E-7</v>
      </c>
      <c r="AR260" s="140">
        <f t="shared" si="87"/>
        <v>5.2799999999999996E-7</v>
      </c>
      <c r="AS260" s="140">
        <f t="shared" si="88"/>
        <v>7.920000000000001E-7</v>
      </c>
      <c r="AT260" s="140">
        <f t="shared" si="89"/>
        <v>1.0560000000000001E-6</v>
      </c>
      <c r="AU260" s="140">
        <f t="shared" si="90"/>
        <v>1.3200000000000003E-6</v>
      </c>
      <c r="AV260" s="157">
        <f t="shared" si="91"/>
        <v>1.2</v>
      </c>
      <c r="AW260" s="156">
        <f t="shared" si="92"/>
        <v>9.9999999999999995E-8</v>
      </c>
      <c r="AY260" s="140">
        <f t="shared" si="93"/>
        <v>2.6400000000000005E-5</v>
      </c>
      <c r="AZ260">
        <v>2.64</v>
      </c>
      <c r="BA260" s="140">
        <f t="shared" si="94"/>
        <v>2.6399999999999998E-7</v>
      </c>
      <c r="BB260" s="140">
        <f t="shared" si="95"/>
        <v>5.2799999999999996E-7</v>
      </c>
      <c r="BC260" s="140">
        <f t="shared" si="96"/>
        <v>7.920000000000001E-7</v>
      </c>
      <c r="BD260" s="140">
        <f t="shared" si="97"/>
        <v>1.0560000000000001E-6</v>
      </c>
      <c r="BE260" s="140">
        <f t="shared" si="98"/>
        <v>1.3200000000000003E-6</v>
      </c>
      <c r="BF260" s="157">
        <f>IF(AY260&lt;$B$89*DATA!$H$1037,DATA!$H$1037,IF(AY260&gt;DATA!$H$1036*$B$89,DATA!$H$1036,1))</f>
        <v>1.2</v>
      </c>
      <c r="BG260" s="156">
        <f t="shared" si="99"/>
        <v>9.9999999999999995E-8</v>
      </c>
      <c r="BI260" s="140">
        <f t="shared" si="100"/>
        <v>2.6400000000000005E-5</v>
      </c>
      <c r="BJ260">
        <v>2.64</v>
      </c>
      <c r="BK260" s="140">
        <f t="shared" si="101"/>
        <v>2.6399999999999998E-7</v>
      </c>
      <c r="BL260" s="140">
        <f t="shared" si="102"/>
        <v>5.2799999999999996E-7</v>
      </c>
      <c r="BM260" s="140">
        <f t="shared" si="103"/>
        <v>7.920000000000001E-7</v>
      </c>
      <c r="BN260" s="140">
        <f t="shared" si="104"/>
        <v>1.0560000000000001E-6</v>
      </c>
      <c r="BO260" s="140">
        <f t="shared" si="105"/>
        <v>1.3200000000000003E-6</v>
      </c>
      <c r="BP260" s="157">
        <f>IF(BI260&lt;$B$105*DATA!$H$1037,DATA!$H$1037,IF(BI260&gt;DATA!$H$1036*$B$105,DATA!$H$1036,1))</f>
        <v>1.2</v>
      </c>
      <c r="BQ260" s="156">
        <f t="shared" si="106"/>
        <v>9.9999999999999995E-8</v>
      </c>
    </row>
    <row r="261" spans="1:69">
      <c r="A261" s="140">
        <f t="shared" si="59"/>
        <v>2.6600000000000003E-5</v>
      </c>
      <c r="B261">
        <v>2.66</v>
      </c>
      <c r="C261" s="140">
        <f t="shared" si="109"/>
        <v>2.6599999999999992E-7</v>
      </c>
      <c r="D261" s="140">
        <f t="shared" si="109"/>
        <v>5.3199999999999995E-7</v>
      </c>
      <c r="E261" s="140">
        <f t="shared" si="109"/>
        <v>7.9800000000000003E-7</v>
      </c>
      <c r="F261" s="140">
        <f t="shared" si="109"/>
        <v>1.0640000000000001E-6</v>
      </c>
      <c r="G261" s="140">
        <f t="shared" si="109"/>
        <v>1.3300000000000002E-6</v>
      </c>
      <c r="H261" s="124">
        <f t="shared" si="60"/>
        <v>0.8</v>
      </c>
      <c r="I261" s="156">
        <f t="shared" si="61"/>
        <v>9.9999999999999995E-8</v>
      </c>
      <c r="K261" s="140">
        <f t="shared" si="62"/>
        <v>2.6600000000000003E-5</v>
      </c>
      <c r="L261">
        <v>2.66</v>
      </c>
      <c r="M261" s="140">
        <f t="shared" si="63"/>
        <v>2.6599999999999992E-7</v>
      </c>
      <c r="N261" s="140">
        <f t="shared" si="64"/>
        <v>5.3199999999999995E-7</v>
      </c>
      <c r="O261" s="140">
        <f t="shared" si="65"/>
        <v>7.9800000000000003E-7</v>
      </c>
      <c r="P261" s="140">
        <f t="shared" si="58"/>
        <v>1.0640000000000001E-6</v>
      </c>
      <c r="Q261" s="140">
        <f t="shared" si="66"/>
        <v>1.3300000000000002E-6</v>
      </c>
      <c r="R261" s="157">
        <f t="shared" si="67"/>
        <v>0.8</v>
      </c>
      <c r="S261" s="156">
        <f t="shared" si="68"/>
        <v>9.9999999999999995E-8</v>
      </c>
      <c r="U261" s="140">
        <f t="shared" si="69"/>
        <v>2.6600000000000003E-5</v>
      </c>
      <c r="V261">
        <v>2.66</v>
      </c>
      <c r="W261" s="140">
        <f t="shared" si="70"/>
        <v>2.6599999999999992E-7</v>
      </c>
      <c r="X261" s="140">
        <f t="shared" si="71"/>
        <v>5.3199999999999995E-7</v>
      </c>
      <c r="Y261" s="140">
        <f t="shared" si="72"/>
        <v>7.9800000000000003E-7</v>
      </c>
      <c r="Z261" s="140">
        <f t="shared" si="73"/>
        <v>1.0640000000000001E-6</v>
      </c>
      <c r="AA261" s="140">
        <f t="shared" si="74"/>
        <v>1.3300000000000002E-6</v>
      </c>
      <c r="AB261" s="157">
        <f t="shared" si="75"/>
        <v>0.8</v>
      </c>
      <c r="AC261" s="156">
        <f t="shared" si="76"/>
        <v>9.9999999999999995E-8</v>
      </c>
      <c r="AE261" s="140">
        <f t="shared" si="77"/>
        <v>2.6600000000000003E-5</v>
      </c>
      <c r="AF261">
        <v>2.66</v>
      </c>
      <c r="AG261" s="140">
        <f t="shared" si="78"/>
        <v>2.6599999999999992E-7</v>
      </c>
      <c r="AH261" s="140">
        <f t="shared" si="79"/>
        <v>5.3199999999999995E-7</v>
      </c>
      <c r="AI261" s="140">
        <f t="shared" si="80"/>
        <v>7.9800000000000003E-7</v>
      </c>
      <c r="AJ261" s="140">
        <f t="shared" si="81"/>
        <v>1.0640000000000001E-6</v>
      </c>
      <c r="AK261" s="140">
        <f t="shared" si="82"/>
        <v>1.3300000000000002E-6</v>
      </c>
      <c r="AL261" s="157">
        <f t="shared" si="83"/>
        <v>1.2</v>
      </c>
      <c r="AM261" s="156">
        <f t="shared" si="84"/>
        <v>9.9999999999999995E-8</v>
      </c>
      <c r="AO261" s="140">
        <f t="shared" si="85"/>
        <v>2.6600000000000003E-5</v>
      </c>
      <c r="AP261">
        <v>2.66</v>
      </c>
      <c r="AQ261" s="140">
        <f t="shared" si="86"/>
        <v>2.6599999999999992E-7</v>
      </c>
      <c r="AR261" s="140">
        <f t="shared" si="87"/>
        <v>5.3199999999999995E-7</v>
      </c>
      <c r="AS261" s="140">
        <f t="shared" si="88"/>
        <v>7.9800000000000003E-7</v>
      </c>
      <c r="AT261" s="140">
        <f t="shared" si="89"/>
        <v>1.0640000000000001E-6</v>
      </c>
      <c r="AU261" s="140">
        <f t="shared" si="90"/>
        <v>1.3300000000000002E-6</v>
      </c>
      <c r="AV261" s="157">
        <f t="shared" si="91"/>
        <v>1.2</v>
      </c>
      <c r="AW261" s="156">
        <f t="shared" si="92"/>
        <v>9.9999999999999995E-8</v>
      </c>
      <c r="AY261" s="140">
        <f t="shared" si="93"/>
        <v>2.6600000000000003E-5</v>
      </c>
      <c r="AZ261">
        <v>2.66</v>
      </c>
      <c r="BA261" s="140">
        <f t="shared" si="94"/>
        <v>2.6599999999999992E-7</v>
      </c>
      <c r="BB261" s="140">
        <f t="shared" si="95"/>
        <v>5.3199999999999995E-7</v>
      </c>
      <c r="BC261" s="140">
        <f t="shared" si="96"/>
        <v>7.9800000000000003E-7</v>
      </c>
      <c r="BD261" s="140">
        <f t="shared" si="97"/>
        <v>1.0640000000000001E-6</v>
      </c>
      <c r="BE261" s="140">
        <f t="shared" si="98"/>
        <v>1.3300000000000002E-6</v>
      </c>
      <c r="BF261" s="157">
        <f>IF(AY261&lt;$B$89*DATA!$H$1037,DATA!$H$1037,IF(AY261&gt;DATA!$H$1036*$B$89,DATA!$H$1036,1))</f>
        <v>1.2</v>
      </c>
      <c r="BG261" s="156">
        <f t="shared" si="99"/>
        <v>9.9999999999999995E-8</v>
      </c>
      <c r="BI261" s="140">
        <f t="shared" si="100"/>
        <v>2.6600000000000003E-5</v>
      </c>
      <c r="BJ261">
        <v>2.66</v>
      </c>
      <c r="BK261" s="140">
        <f t="shared" si="101"/>
        <v>2.6599999999999992E-7</v>
      </c>
      <c r="BL261" s="140">
        <f t="shared" si="102"/>
        <v>5.3199999999999995E-7</v>
      </c>
      <c r="BM261" s="140">
        <f t="shared" si="103"/>
        <v>7.9800000000000003E-7</v>
      </c>
      <c r="BN261" s="140">
        <f t="shared" si="104"/>
        <v>1.0640000000000001E-6</v>
      </c>
      <c r="BO261" s="140">
        <f t="shared" si="105"/>
        <v>1.3300000000000002E-6</v>
      </c>
      <c r="BP261" s="157">
        <f>IF(BI261&lt;$B$105*DATA!$H$1037,DATA!$H$1037,IF(BI261&gt;DATA!$H$1036*$B$105,DATA!$H$1036,1))</f>
        <v>1.2</v>
      </c>
      <c r="BQ261" s="156">
        <f t="shared" si="106"/>
        <v>9.9999999999999995E-8</v>
      </c>
    </row>
    <row r="262" spans="1:69">
      <c r="A262" s="140">
        <f t="shared" si="59"/>
        <v>2.6800000000000004E-5</v>
      </c>
      <c r="B262">
        <v>2.68</v>
      </c>
      <c r="C262" s="140">
        <f t="shared" si="109"/>
        <v>2.6799999999999996E-7</v>
      </c>
      <c r="D262" s="140">
        <f t="shared" si="109"/>
        <v>5.3600000000000004E-7</v>
      </c>
      <c r="E262" s="140">
        <f t="shared" si="109"/>
        <v>8.0400000000000005E-7</v>
      </c>
      <c r="F262" s="140">
        <f t="shared" si="109"/>
        <v>1.0720000000000003E-6</v>
      </c>
      <c r="G262" s="140">
        <f t="shared" si="109"/>
        <v>1.3400000000000003E-6</v>
      </c>
      <c r="H262" s="124">
        <f t="shared" si="60"/>
        <v>0.8</v>
      </c>
      <c r="I262" s="156">
        <f t="shared" si="61"/>
        <v>9.9999999999999995E-8</v>
      </c>
      <c r="K262" s="140">
        <f t="shared" si="62"/>
        <v>2.6800000000000004E-5</v>
      </c>
      <c r="L262">
        <v>2.68</v>
      </c>
      <c r="M262" s="140">
        <f t="shared" si="63"/>
        <v>2.6799999999999996E-7</v>
      </c>
      <c r="N262" s="140">
        <f t="shared" si="64"/>
        <v>5.3600000000000004E-7</v>
      </c>
      <c r="O262" s="140">
        <f t="shared" si="65"/>
        <v>8.0400000000000005E-7</v>
      </c>
      <c r="P262" s="140">
        <f t="shared" si="58"/>
        <v>1.0720000000000003E-6</v>
      </c>
      <c r="Q262" s="140">
        <f t="shared" si="66"/>
        <v>1.3400000000000003E-6</v>
      </c>
      <c r="R262" s="157">
        <f t="shared" si="67"/>
        <v>0.8</v>
      </c>
      <c r="S262" s="156">
        <f t="shared" si="68"/>
        <v>9.9999999999999995E-8</v>
      </c>
      <c r="U262" s="140">
        <f t="shared" si="69"/>
        <v>2.6800000000000004E-5</v>
      </c>
      <c r="V262">
        <v>2.68</v>
      </c>
      <c r="W262" s="140">
        <f t="shared" si="70"/>
        <v>2.6799999999999996E-7</v>
      </c>
      <c r="X262" s="140">
        <f t="shared" si="71"/>
        <v>5.3600000000000004E-7</v>
      </c>
      <c r="Y262" s="140">
        <f t="shared" si="72"/>
        <v>8.0400000000000005E-7</v>
      </c>
      <c r="Z262" s="140">
        <f t="shared" si="73"/>
        <v>1.0720000000000003E-6</v>
      </c>
      <c r="AA262" s="140">
        <f t="shared" si="74"/>
        <v>1.3400000000000003E-6</v>
      </c>
      <c r="AB262" s="157">
        <f t="shared" si="75"/>
        <v>0.8</v>
      </c>
      <c r="AC262" s="156">
        <f t="shared" si="76"/>
        <v>9.9999999999999995E-8</v>
      </c>
      <c r="AE262" s="140">
        <f t="shared" si="77"/>
        <v>2.6800000000000004E-5</v>
      </c>
      <c r="AF262">
        <v>2.68</v>
      </c>
      <c r="AG262" s="140">
        <f t="shared" si="78"/>
        <v>2.6799999999999996E-7</v>
      </c>
      <c r="AH262" s="140">
        <f t="shared" si="79"/>
        <v>5.3600000000000004E-7</v>
      </c>
      <c r="AI262" s="140">
        <f t="shared" si="80"/>
        <v>8.0400000000000005E-7</v>
      </c>
      <c r="AJ262" s="140">
        <f t="shared" si="81"/>
        <v>1.0720000000000003E-6</v>
      </c>
      <c r="AK262" s="140">
        <f t="shared" si="82"/>
        <v>1.3400000000000003E-6</v>
      </c>
      <c r="AL262" s="157">
        <f t="shared" si="83"/>
        <v>1.2</v>
      </c>
      <c r="AM262" s="156">
        <f t="shared" si="84"/>
        <v>9.9999999999999995E-8</v>
      </c>
      <c r="AO262" s="140">
        <f t="shared" si="85"/>
        <v>2.6800000000000004E-5</v>
      </c>
      <c r="AP262">
        <v>2.68</v>
      </c>
      <c r="AQ262" s="140">
        <f t="shared" si="86"/>
        <v>2.6799999999999996E-7</v>
      </c>
      <c r="AR262" s="140">
        <f t="shared" si="87"/>
        <v>5.3600000000000004E-7</v>
      </c>
      <c r="AS262" s="140">
        <f t="shared" si="88"/>
        <v>8.0400000000000005E-7</v>
      </c>
      <c r="AT262" s="140">
        <f t="shared" si="89"/>
        <v>1.0720000000000003E-6</v>
      </c>
      <c r="AU262" s="140">
        <f t="shared" si="90"/>
        <v>1.3400000000000003E-6</v>
      </c>
      <c r="AV262" s="157">
        <f t="shared" si="91"/>
        <v>1.2</v>
      </c>
      <c r="AW262" s="156">
        <f t="shared" si="92"/>
        <v>9.9999999999999995E-8</v>
      </c>
      <c r="AY262" s="140">
        <f t="shared" si="93"/>
        <v>2.6800000000000004E-5</v>
      </c>
      <c r="AZ262">
        <v>2.68</v>
      </c>
      <c r="BA262" s="140">
        <f t="shared" si="94"/>
        <v>2.6799999999999996E-7</v>
      </c>
      <c r="BB262" s="140">
        <f t="shared" si="95"/>
        <v>5.3600000000000004E-7</v>
      </c>
      <c r="BC262" s="140">
        <f t="shared" si="96"/>
        <v>8.0400000000000005E-7</v>
      </c>
      <c r="BD262" s="140">
        <f t="shared" si="97"/>
        <v>1.0720000000000003E-6</v>
      </c>
      <c r="BE262" s="140">
        <f t="shared" si="98"/>
        <v>1.3400000000000003E-6</v>
      </c>
      <c r="BF262" s="157">
        <f>IF(AY262&lt;$B$89*DATA!$H$1037,DATA!$H$1037,IF(AY262&gt;DATA!$H$1036*$B$89,DATA!$H$1036,1))</f>
        <v>1.2</v>
      </c>
      <c r="BG262" s="156">
        <f t="shared" si="99"/>
        <v>9.9999999999999995E-8</v>
      </c>
      <c r="BI262" s="140">
        <f t="shared" si="100"/>
        <v>2.6800000000000004E-5</v>
      </c>
      <c r="BJ262">
        <v>2.68</v>
      </c>
      <c r="BK262" s="140">
        <f t="shared" si="101"/>
        <v>2.6799999999999996E-7</v>
      </c>
      <c r="BL262" s="140">
        <f t="shared" si="102"/>
        <v>5.3600000000000004E-7</v>
      </c>
      <c r="BM262" s="140">
        <f t="shared" si="103"/>
        <v>8.0400000000000005E-7</v>
      </c>
      <c r="BN262" s="140">
        <f t="shared" si="104"/>
        <v>1.0720000000000003E-6</v>
      </c>
      <c r="BO262" s="140">
        <f t="shared" si="105"/>
        <v>1.3400000000000003E-6</v>
      </c>
      <c r="BP262" s="157">
        <f>IF(BI262&lt;$B$105*DATA!$H$1037,DATA!$H$1037,IF(BI262&gt;DATA!$H$1036*$B$105,DATA!$H$1036,1))</f>
        <v>1.2</v>
      </c>
      <c r="BQ262" s="156">
        <f t="shared" si="106"/>
        <v>9.9999999999999995E-8</v>
      </c>
    </row>
    <row r="263" spans="1:69">
      <c r="A263" s="140">
        <f t="shared" si="59"/>
        <v>2.7000000000000002E-5</v>
      </c>
      <c r="B263">
        <v>2.7</v>
      </c>
      <c r="C263" s="140">
        <f t="shared" si="109"/>
        <v>2.6999999999999996E-7</v>
      </c>
      <c r="D263" s="140">
        <f t="shared" si="109"/>
        <v>5.4000000000000002E-7</v>
      </c>
      <c r="E263" s="140">
        <f t="shared" si="109"/>
        <v>8.1000000000000008E-7</v>
      </c>
      <c r="F263" s="140">
        <f t="shared" si="109"/>
        <v>1.08E-6</v>
      </c>
      <c r="G263" s="140">
        <f t="shared" si="109"/>
        <v>1.3500000000000002E-6</v>
      </c>
      <c r="H263" s="124">
        <f t="shared" si="60"/>
        <v>0.8</v>
      </c>
      <c r="I263" s="156">
        <f t="shared" si="61"/>
        <v>9.9999999999999995E-8</v>
      </c>
      <c r="K263" s="140">
        <f t="shared" si="62"/>
        <v>2.7000000000000002E-5</v>
      </c>
      <c r="L263">
        <v>2.7</v>
      </c>
      <c r="M263" s="140">
        <f t="shared" si="63"/>
        <v>2.6999999999999996E-7</v>
      </c>
      <c r="N263" s="140">
        <f t="shared" si="64"/>
        <v>5.4000000000000002E-7</v>
      </c>
      <c r="O263" s="140">
        <f t="shared" si="65"/>
        <v>8.1000000000000008E-7</v>
      </c>
      <c r="P263" s="140">
        <f t="shared" si="58"/>
        <v>1.08E-6</v>
      </c>
      <c r="Q263" s="140">
        <f t="shared" si="66"/>
        <v>1.3500000000000002E-6</v>
      </c>
      <c r="R263" s="157">
        <f t="shared" si="67"/>
        <v>0.8</v>
      </c>
      <c r="S263" s="156">
        <f t="shared" si="68"/>
        <v>9.9999999999999995E-8</v>
      </c>
      <c r="U263" s="140">
        <f t="shared" si="69"/>
        <v>2.7000000000000002E-5</v>
      </c>
      <c r="V263">
        <v>2.7</v>
      </c>
      <c r="W263" s="140">
        <f t="shared" si="70"/>
        <v>2.6999999999999996E-7</v>
      </c>
      <c r="X263" s="140">
        <f t="shared" si="71"/>
        <v>5.4000000000000002E-7</v>
      </c>
      <c r="Y263" s="140">
        <f t="shared" si="72"/>
        <v>8.1000000000000008E-7</v>
      </c>
      <c r="Z263" s="140">
        <f t="shared" si="73"/>
        <v>1.08E-6</v>
      </c>
      <c r="AA263" s="140">
        <f t="shared" si="74"/>
        <v>1.3500000000000002E-6</v>
      </c>
      <c r="AB263" s="157">
        <f t="shared" si="75"/>
        <v>0.8</v>
      </c>
      <c r="AC263" s="156">
        <f t="shared" si="76"/>
        <v>9.9999999999999995E-8</v>
      </c>
      <c r="AE263" s="140">
        <f t="shared" si="77"/>
        <v>2.7000000000000002E-5</v>
      </c>
      <c r="AF263">
        <v>2.7</v>
      </c>
      <c r="AG263" s="140">
        <f t="shared" si="78"/>
        <v>2.6999999999999996E-7</v>
      </c>
      <c r="AH263" s="140">
        <f t="shared" si="79"/>
        <v>5.4000000000000002E-7</v>
      </c>
      <c r="AI263" s="140">
        <f t="shared" si="80"/>
        <v>8.1000000000000008E-7</v>
      </c>
      <c r="AJ263" s="140">
        <f t="shared" si="81"/>
        <v>1.08E-6</v>
      </c>
      <c r="AK263" s="140">
        <f t="shared" si="82"/>
        <v>1.3500000000000002E-6</v>
      </c>
      <c r="AL263" s="157">
        <f t="shared" si="83"/>
        <v>1.2</v>
      </c>
      <c r="AM263" s="156">
        <f t="shared" si="84"/>
        <v>9.9999999999999995E-8</v>
      </c>
      <c r="AO263" s="140">
        <f t="shared" si="85"/>
        <v>2.7000000000000002E-5</v>
      </c>
      <c r="AP263">
        <v>2.7</v>
      </c>
      <c r="AQ263" s="140">
        <f t="shared" si="86"/>
        <v>2.6999999999999996E-7</v>
      </c>
      <c r="AR263" s="140">
        <f t="shared" si="87"/>
        <v>5.4000000000000002E-7</v>
      </c>
      <c r="AS263" s="140">
        <f t="shared" si="88"/>
        <v>8.1000000000000008E-7</v>
      </c>
      <c r="AT263" s="140">
        <f t="shared" si="89"/>
        <v>1.08E-6</v>
      </c>
      <c r="AU263" s="140">
        <f t="shared" si="90"/>
        <v>1.3500000000000002E-6</v>
      </c>
      <c r="AV263" s="157">
        <f t="shared" si="91"/>
        <v>1.2</v>
      </c>
      <c r="AW263" s="156">
        <f t="shared" si="92"/>
        <v>9.9999999999999995E-8</v>
      </c>
      <c r="AY263" s="140">
        <f t="shared" si="93"/>
        <v>2.7000000000000002E-5</v>
      </c>
      <c r="AZ263">
        <v>2.7</v>
      </c>
      <c r="BA263" s="140">
        <f t="shared" si="94"/>
        <v>2.6999999999999996E-7</v>
      </c>
      <c r="BB263" s="140">
        <f t="shared" si="95"/>
        <v>5.4000000000000002E-7</v>
      </c>
      <c r="BC263" s="140">
        <f t="shared" si="96"/>
        <v>8.1000000000000008E-7</v>
      </c>
      <c r="BD263" s="140">
        <f t="shared" si="97"/>
        <v>1.08E-6</v>
      </c>
      <c r="BE263" s="140">
        <f t="shared" si="98"/>
        <v>1.3500000000000002E-6</v>
      </c>
      <c r="BF263" s="157">
        <f>IF(AY263&lt;$B$89*DATA!$H$1037,DATA!$H$1037,IF(AY263&gt;DATA!$H$1036*$B$89,DATA!$H$1036,1))</f>
        <v>1.2</v>
      </c>
      <c r="BG263" s="156">
        <f t="shared" si="99"/>
        <v>9.9999999999999995E-8</v>
      </c>
      <c r="BI263" s="140">
        <f t="shared" si="100"/>
        <v>2.7000000000000002E-5</v>
      </c>
      <c r="BJ263">
        <v>2.7</v>
      </c>
      <c r="BK263" s="140">
        <f t="shared" si="101"/>
        <v>2.6999999999999996E-7</v>
      </c>
      <c r="BL263" s="140">
        <f t="shared" si="102"/>
        <v>5.4000000000000002E-7</v>
      </c>
      <c r="BM263" s="140">
        <f t="shared" si="103"/>
        <v>8.1000000000000008E-7</v>
      </c>
      <c r="BN263" s="140">
        <f t="shared" si="104"/>
        <v>1.08E-6</v>
      </c>
      <c r="BO263" s="140">
        <f t="shared" si="105"/>
        <v>1.3500000000000002E-6</v>
      </c>
      <c r="BP263" s="157">
        <f>IF(BI263&lt;$B$105*DATA!$H$1037,DATA!$H$1037,IF(BI263&gt;DATA!$H$1036*$B$105,DATA!$H$1036,1))</f>
        <v>1.2</v>
      </c>
      <c r="BQ263" s="156">
        <f t="shared" si="106"/>
        <v>9.9999999999999995E-8</v>
      </c>
    </row>
    <row r="264" spans="1:69">
      <c r="A264" s="140">
        <f t="shared" si="59"/>
        <v>2.7200000000000004E-5</v>
      </c>
      <c r="B264">
        <v>2.72</v>
      </c>
      <c r="C264" s="140">
        <f t="shared" si="109"/>
        <v>2.7199999999999995E-7</v>
      </c>
      <c r="D264" s="140">
        <f t="shared" si="109"/>
        <v>5.44E-7</v>
      </c>
      <c r="E264" s="140">
        <f t="shared" si="109"/>
        <v>8.1600000000000011E-7</v>
      </c>
      <c r="F264" s="140">
        <f t="shared" si="109"/>
        <v>1.0880000000000002E-6</v>
      </c>
      <c r="G264" s="140">
        <f t="shared" si="109"/>
        <v>1.3600000000000003E-6</v>
      </c>
      <c r="H264" s="124">
        <f t="shared" si="60"/>
        <v>0.8</v>
      </c>
      <c r="I264" s="156">
        <f t="shared" si="61"/>
        <v>9.9999999999999995E-8</v>
      </c>
      <c r="K264" s="140">
        <f t="shared" si="62"/>
        <v>2.7200000000000004E-5</v>
      </c>
      <c r="L264">
        <v>2.72</v>
      </c>
      <c r="M264" s="140">
        <f t="shared" si="63"/>
        <v>2.7199999999999995E-7</v>
      </c>
      <c r="N264" s="140">
        <f t="shared" si="64"/>
        <v>5.44E-7</v>
      </c>
      <c r="O264" s="140">
        <f t="shared" si="65"/>
        <v>8.1600000000000011E-7</v>
      </c>
      <c r="P264" s="140">
        <f t="shared" si="58"/>
        <v>1.0880000000000002E-6</v>
      </c>
      <c r="Q264" s="140">
        <f t="shared" si="66"/>
        <v>1.3600000000000003E-6</v>
      </c>
      <c r="R264" s="157">
        <f t="shared" si="67"/>
        <v>0.8</v>
      </c>
      <c r="S264" s="156">
        <f t="shared" si="68"/>
        <v>9.9999999999999995E-8</v>
      </c>
      <c r="U264" s="140">
        <f t="shared" si="69"/>
        <v>2.7200000000000004E-5</v>
      </c>
      <c r="V264">
        <v>2.72</v>
      </c>
      <c r="W264" s="140">
        <f t="shared" si="70"/>
        <v>2.7199999999999995E-7</v>
      </c>
      <c r="X264" s="140">
        <f t="shared" si="71"/>
        <v>5.44E-7</v>
      </c>
      <c r="Y264" s="140">
        <f t="shared" si="72"/>
        <v>8.1600000000000011E-7</v>
      </c>
      <c r="Z264" s="140">
        <f t="shared" si="73"/>
        <v>1.0880000000000002E-6</v>
      </c>
      <c r="AA264" s="140">
        <f t="shared" si="74"/>
        <v>1.3600000000000003E-6</v>
      </c>
      <c r="AB264" s="157">
        <f t="shared" si="75"/>
        <v>0.8</v>
      </c>
      <c r="AC264" s="156">
        <f t="shared" si="76"/>
        <v>9.9999999999999995E-8</v>
      </c>
      <c r="AE264" s="140">
        <f t="shared" si="77"/>
        <v>2.7200000000000004E-5</v>
      </c>
      <c r="AF264">
        <v>2.72</v>
      </c>
      <c r="AG264" s="140">
        <f t="shared" si="78"/>
        <v>2.7199999999999995E-7</v>
      </c>
      <c r="AH264" s="140">
        <f t="shared" si="79"/>
        <v>5.44E-7</v>
      </c>
      <c r="AI264" s="140">
        <f t="shared" si="80"/>
        <v>8.1600000000000011E-7</v>
      </c>
      <c r="AJ264" s="140">
        <f t="shared" si="81"/>
        <v>1.0880000000000002E-6</v>
      </c>
      <c r="AK264" s="140">
        <f t="shared" si="82"/>
        <v>1.3600000000000003E-6</v>
      </c>
      <c r="AL264" s="157">
        <f t="shared" si="83"/>
        <v>1.2</v>
      </c>
      <c r="AM264" s="156">
        <f t="shared" si="84"/>
        <v>9.9999999999999995E-8</v>
      </c>
      <c r="AO264" s="140">
        <f t="shared" si="85"/>
        <v>2.7200000000000004E-5</v>
      </c>
      <c r="AP264">
        <v>2.72</v>
      </c>
      <c r="AQ264" s="140">
        <f t="shared" si="86"/>
        <v>2.7199999999999995E-7</v>
      </c>
      <c r="AR264" s="140">
        <f t="shared" si="87"/>
        <v>5.44E-7</v>
      </c>
      <c r="AS264" s="140">
        <f t="shared" si="88"/>
        <v>8.1600000000000011E-7</v>
      </c>
      <c r="AT264" s="140">
        <f t="shared" si="89"/>
        <v>1.0880000000000002E-6</v>
      </c>
      <c r="AU264" s="140">
        <f t="shared" si="90"/>
        <v>1.3600000000000003E-6</v>
      </c>
      <c r="AV264" s="157">
        <f t="shared" si="91"/>
        <v>1.2</v>
      </c>
      <c r="AW264" s="156">
        <f t="shared" si="92"/>
        <v>9.9999999999999995E-8</v>
      </c>
      <c r="AY264" s="140">
        <f t="shared" si="93"/>
        <v>2.7200000000000004E-5</v>
      </c>
      <c r="AZ264">
        <v>2.72</v>
      </c>
      <c r="BA264" s="140">
        <f t="shared" si="94"/>
        <v>2.7199999999999995E-7</v>
      </c>
      <c r="BB264" s="140">
        <f t="shared" si="95"/>
        <v>5.44E-7</v>
      </c>
      <c r="BC264" s="140">
        <f t="shared" si="96"/>
        <v>8.1600000000000011E-7</v>
      </c>
      <c r="BD264" s="140">
        <f t="shared" si="97"/>
        <v>1.0880000000000002E-6</v>
      </c>
      <c r="BE264" s="140">
        <f t="shared" si="98"/>
        <v>1.3600000000000003E-6</v>
      </c>
      <c r="BF264" s="157">
        <f>IF(AY264&lt;$B$89*DATA!$H$1037,DATA!$H$1037,IF(AY264&gt;DATA!$H$1036*$B$89,DATA!$H$1036,1))</f>
        <v>1.2</v>
      </c>
      <c r="BG264" s="156">
        <f t="shared" si="99"/>
        <v>9.9999999999999995E-8</v>
      </c>
      <c r="BI264" s="140">
        <f t="shared" si="100"/>
        <v>2.7200000000000004E-5</v>
      </c>
      <c r="BJ264">
        <v>2.72</v>
      </c>
      <c r="BK264" s="140">
        <f t="shared" si="101"/>
        <v>2.7199999999999995E-7</v>
      </c>
      <c r="BL264" s="140">
        <f t="shared" si="102"/>
        <v>5.44E-7</v>
      </c>
      <c r="BM264" s="140">
        <f t="shared" si="103"/>
        <v>8.1600000000000011E-7</v>
      </c>
      <c r="BN264" s="140">
        <f t="shared" si="104"/>
        <v>1.0880000000000002E-6</v>
      </c>
      <c r="BO264" s="140">
        <f t="shared" si="105"/>
        <v>1.3600000000000003E-6</v>
      </c>
      <c r="BP264" s="157">
        <f>IF(BI264&lt;$B$105*DATA!$H$1037,DATA!$H$1037,IF(BI264&gt;DATA!$H$1036*$B$105,DATA!$H$1036,1))</f>
        <v>1.2</v>
      </c>
      <c r="BQ264" s="156">
        <f t="shared" si="106"/>
        <v>9.9999999999999995E-8</v>
      </c>
    </row>
    <row r="265" spans="1:69">
      <c r="A265" s="140">
        <f t="shared" si="59"/>
        <v>2.7400000000000005E-5</v>
      </c>
      <c r="B265">
        <v>2.74</v>
      </c>
      <c r="C265" s="140">
        <f t="shared" si="109"/>
        <v>2.7399999999999994E-7</v>
      </c>
      <c r="D265" s="140">
        <f t="shared" si="109"/>
        <v>5.4799999999999998E-7</v>
      </c>
      <c r="E265" s="140">
        <f t="shared" si="109"/>
        <v>8.2200000000000013E-7</v>
      </c>
      <c r="F265" s="140">
        <f t="shared" si="109"/>
        <v>1.0960000000000002E-6</v>
      </c>
      <c r="G265" s="140">
        <f t="shared" si="109"/>
        <v>1.3700000000000004E-6</v>
      </c>
      <c r="H265" s="124">
        <f t="shared" si="60"/>
        <v>0.8</v>
      </c>
      <c r="I265" s="156">
        <f t="shared" si="61"/>
        <v>9.9999999999999995E-8</v>
      </c>
      <c r="K265" s="140">
        <f t="shared" si="62"/>
        <v>2.7400000000000005E-5</v>
      </c>
      <c r="L265">
        <v>2.74</v>
      </c>
      <c r="M265" s="140">
        <f t="shared" si="63"/>
        <v>2.7399999999999994E-7</v>
      </c>
      <c r="N265" s="140">
        <f t="shared" si="64"/>
        <v>5.4799999999999998E-7</v>
      </c>
      <c r="O265" s="140">
        <f t="shared" si="65"/>
        <v>8.2200000000000013E-7</v>
      </c>
      <c r="P265" s="140">
        <f t="shared" si="58"/>
        <v>1.0960000000000002E-6</v>
      </c>
      <c r="Q265" s="140">
        <f t="shared" si="66"/>
        <v>1.3700000000000004E-6</v>
      </c>
      <c r="R265" s="157">
        <f t="shared" si="67"/>
        <v>0.8</v>
      </c>
      <c r="S265" s="156">
        <f t="shared" si="68"/>
        <v>9.9999999999999995E-8</v>
      </c>
      <c r="U265" s="140">
        <f t="shared" si="69"/>
        <v>2.7400000000000005E-5</v>
      </c>
      <c r="V265">
        <v>2.74</v>
      </c>
      <c r="W265" s="140">
        <f t="shared" si="70"/>
        <v>2.7399999999999994E-7</v>
      </c>
      <c r="X265" s="140">
        <f t="shared" si="71"/>
        <v>5.4799999999999998E-7</v>
      </c>
      <c r="Y265" s="140">
        <f t="shared" si="72"/>
        <v>8.2200000000000013E-7</v>
      </c>
      <c r="Z265" s="140">
        <f t="shared" si="73"/>
        <v>1.0960000000000002E-6</v>
      </c>
      <c r="AA265" s="140">
        <f t="shared" si="74"/>
        <v>1.3700000000000004E-6</v>
      </c>
      <c r="AB265" s="157">
        <f t="shared" si="75"/>
        <v>0.8</v>
      </c>
      <c r="AC265" s="156">
        <f t="shared" si="76"/>
        <v>9.9999999999999995E-8</v>
      </c>
      <c r="AE265" s="140">
        <f t="shared" si="77"/>
        <v>2.7400000000000005E-5</v>
      </c>
      <c r="AF265">
        <v>2.74</v>
      </c>
      <c r="AG265" s="140">
        <f t="shared" si="78"/>
        <v>2.7399999999999994E-7</v>
      </c>
      <c r="AH265" s="140">
        <f t="shared" si="79"/>
        <v>5.4799999999999998E-7</v>
      </c>
      <c r="AI265" s="140">
        <f t="shared" si="80"/>
        <v>8.2200000000000013E-7</v>
      </c>
      <c r="AJ265" s="140">
        <f t="shared" si="81"/>
        <v>1.0960000000000002E-6</v>
      </c>
      <c r="AK265" s="140">
        <f t="shared" si="82"/>
        <v>1.3700000000000004E-6</v>
      </c>
      <c r="AL265" s="157">
        <f t="shared" si="83"/>
        <v>1.2</v>
      </c>
      <c r="AM265" s="156">
        <f t="shared" si="84"/>
        <v>9.9999999999999995E-8</v>
      </c>
      <c r="AO265" s="140">
        <f t="shared" si="85"/>
        <v>2.7400000000000005E-5</v>
      </c>
      <c r="AP265">
        <v>2.74</v>
      </c>
      <c r="AQ265" s="140">
        <f t="shared" si="86"/>
        <v>2.7399999999999994E-7</v>
      </c>
      <c r="AR265" s="140">
        <f t="shared" si="87"/>
        <v>5.4799999999999998E-7</v>
      </c>
      <c r="AS265" s="140">
        <f t="shared" si="88"/>
        <v>8.2200000000000013E-7</v>
      </c>
      <c r="AT265" s="140">
        <f t="shared" si="89"/>
        <v>1.0960000000000002E-6</v>
      </c>
      <c r="AU265" s="140">
        <f t="shared" si="90"/>
        <v>1.3700000000000004E-6</v>
      </c>
      <c r="AV265" s="157">
        <f t="shared" si="91"/>
        <v>1.2</v>
      </c>
      <c r="AW265" s="156">
        <f t="shared" si="92"/>
        <v>9.9999999999999995E-8</v>
      </c>
      <c r="AY265" s="140">
        <f t="shared" si="93"/>
        <v>2.7400000000000005E-5</v>
      </c>
      <c r="AZ265">
        <v>2.74</v>
      </c>
      <c r="BA265" s="140">
        <f t="shared" si="94"/>
        <v>2.7399999999999994E-7</v>
      </c>
      <c r="BB265" s="140">
        <f t="shared" si="95"/>
        <v>5.4799999999999998E-7</v>
      </c>
      <c r="BC265" s="140">
        <f t="shared" si="96"/>
        <v>8.2200000000000013E-7</v>
      </c>
      <c r="BD265" s="140">
        <f t="shared" si="97"/>
        <v>1.0960000000000002E-6</v>
      </c>
      <c r="BE265" s="140">
        <f t="shared" si="98"/>
        <v>1.3700000000000004E-6</v>
      </c>
      <c r="BF265" s="157">
        <f>IF(AY265&lt;$B$89*DATA!$H$1037,DATA!$H$1037,IF(AY265&gt;DATA!$H$1036*$B$89,DATA!$H$1036,1))</f>
        <v>1.2</v>
      </c>
      <c r="BG265" s="156">
        <f t="shared" si="99"/>
        <v>9.9999999999999995E-8</v>
      </c>
      <c r="BI265" s="140">
        <f t="shared" si="100"/>
        <v>2.7400000000000005E-5</v>
      </c>
      <c r="BJ265">
        <v>2.74</v>
      </c>
      <c r="BK265" s="140">
        <f t="shared" si="101"/>
        <v>2.7399999999999994E-7</v>
      </c>
      <c r="BL265" s="140">
        <f t="shared" si="102"/>
        <v>5.4799999999999998E-7</v>
      </c>
      <c r="BM265" s="140">
        <f t="shared" si="103"/>
        <v>8.2200000000000013E-7</v>
      </c>
      <c r="BN265" s="140">
        <f t="shared" si="104"/>
        <v>1.0960000000000002E-6</v>
      </c>
      <c r="BO265" s="140">
        <f t="shared" si="105"/>
        <v>1.3700000000000004E-6</v>
      </c>
      <c r="BP265" s="157">
        <f>IF(BI265&lt;$B$105*DATA!$H$1037,DATA!$H$1037,IF(BI265&gt;DATA!$H$1036*$B$105,DATA!$H$1036,1))</f>
        <v>1.2</v>
      </c>
      <c r="BQ265" s="156">
        <f t="shared" si="106"/>
        <v>9.9999999999999995E-8</v>
      </c>
    </row>
    <row r="266" spans="1:69">
      <c r="A266" s="140">
        <f t="shared" si="59"/>
        <v>2.76E-5</v>
      </c>
      <c r="B266">
        <v>2.76</v>
      </c>
      <c r="C266" s="140">
        <f t="shared" si="109"/>
        <v>2.7599999999999993E-7</v>
      </c>
      <c r="D266" s="140">
        <f t="shared" si="109"/>
        <v>5.5199999999999997E-7</v>
      </c>
      <c r="E266" s="140">
        <f t="shared" si="109"/>
        <v>8.2799999999999995E-7</v>
      </c>
      <c r="F266" s="140">
        <f t="shared" si="109"/>
        <v>1.1039999999999999E-6</v>
      </c>
      <c r="G266" s="140">
        <f t="shared" si="109"/>
        <v>1.3800000000000001E-6</v>
      </c>
      <c r="H266" s="124">
        <f t="shared" si="60"/>
        <v>0.8</v>
      </c>
      <c r="I266" s="156">
        <f t="shared" si="61"/>
        <v>9.9999999999999995E-8</v>
      </c>
      <c r="K266" s="140">
        <f t="shared" si="62"/>
        <v>2.76E-5</v>
      </c>
      <c r="L266">
        <v>2.76</v>
      </c>
      <c r="M266" s="140">
        <f t="shared" si="63"/>
        <v>2.7599999999999993E-7</v>
      </c>
      <c r="N266" s="140">
        <f t="shared" si="64"/>
        <v>5.5199999999999997E-7</v>
      </c>
      <c r="O266" s="140">
        <f t="shared" si="65"/>
        <v>8.2799999999999995E-7</v>
      </c>
      <c r="P266" s="140">
        <f t="shared" si="58"/>
        <v>1.1039999999999999E-6</v>
      </c>
      <c r="Q266" s="140">
        <f t="shared" si="66"/>
        <v>1.3800000000000001E-6</v>
      </c>
      <c r="R266" s="157">
        <f t="shared" si="67"/>
        <v>0.8</v>
      </c>
      <c r="S266" s="156">
        <f t="shared" si="68"/>
        <v>9.9999999999999995E-8</v>
      </c>
      <c r="U266" s="140">
        <f t="shared" si="69"/>
        <v>2.76E-5</v>
      </c>
      <c r="V266">
        <v>2.76</v>
      </c>
      <c r="W266" s="140">
        <f t="shared" si="70"/>
        <v>2.7599999999999993E-7</v>
      </c>
      <c r="X266" s="140">
        <f t="shared" si="71"/>
        <v>5.5199999999999997E-7</v>
      </c>
      <c r="Y266" s="140">
        <f t="shared" si="72"/>
        <v>8.2799999999999995E-7</v>
      </c>
      <c r="Z266" s="140">
        <f t="shared" si="73"/>
        <v>1.1039999999999999E-6</v>
      </c>
      <c r="AA266" s="140">
        <f t="shared" si="74"/>
        <v>1.3800000000000001E-6</v>
      </c>
      <c r="AB266" s="157">
        <f t="shared" si="75"/>
        <v>0.8</v>
      </c>
      <c r="AC266" s="156">
        <f t="shared" si="76"/>
        <v>9.9999999999999995E-8</v>
      </c>
      <c r="AE266" s="140">
        <f t="shared" si="77"/>
        <v>2.76E-5</v>
      </c>
      <c r="AF266">
        <v>2.76</v>
      </c>
      <c r="AG266" s="140">
        <f t="shared" si="78"/>
        <v>2.7599999999999993E-7</v>
      </c>
      <c r="AH266" s="140">
        <f t="shared" si="79"/>
        <v>5.5199999999999997E-7</v>
      </c>
      <c r="AI266" s="140">
        <f t="shared" si="80"/>
        <v>8.2799999999999995E-7</v>
      </c>
      <c r="AJ266" s="140">
        <f t="shared" si="81"/>
        <v>1.1039999999999999E-6</v>
      </c>
      <c r="AK266" s="140">
        <f t="shared" si="82"/>
        <v>1.3800000000000001E-6</v>
      </c>
      <c r="AL266" s="157">
        <f t="shared" si="83"/>
        <v>1.2</v>
      </c>
      <c r="AM266" s="156">
        <f t="shared" si="84"/>
        <v>9.9999999999999995E-8</v>
      </c>
      <c r="AO266" s="140">
        <f t="shared" si="85"/>
        <v>2.76E-5</v>
      </c>
      <c r="AP266">
        <v>2.76</v>
      </c>
      <c r="AQ266" s="140">
        <f t="shared" si="86"/>
        <v>2.7599999999999993E-7</v>
      </c>
      <c r="AR266" s="140">
        <f t="shared" si="87"/>
        <v>5.5199999999999997E-7</v>
      </c>
      <c r="AS266" s="140">
        <f t="shared" si="88"/>
        <v>8.2799999999999995E-7</v>
      </c>
      <c r="AT266" s="140">
        <f t="shared" si="89"/>
        <v>1.1039999999999999E-6</v>
      </c>
      <c r="AU266" s="140">
        <f t="shared" si="90"/>
        <v>1.3800000000000001E-6</v>
      </c>
      <c r="AV266" s="157">
        <f t="shared" si="91"/>
        <v>1.2</v>
      </c>
      <c r="AW266" s="156">
        <f t="shared" si="92"/>
        <v>9.9999999999999995E-8</v>
      </c>
      <c r="AY266" s="140">
        <f t="shared" si="93"/>
        <v>2.76E-5</v>
      </c>
      <c r="AZ266">
        <v>2.76</v>
      </c>
      <c r="BA266" s="140">
        <f t="shared" si="94"/>
        <v>2.7599999999999993E-7</v>
      </c>
      <c r="BB266" s="140">
        <f t="shared" si="95"/>
        <v>5.5199999999999997E-7</v>
      </c>
      <c r="BC266" s="140">
        <f t="shared" si="96"/>
        <v>8.2799999999999995E-7</v>
      </c>
      <c r="BD266" s="140">
        <f t="shared" si="97"/>
        <v>1.1039999999999999E-6</v>
      </c>
      <c r="BE266" s="140">
        <f t="shared" si="98"/>
        <v>1.3800000000000001E-6</v>
      </c>
      <c r="BF266" s="157">
        <f>IF(AY266&lt;$B$89*DATA!$H$1037,DATA!$H$1037,IF(AY266&gt;DATA!$H$1036*$B$89,DATA!$H$1036,1))</f>
        <v>1.2</v>
      </c>
      <c r="BG266" s="156">
        <f t="shared" si="99"/>
        <v>9.9999999999999995E-8</v>
      </c>
      <c r="BI266" s="140">
        <f t="shared" si="100"/>
        <v>2.76E-5</v>
      </c>
      <c r="BJ266">
        <v>2.76</v>
      </c>
      <c r="BK266" s="140">
        <f t="shared" si="101"/>
        <v>2.7599999999999993E-7</v>
      </c>
      <c r="BL266" s="140">
        <f t="shared" si="102"/>
        <v>5.5199999999999997E-7</v>
      </c>
      <c r="BM266" s="140">
        <f t="shared" si="103"/>
        <v>8.2799999999999995E-7</v>
      </c>
      <c r="BN266" s="140">
        <f t="shared" si="104"/>
        <v>1.1039999999999999E-6</v>
      </c>
      <c r="BO266" s="140">
        <f t="shared" si="105"/>
        <v>1.3800000000000001E-6</v>
      </c>
      <c r="BP266" s="157">
        <f>IF(BI266&lt;$B$105*DATA!$H$1037,DATA!$H$1037,IF(BI266&gt;DATA!$H$1036*$B$105,DATA!$H$1036,1))</f>
        <v>1.2</v>
      </c>
      <c r="BQ266" s="156">
        <f t="shared" si="106"/>
        <v>9.9999999999999995E-8</v>
      </c>
    </row>
    <row r="267" spans="1:69">
      <c r="A267" s="140">
        <f t="shared" si="59"/>
        <v>2.7800000000000001E-5</v>
      </c>
      <c r="B267">
        <v>2.78</v>
      </c>
      <c r="C267" s="140">
        <f t="shared" si="109"/>
        <v>2.7799999999999992E-7</v>
      </c>
      <c r="D267" s="140">
        <f t="shared" si="109"/>
        <v>5.5599999999999995E-7</v>
      </c>
      <c r="E267" s="140">
        <f t="shared" si="109"/>
        <v>8.3399999999999998E-7</v>
      </c>
      <c r="F267" s="140">
        <f t="shared" si="109"/>
        <v>1.1120000000000001E-6</v>
      </c>
      <c r="G267" s="140">
        <f t="shared" si="109"/>
        <v>1.3900000000000002E-6</v>
      </c>
      <c r="H267" s="124">
        <f t="shared" si="60"/>
        <v>0.8</v>
      </c>
      <c r="I267" s="156">
        <f t="shared" si="61"/>
        <v>9.9999999999999995E-8</v>
      </c>
      <c r="K267" s="140">
        <f t="shared" si="62"/>
        <v>2.7800000000000001E-5</v>
      </c>
      <c r="L267">
        <v>2.78</v>
      </c>
      <c r="M267" s="140">
        <f t="shared" si="63"/>
        <v>2.7799999999999992E-7</v>
      </c>
      <c r="N267" s="140">
        <f t="shared" si="64"/>
        <v>5.5599999999999995E-7</v>
      </c>
      <c r="O267" s="140">
        <f t="shared" si="65"/>
        <v>8.3399999999999998E-7</v>
      </c>
      <c r="P267" s="140">
        <f t="shared" si="58"/>
        <v>1.1120000000000001E-6</v>
      </c>
      <c r="Q267" s="140">
        <f t="shared" si="66"/>
        <v>1.3900000000000002E-6</v>
      </c>
      <c r="R267" s="157">
        <f t="shared" si="67"/>
        <v>0.8</v>
      </c>
      <c r="S267" s="156">
        <f t="shared" si="68"/>
        <v>9.9999999999999995E-8</v>
      </c>
      <c r="U267" s="140">
        <f t="shared" si="69"/>
        <v>2.7800000000000001E-5</v>
      </c>
      <c r="V267">
        <v>2.78</v>
      </c>
      <c r="W267" s="140">
        <f t="shared" si="70"/>
        <v>2.7799999999999992E-7</v>
      </c>
      <c r="X267" s="140">
        <f t="shared" si="71"/>
        <v>5.5599999999999995E-7</v>
      </c>
      <c r="Y267" s="140">
        <f t="shared" si="72"/>
        <v>8.3399999999999998E-7</v>
      </c>
      <c r="Z267" s="140">
        <f t="shared" si="73"/>
        <v>1.1120000000000001E-6</v>
      </c>
      <c r="AA267" s="140">
        <f t="shared" si="74"/>
        <v>1.3900000000000002E-6</v>
      </c>
      <c r="AB267" s="157">
        <f t="shared" si="75"/>
        <v>0.8</v>
      </c>
      <c r="AC267" s="156">
        <f t="shared" si="76"/>
        <v>9.9999999999999995E-8</v>
      </c>
      <c r="AE267" s="140">
        <f t="shared" si="77"/>
        <v>2.7800000000000001E-5</v>
      </c>
      <c r="AF267">
        <v>2.78</v>
      </c>
      <c r="AG267" s="140">
        <f t="shared" si="78"/>
        <v>2.7799999999999992E-7</v>
      </c>
      <c r="AH267" s="140">
        <f t="shared" si="79"/>
        <v>5.5599999999999995E-7</v>
      </c>
      <c r="AI267" s="140">
        <f t="shared" si="80"/>
        <v>8.3399999999999998E-7</v>
      </c>
      <c r="AJ267" s="140">
        <f t="shared" si="81"/>
        <v>1.1120000000000001E-6</v>
      </c>
      <c r="AK267" s="140">
        <f t="shared" si="82"/>
        <v>1.3900000000000002E-6</v>
      </c>
      <c r="AL267" s="157">
        <f t="shared" si="83"/>
        <v>1.2</v>
      </c>
      <c r="AM267" s="156">
        <f t="shared" si="84"/>
        <v>9.9999999999999995E-8</v>
      </c>
      <c r="AO267" s="140">
        <f t="shared" si="85"/>
        <v>2.7800000000000001E-5</v>
      </c>
      <c r="AP267">
        <v>2.78</v>
      </c>
      <c r="AQ267" s="140">
        <f t="shared" si="86"/>
        <v>2.7799999999999992E-7</v>
      </c>
      <c r="AR267" s="140">
        <f t="shared" si="87"/>
        <v>5.5599999999999995E-7</v>
      </c>
      <c r="AS267" s="140">
        <f t="shared" si="88"/>
        <v>8.3399999999999998E-7</v>
      </c>
      <c r="AT267" s="140">
        <f t="shared" si="89"/>
        <v>1.1120000000000001E-6</v>
      </c>
      <c r="AU267" s="140">
        <f t="shared" si="90"/>
        <v>1.3900000000000002E-6</v>
      </c>
      <c r="AV267" s="157">
        <f t="shared" si="91"/>
        <v>1.2</v>
      </c>
      <c r="AW267" s="156">
        <f t="shared" si="92"/>
        <v>9.9999999999999995E-8</v>
      </c>
      <c r="AY267" s="140">
        <f t="shared" si="93"/>
        <v>2.7800000000000001E-5</v>
      </c>
      <c r="AZ267">
        <v>2.78</v>
      </c>
      <c r="BA267" s="140">
        <f t="shared" si="94"/>
        <v>2.7799999999999992E-7</v>
      </c>
      <c r="BB267" s="140">
        <f t="shared" si="95"/>
        <v>5.5599999999999995E-7</v>
      </c>
      <c r="BC267" s="140">
        <f t="shared" si="96"/>
        <v>8.3399999999999998E-7</v>
      </c>
      <c r="BD267" s="140">
        <f t="shared" si="97"/>
        <v>1.1120000000000001E-6</v>
      </c>
      <c r="BE267" s="140">
        <f t="shared" si="98"/>
        <v>1.3900000000000002E-6</v>
      </c>
      <c r="BF267" s="157">
        <f>IF(AY267&lt;$B$89*DATA!$H$1037,DATA!$H$1037,IF(AY267&gt;DATA!$H$1036*$B$89,DATA!$H$1036,1))</f>
        <v>1.2</v>
      </c>
      <c r="BG267" s="156">
        <f t="shared" si="99"/>
        <v>9.9999999999999995E-8</v>
      </c>
      <c r="BI267" s="140">
        <f t="shared" si="100"/>
        <v>2.7800000000000001E-5</v>
      </c>
      <c r="BJ267">
        <v>2.78</v>
      </c>
      <c r="BK267" s="140">
        <f t="shared" si="101"/>
        <v>2.7799999999999992E-7</v>
      </c>
      <c r="BL267" s="140">
        <f t="shared" si="102"/>
        <v>5.5599999999999995E-7</v>
      </c>
      <c r="BM267" s="140">
        <f t="shared" si="103"/>
        <v>8.3399999999999998E-7</v>
      </c>
      <c r="BN267" s="140">
        <f t="shared" si="104"/>
        <v>1.1120000000000001E-6</v>
      </c>
      <c r="BO267" s="140">
        <f t="shared" si="105"/>
        <v>1.3900000000000002E-6</v>
      </c>
      <c r="BP267" s="157">
        <f>IF(BI267&lt;$B$105*DATA!$H$1037,DATA!$H$1037,IF(BI267&gt;DATA!$H$1036*$B$105,DATA!$H$1036,1))</f>
        <v>1.2</v>
      </c>
      <c r="BQ267" s="156">
        <f t="shared" si="106"/>
        <v>9.9999999999999995E-8</v>
      </c>
    </row>
    <row r="268" spans="1:69">
      <c r="A268" s="140">
        <f t="shared" si="59"/>
        <v>2.8E-5</v>
      </c>
      <c r="B268">
        <v>2.8</v>
      </c>
      <c r="C268" s="140">
        <f t="shared" si="109"/>
        <v>2.7999999999999991E-7</v>
      </c>
      <c r="D268" s="140">
        <f t="shared" si="109"/>
        <v>5.5999999999999993E-7</v>
      </c>
      <c r="E268" s="140">
        <f t="shared" si="109"/>
        <v>8.4E-7</v>
      </c>
      <c r="F268" s="140">
        <f t="shared" si="109"/>
        <v>1.1200000000000001E-6</v>
      </c>
      <c r="G268" s="140">
        <f t="shared" si="109"/>
        <v>1.4000000000000001E-6</v>
      </c>
      <c r="H268" s="124">
        <f t="shared" si="60"/>
        <v>0.8</v>
      </c>
      <c r="I268" s="156">
        <f t="shared" si="61"/>
        <v>9.9999999999999995E-8</v>
      </c>
      <c r="K268" s="140">
        <f t="shared" si="62"/>
        <v>2.8E-5</v>
      </c>
      <c r="L268">
        <v>2.8</v>
      </c>
      <c r="M268" s="140">
        <f t="shared" si="63"/>
        <v>2.7999999999999991E-7</v>
      </c>
      <c r="N268" s="140">
        <f t="shared" si="64"/>
        <v>5.5999999999999993E-7</v>
      </c>
      <c r="O268" s="140">
        <f t="shared" si="65"/>
        <v>8.4E-7</v>
      </c>
      <c r="P268" s="140">
        <f t="shared" si="58"/>
        <v>1.1200000000000001E-6</v>
      </c>
      <c r="Q268" s="140">
        <f t="shared" si="66"/>
        <v>1.4000000000000001E-6</v>
      </c>
      <c r="R268" s="157">
        <f t="shared" si="67"/>
        <v>0.8</v>
      </c>
      <c r="S268" s="156">
        <f t="shared" si="68"/>
        <v>9.9999999999999995E-8</v>
      </c>
      <c r="U268" s="140">
        <f t="shared" si="69"/>
        <v>2.8E-5</v>
      </c>
      <c r="V268">
        <v>2.8</v>
      </c>
      <c r="W268" s="140">
        <f t="shared" si="70"/>
        <v>2.7999999999999991E-7</v>
      </c>
      <c r="X268" s="140">
        <f t="shared" si="71"/>
        <v>5.5999999999999993E-7</v>
      </c>
      <c r="Y268" s="140">
        <f t="shared" si="72"/>
        <v>8.4E-7</v>
      </c>
      <c r="Z268" s="140">
        <f t="shared" si="73"/>
        <v>1.1200000000000001E-6</v>
      </c>
      <c r="AA268" s="140">
        <f t="shared" si="74"/>
        <v>1.4000000000000001E-6</v>
      </c>
      <c r="AB268" s="157">
        <f t="shared" si="75"/>
        <v>0.8</v>
      </c>
      <c r="AC268" s="156">
        <f t="shared" si="76"/>
        <v>9.9999999999999995E-8</v>
      </c>
      <c r="AE268" s="140">
        <f t="shared" si="77"/>
        <v>2.8E-5</v>
      </c>
      <c r="AF268">
        <v>2.8</v>
      </c>
      <c r="AG268" s="140">
        <f t="shared" si="78"/>
        <v>2.7999999999999991E-7</v>
      </c>
      <c r="AH268" s="140">
        <f t="shared" si="79"/>
        <v>5.5999999999999993E-7</v>
      </c>
      <c r="AI268" s="140">
        <f t="shared" si="80"/>
        <v>8.4E-7</v>
      </c>
      <c r="AJ268" s="140">
        <f t="shared" si="81"/>
        <v>1.1200000000000001E-6</v>
      </c>
      <c r="AK268" s="140">
        <f t="shared" si="82"/>
        <v>1.4000000000000001E-6</v>
      </c>
      <c r="AL268" s="157">
        <f t="shared" si="83"/>
        <v>1.2</v>
      </c>
      <c r="AM268" s="156">
        <f t="shared" si="84"/>
        <v>9.9999999999999995E-8</v>
      </c>
      <c r="AO268" s="140">
        <f t="shared" si="85"/>
        <v>2.8E-5</v>
      </c>
      <c r="AP268">
        <v>2.8</v>
      </c>
      <c r="AQ268" s="140">
        <f t="shared" si="86"/>
        <v>2.7999999999999991E-7</v>
      </c>
      <c r="AR268" s="140">
        <f t="shared" si="87"/>
        <v>5.5999999999999993E-7</v>
      </c>
      <c r="AS268" s="140">
        <f t="shared" si="88"/>
        <v>8.4E-7</v>
      </c>
      <c r="AT268" s="140">
        <f t="shared" si="89"/>
        <v>1.1200000000000001E-6</v>
      </c>
      <c r="AU268" s="140">
        <f t="shared" si="90"/>
        <v>1.4000000000000001E-6</v>
      </c>
      <c r="AV268" s="157">
        <f t="shared" si="91"/>
        <v>1.2</v>
      </c>
      <c r="AW268" s="156">
        <f t="shared" si="92"/>
        <v>9.9999999999999995E-8</v>
      </c>
      <c r="AY268" s="140">
        <f t="shared" si="93"/>
        <v>2.8E-5</v>
      </c>
      <c r="AZ268">
        <v>2.8</v>
      </c>
      <c r="BA268" s="140">
        <f t="shared" si="94"/>
        <v>2.7999999999999991E-7</v>
      </c>
      <c r="BB268" s="140">
        <f t="shared" si="95"/>
        <v>5.5999999999999993E-7</v>
      </c>
      <c r="BC268" s="140">
        <f t="shared" si="96"/>
        <v>8.4E-7</v>
      </c>
      <c r="BD268" s="140">
        <f t="shared" si="97"/>
        <v>1.1200000000000001E-6</v>
      </c>
      <c r="BE268" s="140">
        <f t="shared" si="98"/>
        <v>1.4000000000000001E-6</v>
      </c>
      <c r="BF268" s="157">
        <f>IF(AY268&lt;$B$89*DATA!$H$1037,DATA!$H$1037,IF(AY268&gt;DATA!$H$1036*$B$89,DATA!$H$1036,1))</f>
        <v>1.2</v>
      </c>
      <c r="BG268" s="156">
        <f t="shared" si="99"/>
        <v>9.9999999999999995E-8</v>
      </c>
      <c r="BI268" s="140">
        <f t="shared" si="100"/>
        <v>2.8E-5</v>
      </c>
      <c r="BJ268">
        <v>2.8</v>
      </c>
      <c r="BK268" s="140">
        <f t="shared" si="101"/>
        <v>2.7999999999999991E-7</v>
      </c>
      <c r="BL268" s="140">
        <f t="shared" si="102"/>
        <v>5.5999999999999993E-7</v>
      </c>
      <c r="BM268" s="140">
        <f t="shared" si="103"/>
        <v>8.4E-7</v>
      </c>
      <c r="BN268" s="140">
        <f t="shared" si="104"/>
        <v>1.1200000000000001E-6</v>
      </c>
      <c r="BO268" s="140">
        <f t="shared" si="105"/>
        <v>1.4000000000000001E-6</v>
      </c>
      <c r="BP268" s="157">
        <f>IF(BI268&lt;$B$105*DATA!$H$1037,DATA!$H$1037,IF(BI268&gt;DATA!$H$1036*$B$105,DATA!$H$1036,1))</f>
        <v>1.2</v>
      </c>
      <c r="BQ268" s="156">
        <f t="shared" si="106"/>
        <v>9.9999999999999995E-8</v>
      </c>
    </row>
    <row r="269" spans="1:69">
      <c r="A269" s="140">
        <f t="shared" si="59"/>
        <v>2.8200000000000001E-5</v>
      </c>
      <c r="B269">
        <v>2.82</v>
      </c>
      <c r="C269" s="140">
        <f t="shared" si="109"/>
        <v>2.819999999999999E-7</v>
      </c>
      <c r="D269" s="140">
        <f t="shared" si="109"/>
        <v>5.6399999999999992E-7</v>
      </c>
      <c r="E269" s="140">
        <f t="shared" si="109"/>
        <v>8.4600000000000003E-7</v>
      </c>
      <c r="F269" s="140">
        <f t="shared" si="109"/>
        <v>1.128E-6</v>
      </c>
      <c r="G269" s="140">
        <f t="shared" si="109"/>
        <v>1.4100000000000001E-6</v>
      </c>
      <c r="H269" s="124">
        <f t="shared" si="60"/>
        <v>0.8</v>
      </c>
      <c r="I269" s="156">
        <f t="shared" si="61"/>
        <v>9.9999999999999995E-8</v>
      </c>
      <c r="K269" s="140">
        <f t="shared" si="62"/>
        <v>2.8200000000000001E-5</v>
      </c>
      <c r="L269">
        <v>2.82</v>
      </c>
      <c r="M269" s="140">
        <f t="shared" si="63"/>
        <v>2.819999999999999E-7</v>
      </c>
      <c r="N269" s="140">
        <f t="shared" si="64"/>
        <v>5.6399999999999992E-7</v>
      </c>
      <c r="O269" s="140">
        <f t="shared" si="65"/>
        <v>8.4600000000000003E-7</v>
      </c>
      <c r="P269" s="140">
        <f t="shared" si="58"/>
        <v>1.128E-6</v>
      </c>
      <c r="Q269" s="140">
        <f t="shared" si="66"/>
        <v>1.4100000000000001E-6</v>
      </c>
      <c r="R269" s="157">
        <f t="shared" si="67"/>
        <v>0.8</v>
      </c>
      <c r="S269" s="156">
        <f t="shared" si="68"/>
        <v>9.9999999999999995E-8</v>
      </c>
      <c r="U269" s="140">
        <f t="shared" si="69"/>
        <v>2.8200000000000001E-5</v>
      </c>
      <c r="V269">
        <v>2.82</v>
      </c>
      <c r="W269" s="140">
        <f t="shared" si="70"/>
        <v>2.819999999999999E-7</v>
      </c>
      <c r="X269" s="140">
        <f t="shared" si="71"/>
        <v>5.6399999999999992E-7</v>
      </c>
      <c r="Y269" s="140">
        <f t="shared" si="72"/>
        <v>8.4600000000000003E-7</v>
      </c>
      <c r="Z269" s="140">
        <f t="shared" si="73"/>
        <v>1.128E-6</v>
      </c>
      <c r="AA269" s="140">
        <f t="shared" si="74"/>
        <v>1.4100000000000001E-6</v>
      </c>
      <c r="AB269" s="157">
        <f t="shared" si="75"/>
        <v>0.8</v>
      </c>
      <c r="AC269" s="156">
        <f t="shared" si="76"/>
        <v>9.9999999999999995E-8</v>
      </c>
      <c r="AE269" s="140">
        <f t="shared" si="77"/>
        <v>2.8200000000000001E-5</v>
      </c>
      <c r="AF269">
        <v>2.82</v>
      </c>
      <c r="AG269" s="140">
        <f t="shared" si="78"/>
        <v>2.819999999999999E-7</v>
      </c>
      <c r="AH269" s="140">
        <f t="shared" si="79"/>
        <v>5.6399999999999992E-7</v>
      </c>
      <c r="AI269" s="140">
        <f t="shared" si="80"/>
        <v>8.4600000000000003E-7</v>
      </c>
      <c r="AJ269" s="140">
        <f t="shared" si="81"/>
        <v>1.128E-6</v>
      </c>
      <c r="AK269" s="140">
        <f t="shared" si="82"/>
        <v>1.4100000000000001E-6</v>
      </c>
      <c r="AL269" s="157">
        <f t="shared" si="83"/>
        <v>1.2</v>
      </c>
      <c r="AM269" s="156">
        <f t="shared" si="84"/>
        <v>9.9999999999999995E-8</v>
      </c>
      <c r="AO269" s="140">
        <f t="shared" si="85"/>
        <v>2.8200000000000001E-5</v>
      </c>
      <c r="AP269">
        <v>2.82</v>
      </c>
      <c r="AQ269" s="140">
        <f t="shared" si="86"/>
        <v>2.819999999999999E-7</v>
      </c>
      <c r="AR269" s="140">
        <f t="shared" si="87"/>
        <v>5.6399999999999992E-7</v>
      </c>
      <c r="AS269" s="140">
        <f t="shared" si="88"/>
        <v>8.4600000000000003E-7</v>
      </c>
      <c r="AT269" s="140">
        <f t="shared" si="89"/>
        <v>1.128E-6</v>
      </c>
      <c r="AU269" s="140">
        <f t="shared" si="90"/>
        <v>1.4100000000000001E-6</v>
      </c>
      <c r="AV269" s="157">
        <f t="shared" si="91"/>
        <v>1.2</v>
      </c>
      <c r="AW269" s="156">
        <f t="shared" si="92"/>
        <v>9.9999999999999995E-8</v>
      </c>
      <c r="AY269" s="140">
        <f t="shared" si="93"/>
        <v>2.8200000000000001E-5</v>
      </c>
      <c r="AZ269">
        <v>2.82</v>
      </c>
      <c r="BA269" s="140">
        <f t="shared" si="94"/>
        <v>2.819999999999999E-7</v>
      </c>
      <c r="BB269" s="140">
        <f t="shared" si="95"/>
        <v>5.6399999999999992E-7</v>
      </c>
      <c r="BC269" s="140">
        <f t="shared" si="96"/>
        <v>8.4600000000000003E-7</v>
      </c>
      <c r="BD269" s="140">
        <f t="shared" si="97"/>
        <v>1.128E-6</v>
      </c>
      <c r="BE269" s="140">
        <f t="shared" si="98"/>
        <v>1.4100000000000001E-6</v>
      </c>
      <c r="BF269" s="157">
        <f>IF(AY269&lt;$B$89*DATA!$H$1037,DATA!$H$1037,IF(AY269&gt;DATA!$H$1036*$B$89,DATA!$H$1036,1))</f>
        <v>1.2</v>
      </c>
      <c r="BG269" s="156">
        <f t="shared" si="99"/>
        <v>9.9999999999999995E-8</v>
      </c>
      <c r="BI269" s="140">
        <f t="shared" si="100"/>
        <v>2.8200000000000001E-5</v>
      </c>
      <c r="BJ269">
        <v>2.82</v>
      </c>
      <c r="BK269" s="140">
        <f t="shared" si="101"/>
        <v>2.819999999999999E-7</v>
      </c>
      <c r="BL269" s="140">
        <f t="shared" si="102"/>
        <v>5.6399999999999992E-7</v>
      </c>
      <c r="BM269" s="140">
        <f t="shared" si="103"/>
        <v>8.4600000000000003E-7</v>
      </c>
      <c r="BN269" s="140">
        <f t="shared" si="104"/>
        <v>1.128E-6</v>
      </c>
      <c r="BO269" s="140">
        <f t="shared" si="105"/>
        <v>1.4100000000000001E-6</v>
      </c>
      <c r="BP269" s="157">
        <f>IF(BI269&lt;$B$105*DATA!$H$1037,DATA!$H$1037,IF(BI269&gt;DATA!$H$1036*$B$105,DATA!$H$1036,1))</f>
        <v>1.2</v>
      </c>
      <c r="BQ269" s="156">
        <f t="shared" si="106"/>
        <v>9.9999999999999995E-8</v>
      </c>
    </row>
    <row r="270" spans="1:69">
      <c r="A270" s="140">
        <f t="shared" si="59"/>
        <v>2.8400000000000003E-5</v>
      </c>
      <c r="B270">
        <v>2.84</v>
      </c>
      <c r="C270" s="140">
        <f t="shared" si="109"/>
        <v>2.8399999999999995E-7</v>
      </c>
      <c r="D270" s="140">
        <f t="shared" si="109"/>
        <v>5.68E-7</v>
      </c>
      <c r="E270" s="140">
        <f t="shared" si="109"/>
        <v>8.5200000000000006E-7</v>
      </c>
      <c r="F270" s="140">
        <f t="shared" si="109"/>
        <v>1.1360000000000002E-6</v>
      </c>
      <c r="G270" s="140">
        <f t="shared" si="109"/>
        <v>1.4200000000000002E-6</v>
      </c>
      <c r="H270" s="124">
        <f t="shared" si="60"/>
        <v>0.8</v>
      </c>
      <c r="I270" s="156">
        <f t="shared" si="61"/>
        <v>9.9999999999999995E-8</v>
      </c>
      <c r="K270" s="140">
        <f t="shared" si="62"/>
        <v>2.8400000000000003E-5</v>
      </c>
      <c r="L270">
        <v>2.84</v>
      </c>
      <c r="M270" s="140">
        <f t="shared" si="63"/>
        <v>2.8399999999999995E-7</v>
      </c>
      <c r="N270" s="140">
        <f t="shared" si="64"/>
        <v>5.68E-7</v>
      </c>
      <c r="O270" s="140">
        <f t="shared" si="65"/>
        <v>8.5200000000000006E-7</v>
      </c>
      <c r="P270" s="140">
        <f t="shared" si="58"/>
        <v>1.1360000000000002E-6</v>
      </c>
      <c r="Q270" s="140">
        <f t="shared" si="66"/>
        <v>1.4200000000000002E-6</v>
      </c>
      <c r="R270" s="157">
        <f t="shared" si="67"/>
        <v>0.8</v>
      </c>
      <c r="S270" s="156">
        <f t="shared" si="68"/>
        <v>9.9999999999999995E-8</v>
      </c>
      <c r="U270" s="140">
        <f t="shared" si="69"/>
        <v>2.8400000000000003E-5</v>
      </c>
      <c r="V270">
        <v>2.84</v>
      </c>
      <c r="W270" s="140">
        <f t="shared" si="70"/>
        <v>2.8399999999999995E-7</v>
      </c>
      <c r="X270" s="140">
        <f t="shared" si="71"/>
        <v>5.68E-7</v>
      </c>
      <c r="Y270" s="140">
        <f t="shared" si="72"/>
        <v>8.5200000000000006E-7</v>
      </c>
      <c r="Z270" s="140">
        <f t="shared" si="73"/>
        <v>1.1360000000000002E-6</v>
      </c>
      <c r="AA270" s="140">
        <f t="shared" si="74"/>
        <v>1.4200000000000002E-6</v>
      </c>
      <c r="AB270" s="157">
        <f t="shared" si="75"/>
        <v>0.8</v>
      </c>
      <c r="AC270" s="156">
        <f t="shared" si="76"/>
        <v>9.9999999999999995E-8</v>
      </c>
      <c r="AE270" s="140">
        <f t="shared" si="77"/>
        <v>2.8400000000000003E-5</v>
      </c>
      <c r="AF270">
        <v>2.84</v>
      </c>
      <c r="AG270" s="140">
        <f t="shared" si="78"/>
        <v>2.8399999999999995E-7</v>
      </c>
      <c r="AH270" s="140">
        <f t="shared" si="79"/>
        <v>5.68E-7</v>
      </c>
      <c r="AI270" s="140">
        <f t="shared" si="80"/>
        <v>8.5200000000000006E-7</v>
      </c>
      <c r="AJ270" s="140">
        <f t="shared" si="81"/>
        <v>1.1360000000000002E-6</v>
      </c>
      <c r="AK270" s="140">
        <f t="shared" si="82"/>
        <v>1.4200000000000002E-6</v>
      </c>
      <c r="AL270" s="157">
        <f t="shared" si="83"/>
        <v>1.2</v>
      </c>
      <c r="AM270" s="156">
        <f t="shared" si="84"/>
        <v>9.9999999999999995E-8</v>
      </c>
      <c r="AO270" s="140">
        <f t="shared" si="85"/>
        <v>2.8400000000000003E-5</v>
      </c>
      <c r="AP270">
        <v>2.84</v>
      </c>
      <c r="AQ270" s="140">
        <f t="shared" si="86"/>
        <v>2.8399999999999995E-7</v>
      </c>
      <c r="AR270" s="140">
        <f t="shared" si="87"/>
        <v>5.68E-7</v>
      </c>
      <c r="AS270" s="140">
        <f t="shared" si="88"/>
        <v>8.5200000000000006E-7</v>
      </c>
      <c r="AT270" s="140">
        <f t="shared" si="89"/>
        <v>1.1360000000000002E-6</v>
      </c>
      <c r="AU270" s="140">
        <f t="shared" si="90"/>
        <v>1.4200000000000002E-6</v>
      </c>
      <c r="AV270" s="157">
        <f t="shared" si="91"/>
        <v>1.2</v>
      </c>
      <c r="AW270" s="156">
        <f t="shared" si="92"/>
        <v>9.9999999999999995E-8</v>
      </c>
      <c r="AY270" s="140">
        <f t="shared" si="93"/>
        <v>2.8400000000000003E-5</v>
      </c>
      <c r="AZ270">
        <v>2.84</v>
      </c>
      <c r="BA270" s="140">
        <f t="shared" si="94"/>
        <v>2.8399999999999995E-7</v>
      </c>
      <c r="BB270" s="140">
        <f t="shared" si="95"/>
        <v>5.68E-7</v>
      </c>
      <c r="BC270" s="140">
        <f t="shared" si="96"/>
        <v>8.5200000000000006E-7</v>
      </c>
      <c r="BD270" s="140">
        <f t="shared" si="97"/>
        <v>1.1360000000000002E-6</v>
      </c>
      <c r="BE270" s="140">
        <f t="shared" si="98"/>
        <v>1.4200000000000002E-6</v>
      </c>
      <c r="BF270" s="157">
        <f>IF(AY270&lt;$B$89*DATA!$H$1037,DATA!$H$1037,IF(AY270&gt;DATA!$H$1036*$B$89,DATA!$H$1036,1))</f>
        <v>1.2</v>
      </c>
      <c r="BG270" s="156">
        <f t="shared" si="99"/>
        <v>9.9999999999999995E-8</v>
      </c>
      <c r="BI270" s="140">
        <f t="shared" si="100"/>
        <v>2.8400000000000003E-5</v>
      </c>
      <c r="BJ270">
        <v>2.84</v>
      </c>
      <c r="BK270" s="140">
        <f t="shared" si="101"/>
        <v>2.8399999999999995E-7</v>
      </c>
      <c r="BL270" s="140">
        <f t="shared" si="102"/>
        <v>5.68E-7</v>
      </c>
      <c r="BM270" s="140">
        <f t="shared" si="103"/>
        <v>8.5200000000000006E-7</v>
      </c>
      <c r="BN270" s="140">
        <f t="shared" si="104"/>
        <v>1.1360000000000002E-6</v>
      </c>
      <c r="BO270" s="140">
        <f t="shared" si="105"/>
        <v>1.4200000000000002E-6</v>
      </c>
      <c r="BP270" s="157">
        <f>IF(BI270&lt;$B$105*DATA!$H$1037,DATA!$H$1037,IF(BI270&gt;DATA!$H$1036*$B$105,DATA!$H$1036,1))</f>
        <v>1.2</v>
      </c>
      <c r="BQ270" s="156">
        <f t="shared" si="106"/>
        <v>9.9999999999999995E-8</v>
      </c>
    </row>
    <row r="271" spans="1:69">
      <c r="A271" s="140">
        <f t="shared" si="59"/>
        <v>2.8600000000000001E-5</v>
      </c>
      <c r="B271">
        <v>2.86</v>
      </c>
      <c r="C271" s="140">
        <f t="shared" ref="C271:G286" si="110">C$142*$A271</f>
        <v>2.8599999999999989E-7</v>
      </c>
      <c r="D271" s="140">
        <f t="shared" si="110"/>
        <v>5.7199999999999988E-7</v>
      </c>
      <c r="E271" s="140">
        <f t="shared" si="110"/>
        <v>8.5799999999999998E-7</v>
      </c>
      <c r="F271" s="140">
        <f t="shared" si="110"/>
        <v>1.144E-6</v>
      </c>
      <c r="G271" s="140">
        <f t="shared" si="110"/>
        <v>1.4300000000000001E-6</v>
      </c>
      <c r="H271" s="124">
        <f t="shared" si="60"/>
        <v>0.8</v>
      </c>
      <c r="I271" s="156">
        <f t="shared" si="61"/>
        <v>9.9999999999999995E-8</v>
      </c>
      <c r="K271" s="140">
        <f t="shared" si="62"/>
        <v>2.8600000000000001E-5</v>
      </c>
      <c r="L271">
        <v>2.86</v>
      </c>
      <c r="M271" s="140">
        <f t="shared" si="63"/>
        <v>2.8599999999999989E-7</v>
      </c>
      <c r="N271" s="140">
        <f t="shared" si="64"/>
        <v>5.7199999999999988E-7</v>
      </c>
      <c r="O271" s="140">
        <f t="shared" si="65"/>
        <v>8.5799999999999998E-7</v>
      </c>
      <c r="P271" s="140">
        <f t="shared" ref="P271:P318" si="111">P$142*$K271</f>
        <v>1.144E-6</v>
      </c>
      <c r="Q271" s="140">
        <f t="shared" si="66"/>
        <v>1.4300000000000001E-6</v>
      </c>
      <c r="R271" s="157">
        <f t="shared" si="67"/>
        <v>0.8</v>
      </c>
      <c r="S271" s="156">
        <f t="shared" si="68"/>
        <v>9.9999999999999995E-8</v>
      </c>
      <c r="U271" s="140">
        <f t="shared" si="69"/>
        <v>2.8600000000000001E-5</v>
      </c>
      <c r="V271">
        <v>2.86</v>
      </c>
      <c r="W271" s="140">
        <f t="shared" si="70"/>
        <v>2.8599999999999989E-7</v>
      </c>
      <c r="X271" s="140">
        <f t="shared" si="71"/>
        <v>5.7199999999999988E-7</v>
      </c>
      <c r="Y271" s="140">
        <f t="shared" si="72"/>
        <v>8.5799999999999998E-7</v>
      </c>
      <c r="Z271" s="140">
        <f t="shared" si="73"/>
        <v>1.144E-6</v>
      </c>
      <c r="AA271" s="140">
        <f t="shared" si="74"/>
        <v>1.4300000000000001E-6</v>
      </c>
      <c r="AB271" s="157">
        <f t="shared" si="75"/>
        <v>0.8</v>
      </c>
      <c r="AC271" s="156">
        <f t="shared" si="76"/>
        <v>9.9999999999999995E-8</v>
      </c>
      <c r="AE271" s="140">
        <f t="shared" si="77"/>
        <v>2.8600000000000001E-5</v>
      </c>
      <c r="AF271">
        <v>2.86</v>
      </c>
      <c r="AG271" s="140">
        <f t="shared" si="78"/>
        <v>2.8599999999999989E-7</v>
      </c>
      <c r="AH271" s="140">
        <f t="shared" si="79"/>
        <v>5.7199999999999988E-7</v>
      </c>
      <c r="AI271" s="140">
        <f t="shared" si="80"/>
        <v>8.5799999999999998E-7</v>
      </c>
      <c r="AJ271" s="140">
        <f t="shared" si="81"/>
        <v>1.144E-6</v>
      </c>
      <c r="AK271" s="140">
        <f t="shared" si="82"/>
        <v>1.4300000000000001E-6</v>
      </c>
      <c r="AL271" s="157">
        <f t="shared" si="83"/>
        <v>1.2</v>
      </c>
      <c r="AM271" s="156">
        <f t="shared" si="84"/>
        <v>9.9999999999999995E-8</v>
      </c>
      <c r="AO271" s="140">
        <f t="shared" si="85"/>
        <v>2.8600000000000001E-5</v>
      </c>
      <c r="AP271">
        <v>2.86</v>
      </c>
      <c r="AQ271" s="140">
        <f t="shared" si="86"/>
        <v>2.8599999999999989E-7</v>
      </c>
      <c r="AR271" s="140">
        <f t="shared" si="87"/>
        <v>5.7199999999999988E-7</v>
      </c>
      <c r="AS271" s="140">
        <f t="shared" si="88"/>
        <v>8.5799999999999998E-7</v>
      </c>
      <c r="AT271" s="140">
        <f t="shared" si="89"/>
        <v>1.144E-6</v>
      </c>
      <c r="AU271" s="140">
        <f t="shared" si="90"/>
        <v>1.4300000000000001E-6</v>
      </c>
      <c r="AV271" s="157">
        <f t="shared" si="91"/>
        <v>1.2</v>
      </c>
      <c r="AW271" s="156">
        <f t="shared" si="92"/>
        <v>9.9999999999999995E-8</v>
      </c>
      <c r="AY271" s="140">
        <f t="shared" si="93"/>
        <v>2.8600000000000001E-5</v>
      </c>
      <c r="AZ271">
        <v>2.86</v>
      </c>
      <c r="BA271" s="140">
        <f t="shared" si="94"/>
        <v>2.8599999999999989E-7</v>
      </c>
      <c r="BB271" s="140">
        <f t="shared" si="95"/>
        <v>5.7199999999999988E-7</v>
      </c>
      <c r="BC271" s="140">
        <f t="shared" si="96"/>
        <v>8.5799999999999998E-7</v>
      </c>
      <c r="BD271" s="140">
        <f t="shared" si="97"/>
        <v>1.144E-6</v>
      </c>
      <c r="BE271" s="140">
        <f t="shared" si="98"/>
        <v>1.4300000000000001E-6</v>
      </c>
      <c r="BF271" s="157">
        <f>IF(AY271&lt;$B$89*DATA!$H$1037,DATA!$H$1037,IF(AY271&gt;DATA!$H$1036*$B$89,DATA!$H$1036,1))</f>
        <v>1.2</v>
      </c>
      <c r="BG271" s="156">
        <f t="shared" si="99"/>
        <v>9.9999999999999995E-8</v>
      </c>
      <c r="BI271" s="140">
        <f t="shared" si="100"/>
        <v>2.8600000000000001E-5</v>
      </c>
      <c r="BJ271">
        <v>2.86</v>
      </c>
      <c r="BK271" s="140">
        <f t="shared" si="101"/>
        <v>2.8599999999999989E-7</v>
      </c>
      <c r="BL271" s="140">
        <f t="shared" si="102"/>
        <v>5.7199999999999988E-7</v>
      </c>
      <c r="BM271" s="140">
        <f t="shared" si="103"/>
        <v>8.5799999999999998E-7</v>
      </c>
      <c r="BN271" s="140">
        <f t="shared" si="104"/>
        <v>1.144E-6</v>
      </c>
      <c r="BO271" s="140">
        <f t="shared" si="105"/>
        <v>1.4300000000000001E-6</v>
      </c>
      <c r="BP271" s="157">
        <f>IF(BI271&lt;$B$105*DATA!$H$1037,DATA!$H$1037,IF(BI271&gt;DATA!$H$1036*$B$105,DATA!$H$1036,1))</f>
        <v>1.2</v>
      </c>
      <c r="BQ271" s="156">
        <f t="shared" si="106"/>
        <v>9.9999999999999995E-8</v>
      </c>
    </row>
    <row r="272" spans="1:69">
      <c r="A272" s="140">
        <f t="shared" ref="A272:A318" si="112">B272*B$136</f>
        <v>2.8800000000000002E-5</v>
      </c>
      <c r="B272">
        <v>2.88</v>
      </c>
      <c r="C272" s="140">
        <f t="shared" si="110"/>
        <v>2.8799999999999993E-7</v>
      </c>
      <c r="D272" s="140">
        <f t="shared" si="110"/>
        <v>5.7599999999999997E-7</v>
      </c>
      <c r="E272" s="140">
        <f t="shared" si="110"/>
        <v>8.6400000000000001E-7</v>
      </c>
      <c r="F272" s="140">
        <f t="shared" si="110"/>
        <v>1.1520000000000002E-6</v>
      </c>
      <c r="G272" s="140">
        <f t="shared" si="110"/>
        <v>1.4400000000000002E-6</v>
      </c>
      <c r="H272" s="124">
        <f t="shared" ref="H272:H318" si="113">IF(A272&lt;$B$9*0.8,0.8,IF(A272&gt;1.2*$B$9,1.2,1))</f>
        <v>0.8</v>
      </c>
      <c r="I272" s="156">
        <f t="shared" ref="I272:I318" si="114">IF(OR(B$134=0,B$133=0),0.0000001,IF(H272=1,B$134,A272*((B$134*B$138)/(H272*B$133)+0.023*LOG10(H272*B$133/A272))/B$138))</f>
        <v>9.9999999999999995E-8</v>
      </c>
      <c r="K272" s="140">
        <f t="shared" ref="K272:K318" si="115">L272*L$136</f>
        <v>2.8800000000000002E-5</v>
      </c>
      <c r="L272">
        <v>2.88</v>
      </c>
      <c r="M272" s="140">
        <f t="shared" ref="M272:M318" si="116">M$142*K272</f>
        <v>2.8799999999999993E-7</v>
      </c>
      <c r="N272" s="140">
        <f t="shared" ref="N272:N318" si="117">N$142*K272</f>
        <v>5.7599999999999997E-7</v>
      </c>
      <c r="O272" s="140">
        <f t="shared" ref="O272:O318" si="118">O$142*K272</f>
        <v>8.6400000000000001E-7</v>
      </c>
      <c r="P272" s="140">
        <f t="shared" si="111"/>
        <v>1.1520000000000002E-6</v>
      </c>
      <c r="Q272" s="140">
        <f t="shared" ref="Q272:Q318" si="119">Q$142*K272</f>
        <v>1.4400000000000002E-6</v>
      </c>
      <c r="R272" s="157">
        <f t="shared" ref="R272:R318" si="120">IF(K272&lt;$B$25*0.8,0.8,IF(K272&gt;1.2*$B$25,1.2,1))</f>
        <v>0.8</v>
      </c>
      <c r="S272" s="156">
        <f t="shared" ref="S272:S318" si="121">IF(OR(L$134=0,L$133=0),0.0000001,IF(R272=1,L$134,K272*((L$134*L$138)/(R272*L$133)+0.023*LOG10(R272*L$133/K272))/L$138))</f>
        <v>9.9999999999999995E-8</v>
      </c>
      <c r="U272" s="140">
        <f t="shared" ref="U272:U318" si="122">V272*V$136</f>
        <v>2.8800000000000002E-5</v>
      </c>
      <c r="V272">
        <v>2.88</v>
      </c>
      <c r="W272" s="140">
        <f t="shared" ref="W272:W318" si="123">W$142*U272</f>
        <v>2.8799999999999993E-7</v>
      </c>
      <c r="X272" s="140">
        <f t="shared" ref="X272:X318" si="124">X$142*U272</f>
        <v>5.7599999999999997E-7</v>
      </c>
      <c r="Y272" s="140">
        <f t="shared" ref="Y272:Y318" si="125">Y$142*U272</f>
        <v>8.6400000000000001E-7</v>
      </c>
      <c r="Z272" s="140">
        <f t="shared" ref="Z272:Z318" si="126">Z$142*U272</f>
        <v>1.1520000000000002E-6</v>
      </c>
      <c r="AA272" s="140">
        <f t="shared" ref="AA272:AA318" si="127">AA$142*U272</f>
        <v>1.4400000000000002E-6</v>
      </c>
      <c r="AB272" s="157">
        <f t="shared" ref="AB272:AB318" si="128">IF(U272&lt;$B$41*0.8,0.8,IF(U272&gt;1.2*$B$41,1.2,1))</f>
        <v>0.8</v>
      </c>
      <c r="AC272" s="156">
        <f t="shared" ref="AC272:AC318" si="129">IF(OR(V$134=0,V$133=0),0.0000001,IF(AB272=1,V$134,U272*((V$134*V$138)/(AB272*V$133)+0.023*LOG10(AB272*V$133/U272))/V$138))</f>
        <v>9.9999999999999995E-8</v>
      </c>
      <c r="AE272" s="140">
        <f t="shared" ref="AE272:AE318" si="130">AF272*AF$136</f>
        <v>2.8800000000000002E-5</v>
      </c>
      <c r="AF272">
        <v>2.88</v>
      </c>
      <c r="AG272" s="140">
        <f t="shared" ref="AG272:AG318" si="131">AG$142*AE272</f>
        <v>2.8799999999999993E-7</v>
      </c>
      <c r="AH272" s="140">
        <f t="shared" ref="AH272:AH318" si="132">AH$142*AE272</f>
        <v>5.7599999999999997E-7</v>
      </c>
      <c r="AI272" s="140">
        <f t="shared" ref="AI272:AI318" si="133">AI$142*AE272</f>
        <v>8.6400000000000001E-7</v>
      </c>
      <c r="AJ272" s="140">
        <f t="shared" ref="AJ272:AJ318" si="134">AJ$142*AE272</f>
        <v>1.1520000000000002E-6</v>
      </c>
      <c r="AK272" s="140">
        <f t="shared" ref="AK272:AK318" si="135">AK$142*AE272</f>
        <v>1.4400000000000002E-6</v>
      </c>
      <c r="AL272" s="157">
        <f t="shared" ref="AL272:AL318" si="136">IF(AE272&lt;$B$57*0.8,0.8,IF(AE272&gt;1.2*$B$57,1.2,1))</f>
        <v>1.2</v>
      </c>
      <c r="AM272" s="156">
        <f t="shared" ref="AM272:AM318" si="137">IF(OR(AF$134=0,AF$133=0),0.0000001,IF(AL272=1,AF$134,AE272*((AF$134*AF$138)/(AL272*AF$133)+0.023*LOG10(AL272*AF$133/AE272))/AF$138))</f>
        <v>9.9999999999999995E-8</v>
      </c>
      <c r="AO272" s="140">
        <f t="shared" ref="AO272:AO318" si="138">AP272*AP$136</f>
        <v>2.8800000000000002E-5</v>
      </c>
      <c r="AP272">
        <v>2.88</v>
      </c>
      <c r="AQ272" s="140">
        <f t="shared" ref="AQ272:AQ318" si="139">AQ$142*AO272</f>
        <v>2.8799999999999993E-7</v>
      </c>
      <c r="AR272" s="140">
        <f t="shared" ref="AR272:AR318" si="140">AR$142*AO272</f>
        <v>5.7599999999999997E-7</v>
      </c>
      <c r="AS272" s="140">
        <f t="shared" ref="AS272:AS318" si="141">AS$142*AO272</f>
        <v>8.6400000000000001E-7</v>
      </c>
      <c r="AT272" s="140">
        <f t="shared" ref="AT272:AT318" si="142">AT$142*AO272</f>
        <v>1.1520000000000002E-6</v>
      </c>
      <c r="AU272" s="140">
        <f t="shared" ref="AU272:AU318" si="143">AU$142*AO272</f>
        <v>1.4400000000000002E-6</v>
      </c>
      <c r="AV272" s="157">
        <f t="shared" ref="AV272:AV318" si="144">IF(AO272&lt;$B$73*0.8,0.8,IF(AO272&gt;1.2*$B$73,1.2,1))</f>
        <v>1.2</v>
      </c>
      <c r="AW272" s="156">
        <f t="shared" ref="AW272:AW318" si="145">IF(OR(AP$134=0,AP$133=0),0.0000001,IF(AV272=1,AP$134,AO272*((AP$134*AP$138)/(AV272*AP$133)+0.023*LOG10(AV272*AP$133/AO272))/AP$138))</f>
        <v>9.9999999999999995E-8</v>
      </c>
      <c r="AY272" s="140">
        <f t="shared" ref="AY272:AY318" si="146">AZ272*AZ$136</f>
        <v>2.8800000000000002E-5</v>
      </c>
      <c r="AZ272">
        <v>2.88</v>
      </c>
      <c r="BA272" s="140">
        <f t="shared" ref="BA272:BA318" si="147">BA$142*AY272</f>
        <v>2.8799999999999993E-7</v>
      </c>
      <c r="BB272" s="140">
        <f t="shared" ref="BB272:BB318" si="148">BB$142*AY272</f>
        <v>5.7599999999999997E-7</v>
      </c>
      <c r="BC272" s="140">
        <f t="shared" ref="BC272:BC318" si="149">BC$142*AY272</f>
        <v>8.6400000000000001E-7</v>
      </c>
      <c r="BD272" s="140">
        <f t="shared" ref="BD272:BD318" si="150">BD$142*AY272</f>
        <v>1.1520000000000002E-6</v>
      </c>
      <c r="BE272" s="140">
        <f t="shared" ref="BE272:BE318" si="151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52">IF(OR(AZ$134=0,AZ$133=0),0.0000001,IF(BF272=1,AZ$134,AY272*((AZ$134*AZ$138)/(BF272*AZ$133)+0.023*LOG10(BF272*AZ$133/AY272))/AZ$138))</f>
        <v>9.9999999999999995E-8</v>
      </c>
      <c r="BI272" s="140">
        <f t="shared" ref="BI272:BI318" si="153">BJ272*BJ$136</f>
        <v>2.8800000000000002E-5</v>
      </c>
      <c r="BJ272">
        <v>2.88</v>
      </c>
      <c r="BK272" s="140">
        <f t="shared" ref="BK272:BK318" si="154">BK$142*BI272</f>
        <v>2.8799999999999993E-7</v>
      </c>
      <c r="BL272" s="140">
        <f t="shared" ref="BL272:BL318" si="155">BL$142*BI272</f>
        <v>5.7599999999999997E-7</v>
      </c>
      <c r="BM272" s="140">
        <f t="shared" ref="BM272:BM318" si="156">BM$142*BI272</f>
        <v>8.6400000000000001E-7</v>
      </c>
      <c r="BN272" s="140">
        <f t="shared" ref="BN272:BN318" si="157">BN$142*BI272</f>
        <v>1.1520000000000002E-6</v>
      </c>
      <c r="BO272" s="140">
        <f t="shared" ref="BO272:BO318" si="158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9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112"/>
        <v>2.9E-5</v>
      </c>
      <c r="B273">
        <v>2.9</v>
      </c>
      <c r="C273" s="140">
        <f t="shared" si="110"/>
        <v>2.8999999999999992E-7</v>
      </c>
      <c r="D273" s="140">
        <f t="shared" si="110"/>
        <v>5.7999999999999995E-7</v>
      </c>
      <c r="E273" s="140">
        <f t="shared" si="110"/>
        <v>8.6999999999999993E-7</v>
      </c>
      <c r="F273" s="140">
        <f t="shared" si="110"/>
        <v>1.1600000000000001E-6</v>
      </c>
      <c r="G273" s="140">
        <f t="shared" si="110"/>
        <v>1.4500000000000001E-6</v>
      </c>
      <c r="H273" s="124">
        <f t="shared" si="113"/>
        <v>0.8</v>
      </c>
      <c r="I273" s="156">
        <f t="shared" si="114"/>
        <v>9.9999999999999995E-8</v>
      </c>
      <c r="K273" s="140">
        <f t="shared" si="115"/>
        <v>2.9E-5</v>
      </c>
      <c r="L273">
        <v>2.9</v>
      </c>
      <c r="M273" s="140">
        <f t="shared" si="116"/>
        <v>2.8999999999999992E-7</v>
      </c>
      <c r="N273" s="140">
        <f t="shared" si="117"/>
        <v>5.7999999999999995E-7</v>
      </c>
      <c r="O273" s="140">
        <f t="shared" si="118"/>
        <v>8.6999999999999993E-7</v>
      </c>
      <c r="P273" s="140">
        <f t="shared" si="111"/>
        <v>1.1600000000000001E-6</v>
      </c>
      <c r="Q273" s="140">
        <f t="shared" si="119"/>
        <v>1.4500000000000001E-6</v>
      </c>
      <c r="R273" s="157">
        <f t="shared" si="120"/>
        <v>0.8</v>
      </c>
      <c r="S273" s="156">
        <f t="shared" si="121"/>
        <v>9.9999999999999995E-8</v>
      </c>
      <c r="U273" s="140">
        <f t="shared" si="122"/>
        <v>2.9E-5</v>
      </c>
      <c r="V273">
        <v>2.9</v>
      </c>
      <c r="W273" s="140">
        <f t="shared" si="123"/>
        <v>2.8999999999999992E-7</v>
      </c>
      <c r="X273" s="140">
        <f t="shared" si="124"/>
        <v>5.7999999999999995E-7</v>
      </c>
      <c r="Y273" s="140">
        <f t="shared" si="125"/>
        <v>8.6999999999999993E-7</v>
      </c>
      <c r="Z273" s="140">
        <f t="shared" si="126"/>
        <v>1.1600000000000001E-6</v>
      </c>
      <c r="AA273" s="140">
        <f t="shared" si="127"/>
        <v>1.4500000000000001E-6</v>
      </c>
      <c r="AB273" s="157">
        <f t="shared" si="128"/>
        <v>0.8</v>
      </c>
      <c r="AC273" s="156">
        <f t="shared" si="129"/>
        <v>9.9999999999999995E-8</v>
      </c>
      <c r="AE273" s="140">
        <f t="shared" si="130"/>
        <v>2.9E-5</v>
      </c>
      <c r="AF273">
        <v>2.9</v>
      </c>
      <c r="AG273" s="140">
        <f t="shared" si="131"/>
        <v>2.8999999999999992E-7</v>
      </c>
      <c r="AH273" s="140">
        <f t="shared" si="132"/>
        <v>5.7999999999999995E-7</v>
      </c>
      <c r="AI273" s="140">
        <f t="shared" si="133"/>
        <v>8.6999999999999993E-7</v>
      </c>
      <c r="AJ273" s="140">
        <f t="shared" si="134"/>
        <v>1.1600000000000001E-6</v>
      </c>
      <c r="AK273" s="140">
        <f t="shared" si="135"/>
        <v>1.4500000000000001E-6</v>
      </c>
      <c r="AL273" s="157">
        <f t="shared" si="136"/>
        <v>1.2</v>
      </c>
      <c r="AM273" s="156">
        <f t="shared" si="137"/>
        <v>9.9999999999999995E-8</v>
      </c>
      <c r="AO273" s="140">
        <f t="shared" si="138"/>
        <v>2.9E-5</v>
      </c>
      <c r="AP273">
        <v>2.9</v>
      </c>
      <c r="AQ273" s="140">
        <f t="shared" si="139"/>
        <v>2.8999999999999992E-7</v>
      </c>
      <c r="AR273" s="140">
        <f t="shared" si="140"/>
        <v>5.7999999999999995E-7</v>
      </c>
      <c r="AS273" s="140">
        <f t="shared" si="141"/>
        <v>8.6999999999999993E-7</v>
      </c>
      <c r="AT273" s="140">
        <f t="shared" si="142"/>
        <v>1.1600000000000001E-6</v>
      </c>
      <c r="AU273" s="140">
        <f t="shared" si="143"/>
        <v>1.4500000000000001E-6</v>
      </c>
      <c r="AV273" s="157">
        <f t="shared" si="144"/>
        <v>1.2</v>
      </c>
      <c r="AW273" s="156">
        <f t="shared" si="145"/>
        <v>9.9999999999999995E-8</v>
      </c>
      <c r="AY273" s="140">
        <f t="shared" si="146"/>
        <v>2.9E-5</v>
      </c>
      <c r="AZ273">
        <v>2.9</v>
      </c>
      <c r="BA273" s="140">
        <f t="shared" si="147"/>
        <v>2.8999999999999992E-7</v>
      </c>
      <c r="BB273" s="140">
        <f t="shared" si="148"/>
        <v>5.7999999999999995E-7</v>
      </c>
      <c r="BC273" s="140">
        <f t="shared" si="149"/>
        <v>8.6999999999999993E-7</v>
      </c>
      <c r="BD273" s="140">
        <f t="shared" si="150"/>
        <v>1.1600000000000001E-6</v>
      </c>
      <c r="BE273" s="140">
        <f t="shared" si="151"/>
        <v>1.4500000000000001E-6</v>
      </c>
      <c r="BF273" s="157">
        <f>IF(AY273&lt;$B$89*DATA!$H$1037,DATA!$H$1037,IF(AY273&gt;DATA!$H$1036*$B$89,DATA!$H$1036,1))</f>
        <v>1.2</v>
      </c>
      <c r="BG273" s="156">
        <f t="shared" si="152"/>
        <v>9.9999999999999995E-8</v>
      </c>
      <c r="BI273" s="140">
        <f t="shared" si="153"/>
        <v>2.9E-5</v>
      </c>
      <c r="BJ273">
        <v>2.9</v>
      </c>
      <c r="BK273" s="140">
        <f t="shared" si="154"/>
        <v>2.8999999999999992E-7</v>
      </c>
      <c r="BL273" s="140">
        <f t="shared" si="155"/>
        <v>5.7999999999999995E-7</v>
      </c>
      <c r="BM273" s="140">
        <f t="shared" si="156"/>
        <v>8.6999999999999993E-7</v>
      </c>
      <c r="BN273" s="140">
        <f t="shared" si="157"/>
        <v>1.1600000000000001E-6</v>
      </c>
      <c r="BO273" s="140">
        <f t="shared" si="158"/>
        <v>1.4500000000000001E-6</v>
      </c>
      <c r="BP273" s="157">
        <f>IF(BI273&lt;$B$105*DATA!$H$1037,DATA!$H$1037,IF(BI273&gt;DATA!$H$1036*$B$105,DATA!$H$1036,1))</f>
        <v>1.2</v>
      </c>
      <c r="BQ273" s="156">
        <f t="shared" si="159"/>
        <v>9.9999999999999995E-8</v>
      </c>
    </row>
    <row r="274" spans="1:69">
      <c r="A274" s="140">
        <f t="shared" si="112"/>
        <v>2.9200000000000002E-5</v>
      </c>
      <c r="B274">
        <v>2.92</v>
      </c>
      <c r="C274" s="140">
        <f t="shared" si="110"/>
        <v>2.9199999999999991E-7</v>
      </c>
      <c r="D274" s="140">
        <f t="shared" si="110"/>
        <v>5.8399999999999994E-7</v>
      </c>
      <c r="E274" s="140">
        <f t="shared" si="110"/>
        <v>8.7600000000000006E-7</v>
      </c>
      <c r="F274" s="140">
        <f t="shared" si="110"/>
        <v>1.1680000000000001E-6</v>
      </c>
      <c r="G274" s="140">
        <f t="shared" si="110"/>
        <v>1.4600000000000002E-6</v>
      </c>
      <c r="H274" s="124">
        <f t="shared" si="113"/>
        <v>0.8</v>
      </c>
      <c r="I274" s="156">
        <f t="shared" si="114"/>
        <v>9.9999999999999995E-8</v>
      </c>
      <c r="K274" s="140">
        <f t="shared" si="115"/>
        <v>2.9200000000000002E-5</v>
      </c>
      <c r="L274">
        <v>2.92</v>
      </c>
      <c r="M274" s="140">
        <f t="shared" si="116"/>
        <v>2.9199999999999991E-7</v>
      </c>
      <c r="N274" s="140">
        <f t="shared" si="117"/>
        <v>5.8399999999999994E-7</v>
      </c>
      <c r="O274" s="140">
        <f t="shared" si="118"/>
        <v>8.7600000000000006E-7</v>
      </c>
      <c r="P274" s="140">
        <f t="shared" si="111"/>
        <v>1.1680000000000001E-6</v>
      </c>
      <c r="Q274" s="140">
        <f t="shared" si="119"/>
        <v>1.4600000000000002E-6</v>
      </c>
      <c r="R274" s="157">
        <f t="shared" si="120"/>
        <v>0.8</v>
      </c>
      <c r="S274" s="156">
        <f t="shared" si="121"/>
        <v>9.9999999999999995E-8</v>
      </c>
      <c r="U274" s="140">
        <f t="shared" si="122"/>
        <v>2.9200000000000002E-5</v>
      </c>
      <c r="V274">
        <v>2.92</v>
      </c>
      <c r="W274" s="140">
        <f t="shared" si="123"/>
        <v>2.9199999999999991E-7</v>
      </c>
      <c r="X274" s="140">
        <f t="shared" si="124"/>
        <v>5.8399999999999994E-7</v>
      </c>
      <c r="Y274" s="140">
        <f t="shared" si="125"/>
        <v>8.7600000000000006E-7</v>
      </c>
      <c r="Z274" s="140">
        <f t="shared" si="126"/>
        <v>1.1680000000000001E-6</v>
      </c>
      <c r="AA274" s="140">
        <f t="shared" si="127"/>
        <v>1.4600000000000002E-6</v>
      </c>
      <c r="AB274" s="157">
        <f t="shared" si="128"/>
        <v>0.8</v>
      </c>
      <c r="AC274" s="156">
        <f t="shared" si="129"/>
        <v>9.9999999999999995E-8</v>
      </c>
      <c r="AE274" s="140">
        <f t="shared" si="130"/>
        <v>2.9200000000000002E-5</v>
      </c>
      <c r="AF274">
        <v>2.92</v>
      </c>
      <c r="AG274" s="140">
        <f t="shared" si="131"/>
        <v>2.9199999999999991E-7</v>
      </c>
      <c r="AH274" s="140">
        <f t="shared" si="132"/>
        <v>5.8399999999999994E-7</v>
      </c>
      <c r="AI274" s="140">
        <f t="shared" si="133"/>
        <v>8.7600000000000006E-7</v>
      </c>
      <c r="AJ274" s="140">
        <f t="shared" si="134"/>
        <v>1.1680000000000001E-6</v>
      </c>
      <c r="AK274" s="140">
        <f t="shared" si="135"/>
        <v>1.4600000000000002E-6</v>
      </c>
      <c r="AL274" s="157">
        <f t="shared" si="136"/>
        <v>1.2</v>
      </c>
      <c r="AM274" s="156">
        <f t="shared" si="137"/>
        <v>9.9999999999999995E-8</v>
      </c>
      <c r="AO274" s="140">
        <f t="shared" si="138"/>
        <v>2.9200000000000002E-5</v>
      </c>
      <c r="AP274">
        <v>2.92</v>
      </c>
      <c r="AQ274" s="140">
        <f t="shared" si="139"/>
        <v>2.9199999999999991E-7</v>
      </c>
      <c r="AR274" s="140">
        <f t="shared" si="140"/>
        <v>5.8399999999999994E-7</v>
      </c>
      <c r="AS274" s="140">
        <f t="shared" si="141"/>
        <v>8.7600000000000006E-7</v>
      </c>
      <c r="AT274" s="140">
        <f t="shared" si="142"/>
        <v>1.1680000000000001E-6</v>
      </c>
      <c r="AU274" s="140">
        <f t="shared" si="143"/>
        <v>1.4600000000000002E-6</v>
      </c>
      <c r="AV274" s="157">
        <f t="shared" si="144"/>
        <v>1.2</v>
      </c>
      <c r="AW274" s="156">
        <f t="shared" si="145"/>
        <v>9.9999999999999995E-8</v>
      </c>
      <c r="AY274" s="140">
        <f t="shared" si="146"/>
        <v>2.9200000000000002E-5</v>
      </c>
      <c r="AZ274">
        <v>2.92</v>
      </c>
      <c r="BA274" s="140">
        <f t="shared" si="147"/>
        <v>2.9199999999999991E-7</v>
      </c>
      <c r="BB274" s="140">
        <f t="shared" si="148"/>
        <v>5.8399999999999994E-7</v>
      </c>
      <c r="BC274" s="140">
        <f t="shared" si="149"/>
        <v>8.7600000000000006E-7</v>
      </c>
      <c r="BD274" s="140">
        <f t="shared" si="150"/>
        <v>1.1680000000000001E-6</v>
      </c>
      <c r="BE274" s="140">
        <f t="shared" si="151"/>
        <v>1.4600000000000002E-6</v>
      </c>
      <c r="BF274" s="157">
        <f>IF(AY274&lt;$B$89*DATA!$H$1037,DATA!$H$1037,IF(AY274&gt;DATA!$H$1036*$B$89,DATA!$H$1036,1))</f>
        <v>1.2</v>
      </c>
      <c r="BG274" s="156">
        <f t="shared" si="152"/>
        <v>9.9999999999999995E-8</v>
      </c>
      <c r="BI274" s="140">
        <f t="shared" si="153"/>
        <v>2.9200000000000002E-5</v>
      </c>
      <c r="BJ274">
        <v>2.92</v>
      </c>
      <c r="BK274" s="140">
        <f t="shared" si="154"/>
        <v>2.9199999999999991E-7</v>
      </c>
      <c r="BL274" s="140">
        <f t="shared" si="155"/>
        <v>5.8399999999999994E-7</v>
      </c>
      <c r="BM274" s="140">
        <f t="shared" si="156"/>
        <v>8.7600000000000006E-7</v>
      </c>
      <c r="BN274" s="140">
        <f t="shared" si="157"/>
        <v>1.1680000000000001E-6</v>
      </c>
      <c r="BO274" s="140">
        <f t="shared" si="158"/>
        <v>1.4600000000000002E-6</v>
      </c>
      <c r="BP274" s="157">
        <f>IF(BI274&lt;$B$105*DATA!$H$1037,DATA!$H$1037,IF(BI274&gt;DATA!$H$1036*$B$105,DATA!$H$1036,1))</f>
        <v>1.2</v>
      </c>
      <c r="BQ274" s="156">
        <f t="shared" si="159"/>
        <v>9.9999999999999995E-8</v>
      </c>
    </row>
    <row r="275" spans="1:69">
      <c r="A275" s="140">
        <f t="shared" si="112"/>
        <v>2.9400000000000003E-5</v>
      </c>
      <c r="B275">
        <v>2.94</v>
      </c>
      <c r="C275" s="140">
        <f t="shared" si="110"/>
        <v>2.9399999999999996E-7</v>
      </c>
      <c r="D275" s="140">
        <f t="shared" si="110"/>
        <v>5.8800000000000002E-7</v>
      </c>
      <c r="E275" s="140">
        <f t="shared" si="110"/>
        <v>8.8200000000000009E-7</v>
      </c>
      <c r="F275" s="140">
        <f t="shared" si="110"/>
        <v>1.176E-6</v>
      </c>
      <c r="G275" s="140">
        <f t="shared" si="110"/>
        <v>1.4700000000000003E-6</v>
      </c>
      <c r="H275" s="124">
        <f t="shared" si="113"/>
        <v>0.8</v>
      </c>
      <c r="I275" s="156">
        <f t="shared" si="114"/>
        <v>9.9999999999999995E-8</v>
      </c>
      <c r="K275" s="140">
        <f t="shared" si="115"/>
        <v>2.9400000000000003E-5</v>
      </c>
      <c r="L275">
        <v>2.94</v>
      </c>
      <c r="M275" s="140">
        <f t="shared" si="116"/>
        <v>2.9399999999999996E-7</v>
      </c>
      <c r="N275" s="140">
        <f t="shared" si="117"/>
        <v>5.8800000000000002E-7</v>
      </c>
      <c r="O275" s="140">
        <f t="shared" si="118"/>
        <v>8.8200000000000009E-7</v>
      </c>
      <c r="P275" s="140">
        <f t="shared" si="111"/>
        <v>1.176E-6</v>
      </c>
      <c r="Q275" s="140">
        <f t="shared" si="119"/>
        <v>1.4700000000000003E-6</v>
      </c>
      <c r="R275" s="157">
        <f t="shared" si="120"/>
        <v>0.8</v>
      </c>
      <c r="S275" s="156">
        <f t="shared" si="121"/>
        <v>9.9999999999999995E-8</v>
      </c>
      <c r="U275" s="140">
        <f t="shared" si="122"/>
        <v>2.9400000000000003E-5</v>
      </c>
      <c r="V275">
        <v>2.94</v>
      </c>
      <c r="W275" s="140">
        <f t="shared" si="123"/>
        <v>2.9399999999999996E-7</v>
      </c>
      <c r="X275" s="140">
        <f t="shared" si="124"/>
        <v>5.8800000000000002E-7</v>
      </c>
      <c r="Y275" s="140">
        <f t="shared" si="125"/>
        <v>8.8200000000000009E-7</v>
      </c>
      <c r="Z275" s="140">
        <f t="shared" si="126"/>
        <v>1.176E-6</v>
      </c>
      <c r="AA275" s="140">
        <f t="shared" si="127"/>
        <v>1.4700000000000003E-6</v>
      </c>
      <c r="AB275" s="157">
        <f t="shared" si="128"/>
        <v>0.8</v>
      </c>
      <c r="AC275" s="156">
        <f t="shared" si="129"/>
        <v>9.9999999999999995E-8</v>
      </c>
      <c r="AE275" s="140">
        <f t="shared" si="130"/>
        <v>2.9400000000000003E-5</v>
      </c>
      <c r="AF275">
        <v>2.94</v>
      </c>
      <c r="AG275" s="140">
        <f t="shared" si="131"/>
        <v>2.9399999999999996E-7</v>
      </c>
      <c r="AH275" s="140">
        <f t="shared" si="132"/>
        <v>5.8800000000000002E-7</v>
      </c>
      <c r="AI275" s="140">
        <f t="shared" si="133"/>
        <v>8.8200000000000009E-7</v>
      </c>
      <c r="AJ275" s="140">
        <f t="shared" si="134"/>
        <v>1.176E-6</v>
      </c>
      <c r="AK275" s="140">
        <f t="shared" si="135"/>
        <v>1.4700000000000003E-6</v>
      </c>
      <c r="AL275" s="157">
        <f t="shared" si="136"/>
        <v>1.2</v>
      </c>
      <c r="AM275" s="156">
        <f t="shared" si="137"/>
        <v>9.9999999999999995E-8</v>
      </c>
      <c r="AO275" s="140">
        <f t="shared" si="138"/>
        <v>2.9400000000000003E-5</v>
      </c>
      <c r="AP275">
        <v>2.94</v>
      </c>
      <c r="AQ275" s="140">
        <f t="shared" si="139"/>
        <v>2.9399999999999996E-7</v>
      </c>
      <c r="AR275" s="140">
        <f t="shared" si="140"/>
        <v>5.8800000000000002E-7</v>
      </c>
      <c r="AS275" s="140">
        <f t="shared" si="141"/>
        <v>8.8200000000000009E-7</v>
      </c>
      <c r="AT275" s="140">
        <f t="shared" si="142"/>
        <v>1.176E-6</v>
      </c>
      <c r="AU275" s="140">
        <f t="shared" si="143"/>
        <v>1.4700000000000003E-6</v>
      </c>
      <c r="AV275" s="157">
        <f t="shared" si="144"/>
        <v>1.2</v>
      </c>
      <c r="AW275" s="156">
        <f t="shared" si="145"/>
        <v>9.9999999999999995E-8</v>
      </c>
      <c r="AY275" s="140">
        <f t="shared" si="146"/>
        <v>2.9400000000000003E-5</v>
      </c>
      <c r="AZ275">
        <v>2.94</v>
      </c>
      <c r="BA275" s="140">
        <f t="shared" si="147"/>
        <v>2.9399999999999996E-7</v>
      </c>
      <c r="BB275" s="140">
        <f t="shared" si="148"/>
        <v>5.8800000000000002E-7</v>
      </c>
      <c r="BC275" s="140">
        <f t="shared" si="149"/>
        <v>8.8200000000000009E-7</v>
      </c>
      <c r="BD275" s="140">
        <f t="shared" si="150"/>
        <v>1.176E-6</v>
      </c>
      <c r="BE275" s="140">
        <f t="shared" si="151"/>
        <v>1.4700000000000003E-6</v>
      </c>
      <c r="BF275" s="157">
        <f>IF(AY275&lt;$B$89*DATA!$H$1037,DATA!$H$1037,IF(AY275&gt;DATA!$H$1036*$B$89,DATA!$H$1036,1))</f>
        <v>1.2</v>
      </c>
      <c r="BG275" s="156">
        <f t="shared" si="152"/>
        <v>9.9999999999999995E-8</v>
      </c>
      <c r="BI275" s="140">
        <f t="shared" si="153"/>
        <v>2.9400000000000003E-5</v>
      </c>
      <c r="BJ275">
        <v>2.94</v>
      </c>
      <c r="BK275" s="140">
        <f t="shared" si="154"/>
        <v>2.9399999999999996E-7</v>
      </c>
      <c r="BL275" s="140">
        <f t="shared" si="155"/>
        <v>5.8800000000000002E-7</v>
      </c>
      <c r="BM275" s="140">
        <f t="shared" si="156"/>
        <v>8.8200000000000009E-7</v>
      </c>
      <c r="BN275" s="140">
        <f t="shared" si="157"/>
        <v>1.176E-6</v>
      </c>
      <c r="BO275" s="140">
        <f t="shared" si="158"/>
        <v>1.4700000000000003E-6</v>
      </c>
      <c r="BP275" s="157">
        <f>IF(BI275&lt;$B$105*DATA!$H$1037,DATA!$H$1037,IF(BI275&gt;DATA!$H$1036*$B$105,DATA!$H$1036,1))</f>
        <v>1.2</v>
      </c>
      <c r="BQ275" s="156">
        <f t="shared" si="159"/>
        <v>9.9999999999999995E-8</v>
      </c>
    </row>
    <row r="276" spans="1:69">
      <c r="A276" s="140">
        <f t="shared" si="112"/>
        <v>2.9600000000000001E-5</v>
      </c>
      <c r="B276">
        <v>2.96</v>
      </c>
      <c r="C276" s="140">
        <f t="shared" si="110"/>
        <v>2.959999999999999E-7</v>
      </c>
      <c r="D276" s="140">
        <f t="shared" si="110"/>
        <v>5.919999999999999E-7</v>
      </c>
      <c r="E276" s="140">
        <f t="shared" si="110"/>
        <v>8.8800000000000001E-7</v>
      </c>
      <c r="F276" s="140">
        <f t="shared" si="110"/>
        <v>1.184E-6</v>
      </c>
      <c r="G276" s="140">
        <f t="shared" si="110"/>
        <v>1.4800000000000002E-6</v>
      </c>
      <c r="H276" s="124">
        <f t="shared" si="113"/>
        <v>0.8</v>
      </c>
      <c r="I276" s="156">
        <f t="shared" si="114"/>
        <v>9.9999999999999995E-8</v>
      </c>
      <c r="K276" s="140">
        <f t="shared" si="115"/>
        <v>2.9600000000000001E-5</v>
      </c>
      <c r="L276">
        <v>2.96</v>
      </c>
      <c r="M276" s="140">
        <f t="shared" si="116"/>
        <v>2.959999999999999E-7</v>
      </c>
      <c r="N276" s="140">
        <f t="shared" si="117"/>
        <v>5.919999999999999E-7</v>
      </c>
      <c r="O276" s="140">
        <f t="shared" si="118"/>
        <v>8.8800000000000001E-7</v>
      </c>
      <c r="P276" s="140">
        <f t="shared" si="111"/>
        <v>1.184E-6</v>
      </c>
      <c r="Q276" s="140">
        <f t="shared" si="119"/>
        <v>1.4800000000000002E-6</v>
      </c>
      <c r="R276" s="157">
        <f t="shared" si="120"/>
        <v>0.8</v>
      </c>
      <c r="S276" s="156">
        <f t="shared" si="121"/>
        <v>9.9999999999999995E-8</v>
      </c>
      <c r="U276" s="140">
        <f t="shared" si="122"/>
        <v>2.9600000000000001E-5</v>
      </c>
      <c r="V276">
        <v>2.96</v>
      </c>
      <c r="W276" s="140">
        <f t="shared" si="123"/>
        <v>2.959999999999999E-7</v>
      </c>
      <c r="X276" s="140">
        <f t="shared" si="124"/>
        <v>5.919999999999999E-7</v>
      </c>
      <c r="Y276" s="140">
        <f t="shared" si="125"/>
        <v>8.8800000000000001E-7</v>
      </c>
      <c r="Z276" s="140">
        <f t="shared" si="126"/>
        <v>1.184E-6</v>
      </c>
      <c r="AA276" s="140">
        <f t="shared" si="127"/>
        <v>1.4800000000000002E-6</v>
      </c>
      <c r="AB276" s="157">
        <f t="shared" si="128"/>
        <v>0.8</v>
      </c>
      <c r="AC276" s="156">
        <f t="shared" si="129"/>
        <v>9.9999999999999995E-8</v>
      </c>
      <c r="AE276" s="140">
        <f t="shared" si="130"/>
        <v>2.9600000000000001E-5</v>
      </c>
      <c r="AF276">
        <v>2.96</v>
      </c>
      <c r="AG276" s="140">
        <f t="shared" si="131"/>
        <v>2.959999999999999E-7</v>
      </c>
      <c r="AH276" s="140">
        <f t="shared" si="132"/>
        <v>5.919999999999999E-7</v>
      </c>
      <c r="AI276" s="140">
        <f t="shared" si="133"/>
        <v>8.8800000000000001E-7</v>
      </c>
      <c r="AJ276" s="140">
        <f t="shared" si="134"/>
        <v>1.184E-6</v>
      </c>
      <c r="AK276" s="140">
        <f t="shared" si="135"/>
        <v>1.4800000000000002E-6</v>
      </c>
      <c r="AL276" s="157">
        <f t="shared" si="136"/>
        <v>1.2</v>
      </c>
      <c r="AM276" s="156">
        <f t="shared" si="137"/>
        <v>9.9999999999999995E-8</v>
      </c>
      <c r="AO276" s="140">
        <f t="shared" si="138"/>
        <v>2.9600000000000001E-5</v>
      </c>
      <c r="AP276">
        <v>2.96</v>
      </c>
      <c r="AQ276" s="140">
        <f t="shared" si="139"/>
        <v>2.959999999999999E-7</v>
      </c>
      <c r="AR276" s="140">
        <f t="shared" si="140"/>
        <v>5.919999999999999E-7</v>
      </c>
      <c r="AS276" s="140">
        <f t="shared" si="141"/>
        <v>8.8800000000000001E-7</v>
      </c>
      <c r="AT276" s="140">
        <f t="shared" si="142"/>
        <v>1.184E-6</v>
      </c>
      <c r="AU276" s="140">
        <f t="shared" si="143"/>
        <v>1.4800000000000002E-6</v>
      </c>
      <c r="AV276" s="157">
        <f t="shared" si="144"/>
        <v>1.2</v>
      </c>
      <c r="AW276" s="156">
        <f t="shared" si="145"/>
        <v>9.9999999999999995E-8</v>
      </c>
      <c r="AY276" s="140">
        <f t="shared" si="146"/>
        <v>2.9600000000000001E-5</v>
      </c>
      <c r="AZ276">
        <v>2.96</v>
      </c>
      <c r="BA276" s="140">
        <f t="shared" si="147"/>
        <v>2.959999999999999E-7</v>
      </c>
      <c r="BB276" s="140">
        <f t="shared" si="148"/>
        <v>5.919999999999999E-7</v>
      </c>
      <c r="BC276" s="140">
        <f t="shared" si="149"/>
        <v>8.8800000000000001E-7</v>
      </c>
      <c r="BD276" s="140">
        <f t="shared" si="150"/>
        <v>1.184E-6</v>
      </c>
      <c r="BE276" s="140">
        <f t="shared" si="151"/>
        <v>1.4800000000000002E-6</v>
      </c>
      <c r="BF276" s="157">
        <f>IF(AY276&lt;$B$89*DATA!$H$1037,DATA!$H$1037,IF(AY276&gt;DATA!$H$1036*$B$89,DATA!$H$1036,1))</f>
        <v>1.2</v>
      </c>
      <c r="BG276" s="156">
        <f t="shared" si="152"/>
        <v>9.9999999999999995E-8</v>
      </c>
      <c r="BI276" s="140">
        <f t="shared" si="153"/>
        <v>2.9600000000000001E-5</v>
      </c>
      <c r="BJ276">
        <v>2.96</v>
      </c>
      <c r="BK276" s="140">
        <f t="shared" si="154"/>
        <v>2.959999999999999E-7</v>
      </c>
      <c r="BL276" s="140">
        <f t="shared" si="155"/>
        <v>5.919999999999999E-7</v>
      </c>
      <c r="BM276" s="140">
        <f t="shared" si="156"/>
        <v>8.8800000000000001E-7</v>
      </c>
      <c r="BN276" s="140">
        <f t="shared" si="157"/>
        <v>1.184E-6</v>
      </c>
      <c r="BO276" s="140">
        <f t="shared" si="158"/>
        <v>1.4800000000000002E-6</v>
      </c>
      <c r="BP276" s="157">
        <f>IF(BI276&lt;$B$105*DATA!$H$1037,DATA!$H$1037,IF(BI276&gt;DATA!$H$1036*$B$105,DATA!$H$1036,1))</f>
        <v>1.2</v>
      </c>
      <c r="BQ276" s="156">
        <f t="shared" si="159"/>
        <v>9.9999999999999995E-8</v>
      </c>
    </row>
    <row r="277" spans="1:69">
      <c r="A277" s="140">
        <f t="shared" si="112"/>
        <v>2.9800000000000003E-5</v>
      </c>
      <c r="B277">
        <v>2.98</v>
      </c>
      <c r="C277" s="140">
        <f t="shared" si="110"/>
        <v>2.9799999999999994E-7</v>
      </c>
      <c r="D277" s="140">
        <f t="shared" si="110"/>
        <v>5.9599999999999999E-7</v>
      </c>
      <c r="E277" s="140">
        <f t="shared" si="110"/>
        <v>8.9400000000000004E-7</v>
      </c>
      <c r="F277" s="140">
        <f t="shared" si="110"/>
        <v>1.1920000000000002E-6</v>
      </c>
      <c r="G277" s="140">
        <f t="shared" si="110"/>
        <v>1.4900000000000001E-6</v>
      </c>
      <c r="H277" s="124">
        <f t="shared" si="113"/>
        <v>0.8</v>
      </c>
      <c r="I277" s="156">
        <f t="shared" si="114"/>
        <v>9.9999999999999995E-8</v>
      </c>
      <c r="K277" s="140">
        <f t="shared" si="115"/>
        <v>2.9800000000000003E-5</v>
      </c>
      <c r="L277">
        <v>2.98</v>
      </c>
      <c r="M277" s="140">
        <f t="shared" si="116"/>
        <v>2.9799999999999994E-7</v>
      </c>
      <c r="N277" s="140">
        <f t="shared" si="117"/>
        <v>5.9599999999999999E-7</v>
      </c>
      <c r="O277" s="140">
        <f t="shared" si="118"/>
        <v>8.9400000000000004E-7</v>
      </c>
      <c r="P277" s="140">
        <f t="shared" si="111"/>
        <v>1.1920000000000002E-6</v>
      </c>
      <c r="Q277" s="140">
        <f t="shared" si="119"/>
        <v>1.4900000000000001E-6</v>
      </c>
      <c r="R277" s="157">
        <f t="shared" si="120"/>
        <v>0.8</v>
      </c>
      <c r="S277" s="156">
        <f t="shared" si="121"/>
        <v>9.9999999999999995E-8</v>
      </c>
      <c r="U277" s="140">
        <f t="shared" si="122"/>
        <v>2.9800000000000003E-5</v>
      </c>
      <c r="V277">
        <v>2.98</v>
      </c>
      <c r="W277" s="140">
        <f t="shared" si="123"/>
        <v>2.9799999999999994E-7</v>
      </c>
      <c r="X277" s="140">
        <f t="shared" si="124"/>
        <v>5.9599999999999999E-7</v>
      </c>
      <c r="Y277" s="140">
        <f t="shared" si="125"/>
        <v>8.9400000000000004E-7</v>
      </c>
      <c r="Z277" s="140">
        <f t="shared" si="126"/>
        <v>1.1920000000000002E-6</v>
      </c>
      <c r="AA277" s="140">
        <f t="shared" si="127"/>
        <v>1.4900000000000001E-6</v>
      </c>
      <c r="AB277" s="157">
        <f t="shared" si="128"/>
        <v>0.8</v>
      </c>
      <c r="AC277" s="156">
        <f t="shared" si="129"/>
        <v>9.9999999999999995E-8</v>
      </c>
      <c r="AE277" s="140">
        <f t="shared" si="130"/>
        <v>2.9800000000000003E-5</v>
      </c>
      <c r="AF277">
        <v>2.98</v>
      </c>
      <c r="AG277" s="140">
        <f t="shared" si="131"/>
        <v>2.9799999999999994E-7</v>
      </c>
      <c r="AH277" s="140">
        <f t="shared" si="132"/>
        <v>5.9599999999999999E-7</v>
      </c>
      <c r="AI277" s="140">
        <f t="shared" si="133"/>
        <v>8.9400000000000004E-7</v>
      </c>
      <c r="AJ277" s="140">
        <f t="shared" si="134"/>
        <v>1.1920000000000002E-6</v>
      </c>
      <c r="AK277" s="140">
        <f t="shared" si="135"/>
        <v>1.4900000000000001E-6</v>
      </c>
      <c r="AL277" s="157">
        <f t="shared" si="136"/>
        <v>1.2</v>
      </c>
      <c r="AM277" s="156">
        <f t="shared" si="137"/>
        <v>9.9999999999999995E-8</v>
      </c>
      <c r="AO277" s="140">
        <f t="shared" si="138"/>
        <v>2.9800000000000003E-5</v>
      </c>
      <c r="AP277">
        <v>2.98</v>
      </c>
      <c r="AQ277" s="140">
        <f t="shared" si="139"/>
        <v>2.9799999999999994E-7</v>
      </c>
      <c r="AR277" s="140">
        <f t="shared" si="140"/>
        <v>5.9599999999999999E-7</v>
      </c>
      <c r="AS277" s="140">
        <f t="shared" si="141"/>
        <v>8.9400000000000004E-7</v>
      </c>
      <c r="AT277" s="140">
        <f t="shared" si="142"/>
        <v>1.1920000000000002E-6</v>
      </c>
      <c r="AU277" s="140">
        <f t="shared" si="143"/>
        <v>1.4900000000000001E-6</v>
      </c>
      <c r="AV277" s="157">
        <f t="shared" si="144"/>
        <v>1.2</v>
      </c>
      <c r="AW277" s="156">
        <f t="shared" si="145"/>
        <v>9.9999999999999995E-8</v>
      </c>
      <c r="AY277" s="140">
        <f t="shared" si="146"/>
        <v>2.9800000000000003E-5</v>
      </c>
      <c r="AZ277">
        <v>2.98</v>
      </c>
      <c r="BA277" s="140">
        <f t="shared" si="147"/>
        <v>2.9799999999999994E-7</v>
      </c>
      <c r="BB277" s="140">
        <f t="shared" si="148"/>
        <v>5.9599999999999999E-7</v>
      </c>
      <c r="BC277" s="140">
        <f t="shared" si="149"/>
        <v>8.9400000000000004E-7</v>
      </c>
      <c r="BD277" s="140">
        <f t="shared" si="150"/>
        <v>1.1920000000000002E-6</v>
      </c>
      <c r="BE277" s="140">
        <f t="shared" si="151"/>
        <v>1.4900000000000001E-6</v>
      </c>
      <c r="BF277" s="157">
        <f>IF(AY277&lt;$B$89*DATA!$H$1037,DATA!$H$1037,IF(AY277&gt;DATA!$H$1036*$B$89,DATA!$H$1036,1))</f>
        <v>1.2</v>
      </c>
      <c r="BG277" s="156">
        <f t="shared" si="152"/>
        <v>9.9999999999999995E-8</v>
      </c>
      <c r="BI277" s="140">
        <f t="shared" si="153"/>
        <v>2.9800000000000003E-5</v>
      </c>
      <c r="BJ277">
        <v>2.98</v>
      </c>
      <c r="BK277" s="140">
        <f t="shared" si="154"/>
        <v>2.9799999999999994E-7</v>
      </c>
      <c r="BL277" s="140">
        <f t="shared" si="155"/>
        <v>5.9599999999999999E-7</v>
      </c>
      <c r="BM277" s="140">
        <f t="shared" si="156"/>
        <v>8.9400000000000004E-7</v>
      </c>
      <c r="BN277" s="140">
        <f t="shared" si="157"/>
        <v>1.1920000000000002E-6</v>
      </c>
      <c r="BO277" s="140">
        <f t="shared" si="158"/>
        <v>1.4900000000000001E-6</v>
      </c>
      <c r="BP277" s="157">
        <f>IF(BI277&lt;$B$105*DATA!$H$1037,DATA!$H$1037,IF(BI277&gt;DATA!$H$1036*$B$105,DATA!$H$1036,1))</f>
        <v>1.2</v>
      </c>
      <c r="BQ277" s="156">
        <f t="shared" si="159"/>
        <v>9.9999999999999995E-8</v>
      </c>
    </row>
    <row r="278" spans="1:69">
      <c r="A278" s="140">
        <f t="shared" si="112"/>
        <v>3.0000000000000004E-5</v>
      </c>
      <c r="B278">
        <v>3</v>
      </c>
      <c r="C278" s="140">
        <f t="shared" si="110"/>
        <v>2.9999999999999993E-7</v>
      </c>
      <c r="D278" s="140">
        <f t="shared" si="110"/>
        <v>5.9999999999999997E-7</v>
      </c>
      <c r="E278" s="140">
        <f t="shared" si="110"/>
        <v>9.0000000000000007E-7</v>
      </c>
      <c r="F278" s="140">
        <f t="shared" si="110"/>
        <v>1.2000000000000002E-6</v>
      </c>
      <c r="G278" s="140">
        <f t="shared" si="110"/>
        <v>1.5000000000000002E-6</v>
      </c>
      <c r="H278" s="124">
        <f t="shared" si="113"/>
        <v>0.8</v>
      </c>
      <c r="I278" s="156">
        <f t="shared" si="114"/>
        <v>9.9999999999999995E-8</v>
      </c>
      <c r="K278" s="140">
        <f t="shared" si="115"/>
        <v>3.0000000000000004E-5</v>
      </c>
      <c r="L278">
        <v>3</v>
      </c>
      <c r="M278" s="140">
        <f t="shared" si="116"/>
        <v>2.9999999999999993E-7</v>
      </c>
      <c r="N278" s="140">
        <f t="shared" si="117"/>
        <v>5.9999999999999997E-7</v>
      </c>
      <c r="O278" s="140">
        <f t="shared" si="118"/>
        <v>9.0000000000000007E-7</v>
      </c>
      <c r="P278" s="140">
        <f t="shared" si="111"/>
        <v>1.2000000000000002E-6</v>
      </c>
      <c r="Q278" s="140">
        <f t="shared" si="119"/>
        <v>1.5000000000000002E-6</v>
      </c>
      <c r="R278" s="157">
        <f t="shared" si="120"/>
        <v>0.8</v>
      </c>
      <c r="S278" s="156">
        <f t="shared" si="121"/>
        <v>9.9999999999999995E-8</v>
      </c>
      <c r="U278" s="140">
        <f t="shared" si="122"/>
        <v>3.0000000000000004E-5</v>
      </c>
      <c r="V278">
        <v>3</v>
      </c>
      <c r="W278" s="140">
        <f t="shared" si="123"/>
        <v>2.9999999999999993E-7</v>
      </c>
      <c r="X278" s="140">
        <f t="shared" si="124"/>
        <v>5.9999999999999997E-7</v>
      </c>
      <c r="Y278" s="140">
        <f t="shared" si="125"/>
        <v>9.0000000000000007E-7</v>
      </c>
      <c r="Z278" s="140">
        <f t="shared" si="126"/>
        <v>1.2000000000000002E-6</v>
      </c>
      <c r="AA278" s="140">
        <f t="shared" si="127"/>
        <v>1.5000000000000002E-6</v>
      </c>
      <c r="AB278" s="157">
        <f t="shared" si="128"/>
        <v>0.8</v>
      </c>
      <c r="AC278" s="156">
        <f t="shared" si="129"/>
        <v>9.9999999999999995E-8</v>
      </c>
      <c r="AE278" s="140">
        <f t="shared" si="130"/>
        <v>3.0000000000000004E-5</v>
      </c>
      <c r="AF278">
        <v>3</v>
      </c>
      <c r="AG278" s="140">
        <f t="shared" si="131"/>
        <v>2.9999999999999993E-7</v>
      </c>
      <c r="AH278" s="140">
        <f t="shared" si="132"/>
        <v>5.9999999999999997E-7</v>
      </c>
      <c r="AI278" s="140">
        <f t="shared" si="133"/>
        <v>9.0000000000000007E-7</v>
      </c>
      <c r="AJ278" s="140">
        <f t="shared" si="134"/>
        <v>1.2000000000000002E-6</v>
      </c>
      <c r="AK278" s="140">
        <f t="shared" si="135"/>
        <v>1.5000000000000002E-6</v>
      </c>
      <c r="AL278" s="157">
        <f t="shared" si="136"/>
        <v>1.2</v>
      </c>
      <c r="AM278" s="156">
        <f t="shared" si="137"/>
        <v>9.9999999999999995E-8</v>
      </c>
      <c r="AO278" s="140">
        <f t="shared" si="138"/>
        <v>3.0000000000000004E-5</v>
      </c>
      <c r="AP278">
        <v>3</v>
      </c>
      <c r="AQ278" s="140">
        <f t="shared" si="139"/>
        <v>2.9999999999999993E-7</v>
      </c>
      <c r="AR278" s="140">
        <f t="shared" si="140"/>
        <v>5.9999999999999997E-7</v>
      </c>
      <c r="AS278" s="140">
        <f t="shared" si="141"/>
        <v>9.0000000000000007E-7</v>
      </c>
      <c r="AT278" s="140">
        <f t="shared" si="142"/>
        <v>1.2000000000000002E-6</v>
      </c>
      <c r="AU278" s="140">
        <f t="shared" si="143"/>
        <v>1.5000000000000002E-6</v>
      </c>
      <c r="AV278" s="157">
        <f t="shared" si="144"/>
        <v>1.2</v>
      </c>
      <c r="AW278" s="156">
        <f t="shared" si="145"/>
        <v>9.9999999999999995E-8</v>
      </c>
      <c r="AY278" s="140">
        <f t="shared" si="146"/>
        <v>3.0000000000000004E-5</v>
      </c>
      <c r="AZ278">
        <v>3</v>
      </c>
      <c r="BA278" s="140">
        <f t="shared" si="147"/>
        <v>2.9999999999999993E-7</v>
      </c>
      <c r="BB278" s="140">
        <f t="shared" si="148"/>
        <v>5.9999999999999997E-7</v>
      </c>
      <c r="BC278" s="140">
        <f t="shared" si="149"/>
        <v>9.0000000000000007E-7</v>
      </c>
      <c r="BD278" s="140">
        <f t="shared" si="150"/>
        <v>1.2000000000000002E-6</v>
      </c>
      <c r="BE278" s="140">
        <f t="shared" si="151"/>
        <v>1.5000000000000002E-6</v>
      </c>
      <c r="BF278" s="157">
        <f>IF(AY278&lt;$B$89*DATA!$H$1037,DATA!$H$1037,IF(AY278&gt;DATA!$H$1036*$B$89,DATA!$H$1036,1))</f>
        <v>1.2</v>
      </c>
      <c r="BG278" s="156">
        <f t="shared" si="152"/>
        <v>9.9999999999999995E-8</v>
      </c>
      <c r="BI278" s="140">
        <f t="shared" si="153"/>
        <v>3.0000000000000004E-5</v>
      </c>
      <c r="BJ278">
        <v>3</v>
      </c>
      <c r="BK278" s="140">
        <f t="shared" si="154"/>
        <v>2.9999999999999993E-7</v>
      </c>
      <c r="BL278" s="140">
        <f t="shared" si="155"/>
        <v>5.9999999999999997E-7</v>
      </c>
      <c r="BM278" s="140">
        <f t="shared" si="156"/>
        <v>9.0000000000000007E-7</v>
      </c>
      <c r="BN278" s="140">
        <f t="shared" si="157"/>
        <v>1.2000000000000002E-6</v>
      </c>
      <c r="BO278" s="140">
        <f t="shared" si="158"/>
        <v>1.5000000000000002E-6</v>
      </c>
      <c r="BP278" s="157">
        <f>IF(BI278&lt;$B$105*DATA!$H$1037,DATA!$H$1037,IF(BI278&gt;DATA!$H$1036*$B$105,DATA!$H$1036,1))</f>
        <v>1.2</v>
      </c>
      <c r="BQ278" s="156">
        <f t="shared" si="159"/>
        <v>9.9999999999999995E-8</v>
      </c>
    </row>
    <row r="279" spans="1:69">
      <c r="A279" s="140">
        <f t="shared" si="112"/>
        <v>3.0200000000000002E-5</v>
      </c>
      <c r="B279">
        <v>3.02</v>
      </c>
      <c r="C279" s="140">
        <f t="shared" si="110"/>
        <v>3.0199999999999992E-7</v>
      </c>
      <c r="D279" s="140">
        <f t="shared" si="110"/>
        <v>6.0399999999999996E-7</v>
      </c>
      <c r="E279" s="140">
        <f t="shared" si="110"/>
        <v>9.0599999999999999E-7</v>
      </c>
      <c r="F279" s="140">
        <f t="shared" si="110"/>
        <v>1.2080000000000001E-6</v>
      </c>
      <c r="G279" s="140">
        <f t="shared" si="110"/>
        <v>1.5100000000000002E-6</v>
      </c>
      <c r="H279" s="124">
        <f t="shared" si="113"/>
        <v>0.8</v>
      </c>
      <c r="I279" s="156">
        <f t="shared" si="114"/>
        <v>9.9999999999999995E-8</v>
      </c>
      <c r="K279" s="140">
        <f t="shared" si="115"/>
        <v>3.0200000000000002E-5</v>
      </c>
      <c r="L279">
        <v>3.02</v>
      </c>
      <c r="M279" s="140">
        <f t="shared" si="116"/>
        <v>3.0199999999999992E-7</v>
      </c>
      <c r="N279" s="140">
        <f t="shared" si="117"/>
        <v>6.0399999999999996E-7</v>
      </c>
      <c r="O279" s="140">
        <f t="shared" si="118"/>
        <v>9.0599999999999999E-7</v>
      </c>
      <c r="P279" s="140">
        <f t="shared" si="111"/>
        <v>1.2080000000000001E-6</v>
      </c>
      <c r="Q279" s="140">
        <f t="shared" si="119"/>
        <v>1.5100000000000002E-6</v>
      </c>
      <c r="R279" s="157">
        <f t="shared" si="120"/>
        <v>0.8</v>
      </c>
      <c r="S279" s="156">
        <f t="shared" si="121"/>
        <v>9.9999999999999995E-8</v>
      </c>
      <c r="U279" s="140">
        <f t="shared" si="122"/>
        <v>3.0200000000000002E-5</v>
      </c>
      <c r="V279">
        <v>3.02</v>
      </c>
      <c r="W279" s="140">
        <f t="shared" si="123"/>
        <v>3.0199999999999992E-7</v>
      </c>
      <c r="X279" s="140">
        <f t="shared" si="124"/>
        <v>6.0399999999999996E-7</v>
      </c>
      <c r="Y279" s="140">
        <f t="shared" si="125"/>
        <v>9.0599999999999999E-7</v>
      </c>
      <c r="Z279" s="140">
        <f t="shared" si="126"/>
        <v>1.2080000000000001E-6</v>
      </c>
      <c r="AA279" s="140">
        <f t="shared" si="127"/>
        <v>1.5100000000000002E-6</v>
      </c>
      <c r="AB279" s="157">
        <f t="shared" si="128"/>
        <v>0.8</v>
      </c>
      <c r="AC279" s="156">
        <f t="shared" si="129"/>
        <v>9.9999999999999995E-8</v>
      </c>
      <c r="AE279" s="140">
        <f t="shared" si="130"/>
        <v>3.0200000000000002E-5</v>
      </c>
      <c r="AF279">
        <v>3.02</v>
      </c>
      <c r="AG279" s="140">
        <f t="shared" si="131"/>
        <v>3.0199999999999992E-7</v>
      </c>
      <c r="AH279" s="140">
        <f t="shared" si="132"/>
        <v>6.0399999999999996E-7</v>
      </c>
      <c r="AI279" s="140">
        <f t="shared" si="133"/>
        <v>9.0599999999999999E-7</v>
      </c>
      <c r="AJ279" s="140">
        <f t="shared" si="134"/>
        <v>1.2080000000000001E-6</v>
      </c>
      <c r="AK279" s="140">
        <f t="shared" si="135"/>
        <v>1.5100000000000002E-6</v>
      </c>
      <c r="AL279" s="157">
        <f t="shared" si="136"/>
        <v>1.2</v>
      </c>
      <c r="AM279" s="156">
        <f t="shared" si="137"/>
        <v>9.9999999999999995E-8</v>
      </c>
      <c r="AO279" s="140">
        <f t="shared" si="138"/>
        <v>3.0200000000000002E-5</v>
      </c>
      <c r="AP279">
        <v>3.02</v>
      </c>
      <c r="AQ279" s="140">
        <f t="shared" si="139"/>
        <v>3.0199999999999992E-7</v>
      </c>
      <c r="AR279" s="140">
        <f t="shared" si="140"/>
        <v>6.0399999999999996E-7</v>
      </c>
      <c r="AS279" s="140">
        <f t="shared" si="141"/>
        <v>9.0599999999999999E-7</v>
      </c>
      <c r="AT279" s="140">
        <f t="shared" si="142"/>
        <v>1.2080000000000001E-6</v>
      </c>
      <c r="AU279" s="140">
        <f t="shared" si="143"/>
        <v>1.5100000000000002E-6</v>
      </c>
      <c r="AV279" s="157">
        <f t="shared" si="144"/>
        <v>1.2</v>
      </c>
      <c r="AW279" s="156">
        <f t="shared" si="145"/>
        <v>9.9999999999999995E-8</v>
      </c>
      <c r="AY279" s="140">
        <f t="shared" si="146"/>
        <v>3.0200000000000002E-5</v>
      </c>
      <c r="AZ279">
        <v>3.02</v>
      </c>
      <c r="BA279" s="140">
        <f t="shared" si="147"/>
        <v>3.0199999999999992E-7</v>
      </c>
      <c r="BB279" s="140">
        <f t="shared" si="148"/>
        <v>6.0399999999999996E-7</v>
      </c>
      <c r="BC279" s="140">
        <f t="shared" si="149"/>
        <v>9.0599999999999999E-7</v>
      </c>
      <c r="BD279" s="140">
        <f t="shared" si="150"/>
        <v>1.2080000000000001E-6</v>
      </c>
      <c r="BE279" s="140">
        <f t="shared" si="151"/>
        <v>1.5100000000000002E-6</v>
      </c>
      <c r="BF279" s="157">
        <f>IF(AY279&lt;$B$89*DATA!$H$1037,DATA!$H$1037,IF(AY279&gt;DATA!$H$1036*$B$89,DATA!$H$1036,1))</f>
        <v>1.2</v>
      </c>
      <c r="BG279" s="156">
        <f t="shared" si="152"/>
        <v>9.9999999999999995E-8</v>
      </c>
      <c r="BI279" s="140">
        <f t="shared" si="153"/>
        <v>3.0200000000000002E-5</v>
      </c>
      <c r="BJ279">
        <v>3.02</v>
      </c>
      <c r="BK279" s="140">
        <f t="shared" si="154"/>
        <v>3.0199999999999992E-7</v>
      </c>
      <c r="BL279" s="140">
        <f t="shared" si="155"/>
        <v>6.0399999999999996E-7</v>
      </c>
      <c r="BM279" s="140">
        <f t="shared" si="156"/>
        <v>9.0599999999999999E-7</v>
      </c>
      <c r="BN279" s="140">
        <f t="shared" si="157"/>
        <v>1.2080000000000001E-6</v>
      </c>
      <c r="BO279" s="140">
        <f t="shared" si="158"/>
        <v>1.5100000000000002E-6</v>
      </c>
      <c r="BP279" s="157">
        <f>IF(BI279&lt;$B$105*DATA!$H$1037,DATA!$H$1037,IF(BI279&gt;DATA!$H$1036*$B$105,DATA!$H$1036,1))</f>
        <v>1.2</v>
      </c>
      <c r="BQ279" s="156">
        <f t="shared" si="159"/>
        <v>9.9999999999999995E-8</v>
      </c>
    </row>
    <row r="280" spans="1:69">
      <c r="A280" s="140">
        <f t="shared" si="112"/>
        <v>3.0400000000000004E-5</v>
      </c>
      <c r="B280">
        <v>3.04</v>
      </c>
      <c r="C280" s="140">
        <f t="shared" si="110"/>
        <v>3.0399999999999992E-7</v>
      </c>
      <c r="D280" s="140">
        <f t="shared" si="110"/>
        <v>6.0799999999999994E-7</v>
      </c>
      <c r="E280" s="140">
        <f t="shared" si="110"/>
        <v>9.1200000000000012E-7</v>
      </c>
      <c r="F280" s="140">
        <f t="shared" si="110"/>
        <v>1.2160000000000001E-6</v>
      </c>
      <c r="G280" s="140">
        <f t="shared" si="110"/>
        <v>1.5200000000000003E-6</v>
      </c>
      <c r="H280" s="124">
        <f t="shared" si="113"/>
        <v>0.8</v>
      </c>
      <c r="I280" s="156">
        <f t="shared" si="114"/>
        <v>9.9999999999999995E-8</v>
      </c>
      <c r="K280" s="140">
        <f t="shared" si="115"/>
        <v>3.0400000000000004E-5</v>
      </c>
      <c r="L280">
        <v>3.04</v>
      </c>
      <c r="M280" s="140">
        <f t="shared" si="116"/>
        <v>3.0399999999999992E-7</v>
      </c>
      <c r="N280" s="140">
        <f t="shared" si="117"/>
        <v>6.0799999999999994E-7</v>
      </c>
      <c r="O280" s="140">
        <f t="shared" si="118"/>
        <v>9.1200000000000012E-7</v>
      </c>
      <c r="P280" s="140">
        <f t="shared" si="111"/>
        <v>1.2160000000000001E-6</v>
      </c>
      <c r="Q280" s="140">
        <f t="shared" si="119"/>
        <v>1.5200000000000003E-6</v>
      </c>
      <c r="R280" s="157">
        <f t="shared" si="120"/>
        <v>0.8</v>
      </c>
      <c r="S280" s="156">
        <f t="shared" si="121"/>
        <v>9.9999999999999995E-8</v>
      </c>
      <c r="U280" s="140">
        <f t="shared" si="122"/>
        <v>3.0400000000000004E-5</v>
      </c>
      <c r="V280">
        <v>3.04</v>
      </c>
      <c r="W280" s="140">
        <f t="shared" si="123"/>
        <v>3.0399999999999992E-7</v>
      </c>
      <c r="X280" s="140">
        <f t="shared" si="124"/>
        <v>6.0799999999999994E-7</v>
      </c>
      <c r="Y280" s="140">
        <f t="shared" si="125"/>
        <v>9.1200000000000012E-7</v>
      </c>
      <c r="Z280" s="140">
        <f t="shared" si="126"/>
        <v>1.2160000000000001E-6</v>
      </c>
      <c r="AA280" s="140">
        <f t="shared" si="127"/>
        <v>1.5200000000000003E-6</v>
      </c>
      <c r="AB280" s="157">
        <f t="shared" si="128"/>
        <v>0.8</v>
      </c>
      <c r="AC280" s="156">
        <f t="shared" si="129"/>
        <v>9.9999999999999995E-8</v>
      </c>
      <c r="AE280" s="140">
        <f t="shared" si="130"/>
        <v>3.0400000000000004E-5</v>
      </c>
      <c r="AF280">
        <v>3.04</v>
      </c>
      <c r="AG280" s="140">
        <f t="shared" si="131"/>
        <v>3.0399999999999992E-7</v>
      </c>
      <c r="AH280" s="140">
        <f t="shared" si="132"/>
        <v>6.0799999999999994E-7</v>
      </c>
      <c r="AI280" s="140">
        <f t="shared" si="133"/>
        <v>9.1200000000000012E-7</v>
      </c>
      <c r="AJ280" s="140">
        <f t="shared" si="134"/>
        <v>1.2160000000000001E-6</v>
      </c>
      <c r="AK280" s="140">
        <f t="shared" si="135"/>
        <v>1.5200000000000003E-6</v>
      </c>
      <c r="AL280" s="157">
        <f t="shared" si="136"/>
        <v>1.2</v>
      </c>
      <c r="AM280" s="156">
        <f t="shared" si="137"/>
        <v>9.9999999999999995E-8</v>
      </c>
      <c r="AO280" s="140">
        <f t="shared" si="138"/>
        <v>3.0400000000000004E-5</v>
      </c>
      <c r="AP280">
        <v>3.04</v>
      </c>
      <c r="AQ280" s="140">
        <f t="shared" si="139"/>
        <v>3.0399999999999992E-7</v>
      </c>
      <c r="AR280" s="140">
        <f t="shared" si="140"/>
        <v>6.0799999999999994E-7</v>
      </c>
      <c r="AS280" s="140">
        <f t="shared" si="141"/>
        <v>9.1200000000000012E-7</v>
      </c>
      <c r="AT280" s="140">
        <f t="shared" si="142"/>
        <v>1.2160000000000001E-6</v>
      </c>
      <c r="AU280" s="140">
        <f t="shared" si="143"/>
        <v>1.5200000000000003E-6</v>
      </c>
      <c r="AV280" s="157">
        <f t="shared" si="144"/>
        <v>1.2</v>
      </c>
      <c r="AW280" s="156">
        <f t="shared" si="145"/>
        <v>9.9999999999999995E-8</v>
      </c>
      <c r="AY280" s="140">
        <f t="shared" si="146"/>
        <v>3.0400000000000004E-5</v>
      </c>
      <c r="AZ280">
        <v>3.04</v>
      </c>
      <c r="BA280" s="140">
        <f t="shared" si="147"/>
        <v>3.0399999999999992E-7</v>
      </c>
      <c r="BB280" s="140">
        <f t="shared" si="148"/>
        <v>6.0799999999999994E-7</v>
      </c>
      <c r="BC280" s="140">
        <f t="shared" si="149"/>
        <v>9.1200000000000012E-7</v>
      </c>
      <c r="BD280" s="140">
        <f t="shared" si="150"/>
        <v>1.2160000000000001E-6</v>
      </c>
      <c r="BE280" s="140">
        <f t="shared" si="151"/>
        <v>1.5200000000000003E-6</v>
      </c>
      <c r="BF280" s="157">
        <f>IF(AY280&lt;$B$89*DATA!$H$1037,DATA!$H$1037,IF(AY280&gt;DATA!$H$1036*$B$89,DATA!$H$1036,1))</f>
        <v>1.2</v>
      </c>
      <c r="BG280" s="156">
        <f t="shared" si="152"/>
        <v>9.9999999999999995E-8</v>
      </c>
      <c r="BI280" s="140">
        <f t="shared" si="153"/>
        <v>3.0400000000000004E-5</v>
      </c>
      <c r="BJ280">
        <v>3.04</v>
      </c>
      <c r="BK280" s="140">
        <f t="shared" si="154"/>
        <v>3.0399999999999992E-7</v>
      </c>
      <c r="BL280" s="140">
        <f t="shared" si="155"/>
        <v>6.0799999999999994E-7</v>
      </c>
      <c r="BM280" s="140">
        <f t="shared" si="156"/>
        <v>9.1200000000000012E-7</v>
      </c>
      <c r="BN280" s="140">
        <f t="shared" si="157"/>
        <v>1.2160000000000001E-6</v>
      </c>
      <c r="BO280" s="140">
        <f t="shared" si="158"/>
        <v>1.5200000000000003E-6</v>
      </c>
      <c r="BP280" s="157">
        <f>IF(BI280&lt;$B$105*DATA!$H$1037,DATA!$H$1037,IF(BI280&gt;DATA!$H$1036*$B$105,DATA!$H$1036,1))</f>
        <v>1.2</v>
      </c>
      <c r="BQ280" s="156">
        <f t="shared" si="159"/>
        <v>9.9999999999999995E-8</v>
      </c>
    </row>
    <row r="281" spans="1:69">
      <c r="A281" s="140">
        <f t="shared" si="112"/>
        <v>3.0600000000000005E-5</v>
      </c>
      <c r="B281">
        <v>3.06</v>
      </c>
      <c r="C281" s="140">
        <f t="shared" si="110"/>
        <v>3.0599999999999996E-7</v>
      </c>
      <c r="D281" s="140">
        <f t="shared" si="110"/>
        <v>6.1200000000000003E-7</v>
      </c>
      <c r="E281" s="140">
        <f t="shared" si="110"/>
        <v>9.1800000000000015E-7</v>
      </c>
      <c r="F281" s="140">
        <f t="shared" si="110"/>
        <v>1.2240000000000003E-6</v>
      </c>
      <c r="G281" s="140">
        <f t="shared" si="110"/>
        <v>1.5300000000000004E-6</v>
      </c>
      <c r="H281" s="124">
        <f t="shared" si="113"/>
        <v>0.8</v>
      </c>
      <c r="I281" s="156">
        <f t="shared" si="114"/>
        <v>9.9999999999999995E-8</v>
      </c>
      <c r="K281" s="140">
        <f t="shared" si="115"/>
        <v>3.0600000000000005E-5</v>
      </c>
      <c r="L281">
        <v>3.06</v>
      </c>
      <c r="M281" s="140">
        <f t="shared" si="116"/>
        <v>3.0599999999999996E-7</v>
      </c>
      <c r="N281" s="140">
        <f t="shared" si="117"/>
        <v>6.1200000000000003E-7</v>
      </c>
      <c r="O281" s="140">
        <f t="shared" si="118"/>
        <v>9.1800000000000015E-7</v>
      </c>
      <c r="P281" s="140">
        <f t="shared" si="111"/>
        <v>1.2240000000000003E-6</v>
      </c>
      <c r="Q281" s="140">
        <f t="shared" si="119"/>
        <v>1.5300000000000004E-6</v>
      </c>
      <c r="R281" s="157">
        <f t="shared" si="120"/>
        <v>0.8</v>
      </c>
      <c r="S281" s="156">
        <f t="shared" si="121"/>
        <v>9.9999999999999995E-8</v>
      </c>
      <c r="U281" s="140">
        <f t="shared" si="122"/>
        <v>3.0600000000000005E-5</v>
      </c>
      <c r="V281">
        <v>3.06</v>
      </c>
      <c r="W281" s="140">
        <f t="shared" si="123"/>
        <v>3.0599999999999996E-7</v>
      </c>
      <c r="X281" s="140">
        <f t="shared" si="124"/>
        <v>6.1200000000000003E-7</v>
      </c>
      <c r="Y281" s="140">
        <f t="shared" si="125"/>
        <v>9.1800000000000015E-7</v>
      </c>
      <c r="Z281" s="140">
        <f t="shared" si="126"/>
        <v>1.2240000000000003E-6</v>
      </c>
      <c r="AA281" s="140">
        <f t="shared" si="127"/>
        <v>1.5300000000000004E-6</v>
      </c>
      <c r="AB281" s="157">
        <f t="shared" si="128"/>
        <v>0.8</v>
      </c>
      <c r="AC281" s="156">
        <f t="shared" si="129"/>
        <v>9.9999999999999995E-8</v>
      </c>
      <c r="AE281" s="140">
        <f t="shared" si="130"/>
        <v>3.0600000000000005E-5</v>
      </c>
      <c r="AF281">
        <v>3.06</v>
      </c>
      <c r="AG281" s="140">
        <f t="shared" si="131"/>
        <v>3.0599999999999996E-7</v>
      </c>
      <c r="AH281" s="140">
        <f t="shared" si="132"/>
        <v>6.1200000000000003E-7</v>
      </c>
      <c r="AI281" s="140">
        <f t="shared" si="133"/>
        <v>9.1800000000000015E-7</v>
      </c>
      <c r="AJ281" s="140">
        <f t="shared" si="134"/>
        <v>1.2240000000000003E-6</v>
      </c>
      <c r="AK281" s="140">
        <f t="shared" si="135"/>
        <v>1.5300000000000004E-6</v>
      </c>
      <c r="AL281" s="157">
        <f t="shared" si="136"/>
        <v>1.2</v>
      </c>
      <c r="AM281" s="156">
        <f t="shared" si="137"/>
        <v>9.9999999999999995E-8</v>
      </c>
      <c r="AO281" s="140">
        <f t="shared" si="138"/>
        <v>3.0600000000000005E-5</v>
      </c>
      <c r="AP281">
        <v>3.06</v>
      </c>
      <c r="AQ281" s="140">
        <f t="shared" si="139"/>
        <v>3.0599999999999996E-7</v>
      </c>
      <c r="AR281" s="140">
        <f t="shared" si="140"/>
        <v>6.1200000000000003E-7</v>
      </c>
      <c r="AS281" s="140">
        <f t="shared" si="141"/>
        <v>9.1800000000000015E-7</v>
      </c>
      <c r="AT281" s="140">
        <f t="shared" si="142"/>
        <v>1.2240000000000003E-6</v>
      </c>
      <c r="AU281" s="140">
        <f t="shared" si="143"/>
        <v>1.5300000000000004E-6</v>
      </c>
      <c r="AV281" s="157">
        <f t="shared" si="144"/>
        <v>1.2</v>
      </c>
      <c r="AW281" s="156">
        <f t="shared" si="145"/>
        <v>9.9999999999999995E-8</v>
      </c>
      <c r="AY281" s="140">
        <f t="shared" si="146"/>
        <v>3.0600000000000005E-5</v>
      </c>
      <c r="AZ281">
        <v>3.06</v>
      </c>
      <c r="BA281" s="140">
        <f t="shared" si="147"/>
        <v>3.0599999999999996E-7</v>
      </c>
      <c r="BB281" s="140">
        <f t="shared" si="148"/>
        <v>6.1200000000000003E-7</v>
      </c>
      <c r="BC281" s="140">
        <f t="shared" si="149"/>
        <v>9.1800000000000015E-7</v>
      </c>
      <c r="BD281" s="140">
        <f t="shared" si="150"/>
        <v>1.2240000000000003E-6</v>
      </c>
      <c r="BE281" s="140">
        <f t="shared" si="151"/>
        <v>1.5300000000000004E-6</v>
      </c>
      <c r="BF281" s="157">
        <f>IF(AY281&lt;$B$89*DATA!$H$1037,DATA!$H$1037,IF(AY281&gt;DATA!$H$1036*$B$89,DATA!$H$1036,1))</f>
        <v>1.2</v>
      </c>
      <c r="BG281" s="156">
        <f t="shared" si="152"/>
        <v>9.9999999999999995E-8</v>
      </c>
      <c r="BI281" s="140">
        <f t="shared" si="153"/>
        <v>3.0600000000000005E-5</v>
      </c>
      <c r="BJ281">
        <v>3.06</v>
      </c>
      <c r="BK281" s="140">
        <f t="shared" si="154"/>
        <v>3.0599999999999996E-7</v>
      </c>
      <c r="BL281" s="140">
        <f t="shared" si="155"/>
        <v>6.1200000000000003E-7</v>
      </c>
      <c r="BM281" s="140">
        <f t="shared" si="156"/>
        <v>9.1800000000000015E-7</v>
      </c>
      <c r="BN281" s="140">
        <f t="shared" si="157"/>
        <v>1.2240000000000003E-6</v>
      </c>
      <c r="BO281" s="140">
        <f t="shared" si="158"/>
        <v>1.5300000000000004E-6</v>
      </c>
      <c r="BP281" s="157">
        <f>IF(BI281&lt;$B$105*DATA!$H$1037,DATA!$H$1037,IF(BI281&gt;DATA!$H$1036*$B$105,DATA!$H$1036,1))</f>
        <v>1.2</v>
      </c>
      <c r="BQ281" s="156">
        <f t="shared" si="159"/>
        <v>9.9999999999999995E-8</v>
      </c>
    </row>
    <row r="282" spans="1:69">
      <c r="A282" s="140">
        <f t="shared" si="112"/>
        <v>3.0800000000000003E-5</v>
      </c>
      <c r="B282">
        <v>3.08</v>
      </c>
      <c r="C282" s="140">
        <f t="shared" si="110"/>
        <v>3.0799999999999995E-7</v>
      </c>
      <c r="D282" s="140">
        <f t="shared" si="110"/>
        <v>6.1600000000000001E-7</v>
      </c>
      <c r="E282" s="140">
        <f t="shared" si="110"/>
        <v>9.2400000000000007E-7</v>
      </c>
      <c r="F282" s="140">
        <f t="shared" si="110"/>
        <v>1.2320000000000002E-6</v>
      </c>
      <c r="G282" s="140">
        <f t="shared" si="110"/>
        <v>1.5400000000000003E-6</v>
      </c>
      <c r="H282" s="124">
        <f t="shared" si="113"/>
        <v>0.8</v>
      </c>
      <c r="I282" s="156">
        <f t="shared" si="114"/>
        <v>9.9999999999999995E-8</v>
      </c>
      <c r="K282" s="140">
        <f t="shared" si="115"/>
        <v>3.0800000000000003E-5</v>
      </c>
      <c r="L282">
        <v>3.08</v>
      </c>
      <c r="M282" s="140">
        <f t="shared" si="116"/>
        <v>3.0799999999999995E-7</v>
      </c>
      <c r="N282" s="140">
        <f t="shared" si="117"/>
        <v>6.1600000000000001E-7</v>
      </c>
      <c r="O282" s="140">
        <f t="shared" si="118"/>
        <v>9.2400000000000007E-7</v>
      </c>
      <c r="P282" s="140">
        <f t="shared" si="111"/>
        <v>1.2320000000000002E-6</v>
      </c>
      <c r="Q282" s="140">
        <f t="shared" si="119"/>
        <v>1.5400000000000003E-6</v>
      </c>
      <c r="R282" s="157">
        <f t="shared" si="120"/>
        <v>0.8</v>
      </c>
      <c r="S282" s="156">
        <f t="shared" si="121"/>
        <v>9.9999999999999995E-8</v>
      </c>
      <c r="U282" s="140">
        <f t="shared" si="122"/>
        <v>3.0800000000000003E-5</v>
      </c>
      <c r="V282">
        <v>3.08</v>
      </c>
      <c r="W282" s="140">
        <f t="shared" si="123"/>
        <v>3.0799999999999995E-7</v>
      </c>
      <c r="X282" s="140">
        <f t="shared" si="124"/>
        <v>6.1600000000000001E-7</v>
      </c>
      <c r="Y282" s="140">
        <f t="shared" si="125"/>
        <v>9.2400000000000007E-7</v>
      </c>
      <c r="Z282" s="140">
        <f t="shared" si="126"/>
        <v>1.2320000000000002E-6</v>
      </c>
      <c r="AA282" s="140">
        <f t="shared" si="127"/>
        <v>1.5400000000000003E-6</v>
      </c>
      <c r="AB282" s="157">
        <f t="shared" si="128"/>
        <v>0.8</v>
      </c>
      <c r="AC282" s="156">
        <f t="shared" si="129"/>
        <v>9.9999999999999995E-8</v>
      </c>
      <c r="AE282" s="140">
        <f t="shared" si="130"/>
        <v>3.0800000000000003E-5</v>
      </c>
      <c r="AF282">
        <v>3.08</v>
      </c>
      <c r="AG282" s="140">
        <f t="shared" si="131"/>
        <v>3.0799999999999995E-7</v>
      </c>
      <c r="AH282" s="140">
        <f t="shared" si="132"/>
        <v>6.1600000000000001E-7</v>
      </c>
      <c r="AI282" s="140">
        <f t="shared" si="133"/>
        <v>9.2400000000000007E-7</v>
      </c>
      <c r="AJ282" s="140">
        <f t="shared" si="134"/>
        <v>1.2320000000000002E-6</v>
      </c>
      <c r="AK282" s="140">
        <f t="shared" si="135"/>
        <v>1.5400000000000003E-6</v>
      </c>
      <c r="AL282" s="157">
        <f t="shared" si="136"/>
        <v>1.2</v>
      </c>
      <c r="AM282" s="156">
        <f t="shared" si="137"/>
        <v>9.9999999999999995E-8</v>
      </c>
      <c r="AO282" s="140">
        <f t="shared" si="138"/>
        <v>3.0800000000000003E-5</v>
      </c>
      <c r="AP282">
        <v>3.08</v>
      </c>
      <c r="AQ282" s="140">
        <f t="shared" si="139"/>
        <v>3.0799999999999995E-7</v>
      </c>
      <c r="AR282" s="140">
        <f t="shared" si="140"/>
        <v>6.1600000000000001E-7</v>
      </c>
      <c r="AS282" s="140">
        <f t="shared" si="141"/>
        <v>9.2400000000000007E-7</v>
      </c>
      <c r="AT282" s="140">
        <f t="shared" si="142"/>
        <v>1.2320000000000002E-6</v>
      </c>
      <c r="AU282" s="140">
        <f t="shared" si="143"/>
        <v>1.5400000000000003E-6</v>
      </c>
      <c r="AV282" s="157">
        <f t="shared" si="144"/>
        <v>1.2</v>
      </c>
      <c r="AW282" s="156">
        <f t="shared" si="145"/>
        <v>9.9999999999999995E-8</v>
      </c>
      <c r="AY282" s="140">
        <f t="shared" si="146"/>
        <v>3.0800000000000003E-5</v>
      </c>
      <c r="AZ282">
        <v>3.08</v>
      </c>
      <c r="BA282" s="140">
        <f t="shared" si="147"/>
        <v>3.0799999999999995E-7</v>
      </c>
      <c r="BB282" s="140">
        <f t="shared" si="148"/>
        <v>6.1600000000000001E-7</v>
      </c>
      <c r="BC282" s="140">
        <f t="shared" si="149"/>
        <v>9.2400000000000007E-7</v>
      </c>
      <c r="BD282" s="140">
        <f t="shared" si="150"/>
        <v>1.2320000000000002E-6</v>
      </c>
      <c r="BE282" s="140">
        <f t="shared" si="151"/>
        <v>1.5400000000000003E-6</v>
      </c>
      <c r="BF282" s="157">
        <f>IF(AY282&lt;$B$89*DATA!$H$1037,DATA!$H$1037,IF(AY282&gt;DATA!$H$1036*$B$89,DATA!$H$1036,1))</f>
        <v>1.2</v>
      </c>
      <c r="BG282" s="156">
        <f t="shared" si="152"/>
        <v>9.9999999999999995E-8</v>
      </c>
      <c r="BI282" s="140">
        <f t="shared" si="153"/>
        <v>3.0800000000000003E-5</v>
      </c>
      <c r="BJ282">
        <v>3.08</v>
      </c>
      <c r="BK282" s="140">
        <f t="shared" si="154"/>
        <v>3.0799999999999995E-7</v>
      </c>
      <c r="BL282" s="140">
        <f t="shared" si="155"/>
        <v>6.1600000000000001E-7</v>
      </c>
      <c r="BM282" s="140">
        <f t="shared" si="156"/>
        <v>9.2400000000000007E-7</v>
      </c>
      <c r="BN282" s="140">
        <f t="shared" si="157"/>
        <v>1.2320000000000002E-6</v>
      </c>
      <c r="BO282" s="140">
        <f t="shared" si="158"/>
        <v>1.5400000000000003E-6</v>
      </c>
      <c r="BP282" s="157">
        <f>IF(BI282&lt;$B$105*DATA!$H$1037,DATA!$H$1037,IF(BI282&gt;DATA!$H$1036*$B$105,DATA!$H$1036,1))</f>
        <v>1.2</v>
      </c>
      <c r="BQ282" s="156">
        <f t="shared" si="159"/>
        <v>9.9999999999999995E-8</v>
      </c>
    </row>
    <row r="283" spans="1:69">
      <c r="A283" s="140">
        <f t="shared" si="112"/>
        <v>3.1000000000000001E-5</v>
      </c>
      <c r="B283">
        <v>3.1</v>
      </c>
      <c r="C283" s="140">
        <f t="shared" si="110"/>
        <v>3.0999999999999989E-7</v>
      </c>
      <c r="D283" s="140">
        <f t="shared" si="110"/>
        <v>6.1999999999999989E-7</v>
      </c>
      <c r="E283" s="140">
        <f t="shared" si="110"/>
        <v>9.2999999999999999E-7</v>
      </c>
      <c r="F283" s="140">
        <f t="shared" si="110"/>
        <v>1.24E-6</v>
      </c>
      <c r="G283" s="140">
        <f t="shared" si="110"/>
        <v>1.5500000000000002E-6</v>
      </c>
      <c r="H283" s="124">
        <f t="shared" si="113"/>
        <v>0.8</v>
      </c>
      <c r="I283" s="156">
        <f t="shared" si="114"/>
        <v>9.9999999999999995E-8</v>
      </c>
      <c r="K283" s="140">
        <f t="shared" si="115"/>
        <v>3.1000000000000001E-5</v>
      </c>
      <c r="L283">
        <v>3.1</v>
      </c>
      <c r="M283" s="140">
        <f t="shared" si="116"/>
        <v>3.0999999999999989E-7</v>
      </c>
      <c r="N283" s="140">
        <f t="shared" si="117"/>
        <v>6.1999999999999989E-7</v>
      </c>
      <c r="O283" s="140">
        <f t="shared" si="118"/>
        <v>9.2999999999999999E-7</v>
      </c>
      <c r="P283" s="140">
        <f t="shared" si="111"/>
        <v>1.24E-6</v>
      </c>
      <c r="Q283" s="140">
        <f t="shared" si="119"/>
        <v>1.5500000000000002E-6</v>
      </c>
      <c r="R283" s="157">
        <f t="shared" si="120"/>
        <v>0.8</v>
      </c>
      <c r="S283" s="156">
        <f t="shared" si="121"/>
        <v>9.9999999999999995E-8</v>
      </c>
      <c r="U283" s="140">
        <f t="shared" si="122"/>
        <v>3.1000000000000001E-5</v>
      </c>
      <c r="V283">
        <v>3.1</v>
      </c>
      <c r="W283" s="140">
        <f t="shared" si="123"/>
        <v>3.0999999999999989E-7</v>
      </c>
      <c r="X283" s="140">
        <f t="shared" si="124"/>
        <v>6.1999999999999989E-7</v>
      </c>
      <c r="Y283" s="140">
        <f t="shared" si="125"/>
        <v>9.2999999999999999E-7</v>
      </c>
      <c r="Z283" s="140">
        <f t="shared" si="126"/>
        <v>1.24E-6</v>
      </c>
      <c r="AA283" s="140">
        <f t="shared" si="127"/>
        <v>1.5500000000000002E-6</v>
      </c>
      <c r="AB283" s="157">
        <f t="shared" si="128"/>
        <v>0.8</v>
      </c>
      <c r="AC283" s="156">
        <f t="shared" si="129"/>
        <v>9.9999999999999995E-8</v>
      </c>
      <c r="AE283" s="140">
        <f t="shared" si="130"/>
        <v>3.1000000000000001E-5</v>
      </c>
      <c r="AF283">
        <v>3.1</v>
      </c>
      <c r="AG283" s="140">
        <f t="shared" si="131"/>
        <v>3.0999999999999989E-7</v>
      </c>
      <c r="AH283" s="140">
        <f t="shared" si="132"/>
        <v>6.1999999999999989E-7</v>
      </c>
      <c r="AI283" s="140">
        <f t="shared" si="133"/>
        <v>9.2999999999999999E-7</v>
      </c>
      <c r="AJ283" s="140">
        <f t="shared" si="134"/>
        <v>1.24E-6</v>
      </c>
      <c r="AK283" s="140">
        <f t="shared" si="135"/>
        <v>1.5500000000000002E-6</v>
      </c>
      <c r="AL283" s="157">
        <f t="shared" si="136"/>
        <v>1.2</v>
      </c>
      <c r="AM283" s="156">
        <f t="shared" si="137"/>
        <v>9.9999999999999995E-8</v>
      </c>
      <c r="AO283" s="140">
        <f t="shared" si="138"/>
        <v>3.1000000000000001E-5</v>
      </c>
      <c r="AP283">
        <v>3.1</v>
      </c>
      <c r="AQ283" s="140">
        <f t="shared" si="139"/>
        <v>3.0999999999999989E-7</v>
      </c>
      <c r="AR283" s="140">
        <f t="shared" si="140"/>
        <v>6.1999999999999989E-7</v>
      </c>
      <c r="AS283" s="140">
        <f t="shared" si="141"/>
        <v>9.2999999999999999E-7</v>
      </c>
      <c r="AT283" s="140">
        <f t="shared" si="142"/>
        <v>1.24E-6</v>
      </c>
      <c r="AU283" s="140">
        <f t="shared" si="143"/>
        <v>1.5500000000000002E-6</v>
      </c>
      <c r="AV283" s="157">
        <f t="shared" si="144"/>
        <v>1.2</v>
      </c>
      <c r="AW283" s="156">
        <f t="shared" si="145"/>
        <v>9.9999999999999995E-8</v>
      </c>
      <c r="AY283" s="140">
        <f t="shared" si="146"/>
        <v>3.1000000000000001E-5</v>
      </c>
      <c r="AZ283">
        <v>3.1</v>
      </c>
      <c r="BA283" s="140">
        <f t="shared" si="147"/>
        <v>3.0999999999999989E-7</v>
      </c>
      <c r="BB283" s="140">
        <f t="shared" si="148"/>
        <v>6.1999999999999989E-7</v>
      </c>
      <c r="BC283" s="140">
        <f t="shared" si="149"/>
        <v>9.2999999999999999E-7</v>
      </c>
      <c r="BD283" s="140">
        <f t="shared" si="150"/>
        <v>1.24E-6</v>
      </c>
      <c r="BE283" s="140">
        <f t="shared" si="151"/>
        <v>1.5500000000000002E-6</v>
      </c>
      <c r="BF283" s="157">
        <f>IF(AY283&lt;$B$89*DATA!$H$1037,DATA!$H$1037,IF(AY283&gt;DATA!$H$1036*$B$89,DATA!$H$1036,1))</f>
        <v>1.2</v>
      </c>
      <c r="BG283" s="156">
        <f t="shared" si="152"/>
        <v>9.9999999999999995E-8</v>
      </c>
      <c r="BI283" s="140">
        <f t="shared" si="153"/>
        <v>3.1000000000000001E-5</v>
      </c>
      <c r="BJ283">
        <v>3.1</v>
      </c>
      <c r="BK283" s="140">
        <f t="shared" si="154"/>
        <v>3.0999999999999989E-7</v>
      </c>
      <c r="BL283" s="140">
        <f t="shared" si="155"/>
        <v>6.1999999999999989E-7</v>
      </c>
      <c r="BM283" s="140">
        <f t="shared" si="156"/>
        <v>9.2999999999999999E-7</v>
      </c>
      <c r="BN283" s="140">
        <f t="shared" si="157"/>
        <v>1.24E-6</v>
      </c>
      <c r="BO283" s="140">
        <f t="shared" si="158"/>
        <v>1.5500000000000002E-6</v>
      </c>
      <c r="BP283" s="157">
        <f>IF(BI283&lt;$B$105*DATA!$H$1037,DATA!$H$1037,IF(BI283&gt;DATA!$H$1036*$B$105,DATA!$H$1036,1))</f>
        <v>1.2</v>
      </c>
      <c r="BQ283" s="156">
        <f t="shared" si="159"/>
        <v>9.9999999999999995E-8</v>
      </c>
    </row>
    <row r="284" spans="1:69">
      <c r="A284" s="140">
        <f t="shared" si="112"/>
        <v>3.1200000000000006E-5</v>
      </c>
      <c r="B284">
        <v>3.12</v>
      </c>
      <c r="C284" s="140">
        <f t="shared" si="110"/>
        <v>3.1199999999999994E-7</v>
      </c>
      <c r="D284" s="140">
        <f t="shared" si="110"/>
        <v>6.2400000000000008E-7</v>
      </c>
      <c r="E284" s="140">
        <f t="shared" si="110"/>
        <v>9.3600000000000012E-7</v>
      </c>
      <c r="F284" s="140">
        <f t="shared" si="110"/>
        <v>1.2480000000000004E-6</v>
      </c>
      <c r="G284" s="140">
        <f t="shared" si="110"/>
        <v>1.5600000000000003E-6</v>
      </c>
      <c r="H284" s="124">
        <f t="shared" si="113"/>
        <v>0.8</v>
      </c>
      <c r="I284" s="156">
        <f t="shared" si="114"/>
        <v>9.9999999999999995E-8</v>
      </c>
      <c r="K284" s="140">
        <f t="shared" si="115"/>
        <v>3.1200000000000006E-5</v>
      </c>
      <c r="L284">
        <v>3.12</v>
      </c>
      <c r="M284" s="140">
        <f t="shared" si="116"/>
        <v>3.1199999999999994E-7</v>
      </c>
      <c r="N284" s="140">
        <f t="shared" si="117"/>
        <v>6.2400000000000008E-7</v>
      </c>
      <c r="O284" s="140">
        <f t="shared" si="118"/>
        <v>9.3600000000000012E-7</v>
      </c>
      <c r="P284" s="140">
        <f t="shared" si="111"/>
        <v>1.2480000000000004E-6</v>
      </c>
      <c r="Q284" s="140">
        <f t="shared" si="119"/>
        <v>1.5600000000000003E-6</v>
      </c>
      <c r="R284" s="157">
        <f t="shared" si="120"/>
        <v>0.8</v>
      </c>
      <c r="S284" s="156">
        <f t="shared" si="121"/>
        <v>9.9999999999999995E-8</v>
      </c>
      <c r="U284" s="140">
        <f t="shared" si="122"/>
        <v>3.1200000000000006E-5</v>
      </c>
      <c r="V284">
        <v>3.12</v>
      </c>
      <c r="W284" s="140">
        <f t="shared" si="123"/>
        <v>3.1199999999999994E-7</v>
      </c>
      <c r="X284" s="140">
        <f t="shared" si="124"/>
        <v>6.2400000000000008E-7</v>
      </c>
      <c r="Y284" s="140">
        <f t="shared" si="125"/>
        <v>9.3600000000000012E-7</v>
      </c>
      <c r="Z284" s="140">
        <f t="shared" si="126"/>
        <v>1.2480000000000004E-6</v>
      </c>
      <c r="AA284" s="140">
        <f t="shared" si="127"/>
        <v>1.5600000000000003E-6</v>
      </c>
      <c r="AB284" s="157">
        <f t="shared" si="128"/>
        <v>0.8</v>
      </c>
      <c r="AC284" s="156">
        <f t="shared" si="129"/>
        <v>9.9999999999999995E-8</v>
      </c>
      <c r="AE284" s="140">
        <f t="shared" si="130"/>
        <v>3.1200000000000006E-5</v>
      </c>
      <c r="AF284">
        <v>3.12</v>
      </c>
      <c r="AG284" s="140">
        <f t="shared" si="131"/>
        <v>3.1199999999999994E-7</v>
      </c>
      <c r="AH284" s="140">
        <f t="shared" si="132"/>
        <v>6.2400000000000008E-7</v>
      </c>
      <c r="AI284" s="140">
        <f t="shared" si="133"/>
        <v>9.3600000000000012E-7</v>
      </c>
      <c r="AJ284" s="140">
        <f t="shared" si="134"/>
        <v>1.2480000000000004E-6</v>
      </c>
      <c r="AK284" s="140">
        <f t="shared" si="135"/>
        <v>1.5600000000000003E-6</v>
      </c>
      <c r="AL284" s="157">
        <f t="shared" si="136"/>
        <v>1.2</v>
      </c>
      <c r="AM284" s="156">
        <f t="shared" si="137"/>
        <v>9.9999999999999995E-8</v>
      </c>
      <c r="AO284" s="140">
        <f t="shared" si="138"/>
        <v>3.1200000000000006E-5</v>
      </c>
      <c r="AP284">
        <v>3.12</v>
      </c>
      <c r="AQ284" s="140">
        <f t="shared" si="139"/>
        <v>3.1199999999999994E-7</v>
      </c>
      <c r="AR284" s="140">
        <f t="shared" si="140"/>
        <v>6.2400000000000008E-7</v>
      </c>
      <c r="AS284" s="140">
        <f t="shared" si="141"/>
        <v>9.3600000000000012E-7</v>
      </c>
      <c r="AT284" s="140">
        <f t="shared" si="142"/>
        <v>1.2480000000000004E-6</v>
      </c>
      <c r="AU284" s="140">
        <f t="shared" si="143"/>
        <v>1.5600000000000003E-6</v>
      </c>
      <c r="AV284" s="157">
        <f t="shared" si="144"/>
        <v>1.2</v>
      </c>
      <c r="AW284" s="156">
        <f t="shared" si="145"/>
        <v>9.9999999999999995E-8</v>
      </c>
      <c r="AY284" s="140">
        <f t="shared" si="146"/>
        <v>3.1200000000000006E-5</v>
      </c>
      <c r="AZ284">
        <v>3.12</v>
      </c>
      <c r="BA284" s="140">
        <f t="shared" si="147"/>
        <v>3.1199999999999994E-7</v>
      </c>
      <c r="BB284" s="140">
        <f t="shared" si="148"/>
        <v>6.2400000000000008E-7</v>
      </c>
      <c r="BC284" s="140">
        <f t="shared" si="149"/>
        <v>9.3600000000000012E-7</v>
      </c>
      <c r="BD284" s="140">
        <f t="shared" si="150"/>
        <v>1.2480000000000004E-6</v>
      </c>
      <c r="BE284" s="140">
        <f t="shared" si="151"/>
        <v>1.5600000000000003E-6</v>
      </c>
      <c r="BF284" s="157">
        <f>IF(AY284&lt;$B$89*DATA!$H$1037,DATA!$H$1037,IF(AY284&gt;DATA!$H$1036*$B$89,DATA!$H$1036,1))</f>
        <v>1.2</v>
      </c>
      <c r="BG284" s="156">
        <f t="shared" si="152"/>
        <v>9.9999999999999995E-8</v>
      </c>
      <c r="BI284" s="140">
        <f t="shared" si="153"/>
        <v>3.1200000000000006E-5</v>
      </c>
      <c r="BJ284">
        <v>3.12</v>
      </c>
      <c r="BK284" s="140">
        <f t="shared" si="154"/>
        <v>3.1199999999999994E-7</v>
      </c>
      <c r="BL284" s="140">
        <f t="shared" si="155"/>
        <v>6.2400000000000008E-7</v>
      </c>
      <c r="BM284" s="140">
        <f t="shared" si="156"/>
        <v>9.3600000000000012E-7</v>
      </c>
      <c r="BN284" s="140">
        <f t="shared" si="157"/>
        <v>1.2480000000000004E-6</v>
      </c>
      <c r="BO284" s="140">
        <f t="shared" si="158"/>
        <v>1.5600000000000003E-6</v>
      </c>
      <c r="BP284" s="157">
        <f>IF(BI284&lt;$B$105*DATA!$H$1037,DATA!$H$1037,IF(BI284&gt;DATA!$H$1036*$B$105,DATA!$H$1036,1))</f>
        <v>1.2</v>
      </c>
      <c r="BQ284" s="156">
        <f t="shared" si="159"/>
        <v>9.9999999999999995E-8</v>
      </c>
    </row>
    <row r="285" spans="1:69">
      <c r="A285" s="140">
        <f t="shared" si="112"/>
        <v>3.1400000000000004E-5</v>
      </c>
      <c r="B285">
        <v>3.14</v>
      </c>
      <c r="C285" s="140">
        <f t="shared" si="110"/>
        <v>3.1399999999999993E-7</v>
      </c>
      <c r="D285" s="140">
        <f t="shared" si="110"/>
        <v>6.2799999999999996E-7</v>
      </c>
      <c r="E285" s="140">
        <f t="shared" si="110"/>
        <v>9.4200000000000004E-7</v>
      </c>
      <c r="F285" s="140">
        <f t="shared" si="110"/>
        <v>1.2560000000000001E-6</v>
      </c>
      <c r="G285" s="140">
        <f t="shared" si="110"/>
        <v>1.5700000000000002E-6</v>
      </c>
      <c r="H285" s="124">
        <f t="shared" si="113"/>
        <v>0.8</v>
      </c>
      <c r="I285" s="156">
        <f t="shared" si="114"/>
        <v>9.9999999999999995E-8</v>
      </c>
      <c r="K285" s="140">
        <f t="shared" si="115"/>
        <v>3.1400000000000004E-5</v>
      </c>
      <c r="L285">
        <v>3.14</v>
      </c>
      <c r="M285" s="140">
        <f t="shared" si="116"/>
        <v>3.1399999999999993E-7</v>
      </c>
      <c r="N285" s="140">
        <f t="shared" si="117"/>
        <v>6.2799999999999996E-7</v>
      </c>
      <c r="O285" s="140">
        <f t="shared" si="118"/>
        <v>9.4200000000000004E-7</v>
      </c>
      <c r="P285" s="140">
        <f t="shared" si="111"/>
        <v>1.2560000000000001E-6</v>
      </c>
      <c r="Q285" s="140">
        <f t="shared" si="119"/>
        <v>1.5700000000000002E-6</v>
      </c>
      <c r="R285" s="157">
        <f t="shared" si="120"/>
        <v>0.8</v>
      </c>
      <c r="S285" s="156">
        <f t="shared" si="121"/>
        <v>9.9999999999999995E-8</v>
      </c>
      <c r="U285" s="140">
        <f t="shared" si="122"/>
        <v>3.1400000000000004E-5</v>
      </c>
      <c r="V285">
        <v>3.14</v>
      </c>
      <c r="W285" s="140">
        <f t="shared" si="123"/>
        <v>3.1399999999999993E-7</v>
      </c>
      <c r="X285" s="140">
        <f t="shared" si="124"/>
        <v>6.2799999999999996E-7</v>
      </c>
      <c r="Y285" s="140">
        <f t="shared" si="125"/>
        <v>9.4200000000000004E-7</v>
      </c>
      <c r="Z285" s="140">
        <f t="shared" si="126"/>
        <v>1.2560000000000001E-6</v>
      </c>
      <c r="AA285" s="140">
        <f t="shared" si="127"/>
        <v>1.5700000000000002E-6</v>
      </c>
      <c r="AB285" s="157">
        <f t="shared" si="128"/>
        <v>0.8</v>
      </c>
      <c r="AC285" s="156">
        <f t="shared" si="129"/>
        <v>9.9999999999999995E-8</v>
      </c>
      <c r="AE285" s="140">
        <f t="shared" si="130"/>
        <v>3.1400000000000004E-5</v>
      </c>
      <c r="AF285">
        <v>3.14</v>
      </c>
      <c r="AG285" s="140">
        <f t="shared" si="131"/>
        <v>3.1399999999999993E-7</v>
      </c>
      <c r="AH285" s="140">
        <f t="shared" si="132"/>
        <v>6.2799999999999996E-7</v>
      </c>
      <c r="AI285" s="140">
        <f t="shared" si="133"/>
        <v>9.4200000000000004E-7</v>
      </c>
      <c r="AJ285" s="140">
        <f t="shared" si="134"/>
        <v>1.2560000000000001E-6</v>
      </c>
      <c r="AK285" s="140">
        <f t="shared" si="135"/>
        <v>1.5700000000000002E-6</v>
      </c>
      <c r="AL285" s="157">
        <f t="shared" si="136"/>
        <v>1.2</v>
      </c>
      <c r="AM285" s="156">
        <f t="shared" si="137"/>
        <v>9.9999999999999995E-8</v>
      </c>
      <c r="AO285" s="140">
        <f t="shared" si="138"/>
        <v>3.1400000000000004E-5</v>
      </c>
      <c r="AP285">
        <v>3.14</v>
      </c>
      <c r="AQ285" s="140">
        <f t="shared" si="139"/>
        <v>3.1399999999999993E-7</v>
      </c>
      <c r="AR285" s="140">
        <f t="shared" si="140"/>
        <v>6.2799999999999996E-7</v>
      </c>
      <c r="AS285" s="140">
        <f t="shared" si="141"/>
        <v>9.4200000000000004E-7</v>
      </c>
      <c r="AT285" s="140">
        <f t="shared" si="142"/>
        <v>1.2560000000000001E-6</v>
      </c>
      <c r="AU285" s="140">
        <f t="shared" si="143"/>
        <v>1.5700000000000002E-6</v>
      </c>
      <c r="AV285" s="157">
        <f t="shared" si="144"/>
        <v>1.2</v>
      </c>
      <c r="AW285" s="156">
        <f t="shared" si="145"/>
        <v>9.9999999999999995E-8</v>
      </c>
      <c r="AY285" s="140">
        <f t="shared" si="146"/>
        <v>3.1400000000000004E-5</v>
      </c>
      <c r="AZ285">
        <v>3.14</v>
      </c>
      <c r="BA285" s="140">
        <f t="shared" si="147"/>
        <v>3.1399999999999993E-7</v>
      </c>
      <c r="BB285" s="140">
        <f t="shared" si="148"/>
        <v>6.2799999999999996E-7</v>
      </c>
      <c r="BC285" s="140">
        <f t="shared" si="149"/>
        <v>9.4200000000000004E-7</v>
      </c>
      <c r="BD285" s="140">
        <f t="shared" si="150"/>
        <v>1.2560000000000001E-6</v>
      </c>
      <c r="BE285" s="140">
        <f t="shared" si="151"/>
        <v>1.5700000000000002E-6</v>
      </c>
      <c r="BF285" s="157">
        <f>IF(AY285&lt;$B$89*DATA!$H$1037,DATA!$H$1037,IF(AY285&gt;DATA!$H$1036*$B$89,DATA!$H$1036,1))</f>
        <v>1.2</v>
      </c>
      <c r="BG285" s="156">
        <f t="shared" si="152"/>
        <v>9.9999999999999995E-8</v>
      </c>
      <c r="BI285" s="140">
        <f t="shared" si="153"/>
        <v>3.1400000000000004E-5</v>
      </c>
      <c r="BJ285">
        <v>3.14</v>
      </c>
      <c r="BK285" s="140">
        <f t="shared" si="154"/>
        <v>3.1399999999999993E-7</v>
      </c>
      <c r="BL285" s="140">
        <f t="shared" si="155"/>
        <v>6.2799999999999996E-7</v>
      </c>
      <c r="BM285" s="140">
        <f t="shared" si="156"/>
        <v>9.4200000000000004E-7</v>
      </c>
      <c r="BN285" s="140">
        <f t="shared" si="157"/>
        <v>1.2560000000000001E-6</v>
      </c>
      <c r="BO285" s="140">
        <f t="shared" si="158"/>
        <v>1.5700000000000002E-6</v>
      </c>
      <c r="BP285" s="157">
        <f>IF(BI285&lt;$B$105*DATA!$H$1037,DATA!$H$1037,IF(BI285&gt;DATA!$H$1036*$B$105,DATA!$H$1036,1))</f>
        <v>1.2</v>
      </c>
      <c r="BQ285" s="156">
        <f t="shared" si="159"/>
        <v>9.9999999999999995E-8</v>
      </c>
    </row>
    <row r="286" spans="1:69">
      <c r="A286" s="140">
        <f t="shared" si="112"/>
        <v>3.1600000000000002E-5</v>
      </c>
      <c r="B286">
        <v>3.16</v>
      </c>
      <c r="C286" s="140">
        <f t="shared" si="110"/>
        <v>3.1599999999999992E-7</v>
      </c>
      <c r="D286" s="140">
        <f t="shared" si="110"/>
        <v>6.3199999999999994E-7</v>
      </c>
      <c r="E286" s="140">
        <f t="shared" si="110"/>
        <v>9.4800000000000007E-7</v>
      </c>
      <c r="F286" s="140">
        <f t="shared" si="110"/>
        <v>1.2640000000000001E-6</v>
      </c>
      <c r="G286" s="140">
        <f t="shared" si="110"/>
        <v>1.5800000000000001E-6</v>
      </c>
      <c r="H286" s="124">
        <f t="shared" si="113"/>
        <v>0.8</v>
      </c>
      <c r="I286" s="156">
        <f t="shared" si="114"/>
        <v>9.9999999999999995E-8</v>
      </c>
      <c r="K286" s="140">
        <f t="shared" si="115"/>
        <v>3.1600000000000002E-5</v>
      </c>
      <c r="L286">
        <v>3.16</v>
      </c>
      <c r="M286" s="140">
        <f t="shared" si="116"/>
        <v>3.1599999999999992E-7</v>
      </c>
      <c r="N286" s="140">
        <f t="shared" si="117"/>
        <v>6.3199999999999994E-7</v>
      </c>
      <c r="O286" s="140">
        <f t="shared" si="118"/>
        <v>9.4800000000000007E-7</v>
      </c>
      <c r="P286" s="140">
        <f t="shared" si="111"/>
        <v>1.2640000000000001E-6</v>
      </c>
      <c r="Q286" s="140">
        <f t="shared" si="119"/>
        <v>1.5800000000000001E-6</v>
      </c>
      <c r="R286" s="157">
        <f t="shared" si="120"/>
        <v>0.8</v>
      </c>
      <c r="S286" s="156">
        <f t="shared" si="121"/>
        <v>9.9999999999999995E-8</v>
      </c>
      <c r="U286" s="140">
        <f t="shared" si="122"/>
        <v>3.1600000000000002E-5</v>
      </c>
      <c r="V286">
        <v>3.16</v>
      </c>
      <c r="W286" s="140">
        <f t="shared" si="123"/>
        <v>3.1599999999999992E-7</v>
      </c>
      <c r="X286" s="140">
        <f t="shared" si="124"/>
        <v>6.3199999999999994E-7</v>
      </c>
      <c r="Y286" s="140">
        <f t="shared" si="125"/>
        <v>9.4800000000000007E-7</v>
      </c>
      <c r="Z286" s="140">
        <f t="shared" si="126"/>
        <v>1.2640000000000001E-6</v>
      </c>
      <c r="AA286" s="140">
        <f t="shared" si="127"/>
        <v>1.5800000000000001E-6</v>
      </c>
      <c r="AB286" s="157">
        <f t="shared" si="128"/>
        <v>0.8</v>
      </c>
      <c r="AC286" s="156">
        <f t="shared" si="129"/>
        <v>9.9999999999999995E-8</v>
      </c>
      <c r="AE286" s="140">
        <f t="shared" si="130"/>
        <v>3.1600000000000002E-5</v>
      </c>
      <c r="AF286">
        <v>3.16</v>
      </c>
      <c r="AG286" s="140">
        <f t="shared" si="131"/>
        <v>3.1599999999999992E-7</v>
      </c>
      <c r="AH286" s="140">
        <f t="shared" si="132"/>
        <v>6.3199999999999994E-7</v>
      </c>
      <c r="AI286" s="140">
        <f t="shared" si="133"/>
        <v>9.4800000000000007E-7</v>
      </c>
      <c r="AJ286" s="140">
        <f t="shared" si="134"/>
        <v>1.2640000000000001E-6</v>
      </c>
      <c r="AK286" s="140">
        <f t="shared" si="135"/>
        <v>1.5800000000000001E-6</v>
      </c>
      <c r="AL286" s="157">
        <f t="shared" si="136"/>
        <v>1.2</v>
      </c>
      <c r="AM286" s="156">
        <f t="shared" si="137"/>
        <v>9.9999999999999995E-8</v>
      </c>
      <c r="AO286" s="140">
        <f t="shared" si="138"/>
        <v>3.1600000000000002E-5</v>
      </c>
      <c r="AP286">
        <v>3.16</v>
      </c>
      <c r="AQ286" s="140">
        <f t="shared" si="139"/>
        <v>3.1599999999999992E-7</v>
      </c>
      <c r="AR286" s="140">
        <f t="shared" si="140"/>
        <v>6.3199999999999994E-7</v>
      </c>
      <c r="AS286" s="140">
        <f t="shared" si="141"/>
        <v>9.4800000000000007E-7</v>
      </c>
      <c r="AT286" s="140">
        <f t="shared" si="142"/>
        <v>1.2640000000000001E-6</v>
      </c>
      <c r="AU286" s="140">
        <f t="shared" si="143"/>
        <v>1.5800000000000001E-6</v>
      </c>
      <c r="AV286" s="157">
        <f t="shared" si="144"/>
        <v>1.2</v>
      </c>
      <c r="AW286" s="156">
        <f t="shared" si="145"/>
        <v>9.9999999999999995E-8</v>
      </c>
      <c r="AY286" s="140">
        <f t="shared" si="146"/>
        <v>3.1600000000000002E-5</v>
      </c>
      <c r="AZ286">
        <v>3.16</v>
      </c>
      <c r="BA286" s="140">
        <f t="shared" si="147"/>
        <v>3.1599999999999992E-7</v>
      </c>
      <c r="BB286" s="140">
        <f t="shared" si="148"/>
        <v>6.3199999999999994E-7</v>
      </c>
      <c r="BC286" s="140">
        <f t="shared" si="149"/>
        <v>9.4800000000000007E-7</v>
      </c>
      <c r="BD286" s="140">
        <f t="shared" si="150"/>
        <v>1.2640000000000001E-6</v>
      </c>
      <c r="BE286" s="140">
        <f t="shared" si="151"/>
        <v>1.5800000000000001E-6</v>
      </c>
      <c r="BF286" s="157">
        <f>IF(AY286&lt;$B$89*DATA!$H$1037,DATA!$H$1037,IF(AY286&gt;DATA!$H$1036*$B$89,DATA!$H$1036,1))</f>
        <v>1.2</v>
      </c>
      <c r="BG286" s="156">
        <f t="shared" si="152"/>
        <v>9.9999999999999995E-8</v>
      </c>
      <c r="BI286" s="140">
        <f t="shared" si="153"/>
        <v>3.1600000000000002E-5</v>
      </c>
      <c r="BJ286">
        <v>3.16</v>
      </c>
      <c r="BK286" s="140">
        <f t="shared" si="154"/>
        <v>3.1599999999999992E-7</v>
      </c>
      <c r="BL286" s="140">
        <f t="shared" si="155"/>
        <v>6.3199999999999994E-7</v>
      </c>
      <c r="BM286" s="140">
        <f t="shared" si="156"/>
        <v>9.4800000000000007E-7</v>
      </c>
      <c r="BN286" s="140">
        <f t="shared" si="157"/>
        <v>1.2640000000000001E-6</v>
      </c>
      <c r="BO286" s="140">
        <f t="shared" si="158"/>
        <v>1.5800000000000001E-6</v>
      </c>
      <c r="BP286" s="157">
        <f>IF(BI286&lt;$B$105*DATA!$H$1037,DATA!$H$1037,IF(BI286&gt;DATA!$H$1036*$B$105,DATA!$H$1036,1))</f>
        <v>1.2</v>
      </c>
      <c r="BQ286" s="156">
        <f t="shared" si="159"/>
        <v>9.9999999999999995E-8</v>
      </c>
    </row>
    <row r="287" spans="1:69">
      <c r="A287" s="140">
        <f t="shared" si="112"/>
        <v>3.1800000000000007E-5</v>
      </c>
      <c r="B287">
        <v>3.18</v>
      </c>
      <c r="C287" s="140">
        <f t="shared" ref="C287:G302" si="160">C$142*$A287</f>
        <v>3.1799999999999996E-7</v>
      </c>
      <c r="D287" s="140">
        <f t="shared" si="160"/>
        <v>6.3600000000000003E-7</v>
      </c>
      <c r="E287" s="140">
        <f t="shared" si="160"/>
        <v>9.540000000000001E-7</v>
      </c>
      <c r="F287" s="140">
        <f t="shared" si="160"/>
        <v>1.2720000000000003E-6</v>
      </c>
      <c r="G287" s="140">
        <f t="shared" si="160"/>
        <v>1.5900000000000004E-6</v>
      </c>
      <c r="H287" s="124">
        <f t="shared" si="113"/>
        <v>0.8</v>
      </c>
      <c r="I287" s="156">
        <f t="shared" si="114"/>
        <v>9.9999999999999995E-8</v>
      </c>
      <c r="K287" s="140">
        <f t="shared" si="115"/>
        <v>3.1800000000000007E-5</v>
      </c>
      <c r="L287">
        <v>3.18</v>
      </c>
      <c r="M287" s="140">
        <f t="shared" si="116"/>
        <v>3.1799999999999996E-7</v>
      </c>
      <c r="N287" s="140">
        <f t="shared" si="117"/>
        <v>6.3600000000000003E-7</v>
      </c>
      <c r="O287" s="140">
        <f t="shared" si="118"/>
        <v>9.540000000000001E-7</v>
      </c>
      <c r="P287" s="140">
        <f t="shared" si="111"/>
        <v>1.2720000000000003E-6</v>
      </c>
      <c r="Q287" s="140">
        <f t="shared" si="119"/>
        <v>1.5900000000000004E-6</v>
      </c>
      <c r="R287" s="157">
        <f t="shared" si="120"/>
        <v>0.8</v>
      </c>
      <c r="S287" s="156">
        <f t="shared" si="121"/>
        <v>9.9999999999999995E-8</v>
      </c>
      <c r="U287" s="140">
        <f t="shared" si="122"/>
        <v>3.1800000000000007E-5</v>
      </c>
      <c r="V287">
        <v>3.18</v>
      </c>
      <c r="W287" s="140">
        <f t="shared" si="123"/>
        <v>3.1799999999999996E-7</v>
      </c>
      <c r="X287" s="140">
        <f t="shared" si="124"/>
        <v>6.3600000000000003E-7</v>
      </c>
      <c r="Y287" s="140">
        <f t="shared" si="125"/>
        <v>9.540000000000001E-7</v>
      </c>
      <c r="Z287" s="140">
        <f t="shared" si="126"/>
        <v>1.2720000000000003E-6</v>
      </c>
      <c r="AA287" s="140">
        <f t="shared" si="127"/>
        <v>1.5900000000000004E-6</v>
      </c>
      <c r="AB287" s="157">
        <f t="shared" si="128"/>
        <v>0.8</v>
      </c>
      <c r="AC287" s="156">
        <f t="shared" si="129"/>
        <v>9.9999999999999995E-8</v>
      </c>
      <c r="AE287" s="140">
        <f t="shared" si="130"/>
        <v>3.1800000000000007E-5</v>
      </c>
      <c r="AF287">
        <v>3.18</v>
      </c>
      <c r="AG287" s="140">
        <f t="shared" si="131"/>
        <v>3.1799999999999996E-7</v>
      </c>
      <c r="AH287" s="140">
        <f t="shared" si="132"/>
        <v>6.3600000000000003E-7</v>
      </c>
      <c r="AI287" s="140">
        <f t="shared" si="133"/>
        <v>9.540000000000001E-7</v>
      </c>
      <c r="AJ287" s="140">
        <f t="shared" si="134"/>
        <v>1.2720000000000003E-6</v>
      </c>
      <c r="AK287" s="140">
        <f t="shared" si="135"/>
        <v>1.5900000000000004E-6</v>
      </c>
      <c r="AL287" s="157">
        <f t="shared" si="136"/>
        <v>1.2</v>
      </c>
      <c r="AM287" s="156">
        <f t="shared" si="137"/>
        <v>9.9999999999999995E-8</v>
      </c>
      <c r="AO287" s="140">
        <f t="shared" si="138"/>
        <v>3.1800000000000007E-5</v>
      </c>
      <c r="AP287">
        <v>3.18</v>
      </c>
      <c r="AQ287" s="140">
        <f t="shared" si="139"/>
        <v>3.1799999999999996E-7</v>
      </c>
      <c r="AR287" s="140">
        <f t="shared" si="140"/>
        <v>6.3600000000000003E-7</v>
      </c>
      <c r="AS287" s="140">
        <f t="shared" si="141"/>
        <v>9.540000000000001E-7</v>
      </c>
      <c r="AT287" s="140">
        <f t="shared" si="142"/>
        <v>1.2720000000000003E-6</v>
      </c>
      <c r="AU287" s="140">
        <f t="shared" si="143"/>
        <v>1.5900000000000004E-6</v>
      </c>
      <c r="AV287" s="157">
        <f t="shared" si="144"/>
        <v>1.2</v>
      </c>
      <c r="AW287" s="156">
        <f t="shared" si="145"/>
        <v>9.9999999999999995E-8</v>
      </c>
      <c r="AY287" s="140">
        <f t="shared" si="146"/>
        <v>3.1800000000000007E-5</v>
      </c>
      <c r="AZ287">
        <v>3.18</v>
      </c>
      <c r="BA287" s="140">
        <f t="shared" si="147"/>
        <v>3.1799999999999996E-7</v>
      </c>
      <c r="BB287" s="140">
        <f t="shared" si="148"/>
        <v>6.3600000000000003E-7</v>
      </c>
      <c r="BC287" s="140">
        <f t="shared" si="149"/>
        <v>9.540000000000001E-7</v>
      </c>
      <c r="BD287" s="140">
        <f t="shared" si="150"/>
        <v>1.2720000000000003E-6</v>
      </c>
      <c r="BE287" s="140">
        <f t="shared" si="151"/>
        <v>1.5900000000000004E-6</v>
      </c>
      <c r="BF287" s="157">
        <f>IF(AY287&lt;$B$89*DATA!$H$1037,DATA!$H$1037,IF(AY287&gt;DATA!$H$1036*$B$89,DATA!$H$1036,1))</f>
        <v>1.2</v>
      </c>
      <c r="BG287" s="156">
        <f t="shared" si="152"/>
        <v>9.9999999999999995E-8</v>
      </c>
      <c r="BI287" s="140">
        <f t="shared" si="153"/>
        <v>3.1800000000000007E-5</v>
      </c>
      <c r="BJ287">
        <v>3.18</v>
      </c>
      <c r="BK287" s="140">
        <f t="shared" si="154"/>
        <v>3.1799999999999996E-7</v>
      </c>
      <c r="BL287" s="140">
        <f t="shared" si="155"/>
        <v>6.3600000000000003E-7</v>
      </c>
      <c r="BM287" s="140">
        <f t="shared" si="156"/>
        <v>9.540000000000001E-7</v>
      </c>
      <c r="BN287" s="140">
        <f t="shared" si="157"/>
        <v>1.2720000000000003E-6</v>
      </c>
      <c r="BO287" s="140">
        <f t="shared" si="158"/>
        <v>1.5900000000000004E-6</v>
      </c>
      <c r="BP287" s="157">
        <f>IF(BI287&lt;$B$105*DATA!$H$1037,DATA!$H$1037,IF(BI287&gt;DATA!$H$1036*$B$105,DATA!$H$1036,1))</f>
        <v>1.2</v>
      </c>
      <c r="BQ287" s="156">
        <f t="shared" si="159"/>
        <v>9.9999999999999995E-8</v>
      </c>
    </row>
    <row r="288" spans="1:69">
      <c r="A288" s="140">
        <f t="shared" si="112"/>
        <v>3.2000000000000005E-5</v>
      </c>
      <c r="B288">
        <v>3.2</v>
      </c>
      <c r="C288" s="140">
        <f t="shared" si="160"/>
        <v>3.1999999999999995E-7</v>
      </c>
      <c r="D288" s="140">
        <f t="shared" si="160"/>
        <v>6.4000000000000001E-7</v>
      </c>
      <c r="E288" s="140">
        <f t="shared" si="160"/>
        <v>9.6000000000000013E-7</v>
      </c>
      <c r="F288" s="140">
        <f t="shared" si="160"/>
        <v>1.2800000000000002E-6</v>
      </c>
      <c r="G288" s="140">
        <f t="shared" si="160"/>
        <v>1.6000000000000004E-6</v>
      </c>
      <c r="H288" s="124">
        <f t="shared" si="113"/>
        <v>0.8</v>
      </c>
      <c r="I288" s="156">
        <f t="shared" si="114"/>
        <v>9.9999999999999995E-8</v>
      </c>
      <c r="K288" s="140">
        <f t="shared" si="115"/>
        <v>3.2000000000000005E-5</v>
      </c>
      <c r="L288">
        <v>3.2</v>
      </c>
      <c r="M288" s="140">
        <f t="shared" si="116"/>
        <v>3.1999999999999995E-7</v>
      </c>
      <c r="N288" s="140">
        <f t="shared" si="117"/>
        <v>6.4000000000000001E-7</v>
      </c>
      <c r="O288" s="140">
        <f t="shared" si="118"/>
        <v>9.6000000000000013E-7</v>
      </c>
      <c r="P288" s="140">
        <f t="shared" si="111"/>
        <v>1.2800000000000002E-6</v>
      </c>
      <c r="Q288" s="140">
        <f t="shared" si="119"/>
        <v>1.6000000000000004E-6</v>
      </c>
      <c r="R288" s="157">
        <f t="shared" si="120"/>
        <v>0.8</v>
      </c>
      <c r="S288" s="156">
        <f t="shared" si="121"/>
        <v>9.9999999999999995E-8</v>
      </c>
      <c r="U288" s="140">
        <f t="shared" si="122"/>
        <v>3.2000000000000005E-5</v>
      </c>
      <c r="V288">
        <v>3.2</v>
      </c>
      <c r="W288" s="140">
        <f t="shared" si="123"/>
        <v>3.1999999999999995E-7</v>
      </c>
      <c r="X288" s="140">
        <f t="shared" si="124"/>
        <v>6.4000000000000001E-7</v>
      </c>
      <c r="Y288" s="140">
        <f t="shared" si="125"/>
        <v>9.6000000000000013E-7</v>
      </c>
      <c r="Z288" s="140">
        <f t="shared" si="126"/>
        <v>1.2800000000000002E-6</v>
      </c>
      <c r="AA288" s="140">
        <f t="shared" si="127"/>
        <v>1.6000000000000004E-6</v>
      </c>
      <c r="AB288" s="157">
        <f t="shared" si="128"/>
        <v>0.8</v>
      </c>
      <c r="AC288" s="156">
        <f t="shared" si="129"/>
        <v>9.9999999999999995E-8</v>
      </c>
      <c r="AE288" s="140">
        <f t="shared" si="130"/>
        <v>3.2000000000000005E-5</v>
      </c>
      <c r="AF288">
        <v>3.2</v>
      </c>
      <c r="AG288" s="140">
        <f t="shared" si="131"/>
        <v>3.1999999999999995E-7</v>
      </c>
      <c r="AH288" s="140">
        <f t="shared" si="132"/>
        <v>6.4000000000000001E-7</v>
      </c>
      <c r="AI288" s="140">
        <f t="shared" si="133"/>
        <v>9.6000000000000013E-7</v>
      </c>
      <c r="AJ288" s="140">
        <f t="shared" si="134"/>
        <v>1.2800000000000002E-6</v>
      </c>
      <c r="AK288" s="140">
        <f t="shared" si="135"/>
        <v>1.6000000000000004E-6</v>
      </c>
      <c r="AL288" s="157">
        <f t="shared" si="136"/>
        <v>1.2</v>
      </c>
      <c r="AM288" s="156">
        <f t="shared" si="137"/>
        <v>9.9999999999999995E-8</v>
      </c>
      <c r="AO288" s="140">
        <f t="shared" si="138"/>
        <v>3.2000000000000005E-5</v>
      </c>
      <c r="AP288">
        <v>3.2</v>
      </c>
      <c r="AQ288" s="140">
        <f t="shared" si="139"/>
        <v>3.1999999999999995E-7</v>
      </c>
      <c r="AR288" s="140">
        <f t="shared" si="140"/>
        <v>6.4000000000000001E-7</v>
      </c>
      <c r="AS288" s="140">
        <f t="shared" si="141"/>
        <v>9.6000000000000013E-7</v>
      </c>
      <c r="AT288" s="140">
        <f t="shared" si="142"/>
        <v>1.2800000000000002E-6</v>
      </c>
      <c r="AU288" s="140">
        <f t="shared" si="143"/>
        <v>1.6000000000000004E-6</v>
      </c>
      <c r="AV288" s="157">
        <f t="shared" si="144"/>
        <v>1.2</v>
      </c>
      <c r="AW288" s="156">
        <f t="shared" si="145"/>
        <v>9.9999999999999995E-8</v>
      </c>
      <c r="AY288" s="140">
        <f t="shared" si="146"/>
        <v>3.2000000000000005E-5</v>
      </c>
      <c r="AZ288">
        <v>3.2</v>
      </c>
      <c r="BA288" s="140">
        <f t="shared" si="147"/>
        <v>3.1999999999999995E-7</v>
      </c>
      <c r="BB288" s="140">
        <f t="shared" si="148"/>
        <v>6.4000000000000001E-7</v>
      </c>
      <c r="BC288" s="140">
        <f t="shared" si="149"/>
        <v>9.6000000000000013E-7</v>
      </c>
      <c r="BD288" s="140">
        <f t="shared" si="150"/>
        <v>1.2800000000000002E-6</v>
      </c>
      <c r="BE288" s="140">
        <f t="shared" si="151"/>
        <v>1.6000000000000004E-6</v>
      </c>
      <c r="BF288" s="157">
        <f>IF(AY288&lt;$B$89*DATA!$H$1037,DATA!$H$1037,IF(AY288&gt;DATA!$H$1036*$B$89,DATA!$H$1036,1))</f>
        <v>1.2</v>
      </c>
      <c r="BG288" s="156">
        <f t="shared" si="152"/>
        <v>9.9999999999999995E-8</v>
      </c>
      <c r="BI288" s="140">
        <f t="shared" si="153"/>
        <v>3.2000000000000005E-5</v>
      </c>
      <c r="BJ288">
        <v>3.2</v>
      </c>
      <c r="BK288" s="140">
        <f t="shared" si="154"/>
        <v>3.1999999999999995E-7</v>
      </c>
      <c r="BL288" s="140">
        <f t="shared" si="155"/>
        <v>6.4000000000000001E-7</v>
      </c>
      <c r="BM288" s="140">
        <f t="shared" si="156"/>
        <v>9.6000000000000013E-7</v>
      </c>
      <c r="BN288" s="140">
        <f t="shared" si="157"/>
        <v>1.2800000000000002E-6</v>
      </c>
      <c r="BO288" s="140">
        <f t="shared" si="158"/>
        <v>1.6000000000000004E-6</v>
      </c>
      <c r="BP288" s="157">
        <f>IF(BI288&lt;$B$105*DATA!$H$1037,DATA!$H$1037,IF(BI288&gt;DATA!$H$1036*$B$105,DATA!$H$1036,1))</f>
        <v>1.2</v>
      </c>
      <c r="BQ288" s="156">
        <f t="shared" si="159"/>
        <v>9.9999999999999995E-8</v>
      </c>
    </row>
    <row r="289" spans="1:69">
      <c r="A289" s="140">
        <f t="shared" si="112"/>
        <v>3.2200000000000003E-5</v>
      </c>
      <c r="B289">
        <v>3.22</v>
      </c>
      <c r="C289" s="140">
        <f t="shared" si="160"/>
        <v>3.2199999999999995E-7</v>
      </c>
      <c r="D289" s="140">
        <f t="shared" si="160"/>
        <v>6.44E-7</v>
      </c>
      <c r="E289" s="140">
        <f t="shared" si="160"/>
        <v>9.6600000000000015E-7</v>
      </c>
      <c r="F289" s="140">
        <f t="shared" si="160"/>
        <v>1.2880000000000002E-6</v>
      </c>
      <c r="G289" s="140">
        <f t="shared" si="160"/>
        <v>1.6100000000000003E-6</v>
      </c>
      <c r="H289" s="124">
        <f t="shared" si="113"/>
        <v>0.8</v>
      </c>
      <c r="I289" s="156">
        <f t="shared" si="114"/>
        <v>9.9999999999999995E-8</v>
      </c>
      <c r="K289" s="140">
        <f t="shared" si="115"/>
        <v>3.2200000000000003E-5</v>
      </c>
      <c r="L289">
        <v>3.22</v>
      </c>
      <c r="M289" s="140">
        <f t="shared" si="116"/>
        <v>3.2199999999999995E-7</v>
      </c>
      <c r="N289" s="140">
        <f t="shared" si="117"/>
        <v>6.44E-7</v>
      </c>
      <c r="O289" s="140">
        <f t="shared" si="118"/>
        <v>9.6600000000000015E-7</v>
      </c>
      <c r="P289" s="140">
        <f t="shared" si="111"/>
        <v>1.2880000000000002E-6</v>
      </c>
      <c r="Q289" s="140">
        <f t="shared" si="119"/>
        <v>1.6100000000000003E-6</v>
      </c>
      <c r="R289" s="157">
        <f t="shared" si="120"/>
        <v>0.8</v>
      </c>
      <c r="S289" s="156">
        <f t="shared" si="121"/>
        <v>9.9999999999999995E-8</v>
      </c>
      <c r="U289" s="140">
        <f t="shared" si="122"/>
        <v>3.2200000000000003E-5</v>
      </c>
      <c r="V289">
        <v>3.22</v>
      </c>
      <c r="W289" s="140">
        <f t="shared" si="123"/>
        <v>3.2199999999999995E-7</v>
      </c>
      <c r="X289" s="140">
        <f t="shared" si="124"/>
        <v>6.44E-7</v>
      </c>
      <c r="Y289" s="140">
        <f t="shared" si="125"/>
        <v>9.6600000000000015E-7</v>
      </c>
      <c r="Z289" s="140">
        <f t="shared" si="126"/>
        <v>1.2880000000000002E-6</v>
      </c>
      <c r="AA289" s="140">
        <f t="shared" si="127"/>
        <v>1.6100000000000003E-6</v>
      </c>
      <c r="AB289" s="157">
        <f t="shared" si="128"/>
        <v>0.8</v>
      </c>
      <c r="AC289" s="156">
        <f t="shared" si="129"/>
        <v>9.9999999999999995E-8</v>
      </c>
      <c r="AE289" s="140">
        <f t="shared" si="130"/>
        <v>3.2200000000000003E-5</v>
      </c>
      <c r="AF289">
        <v>3.22</v>
      </c>
      <c r="AG289" s="140">
        <f t="shared" si="131"/>
        <v>3.2199999999999995E-7</v>
      </c>
      <c r="AH289" s="140">
        <f t="shared" si="132"/>
        <v>6.44E-7</v>
      </c>
      <c r="AI289" s="140">
        <f t="shared" si="133"/>
        <v>9.6600000000000015E-7</v>
      </c>
      <c r="AJ289" s="140">
        <f t="shared" si="134"/>
        <v>1.2880000000000002E-6</v>
      </c>
      <c r="AK289" s="140">
        <f t="shared" si="135"/>
        <v>1.6100000000000003E-6</v>
      </c>
      <c r="AL289" s="157">
        <f t="shared" si="136"/>
        <v>1.2</v>
      </c>
      <c r="AM289" s="156">
        <f t="shared" si="137"/>
        <v>9.9999999999999995E-8</v>
      </c>
      <c r="AO289" s="140">
        <f t="shared" si="138"/>
        <v>3.2200000000000003E-5</v>
      </c>
      <c r="AP289">
        <v>3.22</v>
      </c>
      <c r="AQ289" s="140">
        <f t="shared" si="139"/>
        <v>3.2199999999999995E-7</v>
      </c>
      <c r="AR289" s="140">
        <f t="shared" si="140"/>
        <v>6.44E-7</v>
      </c>
      <c r="AS289" s="140">
        <f t="shared" si="141"/>
        <v>9.6600000000000015E-7</v>
      </c>
      <c r="AT289" s="140">
        <f t="shared" si="142"/>
        <v>1.2880000000000002E-6</v>
      </c>
      <c r="AU289" s="140">
        <f t="shared" si="143"/>
        <v>1.6100000000000003E-6</v>
      </c>
      <c r="AV289" s="157">
        <f t="shared" si="144"/>
        <v>1.2</v>
      </c>
      <c r="AW289" s="156">
        <f t="shared" si="145"/>
        <v>9.9999999999999995E-8</v>
      </c>
      <c r="AY289" s="140">
        <f t="shared" si="146"/>
        <v>3.2200000000000003E-5</v>
      </c>
      <c r="AZ289">
        <v>3.22</v>
      </c>
      <c r="BA289" s="140">
        <f t="shared" si="147"/>
        <v>3.2199999999999995E-7</v>
      </c>
      <c r="BB289" s="140">
        <f t="shared" si="148"/>
        <v>6.44E-7</v>
      </c>
      <c r="BC289" s="140">
        <f t="shared" si="149"/>
        <v>9.6600000000000015E-7</v>
      </c>
      <c r="BD289" s="140">
        <f t="shared" si="150"/>
        <v>1.2880000000000002E-6</v>
      </c>
      <c r="BE289" s="140">
        <f t="shared" si="151"/>
        <v>1.6100000000000003E-6</v>
      </c>
      <c r="BF289" s="157">
        <f>IF(AY289&lt;$B$89*DATA!$H$1037,DATA!$H$1037,IF(AY289&gt;DATA!$H$1036*$B$89,DATA!$H$1036,1))</f>
        <v>1.2</v>
      </c>
      <c r="BG289" s="156">
        <f t="shared" si="152"/>
        <v>9.9999999999999995E-8</v>
      </c>
      <c r="BI289" s="140">
        <f t="shared" si="153"/>
        <v>3.2200000000000003E-5</v>
      </c>
      <c r="BJ289">
        <v>3.22</v>
      </c>
      <c r="BK289" s="140">
        <f t="shared" si="154"/>
        <v>3.2199999999999995E-7</v>
      </c>
      <c r="BL289" s="140">
        <f t="shared" si="155"/>
        <v>6.44E-7</v>
      </c>
      <c r="BM289" s="140">
        <f t="shared" si="156"/>
        <v>9.6600000000000015E-7</v>
      </c>
      <c r="BN289" s="140">
        <f t="shared" si="157"/>
        <v>1.2880000000000002E-6</v>
      </c>
      <c r="BO289" s="140">
        <f t="shared" si="158"/>
        <v>1.6100000000000003E-6</v>
      </c>
      <c r="BP289" s="157">
        <f>IF(BI289&lt;$B$105*DATA!$H$1037,DATA!$H$1037,IF(BI289&gt;DATA!$H$1036*$B$105,DATA!$H$1036,1))</f>
        <v>1.2</v>
      </c>
      <c r="BQ289" s="156">
        <f t="shared" si="159"/>
        <v>9.9999999999999995E-8</v>
      </c>
    </row>
    <row r="290" spans="1:69">
      <c r="A290" s="140">
        <f t="shared" si="112"/>
        <v>3.2400000000000001E-5</v>
      </c>
      <c r="B290">
        <v>3.24</v>
      </c>
      <c r="C290" s="140">
        <f t="shared" si="160"/>
        <v>3.2399999999999988E-7</v>
      </c>
      <c r="D290" s="140">
        <f t="shared" si="160"/>
        <v>6.4799999999999998E-7</v>
      </c>
      <c r="E290" s="140">
        <f t="shared" si="160"/>
        <v>9.7199999999999997E-7</v>
      </c>
      <c r="F290" s="140">
        <f t="shared" si="160"/>
        <v>1.2960000000000002E-6</v>
      </c>
      <c r="G290" s="140">
        <f t="shared" si="160"/>
        <v>1.6200000000000002E-6</v>
      </c>
      <c r="H290" s="124">
        <f t="shared" si="113"/>
        <v>0.8</v>
      </c>
      <c r="I290" s="156">
        <f t="shared" si="114"/>
        <v>9.9999999999999995E-8</v>
      </c>
      <c r="K290" s="140">
        <f t="shared" si="115"/>
        <v>3.2400000000000001E-5</v>
      </c>
      <c r="L290">
        <v>3.24</v>
      </c>
      <c r="M290" s="140">
        <f t="shared" si="116"/>
        <v>3.2399999999999988E-7</v>
      </c>
      <c r="N290" s="140">
        <f t="shared" si="117"/>
        <v>6.4799999999999998E-7</v>
      </c>
      <c r="O290" s="140">
        <f t="shared" si="118"/>
        <v>9.7199999999999997E-7</v>
      </c>
      <c r="P290" s="140">
        <f t="shared" si="111"/>
        <v>1.2960000000000002E-6</v>
      </c>
      <c r="Q290" s="140">
        <f t="shared" si="119"/>
        <v>1.6200000000000002E-6</v>
      </c>
      <c r="R290" s="157">
        <f t="shared" si="120"/>
        <v>0.8</v>
      </c>
      <c r="S290" s="156">
        <f t="shared" si="121"/>
        <v>9.9999999999999995E-8</v>
      </c>
      <c r="U290" s="140">
        <f t="shared" si="122"/>
        <v>3.2400000000000001E-5</v>
      </c>
      <c r="V290">
        <v>3.24</v>
      </c>
      <c r="W290" s="140">
        <f t="shared" si="123"/>
        <v>3.2399999999999988E-7</v>
      </c>
      <c r="X290" s="140">
        <f t="shared" si="124"/>
        <v>6.4799999999999998E-7</v>
      </c>
      <c r="Y290" s="140">
        <f t="shared" si="125"/>
        <v>9.7199999999999997E-7</v>
      </c>
      <c r="Z290" s="140">
        <f t="shared" si="126"/>
        <v>1.2960000000000002E-6</v>
      </c>
      <c r="AA290" s="140">
        <f t="shared" si="127"/>
        <v>1.6200000000000002E-6</v>
      </c>
      <c r="AB290" s="157">
        <f t="shared" si="128"/>
        <v>0.8</v>
      </c>
      <c r="AC290" s="156">
        <f t="shared" si="129"/>
        <v>9.9999999999999995E-8</v>
      </c>
      <c r="AE290" s="140">
        <f t="shared" si="130"/>
        <v>3.2400000000000001E-5</v>
      </c>
      <c r="AF290">
        <v>3.24</v>
      </c>
      <c r="AG290" s="140">
        <f t="shared" si="131"/>
        <v>3.2399999999999988E-7</v>
      </c>
      <c r="AH290" s="140">
        <f t="shared" si="132"/>
        <v>6.4799999999999998E-7</v>
      </c>
      <c r="AI290" s="140">
        <f t="shared" si="133"/>
        <v>9.7199999999999997E-7</v>
      </c>
      <c r="AJ290" s="140">
        <f t="shared" si="134"/>
        <v>1.2960000000000002E-6</v>
      </c>
      <c r="AK290" s="140">
        <f t="shared" si="135"/>
        <v>1.6200000000000002E-6</v>
      </c>
      <c r="AL290" s="157">
        <f t="shared" si="136"/>
        <v>1.2</v>
      </c>
      <c r="AM290" s="156">
        <f t="shared" si="137"/>
        <v>9.9999999999999995E-8</v>
      </c>
      <c r="AO290" s="140">
        <f t="shared" si="138"/>
        <v>3.2400000000000001E-5</v>
      </c>
      <c r="AP290">
        <v>3.24</v>
      </c>
      <c r="AQ290" s="140">
        <f t="shared" si="139"/>
        <v>3.2399999999999988E-7</v>
      </c>
      <c r="AR290" s="140">
        <f t="shared" si="140"/>
        <v>6.4799999999999998E-7</v>
      </c>
      <c r="AS290" s="140">
        <f t="shared" si="141"/>
        <v>9.7199999999999997E-7</v>
      </c>
      <c r="AT290" s="140">
        <f t="shared" si="142"/>
        <v>1.2960000000000002E-6</v>
      </c>
      <c r="AU290" s="140">
        <f t="shared" si="143"/>
        <v>1.6200000000000002E-6</v>
      </c>
      <c r="AV290" s="157">
        <f t="shared" si="144"/>
        <v>1.2</v>
      </c>
      <c r="AW290" s="156">
        <f t="shared" si="145"/>
        <v>9.9999999999999995E-8</v>
      </c>
      <c r="AY290" s="140">
        <f t="shared" si="146"/>
        <v>3.2400000000000001E-5</v>
      </c>
      <c r="AZ290">
        <v>3.24</v>
      </c>
      <c r="BA290" s="140">
        <f t="shared" si="147"/>
        <v>3.2399999999999988E-7</v>
      </c>
      <c r="BB290" s="140">
        <f t="shared" si="148"/>
        <v>6.4799999999999998E-7</v>
      </c>
      <c r="BC290" s="140">
        <f t="shared" si="149"/>
        <v>9.7199999999999997E-7</v>
      </c>
      <c r="BD290" s="140">
        <f t="shared" si="150"/>
        <v>1.2960000000000002E-6</v>
      </c>
      <c r="BE290" s="140">
        <f t="shared" si="151"/>
        <v>1.6200000000000002E-6</v>
      </c>
      <c r="BF290" s="157">
        <f>IF(AY290&lt;$B$89*DATA!$H$1037,DATA!$H$1037,IF(AY290&gt;DATA!$H$1036*$B$89,DATA!$H$1036,1))</f>
        <v>1.2</v>
      </c>
      <c r="BG290" s="156">
        <f t="shared" si="152"/>
        <v>9.9999999999999995E-8</v>
      </c>
      <c r="BI290" s="140">
        <f t="shared" si="153"/>
        <v>3.2400000000000001E-5</v>
      </c>
      <c r="BJ290">
        <v>3.24</v>
      </c>
      <c r="BK290" s="140">
        <f t="shared" si="154"/>
        <v>3.2399999999999988E-7</v>
      </c>
      <c r="BL290" s="140">
        <f t="shared" si="155"/>
        <v>6.4799999999999998E-7</v>
      </c>
      <c r="BM290" s="140">
        <f t="shared" si="156"/>
        <v>9.7199999999999997E-7</v>
      </c>
      <c r="BN290" s="140">
        <f t="shared" si="157"/>
        <v>1.2960000000000002E-6</v>
      </c>
      <c r="BO290" s="140">
        <f t="shared" si="158"/>
        <v>1.6200000000000002E-6</v>
      </c>
      <c r="BP290" s="157">
        <f>IF(BI290&lt;$B$105*DATA!$H$1037,DATA!$H$1037,IF(BI290&gt;DATA!$H$1036*$B$105,DATA!$H$1036,1))</f>
        <v>1.2</v>
      </c>
      <c r="BQ290" s="156">
        <f t="shared" si="159"/>
        <v>9.9999999999999995E-8</v>
      </c>
    </row>
    <row r="291" spans="1:69">
      <c r="A291" s="140">
        <f t="shared" si="112"/>
        <v>3.26E-5</v>
      </c>
      <c r="B291">
        <v>3.26</v>
      </c>
      <c r="C291" s="140">
        <f t="shared" si="160"/>
        <v>3.2599999999999988E-7</v>
      </c>
      <c r="D291" s="140">
        <f t="shared" si="160"/>
        <v>6.5199999999999986E-7</v>
      </c>
      <c r="E291" s="140">
        <f t="shared" si="160"/>
        <v>9.78E-7</v>
      </c>
      <c r="F291" s="140">
        <f t="shared" si="160"/>
        <v>1.3039999999999999E-6</v>
      </c>
      <c r="G291" s="140">
        <f t="shared" si="160"/>
        <v>1.6300000000000001E-6</v>
      </c>
      <c r="H291" s="124">
        <f t="shared" si="113"/>
        <v>0.8</v>
      </c>
      <c r="I291" s="156">
        <f t="shared" si="114"/>
        <v>9.9999999999999995E-8</v>
      </c>
      <c r="K291" s="140">
        <f t="shared" si="115"/>
        <v>3.26E-5</v>
      </c>
      <c r="L291">
        <v>3.26</v>
      </c>
      <c r="M291" s="140">
        <f t="shared" si="116"/>
        <v>3.2599999999999988E-7</v>
      </c>
      <c r="N291" s="140">
        <f t="shared" si="117"/>
        <v>6.5199999999999986E-7</v>
      </c>
      <c r="O291" s="140">
        <f t="shared" si="118"/>
        <v>9.78E-7</v>
      </c>
      <c r="P291" s="140">
        <f t="shared" si="111"/>
        <v>1.3039999999999999E-6</v>
      </c>
      <c r="Q291" s="140">
        <f t="shared" si="119"/>
        <v>1.6300000000000001E-6</v>
      </c>
      <c r="R291" s="157">
        <f t="shared" si="120"/>
        <v>0.8</v>
      </c>
      <c r="S291" s="156">
        <f t="shared" si="121"/>
        <v>9.9999999999999995E-8</v>
      </c>
      <c r="U291" s="140">
        <f t="shared" si="122"/>
        <v>3.26E-5</v>
      </c>
      <c r="V291">
        <v>3.26</v>
      </c>
      <c r="W291" s="140">
        <f t="shared" si="123"/>
        <v>3.2599999999999988E-7</v>
      </c>
      <c r="X291" s="140">
        <f t="shared" si="124"/>
        <v>6.5199999999999986E-7</v>
      </c>
      <c r="Y291" s="140">
        <f t="shared" si="125"/>
        <v>9.78E-7</v>
      </c>
      <c r="Z291" s="140">
        <f t="shared" si="126"/>
        <v>1.3039999999999999E-6</v>
      </c>
      <c r="AA291" s="140">
        <f t="shared" si="127"/>
        <v>1.6300000000000001E-6</v>
      </c>
      <c r="AB291" s="157">
        <f t="shared" si="128"/>
        <v>0.8</v>
      </c>
      <c r="AC291" s="156">
        <f t="shared" si="129"/>
        <v>9.9999999999999995E-8</v>
      </c>
      <c r="AE291" s="140">
        <f t="shared" si="130"/>
        <v>3.26E-5</v>
      </c>
      <c r="AF291">
        <v>3.26</v>
      </c>
      <c r="AG291" s="140">
        <f t="shared" si="131"/>
        <v>3.2599999999999988E-7</v>
      </c>
      <c r="AH291" s="140">
        <f t="shared" si="132"/>
        <v>6.5199999999999986E-7</v>
      </c>
      <c r="AI291" s="140">
        <f t="shared" si="133"/>
        <v>9.78E-7</v>
      </c>
      <c r="AJ291" s="140">
        <f t="shared" si="134"/>
        <v>1.3039999999999999E-6</v>
      </c>
      <c r="AK291" s="140">
        <f t="shared" si="135"/>
        <v>1.6300000000000001E-6</v>
      </c>
      <c r="AL291" s="157">
        <f t="shared" si="136"/>
        <v>1.2</v>
      </c>
      <c r="AM291" s="156">
        <f t="shared" si="137"/>
        <v>9.9999999999999995E-8</v>
      </c>
      <c r="AO291" s="140">
        <f t="shared" si="138"/>
        <v>3.26E-5</v>
      </c>
      <c r="AP291">
        <v>3.26</v>
      </c>
      <c r="AQ291" s="140">
        <f t="shared" si="139"/>
        <v>3.2599999999999988E-7</v>
      </c>
      <c r="AR291" s="140">
        <f t="shared" si="140"/>
        <v>6.5199999999999986E-7</v>
      </c>
      <c r="AS291" s="140">
        <f t="shared" si="141"/>
        <v>9.78E-7</v>
      </c>
      <c r="AT291" s="140">
        <f t="shared" si="142"/>
        <v>1.3039999999999999E-6</v>
      </c>
      <c r="AU291" s="140">
        <f t="shared" si="143"/>
        <v>1.6300000000000001E-6</v>
      </c>
      <c r="AV291" s="157">
        <f t="shared" si="144"/>
        <v>1.2</v>
      </c>
      <c r="AW291" s="156">
        <f t="shared" si="145"/>
        <v>9.9999999999999995E-8</v>
      </c>
      <c r="AY291" s="140">
        <f t="shared" si="146"/>
        <v>3.26E-5</v>
      </c>
      <c r="AZ291">
        <v>3.26</v>
      </c>
      <c r="BA291" s="140">
        <f t="shared" si="147"/>
        <v>3.2599999999999988E-7</v>
      </c>
      <c r="BB291" s="140">
        <f t="shared" si="148"/>
        <v>6.5199999999999986E-7</v>
      </c>
      <c r="BC291" s="140">
        <f t="shared" si="149"/>
        <v>9.78E-7</v>
      </c>
      <c r="BD291" s="140">
        <f t="shared" si="150"/>
        <v>1.3039999999999999E-6</v>
      </c>
      <c r="BE291" s="140">
        <f t="shared" si="151"/>
        <v>1.6300000000000001E-6</v>
      </c>
      <c r="BF291" s="157">
        <f>IF(AY291&lt;$B$89*DATA!$H$1037,DATA!$H$1037,IF(AY291&gt;DATA!$H$1036*$B$89,DATA!$H$1036,1))</f>
        <v>1.2</v>
      </c>
      <c r="BG291" s="156">
        <f t="shared" si="152"/>
        <v>9.9999999999999995E-8</v>
      </c>
      <c r="BI291" s="140">
        <f t="shared" si="153"/>
        <v>3.26E-5</v>
      </c>
      <c r="BJ291">
        <v>3.26</v>
      </c>
      <c r="BK291" s="140">
        <f t="shared" si="154"/>
        <v>3.2599999999999988E-7</v>
      </c>
      <c r="BL291" s="140">
        <f t="shared" si="155"/>
        <v>6.5199999999999986E-7</v>
      </c>
      <c r="BM291" s="140">
        <f t="shared" si="156"/>
        <v>9.78E-7</v>
      </c>
      <c r="BN291" s="140">
        <f t="shared" si="157"/>
        <v>1.3039999999999999E-6</v>
      </c>
      <c r="BO291" s="140">
        <f t="shared" si="158"/>
        <v>1.6300000000000001E-6</v>
      </c>
      <c r="BP291" s="157">
        <f>IF(BI291&lt;$B$105*DATA!$H$1037,DATA!$H$1037,IF(BI291&gt;DATA!$H$1036*$B$105,DATA!$H$1036,1))</f>
        <v>1.2</v>
      </c>
      <c r="BQ291" s="156">
        <f t="shared" si="159"/>
        <v>9.9999999999999995E-8</v>
      </c>
    </row>
    <row r="292" spans="1:69">
      <c r="A292" s="140">
        <f t="shared" si="112"/>
        <v>3.2799999999999998E-5</v>
      </c>
      <c r="B292">
        <v>3.28</v>
      </c>
      <c r="C292" s="140">
        <f t="shared" si="160"/>
        <v>3.2799999999999987E-7</v>
      </c>
      <c r="D292" s="140">
        <f t="shared" si="160"/>
        <v>6.5599999999999984E-7</v>
      </c>
      <c r="E292" s="140">
        <f t="shared" si="160"/>
        <v>9.8399999999999981E-7</v>
      </c>
      <c r="F292" s="140">
        <f t="shared" si="160"/>
        <v>1.3119999999999999E-6</v>
      </c>
      <c r="G292" s="140">
        <f t="shared" si="160"/>
        <v>1.64E-6</v>
      </c>
      <c r="H292" s="124">
        <f t="shared" si="113"/>
        <v>0.8</v>
      </c>
      <c r="I292" s="156">
        <f t="shared" si="114"/>
        <v>9.9999999999999995E-8</v>
      </c>
      <c r="K292" s="140">
        <f t="shared" si="115"/>
        <v>3.2799999999999998E-5</v>
      </c>
      <c r="L292">
        <v>3.28</v>
      </c>
      <c r="M292" s="140">
        <f t="shared" si="116"/>
        <v>3.2799999999999987E-7</v>
      </c>
      <c r="N292" s="140">
        <f t="shared" si="117"/>
        <v>6.5599999999999984E-7</v>
      </c>
      <c r="O292" s="140">
        <f t="shared" si="118"/>
        <v>9.8399999999999981E-7</v>
      </c>
      <c r="P292" s="140">
        <f t="shared" si="111"/>
        <v>1.3119999999999999E-6</v>
      </c>
      <c r="Q292" s="140">
        <f t="shared" si="119"/>
        <v>1.64E-6</v>
      </c>
      <c r="R292" s="157">
        <f t="shared" si="120"/>
        <v>0.8</v>
      </c>
      <c r="S292" s="156">
        <f t="shared" si="121"/>
        <v>9.9999999999999995E-8</v>
      </c>
      <c r="U292" s="140">
        <f t="shared" si="122"/>
        <v>3.2799999999999998E-5</v>
      </c>
      <c r="V292">
        <v>3.28</v>
      </c>
      <c r="W292" s="140">
        <f t="shared" si="123"/>
        <v>3.2799999999999987E-7</v>
      </c>
      <c r="X292" s="140">
        <f t="shared" si="124"/>
        <v>6.5599999999999984E-7</v>
      </c>
      <c r="Y292" s="140">
        <f t="shared" si="125"/>
        <v>9.8399999999999981E-7</v>
      </c>
      <c r="Z292" s="140">
        <f t="shared" si="126"/>
        <v>1.3119999999999999E-6</v>
      </c>
      <c r="AA292" s="140">
        <f t="shared" si="127"/>
        <v>1.64E-6</v>
      </c>
      <c r="AB292" s="157">
        <f t="shared" si="128"/>
        <v>0.8</v>
      </c>
      <c r="AC292" s="156">
        <f t="shared" si="129"/>
        <v>9.9999999999999995E-8</v>
      </c>
      <c r="AE292" s="140">
        <f t="shared" si="130"/>
        <v>3.2799999999999998E-5</v>
      </c>
      <c r="AF292">
        <v>3.28</v>
      </c>
      <c r="AG292" s="140">
        <f t="shared" si="131"/>
        <v>3.2799999999999987E-7</v>
      </c>
      <c r="AH292" s="140">
        <f t="shared" si="132"/>
        <v>6.5599999999999984E-7</v>
      </c>
      <c r="AI292" s="140">
        <f t="shared" si="133"/>
        <v>9.8399999999999981E-7</v>
      </c>
      <c r="AJ292" s="140">
        <f t="shared" si="134"/>
        <v>1.3119999999999999E-6</v>
      </c>
      <c r="AK292" s="140">
        <f t="shared" si="135"/>
        <v>1.64E-6</v>
      </c>
      <c r="AL292" s="157">
        <f t="shared" si="136"/>
        <v>1.2</v>
      </c>
      <c r="AM292" s="156">
        <f t="shared" si="137"/>
        <v>9.9999999999999995E-8</v>
      </c>
      <c r="AO292" s="140">
        <f t="shared" si="138"/>
        <v>3.2799999999999998E-5</v>
      </c>
      <c r="AP292">
        <v>3.28</v>
      </c>
      <c r="AQ292" s="140">
        <f t="shared" si="139"/>
        <v>3.2799999999999987E-7</v>
      </c>
      <c r="AR292" s="140">
        <f t="shared" si="140"/>
        <v>6.5599999999999984E-7</v>
      </c>
      <c r="AS292" s="140">
        <f t="shared" si="141"/>
        <v>9.8399999999999981E-7</v>
      </c>
      <c r="AT292" s="140">
        <f t="shared" si="142"/>
        <v>1.3119999999999999E-6</v>
      </c>
      <c r="AU292" s="140">
        <f t="shared" si="143"/>
        <v>1.64E-6</v>
      </c>
      <c r="AV292" s="157">
        <f t="shared" si="144"/>
        <v>1.2</v>
      </c>
      <c r="AW292" s="156">
        <f t="shared" si="145"/>
        <v>9.9999999999999995E-8</v>
      </c>
      <c r="AY292" s="140">
        <f t="shared" si="146"/>
        <v>3.2799999999999998E-5</v>
      </c>
      <c r="AZ292">
        <v>3.28</v>
      </c>
      <c r="BA292" s="140">
        <f t="shared" si="147"/>
        <v>3.2799999999999987E-7</v>
      </c>
      <c r="BB292" s="140">
        <f t="shared" si="148"/>
        <v>6.5599999999999984E-7</v>
      </c>
      <c r="BC292" s="140">
        <f t="shared" si="149"/>
        <v>9.8399999999999981E-7</v>
      </c>
      <c r="BD292" s="140">
        <f t="shared" si="150"/>
        <v>1.3119999999999999E-6</v>
      </c>
      <c r="BE292" s="140">
        <f t="shared" si="151"/>
        <v>1.64E-6</v>
      </c>
      <c r="BF292" s="157">
        <f>IF(AY292&lt;$B$89*DATA!$H$1037,DATA!$H$1037,IF(AY292&gt;DATA!$H$1036*$B$89,DATA!$H$1036,1))</f>
        <v>1.2</v>
      </c>
      <c r="BG292" s="156">
        <f t="shared" si="152"/>
        <v>9.9999999999999995E-8</v>
      </c>
      <c r="BI292" s="140">
        <f t="shared" si="153"/>
        <v>3.2799999999999998E-5</v>
      </c>
      <c r="BJ292">
        <v>3.28</v>
      </c>
      <c r="BK292" s="140">
        <f t="shared" si="154"/>
        <v>3.2799999999999987E-7</v>
      </c>
      <c r="BL292" s="140">
        <f t="shared" si="155"/>
        <v>6.5599999999999984E-7</v>
      </c>
      <c r="BM292" s="140">
        <f t="shared" si="156"/>
        <v>9.8399999999999981E-7</v>
      </c>
      <c r="BN292" s="140">
        <f t="shared" si="157"/>
        <v>1.3119999999999999E-6</v>
      </c>
      <c r="BO292" s="140">
        <f t="shared" si="158"/>
        <v>1.64E-6</v>
      </c>
      <c r="BP292" s="157">
        <f>IF(BI292&lt;$B$105*DATA!$H$1037,DATA!$H$1037,IF(BI292&gt;DATA!$H$1036*$B$105,DATA!$H$1036,1))</f>
        <v>1.2</v>
      </c>
      <c r="BQ292" s="156">
        <f t="shared" si="159"/>
        <v>9.9999999999999995E-8</v>
      </c>
    </row>
    <row r="293" spans="1:69">
      <c r="A293" s="140">
        <f t="shared" si="112"/>
        <v>3.3000000000000003E-5</v>
      </c>
      <c r="B293">
        <v>3.3</v>
      </c>
      <c r="C293" s="140">
        <f t="shared" si="160"/>
        <v>3.2999999999999991E-7</v>
      </c>
      <c r="D293" s="140">
        <f t="shared" si="160"/>
        <v>6.5999999999999993E-7</v>
      </c>
      <c r="E293" s="140">
        <f t="shared" si="160"/>
        <v>9.9000000000000005E-7</v>
      </c>
      <c r="F293" s="140">
        <f t="shared" si="160"/>
        <v>1.3200000000000001E-6</v>
      </c>
      <c r="G293" s="140">
        <f t="shared" si="160"/>
        <v>1.6500000000000003E-6</v>
      </c>
      <c r="H293" s="124">
        <f t="shared" si="113"/>
        <v>0.8</v>
      </c>
      <c r="I293" s="156">
        <f t="shared" si="114"/>
        <v>9.9999999999999995E-8</v>
      </c>
      <c r="K293" s="140">
        <f t="shared" si="115"/>
        <v>3.3000000000000003E-5</v>
      </c>
      <c r="L293">
        <v>3.3</v>
      </c>
      <c r="M293" s="140">
        <f t="shared" si="116"/>
        <v>3.2999999999999991E-7</v>
      </c>
      <c r="N293" s="140">
        <f t="shared" si="117"/>
        <v>6.5999999999999993E-7</v>
      </c>
      <c r="O293" s="140">
        <f t="shared" si="118"/>
        <v>9.9000000000000005E-7</v>
      </c>
      <c r="P293" s="140">
        <f t="shared" si="111"/>
        <v>1.3200000000000001E-6</v>
      </c>
      <c r="Q293" s="140">
        <f t="shared" si="119"/>
        <v>1.6500000000000003E-6</v>
      </c>
      <c r="R293" s="157">
        <f t="shared" si="120"/>
        <v>0.8</v>
      </c>
      <c r="S293" s="156">
        <f t="shared" si="121"/>
        <v>9.9999999999999995E-8</v>
      </c>
      <c r="U293" s="140">
        <f t="shared" si="122"/>
        <v>3.3000000000000003E-5</v>
      </c>
      <c r="V293">
        <v>3.3</v>
      </c>
      <c r="W293" s="140">
        <f t="shared" si="123"/>
        <v>3.2999999999999991E-7</v>
      </c>
      <c r="X293" s="140">
        <f t="shared" si="124"/>
        <v>6.5999999999999993E-7</v>
      </c>
      <c r="Y293" s="140">
        <f t="shared" si="125"/>
        <v>9.9000000000000005E-7</v>
      </c>
      <c r="Z293" s="140">
        <f t="shared" si="126"/>
        <v>1.3200000000000001E-6</v>
      </c>
      <c r="AA293" s="140">
        <f t="shared" si="127"/>
        <v>1.6500000000000003E-6</v>
      </c>
      <c r="AB293" s="157">
        <f t="shared" si="128"/>
        <v>0.8</v>
      </c>
      <c r="AC293" s="156">
        <f t="shared" si="129"/>
        <v>9.9999999999999995E-8</v>
      </c>
      <c r="AE293" s="140">
        <f t="shared" si="130"/>
        <v>3.3000000000000003E-5</v>
      </c>
      <c r="AF293">
        <v>3.3</v>
      </c>
      <c r="AG293" s="140">
        <f t="shared" si="131"/>
        <v>3.2999999999999991E-7</v>
      </c>
      <c r="AH293" s="140">
        <f t="shared" si="132"/>
        <v>6.5999999999999993E-7</v>
      </c>
      <c r="AI293" s="140">
        <f t="shared" si="133"/>
        <v>9.9000000000000005E-7</v>
      </c>
      <c r="AJ293" s="140">
        <f t="shared" si="134"/>
        <v>1.3200000000000001E-6</v>
      </c>
      <c r="AK293" s="140">
        <f t="shared" si="135"/>
        <v>1.6500000000000003E-6</v>
      </c>
      <c r="AL293" s="157">
        <f t="shared" si="136"/>
        <v>1.2</v>
      </c>
      <c r="AM293" s="156">
        <f t="shared" si="137"/>
        <v>9.9999999999999995E-8</v>
      </c>
      <c r="AO293" s="140">
        <f t="shared" si="138"/>
        <v>3.3000000000000003E-5</v>
      </c>
      <c r="AP293">
        <v>3.3</v>
      </c>
      <c r="AQ293" s="140">
        <f t="shared" si="139"/>
        <v>3.2999999999999991E-7</v>
      </c>
      <c r="AR293" s="140">
        <f t="shared" si="140"/>
        <v>6.5999999999999993E-7</v>
      </c>
      <c r="AS293" s="140">
        <f t="shared" si="141"/>
        <v>9.9000000000000005E-7</v>
      </c>
      <c r="AT293" s="140">
        <f t="shared" si="142"/>
        <v>1.3200000000000001E-6</v>
      </c>
      <c r="AU293" s="140">
        <f t="shared" si="143"/>
        <v>1.6500000000000003E-6</v>
      </c>
      <c r="AV293" s="157">
        <f t="shared" si="144"/>
        <v>1.2</v>
      </c>
      <c r="AW293" s="156">
        <f t="shared" si="145"/>
        <v>9.9999999999999995E-8</v>
      </c>
      <c r="AY293" s="140">
        <f t="shared" si="146"/>
        <v>3.3000000000000003E-5</v>
      </c>
      <c r="AZ293">
        <v>3.3</v>
      </c>
      <c r="BA293" s="140">
        <f t="shared" si="147"/>
        <v>3.2999999999999991E-7</v>
      </c>
      <c r="BB293" s="140">
        <f t="shared" si="148"/>
        <v>6.5999999999999993E-7</v>
      </c>
      <c r="BC293" s="140">
        <f t="shared" si="149"/>
        <v>9.9000000000000005E-7</v>
      </c>
      <c r="BD293" s="140">
        <f t="shared" si="150"/>
        <v>1.3200000000000001E-6</v>
      </c>
      <c r="BE293" s="140">
        <f t="shared" si="151"/>
        <v>1.6500000000000003E-6</v>
      </c>
      <c r="BF293" s="157">
        <f>IF(AY293&lt;$B$89*DATA!$H$1037,DATA!$H$1037,IF(AY293&gt;DATA!$H$1036*$B$89,DATA!$H$1036,1))</f>
        <v>1.2</v>
      </c>
      <c r="BG293" s="156">
        <f t="shared" si="152"/>
        <v>9.9999999999999995E-8</v>
      </c>
      <c r="BI293" s="140">
        <f t="shared" si="153"/>
        <v>3.3000000000000003E-5</v>
      </c>
      <c r="BJ293">
        <v>3.3</v>
      </c>
      <c r="BK293" s="140">
        <f t="shared" si="154"/>
        <v>3.2999999999999991E-7</v>
      </c>
      <c r="BL293" s="140">
        <f t="shared" si="155"/>
        <v>6.5999999999999993E-7</v>
      </c>
      <c r="BM293" s="140">
        <f t="shared" si="156"/>
        <v>9.9000000000000005E-7</v>
      </c>
      <c r="BN293" s="140">
        <f t="shared" si="157"/>
        <v>1.3200000000000001E-6</v>
      </c>
      <c r="BO293" s="140">
        <f t="shared" si="158"/>
        <v>1.6500000000000003E-6</v>
      </c>
      <c r="BP293" s="157">
        <f>IF(BI293&lt;$B$105*DATA!$H$1037,DATA!$H$1037,IF(BI293&gt;DATA!$H$1036*$B$105,DATA!$H$1036,1))</f>
        <v>1.2</v>
      </c>
      <c r="BQ293" s="156">
        <f t="shared" si="159"/>
        <v>9.9999999999999995E-8</v>
      </c>
    </row>
    <row r="294" spans="1:69">
      <c r="A294" s="140">
        <f t="shared" si="112"/>
        <v>3.3200000000000001E-5</v>
      </c>
      <c r="B294">
        <v>3.32</v>
      </c>
      <c r="C294" s="140">
        <f t="shared" si="160"/>
        <v>3.319999999999999E-7</v>
      </c>
      <c r="D294" s="140">
        <f t="shared" si="160"/>
        <v>6.6399999999999991E-7</v>
      </c>
      <c r="E294" s="140">
        <f t="shared" si="160"/>
        <v>9.9600000000000008E-7</v>
      </c>
      <c r="F294" s="140">
        <f t="shared" si="160"/>
        <v>1.328E-6</v>
      </c>
      <c r="G294" s="140">
        <f t="shared" si="160"/>
        <v>1.6600000000000002E-6</v>
      </c>
      <c r="H294" s="124">
        <f t="shared" si="113"/>
        <v>0.8</v>
      </c>
      <c r="I294" s="156">
        <f t="shared" si="114"/>
        <v>9.9999999999999995E-8</v>
      </c>
      <c r="K294" s="140">
        <f t="shared" si="115"/>
        <v>3.3200000000000001E-5</v>
      </c>
      <c r="L294">
        <v>3.32</v>
      </c>
      <c r="M294" s="140">
        <f t="shared" si="116"/>
        <v>3.319999999999999E-7</v>
      </c>
      <c r="N294" s="140">
        <f t="shared" si="117"/>
        <v>6.6399999999999991E-7</v>
      </c>
      <c r="O294" s="140">
        <f t="shared" si="118"/>
        <v>9.9600000000000008E-7</v>
      </c>
      <c r="P294" s="140">
        <f t="shared" si="111"/>
        <v>1.328E-6</v>
      </c>
      <c r="Q294" s="140">
        <f t="shared" si="119"/>
        <v>1.6600000000000002E-6</v>
      </c>
      <c r="R294" s="157">
        <f t="shared" si="120"/>
        <v>0.8</v>
      </c>
      <c r="S294" s="156">
        <f t="shared" si="121"/>
        <v>9.9999999999999995E-8</v>
      </c>
      <c r="U294" s="140">
        <f t="shared" si="122"/>
        <v>3.3200000000000001E-5</v>
      </c>
      <c r="V294">
        <v>3.32</v>
      </c>
      <c r="W294" s="140">
        <f t="shared" si="123"/>
        <v>3.319999999999999E-7</v>
      </c>
      <c r="X294" s="140">
        <f t="shared" si="124"/>
        <v>6.6399999999999991E-7</v>
      </c>
      <c r="Y294" s="140">
        <f t="shared" si="125"/>
        <v>9.9600000000000008E-7</v>
      </c>
      <c r="Z294" s="140">
        <f t="shared" si="126"/>
        <v>1.328E-6</v>
      </c>
      <c r="AA294" s="140">
        <f t="shared" si="127"/>
        <v>1.6600000000000002E-6</v>
      </c>
      <c r="AB294" s="157">
        <f t="shared" si="128"/>
        <v>0.8</v>
      </c>
      <c r="AC294" s="156">
        <f t="shared" si="129"/>
        <v>9.9999999999999995E-8</v>
      </c>
      <c r="AE294" s="140">
        <f t="shared" si="130"/>
        <v>3.3200000000000001E-5</v>
      </c>
      <c r="AF294">
        <v>3.32</v>
      </c>
      <c r="AG294" s="140">
        <f t="shared" si="131"/>
        <v>3.319999999999999E-7</v>
      </c>
      <c r="AH294" s="140">
        <f t="shared" si="132"/>
        <v>6.6399999999999991E-7</v>
      </c>
      <c r="AI294" s="140">
        <f t="shared" si="133"/>
        <v>9.9600000000000008E-7</v>
      </c>
      <c r="AJ294" s="140">
        <f t="shared" si="134"/>
        <v>1.328E-6</v>
      </c>
      <c r="AK294" s="140">
        <f t="shared" si="135"/>
        <v>1.6600000000000002E-6</v>
      </c>
      <c r="AL294" s="157">
        <f t="shared" si="136"/>
        <v>1.2</v>
      </c>
      <c r="AM294" s="156">
        <f t="shared" si="137"/>
        <v>9.9999999999999995E-8</v>
      </c>
      <c r="AO294" s="140">
        <f t="shared" si="138"/>
        <v>3.3200000000000001E-5</v>
      </c>
      <c r="AP294">
        <v>3.32</v>
      </c>
      <c r="AQ294" s="140">
        <f t="shared" si="139"/>
        <v>3.319999999999999E-7</v>
      </c>
      <c r="AR294" s="140">
        <f t="shared" si="140"/>
        <v>6.6399999999999991E-7</v>
      </c>
      <c r="AS294" s="140">
        <f t="shared" si="141"/>
        <v>9.9600000000000008E-7</v>
      </c>
      <c r="AT294" s="140">
        <f t="shared" si="142"/>
        <v>1.328E-6</v>
      </c>
      <c r="AU294" s="140">
        <f t="shared" si="143"/>
        <v>1.6600000000000002E-6</v>
      </c>
      <c r="AV294" s="157">
        <f t="shared" si="144"/>
        <v>1.2</v>
      </c>
      <c r="AW294" s="156">
        <f t="shared" si="145"/>
        <v>9.9999999999999995E-8</v>
      </c>
      <c r="AY294" s="140">
        <f t="shared" si="146"/>
        <v>3.3200000000000001E-5</v>
      </c>
      <c r="AZ294">
        <v>3.32</v>
      </c>
      <c r="BA294" s="140">
        <f t="shared" si="147"/>
        <v>3.319999999999999E-7</v>
      </c>
      <c r="BB294" s="140">
        <f t="shared" si="148"/>
        <v>6.6399999999999991E-7</v>
      </c>
      <c r="BC294" s="140">
        <f t="shared" si="149"/>
        <v>9.9600000000000008E-7</v>
      </c>
      <c r="BD294" s="140">
        <f t="shared" si="150"/>
        <v>1.328E-6</v>
      </c>
      <c r="BE294" s="140">
        <f t="shared" si="151"/>
        <v>1.6600000000000002E-6</v>
      </c>
      <c r="BF294" s="157">
        <f>IF(AY294&lt;$B$89*DATA!$H$1037,DATA!$H$1037,IF(AY294&gt;DATA!$H$1036*$B$89,DATA!$H$1036,1))</f>
        <v>1.2</v>
      </c>
      <c r="BG294" s="156">
        <f t="shared" si="152"/>
        <v>9.9999999999999995E-8</v>
      </c>
      <c r="BI294" s="140">
        <f t="shared" si="153"/>
        <v>3.3200000000000001E-5</v>
      </c>
      <c r="BJ294">
        <v>3.32</v>
      </c>
      <c r="BK294" s="140">
        <f t="shared" si="154"/>
        <v>3.319999999999999E-7</v>
      </c>
      <c r="BL294" s="140">
        <f t="shared" si="155"/>
        <v>6.6399999999999991E-7</v>
      </c>
      <c r="BM294" s="140">
        <f t="shared" si="156"/>
        <v>9.9600000000000008E-7</v>
      </c>
      <c r="BN294" s="140">
        <f t="shared" si="157"/>
        <v>1.328E-6</v>
      </c>
      <c r="BO294" s="140">
        <f t="shared" si="158"/>
        <v>1.6600000000000002E-6</v>
      </c>
      <c r="BP294" s="157">
        <f>IF(BI294&lt;$B$105*DATA!$H$1037,DATA!$H$1037,IF(BI294&gt;DATA!$H$1036*$B$105,DATA!$H$1036,1))</f>
        <v>1.2</v>
      </c>
      <c r="BQ294" s="156">
        <f t="shared" si="159"/>
        <v>9.9999999999999995E-8</v>
      </c>
    </row>
    <row r="295" spans="1:69">
      <c r="A295" s="140">
        <f t="shared" si="112"/>
        <v>3.3399999999999999E-5</v>
      </c>
      <c r="B295">
        <v>3.34</v>
      </c>
      <c r="C295" s="140">
        <f t="shared" si="160"/>
        <v>3.3399999999999989E-7</v>
      </c>
      <c r="D295" s="140">
        <f t="shared" si="160"/>
        <v>6.6799999999999989E-7</v>
      </c>
      <c r="E295" s="140">
        <f t="shared" si="160"/>
        <v>1.0019999999999999E-6</v>
      </c>
      <c r="F295" s="140">
        <f t="shared" si="160"/>
        <v>1.336E-6</v>
      </c>
      <c r="G295" s="140">
        <f t="shared" si="160"/>
        <v>1.6700000000000001E-6</v>
      </c>
      <c r="H295" s="124">
        <f t="shared" si="113"/>
        <v>0.8</v>
      </c>
      <c r="I295" s="156">
        <f t="shared" si="114"/>
        <v>9.9999999999999995E-8</v>
      </c>
      <c r="K295" s="140">
        <f t="shared" si="115"/>
        <v>3.3399999999999999E-5</v>
      </c>
      <c r="L295">
        <v>3.34</v>
      </c>
      <c r="M295" s="140">
        <f t="shared" si="116"/>
        <v>3.3399999999999989E-7</v>
      </c>
      <c r="N295" s="140">
        <f t="shared" si="117"/>
        <v>6.6799999999999989E-7</v>
      </c>
      <c r="O295" s="140">
        <f t="shared" si="118"/>
        <v>1.0019999999999999E-6</v>
      </c>
      <c r="P295" s="140">
        <f t="shared" si="111"/>
        <v>1.336E-6</v>
      </c>
      <c r="Q295" s="140">
        <f t="shared" si="119"/>
        <v>1.6700000000000001E-6</v>
      </c>
      <c r="R295" s="157">
        <f t="shared" si="120"/>
        <v>0.8</v>
      </c>
      <c r="S295" s="156">
        <f t="shared" si="121"/>
        <v>9.9999999999999995E-8</v>
      </c>
      <c r="U295" s="140">
        <f t="shared" si="122"/>
        <v>3.3399999999999999E-5</v>
      </c>
      <c r="V295">
        <v>3.34</v>
      </c>
      <c r="W295" s="140">
        <f t="shared" si="123"/>
        <v>3.3399999999999989E-7</v>
      </c>
      <c r="X295" s="140">
        <f t="shared" si="124"/>
        <v>6.6799999999999989E-7</v>
      </c>
      <c r="Y295" s="140">
        <f t="shared" si="125"/>
        <v>1.0019999999999999E-6</v>
      </c>
      <c r="Z295" s="140">
        <f t="shared" si="126"/>
        <v>1.336E-6</v>
      </c>
      <c r="AA295" s="140">
        <f t="shared" si="127"/>
        <v>1.6700000000000001E-6</v>
      </c>
      <c r="AB295" s="157">
        <f t="shared" si="128"/>
        <v>0.8</v>
      </c>
      <c r="AC295" s="156">
        <f t="shared" si="129"/>
        <v>9.9999999999999995E-8</v>
      </c>
      <c r="AE295" s="140">
        <f t="shared" si="130"/>
        <v>3.3399999999999999E-5</v>
      </c>
      <c r="AF295">
        <v>3.34</v>
      </c>
      <c r="AG295" s="140">
        <f t="shared" si="131"/>
        <v>3.3399999999999989E-7</v>
      </c>
      <c r="AH295" s="140">
        <f t="shared" si="132"/>
        <v>6.6799999999999989E-7</v>
      </c>
      <c r="AI295" s="140">
        <f t="shared" si="133"/>
        <v>1.0019999999999999E-6</v>
      </c>
      <c r="AJ295" s="140">
        <f t="shared" si="134"/>
        <v>1.336E-6</v>
      </c>
      <c r="AK295" s="140">
        <f t="shared" si="135"/>
        <v>1.6700000000000001E-6</v>
      </c>
      <c r="AL295" s="157">
        <f t="shared" si="136"/>
        <v>1.2</v>
      </c>
      <c r="AM295" s="156">
        <f t="shared" si="137"/>
        <v>9.9999999999999995E-8</v>
      </c>
      <c r="AO295" s="140">
        <f t="shared" si="138"/>
        <v>3.3399999999999999E-5</v>
      </c>
      <c r="AP295">
        <v>3.34</v>
      </c>
      <c r="AQ295" s="140">
        <f t="shared" si="139"/>
        <v>3.3399999999999989E-7</v>
      </c>
      <c r="AR295" s="140">
        <f t="shared" si="140"/>
        <v>6.6799999999999989E-7</v>
      </c>
      <c r="AS295" s="140">
        <f t="shared" si="141"/>
        <v>1.0019999999999999E-6</v>
      </c>
      <c r="AT295" s="140">
        <f t="shared" si="142"/>
        <v>1.336E-6</v>
      </c>
      <c r="AU295" s="140">
        <f t="shared" si="143"/>
        <v>1.6700000000000001E-6</v>
      </c>
      <c r="AV295" s="157">
        <f t="shared" si="144"/>
        <v>1.2</v>
      </c>
      <c r="AW295" s="156">
        <f t="shared" si="145"/>
        <v>9.9999999999999995E-8</v>
      </c>
      <c r="AY295" s="140">
        <f t="shared" si="146"/>
        <v>3.3399999999999999E-5</v>
      </c>
      <c r="AZ295">
        <v>3.34</v>
      </c>
      <c r="BA295" s="140">
        <f t="shared" si="147"/>
        <v>3.3399999999999989E-7</v>
      </c>
      <c r="BB295" s="140">
        <f t="shared" si="148"/>
        <v>6.6799999999999989E-7</v>
      </c>
      <c r="BC295" s="140">
        <f t="shared" si="149"/>
        <v>1.0019999999999999E-6</v>
      </c>
      <c r="BD295" s="140">
        <f t="shared" si="150"/>
        <v>1.336E-6</v>
      </c>
      <c r="BE295" s="140">
        <f t="shared" si="151"/>
        <v>1.6700000000000001E-6</v>
      </c>
      <c r="BF295" s="157">
        <f>IF(AY295&lt;$B$89*DATA!$H$1037,DATA!$H$1037,IF(AY295&gt;DATA!$H$1036*$B$89,DATA!$H$1036,1))</f>
        <v>1.2</v>
      </c>
      <c r="BG295" s="156">
        <f t="shared" si="152"/>
        <v>9.9999999999999995E-8</v>
      </c>
      <c r="BI295" s="140">
        <f t="shared" si="153"/>
        <v>3.3399999999999999E-5</v>
      </c>
      <c r="BJ295">
        <v>3.34</v>
      </c>
      <c r="BK295" s="140">
        <f t="shared" si="154"/>
        <v>3.3399999999999989E-7</v>
      </c>
      <c r="BL295" s="140">
        <f t="shared" si="155"/>
        <v>6.6799999999999989E-7</v>
      </c>
      <c r="BM295" s="140">
        <f t="shared" si="156"/>
        <v>1.0019999999999999E-6</v>
      </c>
      <c r="BN295" s="140">
        <f t="shared" si="157"/>
        <v>1.336E-6</v>
      </c>
      <c r="BO295" s="140">
        <f t="shared" si="158"/>
        <v>1.6700000000000001E-6</v>
      </c>
      <c r="BP295" s="157">
        <f>IF(BI295&lt;$B$105*DATA!$H$1037,DATA!$H$1037,IF(BI295&gt;DATA!$H$1036*$B$105,DATA!$H$1036,1))</f>
        <v>1.2</v>
      </c>
      <c r="BQ295" s="156">
        <f t="shared" si="159"/>
        <v>9.9999999999999995E-8</v>
      </c>
    </row>
    <row r="296" spans="1:69">
      <c r="A296" s="140">
        <f t="shared" si="112"/>
        <v>3.3600000000000004E-5</v>
      </c>
      <c r="B296">
        <v>3.36</v>
      </c>
      <c r="C296" s="140">
        <f t="shared" si="160"/>
        <v>3.3599999999999994E-7</v>
      </c>
      <c r="D296" s="140">
        <f t="shared" si="160"/>
        <v>6.7199999999999998E-7</v>
      </c>
      <c r="E296" s="140">
        <f t="shared" si="160"/>
        <v>1.0080000000000001E-6</v>
      </c>
      <c r="F296" s="140">
        <f t="shared" si="160"/>
        <v>1.3440000000000002E-6</v>
      </c>
      <c r="G296" s="140">
        <f t="shared" si="160"/>
        <v>1.6800000000000002E-6</v>
      </c>
      <c r="H296" s="124">
        <f t="shared" si="113"/>
        <v>0.8</v>
      </c>
      <c r="I296" s="156">
        <f t="shared" si="114"/>
        <v>9.9999999999999995E-8</v>
      </c>
      <c r="K296" s="140">
        <f t="shared" si="115"/>
        <v>3.3600000000000004E-5</v>
      </c>
      <c r="L296">
        <v>3.36</v>
      </c>
      <c r="M296" s="140">
        <f t="shared" si="116"/>
        <v>3.3599999999999994E-7</v>
      </c>
      <c r="N296" s="140">
        <f t="shared" si="117"/>
        <v>6.7199999999999998E-7</v>
      </c>
      <c r="O296" s="140">
        <f t="shared" si="118"/>
        <v>1.0080000000000001E-6</v>
      </c>
      <c r="P296" s="140">
        <f t="shared" si="111"/>
        <v>1.3440000000000002E-6</v>
      </c>
      <c r="Q296" s="140">
        <f t="shared" si="119"/>
        <v>1.6800000000000002E-6</v>
      </c>
      <c r="R296" s="157">
        <f t="shared" si="120"/>
        <v>0.8</v>
      </c>
      <c r="S296" s="156">
        <f t="shared" si="121"/>
        <v>9.9999999999999995E-8</v>
      </c>
      <c r="U296" s="140">
        <f t="shared" si="122"/>
        <v>3.3600000000000004E-5</v>
      </c>
      <c r="V296">
        <v>3.36</v>
      </c>
      <c r="W296" s="140">
        <f t="shared" si="123"/>
        <v>3.3599999999999994E-7</v>
      </c>
      <c r="X296" s="140">
        <f t="shared" si="124"/>
        <v>6.7199999999999998E-7</v>
      </c>
      <c r="Y296" s="140">
        <f t="shared" si="125"/>
        <v>1.0080000000000001E-6</v>
      </c>
      <c r="Z296" s="140">
        <f t="shared" si="126"/>
        <v>1.3440000000000002E-6</v>
      </c>
      <c r="AA296" s="140">
        <f t="shared" si="127"/>
        <v>1.6800000000000002E-6</v>
      </c>
      <c r="AB296" s="157">
        <f t="shared" si="128"/>
        <v>0.8</v>
      </c>
      <c r="AC296" s="156">
        <f t="shared" si="129"/>
        <v>9.9999999999999995E-8</v>
      </c>
      <c r="AE296" s="140">
        <f t="shared" si="130"/>
        <v>3.3600000000000004E-5</v>
      </c>
      <c r="AF296">
        <v>3.36</v>
      </c>
      <c r="AG296" s="140">
        <f t="shared" si="131"/>
        <v>3.3599999999999994E-7</v>
      </c>
      <c r="AH296" s="140">
        <f t="shared" si="132"/>
        <v>6.7199999999999998E-7</v>
      </c>
      <c r="AI296" s="140">
        <f t="shared" si="133"/>
        <v>1.0080000000000001E-6</v>
      </c>
      <c r="AJ296" s="140">
        <f t="shared" si="134"/>
        <v>1.3440000000000002E-6</v>
      </c>
      <c r="AK296" s="140">
        <f t="shared" si="135"/>
        <v>1.6800000000000002E-6</v>
      </c>
      <c r="AL296" s="157">
        <f t="shared" si="136"/>
        <v>1.2</v>
      </c>
      <c r="AM296" s="156">
        <f t="shared" si="137"/>
        <v>9.9999999999999995E-8</v>
      </c>
      <c r="AO296" s="140">
        <f t="shared" si="138"/>
        <v>3.3600000000000004E-5</v>
      </c>
      <c r="AP296">
        <v>3.36</v>
      </c>
      <c r="AQ296" s="140">
        <f t="shared" si="139"/>
        <v>3.3599999999999994E-7</v>
      </c>
      <c r="AR296" s="140">
        <f t="shared" si="140"/>
        <v>6.7199999999999998E-7</v>
      </c>
      <c r="AS296" s="140">
        <f t="shared" si="141"/>
        <v>1.0080000000000001E-6</v>
      </c>
      <c r="AT296" s="140">
        <f t="shared" si="142"/>
        <v>1.3440000000000002E-6</v>
      </c>
      <c r="AU296" s="140">
        <f t="shared" si="143"/>
        <v>1.6800000000000002E-6</v>
      </c>
      <c r="AV296" s="157">
        <f t="shared" si="144"/>
        <v>1.2</v>
      </c>
      <c r="AW296" s="156">
        <f t="shared" si="145"/>
        <v>9.9999999999999995E-8</v>
      </c>
      <c r="AY296" s="140">
        <f t="shared" si="146"/>
        <v>3.3600000000000004E-5</v>
      </c>
      <c r="AZ296">
        <v>3.36</v>
      </c>
      <c r="BA296" s="140">
        <f t="shared" si="147"/>
        <v>3.3599999999999994E-7</v>
      </c>
      <c r="BB296" s="140">
        <f t="shared" si="148"/>
        <v>6.7199999999999998E-7</v>
      </c>
      <c r="BC296" s="140">
        <f t="shared" si="149"/>
        <v>1.0080000000000001E-6</v>
      </c>
      <c r="BD296" s="140">
        <f t="shared" si="150"/>
        <v>1.3440000000000002E-6</v>
      </c>
      <c r="BE296" s="140">
        <f t="shared" si="151"/>
        <v>1.6800000000000002E-6</v>
      </c>
      <c r="BF296" s="157">
        <f>IF(AY296&lt;$B$89*DATA!$H$1037,DATA!$H$1037,IF(AY296&gt;DATA!$H$1036*$B$89,DATA!$H$1036,1))</f>
        <v>1.2</v>
      </c>
      <c r="BG296" s="156">
        <f t="shared" si="152"/>
        <v>9.9999999999999995E-8</v>
      </c>
      <c r="BI296" s="140">
        <f t="shared" si="153"/>
        <v>3.3600000000000004E-5</v>
      </c>
      <c r="BJ296">
        <v>3.36</v>
      </c>
      <c r="BK296" s="140">
        <f t="shared" si="154"/>
        <v>3.3599999999999994E-7</v>
      </c>
      <c r="BL296" s="140">
        <f t="shared" si="155"/>
        <v>6.7199999999999998E-7</v>
      </c>
      <c r="BM296" s="140">
        <f t="shared" si="156"/>
        <v>1.0080000000000001E-6</v>
      </c>
      <c r="BN296" s="140">
        <f t="shared" si="157"/>
        <v>1.3440000000000002E-6</v>
      </c>
      <c r="BO296" s="140">
        <f t="shared" si="158"/>
        <v>1.6800000000000002E-6</v>
      </c>
      <c r="BP296" s="157">
        <f>IF(BI296&lt;$B$105*DATA!$H$1037,DATA!$H$1037,IF(BI296&gt;DATA!$H$1036*$B$105,DATA!$H$1036,1))</f>
        <v>1.2</v>
      </c>
      <c r="BQ296" s="156">
        <f t="shared" si="159"/>
        <v>9.9999999999999995E-8</v>
      </c>
    </row>
    <row r="297" spans="1:69">
      <c r="A297" s="140">
        <f t="shared" si="112"/>
        <v>3.3800000000000002E-5</v>
      </c>
      <c r="B297">
        <v>3.38</v>
      </c>
      <c r="C297" s="140">
        <f t="shared" si="160"/>
        <v>3.3799999999999993E-7</v>
      </c>
      <c r="D297" s="140">
        <f t="shared" si="160"/>
        <v>6.7599999999999997E-7</v>
      </c>
      <c r="E297" s="140">
        <f t="shared" si="160"/>
        <v>1.0139999999999999E-6</v>
      </c>
      <c r="F297" s="140">
        <f t="shared" si="160"/>
        <v>1.3520000000000001E-6</v>
      </c>
      <c r="G297" s="140">
        <f t="shared" si="160"/>
        <v>1.6900000000000001E-6</v>
      </c>
      <c r="H297" s="124">
        <f t="shared" si="113"/>
        <v>0.8</v>
      </c>
      <c r="I297" s="156">
        <f t="shared" si="114"/>
        <v>9.9999999999999995E-8</v>
      </c>
      <c r="K297" s="140">
        <f t="shared" si="115"/>
        <v>3.3800000000000002E-5</v>
      </c>
      <c r="L297">
        <v>3.38</v>
      </c>
      <c r="M297" s="140">
        <f t="shared" si="116"/>
        <v>3.3799999999999993E-7</v>
      </c>
      <c r="N297" s="140">
        <f t="shared" si="117"/>
        <v>6.7599999999999997E-7</v>
      </c>
      <c r="O297" s="140">
        <f t="shared" si="118"/>
        <v>1.0139999999999999E-6</v>
      </c>
      <c r="P297" s="140">
        <f t="shared" si="111"/>
        <v>1.3520000000000001E-6</v>
      </c>
      <c r="Q297" s="140">
        <f t="shared" si="119"/>
        <v>1.6900000000000001E-6</v>
      </c>
      <c r="R297" s="157">
        <f t="shared" si="120"/>
        <v>0.8</v>
      </c>
      <c r="S297" s="156">
        <f t="shared" si="121"/>
        <v>9.9999999999999995E-8</v>
      </c>
      <c r="U297" s="140">
        <f t="shared" si="122"/>
        <v>3.3800000000000002E-5</v>
      </c>
      <c r="V297">
        <v>3.38</v>
      </c>
      <c r="W297" s="140">
        <f t="shared" si="123"/>
        <v>3.3799999999999993E-7</v>
      </c>
      <c r="X297" s="140">
        <f t="shared" si="124"/>
        <v>6.7599999999999997E-7</v>
      </c>
      <c r="Y297" s="140">
        <f t="shared" si="125"/>
        <v>1.0139999999999999E-6</v>
      </c>
      <c r="Z297" s="140">
        <f t="shared" si="126"/>
        <v>1.3520000000000001E-6</v>
      </c>
      <c r="AA297" s="140">
        <f t="shared" si="127"/>
        <v>1.6900000000000001E-6</v>
      </c>
      <c r="AB297" s="157">
        <f t="shared" si="128"/>
        <v>0.8</v>
      </c>
      <c r="AC297" s="156">
        <f t="shared" si="129"/>
        <v>9.9999999999999995E-8</v>
      </c>
      <c r="AE297" s="140">
        <f t="shared" si="130"/>
        <v>3.3800000000000002E-5</v>
      </c>
      <c r="AF297">
        <v>3.38</v>
      </c>
      <c r="AG297" s="140">
        <f t="shared" si="131"/>
        <v>3.3799999999999993E-7</v>
      </c>
      <c r="AH297" s="140">
        <f t="shared" si="132"/>
        <v>6.7599999999999997E-7</v>
      </c>
      <c r="AI297" s="140">
        <f t="shared" si="133"/>
        <v>1.0139999999999999E-6</v>
      </c>
      <c r="AJ297" s="140">
        <f t="shared" si="134"/>
        <v>1.3520000000000001E-6</v>
      </c>
      <c r="AK297" s="140">
        <f t="shared" si="135"/>
        <v>1.6900000000000001E-6</v>
      </c>
      <c r="AL297" s="157">
        <f t="shared" si="136"/>
        <v>1.2</v>
      </c>
      <c r="AM297" s="156">
        <f t="shared" si="137"/>
        <v>9.9999999999999995E-8</v>
      </c>
      <c r="AO297" s="140">
        <f t="shared" si="138"/>
        <v>3.3800000000000002E-5</v>
      </c>
      <c r="AP297">
        <v>3.38</v>
      </c>
      <c r="AQ297" s="140">
        <f t="shared" si="139"/>
        <v>3.3799999999999993E-7</v>
      </c>
      <c r="AR297" s="140">
        <f t="shared" si="140"/>
        <v>6.7599999999999997E-7</v>
      </c>
      <c r="AS297" s="140">
        <f t="shared" si="141"/>
        <v>1.0139999999999999E-6</v>
      </c>
      <c r="AT297" s="140">
        <f t="shared" si="142"/>
        <v>1.3520000000000001E-6</v>
      </c>
      <c r="AU297" s="140">
        <f t="shared" si="143"/>
        <v>1.6900000000000001E-6</v>
      </c>
      <c r="AV297" s="157">
        <f t="shared" si="144"/>
        <v>1.2</v>
      </c>
      <c r="AW297" s="156">
        <f t="shared" si="145"/>
        <v>9.9999999999999995E-8</v>
      </c>
      <c r="AY297" s="140">
        <f t="shared" si="146"/>
        <v>3.3800000000000002E-5</v>
      </c>
      <c r="AZ297">
        <v>3.38</v>
      </c>
      <c r="BA297" s="140">
        <f t="shared" si="147"/>
        <v>3.3799999999999993E-7</v>
      </c>
      <c r="BB297" s="140">
        <f t="shared" si="148"/>
        <v>6.7599999999999997E-7</v>
      </c>
      <c r="BC297" s="140">
        <f t="shared" si="149"/>
        <v>1.0139999999999999E-6</v>
      </c>
      <c r="BD297" s="140">
        <f t="shared" si="150"/>
        <v>1.3520000000000001E-6</v>
      </c>
      <c r="BE297" s="140">
        <f t="shared" si="151"/>
        <v>1.6900000000000001E-6</v>
      </c>
      <c r="BF297" s="157">
        <f>IF(AY297&lt;$B$89*DATA!$H$1037,DATA!$H$1037,IF(AY297&gt;DATA!$H$1036*$B$89,DATA!$H$1036,1))</f>
        <v>1.2</v>
      </c>
      <c r="BG297" s="156">
        <f t="shared" si="152"/>
        <v>9.9999999999999995E-8</v>
      </c>
      <c r="BI297" s="140">
        <f t="shared" si="153"/>
        <v>3.3800000000000002E-5</v>
      </c>
      <c r="BJ297">
        <v>3.38</v>
      </c>
      <c r="BK297" s="140">
        <f t="shared" si="154"/>
        <v>3.3799999999999993E-7</v>
      </c>
      <c r="BL297" s="140">
        <f t="shared" si="155"/>
        <v>6.7599999999999997E-7</v>
      </c>
      <c r="BM297" s="140">
        <f t="shared" si="156"/>
        <v>1.0139999999999999E-6</v>
      </c>
      <c r="BN297" s="140">
        <f t="shared" si="157"/>
        <v>1.3520000000000001E-6</v>
      </c>
      <c r="BO297" s="140">
        <f t="shared" si="158"/>
        <v>1.6900000000000001E-6</v>
      </c>
      <c r="BP297" s="157">
        <f>IF(BI297&lt;$B$105*DATA!$H$1037,DATA!$H$1037,IF(BI297&gt;DATA!$H$1036*$B$105,DATA!$H$1036,1))</f>
        <v>1.2</v>
      </c>
      <c r="BQ297" s="156">
        <f t="shared" si="159"/>
        <v>9.9999999999999995E-8</v>
      </c>
    </row>
    <row r="298" spans="1:69">
      <c r="A298" s="140">
        <f t="shared" si="112"/>
        <v>3.4E-5</v>
      </c>
      <c r="B298">
        <v>3.4</v>
      </c>
      <c r="C298" s="140">
        <f t="shared" si="160"/>
        <v>3.3999999999999987E-7</v>
      </c>
      <c r="D298" s="140">
        <f t="shared" si="160"/>
        <v>6.7999999999999984E-7</v>
      </c>
      <c r="E298" s="140">
        <f t="shared" si="160"/>
        <v>1.02E-6</v>
      </c>
      <c r="F298" s="140">
        <f t="shared" si="160"/>
        <v>1.3600000000000001E-6</v>
      </c>
      <c r="G298" s="140">
        <f t="shared" si="160"/>
        <v>1.7E-6</v>
      </c>
      <c r="H298" s="124">
        <f t="shared" si="113"/>
        <v>0.8</v>
      </c>
      <c r="I298" s="156">
        <f t="shared" si="114"/>
        <v>9.9999999999999995E-8</v>
      </c>
      <c r="K298" s="140">
        <f t="shared" si="115"/>
        <v>3.4E-5</v>
      </c>
      <c r="L298">
        <v>3.4</v>
      </c>
      <c r="M298" s="140">
        <f t="shared" si="116"/>
        <v>3.3999999999999987E-7</v>
      </c>
      <c r="N298" s="140">
        <f t="shared" si="117"/>
        <v>6.7999999999999984E-7</v>
      </c>
      <c r="O298" s="140">
        <f t="shared" si="118"/>
        <v>1.02E-6</v>
      </c>
      <c r="P298" s="140">
        <f t="shared" si="111"/>
        <v>1.3600000000000001E-6</v>
      </c>
      <c r="Q298" s="140">
        <f t="shared" si="119"/>
        <v>1.7E-6</v>
      </c>
      <c r="R298" s="157">
        <f t="shared" si="120"/>
        <v>0.8</v>
      </c>
      <c r="S298" s="156">
        <f t="shared" si="121"/>
        <v>9.9999999999999995E-8</v>
      </c>
      <c r="U298" s="140">
        <f t="shared" si="122"/>
        <v>3.4E-5</v>
      </c>
      <c r="V298">
        <v>3.4</v>
      </c>
      <c r="W298" s="140">
        <f t="shared" si="123"/>
        <v>3.3999999999999987E-7</v>
      </c>
      <c r="X298" s="140">
        <f t="shared" si="124"/>
        <v>6.7999999999999984E-7</v>
      </c>
      <c r="Y298" s="140">
        <f t="shared" si="125"/>
        <v>1.02E-6</v>
      </c>
      <c r="Z298" s="140">
        <f t="shared" si="126"/>
        <v>1.3600000000000001E-6</v>
      </c>
      <c r="AA298" s="140">
        <f t="shared" si="127"/>
        <v>1.7E-6</v>
      </c>
      <c r="AB298" s="157">
        <f t="shared" si="128"/>
        <v>0.8</v>
      </c>
      <c r="AC298" s="156">
        <f t="shared" si="129"/>
        <v>9.9999999999999995E-8</v>
      </c>
      <c r="AE298" s="140">
        <f t="shared" si="130"/>
        <v>3.4E-5</v>
      </c>
      <c r="AF298">
        <v>3.4</v>
      </c>
      <c r="AG298" s="140">
        <f t="shared" si="131"/>
        <v>3.3999999999999987E-7</v>
      </c>
      <c r="AH298" s="140">
        <f t="shared" si="132"/>
        <v>6.7999999999999984E-7</v>
      </c>
      <c r="AI298" s="140">
        <f t="shared" si="133"/>
        <v>1.02E-6</v>
      </c>
      <c r="AJ298" s="140">
        <f t="shared" si="134"/>
        <v>1.3600000000000001E-6</v>
      </c>
      <c r="AK298" s="140">
        <f t="shared" si="135"/>
        <v>1.7E-6</v>
      </c>
      <c r="AL298" s="157">
        <f t="shared" si="136"/>
        <v>1.2</v>
      </c>
      <c r="AM298" s="156">
        <f t="shared" si="137"/>
        <v>9.9999999999999995E-8</v>
      </c>
      <c r="AO298" s="140">
        <f t="shared" si="138"/>
        <v>3.4E-5</v>
      </c>
      <c r="AP298">
        <v>3.4</v>
      </c>
      <c r="AQ298" s="140">
        <f t="shared" si="139"/>
        <v>3.3999999999999987E-7</v>
      </c>
      <c r="AR298" s="140">
        <f t="shared" si="140"/>
        <v>6.7999999999999984E-7</v>
      </c>
      <c r="AS298" s="140">
        <f t="shared" si="141"/>
        <v>1.02E-6</v>
      </c>
      <c r="AT298" s="140">
        <f t="shared" si="142"/>
        <v>1.3600000000000001E-6</v>
      </c>
      <c r="AU298" s="140">
        <f t="shared" si="143"/>
        <v>1.7E-6</v>
      </c>
      <c r="AV298" s="157">
        <f t="shared" si="144"/>
        <v>1.2</v>
      </c>
      <c r="AW298" s="156">
        <f t="shared" si="145"/>
        <v>9.9999999999999995E-8</v>
      </c>
      <c r="AY298" s="140">
        <f t="shared" si="146"/>
        <v>3.4E-5</v>
      </c>
      <c r="AZ298">
        <v>3.4</v>
      </c>
      <c r="BA298" s="140">
        <f t="shared" si="147"/>
        <v>3.3999999999999987E-7</v>
      </c>
      <c r="BB298" s="140">
        <f t="shared" si="148"/>
        <v>6.7999999999999984E-7</v>
      </c>
      <c r="BC298" s="140">
        <f t="shared" si="149"/>
        <v>1.02E-6</v>
      </c>
      <c r="BD298" s="140">
        <f t="shared" si="150"/>
        <v>1.3600000000000001E-6</v>
      </c>
      <c r="BE298" s="140">
        <f t="shared" si="151"/>
        <v>1.7E-6</v>
      </c>
      <c r="BF298" s="157">
        <f>IF(AY298&lt;$B$89*DATA!$H$1037,DATA!$H$1037,IF(AY298&gt;DATA!$H$1036*$B$89,DATA!$H$1036,1))</f>
        <v>1.2</v>
      </c>
      <c r="BG298" s="156">
        <f t="shared" si="152"/>
        <v>9.9999999999999995E-8</v>
      </c>
      <c r="BI298" s="140">
        <f t="shared" si="153"/>
        <v>3.4E-5</v>
      </c>
      <c r="BJ298">
        <v>3.4</v>
      </c>
      <c r="BK298" s="140">
        <f t="shared" si="154"/>
        <v>3.3999999999999987E-7</v>
      </c>
      <c r="BL298" s="140">
        <f t="shared" si="155"/>
        <v>6.7999999999999984E-7</v>
      </c>
      <c r="BM298" s="140">
        <f t="shared" si="156"/>
        <v>1.02E-6</v>
      </c>
      <c r="BN298" s="140">
        <f t="shared" si="157"/>
        <v>1.3600000000000001E-6</v>
      </c>
      <c r="BO298" s="140">
        <f t="shared" si="158"/>
        <v>1.7E-6</v>
      </c>
      <c r="BP298" s="157">
        <f>IF(BI298&lt;$B$105*DATA!$H$1037,DATA!$H$1037,IF(BI298&gt;DATA!$H$1036*$B$105,DATA!$H$1036,1))</f>
        <v>1.2</v>
      </c>
      <c r="BQ298" s="156">
        <f t="shared" si="159"/>
        <v>9.9999999999999995E-8</v>
      </c>
    </row>
    <row r="299" spans="1:69">
      <c r="A299" s="140">
        <f t="shared" si="112"/>
        <v>3.4200000000000005E-5</v>
      </c>
      <c r="B299">
        <v>3.42</v>
      </c>
      <c r="C299" s="140">
        <f t="shared" si="160"/>
        <v>3.4199999999999991E-7</v>
      </c>
      <c r="D299" s="140">
        <f t="shared" si="160"/>
        <v>6.8400000000000004E-7</v>
      </c>
      <c r="E299" s="140">
        <f t="shared" si="160"/>
        <v>1.026E-6</v>
      </c>
      <c r="F299" s="140">
        <f t="shared" si="160"/>
        <v>1.3680000000000003E-6</v>
      </c>
      <c r="G299" s="140">
        <f t="shared" si="160"/>
        <v>1.7100000000000004E-6</v>
      </c>
      <c r="H299" s="124">
        <f t="shared" si="113"/>
        <v>0.8</v>
      </c>
      <c r="I299" s="156">
        <f t="shared" si="114"/>
        <v>9.9999999999999995E-8</v>
      </c>
      <c r="K299" s="140">
        <f t="shared" si="115"/>
        <v>3.4200000000000005E-5</v>
      </c>
      <c r="L299">
        <v>3.42</v>
      </c>
      <c r="M299" s="140">
        <f t="shared" si="116"/>
        <v>3.4199999999999991E-7</v>
      </c>
      <c r="N299" s="140">
        <f t="shared" si="117"/>
        <v>6.8400000000000004E-7</v>
      </c>
      <c r="O299" s="140">
        <f t="shared" si="118"/>
        <v>1.026E-6</v>
      </c>
      <c r="P299" s="140">
        <f t="shared" si="111"/>
        <v>1.3680000000000003E-6</v>
      </c>
      <c r="Q299" s="140">
        <f t="shared" si="119"/>
        <v>1.7100000000000004E-6</v>
      </c>
      <c r="R299" s="157">
        <f t="shared" si="120"/>
        <v>0.8</v>
      </c>
      <c r="S299" s="156">
        <f t="shared" si="121"/>
        <v>9.9999999999999995E-8</v>
      </c>
      <c r="U299" s="140">
        <f t="shared" si="122"/>
        <v>3.4200000000000005E-5</v>
      </c>
      <c r="V299">
        <v>3.42</v>
      </c>
      <c r="W299" s="140">
        <f t="shared" si="123"/>
        <v>3.4199999999999991E-7</v>
      </c>
      <c r="X299" s="140">
        <f t="shared" si="124"/>
        <v>6.8400000000000004E-7</v>
      </c>
      <c r="Y299" s="140">
        <f t="shared" si="125"/>
        <v>1.026E-6</v>
      </c>
      <c r="Z299" s="140">
        <f t="shared" si="126"/>
        <v>1.3680000000000003E-6</v>
      </c>
      <c r="AA299" s="140">
        <f t="shared" si="127"/>
        <v>1.7100000000000004E-6</v>
      </c>
      <c r="AB299" s="157">
        <f t="shared" si="128"/>
        <v>0.8</v>
      </c>
      <c r="AC299" s="156">
        <f t="shared" si="129"/>
        <v>9.9999999999999995E-8</v>
      </c>
      <c r="AE299" s="140">
        <f t="shared" si="130"/>
        <v>3.4200000000000005E-5</v>
      </c>
      <c r="AF299">
        <v>3.42</v>
      </c>
      <c r="AG299" s="140">
        <f t="shared" si="131"/>
        <v>3.4199999999999991E-7</v>
      </c>
      <c r="AH299" s="140">
        <f t="shared" si="132"/>
        <v>6.8400000000000004E-7</v>
      </c>
      <c r="AI299" s="140">
        <f t="shared" si="133"/>
        <v>1.026E-6</v>
      </c>
      <c r="AJ299" s="140">
        <f t="shared" si="134"/>
        <v>1.3680000000000003E-6</v>
      </c>
      <c r="AK299" s="140">
        <f t="shared" si="135"/>
        <v>1.7100000000000004E-6</v>
      </c>
      <c r="AL299" s="157">
        <f t="shared" si="136"/>
        <v>1.2</v>
      </c>
      <c r="AM299" s="156">
        <f t="shared" si="137"/>
        <v>9.9999999999999995E-8</v>
      </c>
      <c r="AO299" s="140">
        <f t="shared" si="138"/>
        <v>3.4200000000000005E-5</v>
      </c>
      <c r="AP299">
        <v>3.42</v>
      </c>
      <c r="AQ299" s="140">
        <f t="shared" si="139"/>
        <v>3.4199999999999991E-7</v>
      </c>
      <c r="AR299" s="140">
        <f t="shared" si="140"/>
        <v>6.8400000000000004E-7</v>
      </c>
      <c r="AS299" s="140">
        <f t="shared" si="141"/>
        <v>1.026E-6</v>
      </c>
      <c r="AT299" s="140">
        <f t="shared" si="142"/>
        <v>1.3680000000000003E-6</v>
      </c>
      <c r="AU299" s="140">
        <f t="shared" si="143"/>
        <v>1.7100000000000004E-6</v>
      </c>
      <c r="AV299" s="157">
        <f t="shared" si="144"/>
        <v>1.2</v>
      </c>
      <c r="AW299" s="156">
        <f t="shared" si="145"/>
        <v>9.9999999999999995E-8</v>
      </c>
      <c r="AY299" s="140">
        <f t="shared" si="146"/>
        <v>3.4200000000000005E-5</v>
      </c>
      <c r="AZ299">
        <v>3.42</v>
      </c>
      <c r="BA299" s="140">
        <f t="shared" si="147"/>
        <v>3.4199999999999991E-7</v>
      </c>
      <c r="BB299" s="140">
        <f t="shared" si="148"/>
        <v>6.8400000000000004E-7</v>
      </c>
      <c r="BC299" s="140">
        <f t="shared" si="149"/>
        <v>1.026E-6</v>
      </c>
      <c r="BD299" s="140">
        <f t="shared" si="150"/>
        <v>1.3680000000000003E-6</v>
      </c>
      <c r="BE299" s="140">
        <f t="shared" si="151"/>
        <v>1.7100000000000004E-6</v>
      </c>
      <c r="BF299" s="157">
        <f>IF(AY299&lt;$B$89*DATA!$H$1037,DATA!$H$1037,IF(AY299&gt;DATA!$H$1036*$B$89,DATA!$H$1036,1))</f>
        <v>1.2</v>
      </c>
      <c r="BG299" s="156">
        <f t="shared" si="152"/>
        <v>9.9999999999999995E-8</v>
      </c>
      <c r="BI299" s="140">
        <f t="shared" si="153"/>
        <v>3.4200000000000005E-5</v>
      </c>
      <c r="BJ299">
        <v>3.42</v>
      </c>
      <c r="BK299" s="140">
        <f t="shared" si="154"/>
        <v>3.4199999999999991E-7</v>
      </c>
      <c r="BL299" s="140">
        <f t="shared" si="155"/>
        <v>6.8400000000000004E-7</v>
      </c>
      <c r="BM299" s="140">
        <f t="shared" si="156"/>
        <v>1.026E-6</v>
      </c>
      <c r="BN299" s="140">
        <f t="shared" si="157"/>
        <v>1.3680000000000003E-6</v>
      </c>
      <c r="BO299" s="140">
        <f t="shared" si="158"/>
        <v>1.7100000000000004E-6</v>
      </c>
      <c r="BP299" s="157">
        <f>IF(BI299&lt;$B$105*DATA!$H$1037,DATA!$H$1037,IF(BI299&gt;DATA!$H$1036*$B$105,DATA!$H$1036,1))</f>
        <v>1.2</v>
      </c>
      <c r="BQ299" s="156">
        <f t="shared" si="159"/>
        <v>9.9999999999999995E-8</v>
      </c>
    </row>
    <row r="300" spans="1:69">
      <c r="A300" s="140">
        <f t="shared" si="112"/>
        <v>3.4400000000000003E-5</v>
      </c>
      <c r="B300">
        <v>3.44</v>
      </c>
      <c r="C300" s="140">
        <f t="shared" si="160"/>
        <v>3.439999999999999E-7</v>
      </c>
      <c r="D300" s="140">
        <f t="shared" si="160"/>
        <v>6.8799999999999991E-7</v>
      </c>
      <c r="E300" s="140">
        <f t="shared" si="160"/>
        <v>1.032E-6</v>
      </c>
      <c r="F300" s="140">
        <f t="shared" si="160"/>
        <v>1.376E-6</v>
      </c>
      <c r="G300" s="140">
        <f t="shared" si="160"/>
        <v>1.7200000000000003E-6</v>
      </c>
      <c r="H300" s="124">
        <f t="shared" si="113"/>
        <v>0.8</v>
      </c>
      <c r="I300" s="156">
        <f t="shared" si="114"/>
        <v>9.9999999999999995E-8</v>
      </c>
      <c r="K300" s="140">
        <f t="shared" si="115"/>
        <v>3.4400000000000003E-5</v>
      </c>
      <c r="L300">
        <v>3.44</v>
      </c>
      <c r="M300" s="140">
        <f t="shared" si="116"/>
        <v>3.439999999999999E-7</v>
      </c>
      <c r="N300" s="140">
        <f t="shared" si="117"/>
        <v>6.8799999999999991E-7</v>
      </c>
      <c r="O300" s="140">
        <f t="shared" si="118"/>
        <v>1.032E-6</v>
      </c>
      <c r="P300" s="140">
        <f t="shared" si="111"/>
        <v>1.376E-6</v>
      </c>
      <c r="Q300" s="140">
        <f t="shared" si="119"/>
        <v>1.7200000000000003E-6</v>
      </c>
      <c r="R300" s="157">
        <f t="shared" si="120"/>
        <v>0.8</v>
      </c>
      <c r="S300" s="156">
        <f t="shared" si="121"/>
        <v>9.9999999999999995E-8</v>
      </c>
      <c r="U300" s="140">
        <f t="shared" si="122"/>
        <v>3.4400000000000003E-5</v>
      </c>
      <c r="V300">
        <v>3.44</v>
      </c>
      <c r="W300" s="140">
        <f t="shared" si="123"/>
        <v>3.439999999999999E-7</v>
      </c>
      <c r="X300" s="140">
        <f t="shared" si="124"/>
        <v>6.8799999999999991E-7</v>
      </c>
      <c r="Y300" s="140">
        <f t="shared" si="125"/>
        <v>1.032E-6</v>
      </c>
      <c r="Z300" s="140">
        <f t="shared" si="126"/>
        <v>1.376E-6</v>
      </c>
      <c r="AA300" s="140">
        <f t="shared" si="127"/>
        <v>1.7200000000000003E-6</v>
      </c>
      <c r="AB300" s="157">
        <f t="shared" si="128"/>
        <v>0.8</v>
      </c>
      <c r="AC300" s="156">
        <f t="shared" si="129"/>
        <v>9.9999999999999995E-8</v>
      </c>
      <c r="AE300" s="140">
        <f t="shared" si="130"/>
        <v>3.4400000000000003E-5</v>
      </c>
      <c r="AF300">
        <v>3.44</v>
      </c>
      <c r="AG300" s="140">
        <f t="shared" si="131"/>
        <v>3.439999999999999E-7</v>
      </c>
      <c r="AH300" s="140">
        <f t="shared" si="132"/>
        <v>6.8799999999999991E-7</v>
      </c>
      <c r="AI300" s="140">
        <f t="shared" si="133"/>
        <v>1.032E-6</v>
      </c>
      <c r="AJ300" s="140">
        <f t="shared" si="134"/>
        <v>1.376E-6</v>
      </c>
      <c r="AK300" s="140">
        <f t="shared" si="135"/>
        <v>1.7200000000000003E-6</v>
      </c>
      <c r="AL300" s="157">
        <f t="shared" si="136"/>
        <v>1.2</v>
      </c>
      <c r="AM300" s="156">
        <f t="shared" si="137"/>
        <v>9.9999999999999995E-8</v>
      </c>
      <c r="AO300" s="140">
        <f t="shared" si="138"/>
        <v>3.4400000000000003E-5</v>
      </c>
      <c r="AP300">
        <v>3.44</v>
      </c>
      <c r="AQ300" s="140">
        <f t="shared" si="139"/>
        <v>3.439999999999999E-7</v>
      </c>
      <c r="AR300" s="140">
        <f t="shared" si="140"/>
        <v>6.8799999999999991E-7</v>
      </c>
      <c r="AS300" s="140">
        <f t="shared" si="141"/>
        <v>1.032E-6</v>
      </c>
      <c r="AT300" s="140">
        <f t="shared" si="142"/>
        <v>1.376E-6</v>
      </c>
      <c r="AU300" s="140">
        <f t="shared" si="143"/>
        <v>1.7200000000000003E-6</v>
      </c>
      <c r="AV300" s="157">
        <f t="shared" si="144"/>
        <v>1.2</v>
      </c>
      <c r="AW300" s="156">
        <f t="shared" si="145"/>
        <v>9.9999999999999995E-8</v>
      </c>
      <c r="AY300" s="140">
        <f t="shared" si="146"/>
        <v>3.4400000000000003E-5</v>
      </c>
      <c r="AZ300">
        <v>3.44</v>
      </c>
      <c r="BA300" s="140">
        <f t="shared" si="147"/>
        <v>3.439999999999999E-7</v>
      </c>
      <c r="BB300" s="140">
        <f t="shared" si="148"/>
        <v>6.8799999999999991E-7</v>
      </c>
      <c r="BC300" s="140">
        <f t="shared" si="149"/>
        <v>1.032E-6</v>
      </c>
      <c r="BD300" s="140">
        <f t="shared" si="150"/>
        <v>1.376E-6</v>
      </c>
      <c r="BE300" s="140">
        <f t="shared" si="151"/>
        <v>1.7200000000000003E-6</v>
      </c>
      <c r="BF300" s="157">
        <f>IF(AY300&lt;$B$89*DATA!$H$1037,DATA!$H$1037,IF(AY300&gt;DATA!$H$1036*$B$89,DATA!$H$1036,1))</f>
        <v>1.2</v>
      </c>
      <c r="BG300" s="156">
        <f t="shared" si="152"/>
        <v>9.9999999999999995E-8</v>
      </c>
      <c r="BI300" s="140">
        <f t="shared" si="153"/>
        <v>3.4400000000000003E-5</v>
      </c>
      <c r="BJ300">
        <v>3.44</v>
      </c>
      <c r="BK300" s="140">
        <f t="shared" si="154"/>
        <v>3.439999999999999E-7</v>
      </c>
      <c r="BL300" s="140">
        <f t="shared" si="155"/>
        <v>6.8799999999999991E-7</v>
      </c>
      <c r="BM300" s="140">
        <f t="shared" si="156"/>
        <v>1.032E-6</v>
      </c>
      <c r="BN300" s="140">
        <f t="shared" si="157"/>
        <v>1.376E-6</v>
      </c>
      <c r="BO300" s="140">
        <f t="shared" si="158"/>
        <v>1.7200000000000003E-6</v>
      </c>
      <c r="BP300" s="157">
        <f>IF(BI300&lt;$B$105*DATA!$H$1037,DATA!$H$1037,IF(BI300&gt;DATA!$H$1036*$B$105,DATA!$H$1036,1))</f>
        <v>1.2</v>
      </c>
      <c r="BQ300" s="156">
        <f t="shared" si="159"/>
        <v>9.9999999999999995E-8</v>
      </c>
    </row>
    <row r="301" spans="1:69">
      <c r="A301" s="140">
        <f t="shared" si="112"/>
        <v>3.4600000000000001E-5</v>
      </c>
      <c r="B301">
        <v>3.46</v>
      </c>
      <c r="C301" s="140">
        <f t="shared" si="160"/>
        <v>3.459999999999999E-7</v>
      </c>
      <c r="D301" s="140">
        <f t="shared" si="160"/>
        <v>6.919999999999999E-7</v>
      </c>
      <c r="E301" s="140">
        <f t="shared" si="160"/>
        <v>1.0380000000000001E-6</v>
      </c>
      <c r="F301" s="140">
        <f t="shared" si="160"/>
        <v>1.384E-6</v>
      </c>
      <c r="G301" s="140">
        <f t="shared" si="160"/>
        <v>1.7300000000000002E-6</v>
      </c>
      <c r="H301" s="124">
        <f t="shared" si="113"/>
        <v>0.8</v>
      </c>
      <c r="I301" s="156">
        <f t="shared" si="114"/>
        <v>9.9999999999999995E-8</v>
      </c>
      <c r="K301" s="140">
        <f t="shared" si="115"/>
        <v>3.4600000000000001E-5</v>
      </c>
      <c r="L301">
        <v>3.46</v>
      </c>
      <c r="M301" s="140">
        <f t="shared" si="116"/>
        <v>3.459999999999999E-7</v>
      </c>
      <c r="N301" s="140">
        <f t="shared" si="117"/>
        <v>6.919999999999999E-7</v>
      </c>
      <c r="O301" s="140">
        <f t="shared" si="118"/>
        <v>1.0380000000000001E-6</v>
      </c>
      <c r="P301" s="140">
        <f t="shared" si="111"/>
        <v>1.384E-6</v>
      </c>
      <c r="Q301" s="140">
        <f t="shared" si="119"/>
        <v>1.7300000000000002E-6</v>
      </c>
      <c r="R301" s="157">
        <f t="shared" si="120"/>
        <v>0.8</v>
      </c>
      <c r="S301" s="156">
        <f t="shared" si="121"/>
        <v>9.9999999999999995E-8</v>
      </c>
      <c r="U301" s="140">
        <f t="shared" si="122"/>
        <v>3.4600000000000001E-5</v>
      </c>
      <c r="V301">
        <v>3.46</v>
      </c>
      <c r="W301" s="140">
        <f t="shared" si="123"/>
        <v>3.459999999999999E-7</v>
      </c>
      <c r="X301" s="140">
        <f t="shared" si="124"/>
        <v>6.919999999999999E-7</v>
      </c>
      <c r="Y301" s="140">
        <f t="shared" si="125"/>
        <v>1.0380000000000001E-6</v>
      </c>
      <c r="Z301" s="140">
        <f t="shared" si="126"/>
        <v>1.384E-6</v>
      </c>
      <c r="AA301" s="140">
        <f t="shared" si="127"/>
        <v>1.7300000000000002E-6</v>
      </c>
      <c r="AB301" s="157">
        <f t="shared" si="128"/>
        <v>0.8</v>
      </c>
      <c r="AC301" s="156">
        <f t="shared" si="129"/>
        <v>9.9999999999999995E-8</v>
      </c>
      <c r="AE301" s="140">
        <f t="shared" si="130"/>
        <v>3.4600000000000001E-5</v>
      </c>
      <c r="AF301">
        <v>3.46</v>
      </c>
      <c r="AG301" s="140">
        <f t="shared" si="131"/>
        <v>3.459999999999999E-7</v>
      </c>
      <c r="AH301" s="140">
        <f t="shared" si="132"/>
        <v>6.919999999999999E-7</v>
      </c>
      <c r="AI301" s="140">
        <f t="shared" si="133"/>
        <v>1.0380000000000001E-6</v>
      </c>
      <c r="AJ301" s="140">
        <f t="shared" si="134"/>
        <v>1.384E-6</v>
      </c>
      <c r="AK301" s="140">
        <f t="shared" si="135"/>
        <v>1.7300000000000002E-6</v>
      </c>
      <c r="AL301" s="157">
        <f t="shared" si="136"/>
        <v>1.2</v>
      </c>
      <c r="AM301" s="156">
        <f t="shared" si="137"/>
        <v>9.9999999999999995E-8</v>
      </c>
      <c r="AO301" s="140">
        <f t="shared" si="138"/>
        <v>3.4600000000000001E-5</v>
      </c>
      <c r="AP301">
        <v>3.46</v>
      </c>
      <c r="AQ301" s="140">
        <f t="shared" si="139"/>
        <v>3.459999999999999E-7</v>
      </c>
      <c r="AR301" s="140">
        <f t="shared" si="140"/>
        <v>6.919999999999999E-7</v>
      </c>
      <c r="AS301" s="140">
        <f t="shared" si="141"/>
        <v>1.0380000000000001E-6</v>
      </c>
      <c r="AT301" s="140">
        <f t="shared" si="142"/>
        <v>1.384E-6</v>
      </c>
      <c r="AU301" s="140">
        <f t="shared" si="143"/>
        <v>1.7300000000000002E-6</v>
      </c>
      <c r="AV301" s="157">
        <f t="shared" si="144"/>
        <v>1.2</v>
      </c>
      <c r="AW301" s="156">
        <f t="shared" si="145"/>
        <v>9.9999999999999995E-8</v>
      </c>
      <c r="AY301" s="140">
        <f t="shared" si="146"/>
        <v>3.4600000000000001E-5</v>
      </c>
      <c r="AZ301">
        <v>3.46</v>
      </c>
      <c r="BA301" s="140">
        <f t="shared" si="147"/>
        <v>3.459999999999999E-7</v>
      </c>
      <c r="BB301" s="140">
        <f t="shared" si="148"/>
        <v>6.919999999999999E-7</v>
      </c>
      <c r="BC301" s="140">
        <f t="shared" si="149"/>
        <v>1.0380000000000001E-6</v>
      </c>
      <c r="BD301" s="140">
        <f t="shared" si="150"/>
        <v>1.384E-6</v>
      </c>
      <c r="BE301" s="140">
        <f t="shared" si="151"/>
        <v>1.7300000000000002E-6</v>
      </c>
      <c r="BF301" s="157">
        <f>IF(AY301&lt;$B$89*DATA!$H$1037,DATA!$H$1037,IF(AY301&gt;DATA!$H$1036*$B$89,DATA!$H$1036,1))</f>
        <v>1.2</v>
      </c>
      <c r="BG301" s="156">
        <f t="shared" si="152"/>
        <v>9.9999999999999995E-8</v>
      </c>
      <c r="BI301" s="140">
        <f t="shared" si="153"/>
        <v>3.4600000000000001E-5</v>
      </c>
      <c r="BJ301">
        <v>3.46</v>
      </c>
      <c r="BK301" s="140">
        <f t="shared" si="154"/>
        <v>3.459999999999999E-7</v>
      </c>
      <c r="BL301" s="140">
        <f t="shared" si="155"/>
        <v>6.919999999999999E-7</v>
      </c>
      <c r="BM301" s="140">
        <f t="shared" si="156"/>
        <v>1.0380000000000001E-6</v>
      </c>
      <c r="BN301" s="140">
        <f t="shared" si="157"/>
        <v>1.384E-6</v>
      </c>
      <c r="BO301" s="140">
        <f t="shared" si="158"/>
        <v>1.7300000000000002E-6</v>
      </c>
      <c r="BP301" s="157">
        <f>IF(BI301&lt;$B$105*DATA!$H$1037,DATA!$H$1037,IF(BI301&gt;DATA!$H$1036*$B$105,DATA!$H$1036,1))</f>
        <v>1.2</v>
      </c>
      <c r="BQ301" s="156">
        <f t="shared" si="159"/>
        <v>9.9999999999999995E-8</v>
      </c>
    </row>
    <row r="302" spans="1:69">
      <c r="A302" s="140">
        <f t="shared" si="112"/>
        <v>3.4800000000000006E-5</v>
      </c>
      <c r="B302">
        <v>3.48</v>
      </c>
      <c r="C302" s="140">
        <f t="shared" si="160"/>
        <v>3.4799999999999994E-7</v>
      </c>
      <c r="D302" s="140">
        <f t="shared" si="160"/>
        <v>6.9599999999999999E-7</v>
      </c>
      <c r="E302" s="140">
        <f t="shared" si="160"/>
        <v>1.0440000000000001E-6</v>
      </c>
      <c r="F302" s="140">
        <f t="shared" si="160"/>
        <v>1.3920000000000002E-6</v>
      </c>
      <c r="G302" s="140">
        <f t="shared" si="160"/>
        <v>1.7400000000000003E-6</v>
      </c>
      <c r="H302" s="124">
        <f t="shared" si="113"/>
        <v>0.8</v>
      </c>
      <c r="I302" s="156">
        <f t="shared" si="114"/>
        <v>9.9999999999999995E-8</v>
      </c>
      <c r="K302" s="140">
        <f t="shared" si="115"/>
        <v>3.4800000000000006E-5</v>
      </c>
      <c r="L302">
        <v>3.48</v>
      </c>
      <c r="M302" s="140">
        <f t="shared" si="116"/>
        <v>3.4799999999999994E-7</v>
      </c>
      <c r="N302" s="140">
        <f t="shared" si="117"/>
        <v>6.9599999999999999E-7</v>
      </c>
      <c r="O302" s="140">
        <f t="shared" si="118"/>
        <v>1.0440000000000001E-6</v>
      </c>
      <c r="P302" s="140">
        <f t="shared" si="111"/>
        <v>1.3920000000000002E-6</v>
      </c>
      <c r="Q302" s="140">
        <f t="shared" si="119"/>
        <v>1.7400000000000003E-6</v>
      </c>
      <c r="R302" s="157">
        <f t="shared" si="120"/>
        <v>0.8</v>
      </c>
      <c r="S302" s="156">
        <f t="shared" si="121"/>
        <v>9.9999999999999995E-8</v>
      </c>
      <c r="U302" s="140">
        <f t="shared" si="122"/>
        <v>3.4800000000000006E-5</v>
      </c>
      <c r="V302">
        <v>3.48</v>
      </c>
      <c r="W302" s="140">
        <f t="shared" si="123"/>
        <v>3.4799999999999994E-7</v>
      </c>
      <c r="X302" s="140">
        <f t="shared" si="124"/>
        <v>6.9599999999999999E-7</v>
      </c>
      <c r="Y302" s="140">
        <f t="shared" si="125"/>
        <v>1.0440000000000001E-6</v>
      </c>
      <c r="Z302" s="140">
        <f t="shared" si="126"/>
        <v>1.3920000000000002E-6</v>
      </c>
      <c r="AA302" s="140">
        <f t="shared" si="127"/>
        <v>1.7400000000000003E-6</v>
      </c>
      <c r="AB302" s="157">
        <f t="shared" si="128"/>
        <v>0.8</v>
      </c>
      <c r="AC302" s="156">
        <f t="shared" si="129"/>
        <v>9.9999999999999995E-8</v>
      </c>
      <c r="AE302" s="140">
        <f t="shared" si="130"/>
        <v>3.4800000000000006E-5</v>
      </c>
      <c r="AF302">
        <v>3.48</v>
      </c>
      <c r="AG302" s="140">
        <f t="shared" si="131"/>
        <v>3.4799999999999994E-7</v>
      </c>
      <c r="AH302" s="140">
        <f t="shared" si="132"/>
        <v>6.9599999999999999E-7</v>
      </c>
      <c r="AI302" s="140">
        <f t="shared" si="133"/>
        <v>1.0440000000000001E-6</v>
      </c>
      <c r="AJ302" s="140">
        <f t="shared" si="134"/>
        <v>1.3920000000000002E-6</v>
      </c>
      <c r="AK302" s="140">
        <f t="shared" si="135"/>
        <v>1.7400000000000003E-6</v>
      </c>
      <c r="AL302" s="157">
        <f t="shared" si="136"/>
        <v>1.2</v>
      </c>
      <c r="AM302" s="156">
        <f t="shared" si="137"/>
        <v>9.9999999999999995E-8</v>
      </c>
      <c r="AO302" s="140">
        <f t="shared" si="138"/>
        <v>3.4800000000000006E-5</v>
      </c>
      <c r="AP302">
        <v>3.48</v>
      </c>
      <c r="AQ302" s="140">
        <f t="shared" si="139"/>
        <v>3.4799999999999994E-7</v>
      </c>
      <c r="AR302" s="140">
        <f t="shared" si="140"/>
        <v>6.9599999999999999E-7</v>
      </c>
      <c r="AS302" s="140">
        <f t="shared" si="141"/>
        <v>1.0440000000000001E-6</v>
      </c>
      <c r="AT302" s="140">
        <f t="shared" si="142"/>
        <v>1.3920000000000002E-6</v>
      </c>
      <c r="AU302" s="140">
        <f t="shared" si="143"/>
        <v>1.7400000000000003E-6</v>
      </c>
      <c r="AV302" s="157">
        <f t="shared" si="144"/>
        <v>1.2</v>
      </c>
      <c r="AW302" s="156">
        <f t="shared" si="145"/>
        <v>9.9999999999999995E-8</v>
      </c>
      <c r="AY302" s="140">
        <f t="shared" si="146"/>
        <v>3.4800000000000006E-5</v>
      </c>
      <c r="AZ302">
        <v>3.48</v>
      </c>
      <c r="BA302" s="140">
        <f t="shared" si="147"/>
        <v>3.4799999999999994E-7</v>
      </c>
      <c r="BB302" s="140">
        <f t="shared" si="148"/>
        <v>6.9599999999999999E-7</v>
      </c>
      <c r="BC302" s="140">
        <f t="shared" si="149"/>
        <v>1.0440000000000001E-6</v>
      </c>
      <c r="BD302" s="140">
        <f t="shared" si="150"/>
        <v>1.3920000000000002E-6</v>
      </c>
      <c r="BE302" s="140">
        <f t="shared" si="151"/>
        <v>1.7400000000000003E-6</v>
      </c>
      <c r="BF302" s="157">
        <f>IF(AY302&lt;$B$89*DATA!$H$1037,DATA!$H$1037,IF(AY302&gt;DATA!$H$1036*$B$89,DATA!$H$1036,1))</f>
        <v>1.2</v>
      </c>
      <c r="BG302" s="156">
        <f t="shared" si="152"/>
        <v>9.9999999999999995E-8</v>
      </c>
      <c r="BI302" s="140">
        <f t="shared" si="153"/>
        <v>3.4800000000000006E-5</v>
      </c>
      <c r="BJ302">
        <v>3.48</v>
      </c>
      <c r="BK302" s="140">
        <f t="shared" si="154"/>
        <v>3.4799999999999994E-7</v>
      </c>
      <c r="BL302" s="140">
        <f t="shared" si="155"/>
        <v>6.9599999999999999E-7</v>
      </c>
      <c r="BM302" s="140">
        <f t="shared" si="156"/>
        <v>1.0440000000000001E-6</v>
      </c>
      <c r="BN302" s="140">
        <f t="shared" si="157"/>
        <v>1.3920000000000002E-6</v>
      </c>
      <c r="BO302" s="140">
        <f t="shared" si="158"/>
        <v>1.7400000000000003E-6</v>
      </c>
      <c r="BP302" s="157">
        <f>IF(BI302&lt;$B$105*DATA!$H$1037,DATA!$H$1037,IF(BI302&gt;DATA!$H$1036*$B$105,DATA!$H$1036,1))</f>
        <v>1.2</v>
      </c>
      <c r="BQ302" s="156">
        <f t="shared" si="159"/>
        <v>9.9999999999999995E-8</v>
      </c>
    </row>
    <row r="303" spans="1:69">
      <c r="A303" s="140">
        <f t="shared" si="112"/>
        <v>3.5000000000000004E-5</v>
      </c>
      <c r="B303">
        <v>3.5</v>
      </c>
      <c r="C303" s="140">
        <f t="shared" ref="C303:G318" si="161">C$142*$A303</f>
        <v>3.4999999999999993E-7</v>
      </c>
      <c r="D303" s="140">
        <f t="shared" si="161"/>
        <v>6.9999999999999997E-7</v>
      </c>
      <c r="E303" s="140">
        <f t="shared" si="161"/>
        <v>1.0500000000000001E-6</v>
      </c>
      <c r="F303" s="140">
        <f t="shared" si="161"/>
        <v>1.4000000000000001E-6</v>
      </c>
      <c r="G303" s="140">
        <f t="shared" si="161"/>
        <v>1.7500000000000002E-6</v>
      </c>
      <c r="H303" s="124">
        <f t="shared" si="113"/>
        <v>0.8</v>
      </c>
      <c r="I303" s="156">
        <f t="shared" si="114"/>
        <v>9.9999999999999995E-8</v>
      </c>
      <c r="K303" s="140">
        <f t="shared" si="115"/>
        <v>3.5000000000000004E-5</v>
      </c>
      <c r="L303">
        <v>3.5</v>
      </c>
      <c r="M303" s="140">
        <f t="shared" si="116"/>
        <v>3.4999999999999993E-7</v>
      </c>
      <c r="N303" s="140">
        <f t="shared" si="117"/>
        <v>6.9999999999999997E-7</v>
      </c>
      <c r="O303" s="140">
        <f t="shared" si="118"/>
        <v>1.0500000000000001E-6</v>
      </c>
      <c r="P303" s="140">
        <f t="shared" si="111"/>
        <v>1.4000000000000001E-6</v>
      </c>
      <c r="Q303" s="140">
        <f t="shared" si="119"/>
        <v>1.7500000000000002E-6</v>
      </c>
      <c r="R303" s="157">
        <f t="shared" si="120"/>
        <v>0.8</v>
      </c>
      <c r="S303" s="156">
        <f t="shared" si="121"/>
        <v>9.9999999999999995E-8</v>
      </c>
      <c r="U303" s="140">
        <f t="shared" si="122"/>
        <v>3.5000000000000004E-5</v>
      </c>
      <c r="V303">
        <v>3.5</v>
      </c>
      <c r="W303" s="140">
        <f t="shared" si="123"/>
        <v>3.4999999999999993E-7</v>
      </c>
      <c r="X303" s="140">
        <f t="shared" si="124"/>
        <v>6.9999999999999997E-7</v>
      </c>
      <c r="Y303" s="140">
        <f t="shared" si="125"/>
        <v>1.0500000000000001E-6</v>
      </c>
      <c r="Z303" s="140">
        <f t="shared" si="126"/>
        <v>1.4000000000000001E-6</v>
      </c>
      <c r="AA303" s="140">
        <f t="shared" si="127"/>
        <v>1.7500000000000002E-6</v>
      </c>
      <c r="AB303" s="157">
        <f t="shared" si="128"/>
        <v>0.8</v>
      </c>
      <c r="AC303" s="156">
        <f t="shared" si="129"/>
        <v>9.9999999999999995E-8</v>
      </c>
      <c r="AE303" s="140">
        <f t="shared" si="130"/>
        <v>3.5000000000000004E-5</v>
      </c>
      <c r="AF303">
        <v>3.5</v>
      </c>
      <c r="AG303" s="140">
        <f t="shared" si="131"/>
        <v>3.4999999999999993E-7</v>
      </c>
      <c r="AH303" s="140">
        <f t="shared" si="132"/>
        <v>6.9999999999999997E-7</v>
      </c>
      <c r="AI303" s="140">
        <f t="shared" si="133"/>
        <v>1.0500000000000001E-6</v>
      </c>
      <c r="AJ303" s="140">
        <f t="shared" si="134"/>
        <v>1.4000000000000001E-6</v>
      </c>
      <c r="AK303" s="140">
        <f t="shared" si="135"/>
        <v>1.7500000000000002E-6</v>
      </c>
      <c r="AL303" s="157">
        <f t="shared" si="136"/>
        <v>1.2</v>
      </c>
      <c r="AM303" s="156">
        <f t="shared" si="137"/>
        <v>9.9999999999999995E-8</v>
      </c>
      <c r="AO303" s="140">
        <f t="shared" si="138"/>
        <v>3.5000000000000004E-5</v>
      </c>
      <c r="AP303">
        <v>3.5</v>
      </c>
      <c r="AQ303" s="140">
        <f t="shared" si="139"/>
        <v>3.4999999999999993E-7</v>
      </c>
      <c r="AR303" s="140">
        <f t="shared" si="140"/>
        <v>6.9999999999999997E-7</v>
      </c>
      <c r="AS303" s="140">
        <f t="shared" si="141"/>
        <v>1.0500000000000001E-6</v>
      </c>
      <c r="AT303" s="140">
        <f t="shared" si="142"/>
        <v>1.4000000000000001E-6</v>
      </c>
      <c r="AU303" s="140">
        <f t="shared" si="143"/>
        <v>1.7500000000000002E-6</v>
      </c>
      <c r="AV303" s="157">
        <f t="shared" si="144"/>
        <v>1.2</v>
      </c>
      <c r="AW303" s="156">
        <f t="shared" si="145"/>
        <v>9.9999999999999995E-8</v>
      </c>
      <c r="AY303" s="140">
        <f t="shared" si="146"/>
        <v>3.5000000000000004E-5</v>
      </c>
      <c r="AZ303">
        <v>3.5</v>
      </c>
      <c r="BA303" s="140">
        <f t="shared" si="147"/>
        <v>3.4999999999999993E-7</v>
      </c>
      <c r="BB303" s="140">
        <f t="shared" si="148"/>
        <v>6.9999999999999997E-7</v>
      </c>
      <c r="BC303" s="140">
        <f t="shared" si="149"/>
        <v>1.0500000000000001E-6</v>
      </c>
      <c r="BD303" s="140">
        <f t="shared" si="150"/>
        <v>1.4000000000000001E-6</v>
      </c>
      <c r="BE303" s="140">
        <f t="shared" si="151"/>
        <v>1.7500000000000002E-6</v>
      </c>
      <c r="BF303" s="157">
        <f>IF(AY303&lt;$B$89*DATA!$H$1037,DATA!$H$1037,IF(AY303&gt;DATA!$H$1036*$B$89,DATA!$H$1036,1))</f>
        <v>1.2</v>
      </c>
      <c r="BG303" s="156">
        <f t="shared" si="152"/>
        <v>9.9999999999999995E-8</v>
      </c>
      <c r="BI303" s="140">
        <f t="shared" si="153"/>
        <v>3.5000000000000004E-5</v>
      </c>
      <c r="BJ303">
        <v>3.5</v>
      </c>
      <c r="BK303" s="140">
        <f t="shared" si="154"/>
        <v>3.4999999999999993E-7</v>
      </c>
      <c r="BL303" s="140">
        <f t="shared" si="155"/>
        <v>6.9999999999999997E-7</v>
      </c>
      <c r="BM303" s="140">
        <f t="shared" si="156"/>
        <v>1.0500000000000001E-6</v>
      </c>
      <c r="BN303" s="140">
        <f t="shared" si="157"/>
        <v>1.4000000000000001E-6</v>
      </c>
      <c r="BO303" s="140">
        <f t="shared" si="158"/>
        <v>1.7500000000000002E-6</v>
      </c>
      <c r="BP303" s="157">
        <f>IF(BI303&lt;$B$105*DATA!$H$1037,DATA!$H$1037,IF(BI303&gt;DATA!$H$1036*$B$105,DATA!$H$1036,1))</f>
        <v>1.2</v>
      </c>
      <c r="BQ303" s="156">
        <f t="shared" si="159"/>
        <v>9.9999999999999995E-8</v>
      </c>
    </row>
    <row r="304" spans="1:69">
      <c r="A304" s="140">
        <f t="shared" si="112"/>
        <v>3.5200000000000002E-5</v>
      </c>
      <c r="B304">
        <v>3.52</v>
      </c>
      <c r="C304" s="140">
        <f t="shared" si="161"/>
        <v>3.5199999999999992E-7</v>
      </c>
      <c r="D304" s="140">
        <f t="shared" si="161"/>
        <v>7.0399999999999995E-7</v>
      </c>
      <c r="E304" s="140">
        <f t="shared" si="161"/>
        <v>1.0559999999999999E-6</v>
      </c>
      <c r="F304" s="140">
        <f t="shared" si="161"/>
        <v>1.4080000000000001E-6</v>
      </c>
      <c r="G304" s="140">
        <f t="shared" si="161"/>
        <v>1.7600000000000001E-6</v>
      </c>
      <c r="H304" s="124">
        <f t="shared" si="113"/>
        <v>0.8</v>
      </c>
      <c r="I304" s="156">
        <f t="shared" si="114"/>
        <v>9.9999999999999995E-8</v>
      </c>
      <c r="K304" s="140">
        <f t="shared" si="115"/>
        <v>3.5200000000000002E-5</v>
      </c>
      <c r="L304">
        <v>3.52</v>
      </c>
      <c r="M304" s="140">
        <f t="shared" si="116"/>
        <v>3.5199999999999992E-7</v>
      </c>
      <c r="N304" s="140">
        <f t="shared" si="117"/>
        <v>7.0399999999999995E-7</v>
      </c>
      <c r="O304" s="140">
        <f t="shared" si="118"/>
        <v>1.0559999999999999E-6</v>
      </c>
      <c r="P304" s="140">
        <f t="shared" si="111"/>
        <v>1.4080000000000001E-6</v>
      </c>
      <c r="Q304" s="140">
        <f t="shared" si="119"/>
        <v>1.7600000000000001E-6</v>
      </c>
      <c r="R304" s="157">
        <f t="shared" si="120"/>
        <v>0.8</v>
      </c>
      <c r="S304" s="156">
        <f t="shared" si="121"/>
        <v>9.9999999999999995E-8</v>
      </c>
      <c r="U304" s="140">
        <f t="shared" si="122"/>
        <v>3.5200000000000002E-5</v>
      </c>
      <c r="V304">
        <v>3.52</v>
      </c>
      <c r="W304" s="140">
        <f t="shared" si="123"/>
        <v>3.5199999999999992E-7</v>
      </c>
      <c r="X304" s="140">
        <f t="shared" si="124"/>
        <v>7.0399999999999995E-7</v>
      </c>
      <c r="Y304" s="140">
        <f t="shared" si="125"/>
        <v>1.0559999999999999E-6</v>
      </c>
      <c r="Z304" s="140">
        <f t="shared" si="126"/>
        <v>1.4080000000000001E-6</v>
      </c>
      <c r="AA304" s="140">
        <f t="shared" si="127"/>
        <v>1.7600000000000001E-6</v>
      </c>
      <c r="AB304" s="157">
        <f t="shared" si="128"/>
        <v>0.8</v>
      </c>
      <c r="AC304" s="156">
        <f t="shared" si="129"/>
        <v>9.9999999999999995E-8</v>
      </c>
      <c r="AE304" s="140">
        <f t="shared" si="130"/>
        <v>3.5200000000000002E-5</v>
      </c>
      <c r="AF304">
        <v>3.52</v>
      </c>
      <c r="AG304" s="140">
        <f t="shared" si="131"/>
        <v>3.5199999999999992E-7</v>
      </c>
      <c r="AH304" s="140">
        <f t="shared" si="132"/>
        <v>7.0399999999999995E-7</v>
      </c>
      <c r="AI304" s="140">
        <f t="shared" si="133"/>
        <v>1.0559999999999999E-6</v>
      </c>
      <c r="AJ304" s="140">
        <f t="shared" si="134"/>
        <v>1.4080000000000001E-6</v>
      </c>
      <c r="AK304" s="140">
        <f t="shared" si="135"/>
        <v>1.7600000000000001E-6</v>
      </c>
      <c r="AL304" s="157">
        <f t="shared" si="136"/>
        <v>1.2</v>
      </c>
      <c r="AM304" s="156">
        <f t="shared" si="137"/>
        <v>9.9999999999999995E-8</v>
      </c>
      <c r="AO304" s="140">
        <f t="shared" si="138"/>
        <v>3.5200000000000002E-5</v>
      </c>
      <c r="AP304">
        <v>3.52</v>
      </c>
      <c r="AQ304" s="140">
        <f t="shared" si="139"/>
        <v>3.5199999999999992E-7</v>
      </c>
      <c r="AR304" s="140">
        <f t="shared" si="140"/>
        <v>7.0399999999999995E-7</v>
      </c>
      <c r="AS304" s="140">
        <f t="shared" si="141"/>
        <v>1.0559999999999999E-6</v>
      </c>
      <c r="AT304" s="140">
        <f t="shared" si="142"/>
        <v>1.4080000000000001E-6</v>
      </c>
      <c r="AU304" s="140">
        <f t="shared" si="143"/>
        <v>1.7600000000000001E-6</v>
      </c>
      <c r="AV304" s="157">
        <f t="shared" si="144"/>
        <v>1.2</v>
      </c>
      <c r="AW304" s="156">
        <f t="shared" si="145"/>
        <v>9.9999999999999995E-8</v>
      </c>
      <c r="AY304" s="140">
        <f t="shared" si="146"/>
        <v>3.5200000000000002E-5</v>
      </c>
      <c r="AZ304">
        <v>3.52</v>
      </c>
      <c r="BA304" s="140">
        <f t="shared" si="147"/>
        <v>3.5199999999999992E-7</v>
      </c>
      <c r="BB304" s="140">
        <f t="shared" si="148"/>
        <v>7.0399999999999995E-7</v>
      </c>
      <c r="BC304" s="140">
        <f t="shared" si="149"/>
        <v>1.0559999999999999E-6</v>
      </c>
      <c r="BD304" s="140">
        <f t="shared" si="150"/>
        <v>1.4080000000000001E-6</v>
      </c>
      <c r="BE304" s="140">
        <f t="shared" si="151"/>
        <v>1.7600000000000001E-6</v>
      </c>
      <c r="BF304" s="157">
        <f>IF(AY304&lt;$B$89*DATA!$H$1037,DATA!$H$1037,IF(AY304&gt;DATA!$H$1036*$B$89,DATA!$H$1036,1))</f>
        <v>1.2</v>
      </c>
      <c r="BG304" s="156">
        <f t="shared" si="152"/>
        <v>9.9999999999999995E-8</v>
      </c>
      <c r="BI304" s="140">
        <f t="shared" si="153"/>
        <v>3.5200000000000002E-5</v>
      </c>
      <c r="BJ304">
        <v>3.52</v>
      </c>
      <c r="BK304" s="140">
        <f t="shared" si="154"/>
        <v>3.5199999999999992E-7</v>
      </c>
      <c r="BL304" s="140">
        <f t="shared" si="155"/>
        <v>7.0399999999999995E-7</v>
      </c>
      <c r="BM304" s="140">
        <f t="shared" si="156"/>
        <v>1.0559999999999999E-6</v>
      </c>
      <c r="BN304" s="140">
        <f t="shared" si="157"/>
        <v>1.4080000000000001E-6</v>
      </c>
      <c r="BO304" s="140">
        <f t="shared" si="158"/>
        <v>1.7600000000000001E-6</v>
      </c>
      <c r="BP304" s="157">
        <f>IF(BI304&lt;$B$105*DATA!$H$1037,DATA!$H$1037,IF(BI304&gt;DATA!$H$1036*$B$105,DATA!$H$1036,1))</f>
        <v>1.2</v>
      </c>
      <c r="BQ304" s="156">
        <f t="shared" si="159"/>
        <v>9.9999999999999995E-8</v>
      </c>
    </row>
    <row r="305" spans="1:69">
      <c r="A305" s="140">
        <f t="shared" si="112"/>
        <v>3.54E-5</v>
      </c>
      <c r="B305">
        <v>3.54</v>
      </c>
      <c r="C305" s="140">
        <f t="shared" si="161"/>
        <v>3.5399999999999986E-7</v>
      </c>
      <c r="D305" s="140">
        <f t="shared" si="161"/>
        <v>7.0799999999999993E-7</v>
      </c>
      <c r="E305" s="140">
        <f t="shared" si="161"/>
        <v>1.062E-6</v>
      </c>
      <c r="F305" s="140">
        <f t="shared" si="161"/>
        <v>1.4160000000000001E-6</v>
      </c>
      <c r="G305" s="140">
        <f t="shared" si="161"/>
        <v>1.77E-6</v>
      </c>
      <c r="H305" s="124">
        <f t="shared" si="113"/>
        <v>0.8</v>
      </c>
      <c r="I305" s="156">
        <f t="shared" si="114"/>
        <v>9.9999999999999995E-8</v>
      </c>
      <c r="K305" s="140">
        <f t="shared" si="115"/>
        <v>3.54E-5</v>
      </c>
      <c r="L305">
        <v>3.54</v>
      </c>
      <c r="M305" s="140">
        <f t="shared" si="116"/>
        <v>3.5399999999999986E-7</v>
      </c>
      <c r="N305" s="140">
        <f t="shared" si="117"/>
        <v>7.0799999999999993E-7</v>
      </c>
      <c r="O305" s="140">
        <f t="shared" si="118"/>
        <v>1.062E-6</v>
      </c>
      <c r="P305" s="140">
        <f t="shared" si="111"/>
        <v>1.4160000000000001E-6</v>
      </c>
      <c r="Q305" s="140">
        <f t="shared" si="119"/>
        <v>1.77E-6</v>
      </c>
      <c r="R305" s="157">
        <f t="shared" si="120"/>
        <v>0.8</v>
      </c>
      <c r="S305" s="156">
        <f t="shared" si="121"/>
        <v>9.9999999999999995E-8</v>
      </c>
      <c r="U305" s="140">
        <f t="shared" si="122"/>
        <v>3.54E-5</v>
      </c>
      <c r="V305">
        <v>3.54</v>
      </c>
      <c r="W305" s="140">
        <f t="shared" si="123"/>
        <v>3.5399999999999986E-7</v>
      </c>
      <c r="X305" s="140">
        <f t="shared" si="124"/>
        <v>7.0799999999999993E-7</v>
      </c>
      <c r="Y305" s="140">
        <f t="shared" si="125"/>
        <v>1.062E-6</v>
      </c>
      <c r="Z305" s="140">
        <f t="shared" si="126"/>
        <v>1.4160000000000001E-6</v>
      </c>
      <c r="AA305" s="140">
        <f t="shared" si="127"/>
        <v>1.77E-6</v>
      </c>
      <c r="AB305" s="157">
        <f t="shared" si="128"/>
        <v>0.8</v>
      </c>
      <c r="AC305" s="156">
        <f t="shared" si="129"/>
        <v>9.9999999999999995E-8</v>
      </c>
      <c r="AE305" s="140">
        <f t="shared" si="130"/>
        <v>3.54E-5</v>
      </c>
      <c r="AF305">
        <v>3.54</v>
      </c>
      <c r="AG305" s="140">
        <f t="shared" si="131"/>
        <v>3.5399999999999986E-7</v>
      </c>
      <c r="AH305" s="140">
        <f t="shared" si="132"/>
        <v>7.0799999999999993E-7</v>
      </c>
      <c r="AI305" s="140">
        <f t="shared" si="133"/>
        <v>1.062E-6</v>
      </c>
      <c r="AJ305" s="140">
        <f t="shared" si="134"/>
        <v>1.4160000000000001E-6</v>
      </c>
      <c r="AK305" s="140">
        <f t="shared" si="135"/>
        <v>1.77E-6</v>
      </c>
      <c r="AL305" s="157">
        <f t="shared" si="136"/>
        <v>1.2</v>
      </c>
      <c r="AM305" s="156">
        <f t="shared" si="137"/>
        <v>9.9999999999999995E-8</v>
      </c>
      <c r="AO305" s="140">
        <f t="shared" si="138"/>
        <v>3.54E-5</v>
      </c>
      <c r="AP305">
        <v>3.54</v>
      </c>
      <c r="AQ305" s="140">
        <f t="shared" si="139"/>
        <v>3.5399999999999986E-7</v>
      </c>
      <c r="AR305" s="140">
        <f t="shared" si="140"/>
        <v>7.0799999999999993E-7</v>
      </c>
      <c r="AS305" s="140">
        <f t="shared" si="141"/>
        <v>1.062E-6</v>
      </c>
      <c r="AT305" s="140">
        <f t="shared" si="142"/>
        <v>1.4160000000000001E-6</v>
      </c>
      <c r="AU305" s="140">
        <f t="shared" si="143"/>
        <v>1.77E-6</v>
      </c>
      <c r="AV305" s="157">
        <f t="shared" si="144"/>
        <v>1.2</v>
      </c>
      <c r="AW305" s="156">
        <f t="shared" si="145"/>
        <v>9.9999999999999995E-8</v>
      </c>
      <c r="AY305" s="140">
        <f t="shared" si="146"/>
        <v>3.54E-5</v>
      </c>
      <c r="AZ305">
        <v>3.54</v>
      </c>
      <c r="BA305" s="140">
        <f t="shared" si="147"/>
        <v>3.5399999999999986E-7</v>
      </c>
      <c r="BB305" s="140">
        <f t="shared" si="148"/>
        <v>7.0799999999999993E-7</v>
      </c>
      <c r="BC305" s="140">
        <f t="shared" si="149"/>
        <v>1.062E-6</v>
      </c>
      <c r="BD305" s="140">
        <f t="shared" si="150"/>
        <v>1.4160000000000001E-6</v>
      </c>
      <c r="BE305" s="140">
        <f t="shared" si="151"/>
        <v>1.77E-6</v>
      </c>
      <c r="BF305" s="157">
        <f>IF(AY305&lt;$B$89*DATA!$H$1037,DATA!$H$1037,IF(AY305&gt;DATA!$H$1036*$B$89,DATA!$H$1036,1))</f>
        <v>1.2</v>
      </c>
      <c r="BG305" s="156">
        <f t="shared" si="152"/>
        <v>9.9999999999999995E-8</v>
      </c>
      <c r="BI305" s="140">
        <f t="shared" si="153"/>
        <v>3.54E-5</v>
      </c>
      <c r="BJ305">
        <v>3.54</v>
      </c>
      <c r="BK305" s="140">
        <f t="shared" si="154"/>
        <v>3.5399999999999986E-7</v>
      </c>
      <c r="BL305" s="140">
        <f t="shared" si="155"/>
        <v>7.0799999999999993E-7</v>
      </c>
      <c r="BM305" s="140">
        <f t="shared" si="156"/>
        <v>1.062E-6</v>
      </c>
      <c r="BN305" s="140">
        <f t="shared" si="157"/>
        <v>1.4160000000000001E-6</v>
      </c>
      <c r="BO305" s="140">
        <f t="shared" si="158"/>
        <v>1.77E-6</v>
      </c>
      <c r="BP305" s="157">
        <f>IF(BI305&lt;$B$105*DATA!$H$1037,DATA!$H$1037,IF(BI305&gt;DATA!$H$1036*$B$105,DATA!$H$1036,1))</f>
        <v>1.2</v>
      </c>
      <c r="BQ305" s="156">
        <f t="shared" si="159"/>
        <v>9.9999999999999995E-8</v>
      </c>
    </row>
    <row r="306" spans="1:69">
      <c r="A306" s="140">
        <f t="shared" si="112"/>
        <v>3.5600000000000005E-5</v>
      </c>
      <c r="B306">
        <v>3.56</v>
      </c>
      <c r="C306" s="140">
        <f t="shared" si="161"/>
        <v>3.5599999999999991E-7</v>
      </c>
      <c r="D306" s="140">
        <f t="shared" si="161"/>
        <v>7.1200000000000002E-7</v>
      </c>
      <c r="E306" s="140">
        <f t="shared" si="161"/>
        <v>1.0680000000000002E-6</v>
      </c>
      <c r="F306" s="140">
        <f t="shared" si="161"/>
        <v>1.4240000000000003E-6</v>
      </c>
      <c r="G306" s="140">
        <f t="shared" si="161"/>
        <v>1.7800000000000003E-6</v>
      </c>
      <c r="H306" s="124">
        <f t="shared" si="113"/>
        <v>0.8</v>
      </c>
      <c r="I306" s="156">
        <f t="shared" si="114"/>
        <v>9.9999999999999995E-8</v>
      </c>
      <c r="K306" s="140">
        <f t="shared" si="115"/>
        <v>3.5600000000000005E-5</v>
      </c>
      <c r="L306">
        <v>3.56</v>
      </c>
      <c r="M306" s="140">
        <f t="shared" si="116"/>
        <v>3.5599999999999991E-7</v>
      </c>
      <c r="N306" s="140">
        <f t="shared" si="117"/>
        <v>7.1200000000000002E-7</v>
      </c>
      <c r="O306" s="140">
        <f t="shared" si="118"/>
        <v>1.0680000000000002E-6</v>
      </c>
      <c r="P306" s="140">
        <f t="shared" si="111"/>
        <v>1.4240000000000003E-6</v>
      </c>
      <c r="Q306" s="140">
        <f t="shared" si="119"/>
        <v>1.7800000000000003E-6</v>
      </c>
      <c r="R306" s="157">
        <f t="shared" si="120"/>
        <v>0.8</v>
      </c>
      <c r="S306" s="156">
        <f t="shared" si="121"/>
        <v>9.9999999999999995E-8</v>
      </c>
      <c r="U306" s="140">
        <f t="shared" si="122"/>
        <v>3.5600000000000005E-5</v>
      </c>
      <c r="V306">
        <v>3.56</v>
      </c>
      <c r="W306" s="140">
        <f t="shared" si="123"/>
        <v>3.5599999999999991E-7</v>
      </c>
      <c r="X306" s="140">
        <f t="shared" si="124"/>
        <v>7.1200000000000002E-7</v>
      </c>
      <c r="Y306" s="140">
        <f t="shared" si="125"/>
        <v>1.0680000000000002E-6</v>
      </c>
      <c r="Z306" s="140">
        <f t="shared" si="126"/>
        <v>1.4240000000000003E-6</v>
      </c>
      <c r="AA306" s="140">
        <f t="shared" si="127"/>
        <v>1.7800000000000003E-6</v>
      </c>
      <c r="AB306" s="157">
        <f t="shared" si="128"/>
        <v>0.8</v>
      </c>
      <c r="AC306" s="156">
        <f t="shared" si="129"/>
        <v>9.9999999999999995E-8</v>
      </c>
      <c r="AE306" s="140">
        <f t="shared" si="130"/>
        <v>3.5600000000000005E-5</v>
      </c>
      <c r="AF306">
        <v>3.56</v>
      </c>
      <c r="AG306" s="140">
        <f t="shared" si="131"/>
        <v>3.5599999999999991E-7</v>
      </c>
      <c r="AH306" s="140">
        <f t="shared" si="132"/>
        <v>7.1200000000000002E-7</v>
      </c>
      <c r="AI306" s="140">
        <f t="shared" si="133"/>
        <v>1.0680000000000002E-6</v>
      </c>
      <c r="AJ306" s="140">
        <f t="shared" si="134"/>
        <v>1.4240000000000003E-6</v>
      </c>
      <c r="AK306" s="140">
        <f t="shared" si="135"/>
        <v>1.7800000000000003E-6</v>
      </c>
      <c r="AL306" s="157">
        <f t="shared" si="136"/>
        <v>1.2</v>
      </c>
      <c r="AM306" s="156">
        <f t="shared" si="137"/>
        <v>9.9999999999999995E-8</v>
      </c>
      <c r="AO306" s="140">
        <f t="shared" si="138"/>
        <v>3.5600000000000005E-5</v>
      </c>
      <c r="AP306">
        <v>3.56</v>
      </c>
      <c r="AQ306" s="140">
        <f t="shared" si="139"/>
        <v>3.5599999999999991E-7</v>
      </c>
      <c r="AR306" s="140">
        <f t="shared" si="140"/>
        <v>7.1200000000000002E-7</v>
      </c>
      <c r="AS306" s="140">
        <f t="shared" si="141"/>
        <v>1.0680000000000002E-6</v>
      </c>
      <c r="AT306" s="140">
        <f t="shared" si="142"/>
        <v>1.4240000000000003E-6</v>
      </c>
      <c r="AU306" s="140">
        <f t="shared" si="143"/>
        <v>1.7800000000000003E-6</v>
      </c>
      <c r="AV306" s="157">
        <f t="shared" si="144"/>
        <v>1.2</v>
      </c>
      <c r="AW306" s="156">
        <f t="shared" si="145"/>
        <v>9.9999999999999995E-8</v>
      </c>
      <c r="AY306" s="140">
        <f t="shared" si="146"/>
        <v>3.5600000000000005E-5</v>
      </c>
      <c r="AZ306">
        <v>3.56</v>
      </c>
      <c r="BA306" s="140">
        <f t="shared" si="147"/>
        <v>3.5599999999999991E-7</v>
      </c>
      <c r="BB306" s="140">
        <f t="shared" si="148"/>
        <v>7.1200000000000002E-7</v>
      </c>
      <c r="BC306" s="140">
        <f t="shared" si="149"/>
        <v>1.0680000000000002E-6</v>
      </c>
      <c r="BD306" s="140">
        <f t="shared" si="150"/>
        <v>1.4240000000000003E-6</v>
      </c>
      <c r="BE306" s="140">
        <f t="shared" si="151"/>
        <v>1.7800000000000003E-6</v>
      </c>
      <c r="BF306" s="157">
        <f>IF(AY306&lt;$B$89*DATA!$H$1037,DATA!$H$1037,IF(AY306&gt;DATA!$H$1036*$B$89,DATA!$H$1036,1))</f>
        <v>1.2</v>
      </c>
      <c r="BG306" s="156">
        <f t="shared" si="152"/>
        <v>9.9999999999999995E-8</v>
      </c>
      <c r="BI306" s="140">
        <f t="shared" si="153"/>
        <v>3.5600000000000005E-5</v>
      </c>
      <c r="BJ306">
        <v>3.56</v>
      </c>
      <c r="BK306" s="140">
        <f t="shared" si="154"/>
        <v>3.5599999999999991E-7</v>
      </c>
      <c r="BL306" s="140">
        <f t="shared" si="155"/>
        <v>7.1200000000000002E-7</v>
      </c>
      <c r="BM306" s="140">
        <f t="shared" si="156"/>
        <v>1.0680000000000002E-6</v>
      </c>
      <c r="BN306" s="140">
        <f t="shared" si="157"/>
        <v>1.4240000000000003E-6</v>
      </c>
      <c r="BO306" s="140">
        <f t="shared" si="158"/>
        <v>1.7800000000000003E-6</v>
      </c>
      <c r="BP306" s="157">
        <f>IF(BI306&lt;$B$105*DATA!$H$1037,DATA!$H$1037,IF(BI306&gt;DATA!$H$1036*$B$105,DATA!$H$1036,1))</f>
        <v>1.2</v>
      </c>
      <c r="BQ306" s="156">
        <f t="shared" si="159"/>
        <v>9.9999999999999995E-8</v>
      </c>
    </row>
    <row r="307" spans="1:69">
      <c r="A307" s="140">
        <f t="shared" si="112"/>
        <v>3.5800000000000003E-5</v>
      </c>
      <c r="B307">
        <v>3.58</v>
      </c>
      <c r="C307" s="140">
        <f t="shared" si="161"/>
        <v>3.579999999999999E-7</v>
      </c>
      <c r="D307" s="140">
        <f t="shared" si="161"/>
        <v>7.159999999999999E-7</v>
      </c>
      <c r="E307" s="140">
        <f t="shared" si="161"/>
        <v>1.074E-6</v>
      </c>
      <c r="F307" s="140">
        <f t="shared" si="161"/>
        <v>1.4320000000000002E-6</v>
      </c>
      <c r="G307" s="140">
        <f t="shared" si="161"/>
        <v>1.7900000000000002E-6</v>
      </c>
      <c r="H307" s="124">
        <f t="shared" si="113"/>
        <v>0.8</v>
      </c>
      <c r="I307" s="156">
        <f t="shared" si="114"/>
        <v>9.9999999999999995E-8</v>
      </c>
      <c r="K307" s="140">
        <f t="shared" si="115"/>
        <v>3.5800000000000003E-5</v>
      </c>
      <c r="L307">
        <v>3.58</v>
      </c>
      <c r="M307" s="140">
        <f t="shared" si="116"/>
        <v>3.579999999999999E-7</v>
      </c>
      <c r="N307" s="140">
        <f t="shared" si="117"/>
        <v>7.159999999999999E-7</v>
      </c>
      <c r="O307" s="140">
        <f t="shared" si="118"/>
        <v>1.074E-6</v>
      </c>
      <c r="P307" s="140">
        <f t="shared" si="111"/>
        <v>1.4320000000000002E-6</v>
      </c>
      <c r="Q307" s="140">
        <f t="shared" si="119"/>
        <v>1.7900000000000002E-6</v>
      </c>
      <c r="R307" s="157">
        <f t="shared" si="120"/>
        <v>0.8</v>
      </c>
      <c r="S307" s="156">
        <f t="shared" si="121"/>
        <v>9.9999999999999995E-8</v>
      </c>
      <c r="U307" s="140">
        <f t="shared" si="122"/>
        <v>3.5800000000000003E-5</v>
      </c>
      <c r="V307">
        <v>3.58</v>
      </c>
      <c r="W307" s="140">
        <f t="shared" si="123"/>
        <v>3.579999999999999E-7</v>
      </c>
      <c r="X307" s="140">
        <f t="shared" si="124"/>
        <v>7.159999999999999E-7</v>
      </c>
      <c r="Y307" s="140">
        <f t="shared" si="125"/>
        <v>1.074E-6</v>
      </c>
      <c r="Z307" s="140">
        <f t="shared" si="126"/>
        <v>1.4320000000000002E-6</v>
      </c>
      <c r="AA307" s="140">
        <f t="shared" si="127"/>
        <v>1.7900000000000002E-6</v>
      </c>
      <c r="AB307" s="157">
        <f t="shared" si="128"/>
        <v>0.8</v>
      </c>
      <c r="AC307" s="156">
        <f t="shared" si="129"/>
        <v>9.9999999999999995E-8</v>
      </c>
      <c r="AE307" s="140">
        <f t="shared" si="130"/>
        <v>3.5800000000000003E-5</v>
      </c>
      <c r="AF307">
        <v>3.58</v>
      </c>
      <c r="AG307" s="140">
        <f t="shared" si="131"/>
        <v>3.579999999999999E-7</v>
      </c>
      <c r="AH307" s="140">
        <f t="shared" si="132"/>
        <v>7.159999999999999E-7</v>
      </c>
      <c r="AI307" s="140">
        <f t="shared" si="133"/>
        <v>1.074E-6</v>
      </c>
      <c r="AJ307" s="140">
        <f t="shared" si="134"/>
        <v>1.4320000000000002E-6</v>
      </c>
      <c r="AK307" s="140">
        <f t="shared" si="135"/>
        <v>1.7900000000000002E-6</v>
      </c>
      <c r="AL307" s="157">
        <f t="shared" si="136"/>
        <v>1.2</v>
      </c>
      <c r="AM307" s="156">
        <f t="shared" si="137"/>
        <v>9.9999999999999995E-8</v>
      </c>
      <c r="AO307" s="140">
        <f t="shared" si="138"/>
        <v>3.5800000000000003E-5</v>
      </c>
      <c r="AP307">
        <v>3.58</v>
      </c>
      <c r="AQ307" s="140">
        <f t="shared" si="139"/>
        <v>3.579999999999999E-7</v>
      </c>
      <c r="AR307" s="140">
        <f t="shared" si="140"/>
        <v>7.159999999999999E-7</v>
      </c>
      <c r="AS307" s="140">
        <f t="shared" si="141"/>
        <v>1.074E-6</v>
      </c>
      <c r="AT307" s="140">
        <f t="shared" si="142"/>
        <v>1.4320000000000002E-6</v>
      </c>
      <c r="AU307" s="140">
        <f t="shared" si="143"/>
        <v>1.7900000000000002E-6</v>
      </c>
      <c r="AV307" s="157">
        <f t="shared" si="144"/>
        <v>1.2</v>
      </c>
      <c r="AW307" s="156">
        <f t="shared" si="145"/>
        <v>9.9999999999999995E-8</v>
      </c>
      <c r="AY307" s="140">
        <f t="shared" si="146"/>
        <v>3.5800000000000003E-5</v>
      </c>
      <c r="AZ307">
        <v>3.58</v>
      </c>
      <c r="BA307" s="140">
        <f t="shared" si="147"/>
        <v>3.579999999999999E-7</v>
      </c>
      <c r="BB307" s="140">
        <f t="shared" si="148"/>
        <v>7.159999999999999E-7</v>
      </c>
      <c r="BC307" s="140">
        <f t="shared" si="149"/>
        <v>1.074E-6</v>
      </c>
      <c r="BD307" s="140">
        <f t="shared" si="150"/>
        <v>1.4320000000000002E-6</v>
      </c>
      <c r="BE307" s="140">
        <f t="shared" si="151"/>
        <v>1.7900000000000002E-6</v>
      </c>
      <c r="BF307" s="157">
        <f>IF(AY307&lt;$B$89*DATA!$H$1037,DATA!$H$1037,IF(AY307&gt;DATA!$H$1036*$B$89,DATA!$H$1036,1))</f>
        <v>1.2</v>
      </c>
      <c r="BG307" s="156">
        <f t="shared" si="152"/>
        <v>9.9999999999999995E-8</v>
      </c>
      <c r="BI307" s="140">
        <f t="shared" si="153"/>
        <v>3.5800000000000003E-5</v>
      </c>
      <c r="BJ307">
        <v>3.58</v>
      </c>
      <c r="BK307" s="140">
        <f t="shared" si="154"/>
        <v>3.579999999999999E-7</v>
      </c>
      <c r="BL307" s="140">
        <f t="shared" si="155"/>
        <v>7.159999999999999E-7</v>
      </c>
      <c r="BM307" s="140">
        <f t="shared" si="156"/>
        <v>1.074E-6</v>
      </c>
      <c r="BN307" s="140">
        <f t="shared" si="157"/>
        <v>1.4320000000000002E-6</v>
      </c>
      <c r="BO307" s="140">
        <f t="shared" si="158"/>
        <v>1.7900000000000002E-6</v>
      </c>
      <c r="BP307" s="157">
        <f>IF(BI307&lt;$B$105*DATA!$H$1037,DATA!$H$1037,IF(BI307&gt;DATA!$H$1036*$B$105,DATA!$H$1036,1))</f>
        <v>1.2</v>
      </c>
      <c r="BQ307" s="156">
        <f t="shared" si="159"/>
        <v>9.9999999999999995E-8</v>
      </c>
    </row>
    <row r="308" spans="1:69">
      <c r="A308" s="140">
        <f t="shared" si="112"/>
        <v>3.6000000000000001E-5</v>
      </c>
      <c r="B308">
        <v>3.6</v>
      </c>
      <c r="C308" s="140">
        <f t="shared" si="161"/>
        <v>3.5999999999999989E-7</v>
      </c>
      <c r="D308" s="140">
        <f t="shared" si="161"/>
        <v>7.1999999999999988E-7</v>
      </c>
      <c r="E308" s="140">
        <f t="shared" si="161"/>
        <v>1.08E-6</v>
      </c>
      <c r="F308" s="140">
        <f t="shared" si="161"/>
        <v>1.44E-6</v>
      </c>
      <c r="G308" s="140">
        <f t="shared" si="161"/>
        <v>1.8000000000000001E-6</v>
      </c>
      <c r="H308" s="124">
        <f t="shared" si="113"/>
        <v>0.8</v>
      </c>
      <c r="I308" s="156">
        <f t="shared" si="114"/>
        <v>9.9999999999999995E-8</v>
      </c>
      <c r="K308" s="140">
        <f t="shared" si="115"/>
        <v>3.6000000000000001E-5</v>
      </c>
      <c r="L308">
        <v>3.6</v>
      </c>
      <c r="M308" s="140">
        <f t="shared" si="116"/>
        <v>3.5999999999999989E-7</v>
      </c>
      <c r="N308" s="140">
        <f t="shared" si="117"/>
        <v>7.1999999999999988E-7</v>
      </c>
      <c r="O308" s="140">
        <f t="shared" si="118"/>
        <v>1.08E-6</v>
      </c>
      <c r="P308" s="140">
        <f t="shared" si="111"/>
        <v>1.44E-6</v>
      </c>
      <c r="Q308" s="140">
        <f t="shared" si="119"/>
        <v>1.8000000000000001E-6</v>
      </c>
      <c r="R308" s="157">
        <f t="shared" si="120"/>
        <v>0.8</v>
      </c>
      <c r="S308" s="156">
        <f t="shared" si="121"/>
        <v>9.9999999999999995E-8</v>
      </c>
      <c r="U308" s="140">
        <f t="shared" si="122"/>
        <v>3.6000000000000001E-5</v>
      </c>
      <c r="V308">
        <v>3.6</v>
      </c>
      <c r="W308" s="140">
        <f t="shared" si="123"/>
        <v>3.5999999999999989E-7</v>
      </c>
      <c r="X308" s="140">
        <f t="shared" si="124"/>
        <v>7.1999999999999988E-7</v>
      </c>
      <c r="Y308" s="140">
        <f t="shared" si="125"/>
        <v>1.08E-6</v>
      </c>
      <c r="Z308" s="140">
        <f t="shared" si="126"/>
        <v>1.44E-6</v>
      </c>
      <c r="AA308" s="140">
        <f t="shared" si="127"/>
        <v>1.8000000000000001E-6</v>
      </c>
      <c r="AB308" s="157">
        <f t="shared" si="128"/>
        <v>0.8</v>
      </c>
      <c r="AC308" s="156">
        <f t="shared" si="129"/>
        <v>9.9999999999999995E-8</v>
      </c>
      <c r="AE308" s="140">
        <f t="shared" si="130"/>
        <v>3.6000000000000001E-5</v>
      </c>
      <c r="AF308">
        <v>3.6</v>
      </c>
      <c r="AG308" s="140">
        <f t="shared" si="131"/>
        <v>3.5999999999999989E-7</v>
      </c>
      <c r="AH308" s="140">
        <f t="shared" si="132"/>
        <v>7.1999999999999988E-7</v>
      </c>
      <c r="AI308" s="140">
        <f t="shared" si="133"/>
        <v>1.08E-6</v>
      </c>
      <c r="AJ308" s="140">
        <f t="shared" si="134"/>
        <v>1.44E-6</v>
      </c>
      <c r="AK308" s="140">
        <f t="shared" si="135"/>
        <v>1.8000000000000001E-6</v>
      </c>
      <c r="AL308" s="157">
        <f t="shared" si="136"/>
        <v>1.2</v>
      </c>
      <c r="AM308" s="156">
        <f t="shared" si="137"/>
        <v>9.9999999999999995E-8</v>
      </c>
      <c r="AO308" s="140">
        <f t="shared" si="138"/>
        <v>3.6000000000000001E-5</v>
      </c>
      <c r="AP308">
        <v>3.6</v>
      </c>
      <c r="AQ308" s="140">
        <f t="shared" si="139"/>
        <v>3.5999999999999989E-7</v>
      </c>
      <c r="AR308" s="140">
        <f t="shared" si="140"/>
        <v>7.1999999999999988E-7</v>
      </c>
      <c r="AS308" s="140">
        <f t="shared" si="141"/>
        <v>1.08E-6</v>
      </c>
      <c r="AT308" s="140">
        <f t="shared" si="142"/>
        <v>1.44E-6</v>
      </c>
      <c r="AU308" s="140">
        <f t="shared" si="143"/>
        <v>1.8000000000000001E-6</v>
      </c>
      <c r="AV308" s="157">
        <f t="shared" si="144"/>
        <v>1.2</v>
      </c>
      <c r="AW308" s="156">
        <f t="shared" si="145"/>
        <v>9.9999999999999995E-8</v>
      </c>
      <c r="AY308" s="140">
        <f t="shared" si="146"/>
        <v>3.6000000000000001E-5</v>
      </c>
      <c r="AZ308">
        <v>3.6</v>
      </c>
      <c r="BA308" s="140">
        <f t="shared" si="147"/>
        <v>3.5999999999999989E-7</v>
      </c>
      <c r="BB308" s="140">
        <f t="shared" si="148"/>
        <v>7.1999999999999988E-7</v>
      </c>
      <c r="BC308" s="140">
        <f t="shared" si="149"/>
        <v>1.08E-6</v>
      </c>
      <c r="BD308" s="140">
        <f t="shared" si="150"/>
        <v>1.44E-6</v>
      </c>
      <c r="BE308" s="140">
        <f t="shared" si="151"/>
        <v>1.8000000000000001E-6</v>
      </c>
      <c r="BF308" s="157">
        <f>IF(AY308&lt;$B$89*DATA!$H$1037,DATA!$H$1037,IF(AY308&gt;DATA!$H$1036*$B$89,DATA!$H$1036,1))</f>
        <v>1.2</v>
      </c>
      <c r="BG308" s="156">
        <f t="shared" si="152"/>
        <v>9.9999999999999995E-8</v>
      </c>
      <c r="BI308" s="140">
        <f t="shared" si="153"/>
        <v>3.6000000000000001E-5</v>
      </c>
      <c r="BJ308">
        <v>3.6</v>
      </c>
      <c r="BK308" s="140">
        <f t="shared" si="154"/>
        <v>3.5999999999999989E-7</v>
      </c>
      <c r="BL308" s="140">
        <f t="shared" si="155"/>
        <v>7.1999999999999988E-7</v>
      </c>
      <c r="BM308" s="140">
        <f t="shared" si="156"/>
        <v>1.08E-6</v>
      </c>
      <c r="BN308" s="140">
        <f t="shared" si="157"/>
        <v>1.44E-6</v>
      </c>
      <c r="BO308" s="140">
        <f t="shared" si="158"/>
        <v>1.8000000000000001E-6</v>
      </c>
      <c r="BP308" s="157">
        <f>IF(BI308&lt;$B$105*DATA!$H$1037,DATA!$H$1037,IF(BI308&gt;DATA!$H$1036*$B$105,DATA!$H$1036,1))</f>
        <v>1.2</v>
      </c>
      <c r="BQ308" s="156">
        <f t="shared" si="159"/>
        <v>9.9999999999999995E-8</v>
      </c>
    </row>
    <row r="309" spans="1:69">
      <c r="A309" s="140">
        <f t="shared" si="112"/>
        <v>3.6200000000000006E-5</v>
      </c>
      <c r="B309">
        <v>3.62</v>
      </c>
      <c r="C309" s="140">
        <f t="shared" si="161"/>
        <v>3.6199999999999993E-7</v>
      </c>
      <c r="D309" s="140">
        <f t="shared" si="161"/>
        <v>7.2399999999999997E-7</v>
      </c>
      <c r="E309" s="140">
        <f t="shared" si="161"/>
        <v>1.0860000000000001E-6</v>
      </c>
      <c r="F309" s="140">
        <f t="shared" si="161"/>
        <v>1.4480000000000004E-6</v>
      </c>
      <c r="G309" s="140">
        <f t="shared" si="161"/>
        <v>1.8100000000000005E-6</v>
      </c>
      <c r="H309" s="124">
        <f t="shared" si="113"/>
        <v>0.8</v>
      </c>
      <c r="I309" s="156">
        <f t="shared" si="114"/>
        <v>9.9999999999999995E-8</v>
      </c>
      <c r="K309" s="140">
        <f t="shared" si="115"/>
        <v>3.6200000000000006E-5</v>
      </c>
      <c r="L309">
        <v>3.62</v>
      </c>
      <c r="M309" s="140">
        <f t="shared" si="116"/>
        <v>3.6199999999999993E-7</v>
      </c>
      <c r="N309" s="140">
        <f t="shared" si="117"/>
        <v>7.2399999999999997E-7</v>
      </c>
      <c r="O309" s="140">
        <f t="shared" si="118"/>
        <v>1.0860000000000001E-6</v>
      </c>
      <c r="P309" s="140">
        <f t="shared" si="111"/>
        <v>1.4480000000000004E-6</v>
      </c>
      <c r="Q309" s="140">
        <f t="shared" si="119"/>
        <v>1.8100000000000005E-6</v>
      </c>
      <c r="R309" s="157">
        <f t="shared" si="120"/>
        <v>0.8</v>
      </c>
      <c r="S309" s="156">
        <f t="shared" si="121"/>
        <v>9.9999999999999995E-8</v>
      </c>
      <c r="U309" s="140">
        <f t="shared" si="122"/>
        <v>3.6200000000000006E-5</v>
      </c>
      <c r="V309">
        <v>3.62</v>
      </c>
      <c r="W309" s="140">
        <f t="shared" si="123"/>
        <v>3.6199999999999993E-7</v>
      </c>
      <c r="X309" s="140">
        <f t="shared" si="124"/>
        <v>7.2399999999999997E-7</v>
      </c>
      <c r="Y309" s="140">
        <f t="shared" si="125"/>
        <v>1.0860000000000001E-6</v>
      </c>
      <c r="Z309" s="140">
        <f t="shared" si="126"/>
        <v>1.4480000000000004E-6</v>
      </c>
      <c r="AA309" s="140">
        <f t="shared" si="127"/>
        <v>1.8100000000000005E-6</v>
      </c>
      <c r="AB309" s="157">
        <f t="shared" si="128"/>
        <v>0.8</v>
      </c>
      <c r="AC309" s="156">
        <f t="shared" si="129"/>
        <v>9.9999999999999995E-8</v>
      </c>
      <c r="AE309" s="140">
        <f t="shared" si="130"/>
        <v>3.6200000000000006E-5</v>
      </c>
      <c r="AF309">
        <v>3.62</v>
      </c>
      <c r="AG309" s="140">
        <f t="shared" si="131"/>
        <v>3.6199999999999993E-7</v>
      </c>
      <c r="AH309" s="140">
        <f t="shared" si="132"/>
        <v>7.2399999999999997E-7</v>
      </c>
      <c r="AI309" s="140">
        <f t="shared" si="133"/>
        <v>1.0860000000000001E-6</v>
      </c>
      <c r="AJ309" s="140">
        <f t="shared" si="134"/>
        <v>1.4480000000000004E-6</v>
      </c>
      <c r="AK309" s="140">
        <f t="shared" si="135"/>
        <v>1.8100000000000005E-6</v>
      </c>
      <c r="AL309" s="157">
        <f t="shared" si="136"/>
        <v>1.2</v>
      </c>
      <c r="AM309" s="156">
        <f t="shared" si="137"/>
        <v>9.9999999999999995E-8</v>
      </c>
      <c r="AO309" s="140">
        <f t="shared" si="138"/>
        <v>3.6200000000000006E-5</v>
      </c>
      <c r="AP309">
        <v>3.62</v>
      </c>
      <c r="AQ309" s="140">
        <f t="shared" si="139"/>
        <v>3.6199999999999993E-7</v>
      </c>
      <c r="AR309" s="140">
        <f t="shared" si="140"/>
        <v>7.2399999999999997E-7</v>
      </c>
      <c r="AS309" s="140">
        <f t="shared" si="141"/>
        <v>1.0860000000000001E-6</v>
      </c>
      <c r="AT309" s="140">
        <f t="shared" si="142"/>
        <v>1.4480000000000004E-6</v>
      </c>
      <c r="AU309" s="140">
        <f t="shared" si="143"/>
        <v>1.8100000000000005E-6</v>
      </c>
      <c r="AV309" s="157">
        <f t="shared" si="144"/>
        <v>1.2</v>
      </c>
      <c r="AW309" s="156">
        <f t="shared" si="145"/>
        <v>9.9999999999999995E-8</v>
      </c>
      <c r="AY309" s="140">
        <f t="shared" si="146"/>
        <v>3.6200000000000006E-5</v>
      </c>
      <c r="AZ309">
        <v>3.62</v>
      </c>
      <c r="BA309" s="140">
        <f t="shared" si="147"/>
        <v>3.6199999999999993E-7</v>
      </c>
      <c r="BB309" s="140">
        <f t="shared" si="148"/>
        <v>7.2399999999999997E-7</v>
      </c>
      <c r="BC309" s="140">
        <f t="shared" si="149"/>
        <v>1.0860000000000001E-6</v>
      </c>
      <c r="BD309" s="140">
        <f t="shared" si="150"/>
        <v>1.4480000000000004E-6</v>
      </c>
      <c r="BE309" s="140">
        <f t="shared" si="151"/>
        <v>1.8100000000000005E-6</v>
      </c>
      <c r="BF309" s="157">
        <f>IF(AY309&lt;$B$89*DATA!$H$1037,DATA!$H$1037,IF(AY309&gt;DATA!$H$1036*$B$89,DATA!$H$1036,1))</f>
        <v>1.2</v>
      </c>
      <c r="BG309" s="156">
        <f t="shared" si="152"/>
        <v>9.9999999999999995E-8</v>
      </c>
      <c r="BI309" s="140">
        <f t="shared" si="153"/>
        <v>3.6200000000000006E-5</v>
      </c>
      <c r="BJ309">
        <v>3.62</v>
      </c>
      <c r="BK309" s="140">
        <f t="shared" si="154"/>
        <v>3.6199999999999993E-7</v>
      </c>
      <c r="BL309" s="140">
        <f t="shared" si="155"/>
        <v>7.2399999999999997E-7</v>
      </c>
      <c r="BM309" s="140">
        <f t="shared" si="156"/>
        <v>1.0860000000000001E-6</v>
      </c>
      <c r="BN309" s="140">
        <f t="shared" si="157"/>
        <v>1.4480000000000004E-6</v>
      </c>
      <c r="BO309" s="140">
        <f t="shared" si="158"/>
        <v>1.8100000000000005E-6</v>
      </c>
      <c r="BP309" s="157">
        <f>IF(BI309&lt;$B$105*DATA!$H$1037,DATA!$H$1037,IF(BI309&gt;DATA!$H$1036*$B$105,DATA!$H$1036,1))</f>
        <v>1.2</v>
      </c>
      <c r="BQ309" s="156">
        <f t="shared" si="159"/>
        <v>9.9999999999999995E-8</v>
      </c>
    </row>
    <row r="310" spans="1:69">
      <c r="A310" s="140">
        <f t="shared" si="112"/>
        <v>3.6400000000000004E-5</v>
      </c>
      <c r="B310">
        <v>3.64</v>
      </c>
      <c r="C310" s="140">
        <f t="shared" si="161"/>
        <v>3.6399999999999992E-7</v>
      </c>
      <c r="D310" s="140">
        <f t="shared" si="161"/>
        <v>7.2799999999999995E-7</v>
      </c>
      <c r="E310" s="140">
        <f t="shared" si="161"/>
        <v>1.0920000000000001E-6</v>
      </c>
      <c r="F310" s="140">
        <f t="shared" si="161"/>
        <v>1.4560000000000001E-6</v>
      </c>
      <c r="G310" s="140">
        <f t="shared" si="161"/>
        <v>1.8200000000000004E-6</v>
      </c>
      <c r="H310" s="124">
        <f t="shared" si="113"/>
        <v>0.8</v>
      </c>
      <c r="I310" s="156">
        <f t="shared" si="114"/>
        <v>9.9999999999999995E-8</v>
      </c>
      <c r="K310" s="140">
        <f t="shared" si="115"/>
        <v>3.6400000000000004E-5</v>
      </c>
      <c r="L310">
        <v>3.64</v>
      </c>
      <c r="M310" s="140">
        <f t="shared" si="116"/>
        <v>3.6399999999999992E-7</v>
      </c>
      <c r="N310" s="140">
        <f t="shared" si="117"/>
        <v>7.2799999999999995E-7</v>
      </c>
      <c r="O310" s="140">
        <f t="shared" si="118"/>
        <v>1.0920000000000001E-6</v>
      </c>
      <c r="P310" s="140">
        <f t="shared" si="111"/>
        <v>1.4560000000000001E-6</v>
      </c>
      <c r="Q310" s="140">
        <f t="shared" si="119"/>
        <v>1.8200000000000004E-6</v>
      </c>
      <c r="R310" s="157">
        <f t="shared" si="120"/>
        <v>0.8</v>
      </c>
      <c r="S310" s="156">
        <f t="shared" si="121"/>
        <v>9.9999999999999995E-8</v>
      </c>
      <c r="U310" s="140">
        <f t="shared" si="122"/>
        <v>3.6400000000000004E-5</v>
      </c>
      <c r="V310">
        <v>3.64</v>
      </c>
      <c r="W310" s="140">
        <f t="shared" si="123"/>
        <v>3.6399999999999992E-7</v>
      </c>
      <c r="X310" s="140">
        <f t="shared" si="124"/>
        <v>7.2799999999999995E-7</v>
      </c>
      <c r="Y310" s="140">
        <f t="shared" si="125"/>
        <v>1.0920000000000001E-6</v>
      </c>
      <c r="Z310" s="140">
        <f t="shared" si="126"/>
        <v>1.4560000000000001E-6</v>
      </c>
      <c r="AA310" s="140">
        <f t="shared" si="127"/>
        <v>1.8200000000000004E-6</v>
      </c>
      <c r="AB310" s="157">
        <f t="shared" si="128"/>
        <v>0.8</v>
      </c>
      <c r="AC310" s="156">
        <f t="shared" si="129"/>
        <v>9.9999999999999995E-8</v>
      </c>
      <c r="AE310" s="140">
        <f t="shared" si="130"/>
        <v>3.6400000000000004E-5</v>
      </c>
      <c r="AF310">
        <v>3.64</v>
      </c>
      <c r="AG310" s="140">
        <f t="shared" si="131"/>
        <v>3.6399999999999992E-7</v>
      </c>
      <c r="AH310" s="140">
        <f t="shared" si="132"/>
        <v>7.2799999999999995E-7</v>
      </c>
      <c r="AI310" s="140">
        <f t="shared" si="133"/>
        <v>1.0920000000000001E-6</v>
      </c>
      <c r="AJ310" s="140">
        <f t="shared" si="134"/>
        <v>1.4560000000000001E-6</v>
      </c>
      <c r="AK310" s="140">
        <f t="shared" si="135"/>
        <v>1.8200000000000004E-6</v>
      </c>
      <c r="AL310" s="157">
        <f t="shared" si="136"/>
        <v>1.2</v>
      </c>
      <c r="AM310" s="156">
        <f t="shared" si="137"/>
        <v>9.9999999999999995E-8</v>
      </c>
      <c r="AO310" s="140">
        <f t="shared" si="138"/>
        <v>3.6400000000000004E-5</v>
      </c>
      <c r="AP310">
        <v>3.64</v>
      </c>
      <c r="AQ310" s="140">
        <f t="shared" si="139"/>
        <v>3.6399999999999992E-7</v>
      </c>
      <c r="AR310" s="140">
        <f t="shared" si="140"/>
        <v>7.2799999999999995E-7</v>
      </c>
      <c r="AS310" s="140">
        <f t="shared" si="141"/>
        <v>1.0920000000000001E-6</v>
      </c>
      <c r="AT310" s="140">
        <f t="shared" si="142"/>
        <v>1.4560000000000001E-6</v>
      </c>
      <c r="AU310" s="140">
        <f t="shared" si="143"/>
        <v>1.8200000000000004E-6</v>
      </c>
      <c r="AV310" s="157">
        <f t="shared" si="144"/>
        <v>1.2</v>
      </c>
      <c r="AW310" s="156">
        <f t="shared" si="145"/>
        <v>9.9999999999999995E-8</v>
      </c>
      <c r="AY310" s="140">
        <f t="shared" si="146"/>
        <v>3.6400000000000004E-5</v>
      </c>
      <c r="AZ310">
        <v>3.64</v>
      </c>
      <c r="BA310" s="140">
        <f t="shared" si="147"/>
        <v>3.6399999999999992E-7</v>
      </c>
      <c r="BB310" s="140">
        <f t="shared" si="148"/>
        <v>7.2799999999999995E-7</v>
      </c>
      <c r="BC310" s="140">
        <f t="shared" si="149"/>
        <v>1.0920000000000001E-6</v>
      </c>
      <c r="BD310" s="140">
        <f t="shared" si="150"/>
        <v>1.4560000000000001E-6</v>
      </c>
      <c r="BE310" s="140">
        <f t="shared" si="151"/>
        <v>1.8200000000000004E-6</v>
      </c>
      <c r="BF310" s="157">
        <f>IF(AY310&lt;$B$89*DATA!$H$1037,DATA!$H$1037,IF(AY310&gt;DATA!$H$1036*$B$89,DATA!$H$1036,1))</f>
        <v>1.2</v>
      </c>
      <c r="BG310" s="156">
        <f t="shared" si="152"/>
        <v>9.9999999999999995E-8</v>
      </c>
      <c r="BI310" s="140">
        <f t="shared" si="153"/>
        <v>3.6400000000000004E-5</v>
      </c>
      <c r="BJ310">
        <v>3.64</v>
      </c>
      <c r="BK310" s="140">
        <f t="shared" si="154"/>
        <v>3.6399999999999992E-7</v>
      </c>
      <c r="BL310" s="140">
        <f t="shared" si="155"/>
        <v>7.2799999999999995E-7</v>
      </c>
      <c r="BM310" s="140">
        <f t="shared" si="156"/>
        <v>1.0920000000000001E-6</v>
      </c>
      <c r="BN310" s="140">
        <f t="shared" si="157"/>
        <v>1.4560000000000001E-6</v>
      </c>
      <c r="BO310" s="140">
        <f t="shared" si="158"/>
        <v>1.8200000000000004E-6</v>
      </c>
      <c r="BP310" s="157">
        <f>IF(BI310&lt;$B$105*DATA!$H$1037,DATA!$H$1037,IF(BI310&gt;DATA!$H$1036*$B$105,DATA!$H$1036,1))</f>
        <v>1.2</v>
      </c>
      <c r="BQ310" s="156">
        <f t="shared" si="159"/>
        <v>9.9999999999999995E-8</v>
      </c>
    </row>
    <row r="311" spans="1:69">
      <c r="A311" s="140">
        <f t="shared" si="112"/>
        <v>3.6600000000000002E-5</v>
      </c>
      <c r="B311">
        <v>3.66</v>
      </c>
      <c r="C311" s="140">
        <f t="shared" si="161"/>
        <v>3.6599999999999992E-7</v>
      </c>
      <c r="D311" s="140">
        <f t="shared" si="161"/>
        <v>7.3199999999999994E-7</v>
      </c>
      <c r="E311" s="140">
        <f t="shared" si="161"/>
        <v>1.0980000000000001E-6</v>
      </c>
      <c r="F311" s="140">
        <f t="shared" si="161"/>
        <v>1.4640000000000001E-6</v>
      </c>
      <c r="G311" s="140">
        <f t="shared" si="161"/>
        <v>1.8300000000000003E-6</v>
      </c>
      <c r="H311" s="124">
        <f t="shared" si="113"/>
        <v>0.8</v>
      </c>
      <c r="I311" s="156">
        <f t="shared" si="114"/>
        <v>9.9999999999999995E-8</v>
      </c>
      <c r="K311" s="140">
        <f t="shared" si="115"/>
        <v>3.6600000000000002E-5</v>
      </c>
      <c r="L311">
        <v>3.66</v>
      </c>
      <c r="M311" s="140">
        <f t="shared" si="116"/>
        <v>3.6599999999999992E-7</v>
      </c>
      <c r="N311" s="140">
        <f t="shared" si="117"/>
        <v>7.3199999999999994E-7</v>
      </c>
      <c r="O311" s="140">
        <f t="shared" si="118"/>
        <v>1.0980000000000001E-6</v>
      </c>
      <c r="P311" s="140">
        <f t="shared" si="111"/>
        <v>1.4640000000000001E-6</v>
      </c>
      <c r="Q311" s="140">
        <f t="shared" si="119"/>
        <v>1.8300000000000003E-6</v>
      </c>
      <c r="R311" s="157">
        <f t="shared" si="120"/>
        <v>0.8</v>
      </c>
      <c r="S311" s="156">
        <f t="shared" si="121"/>
        <v>9.9999999999999995E-8</v>
      </c>
      <c r="U311" s="140">
        <f t="shared" si="122"/>
        <v>3.6600000000000002E-5</v>
      </c>
      <c r="V311">
        <v>3.66</v>
      </c>
      <c r="W311" s="140">
        <f t="shared" si="123"/>
        <v>3.6599999999999992E-7</v>
      </c>
      <c r="X311" s="140">
        <f t="shared" si="124"/>
        <v>7.3199999999999994E-7</v>
      </c>
      <c r="Y311" s="140">
        <f t="shared" si="125"/>
        <v>1.0980000000000001E-6</v>
      </c>
      <c r="Z311" s="140">
        <f t="shared" si="126"/>
        <v>1.4640000000000001E-6</v>
      </c>
      <c r="AA311" s="140">
        <f t="shared" si="127"/>
        <v>1.8300000000000003E-6</v>
      </c>
      <c r="AB311" s="157">
        <f t="shared" si="128"/>
        <v>0.8</v>
      </c>
      <c r="AC311" s="156">
        <f t="shared" si="129"/>
        <v>9.9999999999999995E-8</v>
      </c>
      <c r="AE311" s="140">
        <f t="shared" si="130"/>
        <v>3.6600000000000002E-5</v>
      </c>
      <c r="AF311">
        <v>3.66</v>
      </c>
      <c r="AG311" s="140">
        <f t="shared" si="131"/>
        <v>3.6599999999999992E-7</v>
      </c>
      <c r="AH311" s="140">
        <f t="shared" si="132"/>
        <v>7.3199999999999994E-7</v>
      </c>
      <c r="AI311" s="140">
        <f t="shared" si="133"/>
        <v>1.0980000000000001E-6</v>
      </c>
      <c r="AJ311" s="140">
        <f t="shared" si="134"/>
        <v>1.4640000000000001E-6</v>
      </c>
      <c r="AK311" s="140">
        <f t="shared" si="135"/>
        <v>1.8300000000000003E-6</v>
      </c>
      <c r="AL311" s="157">
        <f t="shared" si="136"/>
        <v>1.2</v>
      </c>
      <c r="AM311" s="156">
        <f t="shared" si="137"/>
        <v>9.9999999999999995E-8</v>
      </c>
      <c r="AO311" s="140">
        <f t="shared" si="138"/>
        <v>3.6600000000000002E-5</v>
      </c>
      <c r="AP311">
        <v>3.66</v>
      </c>
      <c r="AQ311" s="140">
        <f t="shared" si="139"/>
        <v>3.6599999999999992E-7</v>
      </c>
      <c r="AR311" s="140">
        <f t="shared" si="140"/>
        <v>7.3199999999999994E-7</v>
      </c>
      <c r="AS311" s="140">
        <f t="shared" si="141"/>
        <v>1.0980000000000001E-6</v>
      </c>
      <c r="AT311" s="140">
        <f t="shared" si="142"/>
        <v>1.4640000000000001E-6</v>
      </c>
      <c r="AU311" s="140">
        <f t="shared" si="143"/>
        <v>1.8300000000000003E-6</v>
      </c>
      <c r="AV311" s="157">
        <f t="shared" si="144"/>
        <v>1.2</v>
      </c>
      <c r="AW311" s="156">
        <f t="shared" si="145"/>
        <v>9.9999999999999995E-8</v>
      </c>
      <c r="AY311" s="140">
        <f t="shared" si="146"/>
        <v>3.6600000000000002E-5</v>
      </c>
      <c r="AZ311">
        <v>3.66</v>
      </c>
      <c r="BA311" s="140">
        <f t="shared" si="147"/>
        <v>3.6599999999999992E-7</v>
      </c>
      <c r="BB311" s="140">
        <f t="shared" si="148"/>
        <v>7.3199999999999994E-7</v>
      </c>
      <c r="BC311" s="140">
        <f t="shared" si="149"/>
        <v>1.0980000000000001E-6</v>
      </c>
      <c r="BD311" s="140">
        <f t="shared" si="150"/>
        <v>1.4640000000000001E-6</v>
      </c>
      <c r="BE311" s="140">
        <f t="shared" si="151"/>
        <v>1.8300000000000003E-6</v>
      </c>
      <c r="BF311" s="157">
        <f>IF(AY311&lt;$B$89*DATA!$H$1037,DATA!$H$1037,IF(AY311&gt;DATA!$H$1036*$B$89,DATA!$H$1036,1))</f>
        <v>1.2</v>
      </c>
      <c r="BG311" s="156">
        <f t="shared" si="152"/>
        <v>9.9999999999999995E-8</v>
      </c>
      <c r="BI311" s="140">
        <f t="shared" si="153"/>
        <v>3.6600000000000002E-5</v>
      </c>
      <c r="BJ311">
        <v>3.66</v>
      </c>
      <c r="BK311" s="140">
        <f t="shared" si="154"/>
        <v>3.6599999999999992E-7</v>
      </c>
      <c r="BL311" s="140">
        <f t="shared" si="155"/>
        <v>7.3199999999999994E-7</v>
      </c>
      <c r="BM311" s="140">
        <f t="shared" si="156"/>
        <v>1.0980000000000001E-6</v>
      </c>
      <c r="BN311" s="140">
        <f t="shared" si="157"/>
        <v>1.4640000000000001E-6</v>
      </c>
      <c r="BO311" s="140">
        <f t="shared" si="158"/>
        <v>1.8300000000000003E-6</v>
      </c>
      <c r="BP311" s="157">
        <f>IF(BI311&lt;$B$105*DATA!$H$1037,DATA!$H$1037,IF(BI311&gt;DATA!$H$1036*$B$105,DATA!$H$1036,1))</f>
        <v>1.2</v>
      </c>
      <c r="BQ311" s="156">
        <f t="shared" si="159"/>
        <v>9.9999999999999995E-8</v>
      </c>
    </row>
    <row r="312" spans="1:69">
      <c r="A312" s="140">
        <f t="shared" si="112"/>
        <v>3.6800000000000007E-5</v>
      </c>
      <c r="B312">
        <v>3.68</v>
      </c>
      <c r="C312" s="140">
        <f t="shared" si="161"/>
        <v>3.6799999999999996E-7</v>
      </c>
      <c r="D312" s="140">
        <f t="shared" si="161"/>
        <v>7.3600000000000003E-7</v>
      </c>
      <c r="E312" s="140">
        <f t="shared" si="161"/>
        <v>1.1040000000000001E-6</v>
      </c>
      <c r="F312" s="140">
        <f t="shared" si="161"/>
        <v>1.4720000000000003E-6</v>
      </c>
      <c r="G312" s="140">
        <f t="shared" si="161"/>
        <v>1.8400000000000004E-6</v>
      </c>
      <c r="H312" s="124">
        <f t="shared" si="113"/>
        <v>0.8</v>
      </c>
      <c r="I312" s="156">
        <f t="shared" si="114"/>
        <v>9.9999999999999995E-8</v>
      </c>
      <c r="K312" s="140">
        <f t="shared" si="115"/>
        <v>3.6800000000000007E-5</v>
      </c>
      <c r="L312">
        <v>3.68</v>
      </c>
      <c r="M312" s="140">
        <f t="shared" si="116"/>
        <v>3.6799999999999996E-7</v>
      </c>
      <c r="N312" s="140">
        <f t="shared" si="117"/>
        <v>7.3600000000000003E-7</v>
      </c>
      <c r="O312" s="140">
        <f t="shared" si="118"/>
        <v>1.1040000000000001E-6</v>
      </c>
      <c r="P312" s="140">
        <f t="shared" si="111"/>
        <v>1.4720000000000003E-6</v>
      </c>
      <c r="Q312" s="140">
        <f t="shared" si="119"/>
        <v>1.8400000000000004E-6</v>
      </c>
      <c r="R312" s="157">
        <f t="shared" si="120"/>
        <v>0.8</v>
      </c>
      <c r="S312" s="156">
        <f t="shared" si="121"/>
        <v>9.9999999999999995E-8</v>
      </c>
      <c r="U312" s="140">
        <f t="shared" si="122"/>
        <v>3.6800000000000007E-5</v>
      </c>
      <c r="V312">
        <v>3.68</v>
      </c>
      <c r="W312" s="140">
        <f t="shared" si="123"/>
        <v>3.6799999999999996E-7</v>
      </c>
      <c r="X312" s="140">
        <f t="shared" si="124"/>
        <v>7.3600000000000003E-7</v>
      </c>
      <c r="Y312" s="140">
        <f t="shared" si="125"/>
        <v>1.1040000000000001E-6</v>
      </c>
      <c r="Z312" s="140">
        <f t="shared" si="126"/>
        <v>1.4720000000000003E-6</v>
      </c>
      <c r="AA312" s="140">
        <f t="shared" si="127"/>
        <v>1.8400000000000004E-6</v>
      </c>
      <c r="AB312" s="157">
        <f t="shared" si="128"/>
        <v>0.8</v>
      </c>
      <c r="AC312" s="156">
        <f t="shared" si="129"/>
        <v>9.9999999999999995E-8</v>
      </c>
      <c r="AE312" s="140">
        <f t="shared" si="130"/>
        <v>3.6800000000000007E-5</v>
      </c>
      <c r="AF312">
        <v>3.68</v>
      </c>
      <c r="AG312" s="140">
        <f t="shared" si="131"/>
        <v>3.6799999999999996E-7</v>
      </c>
      <c r="AH312" s="140">
        <f t="shared" si="132"/>
        <v>7.3600000000000003E-7</v>
      </c>
      <c r="AI312" s="140">
        <f t="shared" si="133"/>
        <v>1.1040000000000001E-6</v>
      </c>
      <c r="AJ312" s="140">
        <f t="shared" si="134"/>
        <v>1.4720000000000003E-6</v>
      </c>
      <c r="AK312" s="140">
        <f t="shared" si="135"/>
        <v>1.8400000000000004E-6</v>
      </c>
      <c r="AL312" s="157">
        <f t="shared" si="136"/>
        <v>1.2</v>
      </c>
      <c r="AM312" s="156">
        <f t="shared" si="137"/>
        <v>9.9999999999999995E-8</v>
      </c>
      <c r="AO312" s="140">
        <f t="shared" si="138"/>
        <v>3.6800000000000007E-5</v>
      </c>
      <c r="AP312">
        <v>3.68</v>
      </c>
      <c r="AQ312" s="140">
        <f t="shared" si="139"/>
        <v>3.6799999999999996E-7</v>
      </c>
      <c r="AR312" s="140">
        <f t="shared" si="140"/>
        <v>7.3600000000000003E-7</v>
      </c>
      <c r="AS312" s="140">
        <f t="shared" si="141"/>
        <v>1.1040000000000001E-6</v>
      </c>
      <c r="AT312" s="140">
        <f t="shared" si="142"/>
        <v>1.4720000000000003E-6</v>
      </c>
      <c r="AU312" s="140">
        <f t="shared" si="143"/>
        <v>1.8400000000000004E-6</v>
      </c>
      <c r="AV312" s="157">
        <f t="shared" si="144"/>
        <v>1.2</v>
      </c>
      <c r="AW312" s="156">
        <f t="shared" si="145"/>
        <v>9.9999999999999995E-8</v>
      </c>
      <c r="AY312" s="140">
        <f t="shared" si="146"/>
        <v>3.6800000000000007E-5</v>
      </c>
      <c r="AZ312">
        <v>3.68</v>
      </c>
      <c r="BA312" s="140">
        <f t="shared" si="147"/>
        <v>3.6799999999999996E-7</v>
      </c>
      <c r="BB312" s="140">
        <f t="shared" si="148"/>
        <v>7.3600000000000003E-7</v>
      </c>
      <c r="BC312" s="140">
        <f t="shared" si="149"/>
        <v>1.1040000000000001E-6</v>
      </c>
      <c r="BD312" s="140">
        <f t="shared" si="150"/>
        <v>1.4720000000000003E-6</v>
      </c>
      <c r="BE312" s="140">
        <f t="shared" si="151"/>
        <v>1.8400000000000004E-6</v>
      </c>
      <c r="BF312" s="157">
        <f>IF(AY312&lt;$B$89*DATA!$H$1037,DATA!$H$1037,IF(AY312&gt;DATA!$H$1036*$B$89,DATA!$H$1036,1))</f>
        <v>1.2</v>
      </c>
      <c r="BG312" s="156">
        <f t="shared" si="152"/>
        <v>9.9999999999999995E-8</v>
      </c>
      <c r="BI312" s="140">
        <f t="shared" si="153"/>
        <v>3.6800000000000007E-5</v>
      </c>
      <c r="BJ312">
        <v>3.68</v>
      </c>
      <c r="BK312" s="140">
        <f t="shared" si="154"/>
        <v>3.6799999999999996E-7</v>
      </c>
      <c r="BL312" s="140">
        <f t="shared" si="155"/>
        <v>7.3600000000000003E-7</v>
      </c>
      <c r="BM312" s="140">
        <f t="shared" si="156"/>
        <v>1.1040000000000001E-6</v>
      </c>
      <c r="BN312" s="140">
        <f t="shared" si="157"/>
        <v>1.4720000000000003E-6</v>
      </c>
      <c r="BO312" s="140">
        <f t="shared" si="158"/>
        <v>1.8400000000000004E-6</v>
      </c>
      <c r="BP312" s="157">
        <f>IF(BI312&lt;$B$105*DATA!$H$1037,DATA!$H$1037,IF(BI312&gt;DATA!$H$1036*$B$105,DATA!$H$1036,1))</f>
        <v>1.2</v>
      </c>
      <c r="BQ312" s="156">
        <f t="shared" si="159"/>
        <v>9.9999999999999995E-8</v>
      </c>
    </row>
    <row r="313" spans="1:69">
      <c r="A313" s="140">
        <f t="shared" si="112"/>
        <v>3.7000000000000005E-5</v>
      </c>
      <c r="B313">
        <v>3.7</v>
      </c>
      <c r="C313" s="140">
        <f t="shared" si="161"/>
        <v>3.6999999999999995E-7</v>
      </c>
      <c r="D313" s="140">
        <f t="shared" si="161"/>
        <v>7.4000000000000001E-7</v>
      </c>
      <c r="E313" s="140">
        <f t="shared" si="161"/>
        <v>1.1100000000000002E-6</v>
      </c>
      <c r="F313" s="140">
        <f t="shared" si="161"/>
        <v>1.4800000000000002E-6</v>
      </c>
      <c r="G313" s="140">
        <f t="shared" si="161"/>
        <v>1.8500000000000003E-6</v>
      </c>
      <c r="H313" s="124">
        <f t="shared" si="113"/>
        <v>0.8</v>
      </c>
      <c r="I313" s="156">
        <f t="shared" si="114"/>
        <v>9.9999999999999995E-8</v>
      </c>
      <c r="K313" s="140">
        <f t="shared" si="115"/>
        <v>3.7000000000000005E-5</v>
      </c>
      <c r="L313">
        <v>3.7</v>
      </c>
      <c r="M313" s="140">
        <f t="shared" si="116"/>
        <v>3.6999999999999995E-7</v>
      </c>
      <c r="N313" s="140">
        <f t="shared" si="117"/>
        <v>7.4000000000000001E-7</v>
      </c>
      <c r="O313" s="140">
        <f t="shared" si="118"/>
        <v>1.1100000000000002E-6</v>
      </c>
      <c r="P313" s="140">
        <f t="shared" si="111"/>
        <v>1.4800000000000002E-6</v>
      </c>
      <c r="Q313" s="140">
        <f t="shared" si="119"/>
        <v>1.8500000000000003E-6</v>
      </c>
      <c r="R313" s="157">
        <f t="shared" si="120"/>
        <v>0.8</v>
      </c>
      <c r="S313" s="156">
        <f t="shared" si="121"/>
        <v>9.9999999999999995E-8</v>
      </c>
      <c r="U313" s="140">
        <f t="shared" si="122"/>
        <v>3.7000000000000005E-5</v>
      </c>
      <c r="V313">
        <v>3.7</v>
      </c>
      <c r="W313" s="140">
        <f t="shared" si="123"/>
        <v>3.6999999999999995E-7</v>
      </c>
      <c r="X313" s="140">
        <f t="shared" si="124"/>
        <v>7.4000000000000001E-7</v>
      </c>
      <c r="Y313" s="140">
        <f t="shared" si="125"/>
        <v>1.1100000000000002E-6</v>
      </c>
      <c r="Z313" s="140">
        <f t="shared" si="126"/>
        <v>1.4800000000000002E-6</v>
      </c>
      <c r="AA313" s="140">
        <f t="shared" si="127"/>
        <v>1.8500000000000003E-6</v>
      </c>
      <c r="AB313" s="157">
        <f t="shared" si="128"/>
        <v>0.8</v>
      </c>
      <c r="AC313" s="156">
        <f t="shared" si="129"/>
        <v>9.9999999999999995E-8</v>
      </c>
      <c r="AE313" s="140">
        <f t="shared" si="130"/>
        <v>3.7000000000000005E-5</v>
      </c>
      <c r="AF313">
        <v>3.7</v>
      </c>
      <c r="AG313" s="140">
        <f t="shared" si="131"/>
        <v>3.6999999999999995E-7</v>
      </c>
      <c r="AH313" s="140">
        <f t="shared" si="132"/>
        <v>7.4000000000000001E-7</v>
      </c>
      <c r="AI313" s="140">
        <f t="shared" si="133"/>
        <v>1.1100000000000002E-6</v>
      </c>
      <c r="AJ313" s="140">
        <f t="shared" si="134"/>
        <v>1.4800000000000002E-6</v>
      </c>
      <c r="AK313" s="140">
        <f t="shared" si="135"/>
        <v>1.8500000000000003E-6</v>
      </c>
      <c r="AL313" s="157">
        <f t="shared" si="136"/>
        <v>1.2</v>
      </c>
      <c r="AM313" s="156">
        <f t="shared" si="137"/>
        <v>9.9999999999999995E-8</v>
      </c>
      <c r="AO313" s="140">
        <f t="shared" si="138"/>
        <v>3.7000000000000005E-5</v>
      </c>
      <c r="AP313">
        <v>3.7</v>
      </c>
      <c r="AQ313" s="140">
        <f t="shared" si="139"/>
        <v>3.6999999999999995E-7</v>
      </c>
      <c r="AR313" s="140">
        <f t="shared" si="140"/>
        <v>7.4000000000000001E-7</v>
      </c>
      <c r="AS313" s="140">
        <f t="shared" si="141"/>
        <v>1.1100000000000002E-6</v>
      </c>
      <c r="AT313" s="140">
        <f t="shared" si="142"/>
        <v>1.4800000000000002E-6</v>
      </c>
      <c r="AU313" s="140">
        <f t="shared" si="143"/>
        <v>1.8500000000000003E-6</v>
      </c>
      <c r="AV313" s="157">
        <f t="shared" si="144"/>
        <v>1.2</v>
      </c>
      <c r="AW313" s="156">
        <f t="shared" si="145"/>
        <v>9.9999999999999995E-8</v>
      </c>
      <c r="AY313" s="140">
        <f t="shared" si="146"/>
        <v>3.7000000000000005E-5</v>
      </c>
      <c r="AZ313">
        <v>3.7</v>
      </c>
      <c r="BA313" s="140">
        <f t="shared" si="147"/>
        <v>3.6999999999999995E-7</v>
      </c>
      <c r="BB313" s="140">
        <f t="shared" si="148"/>
        <v>7.4000000000000001E-7</v>
      </c>
      <c r="BC313" s="140">
        <f t="shared" si="149"/>
        <v>1.1100000000000002E-6</v>
      </c>
      <c r="BD313" s="140">
        <f t="shared" si="150"/>
        <v>1.4800000000000002E-6</v>
      </c>
      <c r="BE313" s="140">
        <f t="shared" si="151"/>
        <v>1.8500000000000003E-6</v>
      </c>
      <c r="BF313" s="157">
        <f>IF(AY313&lt;$B$89*DATA!$H$1037,DATA!$H$1037,IF(AY313&gt;DATA!$H$1036*$B$89,DATA!$H$1036,1))</f>
        <v>1.2</v>
      </c>
      <c r="BG313" s="156">
        <f t="shared" si="152"/>
        <v>9.9999999999999995E-8</v>
      </c>
      <c r="BI313" s="140">
        <f t="shared" si="153"/>
        <v>3.7000000000000005E-5</v>
      </c>
      <c r="BJ313">
        <v>3.7</v>
      </c>
      <c r="BK313" s="140">
        <f t="shared" si="154"/>
        <v>3.6999999999999995E-7</v>
      </c>
      <c r="BL313" s="140">
        <f t="shared" si="155"/>
        <v>7.4000000000000001E-7</v>
      </c>
      <c r="BM313" s="140">
        <f t="shared" si="156"/>
        <v>1.1100000000000002E-6</v>
      </c>
      <c r="BN313" s="140">
        <f t="shared" si="157"/>
        <v>1.4800000000000002E-6</v>
      </c>
      <c r="BO313" s="140">
        <f t="shared" si="158"/>
        <v>1.8500000000000003E-6</v>
      </c>
      <c r="BP313" s="157">
        <f>IF(BI313&lt;$B$105*DATA!$H$1037,DATA!$H$1037,IF(BI313&gt;DATA!$H$1036*$B$105,DATA!$H$1036,1))</f>
        <v>1.2</v>
      </c>
      <c r="BQ313" s="156">
        <f t="shared" si="159"/>
        <v>9.9999999999999995E-8</v>
      </c>
    </row>
    <row r="314" spans="1:69">
      <c r="A314" s="140">
        <f t="shared" si="112"/>
        <v>3.7200000000000003E-5</v>
      </c>
      <c r="B314">
        <v>3.72</v>
      </c>
      <c r="C314" s="140">
        <f t="shared" si="161"/>
        <v>3.7199999999999989E-7</v>
      </c>
      <c r="D314" s="140">
        <f t="shared" si="161"/>
        <v>7.4399999999999999E-7</v>
      </c>
      <c r="E314" s="140">
        <f t="shared" si="161"/>
        <v>1.116E-6</v>
      </c>
      <c r="F314" s="140">
        <f t="shared" si="161"/>
        <v>1.4880000000000002E-6</v>
      </c>
      <c r="G314" s="140">
        <f t="shared" si="161"/>
        <v>1.8600000000000002E-6</v>
      </c>
      <c r="H314" s="124">
        <f t="shared" si="113"/>
        <v>0.8</v>
      </c>
      <c r="I314" s="156">
        <f t="shared" si="114"/>
        <v>9.9999999999999995E-8</v>
      </c>
      <c r="K314" s="140">
        <f t="shared" si="115"/>
        <v>3.7200000000000003E-5</v>
      </c>
      <c r="L314">
        <v>3.72</v>
      </c>
      <c r="M314" s="140">
        <f t="shared" si="116"/>
        <v>3.7199999999999989E-7</v>
      </c>
      <c r="N314" s="140">
        <f t="shared" si="117"/>
        <v>7.4399999999999999E-7</v>
      </c>
      <c r="O314" s="140">
        <f t="shared" si="118"/>
        <v>1.116E-6</v>
      </c>
      <c r="P314" s="140">
        <f t="shared" si="111"/>
        <v>1.4880000000000002E-6</v>
      </c>
      <c r="Q314" s="140">
        <f t="shared" si="119"/>
        <v>1.8600000000000002E-6</v>
      </c>
      <c r="R314" s="157">
        <f t="shared" si="120"/>
        <v>0.8</v>
      </c>
      <c r="S314" s="156">
        <f t="shared" si="121"/>
        <v>9.9999999999999995E-8</v>
      </c>
      <c r="U314" s="140">
        <f t="shared" si="122"/>
        <v>3.7200000000000003E-5</v>
      </c>
      <c r="V314">
        <v>3.72</v>
      </c>
      <c r="W314" s="140">
        <f t="shared" si="123"/>
        <v>3.7199999999999989E-7</v>
      </c>
      <c r="X314" s="140">
        <f t="shared" si="124"/>
        <v>7.4399999999999999E-7</v>
      </c>
      <c r="Y314" s="140">
        <f t="shared" si="125"/>
        <v>1.116E-6</v>
      </c>
      <c r="Z314" s="140">
        <f t="shared" si="126"/>
        <v>1.4880000000000002E-6</v>
      </c>
      <c r="AA314" s="140">
        <f t="shared" si="127"/>
        <v>1.8600000000000002E-6</v>
      </c>
      <c r="AB314" s="157">
        <f t="shared" si="128"/>
        <v>0.8</v>
      </c>
      <c r="AC314" s="156">
        <f t="shared" si="129"/>
        <v>9.9999999999999995E-8</v>
      </c>
      <c r="AE314" s="140">
        <f t="shared" si="130"/>
        <v>3.7200000000000003E-5</v>
      </c>
      <c r="AF314">
        <v>3.72</v>
      </c>
      <c r="AG314" s="140">
        <f t="shared" si="131"/>
        <v>3.7199999999999989E-7</v>
      </c>
      <c r="AH314" s="140">
        <f t="shared" si="132"/>
        <v>7.4399999999999999E-7</v>
      </c>
      <c r="AI314" s="140">
        <f t="shared" si="133"/>
        <v>1.116E-6</v>
      </c>
      <c r="AJ314" s="140">
        <f t="shared" si="134"/>
        <v>1.4880000000000002E-6</v>
      </c>
      <c r="AK314" s="140">
        <f t="shared" si="135"/>
        <v>1.8600000000000002E-6</v>
      </c>
      <c r="AL314" s="157">
        <f t="shared" si="136"/>
        <v>1.2</v>
      </c>
      <c r="AM314" s="156">
        <f t="shared" si="137"/>
        <v>9.9999999999999995E-8</v>
      </c>
      <c r="AO314" s="140">
        <f t="shared" si="138"/>
        <v>3.7200000000000003E-5</v>
      </c>
      <c r="AP314">
        <v>3.72</v>
      </c>
      <c r="AQ314" s="140">
        <f t="shared" si="139"/>
        <v>3.7199999999999989E-7</v>
      </c>
      <c r="AR314" s="140">
        <f t="shared" si="140"/>
        <v>7.4399999999999999E-7</v>
      </c>
      <c r="AS314" s="140">
        <f t="shared" si="141"/>
        <v>1.116E-6</v>
      </c>
      <c r="AT314" s="140">
        <f t="shared" si="142"/>
        <v>1.4880000000000002E-6</v>
      </c>
      <c r="AU314" s="140">
        <f t="shared" si="143"/>
        <v>1.8600000000000002E-6</v>
      </c>
      <c r="AV314" s="157">
        <f t="shared" si="144"/>
        <v>1.2</v>
      </c>
      <c r="AW314" s="156">
        <f t="shared" si="145"/>
        <v>9.9999999999999995E-8</v>
      </c>
      <c r="AY314" s="140">
        <f t="shared" si="146"/>
        <v>3.7200000000000003E-5</v>
      </c>
      <c r="AZ314">
        <v>3.72</v>
      </c>
      <c r="BA314" s="140">
        <f t="shared" si="147"/>
        <v>3.7199999999999989E-7</v>
      </c>
      <c r="BB314" s="140">
        <f t="shared" si="148"/>
        <v>7.4399999999999999E-7</v>
      </c>
      <c r="BC314" s="140">
        <f t="shared" si="149"/>
        <v>1.116E-6</v>
      </c>
      <c r="BD314" s="140">
        <f t="shared" si="150"/>
        <v>1.4880000000000002E-6</v>
      </c>
      <c r="BE314" s="140">
        <f t="shared" si="151"/>
        <v>1.8600000000000002E-6</v>
      </c>
      <c r="BF314" s="157">
        <f>IF(AY314&lt;$B$89*DATA!$H$1037,DATA!$H$1037,IF(AY314&gt;DATA!$H$1036*$B$89,DATA!$H$1036,1))</f>
        <v>1.2</v>
      </c>
      <c r="BG314" s="156">
        <f t="shared" si="152"/>
        <v>9.9999999999999995E-8</v>
      </c>
      <c r="BI314" s="140">
        <f t="shared" si="153"/>
        <v>3.7200000000000003E-5</v>
      </c>
      <c r="BJ314">
        <v>3.72</v>
      </c>
      <c r="BK314" s="140">
        <f t="shared" si="154"/>
        <v>3.7199999999999989E-7</v>
      </c>
      <c r="BL314" s="140">
        <f t="shared" si="155"/>
        <v>7.4399999999999999E-7</v>
      </c>
      <c r="BM314" s="140">
        <f t="shared" si="156"/>
        <v>1.116E-6</v>
      </c>
      <c r="BN314" s="140">
        <f t="shared" si="157"/>
        <v>1.4880000000000002E-6</v>
      </c>
      <c r="BO314" s="140">
        <f t="shared" si="158"/>
        <v>1.8600000000000002E-6</v>
      </c>
      <c r="BP314" s="157">
        <f>IF(BI314&lt;$B$105*DATA!$H$1037,DATA!$H$1037,IF(BI314&gt;DATA!$H$1036*$B$105,DATA!$H$1036,1))</f>
        <v>1.2</v>
      </c>
      <c r="BQ314" s="156">
        <f t="shared" si="159"/>
        <v>9.9999999999999995E-8</v>
      </c>
    </row>
    <row r="315" spans="1:69">
      <c r="A315" s="140">
        <f t="shared" si="112"/>
        <v>3.7400000000000008E-5</v>
      </c>
      <c r="B315">
        <v>3.74</v>
      </c>
      <c r="C315" s="140">
        <f t="shared" si="161"/>
        <v>3.7399999999999993E-7</v>
      </c>
      <c r="D315" s="140">
        <f t="shared" si="161"/>
        <v>7.4800000000000008E-7</v>
      </c>
      <c r="E315" s="140">
        <f t="shared" si="161"/>
        <v>1.1220000000000002E-6</v>
      </c>
      <c r="F315" s="140">
        <f t="shared" si="161"/>
        <v>1.4960000000000004E-6</v>
      </c>
      <c r="G315" s="140">
        <f t="shared" si="161"/>
        <v>1.8700000000000005E-6</v>
      </c>
      <c r="H315" s="124">
        <f t="shared" si="113"/>
        <v>0.8</v>
      </c>
      <c r="I315" s="156">
        <f t="shared" si="114"/>
        <v>9.9999999999999995E-8</v>
      </c>
      <c r="K315" s="140">
        <f t="shared" si="115"/>
        <v>3.7400000000000008E-5</v>
      </c>
      <c r="L315">
        <v>3.74</v>
      </c>
      <c r="M315" s="140">
        <f t="shared" si="116"/>
        <v>3.7399999999999993E-7</v>
      </c>
      <c r="N315" s="140">
        <f t="shared" si="117"/>
        <v>7.4800000000000008E-7</v>
      </c>
      <c r="O315" s="140">
        <f t="shared" si="118"/>
        <v>1.1220000000000002E-6</v>
      </c>
      <c r="P315" s="140">
        <f t="shared" si="111"/>
        <v>1.4960000000000004E-6</v>
      </c>
      <c r="Q315" s="140">
        <f t="shared" si="119"/>
        <v>1.8700000000000005E-6</v>
      </c>
      <c r="R315" s="157">
        <f t="shared" si="120"/>
        <v>0.8</v>
      </c>
      <c r="S315" s="156">
        <f t="shared" si="121"/>
        <v>9.9999999999999995E-8</v>
      </c>
      <c r="U315" s="140">
        <f t="shared" si="122"/>
        <v>3.7400000000000008E-5</v>
      </c>
      <c r="V315">
        <v>3.74</v>
      </c>
      <c r="W315" s="140">
        <f t="shared" si="123"/>
        <v>3.7399999999999993E-7</v>
      </c>
      <c r="X315" s="140">
        <f t="shared" si="124"/>
        <v>7.4800000000000008E-7</v>
      </c>
      <c r="Y315" s="140">
        <f t="shared" si="125"/>
        <v>1.1220000000000002E-6</v>
      </c>
      <c r="Z315" s="140">
        <f t="shared" si="126"/>
        <v>1.4960000000000004E-6</v>
      </c>
      <c r="AA315" s="140">
        <f t="shared" si="127"/>
        <v>1.8700000000000005E-6</v>
      </c>
      <c r="AB315" s="157">
        <f t="shared" si="128"/>
        <v>0.8</v>
      </c>
      <c r="AC315" s="156">
        <f t="shared" si="129"/>
        <v>9.9999999999999995E-8</v>
      </c>
      <c r="AE315" s="140">
        <f t="shared" si="130"/>
        <v>3.7400000000000008E-5</v>
      </c>
      <c r="AF315">
        <v>3.74</v>
      </c>
      <c r="AG315" s="140">
        <f t="shared" si="131"/>
        <v>3.7399999999999993E-7</v>
      </c>
      <c r="AH315" s="140">
        <f t="shared" si="132"/>
        <v>7.4800000000000008E-7</v>
      </c>
      <c r="AI315" s="140">
        <f t="shared" si="133"/>
        <v>1.1220000000000002E-6</v>
      </c>
      <c r="AJ315" s="140">
        <f t="shared" si="134"/>
        <v>1.4960000000000004E-6</v>
      </c>
      <c r="AK315" s="140">
        <f t="shared" si="135"/>
        <v>1.8700000000000005E-6</v>
      </c>
      <c r="AL315" s="157">
        <f t="shared" si="136"/>
        <v>1.2</v>
      </c>
      <c r="AM315" s="156">
        <f t="shared" si="137"/>
        <v>9.9999999999999995E-8</v>
      </c>
      <c r="AO315" s="140">
        <f t="shared" si="138"/>
        <v>3.7400000000000008E-5</v>
      </c>
      <c r="AP315">
        <v>3.74</v>
      </c>
      <c r="AQ315" s="140">
        <f t="shared" si="139"/>
        <v>3.7399999999999993E-7</v>
      </c>
      <c r="AR315" s="140">
        <f t="shared" si="140"/>
        <v>7.4800000000000008E-7</v>
      </c>
      <c r="AS315" s="140">
        <f t="shared" si="141"/>
        <v>1.1220000000000002E-6</v>
      </c>
      <c r="AT315" s="140">
        <f t="shared" si="142"/>
        <v>1.4960000000000004E-6</v>
      </c>
      <c r="AU315" s="140">
        <f t="shared" si="143"/>
        <v>1.8700000000000005E-6</v>
      </c>
      <c r="AV315" s="157">
        <f t="shared" si="144"/>
        <v>1.2</v>
      </c>
      <c r="AW315" s="156">
        <f t="shared" si="145"/>
        <v>9.9999999999999995E-8</v>
      </c>
      <c r="AY315" s="140">
        <f t="shared" si="146"/>
        <v>3.7400000000000008E-5</v>
      </c>
      <c r="AZ315">
        <v>3.74</v>
      </c>
      <c r="BA315" s="140">
        <f t="shared" si="147"/>
        <v>3.7399999999999993E-7</v>
      </c>
      <c r="BB315" s="140">
        <f t="shared" si="148"/>
        <v>7.4800000000000008E-7</v>
      </c>
      <c r="BC315" s="140">
        <f t="shared" si="149"/>
        <v>1.1220000000000002E-6</v>
      </c>
      <c r="BD315" s="140">
        <f t="shared" si="150"/>
        <v>1.4960000000000004E-6</v>
      </c>
      <c r="BE315" s="140">
        <f t="shared" si="151"/>
        <v>1.8700000000000005E-6</v>
      </c>
      <c r="BF315" s="157">
        <f>IF(AY315&lt;$B$89*DATA!$H$1037,DATA!$H$1037,IF(AY315&gt;DATA!$H$1036*$B$89,DATA!$H$1036,1))</f>
        <v>1.2</v>
      </c>
      <c r="BG315" s="156">
        <f t="shared" si="152"/>
        <v>9.9999999999999995E-8</v>
      </c>
      <c r="BI315" s="140">
        <f t="shared" si="153"/>
        <v>3.7400000000000008E-5</v>
      </c>
      <c r="BJ315">
        <v>3.74</v>
      </c>
      <c r="BK315" s="140">
        <f t="shared" si="154"/>
        <v>3.7399999999999993E-7</v>
      </c>
      <c r="BL315" s="140">
        <f t="shared" si="155"/>
        <v>7.4800000000000008E-7</v>
      </c>
      <c r="BM315" s="140">
        <f t="shared" si="156"/>
        <v>1.1220000000000002E-6</v>
      </c>
      <c r="BN315" s="140">
        <f t="shared" si="157"/>
        <v>1.4960000000000004E-6</v>
      </c>
      <c r="BO315" s="140">
        <f t="shared" si="158"/>
        <v>1.8700000000000005E-6</v>
      </c>
      <c r="BP315" s="157">
        <f>IF(BI315&lt;$B$105*DATA!$H$1037,DATA!$H$1037,IF(BI315&gt;DATA!$H$1036*$B$105,DATA!$H$1036,1))</f>
        <v>1.2</v>
      </c>
      <c r="BQ315" s="156">
        <f t="shared" si="159"/>
        <v>9.9999999999999995E-8</v>
      </c>
    </row>
    <row r="316" spans="1:69">
      <c r="A316" s="140">
        <f t="shared" si="112"/>
        <v>3.7599999999999999E-5</v>
      </c>
      <c r="B316">
        <v>3.76</v>
      </c>
      <c r="C316" s="140">
        <f t="shared" si="161"/>
        <v>3.7599999999999987E-7</v>
      </c>
      <c r="D316" s="140">
        <f t="shared" si="161"/>
        <v>7.5199999999999985E-7</v>
      </c>
      <c r="E316" s="140">
        <f t="shared" si="161"/>
        <v>1.1279999999999998E-6</v>
      </c>
      <c r="F316" s="140">
        <f t="shared" si="161"/>
        <v>1.5039999999999999E-6</v>
      </c>
      <c r="G316" s="140">
        <f t="shared" si="161"/>
        <v>1.88E-6</v>
      </c>
      <c r="H316" s="124">
        <f t="shared" si="113"/>
        <v>0.8</v>
      </c>
      <c r="I316" s="156">
        <f t="shared" si="114"/>
        <v>9.9999999999999995E-8</v>
      </c>
      <c r="K316" s="140">
        <f t="shared" si="115"/>
        <v>3.7599999999999999E-5</v>
      </c>
      <c r="L316">
        <v>3.76</v>
      </c>
      <c r="M316" s="140">
        <f t="shared" si="116"/>
        <v>3.7599999999999987E-7</v>
      </c>
      <c r="N316" s="140">
        <f t="shared" si="117"/>
        <v>7.5199999999999985E-7</v>
      </c>
      <c r="O316" s="140">
        <f t="shared" si="118"/>
        <v>1.1279999999999998E-6</v>
      </c>
      <c r="P316" s="140">
        <f t="shared" si="111"/>
        <v>1.5039999999999999E-6</v>
      </c>
      <c r="Q316" s="140">
        <f t="shared" si="119"/>
        <v>1.88E-6</v>
      </c>
      <c r="R316" s="157">
        <f t="shared" si="120"/>
        <v>0.8</v>
      </c>
      <c r="S316" s="156">
        <f t="shared" si="121"/>
        <v>9.9999999999999995E-8</v>
      </c>
      <c r="U316" s="140">
        <f t="shared" si="122"/>
        <v>3.7599999999999999E-5</v>
      </c>
      <c r="V316">
        <v>3.76</v>
      </c>
      <c r="W316" s="140">
        <f t="shared" si="123"/>
        <v>3.7599999999999987E-7</v>
      </c>
      <c r="X316" s="140">
        <f t="shared" si="124"/>
        <v>7.5199999999999985E-7</v>
      </c>
      <c r="Y316" s="140">
        <f t="shared" si="125"/>
        <v>1.1279999999999998E-6</v>
      </c>
      <c r="Z316" s="140">
        <f t="shared" si="126"/>
        <v>1.5039999999999999E-6</v>
      </c>
      <c r="AA316" s="140">
        <f t="shared" si="127"/>
        <v>1.88E-6</v>
      </c>
      <c r="AB316" s="157">
        <f t="shared" si="128"/>
        <v>0.8</v>
      </c>
      <c r="AC316" s="156">
        <f t="shared" si="129"/>
        <v>9.9999999999999995E-8</v>
      </c>
      <c r="AE316" s="140">
        <f t="shared" si="130"/>
        <v>3.7599999999999999E-5</v>
      </c>
      <c r="AF316">
        <v>3.76</v>
      </c>
      <c r="AG316" s="140">
        <f t="shared" si="131"/>
        <v>3.7599999999999987E-7</v>
      </c>
      <c r="AH316" s="140">
        <f t="shared" si="132"/>
        <v>7.5199999999999985E-7</v>
      </c>
      <c r="AI316" s="140">
        <f t="shared" si="133"/>
        <v>1.1279999999999998E-6</v>
      </c>
      <c r="AJ316" s="140">
        <f t="shared" si="134"/>
        <v>1.5039999999999999E-6</v>
      </c>
      <c r="AK316" s="140">
        <f t="shared" si="135"/>
        <v>1.88E-6</v>
      </c>
      <c r="AL316" s="157">
        <f t="shared" si="136"/>
        <v>1.2</v>
      </c>
      <c r="AM316" s="156">
        <f t="shared" si="137"/>
        <v>9.9999999999999995E-8</v>
      </c>
      <c r="AO316" s="140">
        <f t="shared" si="138"/>
        <v>3.7599999999999999E-5</v>
      </c>
      <c r="AP316">
        <v>3.76</v>
      </c>
      <c r="AQ316" s="140">
        <f t="shared" si="139"/>
        <v>3.7599999999999987E-7</v>
      </c>
      <c r="AR316" s="140">
        <f t="shared" si="140"/>
        <v>7.5199999999999985E-7</v>
      </c>
      <c r="AS316" s="140">
        <f t="shared" si="141"/>
        <v>1.1279999999999998E-6</v>
      </c>
      <c r="AT316" s="140">
        <f t="shared" si="142"/>
        <v>1.5039999999999999E-6</v>
      </c>
      <c r="AU316" s="140">
        <f t="shared" si="143"/>
        <v>1.88E-6</v>
      </c>
      <c r="AV316" s="157">
        <f t="shared" si="144"/>
        <v>1.2</v>
      </c>
      <c r="AW316" s="156">
        <f t="shared" si="145"/>
        <v>9.9999999999999995E-8</v>
      </c>
      <c r="AY316" s="140">
        <f t="shared" si="146"/>
        <v>3.7599999999999999E-5</v>
      </c>
      <c r="AZ316">
        <v>3.76</v>
      </c>
      <c r="BA316" s="140">
        <f t="shared" si="147"/>
        <v>3.7599999999999987E-7</v>
      </c>
      <c r="BB316" s="140">
        <f t="shared" si="148"/>
        <v>7.5199999999999985E-7</v>
      </c>
      <c r="BC316" s="140">
        <f t="shared" si="149"/>
        <v>1.1279999999999998E-6</v>
      </c>
      <c r="BD316" s="140">
        <f t="shared" si="150"/>
        <v>1.5039999999999999E-6</v>
      </c>
      <c r="BE316" s="140">
        <f t="shared" si="151"/>
        <v>1.88E-6</v>
      </c>
      <c r="BF316" s="157">
        <f>IF(AY316&lt;$B$89*DATA!$H$1037,DATA!$H$1037,IF(AY316&gt;DATA!$H$1036*$B$89,DATA!$H$1036,1))</f>
        <v>1.2</v>
      </c>
      <c r="BG316" s="156">
        <f t="shared" si="152"/>
        <v>9.9999999999999995E-8</v>
      </c>
      <c r="BI316" s="140">
        <f t="shared" si="153"/>
        <v>3.7599999999999999E-5</v>
      </c>
      <c r="BJ316">
        <v>3.76</v>
      </c>
      <c r="BK316" s="140">
        <f t="shared" si="154"/>
        <v>3.7599999999999987E-7</v>
      </c>
      <c r="BL316" s="140">
        <f t="shared" si="155"/>
        <v>7.5199999999999985E-7</v>
      </c>
      <c r="BM316" s="140">
        <f t="shared" si="156"/>
        <v>1.1279999999999998E-6</v>
      </c>
      <c r="BN316" s="140">
        <f t="shared" si="157"/>
        <v>1.5039999999999999E-6</v>
      </c>
      <c r="BO316" s="140">
        <f t="shared" si="158"/>
        <v>1.88E-6</v>
      </c>
      <c r="BP316" s="157">
        <f>IF(BI316&lt;$B$105*DATA!$H$1037,DATA!$H$1037,IF(BI316&gt;DATA!$H$1036*$B$105,DATA!$H$1036,1))</f>
        <v>1.2</v>
      </c>
      <c r="BQ316" s="156">
        <f t="shared" si="159"/>
        <v>9.9999999999999995E-8</v>
      </c>
    </row>
    <row r="317" spans="1:69">
      <c r="A317" s="140">
        <f t="shared" si="112"/>
        <v>3.7800000000000004E-5</v>
      </c>
      <c r="B317">
        <v>3.78</v>
      </c>
      <c r="C317" s="140">
        <f t="shared" si="161"/>
        <v>3.7799999999999992E-7</v>
      </c>
      <c r="D317" s="140">
        <f t="shared" si="161"/>
        <v>7.5599999999999994E-7</v>
      </c>
      <c r="E317" s="140">
        <f t="shared" si="161"/>
        <v>1.1340000000000001E-6</v>
      </c>
      <c r="F317" s="140">
        <f t="shared" si="161"/>
        <v>1.5120000000000001E-6</v>
      </c>
      <c r="G317" s="140">
        <f t="shared" si="161"/>
        <v>1.8900000000000003E-6</v>
      </c>
      <c r="H317" s="124">
        <f t="shared" si="113"/>
        <v>0.8</v>
      </c>
      <c r="I317" s="156">
        <f t="shared" si="114"/>
        <v>9.9999999999999995E-8</v>
      </c>
      <c r="K317" s="140">
        <f t="shared" si="115"/>
        <v>3.7800000000000004E-5</v>
      </c>
      <c r="L317">
        <v>3.78</v>
      </c>
      <c r="M317" s="140">
        <f t="shared" si="116"/>
        <v>3.7799999999999992E-7</v>
      </c>
      <c r="N317" s="140">
        <f t="shared" si="117"/>
        <v>7.5599999999999994E-7</v>
      </c>
      <c r="O317" s="140">
        <f t="shared" si="118"/>
        <v>1.1340000000000001E-6</v>
      </c>
      <c r="P317" s="140">
        <f t="shared" si="111"/>
        <v>1.5120000000000001E-6</v>
      </c>
      <c r="Q317" s="140">
        <f t="shared" si="119"/>
        <v>1.8900000000000003E-6</v>
      </c>
      <c r="R317" s="157">
        <f t="shared" si="120"/>
        <v>0.8</v>
      </c>
      <c r="S317" s="156">
        <f t="shared" si="121"/>
        <v>9.9999999999999995E-8</v>
      </c>
      <c r="U317" s="140">
        <f t="shared" si="122"/>
        <v>3.7800000000000004E-5</v>
      </c>
      <c r="V317">
        <v>3.78</v>
      </c>
      <c r="W317" s="140">
        <f t="shared" si="123"/>
        <v>3.7799999999999992E-7</v>
      </c>
      <c r="X317" s="140">
        <f t="shared" si="124"/>
        <v>7.5599999999999994E-7</v>
      </c>
      <c r="Y317" s="140">
        <f t="shared" si="125"/>
        <v>1.1340000000000001E-6</v>
      </c>
      <c r="Z317" s="140">
        <f t="shared" si="126"/>
        <v>1.5120000000000001E-6</v>
      </c>
      <c r="AA317" s="140">
        <f t="shared" si="127"/>
        <v>1.8900000000000003E-6</v>
      </c>
      <c r="AB317" s="157">
        <f t="shared" si="128"/>
        <v>0.8</v>
      </c>
      <c r="AC317" s="156">
        <f t="shared" si="129"/>
        <v>9.9999999999999995E-8</v>
      </c>
      <c r="AE317" s="140">
        <f t="shared" si="130"/>
        <v>3.7800000000000004E-5</v>
      </c>
      <c r="AF317">
        <v>3.78</v>
      </c>
      <c r="AG317" s="140">
        <f t="shared" si="131"/>
        <v>3.7799999999999992E-7</v>
      </c>
      <c r="AH317" s="140">
        <f t="shared" si="132"/>
        <v>7.5599999999999994E-7</v>
      </c>
      <c r="AI317" s="140">
        <f t="shared" si="133"/>
        <v>1.1340000000000001E-6</v>
      </c>
      <c r="AJ317" s="140">
        <f t="shared" si="134"/>
        <v>1.5120000000000001E-6</v>
      </c>
      <c r="AK317" s="140">
        <f t="shared" si="135"/>
        <v>1.8900000000000003E-6</v>
      </c>
      <c r="AL317" s="157">
        <f t="shared" si="136"/>
        <v>1.2</v>
      </c>
      <c r="AM317" s="156">
        <f t="shared" si="137"/>
        <v>9.9999999999999995E-8</v>
      </c>
      <c r="AO317" s="140">
        <f t="shared" si="138"/>
        <v>3.7800000000000004E-5</v>
      </c>
      <c r="AP317">
        <v>3.78</v>
      </c>
      <c r="AQ317" s="140">
        <f t="shared" si="139"/>
        <v>3.7799999999999992E-7</v>
      </c>
      <c r="AR317" s="140">
        <f t="shared" si="140"/>
        <v>7.5599999999999994E-7</v>
      </c>
      <c r="AS317" s="140">
        <f t="shared" si="141"/>
        <v>1.1340000000000001E-6</v>
      </c>
      <c r="AT317" s="140">
        <f t="shared" si="142"/>
        <v>1.5120000000000001E-6</v>
      </c>
      <c r="AU317" s="140">
        <f t="shared" si="143"/>
        <v>1.8900000000000003E-6</v>
      </c>
      <c r="AV317" s="157">
        <f t="shared" si="144"/>
        <v>1.2</v>
      </c>
      <c r="AW317" s="156">
        <f t="shared" si="145"/>
        <v>9.9999999999999995E-8</v>
      </c>
      <c r="AY317" s="140">
        <f t="shared" si="146"/>
        <v>3.7800000000000004E-5</v>
      </c>
      <c r="AZ317">
        <v>3.78</v>
      </c>
      <c r="BA317" s="140">
        <f t="shared" si="147"/>
        <v>3.7799999999999992E-7</v>
      </c>
      <c r="BB317" s="140">
        <f t="shared" si="148"/>
        <v>7.5599999999999994E-7</v>
      </c>
      <c r="BC317" s="140">
        <f t="shared" si="149"/>
        <v>1.1340000000000001E-6</v>
      </c>
      <c r="BD317" s="140">
        <f t="shared" si="150"/>
        <v>1.5120000000000001E-6</v>
      </c>
      <c r="BE317" s="140">
        <f t="shared" si="151"/>
        <v>1.8900000000000003E-6</v>
      </c>
      <c r="BF317" s="157">
        <f>IF(AY317&lt;$B$89*DATA!$H$1037,DATA!$H$1037,IF(AY317&gt;DATA!$H$1036*$B$89,DATA!$H$1036,1))</f>
        <v>1.2</v>
      </c>
      <c r="BG317" s="156">
        <f t="shared" si="152"/>
        <v>9.9999999999999995E-8</v>
      </c>
      <c r="BI317" s="140">
        <f t="shared" si="153"/>
        <v>3.7800000000000004E-5</v>
      </c>
      <c r="BJ317">
        <v>3.78</v>
      </c>
      <c r="BK317" s="140">
        <f t="shared" si="154"/>
        <v>3.7799999999999992E-7</v>
      </c>
      <c r="BL317" s="140">
        <f t="shared" si="155"/>
        <v>7.5599999999999994E-7</v>
      </c>
      <c r="BM317" s="140">
        <f t="shared" si="156"/>
        <v>1.1340000000000001E-6</v>
      </c>
      <c r="BN317" s="140">
        <f t="shared" si="157"/>
        <v>1.5120000000000001E-6</v>
      </c>
      <c r="BO317" s="140">
        <f t="shared" si="158"/>
        <v>1.8900000000000003E-6</v>
      </c>
      <c r="BP317" s="157">
        <f>IF(BI317&lt;$B$105*DATA!$H$1037,DATA!$H$1037,IF(BI317&gt;DATA!$H$1036*$B$105,DATA!$H$1036,1))</f>
        <v>1.2</v>
      </c>
      <c r="BQ317" s="156">
        <f t="shared" si="159"/>
        <v>9.9999999999999995E-8</v>
      </c>
    </row>
    <row r="318" spans="1:69">
      <c r="A318" s="140">
        <f t="shared" si="112"/>
        <v>4.7800000000000003E-5</v>
      </c>
      <c r="B318">
        <v>4.78</v>
      </c>
      <c r="C318" s="140">
        <f t="shared" si="161"/>
        <v>4.7799999999999991E-7</v>
      </c>
      <c r="D318" s="140">
        <f t="shared" si="161"/>
        <v>9.5599999999999983E-7</v>
      </c>
      <c r="E318" s="140">
        <f t="shared" si="161"/>
        <v>1.4339999999999999E-6</v>
      </c>
      <c r="F318" s="140">
        <f t="shared" si="161"/>
        <v>1.9120000000000001E-6</v>
      </c>
      <c r="G318" s="140">
        <f t="shared" si="161"/>
        <v>2.3900000000000004E-6</v>
      </c>
      <c r="H318" s="124">
        <f t="shared" si="113"/>
        <v>0.8</v>
      </c>
      <c r="I318" s="156">
        <f t="shared" si="114"/>
        <v>9.9999999999999995E-8</v>
      </c>
      <c r="K318" s="140">
        <f t="shared" si="115"/>
        <v>4.7800000000000003E-5</v>
      </c>
      <c r="L318">
        <v>4.78</v>
      </c>
      <c r="M318" s="140">
        <f t="shared" si="116"/>
        <v>4.7799999999999991E-7</v>
      </c>
      <c r="N318" s="140">
        <f t="shared" si="117"/>
        <v>9.5599999999999983E-7</v>
      </c>
      <c r="O318" s="140">
        <f t="shared" si="118"/>
        <v>1.4339999999999999E-6</v>
      </c>
      <c r="P318" s="140">
        <f t="shared" si="111"/>
        <v>1.9120000000000001E-6</v>
      </c>
      <c r="Q318" s="140">
        <f t="shared" si="119"/>
        <v>2.3900000000000004E-6</v>
      </c>
      <c r="R318" s="157">
        <f t="shared" si="120"/>
        <v>0.8</v>
      </c>
      <c r="S318" s="156">
        <f t="shared" si="121"/>
        <v>9.9999999999999995E-8</v>
      </c>
      <c r="U318" s="140">
        <f t="shared" si="122"/>
        <v>4.7800000000000003E-5</v>
      </c>
      <c r="V318">
        <v>4.78</v>
      </c>
      <c r="W318" s="140">
        <f t="shared" si="123"/>
        <v>4.7799999999999991E-7</v>
      </c>
      <c r="X318" s="140">
        <f t="shared" si="124"/>
        <v>9.5599999999999983E-7</v>
      </c>
      <c r="Y318" s="140">
        <f t="shared" si="125"/>
        <v>1.4339999999999999E-6</v>
      </c>
      <c r="Z318" s="140">
        <f t="shared" si="126"/>
        <v>1.9120000000000001E-6</v>
      </c>
      <c r="AA318" s="140">
        <f t="shared" si="127"/>
        <v>2.3900000000000004E-6</v>
      </c>
      <c r="AB318" s="157">
        <f t="shared" si="128"/>
        <v>0.8</v>
      </c>
      <c r="AC318" s="156">
        <f t="shared" si="129"/>
        <v>9.9999999999999995E-8</v>
      </c>
      <c r="AE318" s="140">
        <f t="shared" si="130"/>
        <v>4.7800000000000003E-5</v>
      </c>
      <c r="AF318">
        <v>4.78</v>
      </c>
      <c r="AG318" s="140">
        <f t="shared" si="131"/>
        <v>4.7799999999999991E-7</v>
      </c>
      <c r="AH318" s="140">
        <f t="shared" si="132"/>
        <v>9.5599999999999983E-7</v>
      </c>
      <c r="AI318" s="140">
        <f t="shared" si="133"/>
        <v>1.4339999999999999E-6</v>
      </c>
      <c r="AJ318" s="140">
        <f t="shared" si="134"/>
        <v>1.9120000000000001E-6</v>
      </c>
      <c r="AK318" s="140">
        <f t="shared" si="135"/>
        <v>2.3900000000000004E-6</v>
      </c>
      <c r="AL318" s="157">
        <f t="shared" si="136"/>
        <v>1.2</v>
      </c>
      <c r="AM318" s="156">
        <f t="shared" si="137"/>
        <v>9.9999999999999995E-8</v>
      </c>
      <c r="AO318" s="140">
        <f t="shared" si="138"/>
        <v>4.7800000000000003E-5</v>
      </c>
      <c r="AP318">
        <v>4.78</v>
      </c>
      <c r="AQ318" s="140">
        <f t="shared" si="139"/>
        <v>4.7799999999999991E-7</v>
      </c>
      <c r="AR318" s="140">
        <f t="shared" si="140"/>
        <v>9.5599999999999983E-7</v>
      </c>
      <c r="AS318" s="140">
        <f t="shared" si="141"/>
        <v>1.4339999999999999E-6</v>
      </c>
      <c r="AT318" s="140">
        <f t="shared" si="142"/>
        <v>1.9120000000000001E-6</v>
      </c>
      <c r="AU318" s="140">
        <f t="shared" si="143"/>
        <v>2.3900000000000004E-6</v>
      </c>
      <c r="AV318" s="157">
        <f t="shared" si="144"/>
        <v>1.2</v>
      </c>
      <c r="AW318" s="156">
        <f t="shared" si="145"/>
        <v>9.9999999999999995E-8</v>
      </c>
      <c r="AY318" s="140">
        <f t="shared" si="146"/>
        <v>4.7800000000000003E-5</v>
      </c>
      <c r="AZ318">
        <v>4.78</v>
      </c>
      <c r="BA318" s="140">
        <f t="shared" si="147"/>
        <v>4.7799999999999991E-7</v>
      </c>
      <c r="BB318" s="140">
        <f t="shared" si="148"/>
        <v>9.5599999999999983E-7</v>
      </c>
      <c r="BC318" s="140">
        <f t="shared" si="149"/>
        <v>1.4339999999999999E-6</v>
      </c>
      <c r="BD318" s="140">
        <f t="shared" si="150"/>
        <v>1.9120000000000001E-6</v>
      </c>
      <c r="BE318" s="140">
        <f t="shared" si="151"/>
        <v>2.3900000000000004E-6</v>
      </c>
      <c r="BF318" s="157">
        <f>IF(AY318&lt;$B$89*DATA!$H$1037,DATA!$H$1037,IF(AY318&gt;DATA!$H$1036*$B$89,DATA!$H$1036,1))</f>
        <v>1.2</v>
      </c>
      <c r="BG318" s="156">
        <f t="shared" si="152"/>
        <v>9.9999999999999995E-8</v>
      </c>
      <c r="BI318" s="140">
        <f t="shared" si="153"/>
        <v>4.7800000000000003E-5</v>
      </c>
      <c r="BJ318">
        <v>4.78</v>
      </c>
      <c r="BK318" s="140">
        <f t="shared" si="154"/>
        <v>4.7799999999999991E-7</v>
      </c>
      <c r="BL318" s="140">
        <f t="shared" si="155"/>
        <v>9.5599999999999983E-7</v>
      </c>
      <c r="BM318" s="140">
        <f t="shared" si="156"/>
        <v>1.4339999999999999E-6</v>
      </c>
      <c r="BN318" s="140">
        <f t="shared" si="157"/>
        <v>1.9120000000000001E-6</v>
      </c>
      <c r="BO318" s="140">
        <f t="shared" si="158"/>
        <v>2.3900000000000004E-6</v>
      </c>
      <c r="BP318" s="157">
        <f>IF(BI318&lt;$B$105*DATA!$H$1037,DATA!$H$1037,IF(BI318&gt;DATA!$H$1036*$B$105,DATA!$H$1036,1))</f>
        <v>1.2</v>
      </c>
      <c r="BQ318" s="156">
        <f t="shared" si="159"/>
        <v>9.9999999999999995E-8</v>
      </c>
    </row>
  </sheetData>
  <sheetProtection password="CAB3" sheet="1" objects="1" scenarios="1"/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B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B00-000001000000}">
      <formula1>0</formula1>
      <formula2>12</formula2>
    </dataValidation>
    <dataValidation type="whole" allowBlank="1" showInputMessage="1" showErrorMessage="1" errorTitle="Day" error="Must be a number between 1 and 31 " sqref="D7" xr:uid="{00000000-0002-0000-2B00-000002000000}">
      <formula1>0</formula1>
      <formula2>31</formula2>
    </dataValidation>
  </dataValidations>
  <pageMargins left="0.43307086614173229" right="0.27559055118110237" top="0.31496062992125984" bottom="0.31496062992125984" header="0.19685039370078741" footer="0.31496062992125984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8">
    <tabColor rgb="FFF20079"/>
    <pageSetUpPr fitToPage="1"/>
  </sheetPr>
  <dimension ref="A1:J414"/>
  <sheetViews>
    <sheetView zoomScaleNormal="100" workbookViewId="0">
      <selection activeCell="A2" sqref="A2"/>
    </sheetView>
  </sheetViews>
  <sheetFormatPr defaultColWidth="9.140625" defaultRowHeight="15"/>
  <cols>
    <col min="1" max="1" width="10.42578125" customWidth="1"/>
    <col min="2" max="2" width="59.42578125" customWidth="1"/>
    <col min="3" max="3" width="14.5703125" bestFit="1" customWidth="1"/>
    <col min="4" max="4" width="16" bestFit="1" customWidth="1"/>
    <col min="5" max="5" width="13.140625" customWidth="1"/>
    <col min="6" max="6" width="20.85546875" customWidth="1"/>
    <col min="8" max="8" width="9.140625" style="891"/>
    <col min="9" max="9" width="15" bestFit="1" customWidth="1"/>
    <col min="10" max="10" width="12.42578125" bestFit="1" customWidth="1"/>
  </cols>
  <sheetData>
    <row r="1" spans="1:8" ht="23.25">
      <c r="A1" s="214" t="str">
        <f>DATA!C1004</f>
        <v>NRA.N.011-050-2012/1F</v>
      </c>
      <c r="C1" s="13"/>
      <c r="D1" s="13"/>
      <c r="F1" s="883" t="str">
        <f>LEFT(A8,24)</f>
        <v xml:space="preserve">C 2.2: PRICING SCHEDULE </v>
      </c>
    </row>
    <row r="2" spans="1:8" ht="18.75" customHeight="1">
      <c r="B2" s="232" t="str">
        <f>'All Hours'!D1</f>
        <v>PLEASE INSERT TENDERER NAME ON INPUT DATA SHEET</v>
      </c>
    </row>
    <row r="3" spans="1:8" ht="18.75" customHeight="1" thickBot="1">
      <c r="B3" s="232"/>
    </row>
    <row r="4" spans="1:8" ht="18.75" customHeight="1">
      <c r="B4" s="178" t="s">
        <v>840</v>
      </c>
      <c r="F4" s="914" t="s">
        <v>858</v>
      </c>
    </row>
    <row r="5" spans="1:8" ht="18.75" customHeight="1">
      <c r="B5" s="179" t="s">
        <v>841</v>
      </c>
      <c r="F5" s="915" t="s">
        <v>859</v>
      </c>
    </row>
    <row r="6" spans="1:8" ht="18.75" customHeight="1" thickBot="1">
      <c r="B6" s="180" t="s">
        <v>99</v>
      </c>
      <c r="F6" s="916" t="s">
        <v>988</v>
      </c>
    </row>
    <row r="8" spans="1:8" ht="15.75">
      <c r="A8" s="123" t="s">
        <v>819</v>
      </c>
    </row>
    <row r="9" spans="1:8" ht="30">
      <c r="A9" s="284" t="s">
        <v>100</v>
      </c>
      <c r="B9" s="284" t="s">
        <v>0</v>
      </c>
      <c r="C9" s="284" t="s">
        <v>1</v>
      </c>
      <c r="D9" s="284" t="s">
        <v>2</v>
      </c>
      <c r="E9" s="284" t="s">
        <v>3</v>
      </c>
      <c r="F9" s="284" t="s">
        <v>4</v>
      </c>
      <c r="G9" s="1670" t="s">
        <v>827</v>
      </c>
      <c r="H9" s="1632"/>
    </row>
    <row r="10" spans="1:8">
      <c r="A10" s="285"/>
      <c r="B10" s="39" t="s">
        <v>48</v>
      </c>
      <c r="C10" s="285"/>
      <c r="D10" s="285"/>
      <c r="E10" s="286"/>
      <c r="F10" s="285"/>
      <c r="G10" s="1632"/>
      <c r="H10" s="1632"/>
    </row>
    <row r="11" spans="1:8">
      <c r="A11" s="284">
        <v>3.2</v>
      </c>
      <c r="B11" s="284" t="s">
        <v>200</v>
      </c>
      <c r="C11" s="285"/>
      <c r="D11" s="285"/>
      <c r="E11" s="286"/>
      <c r="F11" s="285"/>
      <c r="G11" s="1632"/>
      <c r="H11" s="1632"/>
    </row>
    <row r="12" spans="1:8">
      <c r="A12" s="287" t="s">
        <v>232</v>
      </c>
      <c r="B12" s="285" t="s">
        <v>101</v>
      </c>
      <c r="C12" s="285"/>
      <c r="D12" s="285"/>
      <c r="E12" s="286"/>
      <c r="F12" s="285"/>
      <c r="G12" s="1632"/>
      <c r="H12" s="1632"/>
    </row>
    <row r="13" spans="1:8">
      <c r="A13" s="285"/>
      <c r="B13" s="288" t="s">
        <v>102</v>
      </c>
      <c r="C13" s="285" t="s">
        <v>103</v>
      </c>
      <c r="D13" s="285" t="s">
        <v>104</v>
      </c>
      <c r="E13" s="285" t="s">
        <v>105</v>
      </c>
      <c r="F13" s="289">
        <f>'Non Fee Hours'!H6</f>
        <v>0</v>
      </c>
      <c r="G13" s="1671" t="s">
        <v>828</v>
      </c>
      <c r="H13" s="1632">
        <f>IF(G13="n",0,999999999999999000000)</f>
        <v>9.9999999999999895E+20</v>
      </c>
    </row>
    <row r="14" spans="1:8">
      <c r="A14" s="285"/>
      <c r="B14" s="285" t="s">
        <v>106</v>
      </c>
      <c r="C14" s="285" t="s">
        <v>103</v>
      </c>
      <c r="D14" s="285" t="s">
        <v>104</v>
      </c>
      <c r="E14" s="285" t="s">
        <v>105</v>
      </c>
      <c r="F14" s="902"/>
      <c r="G14" s="1671" t="s">
        <v>828</v>
      </c>
      <c r="H14" s="1632">
        <f>IF(G14="n",0,999999999999999000000)</f>
        <v>9.9999999999999895E+20</v>
      </c>
    </row>
    <row r="15" spans="1:8">
      <c r="A15" s="287" t="s">
        <v>233</v>
      </c>
      <c r="B15" s="285" t="s">
        <v>107</v>
      </c>
      <c r="C15" s="285"/>
      <c r="D15" s="285"/>
      <c r="E15" s="286"/>
      <c r="F15" s="290"/>
      <c r="G15" s="1632"/>
      <c r="H15" s="1632"/>
    </row>
    <row r="16" spans="1:8">
      <c r="A16" s="285"/>
      <c r="B16" s="288" t="s">
        <v>108</v>
      </c>
      <c r="C16" s="285" t="s">
        <v>103</v>
      </c>
      <c r="D16" s="285" t="s">
        <v>104</v>
      </c>
      <c r="E16" s="285" t="s">
        <v>105</v>
      </c>
      <c r="F16" s="289">
        <f>'Non Fee Hours'!H106</f>
        <v>0</v>
      </c>
      <c r="G16" s="1671" t="s">
        <v>828</v>
      </c>
      <c r="H16" s="1632">
        <f>IF(G16="n",0,999999999999999000000)</f>
        <v>9.9999999999999895E+20</v>
      </c>
    </row>
    <row r="17" spans="1:8">
      <c r="A17" s="285"/>
      <c r="B17" s="285" t="s">
        <v>109</v>
      </c>
      <c r="C17" s="285" t="s">
        <v>103</v>
      </c>
      <c r="D17" s="285" t="s">
        <v>104</v>
      </c>
      <c r="E17" s="285" t="s">
        <v>105</v>
      </c>
      <c r="F17" s="902"/>
      <c r="G17" s="1671" t="s">
        <v>828</v>
      </c>
      <c r="H17" s="1632">
        <f>IF(G17="n",0,999999999999999000000)</f>
        <v>9.9999999999999895E+20</v>
      </c>
    </row>
    <row r="18" spans="1:8">
      <c r="A18" s="287" t="s">
        <v>234</v>
      </c>
      <c r="B18" s="285" t="s">
        <v>110</v>
      </c>
      <c r="C18" s="285"/>
      <c r="D18" s="285"/>
      <c r="E18" s="286"/>
      <c r="F18" s="290"/>
      <c r="G18" s="1632"/>
      <c r="H18" s="1632"/>
    </row>
    <row r="19" spans="1:8">
      <c r="A19" s="285"/>
      <c r="B19" s="288" t="s">
        <v>111</v>
      </c>
      <c r="C19" s="285" t="s">
        <v>103</v>
      </c>
      <c r="D19" s="285" t="s">
        <v>104</v>
      </c>
      <c r="E19" s="285" t="s">
        <v>105</v>
      </c>
      <c r="F19" s="289">
        <f>'Non Fee Hours'!H206</f>
        <v>0</v>
      </c>
      <c r="G19" s="1671" t="s">
        <v>828</v>
      </c>
      <c r="H19" s="1632">
        <f>IF(G19="n",0,999999999999999000000)</f>
        <v>9.9999999999999895E+20</v>
      </c>
    </row>
    <row r="20" spans="1:8">
      <c r="A20" s="285"/>
      <c r="B20" s="285" t="s">
        <v>106</v>
      </c>
      <c r="C20" s="285" t="s">
        <v>103</v>
      </c>
      <c r="D20" s="285" t="s">
        <v>104</v>
      </c>
      <c r="E20" s="285" t="s">
        <v>105</v>
      </c>
      <c r="F20" s="902"/>
      <c r="G20" s="1671" t="s">
        <v>828</v>
      </c>
      <c r="H20" s="1632">
        <f>IF(G20="n",0,999999999999999000000)</f>
        <v>9.9999999999999895E+20</v>
      </c>
    </row>
    <row r="21" spans="1:8">
      <c r="A21" s="285"/>
      <c r="B21" s="291" t="s">
        <v>201</v>
      </c>
      <c r="C21" s="292"/>
      <c r="D21" s="292"/>
      <c r="E21" s="293"/>
      <c r="F21" s="290">
        <f>SUM(F13:F20)</f>
        <v>0</v>
      </c>
      <c r="G21" s="1632"/>
      <c r="H21" s="1632"/>
    </row>
    <row r="22" spans="1:8">
      <c r="A22" s="284">
        <v>3.3</v>
      </c>
      <c r="B22" s="284" t="s">
        <v>112</v>
      </c>
      <c r="C22" s="285"/>
      <c r="D22" s="285"/>
      <c r="E22" s="286"/>
      <c r="F22" s="290"/>
      <c r="G22" s="1632"/>
      <c r="H22" s="1632"/>
    </row>
    <row r="23" spans="1:8">
      <c r="A23" s="287" t="s">
        <v>235</v>
      </c>
      <c r="B23" s="285" t="s">
        <v>113</v>
      </c>
      <c r="C23" s="285"/>
      <c r="D23" s="285"/>
      <c r="E23" s="286"/>
      <c r="F23" s="290"/>
      <c r="G23" s="1632"/>
      <c r="H23" s="1632"/>
    </row>
    <row r="24" spans="1:8">
      <c r="A24" s="285"/>
      <c r="B24" s="285" t="s">
        <v>114</v>
      </c>
      <c r="C24" s="285" t="s">
        <v>115</v>
      </c>
      <c r="D24" s="285" t="s">
        <v>116</v>
      </c>
      <c r="E24" s="285" t="s">
        <v>117</v>
      </c>
      <c r="F24" s="893"/>
      <c r="G24" s="1671" t="s">
        <v>991</v>
      </c>
      <c r="H24" s="1632">
        <f>IF(G24="n",0,999999999999999000000)</f>
        <v>0</v>
      </c>
    </row>
    <row r="25" spans="1:8" ht="30">
      <c r="A25" s="285"/>
      <c r="B25" s="781" t="s">
        <v>899</v>
      </c>
      <c r="C25" s="285" t="s">
        <v>103</v>
      </c>
      <c r="D25" s="285" t="s">
        <v>104</v>
      </c>
      <c r="E25" s="285" t="s">
        <v>105</v>
      </c>
      <c r="F25" s="902"/>
      <c r="G25" s="1671" t="s">
        <v>991</v>
      </c>
      <c r="H25" s="1632">
        <f>IF(G25="n",0,999999999999999000000)</f>
        <v>0</v>
      </c>
    </row>
    <row r="26" spans="1:8">
      <c r="A26" s="285"/>
      <c r="B26" s="285" t="s">
        <v>118</v>
      </c>
      <c r="C26" s="285" t="s">
        <v>103</v>
      </c>
      <c r="D26" s="285" t="s">
        <v>104</v>
      </c>
      <c r="E26" s="285" t="s">
        <v>105</v>
      </c>
      <c r="F26" s="902"/>
      <c r="G26" s="1671" t="s">
        <v>991</v>
      </c>
      <c r="H26" s="1632">
        <f>IF(G26="n",0,999999999999999000000)</f>
        <v>0</v>
      </c>
    </row>
    <row r="27" spans="1:8">
      <c r="A27" s="287" t="s">
        <v>236</v>
      </c>
      <c r="B27" s="285" t="s">
        <v>900</v>
      </c>
      <c r="C27" s="285"/>
      <c r="D27" s="285"/>
      <c r="E27" s="286"/>
      <c r="F27" s="290"/>
      <c r="G27" s="1632"/>
      <c r="H27" s="1632"/>
    </row>
    <row r="28" spans="1:8">
      <c r="A28" s="285"/>
      <c r="B28" s="285" t="s">
        <v>901</v>
      </c>
      <c r="C28" s="285" t="s">
        <v>115</v>
      </c>
      <c r="D28" s="285" t="s">
        <v>116</v>
      </c>
      <c r="E28" s="285" t="s">
        <v>117</v>
      </c>
      <c r="F28" s="893">
        <v>500000</v>
      </c>
      <c r="G28" s="1671" t="s">
        <v>828</v>
      </c>
      <c r="H28" s="1632">
        <f t="shared" ref="H28:H30" si="0">IF(G28="n",0,999999999999999000000)</f>
        <v>9.9999999999999895E+20</v>
      </c>
    </row>
    <row r="29" spans="1:8" ht="30">
      <c r="A29" s="285"/>
      <c r="B29" s="781" t="s">
        <v>902</v>
      </c>
      <c r="C29" s="285" t="s">
        <v>103</v>
      </c>
      <c r="D29" s="285" t="s">
        <v>104</v>
      </c>
      <c r="E29" s="285" t="s">
        <v>105</v>
      </c>
      <c r="F29" s="902"/>
      <c r="G29" s="1671" t="s">
        <v>828</v>
      </c>
      <c r="H29" s="1632">
        <f t="shared" si="0"/>
        <v>9.9999999999999895E+20</v>
      </c>
    </row>
    <row r="30" spans="1:8" ht="30">
      <c r="A30" s="285"/>
      <c r="B30" s="781" t="s">
        <v>903</v>
      </c>
      <c r="C30" s="285" t="s">
        <v>103</v>
      </c>
      <c r="D30" s="285" t="s">
        <v>104</v>
      </c>
      <c r="E30" s="285" t="s">
        <v>105</v>
      </c>
      <c r="F30" s="902"/>
      <c r="G30" s="1671" t="s">
        <v>828</v>
      </c>
      <c r="H30" s="1632">
        <f t="shared" si="0"/>
        <v>9.9999999999999895E+20</v>
      </c>
    </row>
    <row r="31" spans="1:8">
      <c r="A31" s="287" t="s">
        <v>237</v>
      </c>
      <c r="B31" s="285" t="s">
        <v>119</v>
      </c>
      <c r="C31" s="285"/>
      <c r="D31" s="285"/>
      <c r="E31" s="286"/>
      <c r="F31" s="290"/>
      <c r="G31" s="1632"/>
      <c r="H31" s="1632"/>
    </row>
    <row r="32" spans="1:8">
      <c r="A32" s="285"/>
      <c r="B32" s="285" t="s">
        <v>120</v>
      </c>
      <c r="C32" s="285" t="s">
        <v>115</v>
      </c>
      <c r="D32" s="285" t="s">
        <v>116</v>
      </c>
      <c r="E32" s="285" t="s">
        <v>117</v>
      </c>
      <c r="F32" s="893">
        <v>3500000</v>
      </c>
      <c r="G32" s="1671" t="s">
        <v>828</v>
      </c>
      <c r="H32" s="1632">
        <f>IF(G32="n",0,999999999999999000000)</f>
        <v>9.9999999999999895E+20</v>
      </c>
    </row>
    <row r="33" spans="1:9" ht="29.25" customHeight="1">
      <c r="A33" s="285"/>
      <c r="B33" s="781" t="s">
        <v>905</v>
      </c>
      <c r="C33" s="285" t="s">
        <v>103</v>
      </c>
      <c r="D33" s="285" t="s">
        <v>104</v>
      </c>
      <c r="E33" s="285" t="s">
        <v>105</v>
      </c>
      <c r="F33" s="902"/>
      <c r="G33" s="1671" t="s">
        <v>828</v>
      </c>
      <c r="H33" s="1632">
        <f>IF(G33="n",0,999999999999999000000)</f>
        <v>9.9999999999999895E+20</v>
      </c>
    </row>
    <row r="34" spans="1:9">
      <c r="A34" s="287" t="s">
        <v>238</v>
      </c>
      <c r="B34" s="285" t="s">
        <v>121</v>
      </c>
      <c r="C34" s="285"/>
      <c r="D34" s="285"/>
      <c r="E34" s="286"/>
      <c r="F34" s="290"/>
      <c r="G34" s="1632"/>
      <c r="H34" s="1632"/>
    </row>
    <row r="35" spans="1:9" ht="30.75" customHeight="1">
      <c r="A35" s="285"/>
      <c r="B35" s="781" t="s">
        <v>982</v>
      </c>
      <c r="C35" s="285" t="s">
        <v>115</v>
      </c>
      <c r="D35" s="285" t="s">
        <v>116</v>
      </c>
      <c r="E35" s="285" t="s">
        <v>117</v>
      </c>
      <c r="F35" s="893">
        <v>750000</v>
      </c>
      <c r="G35" s="1671" t="s">
        <v>828</v>
      </c>
      <c r="H35" s="1632">
        <f>IF(G35="n",0,999999999999999000000)</f>
        <v>9.9999999999999895E+20</v>
      </c>
      <c r="I35" t="s">
        <v>994</v>
      </c>
    </row>
    <row r="36" spans="1:9" ht="30">
      <c r="A36" s="285"/>
      <c r="B36" s="781" t="s">
        <v>983</v>
      </c>
      <c r="C36" s="285" t="s">
        <v>103</v>
      </c>
      <c r="D36" s="285" t="s">
        <v>104</v>
      </c>
      <c r="E36" s="285" t="s">
        <v>105</v>
      </c>
      <c r="F36" s="902"/>
      <c r="G36" s="1671" t="s">
        <v>828</v>
      </c>
      <c r="H36" s="1632">
        <f>IF(G36="n",0,999999999999999000000)</f>
        <v>9.9999999999999895E+20</v>
      </c>
    </row>
    <row r="37" spans="1:9" ht="30">
      <c r="A37" s="285"/>
      <c r="B37" s="781" t="s">
        <v>906</v>
      </c>
      <c r="C37" s="285" t="s">
        <v>122</v>
      </c>
      <c r="D37" s="294">
        <v>3</v>
      </c>
      <c r="E37" s="902"/>
      <c r="F37" s="290">
        <f>D37*E37</f>
        <v>0</v>
      </c>
      <c r="G37" s="1671" t="s">
        <v>828</v>
      </c>
      <c r="H37" s="1632">
        <f t="shared" ref="H37:H40" si="1">IF(G37="n",0,999999999999999000000)</f>
        <v>9.9999999999999895E+20</v>
      </c>
    </row>
    <row r="38" spans="1:9">
      <c r="A38" s="285"/>
      <c r="B38" s="781" t="s">
        <v>907</v>
      </c>
      <c r="C38" s="285"/>
      <c r="D38" s="285"/>
      <c r="E38" s="286"/>
      <c r="F38" s="290"/>
      <c r="G38" s="1632"/>
      <c r="H38" s="1632"/>
    </row>
    <row r="39" spans="1:9">
      <c r="A39" s="285"/>
      <c r="B39" s="781" t="s">
        <v>909</v>
      </c>
      <c r="C39" s="285" t="s">
        <v>125</v>
      </c>
      <c r="D39" s="285" t="s">
        <v>126</v>
      </c>
      <c r="E39" s="285" t="s">
        <v>105</v>
      </c>
      <c r="F39" s="892">
        <v>1000000</v>
      </c>
      <c r="G39" s="1671" t="s">
        <v>828</v>
      </c>
      <c r="H39" s="1632">
        <f t="shared" si="1"/>
        <v>9.9999999999999895E+20</v>
      </c>
    </row>
    <row r="40" spans="1:9" ht="30">
      <c r="A40" s="285"/>
      <c r="B40" s="948" t="s">
        <v>908</v>
      </c>
      <c r="C40" s="285" t="s">
        <v>115</v>
      </c>
      <c r="D40" s="285" t="s">
        <v>116</v>
      </c>
      <c r="E40" s="285" t="s">
        <v>117</v>
      </c>
      <c r="F40" s="893">
        <v>500000</v>
      </c>
      <c r="G40" s="1671" t="s">
        <v>828</v>
      </c>
      <c r="H40" s="1632">
        <f t="shared" si="1"/>
        <v>9.9999999999999895E+20</v>
      </c>
    </row>
    <row r="41" spans="1:9">
      <c r="A41" s="285"/>
      <c r="B41" s="285" t="s">
        <v>910</v>
      </c>
      <c r="C41" s="285" t="s">
        <v>115</v>
      </c>
      <c r="D41" s="285" t="s">
        <v>116</v>
      </c>
      <c r="E41" s="285" t="s">
        <v>117</v>
      </c>
      <c r="F41" s="893">
        <v>150000</v>
      </c>
      <c r="G41" s="1671" t="s">
        <v>828</v>
      </c>
      <c r="H41" s="1632">
        <f>IF(G41="n",0,999999999999999000000)</f>
        <v>9.9999999999999895E+20</v>
      </c>
    </row>
    <row r="42" spans="1:9" ht="30" customHeight="1">
      <c r="A42" s="285"/>
      <c r="B42" s="781" t="s">
        <v>911</v>
      </c>
      <c r="C42" s="285" t="s">
        <v>122</v>
      </c>
      <c r="D42" s="294">
        <v>3</v>
      </c>
      <c r="E42" s="902"/>
      <c r="F42" s="290">
        <f>D42*E42</f>
        <v>0</v>
      </c>
      <c r="G42" s="1672" t="s">
        <v>828</v>
      </c>
      <c r="H42" s="1632">
        <f>IF(G42="n",0,999999999999999000000)</f>
        <v>9.9999999999999895E+20</v>
      </c>
    </row>
    <row r="43" spans="1:9">
      <c r="A43" s="285"/>
      <c r="B43" s="781" t="s">
        <v>984</v>
      </c>
      <c r="C43" s="285"/>
      <c r="D43" s="285"/>
      <c r="E43" s="286"/>
      <c r="F43" s="290"/>
      <c r="G43" s="1632"/>
      <c r="H43" s="1632"/>
    </row>
    <row r="44" spans="1:9">
      <c r="A44" s="285"/>
      <c r="B44" s="949" t="s">
        <v>912</v>
      </c>
      <c r="C44" s="285" t="s">
        <v>115</v>
      </c>
      <c r="D44" s="285" t="s">
        <v>116</v>
      </c>
      <c r="E44" s="285" t="s">
        <v>117</v>
      </c>
      <c r="F44" s="893">
        <v>12000000</v>
      </c>
      <c r="G44" s="1671" t="s">
        <v>828</v>
      </c>
      <c r="H44" s="1632">
        <f t="shared" ref="H44:H45" si="2">IF(G44="n",0,999999999999999000000)</f>
        <v>9.9999999999999895E+20</v>
      </c>
    </row>
    <row r="45" spans="1:9" ht="30">
      <c r="A45" s="285"/>
      <c r="B45" s="781" t="s">
        <v>985</v>
      </c>
      <c r="C45" s="285" t="s">
        <v>103</v>
      </c>
      <c r="D45" s="285" t="s">
        <v>104</v>
      </c>
      <c r="E45" s="285" t="s">
        <v>105</v>
      </c>
      <c r="F45" s="902"/>
      <c r="G45" s="1671" t="s">
        <v>828</v>
      </c>
      <c r="H45" s="1632">
        <f t="shared" si="2"/>
        <v>9.9999999999999895E+20</v>
      </c>
    </row>
    <row r="46" spans="1:9">
      <c r="A46" s="287" t="s">
        <v>576</v>
      </c>
      <c r="B46" s="285" t="s">
        <v>562</v>
      </c>
      <c r="C46" s="285"/>
      <c r="D46" s="285"/>
      <c r="E46" s="286"/>
      <c r="F46" s="290"/>
      <c r="G46" s="1632"/>
      <c r="H46" s="1632"/>
    </row>
    <row r="47" spans="1:9">
      <c r="A47" s="285"/>
      <c r="B47" s="285" t="s">
        <v>577</v>
      </c>
      <c r="C47" s="285" t="s">
        <v>103</v>
      </c>
      <c r="D47" s="285" t="s">
        <v>104</v>
      </c>
      <c r="E47" s="285" t="s">
        <v>105</v>
      </c>
      <c r="F47" s="902"/>
      <c r="G47" s="1671" t="s">
        <v>828</v>
      </c>
      <c r="H47" s="1632">
        <f>IF(G47="n",0,999999999999999000000)</f>
        <v>9.9999999999999895E+20</v>
      </c>
    </row>
    <row r="48" spans="1:9">
      <c r="A48" s="285"/>
      <c r="B48" s="781" t="s">
        <v>578</v>
      </c>
      <c r="C48" s="285" t="s">
        <v>162</v>
      </c>
      <c r="D48" s="294">
        <v>211</v>
      </c>
      <c r="E48" s="902"/>
      <c r="F48" s="290">
        <f>D48*E48</f>
        <v>0</v>
      </c>
      <c r="G48" s="1671" t="s">
        <v>828</v>
      </c>
      <c r="H48" s="1632">
        <f>IF(G48="n",0,999999999999999000000)</f>
        <v>9.9999999999999895E+20</v>
      </c>
    </row>
    <row r="49" spans="1:8">
      <c r="A49" s="285"/>
      <c r="B49" s="781" t="s">
        <v>615</v>
      </c>
      <c r="C49" s="285" t="s">
        <v>162</v>
      </c>
      <c r="D49" s="294">
        <v>844</v>
      </c>
      <c r="E49" s="902"/>
      <c r="F49" s="290">
        <f>D49*E49</f>
        <v>0</v>
      </c>
      <c r="G49" s="1671" t="s">
        <v>828</v>
      </c>
      <c r="H49" s="1632">
        <f>IF(G49="n",0,999999999999999000000)</f>
        <v>9.9999999999999895E+20</v>
      </c>
    </row>
    <row r="50" spans="1:8">
      <c r="A50" s="285"/>
      <c r="B50" s="781" t="s">
        <v>616</v>
      </c>
      <c r="C50" s="285" t="s">
        <v>162</v>
      </c>
      <c r="D50" s="294">
        <v>60</v>
      </c>
      <c r="E50" s="902"/>
      <c r="F50" s="290">
        <f>D50*E50</f>
        <v>0</v>
      </c>
      <c r="G50" s="1671" t="s">
        <v>828</v>
      </c>
      <c r="H50" s="1632">
        <f>IF(G50="n",0,999999999999999000000)</f>
        <v>9.9999999999999895E+20</v>
      </c>
    </row>
    <row r="51" spans="1:8">
      <c r="A51" s="285"/>
      <c r="B51" s="781" t="s">
        <v>617</v>
      </c>
      <c r="C51" s="285" t="s">
        <v>162</v>
      </c>
      <c r="D51" s="294">
        <v>20</v>
      </c>
      <c r="E51" s="902"/>
      <c r="F51" s="290">
        <f>D51*E51</f>
        <v>0</v>
      </c>
      <c r="G51" s="1671" t="s">
        <v>828</v>
      </c>
      <c r="H51" s="1632">
        <f>IF(G51="n",0,999999999999999000000)</f>
        <v>9.9999999999999895E+20</v>
      </c>
    </row>
    <row r="52" spans="1:8">
      <c r="A52" s="285"/>
      <c r="B52" s="781" t="s">
        <v>618</v>
      </c>
      <c r="C52" s="285"/>
      <c r="D52" s="285"/>
      <c r="E52" s="286"/>
      <c r="F52" s="290"/>
      <c r="G52" s="1632"/>
      <c r="H52" s="1632"/>
    </row>
    <row r="53" spans="1:8">
      <c r="A53" s="285"/>
      <c r="B53" s="781" t="s">
        <v>829</v>
      </c>
      <c r="C53" s="285" t="s">
        <v>162</v>
      </c>
      <c r="D53" s="294">
        <v>1688</v>
      </c>
      <c r="E53" s="902"/>
      <c r="F53" s="290">
        <f>D53*E53</f>
        <v>0</v>
      </c>
      <c r="G53" s="1671" t="s">
        <v>828</v>
      </c>
      <c r="H53" s="1632">
        <f>IF(G53="n",0,999999999999999000000)</f>
        <v>9.9999999999999895E+20</v>
      </c>
    </row>
    <row r="54" spans="1:8">
      <c r="A54" s="285"/>
      <c r="B54" s="781" t="s">
        <v>830</v>
      </c>
      <c r="C54" s="285" t="s">
        <v>162</v>
      </c>
      <c r="D54" s="294">
        <v>1055</v>
      </c>
      <c r="E54" s="902"/>
      <c r="F54" s="290">
        <f>D54*E54</f>
        <v>0</v>
      </c>
      <c r="G54" s="1671" t="s">
        <v>828</v>
      </c>
      <c r="H54" s="1632">
        <f>IF(G54="n",0,999999999999999000000)</f>
        <v>9.9999999999999895E+20</v>
      </c>
    </row>
    <row r="55" spans="1:8">
      <c r="A55" s="287" t="s">
        <v>904</v>
      </c>
      <c r="B55" s="285" t="s">
        <v>579</v>
      </c>
      <c r="C55" s="285"/>
      <c r="D55" s="285"/>
      <c r="E55" s="286"/>
      <c r="F55" s="290"/>
      <c r="G55" s="1632"/>
      <c r="H55" s="1632"/>
    </row>
    <row r="56" spans="1:8">
      <c r="A56" s="285"/>
      <c r="B56" s="696" t="s">
        <v>718</v>
      </c>
      <c r="C56" s="285"/>
      <c r="D56" s="285"/>
      <c r="E56" s="286"/>
      <c r="F56" s="290"/>
      <c r="G56" s="1632"/>
      <c r="H56" s="1632"/>
    </row>
    <row r="57" spans="1:8">
      <c r="A57" s="285"/>
      <c r="B57" s="781" t="s">
        <v>831</v>
      </c>
      <c r="C57" s="285" t="s">
        <v>162</v>
      </c>
      <c r="D57" s="294">
        <v>844</v>
      </c>
      <c r="E57" s="902"/>
      <c r="F57" s="290">
        <f t="shared" ref="F57:F84" si="3">D57*E57</f>
        <v>0</v>
      </c>
      <c r="G57" s="1671" t="s">
        <v>828</v>
      </c>
      <c r="H57" s="1632">
        <f t="shared" ref="H57:H86" si="4">IF(G57="n",0,999999999999999000000)</f>
        <v>9.9999999999999895E+20</v>
      </c>
    </row>
    <row r="58" spans="1:8">
      <c r="A58" s="285"/>
      <c r="B58" s="781" t="s">
        <v>832</v>
      </c>
      <c r="C58" s="285" t="s">
        <v>162</v>
      </c>
      <c r="D58" s="294">
        <v>844</v>
      </c>
      <c r="E58" s="902"/>
      <c r="F58" s="290">
        <f t="shared" si="3"/>
        <v>0</v>
      </c>
      <c r="G58" s="1671" t="s">
        <v>828</v>
      </c>
      <c r="H58" s="1632">
        <f t="shared" si="4"/>
        <v>9.9999999999999895E+20</v>
      </c>
    </row>
    <row r="59" spans="1:8">
      <c r="A59" s="285"/>
      <c r="B59" s="781" t="s">
        <v>833</v>
      </c>
      <c r="C59" s="285" t="s">
        <v>162</v>
      </c>
      <c r="D59" s="294">
        <v>1055</v>
      </c>
      <c r="E59" s="902"/>
      <c r="F59" s="290">
        <f t="shared" si="3"/>
        <v>0</v>
      </c>
      <c r="G59" s="1671" t="s">
        <v>828</v>
      </c>
      <c r="H59" s="1632">
        <f t="shared" si="4"/>
        <v>9.9999999999999895E+20</v>
      </c>
    </row>
    <row r="60" spans="1:8">
      <c r="A60" s="285"/>
      <c r="B60" s="781" t="s">
        <v>622</v>
      </c>
      <c r="C60" s="285" t="s">
        <v>162</v>
      </c>
      <c r="D60" s="294">
        <v>1055</v>
      </c>
      <c r="E60" s="902"/>
      <c r="F60" s="290">
        <f t="shared" si="3"/>
        <v>0</v>
      </c>
      <c r="G60" s="1671" t="s">
        <v>828</v>
      </c>
      <c r="H60" s="1632">
        <f t="shared" si="4"/>
        <v>9.9999999999999895E+20</v>
      </c>
    </row>
    <row r="61" spans="1:8">
      <c r="A61" s="285"/>
      <c r="B61" s="781" t="s">
        <v>623</v>
      </c>
      <c r="C61" s="285" t="s">
        <v>162</v>
      </c>
      <c r="D61" s="294">
        <v>844</v>
      </c>
      <c r="E61" s="902"/>
      <c r="F61" s="290">
        <f t="shared" si="3"/>
        <v>0</v>
      </c>
      <c r="G61" s="1671" t="s">
        <v>828</v>
      </c>
      <c r="H61" s="1632">
        <f t="shared" si="4"/>
        <v>9.9999999999999895E+20</v>
      </c>
    </row>
    <row r="62" spans="1:8">
      <c r="A62" s="285"/>
      <c r="B62" s="781" t="s">
        <v>624</v>
      </c>
      <c r="C62" s="285" t="s">
        <v>162</v>
      </c>
      <c r="D62" s="294">
        <v>84</v>
      </c>
      <c r="E62" s="902"/>
      <c r="F62" s="290">
        <f t="shared" si="3"/>
        <v>0</v>
      </c>
      <c r="G62" s="1671" t="s">
        <v>828</v>
      </c>
      <c r="H62" s="1632">
        <f t="shared" si="4"/>
        <v>9.9999999999999895E+20</v>
      </c>
    </row>
    <row r="63" spans="1:8">
      <c r="A63" s="285"/>
      <c r="B63" s="781" t="s">
        <v>625</v>
      </c>
      <c r="C63" s="285" t="s">
        <v>162</v>
      </c>
      <c r="D63" s="294">
        <v>844</v>
      </c>
      <c r="E63" s="902"/>
      <c r="F63" s="290">
        <f t="shared" si="3"/>
        <v>0</v>
      </c>
      <c r="G63" s="1671" t="s">
        <v>828</v>
      </c>
      <c r="H63" s="1632">
        <f t="shared" si="4"/>
        <v>9.9999999999999895E+20</v>
      </c>
    </row>
    <row r="64" spans="1:8">
      <c r="A64" s="285"/>
      <c r="B64" s="781" t="s">
        <v>626</v>
      </c>
      <c r="C64" s="285" t="s">
        <v>162</v>
      </c>
      <c r="D64" s="294">
        <v>84</v>
      </c>
      <c r="E64" s="902"/>
      <c r="F64" s="290">
        <f t="shared" si="3"/>
        <v>0</v>
      </c>
      <c r="G64" s="1671" t="s">
        <v>828</v>
      </c>
      <c r="H64" s="1632">
        <f t="shared" si="4"/>
        <v>9.9999999999999895E+20</v>
      </c>
    </row>
    <row r="65" spans="1:8">
      <c r="A65" s="285"/>
      <c r="B65" s="781" t="s">
        <v>627</v>
      </c>
      <c r="C65" s="285" t="s">
        <v>162</v>
      </c>
      <c r="D65" s="294">
        <v>84</v>
      </c>
      <c r="E65" s="902"/>
      <c r="F65" s="290">
        <f t="shared" si="3"/>
        <v>0</v>
      </c>
      <c r="G65" s="1671" t="s">
        <v>828</v>
      </c>
      <c r="H65" s="1632">
        <f t="shared" si="4"/>
        <v>9.9999999999999895E+20</v>
      </c>
    </row>
    <row r="66" spans="1:8">
      <c r="A66" s="285"/>
      <c r="B66" s="781" t="s">
        <v>628</v>
      </c>
      <c r="C66" s="285" t="s">
        <v>162</v>
      </c>
      <c r="D66" s="294">
        <v>42</v>
      </c>
      <c r="E66" s="902"/>
      <c r="F66" s="290">
        <f t="shared" si="3"/>
        <v>0</v>
      </c>
      <c r="G66" s="1671" t="s">
        <v>828</v>
      </c>
      <c r="H66" s="1632">
        <f t="shared" si="4"/>
        <v>9.9999999999999895E+20</v>
      </c>
    </row>
    <row r="67" spans="1:8">
      <c r="A67" s="285"/>
      <c r="B67" s="781" t="s">
        <v>629</v>
      </c>
      <c r="C67" s="285" t="s">
        <v>162</v>
      </c>
      <c r="D67" s="294">
        <v>21</v>
      </c>
      <c r="E67" s="902"/>
      <c r="F67" s="290">
        <f t="shared" si="3"/>
        <v>0</v>
      </c>
      <c r="G67" s="1671" t="s">
        <v>828</v>
      </c>
      <c r="H67" s="1632">
        <f t="shared" si="4"/>
        <v>9.9999999999999895E+20</v>
      </c>
    </row>
    <row r="68" spans="1:8">
      <c r="A68" s="285"/>
      <c r="B68" s="781" t="s">
        <v>630</v>
      </c>
      <c r="C68" s="285" t="s">
        <v>162</v>
      </c>
      <c r="D68" s="294">
        <v>84</v>
      </c>
      <c r="E68" s="902"/>
      <c r="F68" s="290">
        <f t="shared" si="3"/>
        <v>0</v>
      </c>
      <c r="G68" s="1671" t="s">
        <v>828</v>
      </c>
      <c r="H68" s="1632">
        <f t="shared" si="4"/>
        <v>9.9999999999999895E+20</v>
      </c>
    </row>
    <row r="69" spans="1:8">
      <c r="A69" s="285"/>
      <c r="B69" s="781" t="s">
        <v>631</v>
      </c>
      <c r="C69" s="285" t="s">
        <v>162</v>
      </c>
      <c r="D69" s="294">
        <v>4</v>
      </c>
      <c r="E69" s="902"/>
      <c r="F69" s="290">
        <f t="shared" si="3"/>
        <v>0</v>
      </c>
      <c r="G69" s="1671" t="s">
        <v>828</v>
      </c>
      <c r="H69" s="1632">
        <f t="shared" si="4"/>
        <v>9.9999999999999895E+20</v>
      </c>
    </row>
    <row r="70" spans="1:8">
      <c r="A70" s="285"/>
      <c r="B70" s="781" t="s">
        <v>632</v>
      </c>
      <c r="C70" s="285" t="s">
        <v>162</v>
      </c>
      <c r="D70" s="294">
        <v>4</v>
      </c>
      <c r="E70" s="902"/>
      <c r="F70" s="290">
        <f t="shared" si="3"/>
        <v>0</v>
      </c>
      <c r="G70" s="1671" t="s">
        <v>828</v>
      </c>
      <c r="H70" s="1632">
        <f t="shared" si="4"/>
        <v>9.9999999999999895E+20</v>
      </c>
    </row>
    <row r="71" spans="1:8">
      <c r="A71" s="285"/>
      <c r="B71" s="781" t="s">
        <v>633</v>
      </c>
      <c r="C71" s="285" t="s">
        <v>162</v>
      </c>
      <c r="D71" s="294">
        <v>4</v>
      </c>
      <c r="E71" s="902"/>
      <c r="F71" s="290">
        <f t="shared" si="3"/>
        <v>0</v>
      </c>
      <c r="G71" s="1671" t="s">
        <v>828</v>
      </c>
      <c r="H71" s="1632">
        <f t="shared" si="4"/>
        <v>9.9999999999999895E+20</v>
      </c>
    </row>
    <row r="72" spans="1:8">
      <c r="A72" s="285"/>
      <c r="B72" s="781" t="s">
        <v>634</v>
      </c>
      <c r="C72" s="285" t="s">
        <v>162</v>
      </c>
      <c r="D72" s="294">
        <v>4</v>
      </c>
      <c r="E72" s="902"/>
      <c r="F72" s="290">
        <f t="shared" si="3"/>
        <v>0</v>
      </c>
      <c r="G72" s="1671" t="s">
        <v>828</v>
      </c>
      <c r="H72" s="1632">
        <f t="shared" si="4"/>
        <v>9.9999999999999895E+20</v>
      </c>
    </row>
    <row r="73" spans="1:8">
      <c r="A73" s="285"/>
      <c r="B73" s="781" t="s">
        <v>635</v>
      </c>
      <c r="C73" s="285" t="s">
        <v>162</v>
      </c>
      <c r="D73" s="294">
        <v>2</v>
      </c>
      <c r="E73" s="902"/>
      <c r="F73" s="290">
        <f t="shared" si="3"/>
        <v>0</v>
      </c>
      <c r="G73" s="1671" t="s">
        <v>828</v>
      </c>
      <c r="H73" s="1632">
        <f t="shared" si="4"/>
        <v>9.9999999999999895E+20</v>
      </c>
    </row>
    <row r="74" spans="1:8">
      <c r="A74" s="285"/>
      <c r="B74" s="781" t="s">
        <v>636</v>
      </c>
      <c r="C74" s="285" t="s">
        <v>162</v>
      </c>
      <c r="D74" s="294">
        <v>10</v>
      </c>
      <c r="E74" s="902"/>
      <c r="F74" s="290">
        <f t="shared" si="3"/>
        <v>0</v>
      </c>
      <c r="G74" s="1671" t="s">
        <v>828</v>
      </c>
      <c r="H74" s="1632">
        <f t="shared" si="4"/>
        <v>9.9999999999999895E+20</v>
      </c>
    </row>
    <row r="75" spans="1:8">
      <c r="A75" s="285"/>
      <c r="B75" s="781" t="s">
        <v>637</v>
      </c>
      <c r="C75" s="285" t="s">
        <v>162</v>
      </c>
      <c r="D75" s="294">
        <v>10</v>
      </c>
      <c r="E75" s="902"/>
      <c r="F75" s="290">
        <f t="shared" si="3"/>
        <v>0</v>
      </c>
      <c r="G75" s="1671" t="s">
        <v>828</v>
      </c>
      <c r="H75" s="1632">
        <f t="shared" si="4"/>
        <v>9.9999999999999895E+20</v>
      </c>
    </row>
    <row r="76" spans="1:8">
      <c r="A76" s="285"/>
      <c r="B76" s="781" t="s">
        <v>638</v>
      </c>
      <c r="C76" s="285" t="s">
        <v>162</v>
      </c>
      <c r="D76" s="294">
        <v>10</v>
      </c>
      <c r="E76" s="902"/>
      <c r="F76" s="290">
        <f t="shared" si="3"/>
        <v>0</v>
      </c>
      <c r="G76" s="1671" t="s">
        <v>828</v>
      </c>
      <c r="H76" s="1632">
        <f t="shared" si="4"/>
        <v>9.9999999999999895E+20</v>
      </c>
    </row>
    <row r="77" spans="1:8">
      <c r="A77" s="285"/>
      <c r="B77" s="781" t="s">
        <v>639</v>
      </c>
      <c r="C77" s="285" t="s">
        <v>162</v>
      </c>
      <c r="D77" s="294">
        <v>0</v>
      </c>
      <c r="E77" s="902"/>
      <c r="F77" s="290">
        <f t="shared" si="3"/>
        <v>0</v>
      </c>
      <c r="G77" s="1671" t="s">
        <v>828</v>
      </c>
      <c r="H77" s="1632">
        <f t="shared" si="4"/>
        <v>9.9999999999999895E+20</v>
      </c>
    </row>
    <row r="78" spans="1:8">
      <c r="A78" s="285"/>
      <c r="B78" s="781" t="s">
        <v>640</v>
      </c>
      <c r="C78" s="285" t="s">
        <v>162</v>
      </c>
      <c r="D78" s="294">
        <v>0</v>
      </c>
      <c r="E78" s="902"/>
      <c r="F78" s="290">
        <f t="shared" si="3"/>
        <v>0</v>
      </c>
      <c r="G78" s="1671" t="s">
        <v>828</v>
      </c>
      <c r="H78" s="1632">
        <f t="shared" si="4"/>
        <v>9.9999999999999895E+20</v>
      </c>
    </row>
    <row r="79" spans="1:8">
      <c r="A79" s="285"/>
      <c r="B79" s="781" t="s">
        <v>641</v>
      </c>
      <c r="C79" s="285" t="s">
        <v>162</v>
      </c>
      <c r="D79" s="294">
        <v>60</v>
      </c>
      <c r="E79" s="902"/>
      <c r="F79" s="290">
        <f t="shared" si="3"/>
        <v>0</v>
      </c>
      <c r="G79" s="1671" t="s">
        <v>828</v>
      </c>
      <c r="H79" s="1632">
        <f t="shared" si="4"/>
        <v>9.9999999999999895E+20</v>
      </c>
    </row>
    <row r="80" spans="1:8">
      <c r="A80" s="285"/>
      <c r="B80" s="781" t="s">
        <v>642</v>
      </c>
      <c r="C80" s="285" t="s">
        <v>162</v>
      </c>
      <c r="D80" s="294">
        <v>60</v>
      </c>
      <c r="E80" s="902"/>
      <c r="F80" s="290">
        <f t="shared" si="3"/>
        <v>0</v>
      </c>
      <c r="G80" s="1671" t="s">
        <v>828</v>
      </c>
      <c r="H80" s="1632">
        <f t="shared" si="4"/>
        <v>9.9999999999999895E+20</v>
      </c>
    </row>
    <row r="81" spans="1:8">
      <c r="A81" s="285"/>
      <c r="B81" s="781" t="s">
        <v>643</v>
      </c>
      <c r="C81" s="285" t="s">
        <v>162</v>
      </c>
      <c r="D81" s="294">
        <v>8</v>
      </c>
      <c r="E81" s="902"/>
      <c r="F81" s="290">
        <f t="shared" si="3"/>
        <v>0</v>
      </c>
      <c r="G81" s="1671" t="s">
        <v>828</v>
      </c>
      <c r="H81" s="1632">
        <f t="shared" si="4"/>
        <v>9.9999999999999895E+20</v>
      </c>
    </row>
    <row r="82" spans="1:8">
      <c r="A82" s="285"/>
      <c r="B82" s="781" t="s">
        <v>644</v>
      </c>
      <c r="C82" s="285" t="s">
        <v>162</v>
      </c>
      <c r="D82" s="294">
        <v>30</v>
      </c>
      <c r="E82" s="902"/>
      <c r="F82" s="290">
        <f t="shared" si="3"/>
        <v>0</v>
      </c>
      <c r="G82" s="1671" t="s">
        <v>828</v>
      </c>
      <c r="H82" s="1632">
        <f t="shared" si="4"/>
        <v>9.9999999999999895E+20</v>
      </c>
    </row>
    <row r="83" spans="1:8">
      <c r="A83" s="285"/>
      <c r="B83" s="781" t="s">
        <v>645</v>
      </c>
      <c r="C83" s="285" t="s">
        <v>162</v>
      </c>
      <c r="D83" s="294">
        <v>30</v>
      </c>
      <c r="E83" s="902"/>
      <c r="F83" s="290">
        <f t="shared" si="3"/>
        <v>0</v>
      </c>
      <c r="G83" s="1671" t="s">
        <v>828</v>
      </c>
      <c r="H83" s="1632">
        <f t="shared" si="4"/>
        <v>9.9999999999999895E+20</v>
      </c>
    </row>
    <row r="84" spans="1:8">
      <c r="A84" s="285"/>
      <c r="B84" s="781" t="s">
        <v>646</v>
      </c>
      <c r="C84" s="285" t="s">
        <v>162</v>
      </c>
      <c r="D84" s="294">
        <v>15</v>
      </c>
      <c r="E84" s="902"/>
      <c r="F84" s="290">
        <f t="shared" si="3"/>
        <v>0</v>
      </c>
      <c r="G84" s="1671" t="s">
        <v>828</v>
      </c>
      <c r="H84" s="1632">
        <f t="shared" si="4"/>
        <v>9.9999999999999895E+20</v>
      </c>
    </row>
    <row r="85" spans="1:8" ht="30">
      <c r="A85" s="285"/>
      <c r="B85" s="781" t="s">
        <v>580</v>
      </c>
      <c r="C85" s="285" t="s">
        <v>115</v>
      </c>
      <c r="D85" s="285" t="s">
        <v>116</v>
      </c>
      <c r="E85" s="285" t="s">
        <v>117</v>
      </c>
      <c r="F85" s="893">
        <v>850000</v>
      </c>
      <c r="G85" s="1671" t="s">
        <v>828</v>
      </c>
      <c r="H85" s="1632">
        <f t="shared" si="4"/>
        <v>9.9999999999999895E+20</v>
      </c>
    </row>
    <row r="86" spans="1:8">
      <c r="A86" s="285"/>
      <c r="B86" s="285" t="s">
        <v>913</v>
      </c>
      <c r="C86" s="285" t="s">
        <v>128</v>
      </c>
      <c r="D86" s="302">
        <f>F85</f>
        <v>850000</v>
      </c>
      <c r="E86" s="903"/>
      <c r="F86" s="290">
        <f>D86*E86</f>
        <v>0</v>
      </c>
      <c r="G86" s="1671" t="s">
        <v>828</v>
      </c>
      <c r="H86" s="1632">
        <f t="shared" si="4"/>
        <v>9.9999999999999895E+20</v>
      </c>
    </row>
    <row r="87" spans="1:8">
      <c r="A87" s="285"/>
      <c r="B87" s="291" t="s">
        <v>201</v>
      </c>
      <c r="C87" s="292"/>
      <c r="D87" s="292"/>
      <c r="E87" s="293"/>
      <c r="F87" s="290">
        <f>SUM(F24:F86)</f>
        <v>19250000</v>
      </c>
      <c r="G87" s="1632"/>
      <c r="H87" s="1632"/>
    </row>
    <row r="88" spans="1:8">
      <c r="A88" s="284">
        <v>3.4</v>
      </c>
      <c r="B88" s="284" t="s">
        <v>129</v>
      </c>
      <c r="C88" s="285"/>
      <c r="D88" s="285"/>
      <c r="E88" s="286"/>
      <c r="F88" s="285"/>
      <c r="G88" s="1632"/>
      <c r="H88" s="1632"/>
    </row>
    <row r="89" spans="1:8" ht="40.9" customHeight="1">
      <c r="A89" s="286"/>
      <c r="B89" s="1625" t="s">
        <v>130</v>
      </c>
      <c r="C89" s="1625"/>
      <c r="D89" s="295"/>
      <c r="E89" s="295"/>
      <c r="F89" s="296"/>
      <c r="G89" s="1632"/>
      <c r="H89" s="1632"/>
    </row>
    <row r="90" spans="1:8">
      <c r="A90" s="297" t="s">
        <v>239</v>
      </c>
      <c r="B90" s="298" t="s">
        <v>131</v>
      </c>
      <c r="C90" s="299"/>
      <c r="D90" s="299"/>
      <c r="E90" s="300"/>
      <c r="F90" s="299"/>
      <c r="G90" s="1632"/>
      <c r="H90" s="1632"/>
    </row>
    <row r="91" spans="1:8">
      <c r="A91" s="285"/>
      <c r="B91" s="285" t="s">
        <v>132</v>
      </c>
      <c r="C91" s="285"/>
      <c r="D91" s="285"/>
      <c r="E91" s="286"/>
      <c r="F91" s="285"/>
      <c r="G91" s="1632"/>
      <c r="H91" s="1632"/>
    </row>
    <row r="92" spans="1:8">
      <c r="A92" s="285"/>
      <c r="B92" s="301" t="s">
        <v>133</v>
      </c>
      <c r="C92" s="285" t="s">
        <v>103</v>
      </c>
      <c r="D92" s="285" t="s">
        <v>104</v>
      </c>
      <c r="E92" s="286" t="s">
        <v>105</v>
      </c>
      <c r="F92" s="302">
        <f>'SUMMARY TENDERED FEE'!E17</f>
        <v>0</v>
      </c>
      <c r="G92" s="1632"/>
      <c r="H92" s="1632"/>
    </row>
    <row r="93" spans="1:8">
      <c r="A93" s="285"/>
      <c r="B93" s="303" t="s">
        <v>134</v>
      </c>
      <c r="C93" s="285" t="s">
        <v>103</v>
      </c>
      <c r="D93" s="285" t="s">
        <v>104</v>
      </c>
      <c r="E93" s="286" t="s">
        <v>105</v>
      </c>
      <c r="F93" s="302">
        <v>0</v>
      </c>
      <c r="G93" s="1632"/>
      <c r="H93" s="1632"/>
    </row>
    <row r="94" spans="1:8">
      <c r="A94" s="285"/>
      <c r="B94" s="285" t="s">
        <v>135</v>
      </c>
      <c r="C94" s="285"/>
      <c r="D94" s="285"/>
      <c r="E94" s="286"/>
      <c r="F94" s="285"/>
      <c r="G94" s="1632"/>
      <c r="H94" s="1632"/>
    </row>
    <row r="95" spans="1:8">
      <c r="A95" s="285"/>
      <c r="B95" s="301" t="s">
        <v>133</v>
      </c>
      <c r="C95" s="285" t="s">
        <v>103</v>
      </c>
      <c r="D95" s="285" t="s">
        <v>104</v>
      </c>
      <c r="E95" s="286" t="s">
        <v>105</v>
      </c>
      <c r="F95" s="302">
        <f>'SUMMARY TENDERED FEE'!E18</f>
        <v>0</v>
      </c>
      <c r="G95" s="1632"/>
      <c r="H95" s="1632"/>
    </row>
    <row r="96" spans="1:8">
      <c r="A96" s="285"/>
      <c r="B96" s="303" t="s">
        <v>134</v>
      </c>
      <c r="C96" s="285" t="s">
        <v>103</v>
      </c>
      <c r="D96" s="285" t="s">
        <v>104</v>
      </c>
      <c r="E96" s="286" t="s">
        <v>105</v>
      </c>
      <c r="F96" s="302">
        <v>0</v>
      </c>
      <c r="G96" s="1632"/>
      <c r="H96" s="1632"/>
    </row>
    <row r="97" spans="1:10">
      <c r="A97" s="285"/>
      <c r="B97" s="285" t="s">
        <v>136</v>
      </c>
      <c r="C97" s="285"/>
      <c r="D97" s="285"/>
      <c r="E97" s="286"/>
      <c r="F97" s="285"/>
      <c r="G97" s="1632"/>
      <c r="H97" s="1632"/>
    </row>
    <row r="98" spans="1:10">
      <c r="A98" s="285"/>
      <c r="B98" s="301" t="s">
        <v>133</v>
      </c>
      <c r="C98" s="285" t="s">
        <v>103</v>
      </c>
      <c r="D98" s="285" t="s">
        <v>104</v>
      </c>
      <c r="E98" s="286" t="s">
        <v>105</v>
      </c>
      <c r="F98" s="302">
        <f>'SUMMARY TENDERED FEE'!E19</f>
        <v>0</v>
      </c>
      <c r="G98" s="1632"/>
      <c r="H98" s="1632"/>
    </row>
    <row r="99" spans="1:10">
      <c r="A99" s="285"/>
      <c r="B99" s="303" t="s">
        <v>134</v>
      </c>
      <c r="C99" s="285" t="s">
        <v>103</v>
      </c>
      <c r="D99" s="285" t="s">
        <v>104</v>
      </c>
      <c r="E99" s="286" t="s">
        <v>105</v>
      </c>
      <c r="F99" s="302">
        <v>0</v>
      </c>
      <c r="G99" s="1632"/>
      <c r="H99" s="1632"/>
      <c r="J99" s="140"/>
    </row>
    <row r="100" spans="1:10">
      <c r="A100" s="285"/>
      <c r="B100" s="285" t="s">
        <v>137</v>
      </c>
      <c r="C100" s="285"/>
      <c r="D100" s="285"/>
      <c r="E100" s="286"/>
      <c r="F100" s="285"/>
      <c r="G100" s="1632"/>
      <c r="H100" s="1632"/>
      <c r="J100" s="140"/>
    </row>
    <row r="101" spans="1:10">
      <c r="A101" s="285"/>
      <c r="B101" s="301" t="s">
        <v>133</v>
      </c>
      <c r="C101" s="285" t="s">
        <v>103</v>
      </c>
      <c r="D101" s="285" t="s">
        <v>104</v>
      </c>
      <c r="E101" s="286" t="s">
        <v>105</v>
      </c>
      <c r="F101" s="302">
        <f>'SUMMARY TENDERED FEE'!E20</f>
        <v>0</v>
      </c>
      <c r="G101" s="1632"/>
      <c r="H101" s="1632"/>
      <c r="J101" s="140"/>
    </row>
    <row r="102" spans="1:10">
      <c r="A102" s="285"/>
      <c r="B102" s="303" t="s">
        <v>134</v>
      </c>
      <c r="C102" s="285" t="s">
        <v>103</v>
      </c>
      <c r="D102" s="285" t="s">
        <v>104</v>
      </c>
      <c r="E102" s="286" t="s">
        <v>105</v>
      </c>
      <c r="F102" s="302">
        <v>0</v>
      </c>
      <c r="G102" s="1632"/>
      <c r="H102" s="1632"/>
      <c r="J102" s="140"/>
    </row>
    <row r="103" spans="1:10">
      <c r="A103" s="285"/>
      <c r="B103" s="285" t="s">
        <v>138</v>
      </c>
      <c r="C103" s="285"/>
      <c r="D103" s="285"/>
      <c r="E103" s="286"/>
      <c r="F103" s="285"/>
      <c r="G103" s="1632"/>
      <c r="H103" s="1632"/>
      <c r="J103" s="140"/>
    </row>
    <row r="104" spans="1:10">
      <c r="A104" s="285"/>
      <c r="B104" s="301" t="s">
        <v>133</v>
      </c>
      <c r="C104" s="285" t="s">
        <v>103</v>
      </c>
      <c r="D104" s="285" t="s">
        <v>104</v>
      </c>
      <c r="E104" s="286" t="s">
        <v>105</v>
      </c>
      <c r="F104" s="302">
        <f>'SUMMARY TENDERED FEE'!E21</f>
        <v>0</v>
      </c>
      <c r="G104" s="1632"/>
      <c r="H104" s="1632"/>
    </row>
    <row r="105" spans="1:10">
      <c r="A105" s="285"/>
      <c r="B105" s="303" t="s">
        <v>134</v>
      </c>
      <c r="C105" s="285" t="s">
        <v>103</v>
      </c>
      <c r="D105" s="285" t="s">
        <v>104</v>
      </c>
      <c r="E105" s="286" t="s">
        <v>105</v>
      </c>
      <c r="F105" s="302">
        <v>0</v>
      </c>
      <c r="G105" s="1632"/>
      <c r="H105" s="1632"/>
    </row>
    <row r="106" spans="1:10">
      <c r="A106" s="285"/>
      <c r="B106" s="285" t="s">
        <v>139</v>
      </c>
      <c r="C106" s="285"/>
      <c r="D106" s="285"/>
      <c r="E106" s="286"/>
      <c r="F106" s="285"/>
      <c r="G106" s="1632"/>
      <c r="H106" s="1632"/>
    </row>
    <row r="107" spans="1:10">
      <c r="A107" s="285"/>
      <c r="B107" s="301" t="s">
        <v>133</v>
      </c>
      <c r="C107" s="285" t="s">
        <v>103</v>
      </c>
      <c r="D107" s="285" t="s">
        <v>104</v>
      </c>
      <c r="E107" s="286" t="s">
        <v>105</v>
      </c>
      <c r="F107" s="302">
        <f>'SUMMARY TENDERED FEE'!E22</f>
        <v>0</v>
      </c>
      <c r="G107" s="1632"/>
      <c r="H107" s="1632"/>
    </row>
    <row r="108" spans="1:10">
      <c r="A108" s="285"/>
      <c r="B108" s="303" t="s">
        <v>134</v>
      </c>
      <c r="C108" s="285" t="s">
        <v>103</v>
      </c>
      <c r="D108" s="285" t="s">
        <v>104</v>
      </c>
      <c r="E108" s="286" t="s">
        <v>105</v>
      </c>
      <c r="F108" s="302">
        <v>0</v>
      </c>
      <c r="G108" s="1632"/>
      <c r="H108" s="1632"/>
    </row>
    <row r="109" spans="1:10">
      <c r="A109" s="285"/>
      <c r="B109" s="285" t="s">
        <v>140</v>
      </c>
      <c r="C109" s="285"/>
      <c r="D109" s="285"/>
      <c r="E109" s="286"/>
      <c r="F109" s="285"/>
      <c r="G109" s="1632"/>
      <c r="H109" s="1632"/>
    </row>
    <row r="110" spans="1:10">
      <c r="A110" s="285"/>
      <c r="B110" s="301" t="s">
        <v>133</v>
      </c>
      <c r="C110" s="285" t="s">
        <v>103</v>
      </c>
      <c r="D110" s="285" t="s">
        <v>104</v>
      </c>
      <c r="E110" s="286" t="s">
        <v>105</v>
      </c>
      <c r="F110" s="302">
        <f>'SUMMARY TENDERED FEE'!E23</f>
        <v>0</v>
      </c>
      <c r="G110" s="1632"/>
      <c r="H110" s="1632"/>
    </row>
    <row r="111" spans="1:10">
      <c r="A111" s="285"/>
      <c r="B111" s="303" t="s">
        <v>141</v>
      </c>
      <c r="C111" s="285" t="s">
        <v>103</v>
      </c>
      <c r="D111" s="285" t="s">
        <v>104</v>
      </c>
      <c r="E111" s="286" t="s">
        <v>105</v>
      </c>
      <c r="F111" s="302">
        <v>0</v>
      </c>
      <c r="G111" s="1632"/>
      <c r="H111" s="1632"/>
    </row>
    <row r="112" spans="1:10">
      <c r="A112" s="297" t="s">
        <v>240</v>
      </c>
      <c r="B112" s="298" t="s">
        <v>142</v>
      </c>
      <c r="C112" s="299"/>
      <c r="D112" s="299"/>
      <c r="E112" s="300"/>
      <c r="F112" s="299"/>
      <c r="G112" s="1632"/>
      <c r="H112" s="1632"/>
    </row>
    <row r="113" spans="1:9">
      <c r="A113" s="285"/>
      <c r="B113" s="285" t="s">
        <v>132</v>
      </c>
      <c r="C113" s="285"/>
      <c r="D113" s="285"/>
      <c r="E113" s="286"/>
      <c r="F113" s="285"/>
      <c r="G113" s="1632"/>
      <c r="H113" s="1632"/>
      <c r="I113" s="140"/>
    </row>
    <row r="114" spans="1:9">
      <c r="A114" s="285"/>
      <c r="B114" s="301" t="s">
        <v>133</v>
      </c>
      <c r="C114" s="285" t="s">
        <v>103</v>
      </c>
      <c r="D114" s="285" t="s">
        <v>104</v>
      </c>
      <c r="E114" s="286" t="s">
        <v>105</v>
      </c>
      <c r="F114" s="302">
        <f>'SUMMARY TENDERED FEE'!F17</f>
        <v>0</v>
      </c>
      <c r="G114" s="1632"/>
      <c r="H114" s="1632"/>
      <c r="I114" s="140"/>
    </row>
    <row r="115" spans="1:9">
      <c r="A115" s="285"/>
      <c r="B115" s="303" t="s">
        <v>134</v>
      </c>
      <c r="C115" s="285" t="s">
        <v>103</v>
      </c>
      <c r="D115" s="285" t="s">
        <v>104</v>
      </c>
      <c r="E115" s="286" t="s">
        <v>105</v>
      </c>
      <c r="F115" s="302">
        <v>0</v>
      </c>
      <c r="G115" s="1632"/>
      <c r="H115" s="1632"/>
      <c r="I115" s="140"/>
    </row>
    <row r="116" spans="1:9">
      <c r="A116" s="285"/>
      <c r="B116" s="285" t="s">
        <v>135</v>
      </c>
      <c r="C116" s="285"/>
      <c r="D116" s="285"/>
      <c r="E116" s="286"/>
      <c r="F116" s="285"/>
      <c r="G116" s="1632"/>
      <c r="H116" s="1632"/>
      <c r="I116" s="140"/>
    </row>
    <row r="117" spans="1:9">
      <c r="A117" s="285"/>
      <c r="B117" s="301" t="s">
        <v>133</v>
      </c>
      <c r="C117" s="285" t="s">
        <v>103</v>
      </c>
      <c r="D117" s="285" t="s">
        <v>104</v>
      </c>
      <c r="E117" s="286" t="s">
        <v>105</v>
      </c>
      <c r="F117" s="302">
        <f>'SUMMARY TENDERED FEE'!F18</f>
        <v>0</v>
      </c>
      <c r="G117" s="1632"/>
      <c r="H117" s="1632"/>
      <c r="I117" s="140"/>
    </row>
    <row r="118" spans="1:9">
      <c r="A118" s="285"/>
      <c r="B118" s="303" t="s">
        <v>134</v>
      </c>
      <c r="C118" s="285" t="s">
        <v>103</v>
      </c>
      <c r="D118" s="285" t="s">
        <v>104</v>
      </c>
      <c r="E118" s="286" t="s">
        <v>105</v>
      </c>
      <c r="F118" s="302">
        <v>0</v>
      </c>
      <c r="G118" s="1632"/>
      <c r="H118" s="1632"/>
    </row>
    <row r="119" spans="1:9">
      <c r="A119" s="285"/>
      <c r="B119" s="285" t="s">
        <v>136</v>
      </c>
      <c r="C119" s="285"/>
      <c r="D119" s="285"/>
      <c r="E119" s="286"/>
      <c r="F119" s="285"/>
      <c r="G119" s="1632"/>
      <c r="H119" s="1632"/>
    </row>
    <row r="120" spans="1:9">
      <c r="A120" s="285"/>
      <c r="B120" s="301" t="s">
        <v>133</v>
      </c>
      <c r="C120" s="285" t="s">
        <v>103</v>
      </c>
      <c r="D120" s="285" t="s">
        <v>104</v>
      </c>
      <c r="E120" s="286" t="s">
        <v>105</v>
      </c>
      <c r="F120" s="302">
        <f>'SUMMARY TENDERED FEE'!F19</f>
        <v>0</v>
      </c>
      <c r="G120" s="1632"/>
      <c r="H120" s="1632"/>
      <c r="I120" s="140"/>
    </row>
    <row r="121" spans="1:9">
      <c r="A121" s="285"/>
      <c r="B121" s="303" t="s">
        <v>134</v>
      </c>
      <c r="C121" s="285" t="s">
        <v>103</v>
      </c>
      <c r="D121" s="285" t="s">
        <v>104</v>
      </c>
      <c r="E121" s="286" t="s">
        <v>105</v>
      </c>
      <c r="F121" s="302">
        <v>0</v>
      </c>
      <c r="G121" s="1632"/>
      <c r="H121" s="1632"/>
    </row>
    <row r="122" spans="1:9">
      <c r="A122" s="285"/>
      <c r="B122" s="285" t="s">
        <v>137</v>
      </c>
      <c r="C122" s="285"/>
      <c r="D122" s="285"/>
      <c r="E122" s="286"/>
      <c r="F122" s="285"/>
      <c r="G122" s="1632"/>
      <c r="H122" s="1632"/>
    </row>
    <row r="123" spans="1:9">
      <c r="A123" s="285"/>
      <c r="B123" s="301" t="s">
        <v>133</v>
      </c>
      <c r="C123" s="285" t="s">
        <v>103</v>
      </c>
      <c r="D123" s="285" t="s">
        <v>104</v>
      </c>
      <c r="E123" s="286" t="s">
        <v>105</v>
      </c>
      <c r="F123" s="302">
        <f>'SUMMARY TENDERED FEE'!F20</f>
        <v>0</v>
      </c>
      <c r="G123" s="1632"/>
      <c r="H123" s="1632"/>
    </row>
    <row r="124" spans="1:9">
      <c r="A124" s="285"/>
      <c r="B124" s="303" t="s">
        <v>134</v>
      </c>
      <c r="C124" s="285" t="s">
        <v>103</v>
      </c>
      <c r="D124" s="285" t="s">
        <v>104</v>
      </c>
      <c r="E124" s="286" t="s">
        <v>105</v>
      </c>
      <c r="F124" s="302">
        <v>0</v>
      </c>
      <c r="G124" s="1632"/>
      <c r="H124" s="1632"/>
    </row>
    <row r="125" spans="1:9">
      <c r="A125" s="285"/>
      <c r="B125" s="285" t="s">
        <v>138</v>
      </c>
      <c r="C125" s="285"/>
      <c r="D125" s="285"/>
      <c r="E125" s="286"/>
      <c r="F125" s="285"/>
      <c r="G125" s="1632"/>
      <c r="H125" s="1632"/>
    </row>
    <row r="126" spans="1:9">
      <c r="A126" s="285"/>
      <c r="B126" s="301" t="s">
        <v>133</v>
      </c>
      <c r="C126" s="285" t="s">
        <v>103</v>
      </c>
      <c r="D126" s="285" t="s">
        <v>104</v>
      </c>
      <c r="E126" s="286" t="s">
        <v>105</v>
      </c>
      <c r="F126" s="302">
        <f>'SUMMARY TENDERED FEE'!F21</f>
        <v>0</v>
      </c>
      <c r="G126" s="1632"/>
      <c r="H126" s="1632"/>
    </row>
    <row r="127" spans="1:9">
      <c r="A127" s="285"/>
      <c r="B127" s="303" t="s">
        <v>134</v>
      </c>
      <c r="C127" s="285" t="s">
        <v>103</v>
      </c>
      <c r="D127" s="285" t="s">
        <v>104</v>
      </c>
      <c r="E127" s="286" t="s">
        <v>105</v>
      </c>
      <c r="F127" s="302">
        <v>0</v>
      </c>
      <c r="G127" s="1632"/>
      <c r="H127" s="1632"/>
    </row>
    <row r="128" spans="1:9">
      <c r="A128" s="285"/>
      <c r="B128" s="285" t="s">
        <v>139</v>
      </c>
      <c r="C128" s="285"/>
      <c r="D128" s="285"/>
      <c r="E128" s="286"/>
      <c r="F128" s="285"/>
      <c r="G128" s="1632"/>
      <c r="H128" s="1632"/>
    </row>
    <row r="129" spans="1:9">
      <c r="A129" s="285"/>
      <c r="B129" s="301" t="s">
        <v>133</v>
      </c>
      <c r="C129" s="285" t="s">
        <v>103</v>
      </c>
      <c r="D129" s="285" t="s">
        <v>104</v>
      </c>
      <c r="E129" s="286" t="s">
        <v>105</v>
      </c>
      <c r="F129" s="302">
        <f>'SUMMARY TENDERED FEE'!F22</f>
        <v>0</v>
      </c>
      <c r="G129" s="1632"/>
      <c r="H129" s="1632"/>
    </row>
    <row r="130" spans="1:9">
      <c r="A130" s="285"/>
      <c r="B130" s="303" t="s">
        <v>134</v>
      </c>
      <c r="C130" s="285" t="s">
        <v>103</v>
      </c>
      <c r="D130" s="285" t="s">
        <v>104</v>
      </c>
      <c r="E130" s="286" t="s">
        <v>105</v>
      </c>
      <c r="F130" s="302">
        <v>0</v>
      </c>
      <c r="G130" s="1632"/>
      <c r="H130" s="1632"/>
    </row>
    <row r="131" spans="1:9">
      <c r="A131" s="285"/>
      <c r="B131" s="285" t="s">
        <v>140</v>
      </c>
      <c r="C131" s="285"/>
      <c r="D131" s="285"/>
      <c r="E131" s="286"/>
      <c r="F131" s="285"/>
      <c r="G131" s="1632"/>
      <c r="H131" s="1632"/>
    </row>
    <row r="132" spans="1:9">
      <c r="A132" s="285"/>
      <c r="B132" s="301" t="s">
        <v>133</v>
      </c>
      <c r="C132" s="285" t="s">
        <v>103</v>
      </c>
      <c r="D132" s="285" t="s">
        <v>104</v>
      </c>
      <c r="E132" s="286" t="s">
        <v>105</v>
      </c>
      <c r="F132" s="302">
        <f>'SUMMARY TENDERED FEE'!F23</f>
        <v>0</v>
      </c>
      <c r="G132" s="1632"/>
      <c r="H132" s="1632"/>
    </row>
    <row r="133" spans="1:9">
      <c r="A133" s="285"/>
      <c r="B133" s="303" t="s">
        <v>141</v>
      </c>
      <c r="C133" s="285" t="s">
        <v>103</v>
      </c>
      <c r="D133" s="285" t="s">
        <v>104</v>
      </c>
      <c r="E133" s="286" t="s">
        <v>105</v>
      </c>
      <c r="F133" s="302">
        <v>0</v>
      </c>
      <c r="G133" s="1632"/>
      <c r="H133" s="1632"/>
    </row>
    <row r="134" spans="1:9">
      <c r="A134" s="297" t="s">
        <v>241</v>
      </c>
      <c r="B134" s="298" t="s">
        <v>143</v>
      </c>
      <c r="C134" s="299"/>
      <c r="D134" s="299"/>
      <c r="E134" s="300"/>
      <c r="F134" s="299"/>
      <c r="G134" s="1632"/>
      <c r="H134" s="1632"/>
    </row>
    <row r="135" spans="1:9">
      <c r="A135" s="285"/>
      <c r="B135" s="285" t="s">
        <v>132</v>
      </c>
      <c r="C135" s="285"/>
      <c r="D135" s="285"/>
      <c r="E135" s="286"/>
      <c r="F135" s="285"/>
      <c r="G135" s="1632"/>
      <c r="H135" s="1632"/>
    </row>
    <row r="136" spans="1:9">
      <c r="A136" s="285"/>
      <c r="B136" s="301" t="s">
        <v>133</v>
      </c>
      <c r="C136" s="285" t="s">
        <v>103</v>
      </c>
      <c r="D136" s="285" t="s">
        <v>104</v>
      </c>
      <c r="E136" s="286" t="s">
        <v>105</v>
      </c>
      <c r="F136" s="302">
        <f>'SUMMARY TENDERED FEE'!G17</f>
        <v>0</v>
      </c>
      <c r="G136" s="1632"/>
      <c r="H136" s="1632"/>
    </row>
    <row r="137" spans="1:9">
      <c r="A137" s="285"/>
      <c r="B137" s="303" t="s">
        <v>134</v>
      </c>
      <c r="C137" s="285" t="s">
        <v>103</v>
      </c>
      <c r="D137" s="285" t="s">
        <v>104</v>
      </c>
      <c r="E137" s="286" t="s">
        <v>105</v>
      </c>
      <c r="F137" s="302">
        <v>0</v>
      </c>
      <c r="G137" s="1632"/>
      <c r="H137" s="1632"/>
    </row>
    <row r="138" spans="1:9">
      <c r="A138" s="285"/>
      <c r="B138" s="285" t="s">
        <v>135</v>
      </c>
      <c r="C138" s="285"/>
      <c r="D138" s="285"/>
      <c r="E138" s="286"/>
      <c r="F138" s="285"/>
      <c r="G138" s="1632"/>
      <c r="H138" s="1632"/>
    </row>
    <row r="139" spans="1:9">
      <c r="A139" s="285"/>
      <c r="B139" s="301" t="s">
        <v>133</v>
      </c>
      <c r="C139" s="285" t="s">
        <v>103</v>
      </c>
      <c r="D139" s="285" t="s">
        <v>104</v>
      </c>
      <c r="E139" s="286" t="s">
        <v>105</v>
      </c>
      <c r="F139" s="302">
        <f>'SUMMARY TENDERED FEE'!G18</f>
        <v>0</v>
      </c>
      <c r="G139" s="1632"/>
      <c r="H139" s="1632"/>
    </row>
    <row r="140" spans="1:9">
      <c r="A140" s="285"/>
      <c r="B140" s="303" t="s">
        <v>134</v>
      </c>
      <c r="C140" s="285" t="s">
        <v>103</v>
      </c>
      <c r="D140" s="285" t="s">
        <v>104</v>
      </c>
      <c r="E140" s="286" t="s">
        <v>105</v>
      </c>
      <c r="F140" s="302">
        <v>0</v>
      </c>
      <c r="G140" s="1632"/>
      <c r="H140" s="1632"/>
    </row>
    <row r="141" spans="1:9">
      <c r="A141" s="285"/>
      <c r="B141" s="285" t="s">
        <v>136</v>
      </c>
      <c r="C141" s="285"/>
      <c r="D141" s="285"/>
      <c r="E141" s="286"/>
      <c r="F141" s="285"/>
      <c r="G141" s="1632"/>
      <c r="H141" s="1632"/>
    </row>
    <row r="142" spans="1:9">
      <c r="A142" s="285"/>
      <c r="B142" s="301" t="s">
        <v>133</v>
      </c>
      <c r="C142" s="285" t="s">
        <v>103</v>
      </c>
      <c r="D142" s="285" t="s">
        <v>104</v>
      </c>
      <c r="E142" s="286" t="s">
        <v>105</v>
      </c>
      <c r="F142" s="302">
        <f>'SUMMARY TENDERED FEE'!G19</f>
        <v>0</v>
      </c>
      <c r="G142" s="1632"/>
      <c r="H142" s="1632"/>
    </row>
    <row r="143" spans="1:9">
      <c r="A143" s="285"/>
      <c r="B143" s="303" t="s">
        <v>134</v>
      </c>
      <c r="C143" s="285" t="s">
        <v>103</v>
      </c>
      <c r="D143" s="285" t="s">
        <v>104</v>
      </c>
      <c r="E143" s="286" t="s">
        <v>105</v>
      </c>
      <c r="F143" s="302">
        <v>0</v>
      </c>
      <c r="G143" s="1632"/>
      <c r="H143" s="1632"/>
      <c r="I143" s="140"/>
    </row>
    <row r="144" spans="1:9">
      <c r="A144" s="285"/>
      <c r="B144" s="285" t="s">
        <v>137</v>
      </c>
      <c r="C144" s="285"/>
      <c r="D144" s="285"/>
      <c r="E144" s="286"/>
      <c r="F144" s="285"/>
      <c r="G144" s="1632"/>
      <c r="H144" s="1632"/>
    </row>
    <row r="145" spans="1:8">
      <c r="A145" s="285"/>
      <c r="B145" s="301" t="s">
        <v>133</v>
      </c>
      <c r="C145" s="285" t="s">
        <v>103</v>
      </c>
      <c r="D145" s="285" t="s">
        <v>104</v>
      </c>
      <c r="E145" s="286" t="s">
        <v>105</v>
      </c>
      <c r="F145" s="302">
        <f>'SUMMARY TENDERED FEE'!G20</f>
        <v>0</v>
      </c>
      <c r="G145" s="1632"/>
      <c r="H145" s="1632"/>
    </row>
    <row r="146" spans="1:8">
      <c r="A146" s="285"/>
      <c r="B146" s="303" t="s">
        <v>134</v>
      </c>
      <c r="C146" s="285" t="s">
        <v>103</v>
      </c>
      <c r="D146" s="285" t="s">
        <v>104</v>
      </c>
      <c r="E146" s="286" t="s">
        <v>105</v>
      </c>
      <c r="F146" s="302">
        <v>0</v>
      </c>
      <c r="G146" s="1632"/>
      <c r="H146" s="1632"/>
    </row>
    <row r="147" spans="1:8">
      <c r="A147" s="285"/>
      <c r="B147" s="285" t="s">
        <v>138</v>
      </c>
      <c r="C147" s="285"/>
      <c r="D147" s="285"/>
      <c r="E147" s="286"/>
      <c r="F147" s="285"/>
      <c r="G147" s="1632"/>
      <c r="H147" s="1632"/>
    </row>
    <row r="148" spans="1:8">
      <c r="A148" s="285"/>
      <c r="B148" s="301" t="s">
        <v>133</v>
      </c>
      <c r="C148" s="285" t="s">
        <v>103</v>
      </c>
      <c r="D148" s="285" t="s">
        <v>104</v>
      </c>
      <c r="E148" s="286" t="s">
        <v>105</v>
      </c>
      <c r="F148" s="302">
        <f>'SUMMARY TENDERED FEE'!G21</f>
        <v>0</v>
      </c>
      <c r="G148" s="1632"/>
      <c r="H148" s="1632"/>
    </row>
    <row r="149" spans="1:8">
      <c r="A149" s="285"/>
      <c r="B149" s="303" t="s">
        <v>134</v>
      </c>
      <c r="C149" s="285" t="s">
        <v>103</v>
      </c>
      <c r="D149" s="285" t="s">
        <v>104</v>
      </c>
      <c r="E149" s="286" t="s">
        <v>105</v>
      </c>
      <c r="F149" s="302">
        <v>0</v>
      </c>
      <c r="G149" s="1632"/>
      <c r="H149" s="1632"/>
    </row>
    <row r="150" spans="1:8">
      <c r="A150" s="285"/>
      <c r="B150" s="285" t="s">
        <v>139</v>
      </c>
      <c r="C150" s="285"/>
      <c r="D150" s="285"/>
      <c r="E150" s="286"/>
      <c r="F150" s="285"/>
      <c r="G150" s="1632"/>
      <c r="H150" s="1632"/>
    </row>
    <row r="151" spans="1:8">
      <c r="A151" s="285"/>
      <c r="B151" s="301" t="s">
        <v>133</v>
      </c>
      <c r="C151" s="285" t="s">
        <v>103</v>
      </c>
      <c r="D151" s="285" t="s">
        <v>104</v>
      </c>
      <c r="E151" s="286" t="s">
        <v>105</v>
      </c>
      <c r="F151" s="302">
        <f>'SUMMARY TENDERED FEE'!G22</f>
        <v>0</v>
      </c>
      <c r="G151" s="1632"/>
      <c r="H151" s="1632"/>
    </row>
    <row r="152" spans="1:8">
      <c r="A152" s="285"/>
      <c r="B152" s="303" t="s">
        <v>134</v>
      </c>
      <c r="C152" s="285" t="s">
        <v>103</v>
      </c>
      <c r="D152" s="285" t="s">
        <v>104</v>
      </c>
      <c r="E152" s="286" t="s">
        <v>105</v>
      </c>
      <c r="F152" s="302">
        <v>0</v>
      </c>
      <c r="G152" s="1632"/>
      <c r="H152" s="1632"/>
    </row>
    <row r="153" spans="1:8">
      <c r="A153" s="285"/>
      <c r="B153" s="285" t="s">
        <v>140</v>
      </c>
      <c r="C153" s="285"/>
      <c r="D153" s="285"/>
      <c r="E153" s="286"/>
      <c r="F153" s="285"/>
      <c r="G153" s="1632"/>
      <c r="H153" s="1632"/>
    </row>
    <row r="154" spans="1:8">
      <c r="A154" s="285"/>
      <c r="B154" s="301" t="s">
        <v>133</v>
      </c>
      <c r="C154" s="285" t="s">
        <v>103</v>
      </c>
      <c r="D154" s="285" t="s">
        <v>104</v>
      </c>
      <c r="E154" s="286" t="s">
        <v>105</v>
      </c>
      <c r="F154" s="302">
        <f>'SUMMARY TENDERED FEE'!G23</f>
        <v>0</v>
      </c>
      <c r="G154" s="1632"/>
      <c r="H154" s="1632"/>
    </row>
    <row r="155" spans="1:8">
      <c r="A155" s="285"/>
      <c r="B155" s="303" t="s">
        <v>141</v>
      </c>
      <c r="C155" s="285" t="s">
        <v>103</v>
      </c>
      <c r="D155" s="285" t="s">
        <v>104</v>
      </c>
      <c r="E155" s="286" t="s">
        <v>105</v>
      </c>
      <c r="F155" s="302">
        <v>0</v>
      </c>
      <c r="G155" s="1632"/>
      <c r="H155" s="1632"/>
    </row>
    <row r="156" spans="1:8">
      <c r="A156" s="287" t="s">
        <v>242</v>
      </c>
      <c r="B156" s="285" t="s">
        <v>144</v>
      </c>
      <c r="C156" s="285"/>
      <c r="D156" s="285"/>
      <c r="E156" s="286"/>
      <c r="F156" s="285"/>
      <c r="G156" s="1632"/>
      <c r="H156" s="1632"/>
    </row>
    <row r="157" spans="1:8">
      <c r="A157" s="285"/>
      <c r="B157" s="285" t="s">
        <v>145</v>
      </c>
      <c r="C157" s="285" t="s">
        <v>103</v>
      </c>
      <c r="D157" s="285" t="s">
        <v>104</v>
      </c>
      <c r="E157" s="285" t="s">
        <v>105</v>
      </c>
      <c r="F157" s="902"/>
      <c r="G157" s="1671" t="s">
        <v>991</v>
      </c>
      <c r="H157" s="1632">
        <f>IF(G157="n",0,999999999999999000000)</f>
        <v>0</v>
      </c>
    </row>
    <row r="158" spans="1:8">
      <c r="A158" s="285"/>
      <c r="B158" s="285" t="s">
        <v>146</v>
      </c>
      <c r="C158" s="285" t="s">
        <v>103</v>
      </c>
      <c r="D158" s="285" t="s">
        <v>104</v>
      </c>
      <c r="E158" s="285" t="s">
        <v>105</v>
      </c>
      <c r="F158" s="902"/>
      <c r="G158" s="1671" t="s">
        <v>828</v>
      </c>
      <c r="H158" s="1632">
        <f>IF(G158="n",0,999999999999999000000)</f>
        <v>9.9999999999999895E+20</v>
      </c>
    </row>
    <row r="159" spans="1:8">
      <c r="A159" s="285"/>
      <c r="B159" s="285" t="s">
        <v>147</v>
      </c>
      <c r="C159" s="285" t="s">
        <v>103</v>
      </c>
      <c r="D159" s="285" t="s">
        <v>104</v>
      </c>
      <c r="E159" s="285" t="s">
        <v>105</v>
      </c>
      <c r="F159" s="902"/>
      <c r="G159" s="1671" t="s">
        <v>828</v>
      </c>
      <c r="H159" s="1632">
        <f>IF(G159="n",0,999999999999999000000)</f>
        <v>9.9999999999999895E+20</v>
      </c>
    </row>
    <row r="160" spans="1:8">
      <c r="A160" s="287" t="s">
        <v>243</v>
      </c>
      <c r="B160" s="781" t="s">
        <v>914</v>
      </c>
      <c r="C160" s="285"/>
      <c r="D160" s="285"/>
      <c r="E160" s="286"/>
      <c r="F160" s="285"/>
      <c r="G160" s="1632"/>
      <c r="H160" s="1632"/>
    </row>
    <row r="161" spans="1:9" ht="30.75" customHeight="1">
      <c r="A161" s="287"/>
      <c r="B161" s="781" t="s">
        <v>915</v>
      </c>
      <c r="C161" s="285" t="s">
        <v>162</v>
      </c>
      <c r="D161" s="294">
        <v>250</v>
      </c>
      <c r="E161" s="902"/>
      <c r="F161" s="290">
        <f>D161*E161</f>
        <v>0</v>
      </c>
      <c r="G161" s="1671" t="s">
        <v>828</v>
      </c>
      <c r="H161" s="1632">
        <f t="shared" ref="H161:H163" si="5">IF(G161="n",0,999999999999999000000)</f>
        <v>9.9999999999999895E+20</v>
      </c>
      <c r="I161" t="s">
        <v>995</v>
      </c>
    </row>
    <row r="162" spans="1:9" ht="30.75" customHeight="1">
      <c r="A162" s="287"/>
      <c r="B162" s="781" t="s">
        <v>916</v>
      </c>
      <c r="C162" s="285" t="s">
        <v>162</v>
      </c>
      <c r="D162" s="294">
        <v>1</v>
      </c>
      <c r="E162" s="902"/>
      <c r="F162" s="290">
        <f>D162*E162</f>
        <v>0</v>
      </c>
      <c r="G162" s="1671" t="s">
        <v>828</v>
      </c>
      <c r="H162" s="1632">
        <f t="shared" si="5"/>
        <v>9.9999999999999895E+20</v>
      </c>
    </row>
    <row r="163" spans="1:9" ht="30.75" customHeight="1">
      <c r="A163" s="287"/>
      <c r="B163" s="781" t="s">
        <v>917</v>
      </c>
      <c r="C163" s="285" t="s">
        <v>162</v>
      </c>
      <c r="D163" s="294">
        <v>1</v>
      </c>
      <c r="E163" s="902"/>
      <c r="F163" s="290">
        <f>D163*E163</f>
        <v>0</v>
      </c>
      <c r="G163" s="1671" t="s">
        <v>828</v>
      </c>
      <c r="H163" s="1632">
        <f t="shared" si="5"/>
        <v>9.9999999999999895E+20</v>
      </c>
    </row>
    <row r="164" spans="1:9">
      <c r="A164" s="287" t="s">
        <v>244</v>
      </c>
      <c r="B164" s="285" t="s">
        <v>918</v>
      </c>
      <c r="C164" s="285"/>
      <c r="D164" s="285"/>
      <c r="E164" s="286"/>
      <c r="F164" s="290"/>
      <c r="G164" s="1632"/>
      <c r="H164" s="1632"/>
    </row>
    <row r="165" spans="1:9">
      <c r="A165" s="285"/>
      <c r="B165" s="285" t="s">
        <v>148</v>
      </c>
      <c r="C165" s="285" t="s">
        <v>115</v>
      </c>
      <c r="D165" s="285" t="s">
        <v>116</v>
      </c>
      <c r="E165" s="285" t="s">
        <v>117</v>
      </c>
      <c r="F165" s="893">
        <v>1000000</v>
      </c>
      <c r="G165" s="1671" t="s">
        <v>828</v>
      </c>
      <c r="H165" s="1632">
        <f>IF(G165="n",0,999999999999999000000)</f>
        <v>9.9999999999999895E+20</v>
      </c>
      <c r="I165" t="s">
        <v>996</v>
      </c>
    </row>
    <row r="166" spans="1:9">
      <c r="A166" s="285"/>
      <c r="B166" s="285" t="s">
        <v>528</v>
      </c>
      <c r="C166" s="285" t="s">
        <v>149</v>
      </c>
      <c r="D166" s="285" t="s">
        <v>104</v>
      </c>
      <c r="E166" s="285" t="s">
        <v>105</v>
      </c>
      <c r="F166" s="902"/>
      <c r="G166" s="1671" t="s">
        <v>828</v>
      </c>
      <c r="H166" s="1632">
        <f>IF(G166="n",0,999999999999999000000)</f>
        <v>9.9999999999999895E+20</v>
      </c>
    </row>
    <row r="167" spans="1:9">
      <c r="A167" s="287" t="s">
        <v>245</v>
      </c>
      <c r="B167" s="285" t="s">
        <v>919</v>
      </c>
      <c r="C167" s="285"/>
      <c r="D167" s="285"/>
      <c r="E167" s="286"/>
      <c r="F167" s="290"/>
      <c r="G167" s="1632"/>
      <c r="H167" s="1632"/>
    </row>
    <row r="168" spans="1:9">
      <c r="A168" s="285"/>
      <c r="B168" s="285" t="s">
        <v>150</v>
      </c>
      <c r="C168" s="285" t="s">
        <v>115</v>
      </c>
      <c r="D168" s="285" t="s">
        <v>116</v>
      </c>
      <c r="E168" s="285" t="s">
        <v>117</v>
      </c>
      <c r="F168" s="893">
        <v>500000</v>
      </c>
      <c r="G168" s="1671" t="s">
        <v>828</v>
      </c>
      <c r="H168" s="1632">
        <f>IF(G168="n",0,999999999999999000000)</f>
        <v>9.9999999999999895E+20</v>
      </c>
    </row>
    <row r="169" spans="1:9">
      <c r="A169" s="285"/>
      <c r="B169" s="285" t="s">
        <v>529</v>
      </c>
      <c r="C169" s="285" t="s">
        <v>149</v>
      </c>
      <c r="D169" s="285" t="s">
        <v>104</v>
      </c>
      <c r="E169" s="285" t="s">
        <v>105</v>
      </c>
      <c r="F169" s="902"/>
      <c r="G169" s="1671" t="s">
        <v>828</v>
      </c>
      <c r="H169" s="1632">
        <f>IF(G169="n",0,999999999999999000000)</f>
        <v>9.9999999999999895E+20</v>
      </c>
    </row>
    <row r="170" spans="1:9">
      <c r="A170" s="287" t="s">
        <v>246</v>
      </c>
      <c r="B170" s="285" t="s">
        <v>151</v>
      </c>
      <c r="C170" s="285" t="s">
        <v>103</v>
      </c>
      <c r="D170" s="285" t="s">
        <v>104</v>
      </c>
      <c r="E170" s="285" t="s">
        <v>105</v>
      </c>
      <c r="F170" s="902"/>
      <c r="G170" s="1671" t="s">
        <v>828</v>
      </c>
      <c r="H170" s="1632">
        <f>IF(G170="n",0,999999999999999000000)</f>
        <v>9.9999999999999895E+20</v>
      </c>
    </row>
    <row r="171" spans="1:9">
      <c r="A171" s="287" t="s">
        <v>247</v>
      </c>
      <c r="B171" s="285" t="s">
        <v>152</v>
      </c>
      <c r="C171" s="285"/>
      <c r="D171" s="285"/>
      <c r="E171" s="286"/>
      <c r="F171" s="290"/>
      <c r="G171" s="1632"/>
      <c r="H171" s="1632"/>
    </row>
    <row r="172" spans="1:9">
      <c r="A172" s="287"/>
      <c r="B172" s="285" t="s">
        <v>924</v>
      </c>
      <c r="C172" s="285"/>
      <c r="D172" s="285"/>
      <c r="E172" s="286"/>
      <c r="F172" s="290"/>
      <c r="G172" s="1632"/>
      <c r="H172" s="1632"/>
    </row>
    <row r="173" spans="1:9">
      <c r="A173" s="287"/>
      <c r="B173" s="781" t="s">
        <v>920</v>
      </c>
      <c r="C173" s="285" t="s">
        <v>125</v>
      </c>
      <c r="D173" s="285" t="s">
        <v>126</v>
      </c>
      <c r="E173" s="285" t="s">
        <v>105</v>
      </c>
      <c r="F173" s="892">
        <v>500000</v>
      </c>
      <c r="G173" s="1671" t="s">
        <v>828</v>
      </c>
      <c r="H173" s="1632">
        <f>IF(G173="n",0,999999999999999000000)</f>
        <v>9.9999999999999895E+20</v>
      </c>
    </row>
    <row r="174" spans="1:9">
      <c r="A174" s="287"/>
      <c r="B174" s="781" t="s">
        <v>921</v>
      </c>
      <c r="C174" s="285" t="s">
        <v>125</v>
      </c>
      <c r="D174" s="285" t="s">
        <v>126</v>
      </c>
      <c r="E174" s="285" t="s">
        <v>105</v>
      </c>
      <c r="F174" s="892">
        <v>1000000</v>
      </c>
      <c r="G174" s="1671" t="s">
        <v>828</v>
      </c>
      <c r="H174" s="1632">
        <f>IF(G174="n",0,999999999999999000000)</f>
        <v>9.9999999999999895E+20</v>
      </c>
    </row>
    <row r="175" spans="1:9">
      <c r="A175" s="287"/>
      <c r="B175" s="285" t="s">
        <v>922</v>
      </c>
      <c r="C175" s="285" t="s">
        <v>115</v>
      </c>
      <c r="D175" s="285" t="s">
        <v>116</v>
      </c>
      <c r="E175" s="285" t="s">
        <v>117</v>
      </c>
      <c r="F175" s="893">
        <v>150000</v>
      </c>
      <c r="G175" s="1671" t="s">
        <v>828</v>
      </c>
      <c r="H175" s="1632">
        <f>IF(G175="n",0,999999999999999000000)</f>
        <v>9.9999999999999895E+20</v>
      </c>
    </row>
    <row r="176" spans="1:9">
      <c r="A176" s="287"/>
      <c r="B176" s="285" t="s">
        <v>923</v>
      </c>
      <c r="C176" s="285"/>
      <c r="D176" s="285"/>
      <c r="E176" s="286"/>
      <c r="F176" s="290"/>
      <c r="G176" s="1632"/>
      <c r="H176" s="1632"/>
    </row>
    <row r="177" spans="1:8">
      <c r="A177" s="287"/>
      <c r="B177" s="781" t="s">
        <v>925</v>
      </c>
      <c r="C177" s="285" t="s">
        <v>154</v>
      </c>
      <c r="D177" s="294">
        <v>36</v>
      </c>
      <c r="E177" s="902"/>
      <c r="F177" s="290">
        <f>D177*E177</f>
        <v>0</v>
      </c>
      <c r="G177" s="1671" t="s">
        <v>828</v>
      </c>
      <c r="H177" s="1632">
        <f t="shared" ref="H177:H179" si="6">IF(G177="n",0,999999999999999000000)</f>
        <v>9.9999999999999895E+20</v>
      </c>
    </row>
    <row r="178" spans="1:8">
      <c r="A178" s="287"/>
      <c r="B178" s="781" t="s">
        <v>926</v>
      </c>
      <c r="C178" s="285" t="s">
        <v>154</v>
      </c>
      <c r="D178" s="294">
        <v>48</v>
      </c>
      <c r="E178" s="902"/>
      <c r="F178" s="290">
        <f>D178*E178</f>
        <v>0</v>
      </c>
      <c r="G178" s="1671" t="s">
        <v>828</v>
      </c>
      <c r="H178" s="1632">
        <f t="shared" si="6"/>
        <v>9.9999999999999895E+20</v>
      </c>
    </row>
    <row r="179" spans="1:8">
      <c r="A179" s="287"/>
      <c r="B179" s="285" t="s">
        <v>927</v>
      </c>
      <c r="C179" s="285" t="s">
        <v>125</v>
      </c>
      <c r="D179" s="285" t="s">
        <v>126</v>
      </c>
      <c r="E179" s="285" t="s">
        <v>105</v>
      </c>
      <c r="F179" s="893">
        <v>500000</v>
      </c>
      <c r="G179" s="1671" t="s">
        <v>828</v>
      </c>
      <c r="H179" s="1632">
        <f t="shared" si="6"/>
        <v>9.9999999999999895E+20</v>
      </c>
    </row>
    <row r="180" spans="1:8">
      <c r="A180" s="304" t="s">
        <v>248</v>
      </c>
      <c r="B180" s="285" t="s">
        <v>820</v>
      </c>
      <c r="C180" s="285"/>
      <c r="D180" s="285"/>
      <c r="E180" s="286"/>
      <c r="F180" s="290"/>
      <c r="G180" s="1632"/>
      <c r="H180" s="1632"/>
    </row>
    <row r="181" spans="1:8">
      <c r="A181" s="287"/>
      <c r="B181" s="285" t="s">
        <v>821</v>
      </c>
      <c r="C181" s="285" t="s">
        <v>103</v>
      </c>
      <c r="D181" s="285" t="s">
        <v>104</v>
      </c>
      <c r="E181" s="285" t="s">
        <v>105</v>
      </c>
      <c r="F181" s="902"/>
      <c r="G181" s="1671" t="s">
        <v>991</v>
      </c>
      <c r="H181" s="1632">
        <f>IF(G181="n",0,999999999999999000000)</f>
        <v>0</v>
      </c>
    </row>
    <row r="182" spans="1:8">
      <c r="A182" s="287"/>
      <c r="B182" s="285" t="s">
        <v>156</v>
      </c>
      <c r="C182" s="285" t="s">
        <v>115</v>
      </c>
      <c r="D182" s="285" t="s">
        <v>116</v>
      </c>
      <c r="E182" s="285" t="s">
        <v>117</v>
      </c>
      <c r="F182" s="893"/>
      <c r="G182" s="1671" t="s">
        <v>991</v>
      </c>
      <c r="H182" s="1632">
        <f>IF(G182="n",0,999999999999999000000)</f>
        <v>0</v>
      </c>
    </row>
    <row r="183" spans="1:8">
      <c r="A183" s="287"/>
      <c r="B183" s="285" t="s">
        <v>157</v>
      </c>
      <c r="C183" s="285" t="s">
        <v>115</v>
      </c>
      <c r="D183" s="285" t="s">
        <v>116</v>
      </c>
      <c r="E183" s="285" t="s">
        <v>117</v>
      </c>
      <c r="F183" s="893"/>
      <c r="G183" s="1671" t="s">
        <v>991</v>
      </c>
      <c r="H183" s="1632">
        <f>IF(G183="n",0,999999999999999000000)</f>
        <v>0</v>
      </c>
    </row>
    <row r="184" spans="1:8">
      <c r="A184" s="285"/>
      <c r="B184" s="285" t="s">
        <v>530</v>
      </c>
      <c r="C184" s="285" t="s">
        <v>158</v>
      </c>
      <c r="D184" s="302">
        <f>SUM(F182:F183)</f>
        <v>0</v>
      </c>
      <c r="E184" s="903"/>
      <c r="F184" s="290">
        <f>D184*E184</f>
        <v>0</v>
      </c>
      <c r="G184" s="1671" t="s">
        <v>991</v>
      </c>
      <c r="H184" s="1632">
        <f>IF(G184="n",0,999999999999999000000)</f>
        <v>0</v>
      </c>
    </row>
    <row r="185" spans="1:8">
      <c r="A185" s="287" t="s">
        <v>581</v>
      </c>
      <c r="B185" s="285" t="s">
        <v>123</v>
      </c>
      <c r="C185" s="285"/>
      <c r="D185" s="285"/>
      <c r="E185" s="286"/>
      <c r="F185" s="290"/>
      <c r="G185" s="1632"/>
      <c r="H185" s="1632"/>
    </row>
    <row r="186" spans="1:8">
      <c r="A186" s="287"/>
      <c r="B186" s="285" t="s">
        <v>124</v>
      </c>
      <c r="C186" s="285" t="s">
        <v>125</v>
      </c>
      <c r="D186" s="285" t="s">
        <v>126</v>
      </c>
      <c r="E186" s="285" t="s">
        <v>105</v>
      </c>
      <c r="F186" s="893">
        <f>(4*(2796+2403)*168)*0.25</f>
        <v>873432</v>
      </c>
      <c r="G186" s="1671" t="s">
        <v>828</v>
      </c>
      <c r="H186" s="1632">
        <f>IF(G186="n",0,999999999999999000000)</f>
        <v>9.9999999999999895E+20</v>
      </c>
    </row>
    <row r="187" spans="1:8">
      <c r="A187" s="287"/>
      <c r="B187" s="285" t="s">
        <v>127</v>
      </c>
      <c r="C187" s="285" t="s">
        <v>115</v>
      </c>
      <c r="D187" s="285" t="s">
        <v>116</v>
      </c>
      <c r="E187" s="285" t="s">
        <v>117</v>
      </c>
      <c r="F187" s="893">
        <v>100000</v>
      </c>
      <c r="G187" s="1671" t="s">
        <v>828</v>
      </c>
      <c r="H187" s="1632">
        <f>IF(G187="n",0,999999999999999000000)</f>
        <v>9.9999999999999895E+20</v>
      </c>
    </row>
    <row r="188" spans="1:8">
      <c r="A188" s="285"/>
      <c r="B188" s="285" t="s">
        <v>851</v>
      </c>
      <c r="C188" s="285" t="s">
        <v>128</v>
      </c>
      <c r="D188" s="302">
        <f>F187</f>
        <v>100000</v>
      </c>
      <c r="E188" s="903"/>
      <c r="F188" s="290">
        <f>D188*E188</f>
        <v>0</v>
      </c>
      <c r="G188" s="1671" t="s">
        <v>828</v>
      </c>
      <c r="H188" s="1632">
        <f>IF(G188="n",0,999999999999999000000)</f>
        <v>9.9999999999999895E+20</v>
      </c>
    </row>
    <row r="189" spans="1:8">
      <c r="A189" s="304" t="s">
        <v>589</v>
      </c>
      <c r="B189" s="285" t="s">
        <v>582</v>
      </c>
      <c r="C189" s="285"/>
      <c r="D189" s="285"/>
      <c r="E189" s="286"/>
      <c r="F189" s="290"/>
      <c r="G189" s="1632"/>
      <c r="H189" s="1632"/>
    </row>
    <row r="190" spans="1:8">
      <c r="A190" s="287"/>
      <c r="B190" s="285" t="s">
        <v>583</v>
      </c>
      <c r="C190" s="285" t="s">
        <v>103</v>
      </c>
      <c r="D190" s="285" t="s">
        <v>104</v>
      </c>
      <c r="E190" s="285" t="s">
        <v>105</v>
      </c>
      <c r="F190" s="902"/>
      <c r="G190" s="1671" t="s">
        <v>828</v>
      </c>
      <c r="H190" s="1632">
        <f t="shared" ref="H190:H195" si="7">IF(G190="n",0,999999999999999000000)</f>
        <v>9.9999999999999895E+20</v>
      </c>
    </row>
    <row r="191" spans="1:8">
      <c r="A191" s="287"/>
      <c r="B191" s="285" t="s">
        <v>584</v>
      </c>
      <c r="C191" s="285" t="s">
        <v>115</v>
      </c>
      <c r="D191" s="285" t="s">
        <v>116</v>
      </c>
      <c r="E191" s="285" t="s">
        <v>117</v>
      </c>
      <c r="F191" s="893">
        <v>250000</v>
      </c>
      <c r="G191" s="1671" t="s">
        <v>828</v>
      </c>
      <c r="H191" s="1632">
        <f t="shared" si="7"/>
        <v>9.9999999999999895E+20</v>
      </c>
    </row>
    <row r="192" spans="1:8">
      <c r="A192" s="285"/>
      <c r="B192" s="285" t="s">
        <v>852</v>
      </c>
      <c r="C192" s="285" t="s">
        <v>158</v>
      </c>
      <c r="D192" s="302">
        <f>SUM(F191:F191)</f>
        <v>250000</v>
      </c>
      <c r="E192" s="903"/>
      <c r="F192" s="290">
        <f>D192*E192</f>
        <v>0</v>
      </c>
      <c r="G192" s="1671" t="s">
        <v>828</v>
      </c>
      <c r="H192" s="1632">
        <f t="shared" si="7"/>
        <v>9.9999999999999895E+20</v>
      </c>
    </row>
    <row r="193" spans="1:8">
      <c r="A193" s="287"/>
      <c r="B193" s="781" t="s">
        <v>585</v>
      </c>
      <c r="C193" s="285" t="s">
        <v>162</v>
      </c>
      <c r="D193" s="294">
        <v>200</v>
      </c>
      <c r="E193" s="902"/>
      <c r="F193" s="290">
        <f>D193*E193</f>
        <v>0</v>
      </c>
      <c r="G193" s="1671" t="s">
        <v>828</v>
      </c>
      <c r="H193" s="1632">
        <f t="shared" si="7"/>
        <v>9.9999999999999895E+20</v>
      </c>
    </row>
    <row r="194" spans="1:8">
      <c r="A194" s="287"/>
      <c r="B194" s="781" t="s">
        <v>586</v>
      </c>
      <c r="C194" s="285" t="s">
        <v>162</v>
      </c>
      <c r="D194" s="294">
        <v>500</v>
      </c>
      <c r="E194" s="902"/>
      <c r="F194" s="290">
        <f>D194*E194</f>
        <v>0</v>
      </c>
      <c r="G194" s="1671" t="s">
        <v>828</v>
      </c>
      <c r="H194" s="1632">
        <f t="shared" si="7"/>
        <v>9.9999999999999895E+20</v>
      </c>
    </row>
    <row r="195" spans="1:8">
      <c r="A195" s="287"/>
      <c r="B195" s="781" t="s">
        <v>587</v>
      </c>
      <c r="C195" s="285" t="s">
        <v>162</v>
      </c>
      <c r="D195" s="294">
        <v>711</v>
      </c>
      <c r="E195" s="902"/>
      <c r="F195" s="290">
        <f>D195*E195</f>
        <v>0</v>
      </c>
      <c r="G195" s="1671" t="s">
        <v>828</v>
      </c>
      <c r="H195" s="1632">
        <f t="shared" si="7"/>
        <v>9.9999999999999895E+20</v>
      </c>
    </row>
    <row r="196" spans="1:8">
      <c r="A196" s="285"/>
      <c r="B196" s="285" t="s">
        <v>588</v>
      </c>
      <c r="C196" s="285"/>
      <c r="D196" s="285"/>
      <c r="E196" s="286"/>
      <c r="F196" s="290"/>
      <c r="G196" s="1632"/>
      <c r="H196" s="1632"/>
    </row>
    <row r="197" spans="1:8">
      <c r="A197" s="287"/>
      <c r="B197" s="781" t="s">
        <v>834</v>
      </c>
      <c r="C197" s="285" t="s">
        <v>162</v>
      </c>
      <c r="D197" s="294">
        <v>2150</v>
      </c>
      <c r="E197" s="902"/>
      <c r="F197" s="290">
        <f>D197*E197</f>
        <v>0</v>
      </c>
      <c r="G197" s="1671" t="s">
        <v>828</v>
      </c>
      <c r="H197" s="1632">
        <f>IF(G197="n",0,999999999999999000000)</f>
        <v>9.9999999999999895E+20</v>
      </c>
    </row>
    <row r="198" spans="1:8">
      <c r="A198" s="287"/>
      <c r="B198" s="781" t="s">
        <v>835</v>
      </c>
      <c r="C198" s="285" t="s">
        <v>162</v>
      </c>
      <c r="D198" s="294">
        <v>1000</v>
      </c>
      <c r="E198" s="902"/>
      <c r="F198" s="290">
        <f>D198*E198</f>
        <v>0</v>
      </c>
      <c r="G198" s="1671" t="s">
        <v>828</v>
      </c>
      <c r="H198" s="1632">
        <f>IF(G198="n",0,999999999999999000000)</f>
        <v>9.9999999999999895E+20</v>
      </c>
    </row>
    <row r="199" spans="1:8">
      <c r="A199" s="304" t="s">
        <v>809</v>
      </c>
      <c r="B199" s="285" t="s">
        <v>579</v>
      </c>
      <c r="C199" s="285"/>
      <c r="D199" s="285"/>
      <c r="E199" s="286"/>
      <c r="F199" s="290"/>
      <c r="G199" s="1632"/>
      <c r="H199" s="1632"/>
    </row>
    <row r="200" spans="1:8">
      <c r="A200" s="285"/>
      <c r="B200" s="285" t="s">
        <v>647</v>
      </c>
      <c r="C200" s="285"/>
      <c r="D200" s="310"/>
      <c r="E200" s="653"/>
      <c r="F200" s="290"/>
      <c r="G200" s="1632"/>
      <c r="H200" s="1632"/>
    </row>
    <row r="201" spans="1:8">
      <c r="A201" s="287"/>
      <c r="B201" s="781" t="s">
        <v>619</v>
      </c>
      <c r="C201" s="285" t="s">
        <v>162</v>
      </c>
      <c r="D201" s="294">
        <v>1000</v>
      </c>
      <c r="E201" s="902"/>
      <c r="F201" s="290">
        <f t="shared" ref="F201:F228" si="8">D201*E201</f>
        <v>0</v>
      </c>
      <c r="G201" s="1671" t="s">
        <v>828</v>
      </c>
      <c r="H201" s="1632">
        <f t="shared" ref="H201:H236" si="9">IF(G201="n",0,999999999999999000000)</f>
        <v>9.9999999999999895E+20</v>
      </c>
    </row>
    <row r="202" spans="1:8">
      <c r="A202" s="287"/>
      <c r="B202" s="781" t="s">
        <v>620</v>
      </c>
      <c r="C202" s="285" t="s">
        <v>162</v>
      </c>
      <c r="D202" s="294">
        <v>1000</v>
      </c>
      <c r="E202" s="902"/>
      <c r="F202" s="290">
        <f t="shared" si="8"/>
        <v>0</v>
      </c>
      <c r="G202" s="1671" t="s">
        <v>828</v>
      </c>
      <c r="H202" s="1632">
        <f t="shared" si="9"/>
        <v>9.9999999999999895E+20</v>
      </c>
    </row>
    <row r="203" spans="1:8">
      <c r="A203" s="287"/>
      <c r="B203" s="781" t="s">
        <v>621</v>
      </c>
      <c r="C203" s="285" t="s">
        <v>162</v>
      </c>
      <c r="D203" s="294">
        <v>1000</v>
      </c>
      <c r="E203" s="902"/>
      <c r="F203" s="290">
        <f t="shared" si="8"/>
        <v>0</v>
      </c>
      <c r="G203" s="1671" t="s">
        <v>828</v>
      </c>
      <c r="H203" s="1632">
        <f t="shared" si="9"/>
        <v>9.9999999999999895E+20</v>
      </c>
    </row>
    <row r="204" spans="1:8">
      <c r="A204" s="287"/>
      <c r="B204" s="781" t="s">
        <v>622</v>
      </c>
      <c r="C204" s="285" t="s">
        <v>162</v>
      </c>
      <c r="D204" s="294">
        <v>1000</v>
      </c>
      <c r="E204" s="902"/>
      <c r="F204" s="290">
        <f t="shared" si="8"/>
        <v>0</v>
      </c>
      <c r="G204" s="1671" t="s">
        <v>828</v>
      </c>
      <c r="H204" s="1632">
        <f t="shared" si="9"/>
        <v>9.9999999999999895E+20</v>
      </c>
    </row>
    <row r="205" spans="1:8">
      <c r="A205" s="287"/>
      <c r="B205" s="781" t="s">
        <v>623</v>
      </c>
      <c r="C205" s="285" t="s">
        <v>162</v>
      </c>
      <c r="D205" s="294">
        <v>538</v>
      </c>
      <c r="E205" s="902"/>
      <c r="F205" s="290">
        <f t="shared" si="8"/>
        <v>0</v>
      </c>
      <c r="G205" s="1671" t="s">
        <v>828</v>
      </c>
      <c r="H205" s="1632">
        <f t="shared" si="9"/>
        <v>9.9999999999999895E+20</v>
      </c>
    </row>
    <row r="206" spans="1:8">
      <c r="A206" s="287"/>
      <c r="B206" s="781" t="s">
        <v>624</v>
      </c>
      <c r="C206" s="285" t="s">
        <v>162</v>
      </c>
      <c r="D206" s="294">
        <v>356</v>
      </c>
      <c r="E206" s="902"/>
      <c r="F206" s="290">
        <f t="shared" si="8"/>
        <v>0</v>
      </c>
      <c r="G206" s="1671" t="s">
        <v>828</v>
      </c>
      <c r="H206" s="1632">
        <f t="shared" si="9"/>
        <v>9.9999999999999895E+20</v>
      </c>
    </row>
    <row r="207" spans="1:8">
      <c r="A207" s="287"/>
      <c r="B207" s="781" t="s">
        <v>625</v>
      </c>
      <c r="C207" s="285" t="s">
        <v>162</v>
      </c>
      <c r="D207" s="294">
        <v>538</v>
      </c>
      <c r="E207" s="902"/>
      <c r="F207" s="290">
        <f t="shared" si="8"/>
        <v>0</v>
      </c>
      <c r="G207" s="1671" t="s">
        <v>828</v>
      </c>
      <c r="H207" s="1632">
        <f t="shared" si="9"/>
        <v>9.9999999999999895E+20</v>
      </c>
    </row>
    <row r="208" spans="1:8">
      <c r="A208" s="287"/>
      <c r="B208" s="781" t="s">
        <v>626</v>
      </c>
      <c r="C208" s="285" t="s">
        <v>162</v>
      </c>
      <c r="D208" s="294">
        <v>356</v>
      </c>
      <c r="E208" s="902"/>
      <c r="F208" s="290">
        <f t="shared" si="8"/>
        <v>0</v>
      </c>
      <c r="G208" s="1671" t="s">
        <v>828</v>
      </c>
      <c r="H208" s="1632">
        <f t="shared" si="9"/>
        <v>9.9999999999999895E+20</v>
      </c>
    </row>
    <row r="209" spans="1:8">
      <c r="A209" s="287"/>
      <c r="B209" s="781" t="s">
        <v>627</v>
      </c>
      <c r="C209" s="285" t="s">
        <v>162</v>
      </c>
      <c r="D209" s="294">
        <v>356</v>
      </c>
      <c r="E209" s="902"/>
      <c r="F209" s="290">
        <f t="shared" si="8"/>
        <v>0</v>
      </c>
      <c r="G209" s="1671" t="s">
        <v>828</v>
      </c>
      <c r="H209" s="1632">
        <f t="shared" si="9"/>
        <v>9.9999999999999895E+20</v>
      </c>
    </row>
    <row r="210" spans="1:8">
      <c r="A210" s="287"/>
      <c r="B210" s="781" t="s">
        <v>628</v>
      </c>
      <c r="C210" s="285" t="s">
        <v>162</v>
      </c>
      <c r="D210" s="294">
        <v>500</v>
      </c>
      <c r="E210" s="902"/>
      <c r="F210" s="290">
        <f t="shared" si="8"/>
        <v>0</v>
      </c>
      <c r="G210" s="1671" t="s">
        <v>828</v>
      </c>
      <c r="H210" s="1632">
        <f t="shared" si="9"/>
        <v>9.9999999999999895E+20</v>
      </c>
    </row>
    <row r="211" spans="1:8">
      <c r="A211" s="287"/>
      <c r="B211" s="781" t="s">
        <v>629</v>
      </c>
      <c r="C211" s="285" t="s">
        <v>162</v>
      </c>
      <c r="D211" s="294">
        <v>89</v>
      </c>
      <c r="E211" s="902"/>
      <c r="F211" s="290">
        <f t="shared" si="8"/>
        <v>0</v>
      </c>
      <c r="G211" s="1671" t="s">
        <v>828</v>
      </c>
      <c r="H211" s="1632">
        <f t="shared" si="9"/>
        <v>9.9999999999999895E+20</v>
      </c>
    </row>
    <row r="212" spans="1:8">
      <c r="A212" s="287"/>
      <c r="B212" s="781" t="s">
        <v>630</v>
      </c>
      <c r="C212" s="285" t="s">
        <v>162</v>
      </c>
      <c r="D212" s="294">
        <v>359</v>
      </c>
      <c r="E212" s="902"/>
      <c r="F212" s="290">
        <f t="shared" si="8"/>
        <v>0</v>
      </c>
      <c r="G212" s="1671" t="s">
        <v>828</v>
      </c>
      <c r="H212" s="1632">
        <f t="shared" si="9"/>
        <v>9.9999999999999895E+20</v>
      </c>
    </row>
    <row r="213" spans="1:8">
      <c r="A213" s="287"/>
      <c r="B213" s="781" t="s">
        <v>631</v>
      </c>
      <c r="C213" s="285" t="s">
        <v>162</v>
      </c>
      <c r="D213" s="294">
        <v>67</v>
      </c>
      <c r="E213" s="902"/>
      <c r="F213" s="290">
        <f t="shared" si="8"/>
        <v>0</v>
      </c>
      <c r="G213" s="1671" t="s">
        <v>828</v>
      </c>
      <c r="H213" s="1632">
        <f t="shared" si="9"/>
        <v>9.9999999999999895E+20</v>
      </c>
    </row>
    <row r="214" spans="1:8">
      <c r="A214" s="287"/>
      <c r="B214" s="781" t="s">
        <v>632</v>
      </c>
      <c r="C214" s="285" t="s">
        <v>162</v>
      </c>
      <c r="D214" s="294">
        <v>100</v>
      </c>
      <c r="E214" s="902"/>
      <c r="F214" s="290">
        <f t="shared" si="8"/>
        <v>0</v>
      </c>
      <c r="G214" s="1671" t="s">
        <v>828</v>
      </c>
      <c r="H214" s="1632">
        <f t="shared" si="9"/>
        <v>9.9999999999999895E+20</v>
      </c>
    </row>
    <row r="215" spans="1:8">
      <c r="A215" s="287"/>
      <c r="B215" s="781" t="s">
        <v>633</v>
      </c>
      <c r="C215" s="285" t="s">
        <v>162</v>
      </c>
      <c r="D215" s="294">
        <v>100</v>
      </c>
      <c r="E215" s="902"/>
      <c r="F215" s="290">
        <f t="shared" si="8"/>
        <v>0</v>
      </c>
      <c r="G215" s="1671" t="s">
        <v>828</v>
      </c>
      <c r="H215" s="1632">
        <f t="shared" si="9"/>
        <v>9.9999999999999895E+20</v>
      </c>
    </row>
    <row r="216" spans="1:8">
      <c r="A216" s="287"/>
      <c r="B216" s="781" t="s">
        <v>634</v>
      </c>
      <c r="C216" s="285" t="s">
        <v>162</v>
      </c>
      <c r="D216" s="294">
        <v>100</v>
      </c>
      <c r="E216" s="902"/>
      <c r="F216" s="290">
        <f t="shared" si="8"/>
        <v>0</v>
      </c>
      <c r="G216" s="1671" t="s">
        <v>828</v>
      </c>
      <c r="H216" s="1632">
        <f t="shared" si="9"/>
        <v>9.9999999999999895E+20</v>
      </c>
    </row>
    <row r="217" spans="1:8">
      <c r="A217" s="287"/>
      <c r="B217" s="781" t="s">
        <v>635</v>
      </c>
      <c r="C217" s="285" t="s">
        <v>162</v>
      </c>
      <c r="D217" s="294">
        <v>34</v>
      </c>
      <c r="E217" s="902"/>
      <c r="F217" s="290">
        <f t="shared" si="8"/>
        <v>0</v>
      </c>
      <c r="G217" s="1671" t="s">
        <v>828</v>
      </c>
      <c r="H217" s="1632">
        <f t="shared" si="9"/>
        <v>9.9999999999999895E+20</v>
      </c>
    </row>
    <row r="218" spans="1:8">
      <c r="A218" s="287"/>
      <c r="B218" s="781" t="s">
        <v>636</v>
      </c>
      <c r="C218" s="285" t="s">
        <v>162</v>
      </c>
      <c r="D218" s="294">
        <v>250</v>
      </c>
      <c r="E218" s="902"/>
      <c r="F218" s="290">
        <f t="shared" si="8"/>
        <v>0</v>
      </c>
      <c r="G218" s="1671" t="s">
        <v>828</v>
      </c>
      <c r="H218" s="1632">
        <f t="shared" si="9"/>
        <v>9.9999999999999895E+20</v>
      </c>
    </row>
    <row r="219" spans="1:8">
      <c r="A219" s="287"/>
      <c r="B219" s="781" t="s">
        <v>637</v>
      </c>
      <c r="C219" s="285" t="s">
        <v>162</v>
      </c>
      <c r="D219" s="294">
        <v>250</v>
      </c>
      <c r="E219" s="902"/>
      <c r="F219" s="290">
        <f t="shared" si="8"/>
        <v>0</v>
      </c>
      <c r="G219" s="1671" t="s">
        <v>828</v>
      </c>
      <c r="H219" s="1632">
        <f t="shared" si="9"/>
        <v>9.9999999999999895E+20</v>
      </c>
    </row>
    <row r="220" spans="1:8">
      <c r="A220" s="287"/>
      <c r="B220" s="781" t="s">
        <v>638</v>
      </c>
      <c r="C220" s="285" t="s">
        <v>162</v>
      </c>
      <c r="D220" s="294">
        <v>250</v>
      </c>
      <c r="E220" s="902"/>
      <c r="F220" s="290">
        <f t="shared" si="8"/>
        <v>0</v>
      </c>
      <c r="G220" s="1671" t="s">
        <v>828</v>
      </c>
      <c r="H220" s="1632">
        <f t="shared" si="9"/>
        <v>9.9999999999999895E+20</v>
      </c>
    </row>
    <row r="221" spans="1:8">
      <c r="A221" s="287"/>
      <c r="B221" s="781" t="s">
        <v>639</v>
      </c>
      <c r="C221" s="285" t="s">
        <v>162</v>
      </c>
      <c r="D221" s="294">
        <v>67</v>
      </c>
      <c r="E221" s="902"/>
      <c r="F221" s="290">
        <f t="shared" si="8"/>
        <v>0</v>
      </c>
      <c r="G221" s="1671" t="s">
        <v>828</v>
      </c>
      <c r="H221" s="1632">
        <f t="shared" si="9"/>
        <v>9.9999999999999895E+20</v>
      </c>
    </row>
    <row r="222" spans="1:8">
      <c r="A222" s="287"/>
      <c r="B222" s="781" t="s">
        <v>640</v>
      </c>
      <c r="C222" s="285" t="s">
        <v>162</v>
      </c>
      <c r="D222" s="294">
        <v>67</v>
      </c>
      <c r="E222" s="902"/>
      <c r="F222" s="290">
        <f t="shared" si="8"/>
        <v>0</v>
      </c>
      <c r="G222" s="1671" t="s">
        <v>828</v>
      </c>
      <c r="H222" s="1632">
        <f t="shared" si="9"/>
        <v>9.9999999999999895E+20</v>
      </c>
    </row>
    <row r="223" spans="1:8">
      <c r="A223" s="287"/>
      <c r="B223" s="781" t="s">
        <v>641</v>
      </c>
      <c r="C223" s="285" t="s">
        <v>162</v>
      </c>
      <c r="D223" s="294">
        <v>0</v>
      </c>
      <c r="E223" s="902"/>
      <c r="F223" s="290">
        <f t="shared" si="8"/>
        <v>0</v>
      </c>
      <c r="G223" s="1671" t="s">
        <v>828</v>
      </c>
      <c r="H223" s="1632">
        <f t="shared" si="9"/>
        <v>9.9999999999999895E+20</v>
      </c>
    </row>
    <row r="224" spans="1:8">
      <c r="A224" s="287"/>
      <c r="B224" s="781" t="s">
        <v>642</v>
      </c>
      <c r="C224" s="285" t="s">
        <v>162</v>
      </c>
      <c r="D224" s="294">
        <v>0</v>
      </c>
      <c r="E224" s="902"/>
      <c r="F224" s="290">
        <f t="shared" si="8"/>
        <v>0</v>
      </c>
      <c r="G224" s="1671" t="s">
        <v>828</v>
      </c>
      <c r="H224" s="1632">
        <f t="shared" si="9"/>
        <v>9.9999999999999895E+20</v>
      </c>
    </row>
    <row r="225" spans="1:8">
      <c r="A225" s="287"/>
      <c r="B225" s="781" t="s">
        <v>643</v>
      </c>
      <c r="C225" s="285" t="s">
        <v>162</v>
      </c>
      <c r="D225" s="294">
        <v>0</v>
      </c>
      <c r="E225" s="902"/>
      <c r="F225" s="290">
        <f t="shared" si="8"/>
        <v>0</v>
      </c>
      <c r="G225" s="1671" t="s">
        <v>828</v>
      </c>
      <c r="H225" s="1632">
        <f t="shared" si="9"/>
        <v>9.9999999999999895E+20</v>
      </c>
    </row>
    <row r="226" spans="1:8">
      <c r="A226" s="287"/>
      <c r="B226" s="781" t="s">
        <v>644</v>
      </c>
      <c r="C226" s="285" t="s">
        <v>162</v>
      </c>
      <c r="D226" s="294">
        <v>0</v>
      </c>
      <c r="E226" s="902"/>
      <c r="F226" s="290">
        <f t="shared" si="8"/>
        <v>0</v>
      </c>
      <c r="G226" s="1671" t="s">
        <v>828</v>
      </c>
      <c r="H226" s="1632">
        <f t="shared" si="9"/>
        <v>9.9999999999999895E+20</v>
      </c>
    </row>
    <row r="227" spans="1:8">
      <c r="A227" s="287"/>
      <c r="B227" s="781" t="s">
        <v>645</v>
      </c>
      <c r="C227" s="285" t="s">
        <v>162</v>
      </c>
      <c r="D227" s="294">
        <v>0</v>
      </c>
      <c r="E227" s="902"/>
      <c r="F227" s="290">
        <f t="shared" si="8"/>
        <v>0</v>
      </c>
      <c r="G227" s="1671" t="s">
        <v>828</v>
      </c>
      <c r="H227" s="1632">
        <f t="shared" si="9"/>
        <v>9.9999999999999895E+20</v>
      </c>
    </row>
    <row r="228" spans="1:8">
      <c r="A228" s="287"/>
      <c r="B228" s="781" t="s">
        <v>646</v>
      </c>
      <c r="C228" s="285" t="s">
        <v>162</v>
      </c>
      <c r="D228" s="294">
        <v>0</v>
      </c>
      <c r="E228" s="902"/>
      <c r="F228" s="290">
        <f t="shared" si="8"/>
        <v>0</v>
      </c>
      <c r="G228" s="1671" t="s">
        <v>828</v>
      </c>
      <c r="H228" s="1632">
        <f t="shared" si="9"/>
        <v>9.9999999999999895E+20</v>
      </c>
    </row>
    <row r="229" spans="1:8" ht="30.75" customHeight="1">
      <c r="A229" s="287"/>
      <c r="B229" s="781" t="s">
        <v>590</v>
      </c>
      <c r="C229" s="285" t="s">
        <v>115</v>
      </c>
      <c r="D229" s="285" t="s">
        <v>116</v>
      </c>
      <c r="E229" s="285" t="s">
        <v>117</v>
      </c>
      <c r="F229" s="893">
        <v>850000</v>
      </c>
      <c r="G229" s="1671" t="s">
        <v>828</v>
      </c>
      <c r="H229" s="1632">
        <f t="shared" si="9"/>
        <v>9.9999999999999895E+20</v>
      </c>
    </row>
    <row r="230" spans="1:8">
      <c r="A230" s="285"/>
      <c r="B230" s="285" t="s">
        <v>853</v>
      </c>
      <c r="C230" s="285" t="s">
        <v>158</v>
      </c>
      <c r="D230" s="302">
        <f>SUM(F229:F229)</f>
        <v>850000</v>
      </c>
      <c r="E230" s="903"/>
      <c r="F230" s="290">
        <f>D230*E230</f>
        <v>0</v>
      </c>
      <c r="G230" s="1671" t="s">
        <v>828</v>
      </c>
      <c r="H230" s="1632">
        <f t="shared" si="9"/>
        <v>9.9999999999999895E+20</v>
      </c>
    </row>
    <row r="231" spans="1:8" ht="30">
      <c r="A231" s="304" t="s">
        <v>882</v>
      </c>
      <c r="B231" s="781" t="s">
        <v>883</v>
      </c>
      <c r="C231" s="285"/>
      <c r="D231" s="285"/>
      <c r="E231" s="286"/>
      <c r="F231" s="290"/>
      <c r="G231" s="1632"/>
      <c r="H231" s="1632"/>
    </row>
    <row r="232" spans="1:8">
      <c r="A232" s="287"/>
      <c r="B232" s="285" t="s">
        <v>885</v>
      </c>
      <c r="C232" s="285" t="s">
        <v>115</v>
      </c>
      <c r="D232" s="285" t="s">
        <v>116</v>
      </c>
      <c r="E232" s="285" t="s">
        <v>117</v>
      </c>
      <c r="F232" s="893">
        <v>4500000</v>
      </c>
      <c r="G232" s="1671" t="s">
        <v>828</v>
      </c>
      <c r="H232" s="1632">
        <f t="shared" si="9"/>
        <v>9.9999999999999895E+20</v>
      </c>
    </row>
    <row r="233" spans="1:8">
      <c r="A233" s="285"/>
      <c r="B233" s="285" t="s">
        <v>884</v>
      </c>
      <c r="C233" s="285" t="s">
        <v>158</v>
      </c>
      <c r="D233" s="302">
        <f>F232</f>
        <v>4500000</v>
      </c>
      <c r="E233" s="903"/>
      <c r="F233" s="290">
        <f>D233*E233</f>
        <v>0</v>
      </c>
      <c r="G233" s="1671" t="s">
        <v>828</v>
      </c>
      <c r="H233" s="1632">
        <f t="shared" si="9"/>
        <v>9.9999999999999895E+20</v>
      </c>
    </row>
    <row r="234" spans="1:8">
      <c r="A234" s="304" t="s">
        <v>928</v>
      </c>
      <c r="B234" s="781" t="s">
        <v>929</v>
      </c>
      <c r="C234" s="285"/>
      <c r="D234" s="285"/>
      <c r="E234" s="286"/>
      <c r="F234" s="290"/>
      <c r="G234" s="1632"/>
      <c r="H234" s="1632"/>
    </row>
    <row r="235" spans="1:8">
      <c r="A235" s="285"/>
      <c r="B235" s="286" t="s">
        <v>930</v>
      </c>
      <c r="C235" s="285" t="s">
        <v>103</v>
      </c>
      <c r="D235" s="285" t="s">
        <v>104</v>
      </c>
      <c r="E235" s="285" t="s">
        <v>105</v>
      </c>
      <c r="F235" s="902"/>
      <c r="G235" s="1671" t="s">
        <v>828</v>
      </c>
      <c r="H235" s="1632">
        <f t="shared" si="9"/>
        <v>9.9999999999999895E+20</v>
      </c>
    </row>
    <row r="236" spans="1:8">
      <c r="A236" s="285"/>
      <c r="B236" s="781" t="s">
        <v>931</v>
      </c>
      <c r="C236" s="285" t="s">
        <v>103</v>
      </c>
      <c r="D236" s="285" t="s">
        <v>104</v>
      </c>
      <c r="E236" s="285" t="s">
        <v>105</v>
      </c>
      <c r="F236" s="902"/>
      <c r="G236" s="1671" t="s">
        <v>828</v>
      </c>
      <c r="H236" s="1632">
        <f t="shared" si="9"/>
        <v>9.9999999999999895E+20</v>
      </c>
    </row>
    <row r="237" spans="1:8">
      <c r="A237" s="285"/>
      <c r="B237" s="291" t="s">
        <v>201</v>
      </c>
      <c r="C237" s="292"/>
      <c r="D237" s="292"/>
      <c r="E237" s="293"/>
      <c r="F237" s="290">
        <f>SUM(F92:F236)</f>
        <v>10223432</v>
      </c>
      <c r="G237" s="1632"/>
      <c r="H237" s="1632"/>
    </row>
    <row r="238" spans="1:8">
      <c r="A238" s="284">
        <v>3.5</v>
      </c>
      <c r="B238" s="284" t="s">
        <v>202</v>
      </c>
      <c r="C238" s="285"/>
      <c r="D238" s="285"/>
      <c r="E238" s="286"/>
      <c r="F238" s="290"/>
      <c r="G238" s="1632"/>
      <c r="H238" s="1632"/>
    </row>
    <row r="239" spans="1:8">
      <c r="A239" s="287" t="s">
        <v>249</v>
      </c>
      <c r="B239" s="285" t="s">
        <v>159</v>
      </c>
      <c r="C239" s="285"/>
      <c r="D239" s="285"/>
      <c r="E239" s="286"/>
      <c r="F239" s="285"/>
      <c r="G239" s="1632"/>
      <c r="H239" s="1632"/>
    </row>
    <row r="240" spans="1:8">
      <c r="A240" s="285"/>
      <c r="B240" s="288" t="s">
        <v>160</v>
      </c>
      <c r="C240" s="285" t="s">
        <v>103</v>
      </c>
      <c r="D240" s="285" t="s">
        <v>104</v>
      </c>
      <c r="E240" s="285" t="s">
        <v>105</v>
      </c>
      <c r="F240" s="289">
        <f>'Non Fee Hours'!H306</f>
        <v>0</v>
      </c>
      <c r="G240" s="1671" t="s">
        <v>828</v>
      </c>
      <c r="H240" s="1632">
        <f>IF(G240="n",0,999999999999999000000)</f>
        <v>9.9999999999999895E+20</v>
      </c>
    </row>
    <row r="241" spans="1:8">
      <c r="A241" s="287"/>
      <c r="B241" s="285" t="s">
        <v>127</v>
      </c>
      <c r="C241" s="285" t="s">
        <v>103</v>
      </c>
      <c r="D241" s="285" t="s">
        <v>104</v>
      </c>
      <c r="E241" s="285" t="s">
        <v>105</v>
      </c>
      <c r="F241" s="902"/>
      <c r="G241" s="1671" t="s">
        <v>828</v>
      </c>
      <c r="H241" s="1632">
        <f>IF(G241="n",0,999999999999999000000)</f>
        <v>9.9999999999999895E+20</v>
      </c>
    </row>
    <row r="242" spans="1:8">
      <c r="A242" s="287"/>
      <c r="B242" s="781" t="s">
        <v>161</v>
      </c>
      <c r="C242" s="285" t="s">
        <v>162</v>
      </c>
      <c r="D242" s="294">
        <v>50</v>
      </c>
      <c r="E242" s="902"/>
      <c r="F242" s="290">
        <f>D242*E242</f>
        <v>0</v>
      </c>
      <c r="G242" s="1671" t="s">
        <v>828</v>
      </c>
      <c r="H242" s="1632">
        <f>IF(G242="n",0,999999999999999000000)</f>
        <v>9.9999999999999895E+20</v>
      </c>
    </row>
    <row r="243" spans="1:8">
      <c r="A243" s="285"/>
      <c r="B243" s="291" t="s">
        <v>201</v>
      </c>
      <c r="C243" s="292"/>
      <c r="D243" s="292"/>
      <c r="E243" s="293"/>
      <c r="F243" s="290">
        <f>SUM(F240:F242)</f>
        <v>0</v>
      </c>
      <c r="G243" s="1632"/>
      <c r="H243" s="1632"/>
    </row>
    <row r="244" spans="1:8">
      <c r="A244" s="284">
        <v>3.6</v>
      </c>
      <c r="B244" s="284" t="s">
        <v>203</v>
      </c>
      <c r="C244" s="285"/>
      <c r="D244" s="285"/>
      <c r="E244" s="286"/>
      <c r="F244" s="290"/>
      <c r="G244" s="1632"/>
      <c r="H244" s="1632"/>
    </row>
    <row r="245" spans="1:8">
      <c r="A245" s="287" t="s">
        <v>250</v>
      </c>
      <c r="B245" s="285" t="s">
        <v>163</v>
      </c>
      <c r="C245" s="285"/>
      <c r="D245" s="285"/>
      <c r="E245" s="286"/>
      <c r="F245" s="285"/>
      <c r="G245" s="1632"/>
      <c r="H245" s="1632"/>
    </row>
    <row r="246" spans="1:8">
      <c r="A246" s="287"/>
      <c r="B246" s="285" t="s">
        <v>164</v>
      </c>
      <c r="C246" s="285" t="s">
        <v>103</v>
      </c>
      <c r="D246" s="285" t="s">
        <v>104</v>
      </c>
      <c r="E246" s="285" t="s">
        <v>105</v>
      </c>
      <c r="F246" s="902"/>
      <c r="G246" s="1671" t="s">
        <v>828</v>
      </c>
      <c r="H246" s="1632">
        <f>IF(G246="n",0,999999999999999000000)</f>
        <v>9.9999999999999895E+20</v>
      </c>
    </row>
    <row r="247" spans="1:8">
      <c r="A247" s="287"/>
      <c r="B247" s="285" t="s">
        <v>973</v>
      </c>
      <c r="C247" s="285" t="s">
        <v>115</v>
      </c>
      <c r="D247" s="285" t="s">
        <v>116</v>
      </c>
      <c r="E247" s="285" t="s">
        <v>117</v>
      </c>
      <c r="F247" s="893">
        <v>50000</v>
      </c>
      <c r="G247" s="1671" t="s">
        <v>828</v>
      </c>
      <c r="H247" s="1632">
        <f>IF(G247="n",0,999999999999999000000)</f>
        <v>9.9999999999999895E+20</v>
      </c>
    </row>
    <row r="248" spans="1:8">
      <c r="A248" s="285"/>
      <c r="B248" s="285" t="s">
        <v>257</v>
      </c>
      <c r="C248" s="285" t="s">
        <v>158</v>
      </c>
      <c r="D248" s="302">
        <f>F247</f>
        <v>50000</v>
      </c>
      <c r="E248" s="903"/>
      <c r="F248" s="290">
        <f>D248*E248</f>
        <v>0</v>
      </c>
      <c r="G248" s="1671" t="s">
        <v>828</v>
      </c>
      <c r="H248" s="1632">
        <f>IF(G248="n",0,999999999999999000000)</f>
        <v>9.9999999999999895E+20</v>
      </c>
    </row>
    <row r="249" spans="1:8">
      <c r="A249" s="287" t="s">
        <v>251</v>
      </c>
      <c r="B249" s="285" t="s">
        <v>165</v>
      </c>
      <c r="C249" s="285"/>
      <c r="D249" s="285"/>
      <c r="E249" s="286"/>
      <c r="F249" s="285"/>
      <c r="G249" s="1632"/>
      <c r="H249" s="1632"/>
    </row>
    <row r="250" spans="1:8">
      <c r="A250" s="285"/>
      <c r="B250" s="288" t="s">
        <v>166</v>
      </c>
      <c r="C250" s="285" t="s">
        <v>103</v>
      </c>
      <c r="D250" s="285" t="s">
        <v>104</v>
      </c>
      <c r="E250" s="285" t="s">
        <v>105</v>
      </c>
      <c r="F250" s="289">
        <f>'Non Fee Hours'!H406</f>
        <v>0</v>
      </c>
      <c r="G250" s="1671" t="s">
        <v>828</v>
      </c>
      <c r="H250" s="1632">
        <f>IF(G250="n",0,999999999999999000000)</f>
        <v>9.9999999999999895E+20</v>
      </c>
    </row>
    <row r="251" spans="1:8">
      <c r="A251" s="287"/>
      <c r="B251" s="285" t="s">
        <v>106</v>
      </c>
      <c r="C251" s="285" t="s">
        <v>103</v>
      </c>
      <c r="D251" s="285" t="s">
        <v>104</v>
      </c>
      <c r="E251" s="285" t="s">
        <v>105</v>
      </c>
      <c r="F251" s="902"/>
      <c r="G251" s="1671" t="s">
        <v>828</v>
      </c>
      <c r="H251" s="1632">
        <f>IF(G251="n",0,999999999999999000000)</f>
        <v>9.9999999999999895E+20</v>
      </c>
    </row>
    <row r="252" spans="1:8">
      <c r="A252" s="287" t="s">
        <v>933</v>
      </c>
      <c r="B252" s="286" t="s">
        <v>932</v>
      </c>
      <c r="C252" s="285" t="s">
        <v>103</v>
      </c>
      <c r="D252" s="285" t="s">
        <v>104</v>
      </c>
      <c r="E252" s="285" t="s">
        <v>105</v>
      </c>
      <c r="F252" s="902"/>
      <c r="G252" s="1671" t="s">
        <v>828</v>
      </c>
      <c r="H252" s="1632">
        <f>IF(G252="n",0,999999999999999000000)</f>
        <v>9.9999999999999895E+20</v>
      </c>
    </row>
    <row r="253" spans="1:8">
      <c r="A253" s="285"/>
      <c r="B253" s="291" t="s">
        <v>201</v>
      </c>
      <c r="C253" s="292"/>
      <c r="D253" s="292"/>
      <c r="E253" s="293"/>
      <c r="F253" s="290">
        <f>SUM(F246:F252)</f>
        <v>50000</v>
      </c>
      <c r="G253" s="1632"/>
      <c r="H253" s="1632"/>
    </row>
    <row r="254" spans="1:8">
      <c r="A254" s="284">
        <v>3.7</v>
      </c>
      <c r="B254" s="284" t="s">
        <v>204</v>
      </c>
      <c r="C254" s="285"/>
      <c r="D254" s="285"/>
      <c r="E254" s="286"/>
      <c r="F254" s="285"/>
      <c r="G254" s="1632"/>
      <c r="H254" s="1632"/>
    </row>
    <row r="255" spans="1:8">
      <c r="A255" s="297" t="s">
        <v>531</v>
      </c>
      <c r="B255" s="298" t="s">
        <v>204</v>
      </c>
      <c r="C255" s="299"/>
      <c r="D255" s="299"/>
      <c r="E255" s="300"/>
      <c r="F255" s="299"/>
      <c r="G255" s="1632"/>
      <c r="H255" s="1632"/>
    </row>
    <row r="256" spans="1:8">
      <c r="A256" s="285"/>
      <c r="B256" s="285" t="s">
        <v>132</v>
      </c>
      <c r="C256" s="285"/>
      <c r="D256" s="285"/>
      <c r="E256" s="286"/>
      <c r="F256" s="285"/>
      <c r="G256" s="1632"/>
      <c r="H256" s="1632"/>
    </row>
    <row r="257" spans="1:9">
      <c r="A257" s="285"/>
      <c r="B257" s="301" t="s">
        <v>133</v>
      </c>
      <c r="C257" s="285" t="s">
        <v>103</v>
      </c>
      <c r="D257" s="285" t="s">
        <v>104</v>
      </c>
      <c r="E257" s="286" t="s">
        <v>105</v>
      </c>
      <c r="F257" s="302">
        <f>'SUMMARY TENDERED FEE'!H17</f>
        <v>0</v>
      </c>
      <c r="G257" s="1632"/>
      <c r="H257" s="1632"/>
    </row>
    <row r="258" spans="1:9">
      <c r="A258" s="285"/>
      <c r="B258" s="303" t="s">
        <v>134</v>
      </c>
      <c r="C258" s="285" t="s">
        <v>103</v>
      </c>
      <c r="D258" s="285" t="s">
        <v>104</v>
      </c>
      <c r="E258" s="286" t="s">
        <v>105</v>
      </c>
      <c r="F258" s="302">
        <v>0</v>
      </c>
      <c r="G258" s="1632"/>
      <c r="H258" s="1632"/>
    </row>
    <row r="259" spans="1:9">
      <c r="A259" s="285"/>
      <c r="B259" s="285" t="s">
        <v>135</v>
      </c>
      <c r="C259" s="285"/>
      <c r="D259" s="285"/>
      <c r="E259" s="286"/>
      <c r="F259" s="285"/>
      <c r="G259" s="1632"/>
      <c r="H259" s="1632"/>
    </row>
    <row r="260" spans="1:9">
      <c r="A260" s="285"/>
      <c r="B260" s="301" t="s">
        <v>133</v>
      </c>
      <c r="C260" s="285" t="s">
        <v>103</v>
      </c>
      <c r="D260" s="285" t="s">
        <v>104</v>
      </c>
      <c r="E260" s="286" t="s">
        <v>105</v>
      </c>
      <c r="F260" s="302">
        <f>'SUMMARY TENDERED FEE'!H18</f>
        <v>0</v>
      </c>
      <c r="G260" s="1632"/>
      <c r="H260" s="1632"/>
    </row>
    <row r="261" spans="1:9">
      <c r="A261" s="285"/>
      <c r="B261" s="303" t="s">
        <v>134</v>
      </c>
      <c r="C261" s="285" t="s">
        <v>103</v>
      </c>
      <c r="D261" s="285" t="s">
        <v>104</v>
      </c>
      <c r="E261" s="286" t="s">
        <v>105</v>
      </c>
      <c r="F261" s="302">
        <v>0</v>
      </c>
      <c r="G261" s="1632"/>
      <c r="H261" s="1632"/>
    </row>
    <row r="262" spans="1:9">
      <c r="A262" s="285"/>
      <c r="B262" s="285" t="s">
        <v>136</v>
      </c>
      <c r="C262" s="285"/>
      <c r="D262" s="285"/>
      <c r="E262" s="286"/>
      <c r="F262" s="285"/>
      <c r="G262" s="1632"/>
      <c r="H262" s="1632"/>
      <c r="I262" s="140"/>
    </row>
    <row r="263" spans="1:9">
      <c r="A263" s="285"/>
      <c r="B263" s="301" t="s">
        <v>133</v>
      </c>
      <c r="C263" s="285" t="s">
        <v>103</v>
      </c>
      <c r="D263" s="285" t="s">
        <v>104</v>
      </c>
      <c r="E263" s="286" t="s">
        <v>105</v>
      </c>
      <c r="F263" s="302">
        <f>'SUMMARY TENDERED FEE'!H19</f>
        <v>0</v>
      </c>
      <c r="G263" s="1632"/>
      <c r="H263" s="1632"/>
    </row>
    <row r="264" spans="1:9">
      <c r="A264" s="285"/>
      <c r="B264" s="303" t="s">
        <v>134</v>
      </c>
      <c r="C264" s="285" t="s">
        <v>103</v>
      </c>
      <c r="D264" s="285" t="s">
        <v>104</v>
      </c>
      <c r="E264" s="286" t="s">
        <v>105</v>
      </c>
      <c r="F264" s="302">
        <v>0</v>
      </c>
      <c r="G264" s="1632"/>
      <c r="H264" s="1632"/>
    </row>
    <row r="265" spans="1:9">
      <c r="A265" s="285"/>
      <c r="B265" s="285" t="s">
        <v>137</v>
      </c>
      <c r="C265" s="285"/>
      <c r="D265" s="285"/>
      <c r="E265" s="286"/>
      <c r="F265" s="285"/>
      <c r="G265" s="1632"/>
      <c r="H265" s="1632"/>
      <c r="I265" s="140"/>
    </row>
    <row r="266" spans="1:9">
      <c r="A266" s="285"/>
      <c r="B266" s="301" t="s">
        <v>133</v>
      </c>
      <c r="C266" s="285" t="s">
        <v>103</v>
      </c>
      <c r="D266" s="285" t="s">
        <v>104</v>
      </c>
      <c r="E266" s="286" t="s">
        <v>105</v>
      </c>
      <c r="F266" s="302">
        <f>'SUMMARY TENDERED FEE'!H20</f>
        <v>0</v>
      </c>
      <c r="G266" s="1632"/>
      <c r="H266" s="1632"/>
    </row>
    <row r="267" spans="1:9">
      <c r="A267" s="285"/>
      <c r="B267" s="303" t="s">
        <v>134</v>
      </c>
      <c r="C267" s="285" t="s">
        <v>103</v>
      </c>
      <c r="D267" s="285" t="s">
        <v>104</v>
      </c>
      <c r="E267" s="286" t="s">
        <v>105</v>
      </c>
      <c r="F267" s="302">
        <v>0</v>
      </c>
      <c r="G267" s="1632"/>
      <c r="H267" s="1632"/>
    </row>
    <row r="268" spans="1:9">
      <c r="A268" s="285"/>
      <c r="B268" s="285" t="s">
        <v>138</v>
      </c>
      <c r="C268" s="285"/>
      <c r="D268" s="285"/>
      <c r="E268" s="286"/>
      <c r="F268" s="285"/>
      <c r="G268" s="1632"/>
      <c r="H268" s="1632"/>
      <c r="I268" s="140"/>
    </row>
    <row r="269" spans="1:9">
      <c r="A269" s="285"/>
      <c r="B269" s="301" t="s">
        <v>133</v>
      </c>
      <c r="C269" s="285" t="s">
        <v>103</v>
      </c>
      <c r="D269" s="285" t="s">
        <v>104</v>
      </c>
      <c r="E269" s="286" t="s">
        <v>105</v>
      </c>
      <c r="F269" s="302">
        <f>'SUMMARY TENDERED FEE'!H21</f>
        <v>0</v>
      </c>
      <c r="G269" s="1632"/>
      <c r="H269" s="1632"/>
    </row>
    <row r="270" spans="1:9">
      <c r="A270" s="285"/>
      <c r="B270" s="303" t="s">
        <v>134</v>
      </c>
      <c r="C270" s="285" t="s">
        <v>103</v>
      </c>
      <c r="D270" s="285" t="s">
        <v>104</v>
      </c>
      <c r="E270" s="286" t="s">
        <v>105</v>
      </c>
      <c r="F270" s="302">
        <v>0</v>
      </c>
      <c r="G270" s="1632"/>
      <c r="H270" s="1632"/>
    </row>
    <row r="271" spans="1:9">
      <c r="A271" s="285"/>
      <c r="B271" s="285" t="s">
        <v>139</v>
      </c>
      <c r="C271" s="285"/>
      <c r="D271" s="285"/>
      <c r="E271" s="286"/>
      <c r="F271" s="285"/>
      <c r="G271" s="1632"/>
      <c r="H271" s="1632"/>
    </row>
    <row r="272" spans="1:9">
      <c r="A272" s="285"/>
      <c r="B272" s="301" t="s">
        <v>133</v>
      </c>
      <c r="C272" s="285" t="s">
        <v>103</v>
      </c>
      <c r="D272" s="285" t="s">
        <v>104</v>
      </c>
      <c r="E272" s="286" t="s">
        <v>105</v>
      </c>
      <c r="F272" s="302">
        <f>'SUMMARY TENDERED FEE'!H22</f>
        <v>0</v>
      </c>
      <c r="G272" s="1632"/>
      <c r="H272" s="1632"/>
    </row>
    <row r="273" spans="1:8">
      <c r="A273" s="285"/>
      <c r="B273" s="303" t="s">
        <v>134</v>
      </c>
      <c r="C273" s="285" t="s">
        <v>103</v>
      </c>
      <c r="D273" s="285" t="s">
        <v>104</v>
      </c>
      <c r="E273" s="286" t="s">
        <v>105</v>
      </c>
      <c r="F273" s="302">
        <v>0</v>
      </c>
      <c r="G273" s="1632"/>
      <c r="H273" s="1632"/>
    </row>
    <row r="274" spans="1:8">
      <c r="A274" s="285"/>
      <c r="B274" s="285" t="s">
        <v>140</v>
      </c>
      <c r="C274" s="285"/>
      <c r="D274" s="285"/>
      <c r="E274" s="286"/>
      <c r="F274" s="285"/>
      <c r="G274" s="1632"/>
      <c r="H274" s="1632"/>
    </row>
    <row r="275" spans="1:8">
      <c r="A275" s="285"/>
      <c r="B275" s="301" t="s">
        <v>133</v>
      </c>
      <c r="C275" s="285" t="s">
        <v>103</v>
      </c>
      <c r="D275" s="285" t="s">
        <v>104</v>
      </c>
      <c r="E275" s="286" t="s">
        <v>105</v>
      </c>
      <c r="F275" s="302">
        <f>'SUMMARY TENDERED FEE'!H23</f>
        <v>0</v>
      </c>
      <c r="G275" s="1632"/>
      <c r="H275" s="1632"/>
    </row>
    <row r="276" spans="1:8">
      <c r="A276" s="285"/>
      <c r="B276" s="303" t="s">
        <v>141</v>
      </c>
      <c r="C276" s="285" t="s">
        <v>103</v>
      </c>
      <c r="D276" s="285" t="s">
        <v>104</v>
      </c>
      <c r="E276" s="286" t="s">
        <v>105</v>
      </c>
      <c r="F276" s="302">
        <v>0</v>
      </c>
      <c r="G276" s="1632"/>
      <c r="H276" s="1632"/>
    </row>
    <row r="277" spans="1:8">
      <c r="A277" s="285"/>
      <c r="B277" s="59" t="s">
        <v>863</v>
      </c>
      <c r="C277" s="285" t="s">
        <v>122</v>
      </c>
      <c r="D277" s="294">
        <v>27</v>
      </c>
      <c r="E277" s="902"/>
      <c r="F277" s="290">
        <f>D277*E277</f>
        <v>0</v>
      </c>
      <c r="G277" s="1671" t="s">
        <v>828</v>
      </c>
      <c r="H277" s="1632">
        <f t="shared" ref="H277:H282" si="10">IF(G277="n",0,999999999999999000000)</f>
        <v>9.9999999999999895E+20</v>
      </c>
    </row>
    <row r="278" spans="1:8" ht="39.6" customHeight="1">
      <c r="A278" s="285"/>
      <c r="B278" s="950" t="s">
        <v>934</v>
      </c>
      <c r="C278" s="285" t="s">
        <v>122</v>
      </c>
      <c r="D278" s="294">
        <v>5</v>
      </c>
      <c r="E278" s="902"/>
      <c r="F278" s="290">
        <f>D278*E278</f>
        <v>0</v>
      </c>
      <c r="G278" s="1671" t="s">
        <v>828</v>
      </c>
      <c r="H278" s="1632">
        <f t="shared" si="10"/>
        <v>9.9999999999999895E+20</v>
      </c>
    </row>
    <row r="279" spans="1:8" ht="30">
      <c r="A279" s="285"/>
      <c r="B279" s="950" t="s">
        <v>935</v>
      </c>
      <c r="C279" s="285" t="s">
        <v>122</v>
      </c>
      <c r="D279" s="294">
        <v>5</v>
      </c>
      <c r="E279" s="902"/>
      <c r="F279" s="290">
        <f>D279*E279</f>
        <v>0</v>
      </c>
      <c r="G279" s="1671" t="s">
        <v>828</v>
      </c>
      <c r="H279" s="1632">
        <f t="shared" si="10"/>
        <v>9.9999999999999895E+20</v>
      </c>
    </row>
    <row r="280" spans="1:8">
      <c r="A280" s="287"/>
      <c r="B280" s="59" t="s">
        <v>936</v>
      </c>
      <c r="C280" s="285"/>
      <c r="D280" s="285"/>
      <c r="E280" s="286"/>
      <c r="F280" s="302"/>
      <c r="G280" s="1632"/>
      <c r="H280" s="1632"/>
    </row>
    <row r="281" spans="1:8">
      <c r="A281" s="285"/>
      <c r="B281" s="59" t="s">
        <v>937</v>
      </c>
      <c r="C281" s="285" t="s">
        <v>125</v>
      </c>
      <c r="D281" s="285" t="s">
        <v>126</v>
      </c>
      <c r="E281" s="285" t="s">
        <v>105</v>
      </c>
      <c r="F281" s="893">
        <v>800000</v>
      </c>
      <c r="G281" s="1671" t="s">
        <v>828</v>
      </c>
      <c r="H281" s="1632">
        <f t="shared" si="10"/>
        <v>9.9999999999999895E+20</v>
      </c>
    </row>
    <row r="282" spans="1:8">
      <c r="A282" s="285"/>
      <c r="B282" s="59" t="s">
        <v>938</v>
      </c>
      <c r="C282" s="285" t="s">
        <v>115</v>
      </c>
      <c r="D282" s="285" t="s">
        <v>116</v>
      </c>
      <c r="E282" s="285" t="s">
        <v>117</v>
      </c>
      <c r="F282" s="893">
        <v>100000</v>
      </c>
      <c r="G282" s="1671" t="s">
        <v>828</v>
      </c>
      <c r="H282" s="1632">
        <f t="shared" si="10"/>
        <v>9.9999999999999895E+20</v>
      </c>
    </row>
    <row r="283" spans="1:8">
      <c r="A283" s="287" t="s">
        <v>532</v>
      </c>
      <c r="B283" s="59" t="s">
        <v>536</v>
      </c>
      <c r="C283" s="285"/>
      <c r="D283" s="285"/>
      <c r="E283" s="286"/>
      <c r="F283" s="302"/>
      <c r="G283" s="1632"/>
      <c r="H283" s="1632"/>
    </row>
    <row r="284" spans="1:8">
      <c r="A284" s="287"/>
      <c r="B284" s="781" t="s">
        <v>534</v>
      </c>
      <c r="C284" s="285" t="s">
        <v>122</v>
      </c>
      <c r="D284" s="294">
        <v>24</v>
      </c>
      <c r="E284" s="902"/>
      <c r="F284" s="290">
        <f>D284*E284</f>
        <v>0</v>
      </c>
      <c r="G284" s="1671" t="s">
        <v>828</v>
      </c>
      <c r="H284" s="1632">
        <f>IF(G284="n",0,999999999999999000000)</f>
        <v>9.9999999999999895E+20</v>
      </c>
    </row>
    <row r="285" spans="1:8">
      <c r="A285" s="287"/>
      <c r="B285" s="285" t="s">
        <v>535</v>
      </c>
      <c r="C285" s="285" t="s">
        <v>125</v>
      </c>
      <c r="D285" s="285" t="s">
        <v>126</v>
      </c>
      <c r="E285" s="285" t="s">
        <v>105</v>
      </c>
      <c r="F285" s="893">
        <v>250000</v>
      </c>
      <c r="G285" s="1671" t="s">
        <v>828</v>
      </c>
      <c r="H285" s="1632">
        <f>IF(G285="n",0,999999999999999000000)</f>
        <v>9.9999999999999895E+20</v>
      </c>
    </row>
    <row r="286" spans="1:8">
      <c r="A286" s="285"/>
      <c r="B286" s="285" t="s">
        <v>537</v>
      </c>
      <c r="C286" s="285" t="s">
        <v>158</v>
      </c>
      <c r="D286" s="302">
        <f>F285</f>
        <v>250000</v>
      </c>
      <c r="E286" s="903"/>
      <c r="F286" s="290">
        <f>D286*E286</f>
        <v>0</v>
      </c>
      <c r="G286" s="1671" t="s">
        <v>828</v>
      </c>
      <c r="H286" s="1632">
        <f>IF(G286="n",0,999999999999999000000)</f>
        <v>9.9999999999999895E+20</v>
      </c>
    </row>
    <row r="287" spans="1:8">
      <c r="A287" s="287" t="s">
        <v>538</v>
      </c>
      <c r="B287" s="59" t="s">
        <v>539</v>
      </c>
      <c r="C287" s="285"/>
      <c r="D287" s="285"/>
      <c r="E287" s="286"/>
      <c r="F287" s="302"/>
      <c r="G287" s="1632"/>
      <c r="H287" s="1632"/>
    </row>
    <row r="288" spans="1:8">
      <c r="A288" s="287"/>
      <c r="B288" s="285" t="s">
        <v>540</v>
      </c>
      <c r="C288" s="285" t="s">
        <v>115</v>
      </c>
      <c r="D288" s="285" t="s">
        <v>116</v>
      </c>
      <c r="E288" s="285" t="s">
        <v>117</v>
      </c>
      <c r="F288" s="893">
        <v>250000</v>
      </c>
      <c r="G288" s="1671" t="s">
        <v>828</v>
      </c>
      <c r="H288" s="1632">
        <f>IF(G288="n",0,999999999999999000000)</f>
        <v>9.9999999999999895E+20</v>
      </c>
    </row>
    <row r="289" spans="1:8">
      <c r="A289" s="285"/>
      <c r="B289" s="285" t="s">
        <v>541</v>
      </c>
      <c r="C289" s="285" t="s">
        <v>158</v>
      </c>
      <c r="D289" s="302">
        <f>F288</f>
        <v>250000</v>
      </c>
      <c r="E289" s="903"/>
      <c r="F289" s="290">
        <f>D289*E289</f>
        <v>0</v>
      </c>
      <c r="G289" s="1671" t="s">
        <v>828</v>
      </c>
      <c r="H289" s="1632">
        <f>IF(G289="n",0,999999999999999000000)</f>
        <v>9.9999999999999895E+20</v>
      </c>
    </row>
    <row r="290" spans="1:8">
      <c r="A290" s="287"/>
      <c r="B290" s="285" t="s">
        <v>648</v>
      </c>
      <c r="C290" s="285" t="s">
        <v>103</v>
      </c>
      <c r="D290" s="285" t="s">
        <v>104</v>
      </c>
      <c r="E290" s="285" t="s">
        <v>105</v>
      </c>
      <c r="F290" s="902"/>
      <c r="G290" s="1671" t="s">
        <v>828</v>
      </c>
      <c r="H290" s="1632">
        <f>IF(G290="n",0,999999999999999000000)</f>
        <v>9.9999999999999895E+20</v>
      </c>
    </row>
    <row r="291" spans="1:8">
      <c r="A291" s="287" t="s">
        <v>542</v>
      </c>
      <c r="B291" s="59" t="s">
        <v>549</v>
      </c>
      <c r="C291" s="285"/>
      <c r="D291" s="285"/>
      <c r="E291" s="286"/>
      <c r="F291" s="653"/>
      <c r="G291" s="1632"/>
      <c r="H291" s="1632"/>
    </row>
    <row r="292" spans="1:8">
      <c r="A292" s="287"/>
      <c r="B292" s="285" t="s">
        <v>543</v>
      </c>
      <c r="C292" s="285" t="s">
        <v>125</v>
      </c>
      <c r="D292" s="285" t="s">
        <v>126</v>
      </c>
      <c r="E292" s="285" t="s">
        <v>105</v>
      </c>
      <c r="F292" s="893">
        <f>(120000+(90000*8))*36</f>
        <v>30240000</v>
      </c>
      <c r="G292" s="1671" t="s">
        <v>828</v>
      </c>
      <c r="H292" s="1632">
        <f t="shared" ref="H292:H300" si="11">IF(G292="n",0,999999999999999000000)</f>
        <v>9.9999999999999895E+20</v>
      </c>
    </row>
    <row r="293" spans="1:8">
      <c r="A293" s="285"/>
      <c r="B293" s="285" t="s">
        <v>544</v>
      </c>
      <c r="C293" s="285" t="s">
        <v>158</v>
      </c>
      <c r="D293" s="302">
        <f>F292</f>
        <v>30240000</v>
      </c>
      <c r="E293" s="903"/>
      <c r="F293" s="290">
        <f>D293*E293</f>
        <v>0</v>
      </c>
      <c r="G293" s="1671" t="s">
        <v>828</v>
      </c>
      <c r="H293" s="1632">
        <f t="shared" si="11"/>
        <v>9.9999999999999895E+20</v>
      </c>
    </row>
    <row r="294" spans="1:8">
      <c r="A294" s="287"/>
      <c r="B294" s="285" t="s">
        <v>545</v>
      </c>
      <c r="C294" s="285" t="s">
        <v>115</v>
      </c>
      <c r="D294" s="285" t="s">
        <v>116</v>
      </c>
      <c r="E294" s="285" t="s">
        <v>117</v>
      </c>
      <c r="F294" s="893">
        <f>(65000+35000)*12</f>
        <v>1200000</v>
      </c>
      <c r="G294" s="1671" t="s">
        <v>828</v>
      </c>
      <c r="H294" s="1632">
        <f t="shared" si="11"/>
        <v>9.9999999999999895E+20</v>
      </c>
    </row>
    <row r="295" spans="1:8">
      <c r="A295" s="285"/>
      <c r="B295" s="285" t="s">
        <v>649</v>
      </c>
      <c r="C295" s="285" t="s">
        <v>158</v>
      </c>
      <c r="D295" s="302">
        <f>F294</f>
        <v>1200000</v>
      </c>
      <c r="E295" s="903"/>
      <c r="F295" s="290">
        <f>D295*E295</f>
        <v>0</v>
      </c>
      <c r="G295" s="1671" t="s">
        <v>828</v>
      </c>
      <c r="H295" s="1632">
        <f t="shared" si="11"/>
        <v>9.9999999999999895E+20</v>
      </c>
    </row>
    <row r="296" spans="1:8">
      <c r="A296" s="287"/>
      <c r="B296" s="781" t="s">
        <v>546</v>
      </c>
      <c r="C296" s="285" t="s">
        <v>122</v>
      </c>
      <c r="D296" s="294">
        <v>27</v>
      </c>
      <c r="E296" s="902"/>
      <c r="F296" s="290">
        <f>D296*E296</f>
        <v>0</v>
      </c>
      <c r="G296" s="1671" t="s">
        <v>828</v>
      </c>
      <c r="H296" s="1632">
        <f t="shared" si="11"/>
        <v>9.9999999999999895E+20</v>
      </c>
    </row>
    <row r="297" spans="1:8">
      <c r="A297" s="287"/>
      <c r="B297" s="285" t="s">
        <v>822</v>
      </c>
      <c r="C297" s="285" t="s">
        <v>125</v>
      </c>
      <c r="D297" s="285" t="s">
        <v>126</v>
      </c>
      <c r="E297" s="285" t="s">
        <v>105</v>
      </c>
      <c r="F297" s="893">
        <f>15000*36</f>
        <v>540000</v>
      </c>
      <c r="G297" s="1671" t="s">
        <v>828</v>
      </c>
      <c r="H297" s="1632">
        <f t="shared" si="11"/>
        <v>9.9999999999999895E+20</v>
      </c>
    </row>
    <row r="298" spans="1:8">
      <c r="A298" s="285"/>
      <c r="B298" s="285" t="s">
        <v>547</v>
      </c>
      <c r="C298" s="285" t="s">
        <v>158</v>
      </c>
      <c r="D298" s="302">
        <f>F297</f>
        <v>540000</v>
      </c>
      <c r="E298" s="903"/>
      <c r="F298" s="290">
        <f>D298*E298</f>
        <v>0</v>
      </c>
      <c r="G298" s="1671" t="s">
        <v>828</v>
      </c>
      <c r="H298" s="1632">
        <f t="shared" si="11"/>
        <v>9.9999999999999895E+20</v>
      </c>
    </row>
    <row r="299" spans="1:8">
      <c r="A299" s="287"/>
      <c r="B299" s="285" t="s">
        <v>591</v>
      </c>
      <c r="C299" s="285" t="s">
        <v>125</v>
      </c>
      <c r="D299" s="285" t="s">
        <v>126</v>
      </c>
      <c r="E299" s="285" t="s">
        <v>105</v>
      </c>
      <c r="F299" s="893">
        <f>(12000+(9000*6)+(5000*3))*36</f>
        <v>2916000</v>
      </c>
      <c r="G299" s="1671" t="s">
        <v>828</v>
      </c>
      <c r="H299" s="1632">
        <f t="shared" si="11"/>
        <v>9.9999999999999895E+20</v>
      </c>
    </row>
    <row r="300" spans="1:8">
      <c r="A300" s="285"/>
      <c r="B300" s="285" t="s">
        <v>548</v>
      </c>
      <c r="C300" s="285" t="s">
        <v>158</v>
      </c>
      <c r="D300" s="302">
        <f>F299</f>
        <v>2916000</v>
      </c>
      <c r="E300" s="903"/>
      <c r="F300" s="290">
        <f>D300*E300</f>
        <v>0</v>
      </c>
      <c r="G300" s="1671" t="s">
        <v>828</v>
      </c>
      <c r="H300" s="1632">
        <f t="shared" si="11"/>
        <v>9.9999999999999895E+20</v>
      </c>
    </row>
    <row r="301" spans="1:8">
      <c r="A301" s="287" t="s">
        <v>533</v>
      </c>
      <c r="B301" s="285" t="s">
        <v>152</v>
      </c>
      <c r="C301" s="285"/>
      <c r="D301" s="285"/>
      <c r="E301" s="286"/>
      <c r="F301" s="290"/>
      <c r="G301" s="1632"/>
      <c r="H301" s="1632"/>
    </row>
    <row r="302" spans="1:8">
      <c r="A302" s="287"/>
      <c r="B302" s="781" t="s">
        <v>153</v>
      </c>
      <c r="C302" s="285" t="s">
        <v>154</v>
      </c>
      <c r="D302" s="294">
        <v>24</v>
      </c>
      <c r="E302" s="902"/>
      <c r="F302" s="290">
        <f>D302*E302</f>
        <v>0</v>
      </c>
      <c r="G302" s="1671" t="s">
        <v>828</v>
      </c>
      <c r="H302" s="1632">
        <f>IF(G302="n",0,999999999999999000000)</f>
        <v>9.9999999999999895E+20</v>
      </c>
    </row>
    <row r="303" spans="1:8" ht="30">
      <c r="A303" s="287"/>
      <c r="B303" s="781" t="s">
        <v>871</v>
      </c>
      <c r="C303" s="285" t="s">
        <v>154</v>
      </c>
      <c r="D303" s="294">
        <v>24</v>
      </c>
      <c r="E303" s="902"/>
      <c r="F303" s="290">
        <f>D303*E303</f>
        <v>0</v>
      </c>
      <c r="G303" s="1671" t="s">
        <v>828</v>
      </c>
      <c r="H303" s="1632">
        <f>IF(G303="n",0,999999999999999000000)</f>
        <v>9.9999999999999895E+20</v>
      </c>
    </row>
    <row r="304" spans="1:8">
      <c r="A304" s="287"/>
      <c r="B304" s="285" t="s">
        <v>155</v>
      </c>
      <c r="C304" s="285" t="s">
        <v>125</v>
      </c>
      <c r="D304" s="285" t="s">
        <v>126</v>
      </c>
      <c r="E304" s="285" t="s">
        <v>105</v>
      </c>
      <c r="F304" s="893">
        <f>10000*24*3</f>
        <v>720000</v>
      </c>
      <c r="G304" s="1671" t="s">
        <v>828</v>
      </c>
      <c r="H304" s="1632">
        <f>IF(G304="n",0,999999999999999000000)</f>
        <v>9.9999999999999895E+20</v>
      </c>
    </row>
    <row r="305" spans="1:8">
      <c r="A305" s="287" t="s">
        <v>558</v>
      </c>
      <c r="B305" s="285" t="s">
        <v>560</v>
      </c>
      <c r="C305" s="285"/>
      <c r="D305" s="285"/>
      <c r="E305" s="286"/>
      <c r="F305" s="312"/>
      <c r="G305" s="1632"/>
      <c r="H305" s="1632"/>
    </row>
    <row r="306" spans="1:8">
      <c r="A306" s="287"/>
      <c r="B306" s="285" t="s">
        <v>559</v>
      </c>
      <c r="C306" s="285" t="s">
        <v>125</v>
      </c>
      <c r="D306" s="285" t="s">
        <v>126</v>
      </c>
      <c r="E306" s="285" t="s">
        <v>105</v>
      </c>
      <c r="F306" s="893">
        <v>4500000</v>
      </c>
      <c r="G306" s="1671" t="s">
        <v>828</v>
      </c>
      <c r="H306" s="1632">
        <f>IF(G306="n",0,999999999999999000000)</f>
        <v>9.9999999999999895E+20</v>
      </c>
    </row>
    <row r="307" spans="1:8">
      <c r="A307" s="285"/>
      <c r="B307" s="285" t="s">
        <v>561</v>
      </c>
      <c r="C307" s="285" t="s">
        <v>158</v>
      </c>
      <c r="D307" s="302">
        <f>F306</f>
        <v>4500000</v>
      </c>
      <c r="E307" s="903"/>
      <c r="F307" s="290">
        <f>D307*E307</f>
        <v>0</v>
      </c>
      <c r="G307" s="1671" t="s">
        <v>828</v>
      </c>
      <c r="H307" s="1632">
        <f>IF(G307="n",0,999999999999999000000)</f>
        <v>9.9999999999999895E+20</v>
      </c>
    </row>
    <row r="308" spans="1:8">
      <c r="A308" s="285"/>
      <c r="B308" s="285" t="s">
        <v>874</v>
      </c>
      <c r="C308" s="285" t="s">
        <v>115</v>
      </c>
      <c r="D308" s="285" t="s">
        <v>116</v>
      </c>
      <c r="E308" s="285" t="s">
        <v>117</v>
      </c>
      <c r="F308" s="967">
        <v>50000</v>
      </c>
      <c r="G308" s="1672" t="s">
        <v>828</v>
      </c>
      <c r="H308" s="1632">
        <f>IF(G308="n",0,999999999999999000000)</f>
        <v>9.9999999999999895E+20</v>
      </c>
    </row>
    <row r="309" spans="1:8" ht="30">
      <c r="A309" s="287" t="s">
        <v>887</v>
      </c>
      <c r="B309" s="781" t="s">
        <v>888</v>
      </c>
      <c r="C309" s="285"/>
      <c r="D309" s="285"/>
      <c r="E309" s="286"/>
      <c r="F309" s="312"/>
      <c r="G309" s="1632"/>
      <c r="H309" s="1632"/>
    </row>
    <row r="310" spans="1:8">
      <c r="A310" s="287"/>
      <c r="B310" s="781" t="s">
        <v>164</v>
      </c>
      <c r="C310" s="285" t="s">
        <v>162</v>
      </c>
      <c r="D310" s="294">
        <v>10</v>
      </c>
      <c r="E310" s="902"/>
      <c r="F310" s="290">
        <f>D310*E310</f>
        <v>0</v>
      </c>
      <c r="G310" s="1671" t="s">
        <v>828</v>
      </c>
      <c r="H310" s="1632">
        <f t="shared" ref="H310:H315" si="12">IF(G310="n",0,999999999999999000000)</f>
        <v>9.9999999999999895E+20</v>
      </c>
    </row>
    <row r="311" spans="1:8">
      <c r="A311" s="287"/>
      <c r="B311" s="781" t="s">
        <v>889</v>
      </c>
      <c r="C311" s="285" t="s">
        <v>162</v>
      </c>
      <c r="D311" s="294">
        <v>10</v>
      </c>
      <c r="E311" s="902"/>
      <c r="F311" s="290">
        <f>D311*E311</f>
        <v>0</v>
      </c>
      <c r="G311" s="1671" t="s">
        <v>828</v>
      </c>
      <c r="H311" s="1632">
        <f t="shared" si="12"/>
        <v>9.9999999999999895E+20</v>
      </c>
    </row>
    <row r="312" spans="1:8">
      <c r="A312" s="287"/>
      <c r="B312" s="781" t="s">
        <v>890</v>
      </c>
      <c r="C312" s="285" t="s">
        <v>162</v>
      </c>
      <c r="D312" s="294">
        <v>10</v>
      </c>
      <c r="E312" s="902"/>
      <c r="F312" s="290">
        <f>D312*E312</f>
        <v>0</v>
      </c>
      <c r="G312" s="1671" t="s">
        <v>828</v>
      </c>
      <c r="H312" s="1632">
        <f t="shared" si="12"/>
        <v>9.9999999999999895E+20</v>
      </c>
    </row>
    <row r="313" spans="1:8">
      <c r="A313" s="287" t="s">
        <v>939</v>
      </c>
      <c r="B313" s="781" t="s">
        <v>940</v>
      </c>
      <c r="C313" s="285"/>
      <c r="D313" s="285"/>
      <c r="E313" s="286"/>
      <c r="F313" s="312"/>
      <c r="G313" s="1632"/>
      <c r="H313" s="1632"/>
    </row>
    <row r="314" spans="1:8">
      <c r="A314" s="287"/>
      <c r="B314" s="951" t="s">
        <v>941</v>
      </c>
      <c r="C314" s="285" t="s">
        <v>115</v>
      </c>
      <c r="D314" s="285" t="s">
        <v>116</v>
      </c>
      <c r="E314" s="285" t="s">
        <v>117</v>
      </c>
      <c r="F314" s="967">
        <v>1500000</v>
      </c>
      <c r="G314" s="1672" t="s">
        <v>828</v>
      </c>
      <c r="H314" s="1632">
        <f t="shared" si="12"/>
        <v>9.9999999999999895E+20</v>
      </c>
    </row>
    <row r="315" spans="1:8" ht="30">
      <c r="A315" s="287"/>
      <c r="B315" s="951" t="s">
        <v>942</v>
      </c>
      <c r="C315" s="285" t="s">
        <v>103</v>
      </c>
      <c r="D315" s="285" t="s">
        <v>104</v>
      </c>
      <c r="E315" s="285" t="s">
        <v>105</v>
      </c>
      <c r="F315" s="902"/>
      <c r="G315" s="1671" t="s">
        <v>828</v>
      </c>
      <c r="H315" s="1632">
        <f t="shared" si="12"/>
        <v>9.9999999999999895E+20</v>
      </c>
    </row>
    <row r="316" spans="1:8">
      <c r="A316" s="285"/>
      <c r="B316" s="291" t="s">
        <v>201</v>
      </c>
      <c r="C316" s="292"/>
      <c r="D316" s="292"/>
      <c r="E316" s="293"/>
      <c r="F316" s="290">
        <f>SUM(F256:F315)</f>
        <v>43066000</v>
      </c>
      <c r="G316" s="1632"/>
      <c r="H316" s="1632"/>
    </row>
    <row r="317" spans="1:8">
      <c r="A317" s="284">
        <v>3.8</v>
      </c>
      <c r="B317" s="305" t="s">
        <v>817</v>
      </c>
      <c r="C317" s="285"/>
      <c r="D317" s="285"/>
      <c r="E317" s="286"/>
      <c r="F317" s="302"/>
      <c r="G317" s="1632"/>
      <c r="H317" s="1632"/>
    </row>
    <row r="318" spans="1:8">
      <c r="A318" s="287" t="s">
        <v>252</v>
      </c>
      <c r="B318" s="306" t="s">
        <v>228</v>
      </c>
      <c r="C318" s="285"/>
      <c r="D318" s="285">
        <f>27*75/18</f>
        <v>112.5</v>
      </c>
      <c r="E318" s="286"/>
      <c r="F318" s="302"/>
      <c r="G318" s="1632"/>
      <c r="H318" s="1632"/>
    </row>
    <row r="319" spans="1:8">
      <c r="A319" s="287"/>
      <c r="B319" s="307" t="s">
        <v>265</v>
      </c>
      <c r="C319" s="296"/>
      <c r="D319" s="285"/>
      <c r="E319" s="286"/>
      <c r="F319" s="302"/>
      <c r="G319" s="1632"/>
      <c r="H319" s="1632"/>
    </row>
    <row r="320" spans="1:8">
      <c r="A320" s="285"/>
      <c r="B320" s="285" t="s">
        <v>266</v>
      </c>
      <c r="C320" s="285" t="s">
        <v>229</v>
      </c>
      <c r="D320" s="294">
        <v>240</v>
      </c>
      <c r="E320" s="302">
        <f>DATA!$B$7</f>
        <v>3534</v>
      </c>
      <c r="F320" s="290">
        <f>D320*E320</f>
        <v>848160</v>
      </c>
      <c r="G320" s="1671" t="s">
        <v>828</v>
      </c>
      <c r="H320" s="1632">
        <f t="shared" ref="H320:H325" si="13">IF(G320="n",0,999999999999999000000)</f>
        <v>9.9999999999999895E+20</v>
      </c>
    </row>
    <row r="321" spans="1:8">
      <c r="A321" s="285"/>
      <c r="B321" s="285" t="s">
        <v>267</v>
      </c>
      <c r="C321" s="285" t="s">
        <v>229</v>
      </c>
      <c r="D321" s="294">
        <v>240</v>
      </c>
      <c r="E321" s="302">
        <f>DATA!$B$8</f>
        <v>2796</v>
      </c>
      <c r="F321" s="290">
        <f>D321*E321</f>
        <v>671040</v>
      </c>
      <c r="G321" s="1671" t="s">
        <v>828</v>
      </c>
      <c r="H321" s="1632">
        <f t="shared" si="13"/>
        <v>9.9999999999999895E+20</v>
      </c>
    </row>
    <row r="322" spans="1:8">
      <c r="A322" s="285"/>
      <c r="B322" s="285" t="s">
        <v>268</v>
      </c>
      <c r="C322" s="285" t="s">
        <v>229</v>
      </c>
      <c r="D322" s="294">
        <v>480</v>
      </c>
      <c r="E322" s="302">
        <f>DATA!$B$9</f>
        <v>2403</v>
      </c>
      <c r="F322" s="290">
        <f>D322*E322</f>
        <v>1153440</v>
      </c>
      <c r="G322" s="1671" t="s">
        <v>828</v>
      </c>
      <c r="H322" s="1632">
        <f t="shared" si="13"/>
        <v>9.9999999999999895E+20</v>
      </c>
    </row>
    <row r="323" spans="1:8">
      <c r="A323" s="285"/>
      <c r="B323" s="285" t="s">
        <v>269</v>
      </c>
      <c r="C323" s="285" t="s">
        <v>229</v>
      </c>
      <c r="D323" s="294">
        <v>720</v>
      </c>
      <c r="E323" s="302">
        <f>DATA!$B$10</f>
        <v>1167</v>
      </c>
      <c r="F323" s="290">
        <f>D323*E323</f>
        <v>840240</v>
      </c>
      <c r="G323" s="1671" t="s">
        <v>828</v>
      </c>
      <c r="H323" s="1632">
        <f t="shared" si="13"/>
        <v>9.9999999999999895E+20</v>
      </c>
    </row>
    <row r="324" spans="1:8">
      <c r="A324" s="287"/>
      <c r="B324" s="285" t="s">
        <v>127</v>
      </c>
      <c r="C324" s="285" t="s">
        <v>115</v>
      </c>
      <c r="D324" s="285" t="s">
        <v>116</v>
      </c>
      <c r="E324" s="285" t="s">
        <v>117</v>
      </c>
      <c r="F324" s="893">
        <v>50000</v>
      </c>
      <c r="G324" s="1671" t="s">
        <v>828</v>
      </c>
      <c r="H324" s="1632">
        <f t="shared" si="13"/>
        <v>9.9999999999999895E+20</v>
      </c>
    </row>
    <row r="325" spans="1:8">
      <c r="A325" s="285"/>
      <c r="B325" s="285" t="s">
        <v>270</v>
      </c>
      <c r="C325" s="285" t="s">
        <v>128</v>
      </c>
      <c r="D325" s="302">
        <f>F324</f>
        <v>50000</v>
      </c>
      <c r="E325" s="903"/>
      <c r="F325" s="290">
        <f>D325*E325</f>
        <v>0</v>
      </c>
      <c r="G325" s="1671" t="s">
        <v>828</v>
      </c>
      <c r="H325" s="1632">
        <f t="shared" si="13"/>
        <v>9.9999999999999895E+20</v>
      </c>
    </row>
    <row r="326" spans="1:8">
      <c r="A326" s="309" t="s">
        <v>253</v>
      </c>
      <c r="B326" s="307" t="s">
        <v>230</v>
      </c>
      <c r="C326" s="308" t="s">
        <v>229</v>
      </c>
      <c r="D326" s="310"/>
      <c r="E326" s="311">
        <v>-1500</v>
      </c>
      <c r="F326" s="310" t="s">
        <v>231</v>
      </c>
      <c r="G326" s="1632"/>
      <c r="H326" s="1632"/>
    </row>
    <row r="327" spans="1:8">
      <c r="A327" s="309" t="s">
        <v>254</v>
      </c>
      <c r="B327" s="307" t="s">
        <v>263</v>
      </c>
      <c r="C327" s="285"/>
      <c r="D327" s="285"/>
      <c r="E327" s="286"/>
      <c r="F327" s="312"/>
      <c r="G327" s="1632"/>
      <c r="H327" s="1632"/>
    </row>
    <row r="328" spans="1:8">
      <c r="A328" s="309"/>
      <c r="B328" s="307" t="s">
        <v>264</v>
      </c>
      <c r="C328" s="285"/>
      <c r="D328" s="285"/>
      <c r="E328" s="286"/>
      <c r="F328" s="312"/>
      <c r="G328" s="1632"/>
      <c r="H328" s="1632"/>
    </row>
    <row r="329" spans="1:8">
      <c r="A329" s="285"/>
      <c r="B329" s="285" t="s">
        <v>258</v>
      </c>
      <c r="C329" s="285" t="s">
        <v>229</v>
      </c>
      <c r="D329" s="294">
        <v>150</v>
      </c>
      <c r="E329" s="302">
        <f>DATA!$B$7</f>
        <v>3534</v>
      </c>
      <c r="F329" s="290">
        <f>D329*E329</f>
        <v>530100</v>
      </c>
      <c r="G329" s="1671" t="s">
        <v>828</v>
      </c>
      <c r="H329" s="1632">
        <f t="shared" ref="H329:H350" si="14">IF(G329="n",0,999999999999999000000)</f>
        <v>9.9999999999999895E+20</v>
      </c>
    </row>
    <row r="330" spans="1:8">
      <c r="A330" s="285"/>
      <c r="B330" s="285" t="s">
        <v>259</v>
      </c>
      <c r="C330" s="285" t="s">
        <v>229</v>
      </c>
      <c r="D330" s="294">
        <v>150</v>
      </c>
      <c r="E330" s="302">
        <f>DATA!$B$8</f>
        <v>2796</v>
      </c>
      <c r="F330" s="290">
        <f>D330*E330</f>
        <v>419400</v>
      </c>
      <c r="G330" s="1671" t="s">
        <v>828</v>
      </c>
      <c r="H330" s="1632">
        <f t="shared" si="14"/>
        <v>9.9999999999999895E+20</v>
      </c>
    </row>
    <row r="331" spans="1:8">
      <c r="A331" s="285"/>
      <c r="B331" s="285" t="s">
        <v>260</v>
      </c>
      <c r="C331" s="285" t="s">
        <v>229</v>
      </c>
      <c r="D331" s="294">
        <v>240</v>
      </c>
      <c r="E331" s="302">
        <f>DATA!$B$9</f>
        <v>2403</v>
      </c>
      <c r="F331" s="290">
        <f>D331*E331</f>
        <v>576720</v>
      </c>
      <c r="G331" s="1671" t="s">
        <v>828</v>
      </c>
      <c r="H331" s="1632">
        <f t="shared" si="14"/>
        <v>9.9999999999999895E+20</v>
      </c>
    </row>
    <row r="332" spans="1:8">
      <c r="A332" s="285"/>
      <c r="B332" s="285" t="s">
        <v>261</v>
      </c>
      <c r="C332" s="285" t="s">
        <v>229</v>
      </c>
      <c r="D332" s="294">
        <v>360</v>
      </c>
      <c r="E332" s="302">
        <f>DATA!$B$10</f>
        <v>1167</v>
      </c>
      <c r="F332" s="290">
        <f>D332*E332</f>
        <v>420120</v>
      </c>
      <c r="G332" s="1671" t="s">
        <v>828</v>
      </c>
      <c r="H332" s="1632">
        <f t="shared" si="14"/>
        <v>9.9999999999999895E+20</v>
      </c>
    </row>
    <row r="333" spans="1:8">
      <c r="A333" s="287"/>
      <c r="B333" s="285" t="s">
        <v>262</v>
      </c>
      <c r="C333" s="285" t="s">
        <v>115</v>
      </c>
      <c r="D333" s="285" t="s">
        <v>116</v>
      </c>
      <c r="E333" s="285" t="s">
        <v>117</v>
      </c>
      <c r="F333" s="893">
        <v>1000000</v>
      </c>
      <c r="G333" s="1671" t="s">
        <v>828</v>
      </c>
      <c r="H333" s="1632">
        <f t="shared" si="14"/>
        <v>9.9999999999999895E+20</v>
      </c>
    </row>
    <row r="334" spans="1:8">
      <c r="A334" s="285"/>
      <c r="B334" s="285" t="s">
        <v>854</v>
      </c>
      <c r="C334" s="285" t="s">
        <v>158</v>
      </c>
      <c r="D334" s="302">
        <f>F333</f>
        <v>1000000</v>
      </c>
      <c r="E334" s="903"/>
      <c r="F334" s="290">
        <f>D334*E334</f>
        <v>0</v>
      </c>
      <c r="G334" s="1671" t="s">
        <v>828</v>
      </c>
      <c r="H334" s="1632">
        <f t="shared" si="14"/>
        <v>9.9999999999999895E+20</v>
      </c>
    </row>
    <row r="335" spans="1:8">
      <c r="A335" s="287" t="s">
        <v>255</v>
      </c>
      <c r="B335" s="285" t="s">
        <v>856</v>
      </c>
      <c r="C335" s="285" t="s">
        <v>125</v>
      </c>
      <c r="D335" s="285" t="s">
        <v>126</v>
      </c>
      <c r="E335" s="285" t="s">
        <v>105</v>
      </c>
      <c r="F335" s="893">
        <v>500000</v>
      </c>
      <c r="G335" s="1671" t="s">
        <v>828</v>
      </c>
      <c r="H335" s="1632">
        <f t="shared" si="14"/>
        <v>9.9999999999999895E+20</v>
      </c>
    </row>
    <row r="336" spans="1:8">
      <c r="A336" s="287" t="s">
        <v>256</v>
      </c>
      <c r="B336" s="781" t="s">
        <v>974</v>
      </c>
      <c r="C336" s="285" t="s">
        <v>122</v>
      </c>
      <c r="D336" s="294"/>
      <c r="E336" s="902"/>
      <c r="F336" s="290">
        <f>D336*E336</f>
        <v>0</v>
      </c>
      <c r="G336" s="1671" t="s">
        <v>828</v>
      </c>
      <c r="H336" s="1632">
        <f t="shared" si="14"/>
        <v>9.9999999999999895E+20</v>
      </c>
    </row>
    <row r="337" spans="1:8">
      <c r="A337" s="309" t="s">
        <v>891</v>
      </c>
      <c r="B337" s="307" t="s">
        <v>892</v>
      </c>
      <c r="C337" s="285"/>
      <c r="D337" s="285"/>
      <c r="E337" s="286"/>
      <c r="F337" s="312"/>
      <c r="G337" s="1632"/>
      <c r="H337" s="1632"/>
    </row>
    <row r="338" spans="1:8">
      <c r="A338" s="287"/>
      <c r="B338" s="285" t="s">
        <v>893</v>
      </c>
      <c r="C338" s="285" t="s">
        <v>103</v>
      </c>
      <c r="D338" s="285" t="s">
        <v>104</v>
      </c>
      <c r="E338" s="285" t="s">
        <v>105</v>
      </c>
      <c r="F338" s="902"/>
      <c r="G338" s="1671" t="s">
        <v>828</v>
      </c>
      <c r="H338" s="1632">
        <f t="shared" si="14"/>
        <v>9.9999999999999895E+20</v>
      </c>
    </row>
    <row r="339" spans="1:8">
      <c r="A339" s="287"/>
      <c r="B339" s="285" t="s">
        <v>894</v>
      </c>
      <c r="C339" s="285" t="s">
        <v>125</v>
      </c>
      <c r="D339" s="285" t="s">
        <v>126</v>
      </c>
      <c r="E339" s="285" t="s">
        <v>105</v>
      </c>
      <c r="F339" s="893">
        <v>250000</v>
      </c>
      <c r="G339" s="1671" t="s">
        <v>828</v>
      </c>
      <c r="H339" s="1632">
        <f t="shared" si="14"/>
        <v>9.9999999999999895E+20</v>
      </c>
    </row>
    <row r="340" spans="1:8">
      <c r="A340" s="287"/>
      <c r="B340" s="285" t="s">
        <v>895</v>
      </c>
      <c r="C340" s="285" t="s">
        <v>125</v>
      </c>
      <c r="D340" s="285" t="s">
        <v>126</v>
      </c>
      <c r="E340" s="285" t="s">
        <v>105</v>
      </c>
      <c r="F340" s="893">
        <v>300000</v>
      </c>
      <c r="G340" s="1671" t="s">
        <v>828</v>
      </c>
      <c r="H340" s="1632">
        <f t="shared" si="14"/>
        <v>9.9999999999999895E+20</v>
      </c>
    </row>
    <row r="341" spans="1:8">
      <c r="A341" s="287"/>
      <c r="B341" s="285" t="s">
        <v>943</v>
      </c>
      <c r="C341" s="285" t="s">
        <v>158</v>
      </c>
      <c r="D341" s="302">
        <f>F340</f>
        <v>300000</v>
      </c>
      <c r="E341" s="903"/>
      <c r="F341" s="290">
        <f>D341*E341</f>
        <v>0</v>
      </c>
      <c r="G341" s="1671" t="s">
        <v>828</v>
      </c>
      <c r="H341" s="1632">
        <f t="shared" si="14"/>
        <v>9.9999999999999895E+20</v>
      </c>
    </row>
    <row r="342" spans="1:8">
      <c r="A342" s="287"/>
      <c r="B342" s="285" t="s">
        <v>944</v>
      </c>
      <c r="C342" s="285" t="s">
        <v>125</v>
      </c>
      <c r="D342" s="285" t="s">
        <v>126</v>
      </c>
      <c r="E342" s="285" t="s">
        <v>105</v>
      </c>
      <c r="F342" s="893">
        <v>150000</v>
      </c>
      <c r="G342" s="1671" t="s">
        <v>828</v>
      </c>
      <c r="H342" s="1632">
        <f t="shared" si="14"/>
        <v>9.9999999999999895E+20</v>
      </c>
    </row>
    <row r="343" spans="1:8">
      <c r="A343" s="287"/>
      <c r="B343" s="285" t="s">
        <v>945</v>
      </c>
      <c r="C343" s="285" t="s">
        <v>158</v>
      </c>
      <c r="D343" s="302">
        <f>F342</f>
        <v>150000</v>
      </c>
      <c r="E343" s="903"/>
      <c r="F343" s="290">
        <f>D343*E343</f>
        <v>0</v>
      </c>
      <c r="G343" s="1671" t="s">
        <v>828</v>
      </c>
      <c r="H343" s="1632">
        <f t="shared" si="14"/>
        <v>9.9999999999999895E+20</v>
      </c>
    </row>
    <row r="344" spans="1:8">
      <c r="A344" s="309" t="s">
        <v>896</v>
      </c>
      <c r="B344" s="307" t="s">
        <v>946</v>
      </c>
      <c r="C344" s="285"/>
      <c r="D344" s="285"/>
      <c r="E344" s="286"/>
      <c r="F344" s="312"/>
      <c r="G344" s="1632"/>
      <c r="H344" s="1632"/>
    </row>
    <row r="345" spans="1:8">
      <c r="A345" s="287"/>
      <c r="B345" s="781" t="s">
        <v>947</v>
      </c>
      <c r="C345" s="285" t="s">
        <v>103</v>
      </c>
      <c r="D345" s="285" t="s">
        <v>104</v>
      </c>
      <c r="E345" s="285" t="s">
        <v>105</v>
      </c>
      <c r="F345" s="902"/>
      <c r="G345" s="1671" t="s">
        <v>828</v>
      </c>
      <c r="H345" s="1632">
        <f t="shared" si="14"/>
        <v>9.9999999999999895E+20</v>
      </c>
    </row>
    <row r="346" spans="1:8" ht="30">
      <c r="A346" s="287"/>
      <c r="B346" s="781" t="s">
        <v>948</v>
      </c>
      <c r="C346" s="285" t="s">
        <v>122</v>
      </c>
      <c r="D346" s="294">
        <v>5</v>
      </c>
      <c r="E346" s="902"/>
      <c r="F346" s="290">
        <f>D346*E346</f>
        <v>0</v>
      </c>
      <c r="G346" s="1671" t="s">
        <v>828</v>
      </c>
      <c r="H346" s="1632">
        <f t="shared" si="14"/>
        <v>9.9999999999999895E+20</v>
      </c>
    </row>
    <row r="347" spans="1:8" ht="30">
      <c r="A347" s="287"/>
      <c r="B347" s="951" t="s">
        <v>949</v>
      </c>
      <c r="C347" s="285" t="s">
        <v>122</v>
      </c>
      <c r="D347" s="294">
        <v>5</v>
      </c>
      <c r="E347" s="902"/>
      <c r="F347" s="290">
        <f>D347*E347</f>
        <v>0</v>
      </c>
      <c r="G347" s="1671" t="s">
        <v>828</v>
      </c>
      <c r="H347" s="1632">
        <f t="shared" si="14"/>
        <v>9.9999999999999895E+20</v>
      </c>
    </row>
    <row r="348" spans="1:8">
      <c r="A348" s="309" t="s">
        <v>950</v>
      </c>
      <c r="B348" s="307" t="s">
        <v>951</v>
      </c>
      <c r="C348" s="285"/>
      <c r="D348" s="285"/>
      <c r="E348" s="286"/>
      <c r="F348" s="312"/>
      <c r="G348" s="1632"/>
      <c r="H348" s="1632"/>
    </row>
    <row r="349" spans="1:8">
      <c r="A349" s="287"/>
      <c r="B349" s="951" t="s">
        <v>952</v>
      </c>
      <c r="C349" s="285" t="s">
        <v>125</v>
      </c>
      <c r="D349" s="285" t="s">
        <v>126</v>
      </c>
      <c r="E349" s="285" t="s">
        <v>105</v>
      </c>
      <c r="F349" s="893">
        <v>1850000</v>
      </c>
      <c r="G349" s="1671" t="s">
        <v>828</v>
      </c>
      <c r="H349" s="1632">
        <f t="shared" si="14"/>
        <v>9.9999999999999895E+20</v>
      </c>
    </row>
    <row r="350" spans="1:8">
      <c r="A350" s="287"/>
      <c r="B350" s="951" t="s">
        <v>953</v>
      </c>
      <c r="C350" s="285" t="s">
        <v>158</v>
      </c>
      <c r="D350" s="302">
        <f>F349</f>
        <v>1850000</v>
      </c>
      <c r="E350" s="903"/>
      <c r="F350" s="290">
        <f>D350*E350</f>
        <v>0</v>
      </c>
      <c r="G350" s="1671" t="s">
        <v>828</v>
      </c>
      <c r="H350" s="1632">
        <f t="shared" si="14"/>
        <v>9.9999999999999895E+20</v>
      </c>
    </row>
    <row r="351" spans="1:8">
      <c r="A351" s="285"/>
      <c r="B351" s="291" t="s">
        <v>201</v>
      </c>
      <c r="C351" s="292"/>
      <c r="D351" s="292"/>
      <c r="E351" s="293"/>
      <c r="F351" s="290">
        <f>SUM(F317:F350)</f>
        <v>9559220</v>
      </c>
      <c r="G351" s="1632"/>
      <c r="H351" s="1632"/>
    </row>
    <row r="352" spans="1:8">
      <c r="A352" s="284">
        <v>3.9</v>
      </c>
      <c r="B352" s="305" t="s">
        <v>823</v>
      </c>
      <c r="C352" s="285"/>
      <c r="D352" s="285"/>
      <c r="E352" s="286"/>
      <c r="F352" s="302"/>
      <c r="G352" s="1632"/>
      <c r="H352" s="1632"/>
    </row>
    <row r="353" spans="1:8">
      <c r="A353" s="287" t="s">
        <v>563</v>
      </c>
      <c r="B353" s="59" t="s">
        <v>592</v>
      </c>
      <c r="C353" s="285"/>
      <c r="D353" s="285"/>
      <c r="E353" s="286"/>
      <c r="F353" s="302"/>
      <c r="G353" s="1632"/>
      <c r="H353" s="1632"/>
    </row>
    <row r="354" spans="1:8">
      <c r="A354" s="287"/>
      <c r="B354" s="285" t="s">
        <v>595</v>
      </c>
      <c r="C354" s="285" t="s">
        <v>115</v>
      </c>
      <c r="D354" s="285" t="s">
        <v>116</v>
      </c>
      <c r="E354" s="285" t="s">
        <v>117</v>
      </c>
      <c r="F354" s="893">
        <v>28000000</v>
      </c>
      <c r="G354" s="1671" t="s">
        <v>828</v>
      </c>
      <c r="H354" s="1632">
        <f>IF(G354="n",0,999999999999999000000)</f>
        <v>9.9999999999999895E+20</v>
      </c>
    </row>
    <row r="355" spans="1:8">
      <c r="A355" s="285"/>
      <c r="B355" s="285" t="s">
        <v>593</v>
      </c>
      <c r="C355" s="285" t="s">
        <v>158</v>
      </c>
      <c r="D355" s="302">
        <f>F354</f>
        <v>28000000</v>
      </c>
      <c r="E355" s="903"/>
      <c r="F355" s="290">
        <f>D355*E355</f>
        <v>0</v>
      </c>
      <c r="G355" s="1671" t="s">
        <v>828</v>
      </c>
      <c r="H355" s="1632">
        <f>IF(G355="n",0,999999999999999000000)</f>
        <v>9.9999999999999895E+20</v>
      </c>
    </row>
    <row r="356" spans="1:8">
      <c r="A356" s="287"/>
      <c r="B356" s="285" t="s">
        <v>594</v>
      </c>
      <c r="C356" s="285" t="s">
        <v>115</v>
      </c>
      <c r="D356" s="285" t="s">
        <v>116</v>
      </c>
      <c r="E356" s="285" t="s">
        <v>117</v>
      </c>
      <c r="F356" s="893">
        <v>750000</v>
      </c>
      <c r="G356" s="1671" t="s">
        <v>828</v>
      </c>
      <c r="H356" s="1632">
        <f>IF(G356="n",0,999999999999999000000)</f>
        <v>9.9999999999999895E+20</v>
      </c>
    </row>
    <row r="357" spans="1:8">
      <c r="A357" s="285"/>
      <c r="B357" s="285" t="s">
        <v>650</v>
      </c>
      <c r="C357" s="285" t="s">
        <v>158</v>
      </c>
      <c r="D357" s="302">
        <f>F356</f>
        <v>750000</v>
      </c>
      <c r="E357" s="903"/>
      <c r="F357" s="290">
        <f>D357*E357</f>
        <v>0</v>
      </c>
      <c r="G357" s="1671" t="s">
        <v>828</v>
      </c>
      <c r="H357" s="1632">
        <f>IF(G357="n",0,999999999999999000000)</f>
        <v>9.9999999999999895E+20</v>
      </c>
    </row>
    <row r="358" spans="1:8">
      <c r="A358" s="285"/>
      <c r="B358" s="291" t="s">
        <v>201</v>
      </c>
      <c r="C358" s="292"/>
      <c r="D358" s="292"/>
      <c r="E358" s="293"/>
      <c r="F358" s="290">
        <f>SUM(F352:F357)</f>
        <v>28750000</v>
      </c>
      <c r="G358" s="1632"/>
      <c r="H358" s="1632"/>
    </row>
    <row r="359" spans="1:8">
      <c r="A359" s="697">
        <v>3.1</v>
      </c>
      <c r="B359" s="291" t="s">
        <v>205</v>
      </c>
      <c r="C359" s="292"/>
      <c r="D359" s="292"/>
      <c r="E359" s="292"/>
      <c r="F359" s="290"/>
      <c r="G359" s="1632"/>
      <c r="H359" s="1632"/>
    </row>
    <row r="360" spans="1:8">
      <c r="A360" s="698" t="s">
        <v>596</v>
      </c>
      <c r="B360" s="298" t="s">
        <v>205</v>
      </c>
      <c r="C360" s="299"/>
      <c r="D360" s="299"/>
      <c r="E360" s="300"/>
      <c r="F360" s="299"/>
      <c r="G360" s="1632"/>
      <c r="H360" s="1632"/>
    </row>
    <row r="361" spans="1:8">
      <c r="A361" s="285"/>
      <c r="B361" s="285" t="s">
        <v>132</v>
      </c>
      <c r="C361" s="285"/>
      <c r="D361" s="285"/>
      <c r="E361" s="286"/>
      <c r="F361" s="285"/>
      <c r="G361" s="1632"/>
      <c r="H361" s="1632"/>
    </row>
    <row r="362" spans="1:8">
      <c r="A362" s="285"/>
      <c r="B362" s="301" t="s">
        <v>133</v>
      </c>
      <c r="C362" s="285" t="s">
        <v>103</v>
      </c>
      <c r="D362" s="285" t="s">
        <v>104</v>
      </c>
      <c r="E362" s="286" t="s">
        <v>105</v>
      </c>
      <c r="F362" s="302">
        <f>'SUMMARY TENDERED FEE'!I17</f>
        <v>0</v>
      </c>
      <c r="G362" s="1632"/>
      <c r="H362" s="1632"/>
    </row>
    <row r="363" spans="1:8">
      <c r="A363" s="285"/>
      <c r="B363" s="303" t="s">
        <v>134</v>
      </c>
      <c r="C363" s="285" t="s">
        <v>103</v>
      </c>
      <c r="D363" s="285" t="s">
        <v>104</v>
      </c>
      <c r="E363" s="286" t="s">
        <v>105</v>
      </c>
      <c r="F363" s="302">
        <v>0</v>
      </c>
      <c r="G363" s="1632"/>
      <c r="H363" s="1632"/>
    </row>
    <row r="364" spans="1:8">
      <c r="A364" s="285"/>
      <c r="B364" s="285" t="s">
        <v>135</v>
      </c>
      <c r="C364" s="285"/>
      <c r="D364" s="285"/>
      <c r="E364" s="286"/>
      <c r="F364" s="285"/>
      <c r="G364" s="1632"/>
      <c r="H364" s="1632"/>
    </row>
    <row r="365" spans="1:8">
      <c r="A365" s="285"/>
      <c r="B365" s="301" t="s">
        <v>133</v>
      </c>
      <c r="C365" s="285" t="s">
        <v>103</v>
      </c>
      <c r="D365" s="285" t="s">
        <v>104</v>
      </c>
      <c r="E365" s="286" t="s">
        <v>105</v>
      </c>
      <c r="F365" s="302">
        <f>'SUMMARY TENDERED FEE'!I18</f>
        <v>0</v>
      </c>
      <c r="G365" s="1632"/>
      <c r="H365" s="1632"/>
    </row>
    <row r="366" spans="1:8">
      <c r="A366" s="285"/>
      <c r="B366" s="303" t="s">
        <v>134</v>
      </c>
      <c r="C366" s="285" t="s">
        <v>103</v>
      </c>
      <c r="D366" s="285" t="s">
        <v>104</v>
      </c>
      <c r="E366" s="286" t="s">
        <v>105</v>
      </c>
      <c r="F366" s="302">
        <v>0</v>
      </c>
      <c r="G366" s="1632"/>
      <c r="H366" s="1632"/>
    </row>
    <row r="367" spans="1:8">
      <c r="A367" s="285"/>
      <c r="B367" s="285" t="s">
        <v>136</v>
      </c>
      <c r="C367" s="285"/>
      <c r="D367" s="285"/>
      <c r="E367" s="286"/>
      <c r="F367" s="285"/>
      <c r="G367" s="1632"/>
      <c r="H367" s="1632"/>
    </row>
    <row r="368" spans="1:8">
      <c r="A368" s="285"/>
      <c r="B368" s="301" t="s">
        <v>133</v>
      </c>
      <c r="C368" s="285" t="s">
        <v>103</v>
      </c>
      <c r="D368" s="285" t="s">
        <v>104</v>
      </c>
      <c r="E368" s="286" t="s">
        <v>105</v>
      </c>
      <c r="F368" s="302">
        <f>'SUMMARY TENDERED FEE'!I19</f>
        <v>0</v>
      </c>
      <c r="G368" s="1632"/>
      <c r="H368" s="1632"/>
    </row>
    <row r="369" spans="1:9">
      <c r="A369" s="285"/>
      <c r="B369" s="303" t="s">
        <v>134</v>
      </c>
      <c r="C369" s="285" t="s">
        <v>103</v>
      </c>
      <c r="D369" s="285" t="s">
        <v>104</v>
      </c>
      <c r="E369" s="286" t="s">
        <v>105</v>
      </c>
      <c r="F369" s="302">
        <v>0</v>
      </c>
      <c r="G369" s="1632"/>
      <c r="H369" s="1632"/>
      <c r="I369" s="140"/>
    </row>
    <row r="370" spans="1:9">
      <c r="A370" s="285"/>
      <c r="B370" s="285" t="s">
        <v>137</v>
      </c>
      <c r="C370" s="285"/>
      <c r="D370" s="285"/>
      <c r="E370" s="286"/>
      <c r="F370" s="285"/>
      <c r="G370" s="1632"/>
      <c r="H370" s="1632"/>
      <c r="I370" s="140"/>
    </row>
    <row r="371" spans="1:9">
      <c r="A371" s="285"/>
      <c r="B371" s="301" t="s">
        <v>133</v>
      </c>
      <c r="C371" s="285" t="s">
        <v>103</v>
      </c>
      <c r="D371" s="285" t="s">
        <v>104</v>
      </c>
      <c r="E371" s="286" t="s">
        <v>105</v>
      </c>
      <c r="F371" s="302">
        <f>'SUMMARY TENDERED FEE'!I20</f>
        <v>0</v>
      </c>
      <c r="G371" s="1632"/>
      <c r="H371" s="1632"/>
      <c r="I371" s="140"/>
    </row>
    <row r="372" spans="1:9">
      <c r="A372" s="285"/>
      <c r="B372" s="303" t="s">
        <v>134</v>
      </c>
      <c r="C372" s="285" t="s">
        <v>103</v>
      </c>
      <c r="D372" s="285" t="s">
        <v>104</v>
      </c>
      <c r="E372" s="286" t="s">
        <v>105</v>
      </c>
      <c r="F372" s="302">
        <v>0</v>
      </c>
      <c r="G372" s="1632"/>
      <c r="H372" s="1632"/>
    </row>
    <row r="373" spans="1:9">
      <c r="A373" s="285"/>
      <c r="B373" s="285" t="s">
        <v>138</v>
      </c>
      <c r="C373" s="285"/>
      <c r="D373" s="285"/>
      <c r="E373" s="286"/>
      <c r="F373" s="285"/>
      <c r="G373" s="1632"/>
      <c r="H373" s="1632"/>
    </row>
    <row r="374" spans="1:9">
      <c r="A374" s="285"/>
      <c r="B374" s="301" t="s">
        <v>133</v>
      </c>
      <c r="C374" s="285" t="s">
        <v>103</v>
      </c>
      <c r="D374" s="285" t="s">
        <v>104</v>
      </c>
      <c r="E374" s="286" t="s">
        <v>105</v>
      </c>
      <c r="F374" s="302">
        <f>'SUMMARY TENDERED FEE'!I21</f>
        <v>0</v>
      </c>
      <c r="G374" s="1632"/>
      <c r="H374" s="1632"/>
    </row>
    <row r="375" spans="1:9">
      <c r="A375" s="285"/>
      <c r="B375" s="303" t="s">
        <v>134</v>
      </c>
      <c r="C375" s="285" t="s">
        <v>103</v>
      </c>
      <c r="D375" s="285" t="s">
        <v>104</v>
      </c>
      <c r="E375" s="286" t="s">
        <v>105</v>
      </c>
      <c r="F375" s="302">
        <v>0</v>
      </c>
      <c r="G375" s="1632"/>
      <c r="H375" s="1632"/>
    </row>
    <row r="376" spans="1:9">
      <c r="A376" s="285"/>
      <c r="B376" s="285" t="s">
        <v>139</v>
      </c>
      <c r="C376" s="285"/>
      <c r="D376" s="285"/>
      <c r="E376" s="286"/>
      <c r="F376" s="285"/>
      <c r="G376" s="1632"/>
      <c r="H376" s="1632"/>
    </row>
    <row r="377" spans="1:9">
      <c r="A377" s="285"/>
      <c r="B377" s="301" t="s">
        <v>133</v>
      </c>
      <c r="C377" s="285" t="s">
        <v>103</v>
      </c>
      <c r="D377" s="285" t="s">
        <v>104</v>
      </c>
      <c r="E377" s="286" t="s">
        <v>105</v>
      </c>
      <c r="F377" s="302">
        <f>'SUMMARY TENDERED FEE'!I22</f>
        <v>0</v>
      </c>
      <c r="G377" s="1632"/>
      <c r="H377" s="1632"/>
    </row>
    <row r="378" spans="1:9">
      <c r="A378" s="285"/>
      <c r="B378" s="303" t="s">
        <v>134</v>
      </c>
      <c r="C378" s="285" t="s">
        <v>103</v>
      </c>
      <c r="D378" s="285" t="s">
        <v>104</v>
      </c>
      <c r="E378" s="286" t="s">
        <v>105</v>
      </c>
      <c r="F378" s="302">
        <v>0</v>
      </c>
      <c r="G378" s="1632"/>
      <c r="H378" s="1632"/>
    </row>
    <row r="379" spans="1:9">
      <c r="A379" s="285"/>
      <c r="B379" s="285" t="s">
        <v>140</v>
      </c>
      <c r="C379" s="285"/>
      <c r="D379" s="285"/>
      <c r="E379" s="286"/>
      <c r="F379" s="285"/>
      <c r="G379" s="1632"/>
      <c r="H379" s="1632"/>
    </row>
    <row r="380" spans="1:9">
      <c r="A380" s="285"/>
      <c r="B380" s="301" t="s">
        <v>133</v>
      </c>
      <c r="C380" s="285" t="s">
        <v>103</v>
      </c>
      <c r="D380" s="285" t="s">
        <v>104</v>
      </c>
      <c r="E380" s="286" t="s">
        <v>105</v>
      </c>
      <c r="F380" s="302">
        <f>'SUMMARY TENDERED FEE'!I23</f>
        <v>0</v>
      </c>
      <c r="G380" s="1632"/>
      <c r="H380" s="1632"/>
    </row>
    <row r="381" spans="1:9">
      <c r="A381" s="285"/>
      <c r="B381" s="303" t="s">
        <v>141</v>
      </c>
      <c r="C381" s="285" t="s">
        <v>103</v>
      </c>
      <c r="D381" s="285" t="s">
        <v>104</v>
      </c>
      <c r="E381" s="286" t="s">
        <v>105</v>
      </c>
      <c r="F381" s="302">
        <v>0</v>
      </c>
      <c r="G381" s="1632"/>
      <c r="H381" s="1632"/>
    </row>
    <row r="382" spans="1:9">
      <c r="A382" s="285"/>
      <c r="B382" s="291" t="s">
        <v>201</v>
      </c>
      <c r="C382" s="292"/>
      <c r="D382" s="292"/>
      <c r="E382" s="293"/>
      <c r="F382" s="290">
        <f>SUM(F362:F381)</f>
        <v>0</v>
      </c>
      <c r="G382" s="1632"/>
      <c r="H382" s="1632"/>
    </row>
    <row r="383" spans="1:9">
      <c r="F383" s="181"/>
    </row>
    <row r="384" spans="1:9">
      <c r="B384" t="s">
        <v>977</v>
      </c>
      <c r="F384" s="1062">
        <f>SUMIFS($F$13:$F$381,$C$13:$C$381,"Prime cost (PC)")+SUMIFS($F$13:$F$381,$C$13:$C$381,"provisional sum (PS)")</f>
        <v>105439432</v>
      </c>
    </row>
    <row r="385" spans="1:9">
      <c r="B385" t="s">
        <v>980</v>
      </c>
      <c r="F385" s="1062">
        <f>SUMIFS($F$13:$F$381,$B$13:$B$381,"*Handling cost*")+SUMIFS($F$13:$F$381,$B$13:$B$381,"*Mark up*")</f>
        <v>0</v>
      </c>
    </row>
    <row r="386" spans="1:9" ht="15.75" thickBot="1">
      <c r="B386" s="1061" t="s">
        <v>979</v>
      </c>
      <c r="C386" s="1061"/>
      <c r="D386" s="1061"/>
      <c r="E386" s="1061"/>
      <c r="F386" s="1064">
        <f>SUM(F384:F385)</f>
        <v>105439432</v>
      </c>
    </row>
    <row r="387" spans="1:9" ht="15.75" thickTop="1">
      <c r="F387" s="1060"/>
    </row>
    <row r="388" spans="1:9" ht="42.6" customHeight="1">
      <c r="A388" s="1065" t="s">
        <v>986</v>
      </c>
      <c r="B388" s="1626" t="s">
        <v>981</v>
      </c>
      <c r="C388" s="1626"/>
      <c r="D388" s="1626"/>
      <c r="E388" s="1626"/>
      <c r="F388" s="1063">
        <f>F402-F386+F292+F293</f>
        <v>35699220</v>
      </c>
      <c r="I388" s="140"/>
    </row>
    <row r="390" spans="1:9" ht="21">
      <c r="A390" s="209" t="s">
        <v>818</v>
      </c>
      <c r="B390" s="182"/>
      <c r="C390" s="183"/>
      <c r="D390" s="184"/>
      <c r="E390" s="185"/>
    </row>
    <row r="391" spans="1:9">
      <c r="A391" s="186"/>
      <c r="B391" s="187"/>
      <c r="C391" s="188"/>
      <c r="D391" s="186"/>
      <c r="E391" s="189"/>
    </row>
    <row r="392" spans="1:9">
      <c r="A392" s="206">
        <f>A11</f>
        <v>3.2</v>
      </c>
      <c r="B392" s="190" t="str">
        <f>B11</f>
        <v>PROJECT ASSESSMENT STAGE</v>
      </c>
      <c r="C392" s="191"/>
      <c r="D392" s="191"/>
      <c r="E392" s="192"/>
      <c r="F392" s="193">
        <f>F21</f>
        <v>0</v>
      </c>
    </row>
    <row r="393" spans="1:9">
      <c r="A393" s="207">
        <f>A22</f>
        <v>3.3</v>
      </c>
      <c r="B393" s="194" t="str">
        <f>B22</f>
        <v>INVESTIGATIONS FOR DESIGN DEVELOPMENT</v>
      </c>
      <c r="C393" s="195"/>
      <c r="D393" s="195"/>
      <c r="E393" s="196"/>
      <c r="F393" s="197">
        <f>F87</f>
        <v>19250000</v>
      </c>
    </row>
    <row r="394" spans="1:9">
      <c r="A394" s="207">
        <f>A88</f>
        <v>3.4</v>
      </c>
      <c r="B394" s="194" t="str">
        <f>B88</f>
        <v>DESIGN DEVELOPMENT STAGE</v>
      </c>
      <c r="C394" s="195"/>
      <c r="D394" s="195"/>
      <c r="E394" s="196"/>
      <c r="F394" s="197">
        <f>F237</f>
        <v>10223432</v>
      </c>
    </row>
    <row r="395" spans="1:9">
      <c r="A395" s="207">
        <f>A238</f>
        <v>3.5</v>
      </c>
      <c r="B395" s="194" t="str">
        <f>B238</f>
        <v>TENDER DOCUMENTATION</v>
      </c>
      <c r="C395" s="195"/>
      <c r="D395" s="195"/>
      <c r="E395" s="196"/>
      <c r="F395" s="197">
        <f>F243</f>
        <v>0</v>
      </c>
    </row>
    <row r="396" spans="1:9">
      <c r="A396" s="207">
        <f>A244</f>
        <v>3.6</v>
      </c>
      <c r="B396" s="952" t="str">
        <f>B244</f>
        <v>CLARIFICATION MEETING, TENDER PERIOD AND TENDER EVALUATION</v>
      </c>
      <c r="C396" s="195"/>
      <c r="D396" s="195"/>
      <c r="E396" s="196"/>
      <c r="F396" s="197">
        <f>F253</f>
        <v>50000</v>
      </c>
    </row>
    <row r="397" spans="1:9">
      <c r="A397" s="207">
        <f>A254</f>
        <v>3.7</v>
      </c>
      <c r="B397" s="194" t="str">
        <f>B254</f>
        <v>ADMINISTRATION AND MONITORING OF THE WORKS CONTRACT</v>
      </c>
      <c r="C397" s="195"/>
      <c r="D397" s="195"/>
      <c r="E397" s="196"/>
      <c r="F397" s="197">
        <f>F316</f>
        <v>43066000</v>
      </c>
    </row>
    <row r="398" spans="1:9">
      <c r="A398" s="207">
        <f>A317</f>
        <v>3.8</v>
      </c>
      <c r="B398" s="194" t="str">
        <f>B317</f>
        <v>ADDITIONAL DUTIES, SPECIAL SERVICES AND SPECIALIST ADVICE</v>
      </c>
      <c r="C398" s="195"/>
      <c r="D398" s="195"/>
      <c r="E398" s="196"/>
      <c r="F398" s="197">
        <f>F351</f>
        <v>9559220</v>
      </c>
    </row>
    <row r="399" spans="1:9">
      <c r="A399" s="208">
        <f>A352</f>
        <v>3.9</v>
      </c>
      <c r="B399" s="198" t="str">
        <f>B352</f>
        <v>QUALITY CONTROL: WORKS CONTRACT</v>
      </c>
      <c r="C399" s="199"/>
      <c r="D399" s="199"/>
      <c r="E399" s="200"/>
      <c r="F399" s="201">
        <f>F358</f>
        <v>28750000</v>
      </c>
    </row>
    <row r="400" spans="1:9">
      <c r="A400" s="699">
        <f>A359</f>
        <v>3.1</v>
      </c>
      <c r="B400" s="202" t="str">
        <f>B359</f>
        <v>CLOSE OUT</v>
      </c>
      <c r="C400" s="203"/>
      <c r="D400" s="203"/>
      <c r="E400" s="204"/>
      <c r="F400" s="205">
        <f>F382</f>
        <v>0</v>
      </c>
    </row>
    <row r="401" spans="1:6">
      <c r="A401" s="186"/>
      <c r="B401" s="187"/>
      <c r="C401" s="188"/>
      <c r="D401" s="186"/>
      <c r="E401" s="189"/>
    </row>
    <row r="402" spans="1:6">
      <c r="A402" s="186"/>
      <c r="B402" t="s">
        <v>167</v>
      </c>
      <c r="C402" s="188"/>
      <c r="D402" s="186"/>
      <c r="E402" s="189"/>
      <c r="F402" s="140">
        <f>SUM(F392:F400)</f>
        <v>110898652</v>
      </c>
    </row>
    <row r="403" spans="1:6">
      <c r="A403" s="186"/>
      <c r="B403" s="187"/>
      <c r="C403" s="188"/>
      <c r="D403" s="186"/>
      <c r="E403" s="189"/>
    </row>
    <row r="404" spans="1:6">
      <c r="A404" s="186"/>
      <c r="B404" t="str">
        <f>DATA!$C$1032*100 &amp; "%  VAT"</f>
        <v>15%  VAT</v>
      </c>
      <c r="C404" s="188"/>
      <c r="D404" s="186"/>
      <c r="E404" s="189"/>
      <c r="F404" s="140">
        <f>F402*DATA!$C$1032</f>
        <v>16634797.799999999</v>
      </c>
    </row>
    <row r="405" spans="1:6">
      <c r="A405" s="186"/>
      <c r="B405" s="187"/>
      <c r="C405" s="188"/>
      <c r="D405" s="186"/>
      <c r="E405" s="189"/>
    </row>
    <row r="406" spans="1:6">
      <c r="A406" s="186"/>
      <c r="B406" s="1" t="s">
        <v>168</v>
      </c>
      <c r="C406" s="188"/>
      <c r="D406" s="186"/>
      <c r="E406" s="189"/>
      <c r="F406" s="231">
        <f>SUM(F402:F404)</f>
        <v>127533449.8</v>
      </c>
    </row>
    <row r="414" spans="1:6" ht="15.75" thickBot="1">
      <c r="B414" s="280" t="s">
        <v>837</v>
      </c>
      <c r="C414" s="894"/>
      <c r="D414" s="894"/>
      <c r="E414" s="894"/>
    </row>
  </sheetData>
  <sheetProtection algorithmName="SHA-512" hashValue="KSDhwySdBJlbcj3eLKojxQWrlM2F6kPstNN58y1nFfL/qh09P88VD/RV7iB3P74Mnhqk9q4fsmVCyhoQsU4q8Q==" saltValue="exkihCxh1ZBgDyJe1bzpPA==" spinCount="100000" sheet="1" objects="1" scenarios="1"/>
  <mergeCells count="2">
    <mergeCell ref="B89:C89"/>
    <mergeCell ref="B388:E388"/>
  </mergeCells>
  <conditionalFormatting sqref="B19 B44:B45">
    <cfRule type="expression" dxfId="2313" priority="2402">
      <formula>G19="n"</formula>
    </cfRule>
  </conditionalFormatting>
  <conditionalFormatting sqref="B2">
    <cfRule type="cellIs" dxfId="2312" priority="2401" operator="equal">
      <formula>0</formula>
    </cfRule>
  </conditionalFormatting>
  <conditionalFormatting sqref="C19">
    <cfRule type="expression" dxfId="2311" priority="2400">
      <formula>G19="n"</formula>
    </cfRule>
  </conditionalFormatting>
  <conditionalFormatting sqref="D19">
    <cfRule type="expression" dxfId="2310" priority="2399">
      <formula>G19="n"</formula>
    </cfRule>
  </conditionalFormatting>
  <conditionalFormatting sqref="E19">
    <cfRule type="expression" dxfId="2309" priority="2398">
      <formula>G19="n"</formula>
    </cfRule>
  </conditionalFormatting>
  <conditionalFormatting sqref="F19">
    <cfRule type="expression" dxfId="2308" priority="2397">
      <formula>G19="n"</formula>
    </cfRule>
  </conditionalFormatting>
  <conditionalFormatting sqref="A19 A44:A45">
    <cfRule type="expression" dxfId="2307" priority="2396">
      <formula>G19="n"</formula>
    </cfRule>
  </conditionalFormatting>
  <conditionalFormatting sqref="A20">
    <cfRule type="expression" dxfId="2306" priority="2395">
      <formula>G20="n"</formula>
    </cfRule>
  </conditionalFormatting>
  <conditionalFormatting sqref="B20">
    <cfRule type="expression" dxfId="2305" priority="2394">
      <formula>G20="n"</formula>
    </cfRule>
  </conditionalFormatting>
  <conditionalFormatting sqref="C20">
    <cfRule type="expression" dxfId="2304" priority="2393">
      <formula>G20="n"</formula>
    </cfRule>
  </conditionalFormatting>
  <conditionalFormatting sqref="D20">
    <cfRule type="expression" dxfId="2303" priority="2392">
      <formula>G20="n"</formula>
    </cfRule>
  </conditionalFormatting>
  <conditionalFormatting sqref="E20">
    <cfRule type="expression" dxfId="2302" priority="2391">
      <formula>G20="n"</formula>
    </cfRule>
  </conditionalFormatting>
  <conditionalFormatting sqref="F20">
    <cfRule type="expression" dxfId="2301" priority="2390">
      <formula>G20="n"</formula>
    </cfRule>
  </conditionalFormatting>
  <conditionalFormatting sqref="A17">
    <cfRule type="expression" dxfId="2300" priority="2389">
      <formula>G17="n"</formula>
    </cfRule>
  </conditionalFormatting>
  <conditionalFormatting sqref="B17">
    <cfRule type="expression" dxfId="2299" priority="2388">
      <formula>G17="n"</formula>
    </cfRule>
  </conditionalFormatting>
  <conditionalFormatting sqref="C17">
    <cfRule type="expression" dxfId="2298" priority="2387">
      <formula>G17="n"</formula>
    </cfRule>
  </conditionalFormatting>
  <conditionalFormatting sqref="D17">
    <cfRule type="expression" dxfId="2297" priority="2386">
      <formula>G17="n"</formula>
    </cfRule>
  </conditionalFormatting>
  <conditionalFormatting sqref="E17">
    <cfRule type="expression" dxfId="2296" priority="2385">
      <formula>G17="n"</formula>
    </cfRule>
  </conditionalFormatting>
  <conditionalFormatting sqref="F17">
    <cfRule type="expression" dxfId="2295" priority="2384">
      <formula>G17="n"</formula>
    </cfRule>
  </conditionalFormatting>
  <conditionalFormatting sqref="F17">
    <cfRule type="expression" dxfId="2294" priority="2383">
      <formula>G17="n"</formula>
    </cfRule>
  </conditionalFormatting>
  <conditionalFormatting sqref="F14">
    <cfRule type="expression" dxfId="2293" priority="2382">
      <formula>G14="n"</formula>
    </cfRule>
  </conditionalFormatting>
  <conditionalFormatting sqref="F14">
    <cfRule type="expression" dxfId="2292" priority="2381">
      <formula>G14="n"</formula>
    </cfRule>
  </conditionalFormatting>
  <conditionalFormatting sqref="A14">
    <cfRule type="expression" dxfId="2291" priority="2380">
      <formula>G14="n"</formula>
    </cfRule>
  </conditionalFormatting>
  <conditionalFormatting sqref="B14">
    <cfRule type="expression" dxfId="2290" priority="2379">
      <formula>G14="n"</formula>
    </cfRule>
  </conditionalFormatting>
  <conditionalFormatting sqref="C14">
    <cfRule type="expression" dxfId="2289" priority="2378">
      <formula>G14="n"</formula>
    </cfRule>
  </conditionalFormatting>
  <conditionalFormatting sqref="D14">
    <cfRule type="expression" dxfId="2288" priority="2377">
      <formula>G14="n"</formula>
    </cfRule>
  </conditionalFormatting>
  <conditionalFormatting sqref="E14">
    <cfRule type="expression" dxfId="2287" priority="2376">
      <formula>G14="n"</formula>
    </cfRule>
  </conditionalFormatting>
  <conditionalFormatting sqref="B16">
    <cfRule type="expression" dxfId="2286" priority="2375">
      <formula>G16="n"</formula>
    </cfRule>
  </conditionalFormatting>
  <conditionalFormatting sqref="C16">
    <cfRule type="expression" dxfId="2285" priority="2374">
      <formula>G16="n"</formula>
    </cfRule>
  </conditionalFormatting>
  <conditionalFormatting sqref="D16">
    <cfRule type="expression" dxfId="2284" priority="2373">
      <formula>G16="n"</formula>
    </cfRule>
  </conditionalFormatting>
  <conditionalFormatting sqref="E16">
    <cfRule type="expression" dxfId="2283" priority="2372">
      <formula>G16="n"</formula>
    </cfRule>
  </conditionalFormatting>
  <conditionalFormatting sqref="A16">
    <cfRule type="expression" dxfId="2282" priority="2371">
      <formula>G16="n"</formula>
    </cfRule>
  </conditionalFormatting>
  <conditionalFormatting sqref="B13">
    <cfRule type="expression" dxfId="2281" priority="2370">
      <formula>G13="n"</formula>
    </cfRule>
  </conditionalFormatting>
  <conditionalFormatting sqref="C13">
    <cfRule type="expression" dxfId="2280" priority="2369">
      <formula>G13="n"</formula>
    </cfRule>
  </conditionalFormatting>
  <conditionalFormatting sqref="D13">
    <cfRule type="expression" dxfId="2279" priority="2368">
      <formula>G13="n"</formula>
    </cfRule>
  </conditionalFormatting>
  <conditionalFormatting sqref="E13">
    <cfRule type="expression" dxfId="2278" priority="2367">
      <formula>G13="n"</formula>
    </cfRule>
  </conditionalFormatting>
  <conditionalFormatting sqref="A13">
    <cfRule type="expression" dxfId="2277" priority="2366">
      <formula>G13="n"</formula>
    </cfRule>
  </conditionalFormatting>
  <conditionalFormatting sqref="F13">
    <cfRule type="expression" dxfId="2276" priority="2365">
      <formula>G13="n"</formula>
    </cfRule>
  </conditionalFormatting>
  <conditionalFormatting sqref="F16">
    <cfRule type="expression" dxfId="2275" priority="2364">
      <formula>G16="n"</formula>
    </cfRule>
  </conditionalFormatting>
  <conditionalFormatting sqref="A25">
    <cfRule type="expression" dxfId="2274" priority="2363">
      <formula>G25="n"</formula>
    </cfRule>
  </conditionalFormatting>
  <conditionalFormatting sqref="B25">
    <cfRule type="expression" dxfId="2273" priority="2362">
      <formula>G25="n"</formula>
    </cfRule>
  </conditionalFormatting>
  <conditionalFormatting sqref="C25">
    <cfRule type="expression" dxfId="2272" priority="2361">
      <formula>G25="n"</formula>
    </cfRule>
  </conditionalFormatting>
  <conditionalFormatting sqref="D25">
    <cfRule type="expression" dxfId="2271" priority="2360">
      <formula>G25="n"</formula>
    </cfRule>
  </conditionalFormatting>
  <conditionalFormatting sqref="E25">
    <cfRule type="expression" dxfId="2270" priority="2359">
      <formula>G25="n"</formula>
    </cfRule>
  </conditionalFormatting>
  <conditionalFormatting sqref="F25">
    <cfRule type="expression" dxfId="2269" priority="2358">
      <formula>G25="n"</formula>
    </cfRule>
  </conditionalFormatting>
  <conditionalFormatting sqref="A26">
    <cfRule type="expression" dxfId="2268" priority="2357">
      <formula>G26="n"</formula>
    </cfRule>
  </conditionalFormatting>
  <conditionalFormatting sqref="B26">
    <cfRule type="expression" dxfId="2267" priority="2356">
      <formula>G26="n"</formula>
    </cfRule>
  </conditionalFormatting>
  <conditionalFormatting sqref="C26">
    <cfRule type="expression" dxfId="2266" priority="2355">
      <formula>G26="n"</formula>
    </cfRule>
  </conditionalFormatting>
  <conditionalFormatting sqref="D26">
    <cfRule type="expression" dxfId="2265" priority="2354">
      <formula>G26="n"</formula>
    </cfRule>
  </conditionalFormatting>
  <conditionalFormatting sqref="E26">
    <cfRule type="expression" dxfId="2264" priority="2353">
      <formula>G26="n"</formula>
    </cfRule>
  </conditionalFormatting>
  <conditionalFormatting sqref="F26">
    <cfRule type="expression" dxfId="2263" priority="2352">
      <formula>G26="n"</formula>
    </cfRule>
  </conditionalFormatting>
  <conditionalFormatting sqref="F25">
    <cfRule type="expression" dxfId="2262" priority="2351">
      <formula>G25="n"</formula>
    </cfRule>
  </conditionalFormatting>
  <conditionalFormatting sqref="F26">
    <cfRule type="expression" dxfId="2261" priority="2350">
      <formula>G26="n"</formula>
    </cfRule>
  </conditionalFormatting>
  <conditionalFormatting sqref="F24">
    <cfRule type="expression" dxfId="2260" priority="2349">
      <formula>G24="n"</formula>
    </cfRule>
  </conditionalFormatting>
  <conditionalFormatting sqref="F24">
    <cfRule type="expression" dxfId="2259" priority="2348">
      <formula>G24="n"</formula>
    </cfRule>
  </conditionalFormatting>
  <conditionalFormatting sqref="A24">
    <cfRule type="expression" dxfId="2258" priority="2347">
      <formula>G24="n"</formula>
    </cfRule>
  </conditionalFormatting>
  <conditionalFormatting sqref="B24">
    <cfRule type="expression" dxfId="2257" priority="2346">
      <formula>G24="n"</formula>
    </cfRule>
  </conditionalFormatting>
  <conditionalFormatting sqref="C24">
    <cfRule type="expression" dxfId="2256" priority="2345">
      <formula>G24="n"</formula>
    </cfRule>
  </conditionalFormatting>
  <conditionalFormatting sqref="D24">
    <cfRule type="expression" dxfId="2255" priority="2344">
      <formula>G24="n"</formula>
    </cfRule>
  </conditionalFormatting>
  <conditionalFormatting sqref="E24">
    <cfRule type="expression" dxfId="2254" priority="2343">
      <formula>G24="n"</formula>
    </cfRule>
  </conditionalFormatting>
  <conditionalFormatting sqref="F32">
    <cfRule type="expression" dxfId="2253" priority="2342">
      <formula>G32="n"</formula>
    </cfRule>
  </conditionalFormatting>
  <conditionalFormatting sqref="F32">
    <cfRule type="expression" dxfId="2252" priority="2341">
      <formula>G32="n"</formula>
    </cfRule>
  </conditionalFormatting>
  <conditionalFormatting sqref="F47">
    <cfRule type="expression" dxfId="2251" priority="2330">
      <formula>G47="n"</formula>
    </cfRule>
  </conditionalFormatting>
  <conditionalFormatting sqref="F47">
    <cfRule type="expression" dxfId="2250" priority="2329">
      <formula>G47="n"</formula>
    </cfRule>
  </conditionalFormatting>
  <conditionalFormatting sqref="F33">
    <cfRule type="expression" dxfId="2249" priority="2336">
      <formula>G33="n"</formula>
    </cfRule>
  </conditionalFormatting>
  <conditionalFormatting sqref="F33">
    <cfRule type="expression" dxfId="2248" priority="2335">
      <formula>G33="n"</formula>
    </cfRule>
  </conditionalFormatting>
  <conditionalFormatting sqref="A25">
    <cfRule type="expression" dxfId="2247" priority="2328">
      <formula>G25="n"</formula>
    </cfRule>
  </conditionalFormatting>
  <conditionalFormatting sqref="B25">
    <cfRule type="expression" dxfId="2246" priority="2327">
      <formula>G25="n"</formula>
    </cfRule>
  </conditionalFormatting>
  <conditionalFormatting sqref="C25">
    <cfRule type="expression" dxfId="2245" priority="2326">
      <formula>G25="n"</formula>
    </cfRule>
  </conditionalFormatting>
  <conditionalFormatting sqref="D25">
    <cfRule type="expression" dxfId="2244" priority="2325">
      <formula>G25="n"</formula>
    </cfRule>
  </conditionalFormatting>
  <conditionalFormatting sqref="E25">
    <cfRule type="expression" dxfId="2243" priority="2324">
      <formula>G25="n"</formula>
    </cfRule>
  </conditionalFormatting>
  <conditionalFormatting sqref="A26">
    <cfRule type="expression" dxfId="2242" priority="2323">
      <formula>G26="n"</formula>
    </cfRule>
  </conditionalFormatting>
  <conditionalFormatting sqref="B26">
    <cfRule type="expression" dxfId="2241" priority="2322">
      <formula>G26="n"</formula>
    </cfRule>
  </conditionalFormatting>
  <conditionalFormatting sqref="C26">
    <cfRule type="expression" dxfId="2240" priority="2321">
      <formula>G26="n"</formula>
    </cfRule>
  </conditionalFormatting>
  <conditionalFormatting sqref="D26">
    <cfRule type="expression" dxfId="2239" priority="2320">
      <formula>G26="n"</formula>
    </cfRule>
  </conditionalFormatting>
  <conditionalFormatting sqref="E26">
    <cfRule type="expression" dxfId="2238" priority="2319">
      <formula>G26="n"</formula>
    </cfRule>
  </conditionalFormatting>
  <conditionalFormatting sqref="A26">
    <cfRule type="expression" dxfId="2237" priority="2318">
      <formula>G26="n"</formula>
    </cfRule>
  </conditionalFormatting>
  <conditionalFormatting sqref="B26">
    <cfRule type="expression" dxfId="2236" priority="2317">
      <formula>G26="n"</formula>
    </cfRule>
  </conditionalFormatting>
  <conditionalFormatting sqref="C26">
    <cfRule type="expression" dxfId="2235" priority="2316">
      <formula>G26="n"</formula>
    </cfRule>
  </conditionalFormatting>
  <conditionalFormatting sqref="D26">
    <cfRule type="expression" dxfId="2234" priority="2315">
      <formula>G26="n"</formula>
    </cfRule>
  </conditionalFormatting>
  <conditionalFormatting sqref="E26">
    <cfRule type="expression" dxfId="2233" priority="2314">
      <formula>G26="n"</formula>
    </cfRule>
  </conditionalFormatting>
  <conditionalFormatting sqref="A32">
    <cfRule type="expression" dxfId="2232" priority="2313">
      <formula>G32="n"</formula>
    </cfRule>
  </conditionalFormatting>
  <conditionalFormatting sqref="B32">
    <cfRule type="expression" dxfId="2231" priority="2312">
      <formula>G32="n"</formula>
    </cfRule>
  </conditionalFormatting>
  <conditionalFormatting sqref="C32">
    <cfRule type="expression" dxfId="2230" priority="2311">
      <formula>G32="n"</formula>
    </cfRule>
  </conditionalFormatting>
  <conditionalFormatting sqref="D32">
    <cfRule type="expression" dxfId="2229" priority="2310">
      <formula>G32="n"</formula>
    </cfRule>
  </conditionalFormatting>
  <conditionalFormatting sqref="E32">
    <cfRule type="expression" dxfId="2228" priority="2309">
      <formula>G32="n"</formula>
    </cfRule>
  </conditionalFormatting>
  <conditionalFormatting sqref="A32">
    <cfRule type="expression" dxfId="2227" priority="2308">
      <formula>G32="n"</formula>
    </cfRule>
  </conditionalFormatting>
  <conditionalFormatting sqref="B32">
    <cfRule type="expression" dxfId="2226" priority="2307">
      <formula>G32="n"</formula>
    </cfRule>
  </conditionalFormatting>
  <conditionalFormatting sqref="C32">
    <cfRule type="expression" dxfId="2225" priority="2306">
      <formula>G32="n"</formula>
    </cfRule>
  </conditionalFormatting>
  <conditionalFormatting sqref="D32">
    <cfRule type="expression" dxfId="2224" priority="2305">
      <formula>G32="n"</formula>
    </cfRule>
  </conditionalFormatting>
  <conditionalFormatting sqref="E32">
    <cfRule type="expression" dxfId="2223" priority="2304">
      <formula>G32="n"</formula>
    </cfRule>
  </conditionalFormatting>
  <conditionalFormatting sqref="A33">
    <cfRule type="expression" dxfId="2222" priority="2303">
      <formula>G33="n"</formula>
    </cfRule>
  </conditionalFormatting>
  <conditionalFormatting sqref="B33">
    <cfRule type="expression" dxfId="2221" priority="2302">
      <formula>G33="n"</formula>
    </cfRule>
  </conditionalFormatting>
  <conditionalFormatting sqref="C33">
    <cfRule type="expression" dxfId="2220" priority="2301">
      <formula>G33="n"</formula>
    </cfRule>
  </conditionalFormatting>
  <conditionalFormatting sqref="D33">
    <cfRule type="expression" dxfId="2219" priority="2300">
      <formula>G33="n"</formula>
    </cfRule>
  </conditionalFormatting>
  <conditionalFormatting sqref="E33">
    <cfRule type="expression" dxfId="2218" priority="2299">
      <formula>G33="n"</formula>
    </cfRule>
  </conditionalFormatting>
  <conditionalFormatting sqref="A33">
    <cfRule type="expression" dxfId="2217" priority="2298">
      <formula>G33="n"</formula>
    </cfRule>
  </conditionalFormatting>
  <conditionalFormatting sqref="B33">
    <cfRule type="expression" dxfId="2216" priority="2297">
      <formula>G33="n"</formula>
    </cfRule>
  </conditionalFormatting>
  <conditionalFormatting sqref="C33">
    <cfRule type="expression" dxfId="2215" priority="2296">
      <formula>G33="n"</formula>
    </cfRule>
  </conditionalFormatting>
  <conditionalFormatting sqref="D33">
    <cfRule type="expression" dxfId="2214" priority="2295">
      <formula>G33="n"</formula>
    </cfRule>
  </conditionalFormatting>
  <conditionalFormatting sqref="E33">
    <cfRule type="expression" dxfId="2213" priority="2294">
      <formula>G33="n"</formula>
    </cfRule>
  </conditionalFormatting>
  <conditionalFormatting sqref="A35">
    <cfRule type="expression" dxfId="2212" priority="2273">
      <formula>G35="n"</formula>
    </cfRule>
  </conditionalFormatting>
  <conditionalFormatting sqref="B35">
    <cfRule type="expression" dxfId="2211" priority="2272">
      <formula>G35="n"</formula>
    </cfRule>
  </conditionalFormatting>
  <conditionalFormatting sqref="A35">
    <cfRule type="expression" dxfId="2210" priority="2268">
      <formula>G35="n"</formula>
    </cfRule>
  </conditionalFormatting>
  <conditionalFormatting sqref="B35">
    <cfRule type="expression" dxfId="2209" priority="2267">
      <formula>G35="n"</formula>
    </cfRule>
  </conditionalFormatting>
  <conditionalFormatting sqref="A42">
    <cfRule type="expression" dxfId="2208" priority="2263">
      <formula>G42="n"</formula>
    </cfRule>
  </conditionalFormatting>
  <conditionalFormatting sqref="B42">
    <cfRule type="expression" dxfId="2207" priority="2262">
      <formula>G42="n"</formula>
    </cfRule>
  </conditionalFormatting>
  <conditionalFormatting sqref="A42">
    <cfRule type="expression" dxfId="2206" priority="2258">
      <formula>G42="n"</formula>
    </cfRule>
  </conditionalFormatting>
  <conditionalFormatting sqref="B42">
    <cfRule type="expression" dxfId="2205" priority="2257">
      <formula>G42="n"</formula>
    </cfRule>
  </conditionalFormatting>
  <conditionalFormatting sqref="A47">
    <cfRule type="expression" dxfId="2204" priority="2253">
      <formula>G47="n"</formula>
    </cfRule>
  </conditionalFormatting>
  <conditionalFormatting sqref="B47">
    <cfRule type="expression" dxfId="2203" priority="2252">
      <formula>G47="n"</formula>
    </cfRule>
  </conditionalFormatting>
  <conditionalFormatting sqref="C47">
    <cfRule type="expression" dxfId="2202" priority="2251">
      <formula>G47="n"</formula>
    </cfRule>
  </conditionalFormatting>
  <conditionalFormatting sqref="D47">
    <cfRule type="expression" dxfId="2201" priority="2250">
      <formula>G47="n"</formula>
    </cfRule>
  </conditionalFormatting>
  <conditionalFormatting sqref="E47">
    <cfRule type="expression" dxfId="2200" priority="2249">
      <formula>G47="n"</formula>
    </cfRule>
  </conditionalFormatting>
  <conditionalFormatting sqref="A47">
    <cfRule type="expression" dxfId="2199" priority="2248">
      <formula>G47="n"</formula>
    </cfRule>
  </conditionalFormatting>
  <conditionalFormatting sqref="B47">
    <cfRule type="expression" dxfId="2198" priority="2247">
      <formula>G47="n"</formula>
    </cfRule>
  </conditionalFormatting>
  <conditionalFormatting sqref="C47">
    <cfRule type="expression" dxfId="2197" priority="2246">
      <formula>G47="n"</formula>
    </cfRule>
  </conditionalFormatting>
  <conditionalFormatting sqref="D47">
    <cfRule type="expression" dxfId="2196" priority="2245">
      <formula>G47="n"</formula>
    </cfRule>
  </conditionalFormatting>
  <conditionalFormatting sqref="E47">
    <cfRule type="expression" dxfId="2195" priority="2244">
      <formula>G47="n"</formula>
    </cfRule>
  </conditionalFormatting>
  <conditionalFormatting sqref="A41">
    <cfRule type="expression" dxfId="2194" priority="2241">
      <formula>G41="n"</formula>
    </cfRule>
  </conditionalFormatting>
  <conditionalFormatting sqref="A41">
    <cfRule type="expression" dxfId="2193" priority="2237">
      <formula>G41="n"</formula>
    </cfRule>
  </conditionalFormatting>
  <conditionalFormatting sqref="F51">
    <cfRule type="expression" dxfId="2192" priority="2217">
      <formula>G51="n"</formula>
    </cfRule>
  </conditionalFormatting>
  <conditionalFormatting sqref="E48">
    <cfRule type="expression" dxfId="2191" priority="2232">
      <formula>G48="n"</formula>
    </cfRule>
  </conditionalFormatting>
  <conditionalFormatting sqref="F48">
    <cfRule type="expression" dxfId="2190" priority="2229">
      <formula>G48="n"</formula>
    </cfRule>
  </conditionalFormatting>
  <conditionalFormatting sqref="E49">
    <cfRule type="expression" dxfId="2189" priority="2228">
      <formula>G49="n"</formula>
    </cfRule>
  </conditionalFormatting>
  <conditionalFormatting sqref="F49">
    <cfRule type="expression" dxfId="2188" priority="2225">
      <formula>G49="n"</formula>
    </cfRule>
  </conditionalFormatting>
  <conditionalFormatting sqref="E50">
    <cfRule type="expression" dxfId="2187" priority="2224">
      <formula>G50="n"</formula>
    </cfRule>
  </conditionalFormatting>
  <conditionalFormatting sqref="F50">
    <cfRule type="expression" dxfId="2186" priority="2221">
      <formula>G50="n"</formula>
    </cfRule>
  </conditionalFormatting>
  <conditionalFormatting sqref="E51">
    <cfRule type="expression" dxfId="2185" priority="2220">
      <formula>G51="n"</formula>
    </cfRule>
  </conditionalFormatting>
  <conditionalFormatting sqref="E53">
    <cfRule type="expression" dxfId="2184" priority="2216">
      <formula>G53="n"</formula>
    </cfRule>
  </conditionalFormatting>
  <conditionalFormatting sqref="F53">
    <cfRule type="expression" dxfId="2183" priority="2213">
      <formula>G53="n"</formula>
    </cfRule>
  </conditionalFormatting>
  <conditionalFormatting sqref="E54">
    <cfRule type="expression" dxfId="2182" priority="2212">
      <formula>G54="n"</formula>
    </cfRule>
  </conditionalFormatting>
  <conditionalFormatting sqref="F54">
    <cfRule type="expression" dxfId="2181" priority="2209">
      <formula>G54="n"</formula>
    </cfRule>
  </conditionalFormatting>
  <conditionalFormatting sqref="E57">
    <cfRule type="expression" dxfId="2180" priority="2208">
      <formula>G57="n"</formula>
    </cfRule>
  </conditionalFormatting>
  <conditionalFormatting sqref="F57">
    <cfRule type="expression" dxfId="2179" priority="2205">
      <formula>G57="n"</formula>
    </cfRule>
  </conditionalFormatting>
  <conditionalFormatting sqref="E58">
    <cfRule type="expression" dxfId="2178" priority="2204">
      <formula>G58="n"</formula>
    </cfRule>
  </conditionalFormatting>
  <conditionalFormatting sqref="F58">
    <cfRule type="expression" dxfId="2177" priority="2201">
      <formula>G58="n"</formula>
    </cfRule>
  </conditionalFormatting>
  <conditionalFormatting sqref="E59">
    <cfRule type="expression" dxfId="2176" priority="2200">
      <formula>G59="n"</formula>
    </cfRule>
  </conditionalFormatting>
  <conditionalFormatting sqref="F59">
    <cfRule type="expression" dxfId="2175" priority="2197">
      <formula>G59="n"</formula>
    </cfRule>
  </conditionalFormatting>
  <conditionalFormatting sqref="A48">
    <cfRule type="expression" dxfId="2174" priority="2196">
      <formula>G48="n"</formula>
    </cfRule>
  </conditionalFormatting>
  <conditionalFormatting sqref="B48">
    <cfRule type="expression" dxfId="2173" priority="2195">
      <formula>G48="n"</formula>
    </cfRule>
  </conditionalFormatting>
  <conditionalFormatting sqref="C48">
    <cfRule type="expression" dxfId="2172" priority="2194">
      <formula>G48="n"</formula>
    </cfRule>
  </conditionalFormatting>
  <conditionalFormatting sqref="A48">
    <cfRule type="expression" dxfId="2171" priority="2193">
      <formula>G48="n"</formula>
    </cfRule>
  </conditionalFormatting>
  <conditionalFormatting sqref="B48">
    <cfRule type="expression" dxfId="2170" priority="2192">
      <formula>G48="n"</formula>
    </cfRule>
  </conditionalFormatting>
  <conditionalFormatting sqref="C48">
    <cfRule type="expression" dxfId="2169" priority="2191">
      <formula>G48="n"</formula>
    </cfRule>
  </conditionalFormatting>
  <conditionalFormatting sqref="A49">
    <cfRule type="expression" dxfId="2168" priority="2190">
      <formula>G49="n"</formula>
    </cfRule>
  </conditionalFormatting>
  <conditionalFormatting sqref="B49">
    <cfRule type="expression" dxfId="2167" priority="2189">
      <formula>G49="n"</formula>
    </cfRule>
  </conditionalFormatting>
  <conditionalFormatting sqref="C49">
    <cfRule type="expression" dxfId="2166" priority="2188">
      <formula>G49="n"</formula>
    </cfRule>
  </conditionalFormatting>
  <conditionalFormatting sqref="A49">
    <cfRule type="expression" dxfId="2165" priority="2187">
      <formula>G49="n"</formula>
    </cfRule>
  </conditionalFormatting>
  <conditionalFormatting sqref="B49">
    <cfRule type="expression" dxfId="2164" priority="2186">
      <formula>G49="n"</formula>
    </cfRule>
  </conditionalFormatting>
  <conditionalFormatting sqref="C49">
    <cfRule type="expression" dxfId="2163" priority="2185">
      <formula>G49="n"</formula>
    </cfRule>
  </conditionalFormatting>
  <conditionalFormatting sqref="A50">
    <cfRule type="expression" dxfId="2162" priority="2184">
      <formula>G50="n"</formula>
    </cfRule>
  </conditionalFormatting>
  <conditionalFormatting sqref="B50">
    <cfRule type="expression" dxfId="2161" priority="2183">
      <formula>G50="n"</formula>
    </cfRule>
  </conditionalFormatting>
  <conditionalFormatting sqref="C50">
    <cfRule type="expression" dxfId="2160" priority="2182">
      <formula>G50="n"</formula>
    </cfRule>
  </conditionalFormatting>
  <conditionalFormatting sqref="A50">
    <cfRule type="expression" dxfId="2159" priority="2181">
      <formula>G50="n"</formula>
    </cfRule>
  </conditionalFormatting>
  <conditionalFormatting sqref="B50">
    <cfRule type="expression" dxfId="2158" priority="2180">
      <formula>G50="n"</formula>
    </cfRule>
  </conditionalFormatting>
  <conditionalFormatting sqref="C50">
    <cfRule type="expression" dxfId="2157" priority="2179">
      <formula>G50="n"</formula>
    </cfRule>
  </conditionalFormatting>
  <conditionalFormatting sqref="A51">
    <cfRule type="expression" dxfId="2156" priority="2178">
      <formula>G51="n"</formula>
    </cfRule>
  </conditionalFormatting>
  <conditionalFormatting sqref="B51">
    <cfRule type="expression" dxfId="2155" priority="2177">
      <formula>G51="n"</formula>
    </cfRule>
  </conditionalFormatting>
  <conditionalFormatting sqref="C51">
    <cfRule type="expression" dxfId="2154" priority="2176">
      <formula>G51="n"</formula>
    </cfRule>
  </conditionalFormatting>
  <conditionalFormatting sqref="A51">
    <cfRule type="expression" dxfId="2153" priority="2175">
      <formula>G51="n"</formula>
    </cfRule>
  </conditionalFormatting>
  <conditionalFormatting sqref="B51">
    <cfRule type="expression" dxfId="2152" priority="2174">
      <formula>G51="n"</formula>
    </cfRule>
  </conditionalFormatting>
  <conditionalFormatting sqref="C51">
    <cfRule type="expression" dxfId="2151" priority="2173">
      <formula>G51="n"</formula>
    </cfRule>
  </conditionalFormatting>
  <conditionalFormatting sqref="A52">
    <cfRule type="expression" dxfId="2150" priority="2172">
      <formula>G52="n"</formula>
    </cfRule>
  </conditionalFormatting>
  <conditionalFormatting sqref="B52">
    <cfRule type="expression" dxfId="2149" priority="2171">
      <formula>G52="n"</formula>
    </cfRule>
  </conditionalFormatting>
  <conditionalFormatting sqref="C52">
    <cfRule type="expression" dxfId="2148" priority="2170">
      <formula>G52="n"</formula>
    </cfRule>
  </conditionalFormatting>
  <conditionalFormatting sqref="A52">
    <cfRule type="expression" dxfId="2147" priority="2169">
      <formula>G52="n"</formula>
    </cfRule>
  </conditionalFormatting>
  <conditionalFormatting sqref="B52">
    <cfRule type="expression" dxfId="2146" priority="2168">
      <formula>G52="n"</formula>
    </cfRule>
  </conditionalFormatting>
  <conditionalFormatting sqref="C52">
    <cfRule type="expression" dxfId="2145" priority="2167">
      <formula>G52="n"</formula>
    </cfRule>
  </conditionalFormatting>
  <conditionalFormatting sqref="A53">
    <cfRule type="expression" dxfId="2144" priority="2166">
      <formula>G53="n"</formula>
    </cfRule>
  </conditionalFormatting>
  <conditionalFormatting sqref="B53">
    <cfRule type="expression" dxfId="2143" priority="2165">
      <formula>G53="n"</formula>
    </cfRule>
  </conditionalFormatting>
  <conditionalFormatting sqref="C53">
    <cfRule type="expression" dxfId="2142" priority="2164">
      <formula>G53="n"</formula>
    </cfRule>
  </conditionalFormatting>
  <conditionalFormatting sqref="A53">
    <cfRule type="expression" dxfId="2141" priority="2163">
      <formula>G53="n"</formula>
    </cfRule>
  </conditionalFormatting>
  <conditionalFormatting sqref="B53">
    <cfRule type="expression" dxfId="2140" priority="2162">
      <formula>G53="n"</formula>
    </cfRule>
  </conditionalFormatting>
  <conditionalFormatting sqref="C53">
    <cfRule type="expression" dxfId="2139" priority="2161">
      <formula>G53="n"</formula>
    </cfRule>
  </conditionalFormatting>
  <conditionalFormatting sqref="A54">
    <cfRule type="expression" dxfId="2138" priority="2160">
      <formula>G54="n"</formula>
    </cfRule>
  </conditionalFormatting>
  <conditionalFormatting sqref="B54">
    <cfRule type="expression" dxfId="2137" priority="2159">
      <formula>G54="n"</formula>
    </cfRule>
  </conditionalFormatting>
  <conditionalFormatting sqref="C54">
    <cfRule type="expression" dxfId="2136" priority="2158">
      <formula>G54="n"</formula>
    </cfRule>
  </conditionalFormatting>
  <conditionalFormatting sqref="A54">
    <cfRule type="expression" dxfId="2135" priority="2157">
      <formula>G54="n"</formula>
    </cfRule>
  </conditionalFormatting>
  <conditionalFormatting sqref="B54">
    <cfRule type="expression" dxfId="2134" priority="2156">
      <formula>G54="n"</formula>
    </cfRule>
  </conditionalFormatting>
  <conditionalFormatting sqref="C54">
    <cfRule type="expression" dxfId="2133" priority="2155">
      <formula>G54="n"</formula>
    </cfRule>
  </conditionalFormatting>
  <conditionalFormatting sqref="A57">
    <cfRule type="expression" dxfId="2132" priority="2154">
      <formula>G57="n"</formula>
    </cfRule>
  </conditionalFormatting>
  <conditionalFormatting sqref="B57">
    <cfRule type="expression" dxfId="2131" priority="2153">
      <formula>G57="n"</formula>
    </cfRule>
  </conditionalFormatting>
  <conditionalFormatting sqref="C57">
    <cfRule type="expression" dxfId="2130" priority="2152">
      <formula>G57="n"</formula>
    </cfRule>
  </conditionalFormatting>
  <conditionalFormatting sqref="A57">
    <cfRule type="expression" dxfId="2129" priority="2151">
      <formula>G57="n"</formula>
    </cfRule>
  </conditionalFormatting>
  <conditionalFormatting sqref="B57">
    <cfRule type="expression" dxfId="2128" priority="2150">
      <formula>G57="n"</formula>
    </cfRule>
  </conditionalFormatting>
  <conditionalFormatting sqref="C57">
    <cfRule type="expression" dxfId="2127" priority="2149">
      <formula>G57="n"</formula>
    </cfRule>
  </conditionalFormatting>
  <conditionalFormatting sqref="A58">
    <cfRule type="expression" dxfId="2126" priority="2148">
      <formula>G58="n"</formula>
    </cfRule>
  </conditionalFormatting>
  <conditionalFormatting sqref="B58">
    <cfRule type="expression" dxfId="2125" priority="2147">
      <formula>G58="n"</formula>
    </cfRule>
  </conditionalFormatting>
  <conditionalFormatting sqref="C58">
    <cfRule type="expression" dxfId="2124" priority="2146">
      <formula>G58="n"</formula>
    </cfRule>
  </conditionalFormatting>
  <conditionalFormatting sqref="A58">
    <cfRule type="expression" dxfId="2123" priority="2145">
      <formula>G58="n"</formula>
    </cfRule>
  </conditionalFormatting>
  <conditionalFormatting sqref="B58">
    <cfRule type="expression" dxfId="2122" priority="2144">
      <formula>G58="n"</formula>
    </cfRule>
  </conditionalFormatting>
  <conditionalFormatting sqref="C58">
    <cfRule type="expression" dxfId="2121" priority="2143">
      <formula>G58="n"</formula>
    </cfRule>
  </conditionalFormatting>
  <conditionalFormatting sqref="A59">
    <cfRule type="expression" dxfId="2120" priority="2142">
      <formula>G59="n"</formula>
    </cfRule>
  </conditionalFormatting>
  <conditionalFormatting sqref="B59">
    <cfRule type="expression" dxfId="2119" priority="2141">
      <formula>G59="n"</formula>
    </cfRule>
  </conditionalFormatting>
  <conditionalFormatting sqref="C59">
    <cfRule type="expression" dxfId="2118" priority="2140">
      <formula>G59="n"</formula>
    </cfRule>
  </conditionalFormatting>
  <conditionalFormatting sqref="A59">
    <cfRule type="expression" dxfId="2117" priority="2139">
      <formula>G59="n"</formula>
    </cfRule>
  </conditionalFormatting>
  <conditionalFormatting sqref="B59">
    <cfRule type="expression" dxfId="2116" priority="2138">
      <formula>G59="n"</formula>
    </cfRule>
  </conditionalFormatting>
  <conditionalFormatting sqref="C59">
    <cfRule type="expression" dxfId="2115" priority="2137">
      <formula>G59="n"</formula>
    </cfRule>
  </conditionalFormatting>
  <conditionalFormatting sqref="E60">
    <cfRule type="expression" dxfId="2114" priority="2136">
      <formula>G60="n"</formula>
    </cfRule>
  </conditionalFormatting>
  <conditionalFormatting sqref="F60">
    <cfRule type="expression" dxfId="2113" priority="2133">
      <formula>G60="n"</formula>
    </cfRule>
  </conditionalFormatting>
  <conditionalFormatting sqref="E61">
    <cfRule type="expression" dxfId="2112" priority="2132">
      <formula>G61="n"</formula>
    </cfRule>
  </conditionalFormatting>
  <conditionalFormatting sqref="F61">
    <cfRule type="expression" dxfId="2111" priority="2129">
      <formula>G61="n"</formula>
    </cfRule>
  </conditionalFormatting>
  <conditionalFormatting sqref="E62">
    <cfRule type="expression" dxfId="2110" priority="2128">
      <formula>G62="n"</formula>
    </cfRule>
  </conditionalFormatting>
  <conditionalFormatting sqref="F62">
    <cfRule type="expression" dxfId="2109" priority="2125">
      <formula>G62="n"</formula>
    </cfRule>
  </conditionalFormatting>
  <conditionalFormatting sqref="E63">
    <cfRule type="expression" dxfId="2108" priority="2124">
      <formula>G63="n"</formula>
    </cfRule>
  </conditionalFormatting>
  <conditionalFormatting sqref="F63">
    <cfRule type="expression" dxfId="2107" priority="2121">
      <formula>G63="n"</formula>
    </cfRule>
  </conditionalFormatting>
  <conditionalFormatting sqref="E64">
    <cfRule type="expression" dxfId="2106" priority="2120">
      <formula>G64="n"</formula>
    </cfRule>
  </conditionalFormatting>
  <conditionalFormatting sqref="F64">
    <cfRule type="expression" dxfId="2105" priority="2117">
      <formula>G64="n"</formula>
    </cfRule>
  </conditionalFormatting>
  <conditionalFormatting sqref="E65">
    <cfRule type="expression" dxfId="2104" priority="2116">
      <formula>G65="n"</formula>
    </cfRule>
  </conditionalFormatting>
  <conditionalFormatting sqref="F65">
    <cfRule type="expression" dxfId="2103" priority="2113">
      <formula>G65="n"</formula>
    </cfRule>
  </conditionalFormatting>
  <conditionalFormatting sqref="E66">
    <cfRule type="expression" dxfId="2102" priority="2112">
      <formula>G66="n"</formula>
    </cfRule>
  </conditionalFormatting>
  <conditionalFormatting sqref="F66">
    <cfRule type="expression" dxfId="2101" priority="2109">
      <formula>G66="n"</formula>
    </cfRule>
  </conditionalFormatting>
  <conditionalFormatting sqref="E67">
    <cfRule type="expression" dxfId="2100" priority="2108">
      <formula>G67="n"</formula>
    </cfRule>
  </conditionalFormatting>
  <conditionalFormatting sqref="F67">
    <cfRule type="expression" dxfId="2099" priority="2105">
      <formula>G67="n"</formula>
    </cfRule>
  </conditionalFormatting>
  <conditionalFormatting sqref="E68">
    <cfRule type="expression" dxfId="2098" priority="2104">
      <formula>G68="n"</formula>
    </cfRule>
  </conditionalFormatting>
  <conditionalFormatting sqref="F68">
    <cfRule type="expression" dxfId="2097" priority="2101">
      <formula>G68="n"</formula>
    </cfRule>
  </conditionalFormatting>
  <conditionalFormatting sqref="E69">
    <cfRule type="expression" dxfId="2096" priority="2100">
      <formula>G69="n"</formula>
    </cfRule>
  </conditionalFormatting>
  <conditionalFormatting sqref="F69">
    <cfRule type="expression" dxfId="2095" priority="2097">
      <formula>G69="n"</formula>
    </cfRule>
  </conditionalFormatting>
  <conditionalFormatting sqref="E70">
    <cfRule type="expression" dxfId="2094" priority="2096">
      <formula>G70="n"</formula>
    </cfRule>
  </conditionalFormatting>
  <conditionalFormatting sqref="F70">
    <cfRule type="expression" dxfId="2093" priority="2093">
      <formula>G70="n"</formula>
    </cfRule>
  </conditionalFormatting>
  <conditionalFormatting sqref="E71">
    <cfRule type="expression" dxfId="2092" priority="2092">
      <formula>G71="n"</formula>
    </cfRule>
  </conditionalFormatting>
  <conditionalFormatting sqref="F71">
    <cfRule type="expression" dxfId="2091" priority="2089">
      <formula>G71="n"</formula>
    </cfRule>
  </conditionalFormatting>
  <conditionalFormatting sqref="E72">
    <cfRule type="expression" dxfId="2090" priority="2088">
      <formula>G72="n"</formula>
    </cfRule>
  </conditionalFormatting>
  <conditionalFormatting sqref="F72">
    <cfRule type="expression" dxfId="2089" priority="2085">
      <formula>G72="n"</formula>
    </cfRule>
  </conditionalFormatting>
  <conditionalFormatting sqref="E73">
    <cfRule type="expression" dxfId="2088" priority="2084">
      <formula>G73="n"</formula>
    </cfRule>
  </conditionalFormatting>
  <conditionalFormatting sqref="F73">
    <cfRule type="expression" dxfId="2087" priority="2081">
      <formula>G73="n"</formula>
    </cfRule>
  </conditionalFormatting>
  <conditionalFormatting sqref="E74">
    <cfRule type="expression" dxfId="2086" priority="2080">
      <formula>G74="n"</formula>
    </cfRule>
  </conditionalFormatting>
  <conditionalFormatting sqref="F74">
    <cfRule type="expression" dxfId="2085" priority="2077">
      <formula>G74="n"</formula>
    </cfRule>
  </conditionalFormatting>
  <conditionalFormatting sqref="E75">
    <cfRule type="expression" dxfId="2084" priority="2076">
      <formula>G75="n"</formula>
    </cfRule>
  </conditionalFormatting>
  <conditionalFormatting sqref="F75">
    <cfRule type="expression" dxfId="2083" priority="2073">
      <formula>G75="n"</formula>
    </cfRule>
  </conditionalFormatting>
  <conditionalFormatting sqref="E76">
    <cfRule type="expression" dxfId="2082" priority="2072">
      <formula>G76="n"</formula>
    </cfRule>
  </conditionalFormatting>
  <conditionalFormatting sqref="F76">
    <cfRule type="expression" dxfId="2081" priority="2069">
      <formula>G76="n"</formula>
    </cfRule>
  </conditionalFormatting>
  <conditionalFormatting sqref="E77">
    <cfRule type="expression" dxfId="2080" priority="2068">
      <formula>G77="n"</formula>
    </cfRule>
  </conditionalFormatting>
  <conditionalFormatting sqref="F77">
    <cfRule type="expression" dxfId="2079" priority="2065">
      <formula>G77="n"</formula>
    </cfRule>
  </conditionalFormatting>
  <conditionalFormatting sqref="E78">
    <cfRule type="expression" dxfId="2078" priority="2064">
      <formula>G78="n"</formula>
    </cfRule>
  </conditionalFormatting>
  <conditionalFormatting sqref="F78">
    <cfRule type="expression" dxfId="2077" priority="2061">
      <formula>G78="n"</formula>
    </cfRule>
  </conditionalFormatting>
  <conditionalFormatting sqref="E79">
    <cfRule type="expression" dxfId="2076" priority="2060">
      <formula>G79="n"</formula>
    </cfRule>
  </conditionalFormatting>
  <conditionalFormatting sqref="F79">
    <cfRule type="expression" dxfId="2075" priority="2057">
      <formula>G79="n"</formula>
    </cfRule>
  </conditionalFormatting>
  <conditionalFormatting sqref="E80">
    <cfRule type="expression" dxfId="2074" priority="2056">
      <formula>G80="n"</formula>
    </cfRule>
  </conditionalFormatting>
  <conditionalFormatting sqref="F80">
    <cfRule type="expression" dxfId="2073" priority="2053">
      <formula>G80="n"</formula>
    </cfRule>
  </conditionalFormatting>
  <conditionalFormatting sqref="E81">
    <cfRule type="expression" dxfId="2072" priority="2052">
      <formula>G81="n"</formula>
    </cfRule>
  </conditionalFormatting>
  <conditionalFormatting sqref="F81">
    <cfRule type="expression" dxfId="2071" priority="2049">
      <formula>G81="n"</formula>
    </cfRule>
  </conditionalFormatting>
  <conditionalFormatting sqref="E82">
    <cfRule type="expression" dxfId="2070" priority="2048">
      <formula>G82="n"</formula>
    </cfRule>
  </conditionalFormatting>
  <conditionalFormatting sqref="F82">
    <cfRule type="expression" dxfId="2069" priority="2045">
      <formula>G82="n"</formula>
    </cfRule>
  </conditionalFormatting>
  <conditionalFormatting sqref="E83">
    <cfRule type="expression" dxfId="2068" priority="2044">
      <formula>G83="n"</formula>
    </cfRule>
  </conditionalFormatting>
  <conditionalFormatting sqref="F83">
    <cfRule type="expression" dxfId="2067" priority="2041">
      <formula>G83="n"</formula>
    </cfRule>
  </conditionalFormatting>
  <conditionalFormatting sqref="E84">
    <cfRule type="expression" dxfId="2066" priority="2040">
      <formula>G84="n"</formula>
    </cfRule>
  </conditionalFormatting>
  <conditionalFormatting sqref="F84">
    <cfRule type="expression" dxfId="2065" priority="2037">
      <formula>G84="n"</formula>
    </cfRule>
  </conditionalFormatting>
  <conditionalFormatting sqref="A60">
    <cfRule type="expression" dxfId="2064" priority="2036">
      <formula>G60="n"</formula>
    </cfRule>
  </conditionalFormatting>
  <conditionalFormatting sqref="B60">
    <cfRule type="expression" dxfId="2063" priority="2035">
      <formula>G60="n"</formula>
    </cfRule>
  </conditionalFormatting>
  <conditionalFormatting sqref="C60">
    <cfRule type="expression" dxfId="2062" priority="2034">
      <formula>G60="n"</formula>
    </cfRule>
  </conditionalFormatting>
  <conditionalFormatting sqref="A60">
    <cfRule type="expression" dxfId="2061" priority="2033">
      <formula>G60="n"</formula>
    </cfRule>
  </conditionalFormatting>
  <conditionalFormatting sqref="B60">
    <cfRule type="expression" dxfId="2060" priority="2032">
      <formula>G60="n"</formula>
    </cfRule>
  </conditionalFormatting>
  <conditionalFormatting sqref="C60">
    <cfRule type="expression" dxfId="2059" priority="2031">
      <formula>G60="n"</formula>
    </cfRule>
  </conditionalFormatting>
  <conditionalFormatting sqref="A61">
    <cfRule type="expression" dxfId="2058" priority="2030">
      <formula>G61="n"</formula>
    </cfRule>
  </conditionalFormatting>
  <conditionalFormatting sqref="B61">
    <cfRule type="expression" dxfId="2057" priority="2029">
      <formula>G61="n"</formula>
    </cfRule>
  </conditionalFormatting>
  <conditionalFormatting sqref="C61">
    <cfRule type="expression" dxfId="2056" priority="2028">
      <formula>G61="n"</formula>
    </cfRule>
  </conditionalFormatting>
  <conditionalFormatting sqref="A61">
    <cfRule type="expression" dxfId="2055" priority="2027">
      <formula>G61="n"</formula>
    </cfRule>
  </conditionalFormatting>
  <conditionalFormatting sqref="B61">
    <cfRule type="expression" dxfId="2054" priority="2026">
      <formula>G61="n"</formula>
    </cfRule>
  </conditionalFormatting>
  <conditionalFormatting sqref="C61">
    <cfRule type="expression" dxfId="2053" priority="2025">
      <formula>G61="n"</formula>
    </cfRule>
  </conditionalFormatting>
  <conditionalFormatting sqref="A62">
    <cfRule type="expression" dxfId="2052" priority="2024">
      <formula>G62="n"</formula>
    </cfRule>
  </conditionalFormatting>
  <conditionalFormatting sqref="B62">
    <cfRule type="expression" dxfId="2051" priority="2023">
      <formula>G62="n"</formula>
    </cfRule>
  </conditionalFormatting>
  <conditionalFormatting sqref="C62">
    <cfRule type="expression" dxfId="2050" priority="2022">
      <formula>G62="n"</formula>
    </cfRule>
  </conditionalFormatting>
  <conditionalFormatting sqref="A62">
    <cfRule type="expression" dxfId="2049" priority="2021">
      <formula>G62="n"</formula>
    </cfRule>
  </conditionalFormatting>
  <conditionalFormatting sqref="B62">
    <cfRule type="expression" dxfId="2048" priority="2020">
      <formula>G62="n"</formula>
    </cfRule>
  </conditionalFormatting>
  <conditionalFormatting sqref="C62">
    <cfRule type="expression" dxfId="2047" priority="2019">
      <formula>G62="n"</formula>
    </cfRule>
  </conditionalFormatting>
  <conditionalFormatting sqref="A63">
    <cfRule type="expression" dxfId="2046" priority="2018">
      <formula>G63="n"</formula>
    </cfRule>
  </conditionalFormatting>
  <conditionalFormatting sqref="B63">
    <cfRule type="expression" dxfId="2045" priority="2017">
      <formula>G63="n"</formula>
    </cfRule>
  </conditionalFormatting>
  <conditionalFormatting sqref="C63">
    <cfRule type="expression" dxfId="2044" priority="2016">
      <formula>G63="n"</formula>
    </cfRule>
  </conditionalFormatting>
  <conditionalFormatting sqref="A63">
    <cfRule type="expression" dxfId="2043" priority="2015">
      <formula>G63="n"</formula>
    </cfRule>
  </conditionalFormatting>
  <conditionalFormatting sqref="B63">
    <cfRule type="expression" dxfId="2042" priority="2014">
      <formula>G63="n"</formula>
    </cfRule>
  </conditionalFormatting>
  <conditionalFormatting sqref="C63">
    <cfRule type="expression" dxfId="2041" priority="2013">
      <formula>G63="n"</formula>
    </cfRule>
  </conditionalFormatting>
  <conditionalFormatting sqref="A64">
    <cfRule type="expression" dxfId="2040" priority="2012">
      <formula>G64="n"</formula>
    </cfRule>
  </conditionalFormatting>
  <conditionalFormatting sqref="B64">
    <cfRule type="expression" dxfId="2039" priority="2011">
      <formula>G64="n"</formula>
    </cfRule>
  </conditionalFormatting>
  <conditionalFormatting sqref="C64">
    <cfRule type="expression" dxfId="2038" priority="2010">
      <formula>G64="n"</formula>
    </cfRule>
  </conditionalFormatting>
  <conditionalFormatting sqref="A64">
    <cfRule type="expression" dxfId="2037" priority="2009">
      <formula>G64="n"</formula>
    </cfRule>
  </conditionalFormatting>
  <conditionalFormatting sqref="B64">
    <cfRule type="expression" dxfId="2036" priority="2008">
      <formula>G64="n"</formula>
    </cfRule>
  </conditionalFormatting>
  <conditionalFormatting sqref="C64">
    <cfRule type="expression" dxfId="2035" priority="2007">
      <formula>G64="n"</formula>
    </cfRule>
  </conditionalFormatting>
  <conditionalFormatting sqref="A65">
    <cfRule type="expression" dxfId="2034" priority="2006">
      <formula>G65="n"</formula>
    </cfRule>
  </conditionalFormatting>
  <conditionalFormatting sqref="B65">
    <cfRule type="expression" dxfId="2033" priority="2005">
      <formula>G65="n"</formula>
    </cfRule>
  </conditionalFormatting>
  <conditionalFormatting sqref="C65">
    <cfRule type="expression" dxfId="2032" priority="2004">
      <formula>G65="n"</formula>
    </cfRule>
  </conditionalFormatting>
  <conditionalFormatting sqref="A65">
    <cfRule type="expression" dxfId="2031" priority="2003">
      <formula>G65="n"</formula>
    </cfRule>
  </conditionalFormatting>
  <conditionalFormatting sqref="B65">
    <cfRule type="expression" dxfId="2030" priority="2002">
      <formula>G65="n"</formula>
    </cfRule>
  </conditionalFormatting>
  <conditionalFormatting sqref="C65">
    <cfRule type="expression" dxfId="2029" priority="2001">
      <formula>G65="n"</formula>
    </cfRule>
  </conditionalFormatting>
  <conditionalFormatting sqref="A66">
    <cfRule type="expression" dxfId="2028" priority="2000">
      <formula>G66="n"</formula>
    </cfRule>
  </conditionalFormatting>
  <conditionalFormatting sqref="B66">
    <cfRule type="expression" dxfId="2027" priority="1999">
      <formula>G66="n"</formula>
    </cfRule>
  </conditionalFormatting>
  <conditionalFormatting sqref="C66">
    <cfRule type="expression" dxfId="2026" priority="1998">
      <formula>G66="n"</formula>
    </cfRule>
  </conditionalFormatting>
  <conditionalFormatting sqref="A66">
    <cfRule type="expression" dxfId="2025" priority="1997">
      <formula>G66="n"</formula>
    </cfRule>
  </conditionalFormatting>
  <conditionalFormatting sqref="B66">
    <cfRule type="expression" dxfId="2024" priority="1996">
      <formula>G66="n"</formula>
    </cfRule>
  </conditionalFormatting>
  <conditionalFormatting sqref="C66">
    <cfRule type="expression" dxfId="2023" priority="1995">
      <formula>G66="n"</formula>
    </cfRule>
  </conditionalFormatting>
  <conditionalFormatting sqref="A67">
    <cfRule type="expression" dxfId="2022" priority="1994">
      <formula>G67="n"</formula>
    </cfRule>
  </conditionalFormatting>
  <conditionalFormatting sqref="B67">
    <cfRule type="expression" dxfId="2021" priority="1993">
      <formula>G67="n"</formula>
    </cfRule>
  </conditionalFormatting>
  <conditionalFormatting sqref="C67">
    <cfRule type="expression" dxfId="2020" priority="1992">
      <formula>G67="n"</formula>
    </cfRule>
  </conditionalFormatting>
  <conditionalFormatting sqref="A67">
    <cfRule type="expression" dxfId="2019" priority="1991">
      <formula>G67="n"</formula>
    </cfRule>
  </conditionalFormatting>
  <conditionalFormatting sqref="B67">
    <cfRule type="expression" dxfId="2018" priority="1990">
      <formula>G67="n"</formula>
    </cfRule>
  </conditionalFormatting>
  <conditionalFormatting sqref="C67">
    <cfRule type="expression" dxfId="2017" priority="1989">
      <formula>G67="n"</formula>
    </cfRule>
  </conditionalFormatting>
  <conditionalFormatting sqref="A68">
    <cfRule type="expression" dxfId="2016" priority="1988">
      <formula>G68="n"</formula>
    </cfRule>
  </conditionalFormatting>
  <conditionalFormatting sqref="B68">
    <cfRule type="expression" dxfId="2015" priority="1987">
      <formula>G68="n"</formula>
    </cfRule>
  </conditionalFormatting>
  <conditionalFormatting sqref="C68">
    <cfRule type="expression" dxfId="2014" priority="1986">
      <formula>G68="n"</formula>
    </cfRule>
  </conditionalFormatting>
  <conditionalFormatting sqref="A68">
    <cfRule type="expression" dxfId="2013" priority="1985">
      <formula>G68="n"</formula>
    </cfRule>
  </conditionalFormatting>
  <conditionalFormatting sqref="B68">
    <cfRule type="expression" dxfId="2012" priority="1984">
      <formula>G68="n"</formula>
    </cfRule>
  </conditionalFormatting>
  <conditionalFormatting sqref="C68">
    <cfRule type="expression" dxfId="2011" priority="1983">
      <formula>G68="n"</formula>
    </cfRule>
  </conditionalFormatting>
  <conditionalFormatting sqref="A69">
    <cfRule type="expression" dxfId="2010" priority="1982">
      <formula>G69="n"</formula>
    </cfRule>
  </conditionalFormatting>
  <conditionalFormatting sqref="B69">
    <cfRule type="expression" dxfId="2009" priority="1981">
      <formula>G69="n"</formula>
    </cfRule>
  </conditionalFormatting>
  <conditionalFormatting sqref="C69">
    <cfRule type="expression" dxfId="2008" priority="1980">
      <formula>G69="n"</formula>
    </cfRule>
  </conditionalFormatting>
  <conditionalFormatting sqref="A69">
    <cfRule type="expression" dxfId="2007" priority="1979">
      <formula>G69="n"</formula>
    </cfRule>
  </conditionalFormatting>
  <conditionalFormatting sqref="B69">
    <cfRule type="expression" dxfId="2006" priority="1978">
      <formula>G69="n"</formula>
    </cfRule>
  </conditionalFormatting>
  <conditionalFormatting sqref="C69">
    <cfRule type="expression" dxfId="2005" priority="1977">
      <formula>G69="n"</formula>
    </cfRule>
  </conditionalFormatting>
  <conditionalFormatting sqref="A70">
    <cfRule type="expression" dxfId="2004" priority="1976">
      <formula>G70="n"</formula>
    </cfRule>
  </conditionalFormatting>
  <conditionalFormatting sqref="B70">
    <cfRule type="expression" dxfId="2003" priority="1975">
      <formula>G70="n"</formula>
    </cfRule>
  </conditionalFormatting>
  <conditionalFormatting sqref="C70">
    <cfRule type="expression" dxfId="2002" priority="1974">
      <formula>G70="n"</formula>
    </cfRule>
  </conditionalFormatting>
  <conditionalFormatting sqref="A70">
    <cfRule type="expression" dxfId="2001" priority="1973">
      <formula>G70="n"</formula>
    </cfRule>
  </conditionalFormatting>
  <conditionalFormatting sqref="B70">
    <cfRule type="expression" dxfId="2000" priority="1972">
      <formula>G70="n"</formula>
    </cfRule>
  </conditionalFormatting>
  <conditionalFormatting sqref="C70">
    <cfRule type="expression" dxfId="1999" priority="1971">
      <formula>G70="n"</formula>
    </cfRule>
  </conditionalFormatting>
  <conditionalFormatting sqref="A71">
    <cfRule type="expression" dxfId="1998" priority="1970">
      <formula>G71="n"</formula>
    </cfRule>
  </conditionalFormatting>
  <conditionalFormatting sqref="B71">
    <cfRule type="expression" dxfId="1997" priority="1969">
      <formula>G71="n"</formula>
    </cfRule>
  </conditionalFormatting>
  <conditionalFormatting sqref="C71">
    <cfRule type="expression" dxfId="1996" priority="1968">
      <formula>G71="n"</formula>
    </cfRule>
  </conditionalFormatting>
  <conditionalFormatting sqref="A71">
    <cfRule type="expression" dxfId="1995" priority="1967">
      <formula>G71="n"</formula>
    </cfRule>
  </conditionalFormatting>
  <conditionalFormatting sqref="B71">
    <cfRule type="expression" dxfId="1994" priority="1966">
      <formula>G71="n"</formula>
    </cfRule>
  </conditionalFormatting>
  <conditionalFormatting sqref="C71">
    <cfRule type="expression" dxfId="1993" priority="1965">
      <formula>G71="n"</formula>
    </cfRule>
  </conditionalFormatting>
  <conditionalFormatting sqref="A72">
    <cfRule type="expression" dxfId="1992" priority="1964">
      <formula>G72="n"</formula>
    </cfRule>
  </conditionalFormatting>
  <conditionalFormatting sqref="B72">
    <cfRule type="expression" dxfId="1991" priority="1963">
      <formula>G72="n"</formula>
    </cfRule>
  </conditionalFormatting>
  <conditionalFormatting sqref="C72">
    <cfRule type="expression" dxfId="1990" priority="1962">
      <formula>G72="n"</formula>
    </cfRule>
  </conditionalFormatting>
  <conditionalFormatting sqref="A72">
    <cfRule type="expression" dxfId="1989" priority="1961">
      <formula>G72="n"</formula>
    </cfRule>
  </conditionalFormatting>
  <conditionalFormatting sqref="B72">
    <cfRule type="expression" dxfId="1988" priority="1960">
      <formula>G72="n"</formula>
    </cfRule>
  </conditionalFormatting>
  <conditionalFormatting sqref="C72">
    <cfRule type="expression" dxfId="1987" priority="1959">
      <formula>G72="n"</formula>
    </cfRule>
  </conditionalFormatting>
  <conditionalFormatting sqref="A73">
    <cfRule type="expression" dxfId="1986" priority="1958">
      <formula>G73="n"</formula>
    </cfRule>
  </conditionalFormatting>
  <conditionalFormatting sqref="B73">
    <cfRule type="expression" dxfId="1985" priority="1957">
      <formula>G73="n"</formula>
    </cfRule>
  </conditionalFormatting>
  <conditionalFormatting sqref="C73">
    <cfRule type="expression" dxfId="1984" priority="1956">
      <formula>G73="n"</formula>
    </cfRule>
  </conditionalFormatting>
  <conditionalFormatting sqref="A73">
    <cfRule type="expression" dxfId="1983" priority="1955">
      <formula>G73="n"</formula>
    </cfRule>
  </conditionalFormatting>
  <conditionalFormatting sqref="B73">
    <cfRule type="expression" dxfId="1982" priority="1954">
      <formula>G73="n"</formula>
    </cfRule>
  </conditionalFormatting>
  <conditionalFormatting sqref="C73">
    <cfRule type="expression" dxfId="1981" priority="1953">
      <formula>G73="n"</formula>
    </cfRule>
  </conditionalFormatting>
  <conditionalFormatting sqref="A74">
    <cfRule type="expression" dxfId="1980" priority="1952">
      <formula>G74="n"</formula>
    </cfRule>
  </conditionalFormatting>
  <conditionalFormatting sqref="B74">
    <cfRule type="expression" dxfId="1979" priority="1951">
      <formula>G74="n"</formula>
    </cfRule>
  </conditionalFormatting>
  <conditionalFormatting sqref="C74">
    <cfRule type="expression" dxfId="1978" priority="1950">
      <formula>G74="n"</formula>
    </cfRule>
  </conditionalFormatting>
  <conditionalFormatting sqref="A74">
    <cfRule type="expression" dxfId="1977" priority="1949">
      <formula>G74="n"</formula>
    </cfRule>
  </conditionalFormatting>
  <conditionalFormatting sqref="B74">
    <cfRule type="expression" dxfId="1976" priority="1948">
      <formula>G74="n"</formula>
    </cfRule>
  </conditionalFormatting>
  <conditionalFormatting sqref="C74">
    <cfRule type="expression" dxfId="1975" priority="1947">
      <formula>G74="n"</formula>
    </cfRule>
  </conditionalFormatting>
  <conditionalFormatting sqref="A75">
    <cfRule type="expression" dxfId="1974" priority="1946">
      <formula>G75="n"</formula>
    </cfRule>
  </conditionalFormatting>
  <conditionalFormatting sqref="B75">
    <cfRule type="expression" dxfId="1973" priority="1945">
      <formula>G75="n"</formula>
    </cfRule>
  </conditionalFormatting>
  <conditionalFormatting sqref="C75">
    <cfRule type="expression" dxfId="1972" priority="1944">
      <formula>G75="n"</formula>
    </cfRule>
  </conditionalFormatting>
  <conditionalFormatting sqref="A75">
    <cfRule type="expression" dxfId="1971" priority="1943">
      <formula>G75="n"</formula>
    </cfRule>
  </conditionalFormatting>
  <conditionalFormatting sqref="B75">
    <cfRule type="expression" dxfId="1970" priority="1942">
      <formula>G75="n"</formula>
    </cfRule>
  </conditionalFormatting>
  <conditionalFormatting sqref="C75">
    <cfRule type="expression" dxfId="1969" priority="1941">
      <formula>G75="n"</formula>
    </cfRule>
  </conditionalFormatting>
  <conditionalFormatting sqref="A76">
    <cfRule type="expression" dxfId="1968" priority="1940">
      <formula>G76="n"</formula>
    </cfRule>
  </conditionalFormatting>
  <conditionalFormatting sqref="B76">
    <cfRule type="expression" dxfId="1967" priority="1939">
      <formula>G76="n"</formula>
    </cfRule>
  </conditionalFormatting>
  <conditionalFormatting sqref="C76">
    <cfRule type="expression" dxfId="1966" priority="1938">
      <formula>G76="n"</formula>
    </cfRule>
  </conditionalFormatting>
  <conditionalFormatting sqref="A76">
    <cfRule type="expression" dxfId="1965" priority="1937">
      <formula>G76="n"</formula>
    </cfRule>
  </conditionalFormatting>
  <conditionalFormatting sqref="B76">
    <cfRule type="expression" dxfId="1964" priority="1936">
      <formula>G76="n"</formula>
    </cfRule>
  </conditionalFormatting>
  <conditionalFormatting sqref="C76">
    <cfRule type="expression" dxfId="1963" priority="1935">
      <formula>G76="n"</formula>
    </cfRule>
  </conditionalFormatting>
  <conditionalFormatting sqref="A77">
    <cfRule type="expression" dxfId="1962" priority="1934">
      <formula>G77="n"</formula>
    </cfRule>
  </conditionalFormatting>
  <conditionalFormatting sqref="B77">
    <cfRule type="expression" dxfId="1961" priority="1933">
      <formula>G77="n"</formula>
    </cfRule>
  </conditionalFormatting>
  <conditionalFormatting sqref="C77">
    <cfRule type="expression" dxfId="1960" priority="1932">
      <formula>G77="n"</formula>
    </cfRule>
  </conditionalFormatting>
  <conditionalFormatting sqref="A77">
    <cfRule type="expression" dxfId="1959" priority="1931">
      <formula>G77="n"</formula>
    </cfRule>
  </conditionalFormatting>
  <conditionalFormatting sqref="B77">
    <cfRule type="expression" dxfId="1958" priority="1930">
      <formula>G77="n"</formula>
    </cfRule>
  </conditionalFormatting>
  <conditionalFormatting sqref="C77">
    <cfRule type="expression" dxfId="1957" priority="1929">
      <formula>G77="n"</formula>
    </cfRule>
  </conditionalFormatting>
  <conditionalFormatting sqref="A78">
    <cfRule type="expression" dxfId="1956" priority="1928">
      <formula>G78="n"</formula>
    </cfRule>
  </conditionalFormatting>
  <conditionalFormatting sqref="B78">
    <cfRule type="expression" dxfId="1955" priority="1927">
      <formula>G78="n"</formula>
    </cfRule>
  </conditionalFormatting>
  <conditionalFormatting sqref="C78">
    <cfRule type="expression" dxfId="1954" priority="1926">
      <formula>G78="n"</formula>
    </cfRule>
  </conditionalFormatting>
  <conditionalFormatting sqref="A78">
    <cfRule type="expression" dxfId="1953" priority="1925">
      <formula>G78="n"</formula>
    </cfRule>
  </conditionalFormatting>
  <conditionalFormatting sqref="B78">
    <cfRule type="expression" dxfId="1952" priority="1924">
      <formula>G78="n"</formula>
    </cfRule>
  </conditionalFormatting>
  <conditionalFormatting sqref="C78">
    <cfRule type="expression" dxfId="1951" priority="1923">
      <formula>G78="n"</formula>
    </cfRule>
  </conditionalFormatting>
  <conditionalFormatting sqref="A79">
    <cfRule type="expression" dxfId="1950" priority="1922">
      <formula>G79="n"</formula>
    </cfRule>
  </conditionalFormatting>
  <conditionalFormatting sqref="B79">
    <cfRule type="expression" dxfId="1949" priority="1921">
      <formula>G79="n"</formula>
    </cfRule>
  </conditionalFormatting>
  <conditionalFormatting sqref="C79">
    <cfRule type="expression" dxfId="1948" priority="1920">
      <formula>G79="n"</formula>
    </cfRule>
  </conditionalFormatting>
  <conditionalFormatting sqref="A79">
    <cfRule type="expression" dxfId="1947" priority="1919">
      <formula>G79="n"</formula>
    </cfRule>
  </conditionalFormatting>
  <conditionalFormatting sqref="B79">
    <cfRule type="expression" dxfId="1946" priority="1918">
      <formula>G79="n"</formula>
    </cfRule>
  </conditionalFormatting>
  <conditionalFormatting sqref="C79">
    <cfRule type="expression" dxfId="1945" priority="1917">
      <formula>G79="n"</formula>
    </cfRule>
  </conditionalFormatting>
  <conditionalFormatting sqref="A80">
    <cfRule type="expression" dxfId="1944" priority="1916">
      <formula>G80="n"</formula>
    </cfRule>
  </conditionalFormatting>
  <conditionalFormatting sqref="B80">
    <cfRule type="expression" dxfId="1943" priority="1915">
      <formula>G80="n"</formula>
    </cfRule>
  </conditionalFormatting>
  <conditionalFormatting sqref="C80">
    <cfRule type="expression" dxfId="1942" priority="1914">
      <formula>G80="n"</formula>
    </cfRule>
  </conditionalFormatting>
  <conditionalFormatting sqref="A80">
    <cfRule type="expression" dxfId="1941" priority="1913">
      <formula>G80="n"</formula>
    </cfRule>
  </conditionalFormatting>
  <conditionalFormatting sqref="B80">
    <cfRule type="expression" dxfId="1940" priority="1912">
      <formula>G80="n"</formula>
    </cfRule>
  </conditionalFormatting>
  <conditionalFormatting sqref="C80">
    <cfRule type="expression" dxfId="1939" priority="1911">
      <formula>G80="n"</formula>
    </cfRule>
  </conditionalFormatting>
  <conditionalFormatting sqref="A81">
    <cfRule type="expression" dxfId="1938" priority="1910">
      <formula>G81="n"</formula>
    </cfRule>
  </conditionalFormatting>
  <conditionalFormatting sqref="B81">
    <cfRule type="expression" dxfId="1937" priority="1909">
      <formula>G81="n"</formula>
    </cfRule>
  </conditionalFormatting>
  <conditionalFormatting sqref="C81">
    <cfRule type="expression" dxfId="1936" priority="1908">
      <formula>G81="n"</formula>
    </cfRule>
  </conditionalFormatting>
  <conditionalFormatting sqref="A81">
    <cfRule type="expression" dxfId="1935" priority="1907">
      <formula>G81="n"</formula>
    </cfRule>
  </conditionalFormatting>
  <conditionalFormatting sqref="B81">
    <cfRule type="expression" dxfId="1934" priority="1906">
      <formula>G81="n"</formula>
    </cfRule>
  </conditionalFormatting>
  <conditionalFormatting sqref="C81">
    <cfRule type="expression" dxfId="1933" priority="1905">
      <formula>G81="n"</formula>
    </cfRule>
  </conditionalFormatting>
  <conditionalFormatting sqref="A82">
    <cfRule type="expression" dxfId="1932" priority="1904">
      <formula>G82="n"</formula>
    </cfRule>
  </conditionalFormatting>
  <conditionalFormatting sqref="B82">
    <cfRule type="expression" dxfId="1931" priority="1903">
      <formula>G82="n"</formula>
    </cfRule>
  </conditionalFormatting>
  <conditionalFormatting sqref="C82">
    <cfRule type="expression" dxfId="1930" priority="1902">
      <formula>G82="n"</formula>
    </cfRule>
  </conditionalFormatting>
  <conditionalFormatting sqref="A82">
    <cfRule type="expression" dxfId="1929" priority="1901">
      <formula>G82="n"</formula>
    </cfRule>
  </conditionalFormatting>
  <conditionalFormatting sqref="B82">
    <cfRule type="expression" dxfId="1928" priority="1900">
      <formula>G82="n"</formula>
    </cfRule>
  </conditionalFormatting>
  <conditionalFormatting sqref="C82">
    <cfRule type="expression" dxfId="1927" priority="1899">
      <formula>G82="n"</formula>
    </cfRule>
  </conditionalFormatting>
  <conditionalFormatting sqref="A83">
    <cfRule type="expression" dxfId="1926" priority="1898">
      <formula>G83="n"</formula>
    </cfRule>
  </conditionalFormatting>
  <conditionalFormatting sqref="B83">
    <cfRule type="expression" dxfId="1925" priority="1897">
      <formula>G83="n"</formula>
    </cfRule>
  </conditionalFormatting>
  <conditionalFormatting sqref="C83">
    <cfRule type="expression" dxfId="1924" priority="1896">
      <formula>G83="n"</formula>
    </cfRule>
  </conditionalFormatting>
  <conditionalFormatting sqref="A83">
    <cfRule type="expression" dxfId="1923" priority="1895">
      <formula>G83="n"</formula>
    </cfRule>
  </conditionalFormatting>
  <conditionalFormatting sqref="B83">
    <cfRule type="expression" dxfId="1922" priority="1894">
      <formula>G83="n"</formula>
    </cfRule>
  </conditionalFormatting>
  <conditionalFormatting sqref="C83">
    <cfRule type="expression" dxfId="1921" priority="1893">
      <formula>G83="n"</formula>
    </cfRule>
  </conditionalFormatting>
  <conditionalFormatting sqref="A84">
    <cfRule type="expression" dxfId="1920" priority="1892">
      <formula>G84="n"</formula>
    </cfRule>
  </conditionalFormatting>
  <conditionalFormatting sqref="B84">
    <cfRule type="expression" dxfId="1919" priority="1891">
      <formula>G84="n"</formula>
    </cfRule>
  </conditionalFormatting>
  <conditionalFormatting sqref="C84">
    <cfRule type="expression" dxfId="1918" priority="1890">
      <formula>G84="n"</formula>
    </cfRule>
  </conditionalFormatting>
  <conditionalFormatting sqref="A84">
    <cfRule type="expression" dxfId="1917" priority="1889">
      <formula>G84="n"</formula>
    </cfRule>
  </conditionalFormatting>
  <conditionalFormatting sqref="B84">
    <cfRule type="expression" dxfId="1916" priority="1888">
      <formula>G84="n"</formula>
    </cfRule>
  </conditionalFormatting>
  <conditionalFormatting sqref="C84">
    <cfRule type="expression" dxfId="1915" priority="1887">
      <formula>G84="n"</formula>
    </cfRule>
  </conditionalFormatting>
  <conditionalFormatting sqref="A85">
    <cfRule type="expression" dxfId="1914" priority="1886">
      <formula>G85="n"</formula>
    </cfRule>
  </conditionalFormatting>
  <conditionalFormatting sqref="B85">
    <cfRule type="expression" dxfId="1913" priority="1885">
      <formula>G85="n"</formula>
    </cfRule>
  </conditionalFormatting>
  <conditionalFormatting sqref="C85">
    <cfRule type="expression" dxfId="1912" priority="1884">
      <formula>G85="n"</formula>
    </cfRule>
  </conditionalFormatting>
  <conditionalFormatting sqref="D85">
    <cfRule type="expression" dxfId="1911" priority="1883">
      <formula>G85="n"</formula>
    </cfRule>
  </conditionalFormatting>
  <conditionalFormatting sqref="E85">
    <cfRule type="expression" dxfId="1910" priority="1882">
      <formula>G85="n"</formula>
    </cfRule>
  </conditionalFormatting>
  <conditionalFormatting sqref="A85">
    <cfRule type="expression" dxfId="1909" priority="1881">
      <formula>G85="n"</formula>
    </cfRule>
  </conditionalFormatting>
  <conditionalFormatting sqref="B85">
    <cfRule type="expression" dxfId="1908" priority="1880">
      <formula>G85="n"</formula>
    </cfRule>
  </conditionalFormatting>
  <conditionalFormatting sqref="C85">
    <cfRule type="expression" dxfId="1907" priority="1879">
      <formula>G85="n"</formula>
    </cfRule>
  </conditionalFormatting>
  <conditionalFormatting sqref="D85">
    <cfRule type="expression" dxfId="1906" priority="1878">
      <formula>G85="n"</formula>
    </cfRule>
  </conditionalFormatting>
  <conditionalFormatting sqref="E85">
    <cfRule type="expression" dxfId="1905" priority="1877">
      <formula>G85="n"</formula>
    </cfRule>
  </conditionalFormatting>
  <conditionalFormatting sqref="F86">
    <cfRule type="expression" dxfId="1904" priority="1874">
      <formula>G86="n"</formula>
    </cfRule>
  </conditionalFormatting>
  <conditionalFormatting sqref="E86">
    <cfRule type="expression" dxfId="1903" priority="1873">
      <formula>G86="n"</formula>
    </cfRule>
  </conditionalFormatting>
  <conditionalFormatting sqref="A86">
    <cfRule type="expression" dxfId="1902" priority="1872">
      <formula>G86="n"</formula>
    </cfRule>
  </conditionalFormatting>
  <conditionalFormatting sqref="B86">
    <cfRule type="expression" dxfId="1901" priority="1871">
      <formula>G86="n"</formula>
    </cfRule>
  </conditionalFormatting>
  <conditionalFormatting sqref="C86">
    <cfRule type="expression" dxfId="1900" priority="1870">
      <formula>G86="n"</formula>
    </cfRule>
  </conditionalFormatting>
  <conditionalFormatting sqref="D86">
    <cfRule type="expression" dxfId="1899" priority="1869">
      <formula>G86="n"</formula>
    </cfRule>
  </conditionalFormatting>
  <conditionalFormatting sqref="A86">
    <cfRule type="expression" dxfId="1898" priority="1868">
      <formula>G86="n"</formula>
    </cfRule>
  </conditionalFormatting>
  <conditionalFormatting sqref="B86">
    <cfRule type="expression" dxfId="1897" priority="1867">
      <formula>G86="n"</formula>
    </cfRule>
  </conditionalFormatting>
  <conditionalFormatting sqref="C86">
    <cfRule type="expression" dxfId="1896" priority="1866">
      <formula>G86="n"</formula>
    </cfRule>
  </conditionalFormatting>
  <conditionalFormatting sqref="D86">
    <cfRule type="expression" dxfId="1895" priority="1865">
      <formula>G86="n"</formula>
    </cfRule>
  </conditionalFormatting>
  <conditionalFormatting sqref="F157">
    <cfRule type="expression" dxfId="1894" priority="1864">
      <formula>G157="n"</formula>
    </cfRule>
  </conditionalFormatting>
  <conditionalFormatting sqref="F157">
    <cfRule type="expression" dxfId="1893" priority="1863">
      <formula>G157="n"</formula>
    </cfRule>
  </conditionalFormatting>
  <conditionalFormatting sqref="A157">
    <cfRule type="expression" dxfId="1892" priority="1862">
      <formula>G157="n"</formula>
    </cfRule>
  </conditionalFormatting>
  <conditionalFormatting sqref="B157">
    <cfRule type="expression" dxfId="1891" priority="1861">
      <formula>G157="n"</formula>
    </cfRule>
  </conditionalFormatting>
  <conditionalFormatting sqref="C157">
    <cfRule type="expression" dxfId="1890" priority="1860">
      <formula>G157="n"</formula>
    </cfRule>
  </conditionalFormatting>
  <conditionalFormatting sqref="D157">
    <cfRule type="expression" dxfId="1889" priority="1859">
      <formula>G157="n"</formula>
    </cfRule>
  </conditionalFormatting>
  <conditionalFormatting sqref="E157">
    <cfRule type="expression" dxfId="1888" priority="1858">
      <formula>G157="n"</formula>
    </cfRule>
  </conditionalFormatting>
  <conditionalFormatting sqref="A157">
    <cfRule type="expression" dxfId="1887" priority="1857">
      <formula>G157="n"</formula>
    </cfRule>
  </conditionalFormatting>
  <conditionalFormatting sqref="B157">
    <cfRule type="expression" dxfId="1886" priority="1856">
      <formula>G157="n"</formula>
    </cfRule>
  </conditionalFormatting>
  <conditionalFormatting sqref="C157">
    <cfRule type="expression" dxfId="1885" priority="1855">
      <formula>G157="n"</formula>
    </cfRule>
  </conditionalFormatting>
  <conditionalFormatting sqref="D157">
    <cfRule type="expression" dxfId="1884" priority="1854">
      <formula>G157="n"</formula>
    </cfRule>
  </conditionalFormatting>
  <conditionalFormatting sqref="E157">
    <cfRule type="expression" dxfId="1883" priority="1853">
      <formula>G157="n"</formula>
    </cfRule>
  </conditionalFormatting>
  <conditionalFormatting sqref="F158">
    <cfRule type="expression" dxfId="1882" priority="1852">
      <formula>G158="n"</formula>
    </cfRule>
  </conditionalFormatting>
  <conditionalFormatting sqref="F158">
    <cfRule type="expression" dxfId="1881" priority="1851">
      <formula>G158="n"</formula>
    </cfRule>
  </conditionalFormatting>
  <conditionalFormatting sqref="F159">
    <cfRule type="expression" dxfId="1880" priority="1850">
      <formula>G159="n"</formula>
    </cfRule>
  </conditionalFormatting>
  <conditionalFormatting sqref="F159">
    <cfRule type="expression" dxfId="1879" priority="1849">
      <formula>G159="n"</formula>
    </cfRule>
  </conditionalFormatting>
  <conditionalFormatting sqref="A158">
    <cfRule type="expression" dxfId="1878" priority="1848">
      <formula>G158="n"</formula>
    </cfRule>
  </conditionalFormatting>
  <conditionalFormatting sqref="B158">
    <cfRule type="expression" dxfId="1877" priority="1847">
      <formula>G158="n"</formula>
    </cfRule>
  </conditionalFormatting>
  <conditionalFormatting sqref="C158">
    <cfRule type="expression" dxfId="1876" priority="1846">
      <formula>G158="n"</formula>
    </cfRule>
  </conditionalFormatting>
  <conditionalFormatting sqref="D158">
    <cfRule type="expression" dxfId="1875" priority="1845">
      <formula>G158="n"</formula>
    </cfRule>
  </conditionalFormatting>
  <conditionalFormatting sqref="E158">
    <cfRule type="expression" dxfId="1874" priority="1844">
      <formula>G158="n"</formula>
    </cfRule>
  </conditionalFormatting>
  <conditionalFormatting sqref="A158">
    <cfRule type="expression" dxfId="1873" priority="1843">
      <formula>G158="n"</formula>
    </cfRule>
  </conditionalFormatting>
  <conditionalFormatting sqref="B158">
    <cfRule type="expression" dxfId="1872" priority="1842">
      <formula>G158="n"</formula>
    </cfRule>
  </conditionalFormatting>
  <conditionalFormatting sqref="C158">
    <cfRule type="expression" dxfId="1871" priority="1841">
      <formula>G158="n"</formula>
    </cfRule>
  </conditionalFormatting>
  <conditionalFormatting sqref="D158">
    <cfRule type="expression" dxfId="1870" priority="1840">
      <formula>G158="n"</formula>
    </cfRule>
  </conditionalFormatting>
  <conditionalFormatting sqref="E158">
    <cfRule type="expression" dxfId="1869" priority="1839">
      <formula>G158="n"</formula>
    </cfRule>
  </conditionalFormatting>
  <conditionalFormatting sqref="A159">
    <cfRule type="expression" dxfId="1868" priority="1838">
      <formula>G159="n"</formula>
    </cfRule>
  </conditionalFormatting>
  <conditionalFormatting sqref="B159">
    <cfRule type="expression" dxfId="1867" priority="1837">
      <formula>G159="n"</formula>
    </cfRule>
  </conditionalFormatting>
  <conditionalFormatting sqref="C159">
    <cfRule type="expression" dxfId="1866" priority="1836">
      <formula>G159="n"</formula>
    </cfRule>
  </conditionalFormatting>
  <conditionalFormatting sqref="D159">
    <cfRule type="expression" dxfId="1865" priority="1835">
      <formula>G159="n"</formula>
    </cfRule>
  </conditionalFormatting>
  <conditionalFormatting sqref="E159">
    <cfRule type="expression" dxfId="1864" priority="1834">
      <formula>G159="n"</formula>
    </cfRule>
  </conditionalFormatting>
  <conditionalFormatting sqref="A159">
    <cfRule type="expression" dxfId="1863" priority="1833">
      <formula>G159="n"</formula>
    </cfRule>
  </conditionalFormatting>
  <conditionalFormatting sqref="B159">
    <cfRule type="expression" dxfId="1862" priority="1832">
      <formula>G159="n"</formula>
    </cfRule>
  </conditionalFormatting>
  <conditionalFormatting sqref="C159">
    <cfRule type="expression" dxfId="1861" priority="1831">
      <formula>G159="n"</formula>
    </cfRule>
  </conditionalFormatting>
  <conditionalFormatting sqref="D159">
    <cfRule type="expression" dxfId="1860" priority="1830">
      <formula>G159="n"</formula>
    </cfRule>
  </conditionalFormatting>
  <conditionalFormatting sqref="E159">
    <cfRule type="expression" dxfId="1859" priority="1829">
      <formula>G159="n"</formula>
    </cfRule>
  </conditionalFormatting>
  <conditionalFormatting sqref="D169">
    <cfRule type="expression" dxfId="1858" priority="1770">
      <formula>G169="n"</formula>
    </cfRule>
  </conditionalFormatting>
  <conditionalFormatting sqref="A160:A163">
    <cfRule type="expression" dxfId="1857" priority="1824">
      <formula>G160="n"</formula>
    </cfRule>
  </conditionalFormatting>
  <conditionalFormatting sqref="B160:B163">
    <cfRule type="expression" dxfId="1856" priority="1823">
      <formula>G160="n"</formula>
    </cfRule>
  </conditionalFormatting>
  <conditionalFormatting sqref="C170">
    <cfRule type="expression" dxfId="1855" priority="1766">
      <formula>G170="n"</formula>
    </cfRule>
  </conditionalFormatting>
  <conditionalFormatting sqref="A160:A163">
    <cfRule type="expression" dxfId="1854" priority="1821">
      <formula>G160="n"</formula>
    </cfRule>
  </conditionalFormatting>
  <conditionalFormatting sqref="B160:B163">
    <cfRule type="expression" dxfId="1853" priority="1820">
      <formula>G160="n"</formula>
    </cfRule>
  </conditionalFormatting>
  <conditionalFormatting sqref="F166">
    <cfRule type="expression" dxfId="1852" priority="1818">
      <formula>G166="n"</formula>
    </cfRule>
  </conditionalFormatting>
  <conditionalFormatting sqref="F166">
    <cfRule type="expression" dxfId="1851" priority="1817">
      <formula>G166="n"</formula>
    </cfRule>
  </conditionalFormatting>
  <conditionalFormatting sqref="A166">
    <cfRule type="expression" dxfId="1850" priority="1816">
      <formula>G166="n"</formula>
    </cfRule>
  </conditionalFormatting>
  <conditionalFormatting sqref="B166">
    <cfRule type="expression" dxfId="1849" priority="1815">
      <formula>G166="n"</formula>
    </cfRule>
  </conditionalFormatting>
  <conditionalFormatting sqref="C166">
    <cfRule type="expression" dxfId="1848" priority="1814">
      <formula>G166="n"</formula>
    </cfRule>
  </conditionalFormatting>
  <conditionalFormatting sqref="D166">
    <cfRule type="expression" dxfId="1847" priority="1813">
      <formula>G166="n"</formula>
    </cfRule>
  </conditionalFormatting>
  <conditionalFormatting sqref="E166">
    <cfRule type="expression" dxfId="1846" priority="1812">
      <formula>G166="n"</formula>
    </cfRule>
  </conditionalFormatting>
  <conditionalFormatting sqref="A166">
    <cfRule type="expression" dxfId="1845" priority="1811">
      <formula>G166="n"</formula>
    </cfRule>
  </conditionalFormatting>
  <conditionalFormatting sqref="B166">
    <cfRule type="expression" dxfId="1844" priority="1810">
      <formula>G166="n"</formula>
    </cfRule>
  </conditionalFormatting>
  <conditionalFormatting sqref="C166">
    <cfRule type="expression" dxfId="1843" priority="1809">
      <formula>G166="n"</formula>
    </cfRule>
  </conditionalFormatting>
  <conditionalFormatting sqref="D166">
    <cfRule type="expression" dxfId="1842" priority="1808">
      <formula>G166="n"</formula>
    </cfRule>
  </conditionalFormatting>
  <conditionalFormatting sqref="E166">
    <cfRule type="expression" dxfId="1841" priority="1807">
      <formula>G166="n"</formula>
    </cfRule>
  </conditionalFormatting>
  <conditionalFormatting sqref="A165">
    <cfRule type="expression" dxfId="1840" priority="1806">
      <formula>G165="n"</formula>
    </cfRule>
  </conditionalFormatting>
  <conditionalFormatting sqref="B165">
    <cfRule type="expression" dxfId="1839" priority="1805">
      <formula>G165="n"</formula>
    </cfRule>
  </conditionalFormatting>
  <conditionalFormatting sqref="C165">
    <cfRule type="expression" dxfId="1838" priority="1804">
      <formula>G165="n"</formula>
    </cfRule>
  </conditionalFormatting>
  <conditionalFormatting sqref="D165">
    <cfRule type="expression" dxfId="1837" priority="1803">
      <formula>G165="n"</formula>
    </cfRule>
  </conditionalFormatting>
  <conditionalFormatting sqref="E165">
    <cfRule type="expression" dxfId="1836" priority="1802">
      <formula>G165="n"</formula>
    </cfRule>
  </conditionalFormatting>
  <conditionalFormatting sqref="A165">
    <cfRule type="expression" dxfId="1835" priority="1801">
      <formula>G165="n"</formula>
    </cfRule>
  </conditionalFormatting>
  <conditionalFormatting sqref="B165">
    <cfRule type="expression" dxfId="1834" priority="1800">
      <formula>G165="n"</formula>
    </cfRule>
  </conditionalFormatting>
  <conditionalFormatting sqref="C165">
    <cfRule type="expression" dxfId="1833" priority="1799">
      <formula>G165="n"</formula>
    </cfRule>
  </conditionalFormatting>
  <conditionalFormatting sqref="D165">
    <cfRule type="expression" dxfId="1832" priority="1798">
      <formula>G165="n"</formula>
    </cfRule>
  </conditionalFormatting>
  <conditionalFormatting sqref="E165">
    <cfRule type="expression" dxfId="1831" priority="1797">
      <formula>G165="n"</formula>
    </cfRule>
  </conditionalFormatting>
  <conditionalFormatting sqref="A168">
    <cfRule type="expression" dxfId="1830" priority="1792">
      <formula>G168="n"</formula>
    </cfRule>
  </conditionalFormatting>
  <conditionalFormatting sqref="B168">
    <cfRule type="expression" dxfId="1829" priority="1791">
      <formula>G168="n"</formula>
    </cfRule>
  </conditionalFormatting>
  <conditionalFormatting sqref="C168">
    <cfRule type="expression" dxfId="1828" priority="1790">
      <formula>G168="n"</formula>
    </cfRule>
  </conditionalFormatting>
  <conditionalFormatting sqref="D168">
    <cfRule type="expression" dxfId="1827" priority="1789">
      <formula>G168="n"</formula>
    </cfRule>
  </conditionalFormatting>
  <conditionalFormatting sqref="E168">
    <cfRule type="expression" dxfId="1826" priority="1788">
      <formula>G168="n"</formula>
    </cfRule>
  </conditionalFormatting>
  <conditionalFormatting sqref="A168">
    <cfRule type="expression" dxfId="1825" priority="1787">
      <formula>G168="n"</formula>
    </cfRule>
  </conditionalFormatting>
  <conditionalFormatting sqref="B168">
    <cfRule type="expression" dxfId="1824" priority="1786">
      <formula>G168="n"</formula>
    </cfRule>
  </conditionalFormatting>
  <conditionalFormatting sqref="C168">
    <cfRule type="expression" dxfId="1823" priority="1785">
      <formula>G168="n"</formula>
    </cfRule>
  </conditionalFormatting>
  <conditionalFormatting sqref="D168">
    <cfRule type="expression" dxfId="1822" priority="1784">
      <formula>G168="n"</formula>
    </cfRule>
  </conditionalFormatting>
  <conditionalFormatting sqref="E168">
    <cfRule type="expression" dxfId="1821" priority="1783">
      <formula>G168="n"</formula>
    </cfRule>
  </conditionalFormatting>
  <conditionalFormatting sqref="F169">
    <cfRule type="expression" dxfId="1820" priority="1782">
      <formula>G169="n"</formula>
    </cfRule>
  </conditionalFormatting>
  <conditionalFormatting sqref="F169">
    <cfRule type="expression" dxfId="1819" priority="1781">
      <formula>G169="n"</formula>
    </cfRule>
  </conditionalFormatting>
  <conditionalFormatting sqref="F170">
    <cfRule type="expression" dxfId="1818" priority="1780">
      <formula>G170="n"</formula>
    </cfRule>
  </conditionalFormatting>
  <conditionalFormatting sqref="F170">
    <cfRule type="expression" dxfId="1817" priority="1779">
      <formula>G170="n"</formula>
    </cfRule>
  </conditionalFormatting>
  <conditionalFormatting sqref="A169">
    <cfRule type="expression" dxfId="1816" priority="1778">
      <formula>G169="n"</formula>
    </cfRule>
  </conditionalFormatting>
  <conditionalFormatting sqref="B169">
    <cfRule type="expression" dxfId="1815" priority="1777">
      <formula>G169="n"</formula>
    </cfRule>
  </conditionalFormatting>
  <conditionalFormatting sqref="C169">
    <cfRule type="expression" dxfId="1814" priority="1776">
      <formula>G169="n"</formula>
    </cfRule>
  </conditionalFormatting>
  <conditionalFormatting sqref="D169">
    <cfRule type="expression" dxfId="1813" priority="1775">
      <formula>G169="n"</formula>
    </cfRule>
  </conditionalFormatting>
  <conditionalFormatting sqref="E169">
    <cfRule type="expression" dxfId="1812" priority="1774">
      <formula>G169="n"</formula>
    </cfRule>
  </conditionalFormatting>
  <conditionalFormatting sqref="A169">
    <cfRule type="expression" dxfId="1811" priority="1773">
      <formula>G169="n"</formula>
    </cfRule>
  </conditionalFormatting>
  <conditionalFormatting sqref="B169">
    <cfRule type="expression" dxfId="1810" priority="1772">
      <formula>G169="n"</formula>
    </cfRule>
  </conditionalFormatting>
  <conditionalFormatting sqref="C169">
    <cfRule type="expression" dxfId="1809" priority="1771">
      <formula>G169="n"</formula>
    </cfRule>
  </conditionalFormatting>
  <conditionalFormatting sqref="E169">
    <cfRule type="expression" dxfId="1808" priority="1769">
      <formula>G169="n"</formula>
    </cfRule>
  </conditionalFormatting>
  <conditionalFormatting sqref="A170">
    <cfRule type="expression" dxfId="1807" priority="1768">
      <formula>G170="n"</formula>
    </cfRule>
  </conditionalFormatting>
  <conditionalFormatting sqref="B170">
    <cfRule type="expression" dxfId="1806" priority="1767">
      <formula>G170="n"</formula>
    </cfRule>
  </conditionalFormatting>
  <conditionalFormatting sqref="D170">
    <cfRule type="expression" dxfId="1805" priority="1765">
      <formula>G170="n"</formula>
    </cfRule>
  </conditionalFormatting>
  <conditionalFormatting sqref="E170">
    <cfRule type="expression" dxfId="1804" priority="1764">
      <formula>G170="n"</formula>
    </cfRule>
  </conditionalFormatting>
  <conditionalFormatting sqref="A170">
    <cfRule type="expression" dxfId="1803" priority="1763">
      <formula>G170="n"</formula>
    </cfRule>
  </conditionalFormatting>
  <conditionalFormatting sqref="B170">
    <cfRule type="expression" dxfId="1802" priority="1762">
      <formula>G170="n"</formula>
    </cfRule>
  </conditionalFormatting>
  <conditionalFormatting sqref="C170">
    <cfRule type="expression" dxfId="1801" priority="1761">
      <formula>G170="n"</formula>
    </cfRule>
  </conditionalFormatting>
  <conditionalFormatting sqref="D170">
    <cfRule type="expression" dxfId="1800" priority="1760">
      <formula>G170="n"</formula>
    </cfRule>
  </conditionalFormatting>
  <conditionalFormatting sqref="E170">
    <cfRule type="expression" dxfId="1799" priority="1759">
      <formula>G170="n"</formula>
    </cfRule>
  </conditionalFormatting>
  <conditionalFormatting sqref="A173">
    <cfRule type="expression" dxfId="1798" priority="1750">
      <formula>G173="n"</formula>
    </cfRule>
  </conditionalFormatting>
  <conditionalFormatting sqref="B173">
    <cfRule type="expression" dxfId="1797" priority="1749">
      <formula>G173="n"</formula>
    </cfRule>
  </conditionalFormatting>
  <conditionalFormatting sqref="A173">
    <cfRule type="expression" dxfId="1796" priority="1747">
      <formula>G173="n"</formula>
    </cfRule>
  </conditionalFormatting>
  <conditionalFormatting sqref="B173">
    <cfRule type="expression" dxfId="1795" priority="1746">
      <formula>G173="n"</formula>
    </cfRule>
  </conditionalFormatting>
  <conditionalFormatting sqref="A174">
    <cfRule type="expression" dxfId="1794" priority="1744">
      <formula>G174="n"</formula>
    </cfRule>
  </conditionalFormatting>
  <conditionalFormatting sqref="B174">
    <cfRule type="expression" dxfId="1793" priority="1743">
      <formula>G174="n"</formula>
    </cfRule>
  </conditionalFormatting>
  <conditionalFormatting sqref="A174">
    <cfRule type="expression" dxfId="1792" priority="1741">
      <formula>G174="n"</formula>
    </cfRule>
  </conditionalFormatting>
  <conditionalFormatting sqref="B174">
    <cfRule type="expression" dxfId="1791" priority="1740">
      <formula>G174="n"</formula>
    </cfRule>
  </conditionalFormatting>
  <conditionalFormatting sqref="F182">
    <cfRule type="expression" dxfId="1790" priority="1714">
      <formula>G182="n"</formula>
    </cfRule>
  </conditionalFormatting>
  <conditionalFormatting sqref="F182">
    <cfRule type="expression" dxfId="1789" priority="1713">
      <formula>G182="n"</formula>
    </cfRule>
  </conditionalFormatting>
  <conditionalFormatting sqref="A175:A179">
    <cfRule type="expression" dxfId="1788" priority="1736">
      <formula>G175="n"</formula>
    </cfRule>
  </conditionalFormatting>
  <conditionalFormatting sqref="B175">
    <cfRule type="expression" dxfId="1787" priority="1735">
      <formula>G175="n"</formula>
    </cfRule>
  </conditionalFormatting>
  <conditionalFormatting sqref="A175:A179">
    <cfRule type="expression" dxfId="1786" priority="1731">
      <formula>G175="n"</formula>
    </cfRule>
  </conditionalFormatting>
  <conditionalFormatting sqref="B175">
    <cfRule type="expression" dxfId="1785" priority="1730">
      <formula>G175="n"</formula>
    </cfRule>
  </conditionalFormatting>
  <conditionalFormatting sqref="F181">
    <cfRule type="expression" dxfId="1784" priority="1726">
      <formula>G181="n"</formula>
    </cfRule>
  </conditionalFormatting>
  <conditionalFormatting sqref="F181">
    <cfRule type="expression" dxfId="1783" priority="1725">
      <formula>G181="n"</formula>
    </cfRule>
  </conditionalFormatting>
  <conditionalFormatting sqref="A181">
    <cfRule type="expression" dxfId="1782" priority="1724">
      <formula>G181="n"</formula>
    </cfRule>
  </conditionalFormatting>
  <conditionalFormatting sqref="B181">
    <cfRule type="expression" dxfId="1781" priority="1723">
      <formula>G181="n"</formula>
    </cfRule>
  </conditionalFormatting>
  <conditionalFormatting sqref="C181">
    <cfRule type="expression" dxfId="1780" priority="1722">
      <formula>G181="n"</formula>
    </cfRule>
  </conditionalFormatting>
  <conditionalFormatting sqref="D181">
    <cfRule type="expression" dxfId="1779" priority="1721">
      <formula>G181="n"</formula>
    </cfRule>
  </conditionalFormatting>
  <conditionalFormatting sqref="E181">
    <cfRule type="expression" dxfId="1778" priority="1720">
      <formula>G181="n"</formula>
    </cfRule>
  </conditionalFormatting>
  <conditionalFormatting sqref="A181">
    <cfRule type="expression" dxfId="1777" priority="1719">
      <formula>G181="n"</formula>
    </cfRule>
  </conditionalFormatting>
  <conditionalFormatting sqref="B181">
    <cfRule type="expression" dxfId="1776" priority="1718">
      <formula>G181="n"</formula>
    </cfRule>
  </conditionalFormatting>
  <conditionalFormatting sqref="C181">
    <cfRule type="expression" dxfId="1775" priority="1717">
      <formula>G181="n"</formula>
    </cfRule>
  </conditionalFormatting>
  <conditionalFormatting sqref="D181">
    <cfRule type="expression" dxfId="1774" priority="1716">
      <formula>G181="n"</formula>
    </cfRule>
  </conditionalFormatting>
  <conditionalFormatting sqref="E181">
    <cfRule type="expression" dxfId="1773" priority="1715">
      <formula>G181="n"</formula>
    </cfRule>
  </conditionalFormatting>
  <conditionalFormatting sqref="F183">
    <cfRule type="expression" dxfId="1772" priority="1712">
      <formula>G183="n"</formula>
    </cfRule>
  </conditionalFormatting>
  <conditionalFormatting sqref="F183">
    <cfRule type="expression" dxfId="1771" priority="1711">
      <formula>G183="n"</formula>
    </cfRule>
  </conditionalFormatting>
  <conditionalFormatting sqref="A182">
    <cfRule type="expression" dxfId="1770" priority="1710">
      <formula>G182="n"</formula>
    </cfRule>
  </conditionalFormatting>
  <conditionalFormatting sqref="B182">
    <cfRule type="expression" dxfId="1769" priority="1709">
      <formula>G182="n"</formula>
    </cfRule>
  </conditionalFormatting>
  <conditionalFormatting sqref="D182">
    <cfRule type="expression" dxfId="1768" priority="1707">
      <formula>G182="n"</formula>
    </cfRule>
  </conditionalFormatting>
  <conditionalFormatting sqref="E182">
    <cfRule type="expression" dxfId="1767" priority="1706">
      <formula>G182="n"</formula>
    </cfRule>
  </conditionalFormatting>
  <conditionalFormatting sqref="A182">
    <cfRule type="expression" dxfId="1766" priority="1705">
      <formula>G182="n"</formula>
    </cfRule>
  </conditionalFormatting>
  <conditionalFormatting sqref="B182">
    <cfRule type="expression" dxfId="1765" priority="1704">
      <formula>G182="n"</formula>
    </cfRule>
  </conditionalFormatting>
  <conditionalFormatting sqref="D182">
    <cfRule type="expression" dxfId="1764" priority="1702">
      <formula>G182="n"</formula>
    </cfRule>
  </conditionalFormatting>
  <conditionalFormatting sqref="E182">
    <cfRule type="expression" dxfId="1763" priority="1701">
      <formula>G182="n"</formula>
    </cfRule>
  </conditionalFormatting>
  <conditionalFormatting sqref="A183">
    <cfRule type="expression" dxfId="1762" priority="1700">
      <formula>G183="n"</formula>
    </cfRule>
  </conditionalFormatting>
  <conditionalFormatting sqref="B183">
    <cfRule type="expression" dxfId="1761" priority="1699">
      <formula>G183="n"</formula>
    </cfRule>
  </conditionalFormatting>
  <conditionalFormatting sqref="D183">
    <cfRule type="expression" dxfId="1760" priority="1697">
      <formula>G183="n"</formula>
    </cfRule>
  </conditionalFormatting>
  <conditionalFormatting sqref="E183">
    <cfRule type="expression" dxfId="1759" priority="1696">
      <formula>G183="n"</formula>
    </cfRule>
  </conditionalFormatting>
  <conditionalFormatting sqref="A183">
    <cfRule type="expression" dxfId="1758" priority="1695">
      <formula>G183="n"</formula>
    </cfRule>
  </conditionalFormatting>
  <conditionalFormatting sqref="B183">
    <cfRule type="expression" dxfId="1757" priority="1694">
      <formula>G183="n"</formula>
    </cfRule>
  </conditionalFormatting>
  <conditionalFormatting sqref="D183">
    <cfRule type="expression" dxfId="1756" priority="1692">
      <formula>G183="n"</formula>
    </cfRule>
  </conditionalFormatting>
  <conditionalFormatting sqref="E183">
    <cfRule type="expression" dxfId="1755" priority="1691">
      <formula>G183="n"</formula>
    </cfRule>
  </conditionalFormatting>
  <conditionalFormatting sqref="F184">
    <cfRule type="expression" dxfId="1754" priority="1690">
      <formula>G184="n"</formula>
    </cfRule>
  </conditionalFormatting>
  <conditionalFormatting sqref="E184">
    <cfRule type="expression" dxfId="1753" priority="1689">
      <formula>G184="n"</formula>
    </cfRule>
  </conditionalFormatting>
  <conditionalFormatting sqref="F188">
    <cfRule type="expression" dxfId="1752" priority="1688">
      <formula>G188="n"</formula>
    </cfRule>
  </conditionalFormatting>
  <conditionalFormatting sqref="E188">
    <cfRule type="expression" dxfId="1751" priority="1687">
      <formula>G188="n"</formula>
    </cfRule>
  </conditionalFormatting>
  <conditionalFormatting sqref="A184">
    <cfRule type="expression" dxfId="1750" priority="1686">
      <formula>G184="n"</formula>
    </cfRule>
  </conditionalFormatting>
  <conditionalFormatting sqref="B184">
    <cfRule type="expression" dxfId="1749" priority="1685">
      <formula>G184="n"</formula>
    </cfRule>
  </conditionalFormatting>
  <conditionalFormatting sqref="C184">
    <cfRule type="expression" dxfId="1748" priority="1684">
      <formula>G184="n"</formula>
    </cfRule>
  </conditionalFormatting>
  <conditionalFormatting sqref="D184">
    <cfRule type="expression" dxfId="1747" priority="1683">
      <formula>G184="n"</formula>
    </cfRule>
  </conditionalFormatting>
  <conditionalFormatting sqref="A184">
    <cfRule type="expression" dxfId="1746" priority="1682">
      <formula>G184="n"</formula>
    </cfRule>
  </conditionalFormatting>
  <conditionalFormatting sqref="B184">
    <cfRule type="expression" dxfId="1745" priority="1681">
      <formula>G184="n"</formula>
    </cfRule>
  </conditionalFormatting>
  <conditionalFormatting sqref="C184">
    <cfRule type="expression" dxfId="1744" priority="1680">
      <formula>G184="n"</formula>
    </cfRule>
  </conditionalFormatting>
  <conditionalFormatting sqref="D184">
    <cfRule type="expression" dxfId="1743" priority="1679">
      <formula>G184="n"</formula>
    </cfRule>
  </conditionalFormatting>
  <conditionalFormatting sqref="A188">
    <cfRule type="expression" dxfId="1742" priority="1678">
      <formula>G188="n"</formula>
    </cfRule>
  </conditionalFormatting>
  <conditionalFormatting sqref="B188">
    <cfRule type="expression" dxfId="1741" priority="1677">
      <formula>G188="n"</formula>
    </cfRule>
  </conditionalFormatting>
  <conditionalFormatting sqref="C188">
    <cfRule type="expression" dxfId="1740" priority="1676">
      <formula>G188="n"</formula>
    </cfRule>
  </conditionalFormatting>
  <conditionalFormatting sqref="D188">
    <cfRule type="expression" dxfId="1739" priority="1675">
      <formula>G188="n"</formula>
    </cfRule>
  </conditionalFormatting>
  <conditionalFormatting sqref="A188">
    <cfRule type="expression" dxfId="1738" priority="1674">
      <formula>G188="n"</formula>
    </cfRule>
  </conditionalFormatting>
  <conditionalFormatting sqref="B188">
    <cfRule type="expression" dxfId="1737" priority="1673">
      <formula>G188="n"</formula>
    </cfRule>
  </conditionalFormatting>
  <conditionalFormatting sqref="C188">
    <cfRule type="expression" dxfId="1736" priority="1672">
      <formula>G188="n"</formula>
    </cfRule>
  </conditionalFormatting>
  <conditionalFormatting sqref="D188">
    <cfRule type="expression" dxfId="1735" priority="1671">
      <formula>G188="n"</formula>
    </cfRule>
  </conditionalFormatting>
  <conditionalFormatting sqref="F186">
    <cfRule type="expression" dxfId="1734" priority="1670">
      <formula>G186="n"</formula>
    </cfRule>
  </conditionalFormatting>
  <conditionalFormatting sqref="F186">
    <cfRule type="expression" dxfId="1733" priority="1669">
      <formula>G186="n"</formula>
    </cfRule>
  </conditionalFormatting>
  <conditionalFormatting sqref="F187">
    <cfRule type="expression" dxfId="1732" priority="1668">
      <formula>G187="n"</formula>
    </cfRule>
  </conditionalFormatting>
  <conditionalFormatting sqref="F187">
    <cfRule type="expression" dxfId="1731" priority="1667">
      <formula>G187="n"</formula>
    </cfRule>
  </conditionalFormatting>
  <conditionalFormatting sqref="A186">
    <cfRule type="expression" dxfId="1730" priority="1666">
      <formula>G186="n"</formula>
    </cfRule>
  </conditionalFormatting>
  <conditionalFormatting sqref="B186">
    <cfRule type="expression" dxfId="1729" priority="1665">
      <formula>G186="n"</formula>
    </cfRule>
  </conditionalFormatting>
  <conditionalFormatting sqref="C186">
    <cfRule type="expression" dxfId="1728" priority="1664">
      <formula>G186="n"</formula>
    </cfRule>
  </conditionalFormatting>
  <conditionalFormatting sqref="D186">
    <cfRule type="expression" dxfId="1727" priority="1663">
      <formula>G186="n"</formula>
    </cfRule>
  </conditionalFormatting>
  <conditionalFormatting sqref="E186">
    <cfRule type="expression" dxfId="1726" priority="1662">
      <formula>G186="n"</formula>
    </cfRule>
  </conditionalFormatting>
  <conditionalFormatting sqref="A186">
    <cfRule type="expression" dxfId="1725" priority="1661">
      <formula>G186="n"</formula>
    </cfRule>
  </conditionalFormatting>
  <conditionalFormatting sqref="B186">
    <cfRule type="expression" dxfId="1724" priority="1660">
      <formula>G186="n"</formula>
    </cfRule>
  </conditionalFormatting>
  <conditionalFormatting sqref="C186">
    <cfRule type="expression" dxfId="1723" priority="1659">
      <formula>G186="n"</formula>
    </cfRule>
  </conditionalFormatting>
  <conditionalFormatting sqref="D186">
    <cfRule type="expression" dxfId="1722" priority="1658">
      <formula>G186="n"</formula>
    </cfRule>
  </conditionalFormatting>
  <conditionalFormatting sqref="E186">
    <cfRule type="expression" dxfId="1721" priority="1657">
      <formula>G186="n"</formula>
    </cfRule>
  </conditionalFormatting>
  <conditionalFormatting sqref="A187">
    <cfRule type="expression" dxfId="1720" priority="1656">
      <formula>G187="n"</formula>
    </cfRule>
  </conditionalFormatting>
  <conditionalFormatting sqref="B187">
    <cfRule type="expression" dxfId="1719" priority="1655">
      <formula>G187="n"</formula>
    </cfRule>
  </conditionalFormatting>
  <conditionalFormatting sqref="C187">
    <cfRule type="expression" dxfId="1718" priority="1654">
      <formula>G187="n"</formula>
    </cfRule>
  </conditionalFormatting>
  <conditionalFormatting sqref="D187">
    <cfRule type="expression" dxfId="1717" priority="1653">
      <formula>G187="n"</formula>
    </cfRule>
  </conditionalFormatting>
  <conditionalFormatting sqref="E187">
    <cfRule type="expression" dxfId="1716" priority="1652">
      <formula>G187="n"</formula>
    </cfRule>
  </conditionalFormatting>
  <conditionalFormatting sqref="A187">
    <cfRule type="expression" dxfId="1715" priority="1651">
      <formula>G187="n"</formula>
    </cfRule>
  </conditionalFormatting>
  <conditionalFormatting sqref="B187">
    <cfRule type="expression" dxfId="1714" priority="1650">
      <formula>G187="n"</formula>
    </cfRule>
  </conditionalFormatting>
  <conditionalFormatting sqref="C187">
    <cfRule type="expression" dxfId="1713" priority="1649">
      <formula>G187="n"</formula>
    </cfRule>
  </conditionalFormatting>
  <conditionalFormatting sqref="D187">
    <cfRule type="expression" dxfId="1712" priority="1648">
      <formula>G187="n"</formula>
    </cfRule>
  </conditionalFormatting>
  <conditionalFormatting sqref="E187">
    <cfRule type="expression" dxfId="1711" priority="1647">
      <formula>G187="n"</formula>
    </cfRule>
  </conditionalFormatting>
  <conditionalFormatting sqref="F190">
    <cfRule type="expression" dxfId="1710" priority="1646">
      <formula>G190="n"</formula>
    </cfRule>
  </conditionalFormatting>
  <conditionalFormatting sqref="F190">
    <cfRule type="expression" dxfId="1709" priority="1645">
      <formula>G190="n"</formula>
    </cfRule>
  </conditionalFormatting>
  <conditionalFormatting sqref="A190">
    <cfRule type="expression" dxfId="1708" priority="1644">
      <formula>G190="n"</formula>
    </cfRule>
  </conditionalFormatting>
  <conditionalFormatting sqref="B190">
    <cfRule type="expression" dxfId="1707" priority="1643">
      <formula>G190="n"</formula>
    </cfRule>
  </conditionalFormatting>
  <conditionalFormatting sqref="C190">
    <cfRule type="expression" dxfId="1706" priority="1642">
      <formula>G190="n"</formula>
    </cfRule>
  </conditionalFormatting>
  <conditionalFormatting sqref="D190">
    <cfRule type="expression" dxfId="1705" priority="1641">
      <formula>G190="n"</formula>
    </cfRule>
  </conditionalFormatting>
  <conditionalFormatting sqref="E190">
    <cfRule type="expression" dxfId="1704" priority="1640">
      <formula>G190="n"</formula>
    </cfRule>
  </conditionalFormatting>
  <conditionalFormatting sqref="A190">
    <cfRule type="expression" dxfId="1703" priority="1639">
      <formula>G190="n"</formula>
    </cfRule>
  </conditionalFormatting>
  <conditionalFormatting sqref="B190">
    <cfRule type="expression" dxfId="1702" priority="1638">
      <formula>G190="n"</formula>
    </cfRule>
  </conditionalFormatting>
  <conditionalFormatting sqref="C190">
    <cfRule type="expression" dxfId="1701" priority="1637">
      <formula>G190="n"</formula>
    </cfRule>
  </conditionalFormatting>
  <conditionalFormatting sqref="D190">
    <cfRule type="expression" dxfId="1700" priority="1636">
      <formula>G190="n"</formula>
    </cfRule>
  </conditionalFormatting>
  <conditionalFormatting sqref="E190">
    <cfRule type="expression" dxfId="1699" priority="1635">
      <formula>G190="n"</formula>
    </cfRule>
  </conditionalFormatting>
  <conditionalFormatting sqref="A191">
    <cfRule type="expression" dxfId="1698" priority="1632">
      <formula>G191="n"</formula>
    </cfRule>
  </conditionalFormatting>
  <conditionalFormatting sqref="B191">
    <cfRule type="expression" dxfId="1697" priority="1631">
      <formula>G191="n"</formula>
    </cfRule>
  </conditionalFormatting>
  <conditionalFormatting sqref="D191">
    <cfRule type="expression" dxfId="1696" priority="1629">
      <formula>G191="n"</formula>
    </cfRule>
  </conditionalFormatting>
  <conditionalFormatting sqref="E191">
    <cfRule type="expression" dxfId="1695" priority="1628">
      <formula>G191="n"</formula>
    </cfRule>
  </conditionalFormatting>
  <conditionalFormatting sqref="A191">
    <cfRule type="expression" dxfId="1694" priority="1627">
      <formula>G191="n"</formula>
    </cfRule>
  </conditionalFormatting>
  <conditionalFormatting sqref="B191">
    <cfRule type="expression" dxfId="1693" priority="1626">
      <formula>G191="n"</formula>
    </cfRule>
  </conditionalFormatting>
  <conditionalFormatting sqref="D191">
    <cfRule type="expression" dxfId="1692" priority="1624">
      <formula>G191="n"</formula>
    </cfRule>
  </conditionalFormatting>
  <conditionalFormatting sqref="E191">
    <cfRule type="expression" dxfId="1691" priority="1623">
      <formula>G191="n"</formula>
    </cfRule>
  </conditionalFormatting>
  <conditionalFormatting sqref="F192">
    <cfRule type="expression" dxfId="1690" priority="1622">
      <formula>G192="n"</formula>
    </cfRule>
  </conditionalFormatting>
  <conditionalFormatting sqref="E192">
    <cfRule type="expression" dxfId="1689" priority="1621">
      <formula>G192="n"</formula>
    </cfRule>
  </conditionalFormatting>
  <conditionalFormatting sqref="A192">
    <cfRule type="expression" dxfId="1688" priority="1620">
      <formula>G192="n"</formula>
    </cfRule>
  </conditionalFormatting>
  <conditionalFormatting sqref="B192">
    <cfRule type="expression" dxfId="1687" priority="1619">
      <formula>G192="n"</formula>
    </cfRule>
  </conditionalFormatting>
  <conditionalFormatting sqref="C192">
    <cfRule type="expression" dxfId="1686" priority="1618">
      <formula>G192="n"</formula>
    </cfRule>
  </conditionalFormatting>
  <conditionalFormatting sqref="D192">
    <cfRule type="expression" dxfId="1685" priority="1617">
      <formula>G192="n"</formula>
    </cfRule>
  </conditionalFormatting>
  <conditionalFormatting sqref="A192">
    <cfRule type="expression" dxfId="1684" priority="1616">
      <formula>G192="n"</formula>
    </cfRule>
  </conditionalFormatting>
  <conditionalFormatting sqref="B192">
    <cfRule type="expression" dxfId="1683" priority="1615">
      <formula>G192="n"</formula>
    </cfRule>
  </conditionalFormatting>
  <conditionalFormatting sqref="C192">
    <cfRule type="expression" dxfId="1682" priority="1614">
      <formula>G192="n"</formula>
    </cfRule>
  </conditionalFormatting>
  <conditionalFormatting sqref="D192">
    <cfRule type="expression" dxfId="1681" priority="1613">
      <formula>G192="n"</formula>
    </cfRule>
  </conditionalFormatting>
  <conditionalFormatting sqref="E193">
    <cfRule type="expression" dxfId="1680" priority="1612">
      <formula>G193="n"</formula>
    </cfRule>
  </conditionalFormatting>
  <conditionalFormatting sqref="F193">
    <cfRule type="expression" dxfId="1679" priority="1609">
      <formula>G193="n"</formula>
    </cfRule>
  </conditionalFormatting>
  <conditionalFormatting sqref="E194">
    <cfRule type="expression" dxfId="1678" priority="1608">
      <formula>G194="n"</formula>
    </cfRule>
  </conditionalFormatting>
  <conditionalFormatting sqref="F194">
    <cfRule type="expression" dxfId="1677" priority="1605">
      <formula>G194="n"</formula>
    </cfRule>
  </conditionalFormatting>
  <conditionalFormatting sqref="E195">
    <cfRule type="expression" dxfId="1676" priority="1604">
      <formula>G195="n"</formula>
    </cfRule>
  </conditionalFormatting>
  <conditionalFormatting sqref="F195">
    <cfRule type="expression" dxfId="1675" priority="1601">
      <formula>G195="n"</formula>
    </cfRule>
  </conditionalFormatting>
  <conditionalFormatting sqref="E197">
    <cfRule type="expression" dxfId="1674" priority="1600">
      <formula>G197="n"</formula>
    </cfRule>
  </conditionalFormatting>
  <conditionalFormatting sqref="F197">
    <cfRule type="expression" dxfId="1673" priority="1597">
      <formula>G197="n"</formula>
    </cfRule>
  </conditionalFormatting>
  <conditionalFormatting sqref="E198">
    <cfRule type="expression" dxfId="1672" priority="1596">
      <formula>G198="n"</formula>
    </cfRule>
  </conditionalFormatting>
  <conditionalFormatting sqref="F198">
    <cfRule type="expression" dxfId="1671" priority="1593">
      <formula>G198="n"</formula>
    </cfRule>
  </conditionalFormatting>
  <conditionalFormatting sqref="A193">
    <cfRule type="expression" dxfId="1670" priority="1592">
      <formula>G193="n"</formula>
    </cfRule>
  </conditionalFormatting>
  <conditionalFormatting sqref="B193">
    <cfRule type="expression" dxfId="1669" priority="1591">
      <formula>G193="n"</formula>
    </cfRule>
  </conditionalFormatting>
  <conditionalFormatting sqref="C193">
    <cfRule type="expression" dxfId="1668" priority="1590">
      <formula>G193="n"</formula>
    </cfRule>
  </conditionalFormatting>
  <conditionalFormatting sqref="A193">
    <cfRule type="expression" dxfId="1667" priority="1589">
      <formula>G193="n"</formula>
    </cfRule>
  </conditionalFormatting>
  <conditionalFormatting sqref="B193">
    <cfRule type="expression" dxfId="1666" priority="1588">
      <formula>G193="n"</formula>
    </cfRule>
  </conditionalFormatting>
  <conditionalFormatting sqref="C193">
    <cfRule type="expression" dxfId="1665" priority="1587">
      <formula>G193="n"</formula>
    </cfRule>
  </conditionalFormatting>
  <conditionalFormatting sqref="A194">
    <cfRule type="expression" dxfId="1664" priority="1586">
      <formula>G194="n"</formula>
    </cfRule>
  </conditionalFormatting>
  <conditionalFormatting sqref="B194">
    <cfRule type="expression" dxfId="1663" priority="1585">
      <formula>G194="n"</formula>
    </cfRule>
  </conditionalFormatting>
  <conditionalFormatting sqref="C194">
    <cfRule type="expression" dxfId="1662" priority="1584">
      <formula>G194="n"</formula>
    </cfRule>
  </conditionalFormatting>
  <conditionalFormatting sqref="A194">
    <cfRule type="expression" dxfId="1661" priority="1583">
      <formula>G194="n"</formula>
    </cfRule>
  </conditionalFormatting>
  <conditionalFormatting sqref="B194">
    <cfRule type="expression" dxfId="1660" priority="1582">
      <formula>G194="n"</formula>
    </cfRule>
  </conditionalFormatting>
  <conditionalFormatting sqref="C194">
    <cfRule type="expression" dxfId="1659" priority="1581">
      <formula>G194="n"</formula>
    </cfRule>
  </conditionalFormatting>
  <conditionalFormatting sqref="A195">
    <cfRule type="expression" dxfId="1658" priority="1580">
      <formula>G195="n"</formula>
    </cfRule>
  </conditionalFormatting>
  <conditionalFormatting sqref="B195">
    <cfRule type="expression" dxfId="1657" priority="1579">
      <formula>G195="n"</formula>
    </cfRule>
  </conditionalFormatting>
  <conditionalFormatting sqref="C195">
    <cfRule type="expression" dxfId="1656" priority="1578">
      <formula>G195="n"</formula>
    </cfRule>
  </conditionalFormatting>
  <conditionalFormatting sqref="A195">
    <cfRule type="expression" dxfId="1655" priority="1577">
      <formula>G195="n"</formula>
    </cfRule>
  </conditionalFormatting>
  <conditionalFormatting sqref="B195">
    <cfRule type="expression" dxfId="1654" priority="1576">
      <formula>G195="n"</formula>
    </cfRule>
  </conditionalFormatting>
  <conditionalFormatting sqref="C195">
    <cfRule type="expression" dxfId="1653" priority="1575">
      <formula>G195="n"</formula>
    </cfRule>
  </conditionalFormatting>
  <conditionalFormatting sqref="A197">
    <cfRule type="expression" dxfId="1652" priority="1574">
      <formula>G197="n"</formula>
    </cfRule>
  </conditionalFormatting>
  <conditionalFormatting sqref="B197">
    <cfRule type="expression" dxfId="1651" priority="1573">
      <formula>G197="n"</formula>
    </cfRule>
  </conditionalFormatting>
  <conditionalFormatting sqref="C197">
    <cfRule type="expression" dxfId="1650" priority="1572">
      <formula>G197="n"</formula>
    </cfRule>
  </conditionalFormatting>
  <conditionalFormatting sqref="A197">
    <cfRule type="expression" dxfId="1649" priority="1571">
      <formula>G197="n"</formula>
    </cfRule>
  </conditionalFormatting>
  <conditionalFormatting sqref="B197">
    <cfRule type="expression" dxfId="1648" priority="1570">
      <formula>G197="n"</formula>
    </cfRule>
  </conditionalFormatting>
  <conditionalFormatting sqref="C197">
    <cfRule type="expression" dxfId="1647" priority="1569">
      <formula>G197="n"</formula>
    </cfRule>
  </conditionalFormatting>
  <conditionalFormatting sqref="A198">
    <cfRule type="expression" dxfId="1646" priority="1568">
      <formula>G198="n"</formula>
    </cfRule>
  </conditionalFormatting>
  <conditionalFormatting sqref="B198">
    <cfRule type="expression" dxfId="1645" priority="1567">
      <formula>G198="n"</formula>
    </cfRule>
  </conditionalFormatting>
  <conditionalFormatting sqref="C198">
    <cfRule type="expression" dxfId="1644" priority="1566">
      <formula>G198="n"</formula>
    </cfRule>
  </conditionalFormatting>
  <conditionalFormatting sqref="A198">
    <cfRule type="expression" dxfId="1643" priority="1565">
      <formula>G198="n"</formula>
    </cfRule>
  </conditionalFormatting>
  <conditionalFormatting sqref="B198">
    <cfRule type="expression" dxfId="1642" priority="1564">
      <formula>G198="n"</formula>
    </cfRule>
  </conditionalFormatting>
  <conditionalFormatting sqref="C198">
    <cfRule type="expression" dxfId="1641" priority="1563">
      <formula>G198="n"</formula>
    </cfRule>
  </conditionalFormatting>
  <conditionalFormatting sqref="E201">
    <cfRule type="expression" dxfId="1640" priority="1562">
      <formula>G201="n"</formula>
    </cfRule>
  </conditionalFormatting>
  <conditionalFormatting sqref="F201">
    <cfRule type="expression" dxfId="1639" priority="1559">
      <formula>G201="n"</formula>
    </cfRule>
  </conditionalFormatting>
  <conditionalFormatting sqref="E202">
    <cfRule type="expression" dxfId="1638" priority="1558">
      <formula>G202="n"</formula>
    </cfRule>
  </conditionalFormatting>
  <conditionalFormatting sqref="F202">
    <cfRule type="expression" dxfId="1637" priority="1555">
      <formula>G202="n"</formula>
    </cfRule>
  </conditionalFormatting>
  <conditionalFormatting sqref="E203">
    <cfRule type="expression" dxfId="1636" priority="1554">
      <formula>G203="n"</formula>
    </cfRule>
  </conditionalFormatting>
  <conditionalFormatting sqref="F203">
    <cfRule type="expression" dxfId="1635" priority="1551">
      <formula>G203="n"</formula>
    </cfRule>
  </conditionalFormatting>
  <conditionalFormatting sqref="E204">
    <cfRule type="expression" dxfId="1634" priority="1550">
      <formula>G204="n"</formula>
    </cfRule>
  </conditionalFormatting>
  <conditionalFormatting sqref="F204">
    <cfRule type="expression" dxfId="1633" priority="1547">
      <formula>G204="n"</formula>
    </cfRule>
  </conditionalFormatting>
  <conditionalFormatting sqref="E205">
    <cfRule type="expression" dxfId="1632" priority="1546">
      <formula>G205="n"</formula>
    </cfRule>
  </conditionalFormatting>
  <conditionalFormatting sqref="F205">
    <cfRule type="expression" dxfId="1631" priority="1543">
      <formula>G205="n"</formula>
    </cfRule>
  </conditionalFormatting>
  <conditionalFormatting sqref="E206">
    <cfRule type="expression" dxfId="1630" priority="1542">
      <formula>G206="n"</formula>
    </cfRule>
  </conditionalFormatting>
  <conditionalFormatting sqref="F206">
    <cfRule type="expression" dxfId="1629" priority="1539">
      <formula>G206="n"</formula>
    </cfRule>
  </conditionalFormatting>
  <conditionalFormatting sqref="E207">
    <cfRule type="expression" dxfId="1628" priority="1538">
      <formula>G207="n"</formula>
    </cfRule>
  </conditionalFormatting>
  <conditionalFormatting sqref="F207">
    <cfRule type="expression" dxfId="1627" priority="1535">
      <formula>G207="n"</formula>
    </cfRule>
  </conditionalFormatting>
  <conditionalFormatting sqref="E208">
    <cfRule type="expression" dxfId="1626" priority="1534">
      <formula>G208="n"</formula>
    </cfRule>
  </conditionalFormatting>
  <conditionalFormatting sqref="F208">
    <cfRule type="expression" dxfId="1625" priority="1531">
      <formula>G208="n"</formula>
    </cfRule>
  </conditionalFormatting>
  <conditionalFormatting sqref="E209">
    <cfRule type="expression" dxfId="1624" priority="1530">
      <formula>G209="n"</formula>
    </cfRule>
  </conditionalFormatting>
  <conditionalFormatting sqref="F209">
    <cfRule type="expression" dxfId="1623" priority="1527">
      <formula>G209="n"</formula>
    </cfRule>
  </conditionalFormatting>
  <conditionalFormatting sqref="E210">
    <cfRule type="expression" dxfId="1622" priority="1526">
      <formula>G210="n"</formula>
    </cfRule>
  </conditionalFormatting>
  <conditionalFormatting sqref="F210">
    <cfRule type="expression" dxfId="1621" priority="1523">
      <formula>G210="n"</formula>
    </cfRule>
  </conditionalFormatting>
  <conditionalFormatting sqref="E211">
    <cfRule type="expression" dxfId="1620" priority="1522">
      <formula>G211="n"</formula>
    </cfRule>
  </conditionalFormatting>
  <conditionalFormatting sqref="F211">
    <cfRule type="expression" dxfId="1619" priority="1519">
      <formula>G211="n"</formula>
    </cfRule>
  </conditionalFormatting>
  <conditionalFormatting sqref="E212">
    <cfRule type="expression" dxfId="1618" priority="1518">
      <formula>G212="n"</formula>
    </cfRule>
  </conditionalFormatting>
  <conditionalFormatting sqref="F212">
    <cfRule type="expression" dxfId="1617" priority="1515">
      <formula>G212="n"</formula>
    </cfRule>
  </conditionalFormatting>
  <conditionalFormatting sqref="E213">
    <cfRule type="expression" dxfId="1616" priority="1514">
      <formula>G213="n"</formula>
    </cfRule>
  </conditionalFormatting>
  <conditionalFormatting sqref="F213">
    <cfRule type="expression" dxfId="1615" priority="1511">
      <formula>G213="n"</formula>
    </cfRule>
  </conditionalFormatting>
  <conditionalFormatting sqref="E214">
    <cfRule type="expression" dxfId="1614" priority="1510">
      <formula>G214="n"</formula>
    </cfRule>
  </conditionalFormatting>
  <conditionalFormatting sqref="F214">
    <cfRule type="expression" dxfId="1613" priority="1507">
      <formula>G214="n"</formula>
    </cfRule>
  </conditionalFormatting>
  <conditionalFormatting sqref="E215">
    <cfRule type="expression" dxfId="1612" priority="1506">
      <formula>G215="n"</formula>
    </cfRule>
  </conditionalFormatting>
  <conditionalFormatting sqref="F215">
    <cfRule type="expression" dxfId="1611" priority="1503">
      <formula>G215="n"</formula>
    </cfRule>
  </conditionalFormatting>
  <conditionalFormatting sqref="E216">
    <cfRule type="expression" dxfId="1610" priority="1502">
      <formula>G216="n"</formula>
    </cfRule>
  </conditionalFormatting>
  <conditionalFormatting sqref="F216">
    <cfRule type="expression" dxfId="1609" priority="1499">
      <formula>G216="n"</formula>
    </cfRule>
  </conditionalFormatting>
  <conditionalFormatting sqref="E217">
    <cfRule type="expression" dxfId="1608" priority="1498">
      <formula>G217="n"</formula>
    </cfRule>
  </conditionalFormatting>
  <conditionalFormatting sqref="F217">
    <cfRule type="expression" dxfId="1607" priority="1495">
      <formula>G217="n"</formula>
    </cfRule>
  </conditionalFormatting>
  <conditionalFormatting sqref="E218">
    <cfRule type="expression" dxfId="1606" priority="1494">
      <formula>G218="n"</formula>
    </cfRule>
  </conditionalFormatting>
  <conditionalFormatting sqref="F218">
    <cfRule type="expression" dxfId="1605" priority="1491">
      <formula>G218="n"</formula>
    </cfRule>
  </conditionalFormatting>
  <conditionalFormatting sqref="E219">
    <cfRule type="expression" dxfId="1604" priority="1490">
      <formula>G219="n"</formula>
    </cfRule>
  </conditionalFormatting>
  <conditionalFormatting sqref="F219">
    <cfRule type="expression" dxfId="1603" priority="1487">
      <formula>G219="n"</formula>
    </cfRule>
  </conditionalFormatting>
  <conditionalFormatting sqref="E220">
    <cfRule type="expression" dxfId="1602" priority="1486">
      <formula>G220="n"</formula>
    </cfRule>
  </conditionalFormatting>
  <conditionalFormatting sqref="F220">
    <cfRule type="expression" dxfId="1601" priority="1483">
      <formula>G220="n"</formula>
    </cfRule>
  </conditionalFormatting>
  <conditionalFormatting sqref="E221">
    <cfRule type="expression" dxfId="1600" priority="1482">
      <formula>G221="n"</formula>
    </cfRule>
  </conditionalFormatting>
  <conditionalFormatting sqref="F221">
    <cfRule type="expression" dxfId="1599" priority="1479">
      <formula>G221="n"</formula>
    </cfRule>
  </conditionalFormatting>
  <conditionalFormatting sqref="E222">
    <cfRule type="expression" dxfId="1598" priority="1478">
      <formula>G222="n"</formula>
    </cfRule>
  </conditionalFormatting>
  <conditionalFormatting sqref="F222">
    <cfRule type="expression" dxfId="1597" priority="1475">
      <formula>G222="n"</formula>
    </cfRule>
  </conditionalFormatting>
  <conditionalFormatting sqref="E223">
    <cfRule type="expression" dxfId="1596" priority="1474">
      <formula>G223="n"</formula>
    </cfRule>
  </conditionalFormatting>
  <conditionalFormatting sqref="F223">
    <cfRule type="expression" dxfId="1595" priority="1471">
      <formula>G223="n"</formula>
    </cfRule>
  </conditionalFormatting>
  <conditionalFormatting sqref="E224">
    <cfRule type="expression" dxfId="1594" priority="1470">
      <formula>G224="n"</formula>
    </cfRule>
  </conditionalFormatting>
  <conditionalFormatting sqref="F224">
    <cfRule type="expression" dxfId="1593" priority="1467">
      <formula>G224="n"</formula>
    </cfRule>
  </conditionalFormatting>
  <conditionalFormatting sqref="E225">
    <cfRule type="expression" dxfId="1592" priority="1466">
      <formula>G225="n"</formula>
    </cfRule>
  </conditionalFormatting>
  <conditionalFormatting sqref="F225">
    <cfRule type="expression" dxfId="1591" priority="1463">
      <formula>G225="n"</formula>
    </cfRule>
  </conditionalFormatting>
  <conditionalFormatting sqref="E226">
    <cfRule type="expression" dxfId="1590" priority="1462">
      <formula>G226="n"</formula>
    </cfRule>
  </conditionalFormatting>
  <conditionalFormatting sqref="F226">
    <cfRule type="expression" dxfId="1589" priority="1459">
      <formula>G226="n"</formula>
    </cfRule>
  </conditionalFormatting>
  <conditionalFormatting sqref="E227">
    <cfRule type="expression" dxfId="1588" priority="1458">
      <formula>G227="n"</formula>
    </cfRule>
  </conditionalFormatting>
  <conditionalFormatting sqref="F227">
    <cfRule type="expression" dxfId="1587" priority="1455">
      <formula>G227="n"</formula>
    </cfRule>
  </conditionalFormatting>
  <conditionalFormatting sqref="E228">
    <cfRule type="expression" dxfId="1586" priority="1454">
      <formula>G228="n"</formula>
    </cfRule>
  </conditionalFormatting>
  <conditionalFormatting sqref="F228">
    <cfRule type="expression" dxfId="1585" priority="1451">
      <formula>G228="n"</formula>
    </cfRule>
  </conditionalFormatting>
  <conditionalFormatting sqref="A201">
    <cfRule type="expression" dxfId="1584" priority="1450">
      <formula>G201="n"</formula>
    </cfRule>
  </conditionalFormatting>
  <conditionalFormatting sqref="B201">
    <cfRule type="expression" dxfId="1583" priority="1449">
      <formula>G201="n"</formula>
    </cfRule>
  </conditionalFormatting>
  <conditionalFormatting sqref="C201">
    <cfRule type="expression" dxfId="1582" priority="1448">
      <formula>G201="n"</formula>
    </cfRule>
  </conditionalFormatting>
  <conditionalFormatting sqref="A201">
    <cfRule type="expression" dxfId="1581" priority="1447">
      <formula>G201="n"</formula>
    </cfRule>
  </conditionalFormatting>
  <conditionalFormatting sqref="B201">
    <cfRule type="expression" dxfId="1580" priority="1446">
      <formula>G201="n"</formula>
    </cfRule>
  </conditionalFormatting>
  <conditionalFormatting sqref="C201">
    <cfRule type="expression" dxfId="1579" priority="1445">
      <formula>G201="n"</formula>
    </cfRule>
  </conditionalFormatting>
  <conditionalFormatting sqref="A202">
    <cfRule type="expression" dxfId="1578" priority="1444">
      <formula>G202="n"</formula>
    </cfRule>
  </conditionalFormatting>
  <conditionalFormatting sqref="B202">
    <cfRule type="expression" dxfId="1577" priority="1443">
      <formula>G202="n"</formula>
    </cfRule>
  </conditionalFormatting>
  <conditionalFormatting sqref="C202">
    <cfRule type="expression" dxfId="1576" priority="1442">
      <formula>G202="n"</formula>
    </cfRule>
  </conditionalFormatting>
  <conditionalFormatting sqref="A202">
    <cfRule type="expression" dxfId="1575" priority="1441">
      <formula>G202="n"</formula>
    </cfRule>
  </conditionalFormatting>
  <conditionalFormatting sqref="B202">
    <cfRule type="expression" dxfId="1574" priority="1440">
      <formula>G202="n"</formula>
    </cfRule>
  </conditionalFormatting>
  <conditionalFormatting sqref="C202">
    <cfRule type="expression" dxfId="1573" priority="1439">
      <formula>G202="n"</formula>
    </cfRule>
  </conditionalFormatting>
  <conditionalFormatting sqref="A203">
    <cfRule type="expression" dxfId="1572" priority="1438">
      <formula>G203="n"</formula>
    </cfRule>
  </conditionalFormatting>
  <conditionalFormatting sqref="B203">
    <cfRule type="expression" dxfId="1571" priority="1437">
      <formula>G203="n"</formula>
    </cfRule>
  </conditionalFormatting>
  <conditionalFormatting sqref="C203">
    <cfRule type="expression" dxfId="1570" priority="1436">
      <formula>G203="n"</formula>
    </cfRule>
  </conditionalFormatting>
  <conditionalFormatting sqref="A203">
    <cfRule type="expression" dxfId="1569" priority="1435">
      <formula>G203="n"</formula>
    </cfRule>
  </conditionalFormatting>
  <conditionalFormatting sqref="B203">
    <cfRule type="expression" dxfId="1568" priority="1434">
      <formula>G203="n"</formula>
    </cfRule>
  </conditionalFormatting>
  <conditionalFormatting sqref="C203">
    <cfRule type="expression" dxfId="1567" priority="1433">
      <formula>G203="n"</formula>
    </cfRule>
  </conditionalFormatting>
  <conditionalFormatting sqref="A204">
    <cfRule type="expression" dxfId="1566" priority="1432">
      <formula>G204="n"</formula>
    </cfRule>
  </conditionalFormatting>
  <conditionalFormatting sqref="B204">
    <cfRule type="expression" dxfId="1565" priority="1431">
      <formula>G204="n"</formula>
    </cfRule>
  </conditionalFormatting>
  <conditionalFormatting sqref="C204">
    <cfRule type="expression" dxfId="1564" priority="1430">
      <formula>G204="n"</formula>
    </cfRule>
  </conditionalFormatting>
  <conditionalFormatting sqref="A204">
    <cfRule type="expression" dxfId="1563" priority="1429">
      <formula>G204="n"</formula>
    </cfRule>
  </conditionalFormatting>
  <conditionalFormatting sqref="B204">
    <cfRule type="expression" dxfId="1562" priority="1428">
      <formula>G204="n"</formula>
    </cfRule>
  </conditionalFormatting>
  <conditionalFormatting sqref="C204">
    <cfRule type="expression" dxfId="1561" priority="1427">
      <formula>G204="n"</formula>
    </cfRule>
  </conditionalFormatting>
  <conditionalFormatting sqref="A205">
    <cfRule type="expression" dxfId="1560" priority="1426">
      <formula>G205="n"</formula>
    </cfRule>
  </conditionalFormatting>
  <conditionalFormatting sqref="B205">
    <cfRule type="expression" dxfId="1559" priority="1425">
      <formula>G205="n"</formula>
    </cfRule>
  </conditionalFormatting>
  <conditionalFormatting sqref="C205">
    <cfRule type="expression" dxfId="1558" priority="1424">
      <formula>G205="n"</formula>
    </cfRule>
  </conditionalFormatting>
  <conditionalFormatting sqref="A205">
    <cfRule type="expression" dxfId="1557" priority="1423">
      <formula>G205="n"</formula>
    </cfRule>
  </conditionalFormatting>
  <conditionalFormatting sqref="B205">
    <cfRule type="expression" dxfId="1556" priority="1422">
      <formula>G205="n"</formula>
    </cfRule>
  </conditionalFormatting>
  <conditionalFormatting sqref="C205">
    <cfRule type="expression" dxfId="1555" priority="1421">
      <formula>G205="n"</formula>
    </cfRule>
  </conditionalFormatting>
  <conditionalFormatting sqref="A206">
    <cfRule type="expression" dxfId="1554" priority="1420">
      <formula>G206="n"</formula>
    </cfRule>
  </conditionalFormatting>
  <conditionalFormatting sqref="B206">
    <cfRule type="expression" dxfId="1553" priority="1419">
      <formula>G206="n"</formula>
    </cfRule>
  </conditionalFormatting>
  <conditionalFormatting sqref="C206">
    <cfRule type="expression" dxfId="1552" priority="1418">
      <formula>G206="n"</formula>
    </cfRule>
  </conditionalFormatting>
  <conditionalFormatting sqref="A206">
    <cfRule type="expression" dxfId="1551" priority="1417">
      <formula>G206="n"</formula>
    </cfRule>
  </conditionalFormatting>
  <conditionalFormatting sqref="B206">
    <cfRule type="expression" dxfId="1550" priority="1416">
      <formula>G206="n"</formula>
    </cfRule>
  </conditionalFormatting>
  <conditionalFormatting sqref="C206">
    <cfRule type="expression" dxfId="1549" priority="1415">
      <formula>G206="n"</formula>
    </cfRule>
  </conditionalFormatting>
  <conditionalFormatting sqref="A207">
    <cfRule type="expression" dxfId="1548" priority="1414">
      <formula>G207="n"</formula>
    </cfRule>
  </conditionalFormatting>
  <conditionalFormatting sqref="B207">
    <cfRule type="expression" dxfId="1547" priority="1413">
      <formula>G207="n"</formula>
    </cfRule>
  </conditionalFormatting>
  <conditionalFormatting sqref="C207">
    <cfRule type="expression" dxfId="1546" priority="1412">
      <formula>G207="n"</formula>
    </cfRule>
  </conditionalFormatting>
  <conditionalFormatting sqref="A207">
    <cfRule type="expression" dxfId="1545" priority="1411">
      <formula>G207="n"</formula>
    </cfRule>
  </conditionalFormatting>
  <conditionalFormatting sqref="B207">
    <cfRule type="expression" dxfId="1544" priority="1410">
      <formula>G207="n"</formula>
    </cfRule>
  </conditionalFormatting>
  <conditionalFormatting sqref="C207">
    <cfRule type="expression" dxfId="1543" priority="1409">
      <formula>G207="n"</formula>
    </cfRule>
  </conditionalFormatting>
  <conditionalFormatting sqref="A208">
    <cfRule type="expression" dxfId="1542" priority="1408">
      <formula>G208="n"</formula>
    </cfRule>
  </conditionalFormatting>
  <conditionalFormatting sqref="B208">
    <cfRule type="expression" dxfId="1541" priority="1407">
      <formula>G208="n"</formula>
    </cfRule>
  </conditionalFormatting>
  <conditionalFormatting sqref="C208">
    <cfRule type="expression" dxfId="1540" priority="1406">
      <formula>G208="n"</formula>
    </cfRule>
  </conditionalFormatting>
  <conditionalFormatting sqref="A208">
    <cfRule type="expression" dxfId="1539" priority="1405">
      <formula>G208="n"</formula>
    </cfRule>
  </conditionalFormatting>
  <conditionalFormatting sqref="B208">
    <cfRule type="expression" dxfId="1538" priority="1404">
      <formula>G208="n"</formula>
    </cfRule>
  </conditionalFormatting>
  <conditionalFormatting sqref="C208">
    <cfRule type="expression" dxfId="1537" priority="1403">
      <formula>G208="n"</formula>
    </cfRule>
  </conditionalFormatting>
  <conditionalFormatting sqref="A209">
    <cfRule type="expression" dxfId="1536" priority="1402">
      <formula>G209="n"</formula>
    </cfRule>
  </conditionalFormatting>
  <conditionalFormatting sqref="B209">
    <cfRule type="expression" dxfId="1535" priority="1401">
      <formula>G209="n"</formula>
    </cfRule>
  </conditionalFormatting>
  <conditionalFormatting sqref="C209">
    <cfRule type="expression" dxfId="1534" priority="1400">
      <formula>G209="n"</formula>
    </cfRule>
  </conditionalFormatting>
  <conditionalFormatting sqref="A209">
    <cfRule type="expression" dxfId="1533" priority="1399">
      <formula>G209="n"</formula>
    </cfRule>
  </conditionalFormatting>
  <conditionalFormatting sqref="B209">
    <cfRule type="expression" dxfId="1532" priority="1398">
      <formula>G209="n"</formula>
    </cfRule>
  </conditionalFormatting>
  <conditionalFormatting sqref="C209">
    <cfRule type="expression" dxfId="1531" priority="1397">
      <formula>G209="n"</formula>
    </cfRule>
  </conditionalFormatting>
  <conditionalFormatting sqref="A210">
    <cfRule type="expression" dxfId="1530" priority="1396">
      <formula>G210="n"</formula>
    </cfRule>
  </conditionalFormatting>
  <conditionalFormatting sqref="B210">
    <cfRule type="expression" dxfId="1529" priority="1395">
      <formula>G210="n"</formula>
    </cfRule>
  </conditionalFormatting>
  <conditionalFormatting sqref="C210">
    <cfRule type="expression" dxfId="1528" priority="1394">
      <formula>G210="n"</formula>
    </cfRule>
  </conditionalFormatting>
  <conditionalFormatting sqref="A210">
    <cfRule type="expression" dxfId="1527" priority="1393">
      <formula>G210="n"</formula>
    </cfRule>
  </conditionalFormatting>
  <conditionalFormatting sqref="B210">
    <cfRule type="expression" dxfId="1526" priority="1392">
      <formula>G210="n"</formula>
    </cfRule>
  </conditionalFormatting>
  <conditionalFormatting sqref="C210">
    <cfRule type="expression" dxfId="1525" priority="1391">
      <formula>G210="n"</formula>
    </cfRule>
  </conditionalFormatting>
  <conditionalFormatting sqref="A211">
    <cfRule type="expression" dxfId="1524" priority="1390">
      <formula>G211="n"</formula>
    </cfRule>
  </conditionalFormatting>
  <conditionalFormatting sqref="B211">
    <cfRule type="expression" dxfId="1523" priority="1389">
      <formula>G211="n"</formula>
    </cfRule>
  </conditionalFormatting>
  <conditionalFormatting sqref="C211">
    <cfRule type="expression" dxfId="1522" priority="1388">
      <formula>G211="n"</formula>
    </cfRule>
  </conditionalFormatting>
  <conditionalFormatting sqref="A211">
    <cfRule type="expression" dxfId="1521" priority="1387">
      <formula>G211="n"</formula>
    </cfRule>
  </conditionalFormatting>
  <conditionalFormatting sqref="B211">
    <cfRule type="expression" dxfId="1520" priority="1386">
      <formula>G211="n"</formula>
    </cfRule>
  </conditionalFormatting>
  <conditionalFormatting sqref="C211">
    <cfRule type="expression" dxfId="1519" priority="1385">
      <formula>G211="n"</formula>
    </cfRule>
  </conditionalFormatting>
  <conditionalFormatting sqref="A212">
    <cfRule type="expression" dxfId="1518" priority="1384">
      <formula>G212="n"</formula>
    </cfRule>
  </conditionalFormatting>
  <conditionalFormatting sqref="B212">
    <cfRule type="expression" dxfId="1517" priority="1383">
      <formula>G212="n"</formula>
    </cfRule>
  </conditionalFormatting>
  <conditionalFormatting sqref="C212">
    <cfRule type="expression" dxfId="1516" priority="1382">
      <formula>G212="n"</formula>
    </cfRule>
  </conditionalFormatting>
  <conditionalFormatting sqref="A212">
    <cfRule type="expression" dxfId="1515" priority="1381">
      <formula>G212="n"</formula>
    </cfRule>
  </conditionalFormatting>
  <conditionalFormatting sqref="B212">
    <cfRule type="expression" dxfId="1514" priority="1380">
      <formula>G212="n"</formula>
    </cfRule>
  </conditionalFormatting>
  <conditionalFormatting sqref="C212">
    <cfRule type="expression" dxfId="1513" priority="1379">
      <formula>G212="n"</formula>
    </cfRule>
  </conditionalFormatting>
  <conditionalFormatting sqref="A213">
    <cfRule type="expression" dxfId="1512" priority="1378">
      <formula>G213="n"</formula>
    </cfRule>
  </conditionalFormatting>
  <conditionalFormatting sqref="B213">
    <cfRule type="expression" dxfId="1511" priority="1377">
      <formula>G213="n"</formula>
    </cfRule>
  </conditionalFormatting>
  <conditionalFormatting sqref="C213">
    <cfRule type="expression" dxfId="1510" priority="1376">
      <formula>G213="n"</formula>
    </cfRule>
  </conditionalFormatting>
  <conditionalFormatting sqref="A213">
    <cfRule type="expression" dxfId="1509" priority="1375">
      <formula>G213="n"</formula>
    </cfRule>
  </conditionalFormatting>
  <conditionalFormatting sqref="B213">
    <cfRule type="expression" dxfId="1508" priority="1374">
      <formula>G213="n"</formula>
    </cfRule>
  </conditionalFormatting>
  <conditionalFormatting sqref="C213">
    <cfRule type="expression" dxfId="1507" priority="1373">
      <formula>G213="n"</formula>
    </cfRule>
  </conditionalFormatting>
  <conditionalFormatting sqref="A214">
    <cfRule type="expression" dxfId="1506" priority="1372">
      <formula>G214="n"</formula>
    </cfRule>
  </conditionalFormatting>
  <conditionalFormatting sqref="B214">
    <cfRule type="expression" dxfId="1505" priority="1371">
      <formula>G214="n"</formula>
    </cfRule>
  </conditionalFormatting>
  <conditionalFormatting sqref="C214">
    <cfRule type="expression" dxfId="1504" priority="1370">
      <formula>G214="n"</formula>
    </cfRule>
  </conditionalFormatting>
  <conditionalFormatting sqref="A214">
    <cfRule type="expression" dxfId="1503" priority="1369">
      <formula>G214="n"</formula>
    </cfRule>
  </conditionalFormatting>
  <conditionalFormatting sqref="B214">
    <cfRule type="expression" dxfId="1502" priority="1368">
      <formula>G214="n"</formula>
    </cfRule>
  </conditionalFormatting>
  <conditionalFormatting sqref="C214">
    <cfRule type="expression" dxfId="1501" priority="1367">
      <formula>G214="n"</formula>
    </cfRule>
  </conditionalFormatting>
  <conditionalFormatting sqref="A215">
    <cfRule type="expression" dxfId="1500" priority="1366">
      <formula>G215="n"</formula>
    </cfRule>
  </conditionalFormatting>
  <conditionalFormatting sqref="B215">
    <cfRule type="expression" dxfId="1499" priority="1365">
      <formula>G215="n"</formula>
    </cfRule>
  </conditionalFormatting>
  <conditionalFormatting sqref="C215">
    <cfRule type="expression" dxfId="1498" priority="1364">
      <formula>G215="n"</formula>
    </cfRule>
  </conditionalFormatting>
  <conditionalFormatting sqref="A215">
    <cfRule type="expression" dxfId="1497" priority="1363">
      <formula>G215="n"</formula>
    </cfRule>
  </conditionalFormatting>
  <conditionalFormatting sqref="B215">
    <cfRule type="expression" dxfId="1496" priority="1362">
      <formula>G215="n"</formula>
    </cfRule>
  </conditionalFormatting>
  <conditionalFormatting sqref="C215">
    <cfRule type="expression" dxfId="1495" priority="1361">
      <formula>G215="n"</formula>
    </cfRule>
  </conditionalFormatting>
  <conditionalFormatting sqref="A216">
    <cfRule type="expression" dxfId="1494" priority="1360">
      <formula>G216="n"</formula>
    </cfRule>
  </conditionalFormatting>
  <conditionalFormatting sqref="B216">
    <cfRule type="expression" dxfId="1493" priority="1359">
      <formula>G216="n"</formula>
    </cfRule>
  </conditionalFormatting>
  <conditionalFormatting sqref="C216">
    <cfRule type="expression" dxfId="1492" priority="1358">
      <formula>G216="n"</formula>
    </cfRule>
  </conditionalFormatting>
  <conditionalFormatting sqref="A216">
    <cfRule type="expression" dxfId="1491" priority="1357">
      <formula>G216="n"</formula>
    </cfRule>
  </conditionalFormatting>
  <conditionalFormatting sqref="B216">
    <cfRule type="expression" dxfId="1490" priority="1356">
      <formula>G216="n"</formula>
    </cfRule>
  </conditionalFormatting>
  <conditionalFormatting sqref="C216">
    <cfRule type="expression" dxfId="1489" priority="1355">
      <formula>G216="n"</formula>
    </cfRule>
  </conditionalFormatting>
  <conditionalFormatting sqref="A217">
    <cfRule type="expression" dxfId="1488" priority="1354">
      <formula>G217="n"</formula>
    </cfRule>
  </conditionalFormatting>
  <conditionalFormatting sqref="B217">
    <cfRule type="expression" dxfId="1487" priority="1353">
      <formula>G217="n"</formula>
    </cfRule>
  </conditionalFormatting>
  <conditionalFormatting sqref="C217">
    <cfRule type="expression" dxfId="1486" priority="1352">
      <formula>G217="n"</formula>
    </cfRule>
  </conditionalFormatting>
  <conditionalFormatting sqref="A217">
    <cfRule type="expression" dxfId="1485" priority="1351">
      <formula>G217="n"</formula>
    </cfRule>
  </conditionalFormatting>
  <conditionalFormatting sqref="B217">
    <cfRule type="expression" dxfId="1484" priority="1350">
      <formula>G217="n"</formula>
    </cfRule>
  </conditionalFormatting>
  <conditionalFormatting sqref="C217">
    <cfRule type="expression" dxfId="1483" priority="1349">
      <formula>G217="n"</formula>
    </cfRule>
  </conditionalFormatting>
  <conditionalFormatting sqref="A218">
    <cfRule type="expression" dxfId="1482" priority="1348">
      <formula>G218="n"</formula>
    </cfRule>
  </conditionalFormatting>
  <conditionalFormatting sqref="B218">
    <cfRule type="expression" dxfId="1481" priority="1347">
      <formula>G218="n"</formula>
    </cfRule>
  </conditionalFormatting>
  <conditionalFormatting sqref="C218">
    <cfRule type="expression" dxfId="1480" priority="1346">
      <formula>G218="n"</formula>
    </cfRule>
  </conditionalFormatting>
  <conditionalFormatting sqref="A218">
    <cfRule type="expression" dxfId="1479" priority="1345">
      <formula>G218="n"</formula>
    </cfRule>
  </conditionalFormatting>
  <conditionalFormatting sqref="B218">
    <cfRule type="expression" dxfId="1478" priority="1344">
      <formula>G218="n"</formula>
    </cfRule>
  </conditionalFormatting>
  <conditionalFormatting sqref="C218">
    <cfRule type="expression" dxfId="1477" priority="1343">
      <formula>G218="n"</formula>
    </cfRule>
  </conditionalFormatting>
  <conditionalFormatting sqref="A219">
    <cfRule type="expression" dxfId="1476" priority="1342">
      <formula>G219="n"</formula>
    </cfRule>
  </conditionalFormatting>
  <conditionalFormatting sqref="B219">
    <cfRule type="expression" dxfId="1475" priority="1341">
      <formula>G219="n"</formula>
    </cfRule>
  </conditionalFormatting>
  <conditionalFormatting sqref="C219">
    <cfRule type="expression" dxfId="1474" priority="1340">
      <formula>G219="n"</formula>
    </cfRule>
  </conditionalFormatting>
  <conditionalFormatting sqref="A219">
    <cfRule type="expression" dxfId="1473" priority="1339">
      <formula>G219="n"</formula>
    </cfRule>
  </conditionalFormatting>
  <conditionalFormatting sqref="B219">
    <cfRule type="expression" dxfId="1472" priority="1338">
      <formula>G219="n"</formula>
    </cfRule>
  </conditionalFormatting>
  <conditionalFormatting sqref="C219">
    <cfRule type="expression" dxfId="1471" priority="1337">
      <formula>G219="n"</formula>
    </cfRule>
  </conditionalFormatting>
  <conditionalFormatting sqref="A220">
    <cfRule type="expression" dxfId="1470" priority="1336">
      <formula>G220="n"</formula>
    </cfRule>
  </conditionalFormatting>
  <conditionalFormatting sqref="B220">
    <cfRule type="expression" dxfId="1469" priority="1335">
      <formula>G220="n"</formula>
    </cfRule>
  </conditionalFormatting>
  <conditionalFormatting sqref="C220">
    <cfRule type="expression" dxfId="1468" priority="1334">
      <formula>G220="n"</formula>
    </cfRule>
  </conditionalFormatting>
  <conditionalFormatting sqref="A220">
    <cfRule type="expression" dxfId="1467" priority="1333">
      <formula>G220="n"</formula>
    </cfRule>
  </conditionalFormatting>
  <conditionalFormatting sqref="B220">
    <cfRule type="expression" dxfId="1466" priority="1332">
      <formula>G220="n"</formula>
    </cfRule>
  </conditionalFormatting>
  <conditionalFormatting sqref="C220">
    <cfRule type="expression" dxfId="1465" priority="1331">
      <formula>G220="n"</formula>
    </cfRule>
  </conditionalFormatting>
  <conditionalFormatting sqref="A221">
    <cfRule type="expression" dxfId="1464" priority="1330">
      <formula>G221="n"</formula>
    </cfRule>
  </conditionalFormatting>
  <conditionalFormatting sqref="B221">
    <cfRule type="expression" dxfId="1463" priority="1329">
      <formula>G221="n"</formula>
    </cfRule>
  </conditionalFormatting>
  <conditionalFormatting sqref="C221">
    <cfRule type="expression" dxfId="1462" priority="1328">
      <formula>G221="n"</formula>
    </cfRule>
  </conditionalFormatting>
  <conditionalFormatting sqref="A221">
    <cfRule type="expression" dxfId="1461" priority="1327">
      <formula>G221="n"</formula>
    </cfRule>
  </conditionalFormatting>
  <conditionalFormatting sqref="B221">
    <cfRule type="expression" dxfId="1460" priority="1326">
      <formula>G221="n"</formula>
    </cfRule>
  </conditionalFormatting>
  <conditionalFormatting sqref="C221">
    <cfRule type="expression" dxfId="1459" priority="1325">
      <formula>G221="n"</formula>
    </cfRule>
  </conditionalFormatting>
  <conditionalFormatting sqref="A222">
    <cfRule type="expression" dxfId="1458" priority="1324">
      <formula>G222="n"</formula>
    </cfRule>
  </conditionalFormatting>
  <conditionalFormatting sqref="B222">
    <cfRule type="expression" dxfId="1457" priority="1323">
      <formula>G222="n"</formula>
    </cfRule>
  </conditionalFormatting>
  <conditionalFormatting sqref="C222">
    <cfRule type="expression" dxfId="1456" priority="1322">
      <formula>G222="n"</formula>
    </cfRule>
  </conditionalFormatting>
  <conditionalFormatting sqref="A222">
    <cfRule type="expression" dxfId="1455" priority="1321">
      <formula>G222="n"</formula>
    </cfRule>
  </conditionalFormatting>
  <conditionalFormatting sqref="B222">
    <cfRule type="expression" dxfId="1454" priority="1320">
      <formula>G222="n"</formula>
    </cfRule>
  </conditionalFormatting>
  <conditionalFormatting sqref="C222">
    <cfRule type="expression" dxfId="1453" priority="1319">
      <formula>G222="n"</formula>
    </cfRule>
  </conditionalFormatting>
  <conditionalFormatting sqref="A223">
    <cfRule type="expression" dxfId="1452" priority="1318">
      <formula>G223="n"</formula>
    </cfRule>
  </conditionalFormatting>
  <conditionalFormatting sqref="B223">
    <cfRule type="expression" dxfId="1451" priority="1317">
      <formula>G223="n"</formula>
    </cfRule>
  </conditionalFormatting>
  <conditionalFormatting sqref="C223">
    <cfRule type="expression" dxfId="1450" priority="1316">
      <formula>G223="n"</formula>
    </cfRule>
  </conditionalFormatting>
  <conditionalFormatting sqref="A223">
    <cfRule type="expression" dxfId="1449" priority="1315">
      <formula>G223="n"</formula>
    </cfRule>
  </conditionalFormatting>
  <conditionalFormatting sqref="B223">
    <cfRule type="expression" dxfId="1448" priority="1314">
      <formula>G223="n"</formula>
    </cfRule>
  </conditionalFormatting>
  <conditionalFormatting sqref="C223">
    <cfRule type="expression" dxfId="1447" priority="1313">
      <formula>G223="n"</formula>
    </cfRule>
  </conditionalFormatting>
  <conditionalFormatting sqref="A224">
    <cfRule type="expression" dxfId="1446" priority="1312">
      <formula>G224="n"</formula>
    </cfRule>
  </conditionalFormatting>
  <conditionalFormatting sqref="B224">
    <cfRule type="expression" dxfId="1445" priority="1311">
      <formula>G224="n"</formula>
    </cfRule>
  </conditionalFormatting>
  <conditionalFormatting sqref="C224">
    <cfRule type="expression" dxfId="1444" priority="1310">
      <formula>G224="n"</formula>
    </cfRule>
  </conditionalFormatting>
  <conditionalFormatting sqref="A224">
    <cfRule type="expression" dxfId="1443" priority="1309">
      <formula>G224="n"</formula>
    </cfRule>
  </conditionalFormatting>
  <conditionalFormatting sqref="B224">
    <cfRule type="expression" dxfId="1442" priority="1308">
      <formula>G224="n"</formula>
    </cfRule>
  </conditionalFormatting>
  <conditionalFormatting sqref="C224">
    <cfRule type="expression" dxfId="1441" priority="1307">
      <formula>G224="n"</formula>
    </cfRule>
  </conditionalFormatting>
  <conditionalFormatting sqref="A225">
    <cfRule type="expression" dxfId="1440" priority="1306">
      <formula>G225="n"</formula>
    </cfRule>
  </conditionalFormatting>
  <conditionalFormatting sqref="B225">
    <cfRule type="expression" dxfId="1439" priority="1305">
      <formula>G225="n"</formula>
    </cfRule>
  </conditionalFormatting>
  <conditionalFormatting sqref="C225">
    <cfRule type="expression" dxfId="1438" priority="1304">
      <formula>G225="n"</formula>
    </cfRule>
  </conditionalFormatting>
  <conditionalFormatting sqref="A225">
    <cfRule type="expression" dxfId="1437" priority="1303">
      <formula>G225="n"</formula>
    </cfRule>
  </conditionalFormatting>
  <conditionalFormatting sqref="B225">
    <cfRule type="expression" dxfId="1436" priority="1302">
      <formula>G225="n"</formula>
    </cfRule>
  </conditionalFormatting>
  <conditionalFormatting sqref="C225">
    <cfRule type="expression" dxfId="1435" priority="1301">
      <formula>G225="n"</formula>
    </cfRule>
  </conditionalFormatting>
  <conditionalFormatting sqref="A226">
    <cfRule type="expression" dxfId="1434" priority="1300">
      <formula>G226="n"</formula>
    </cfRule>
  </conditionalFormatting>
  <conditionalFormatting sqref="B226">
    <cfRule type="expression" dxfId="1433" priority="1299">
      <formula>G226="n"</formula>
    </cfRule>
  </conditionalFormatting>
  <conditionalFormatting sqref="C226">
    <cfRule type="expression" dxfId="1432" priority="1298">
      <formula>G226="n"</formula>
    </cfRule>
  </conditionalFormatting>
  <conditionalFormatting sqref="A226">
    <cfRule type="expression" dxfId="1431" priority="1297">
      <formula>G226="n"</formula>
    </cfRule>
  </conditionalFormatting>
  <conditionalFormatting sqref="B226">
    <cfRule type="expression" dxfId="1430" priority="1296">
      <formula>G226="n"</formula>
    </cfRule>
  </conditionalFormatting>
  <conditionalFormatting sqref="C226">
    <cfRule type="expression" dxfId="1429" priority="1295">
      <formula>G226="n"</formula>
    </cfRule>
  </conditionalFormatting>
  <conditionalFormatting sqref="A227">
    <cfRule type="expression" dxfId="1428" priority="1294">
      <formula>G227="n"</formula>
    </cfRule>
  </conditionalFormatting>
  <conditionalFormatting sqref="B227">
    <cfRule type="expression" dxfId="1427" priority="1293">
      <formula>G227="n"</formula>
    </cfRule>
  </conditionalFormatting>
  <conditionalFormatting sqref="C227">
    <cfRule type="expression" dxfId="1426" priority="1292">
      <formula>G227="n"</formula>
    </cfRule>
  </conditionalFormatting>
  <conditionalFormatting sqref="A227">
    <cfRule type="expression" dxfId="1425" priority="1291">
      <formula>G227="n"</formula>
    </cfRule>
  </conditionalFormatting>
  <conditionalFormatting sqref="B227">
    <cfRule type="expression" dxfId="1424" priority="1290">
      <formula>G227="n"</formula>
    </cfRule>
  </conditionalFormatting>
  <conditionalFormatting sqref="C227">
    <cfRule type="expression" dxfId="1423" priority="1289">
      <formula>G227="n"</formula>
    </cfRule>
  </conditionalFormatting>
  <conditionalFormatting sqref="A228">
    <cfRule type="expression" dxfId="1422" priority="1288">
      <formula>G228="n"</formula>
    </cfRule>
  </conditionalFormatting>
  <conditionalFormatting sqref="B228">
    <cfRule type="expression" dxfId="1421" priority="1287">
      <formula>G228="n"</formula>
    </cfRule>
  </conditionalFormatting>
  <conditionalFormatting sqref="C228">
    <cfRule type="expression" dxfId="1420" priority="1286">
      <formula>G228="n"</formula>
    </cfRule>
  </conditionalFormatting>
  <conditionalFormatting sqref="A228">
    <cfRule type="expression" dxfId="1419" priority="1285">
      <formula>G228="n"</formula>
    </cfRule>
  </conditionalFormatting>
  <conditionalFormatting sqref="B228">
    <cfRule type="expression" dxfId="1418" priority="1284">
      <formula>G228="n"</formula>
    </cfRule>
  </conditionalFormatting>
  <conditionalFormatting sqref="C228">
    <cfRule type="expression" dxfId="1417" priority="1283">
      <formula>G228="n"</formula>
    </cfRule>
  </conditionalFormatting>
  <conditionalFormatting sqref="A229">
    <cfRule type="expression" dxfId="1416" priority="1280">
      <formula>G229="n"</formula>
    </cfRule>
  </conditionalFormatting>
  <conditionalFormatting sqref="B229">
    <cfRule type="expression" dxfId="1415" priority="1279">
      <formula>G229="n"</formula>
    </cfRule>
  </conditionalFormatting>
  <conditionalFormatting sqref="D229">
    <cfRule type="expression" dxfId="1414" priority="1277">
      <formula>G229="n"</formula>
    </cfRule>
  </conditionalFormatting>
  <conditionalFormatting sqref="E229">
    <cfRule type="expression" dxfId="1413" priority="1276">
      <formula>G229="n"</formula>
    </cfRule>
  </conditionalFormatting>
  <conditionalFormatting sqref="A229">
    <cfRule type="expression" dxfId="1412" priority="1275">
      <formula>G229="n"</formula>
    </cfRule>
  </conditionalFormatting>
  <conditionalFormatting sqref="B229">
    <cfRule type="expression" dxfId="1411" priority="1274">
      <formula>G229="n"</formula>
    </cfRule>
  </conditionalFormatting>
  <conditionalFormatting sqref="D229">
    <cfRule type="expression" dxfId="1410" priority="1272">
      <formula>G229="n"</formula>
    </cfRule>
  </conditionalFormatting>
  <conditionalFormatting sqref="E229">
    <cfRule type="expression" dxfId="1409" priority="1271">
      <formula>G229="n"</formula>
    </cfRule>
  </conditionalFormatting>
  <conditionalFormatting sqref="F230">
    <cfRule type="expression" dxfId="1408" priority="1270">
      <formula>G230="n"</formula>
    </cfRule>
  </conditionalFormatting>
  <conditionalFormatting sqref="E230">
    <cfRule type="expression" dxfId="1407" priority="1269">
      <formula>G230="n"</formula>
    </cfRule>
  </conditionalFormatting>
  <conditionalFormatting sqref="A230">
    <cfRule type="expression" dxfId="1406" priority="1268">
      <formula>G230="n"</formula>
    </cfRule>
  </conditionalFormatting>
  <conditionalFormatting sqref="B230">
    <cfRule type="expression" dxfId="1405" priority="1267">
      <formula>G230="n"</formula>
    </cfRule>
  </conditionalFormatting>
  <conditionalFormatting sqref="C230">
    <cfRule type="expression" dxfId="1404" priority="1266">
      <formula>G230="n"</formula>
    </cfRule>
  </conditionalFormatting>
  <conditionalFormatting sqref="D230">
    <cfRule type="expression" dxfId="1403" priority="1265">
      <formula>G230="n"</formula>
    </cfRule>
  </conditionalFormatting>
  <conditionalFormatting sqref="A230">
    <cfRule type="expression" dxfId="1402" priority="1264">
      <formula>G230="n"</formula>
    </cfRule>
  </conditionalFormatting>
  <conditionalFormatting sqref="B230">
    <cfRule type="expression" dxfId="1401" priority="1263">
      <formula>G230="n"</formula>
    </cfRule>
  </conditionalFormatting>
  <conditionalFormatting sqref="C230">
    <cfRule type="expression" dxfId="1400" priority="1262">
      <formula>G230="n"</formula>
    </cfRule>
  </conditionalFormatting>
  <conditionalFormatting sqref="D230">
    <cfRule type="expression" dxfId="1399" priority="1261">
      <formula>G230="n"</formula>
    </cfRule>
  </conditionalFormatting>
  <conditionalFormatting sqref="F240">
    <cfRule type="expression" dxfId="1398" priority="1260">
      <formula>G240="n"</formula>
    </cfRule>
  </conditionalFormatting>
  <conditionalFormatting sqref="B240">
    <cfRule type="expression" dxfId="1397" priority="1259">
      <formula>G240="n"</formula>
    </cfRule>
  </conditionalFormatting>
  <conditionalFormatting sqref="C240">
    <cfRule type="expression" dxfId="1396" priority="1258">
      <formula>G240="n"</formula>
    </cfRule>
  </conditionalFormatting>
  <conditionalFormatting sqref="D240">
    <cfRule type="expression" dxfId="1395" priority="1257">
      <formula>G240="n"</formula>
    </cfRule>
  </conditionalFormatting>
  <conditionalFormatting sqref="E240">
    <cfRule type="expression" dxfId="1394" priority="1256">
      <formula>G240="n"</formula>
    </cfRule>
  </conditionalFormatting>
  <conditionalFormatting sqref="A240">
    <cfRule type="expression" dxfId="1393" priority="1255">
      <formula>G240="n"</formula>
    </cfRule>
  </conditionalFormatting>
  <conditionalFormatting sqref="E242">
    <cfRule type="expression" dxfId="1392" priority="1254">
      <formula>G242="n"</formula>
    </cfRule>
  </conditionalFormatting>
  <conditionalFormatting sqref="D242">
    <cfRule type="expression" dxfId="1391" priority="1253">
      <formula>G242="n"</formula>
    </cfRule>
  </conditionalFormatting>
  <conditionalFormatting sqref="D242">
    <cfRule type="expression" dxfId="1390" priority="1252">
      <formula>G242="n"</formula>
    </cfRule>
  </conditionalFormatting>
  <conditionalFormatting sqref="F242">
    <cfRule type="expression" dxfId="1389" priority="1251">
      <formula>G242="n"</formula>
    </cfRule>
  </conditionalFormatting>
  <conditionalFormatting sqref="A242">
    <cfRule type="expression" dxfId="1388" priority="1250">
      <formula>G242="n"</formula>
    </cfRule>
  </conditionalFormatting>
  <conditionalFormatting sqref="B242">
    <cfRule type="expression" dxfId="1387" priority="1249">
      <formula>G242="n"</formula>
    </cfRule>
  </conditionalFormatting>
  <conditionalFormatting sqref="C242">
    <cfRule type="expression" dxfId="1386" priority="1248">
      <formula>G242="n"</formula>
    </cfRule>
  </conditionalFormatting>
  <conditionalFormatting sqref="A242">
    <cfRule type="expression" dxfId="1385" priority="1247">
      <formula>G242="n"</formula>
    </cfRule>
  </conditionalFormatting>
  <conditionalFormatting sqref="B242">
    <cfRule type="expression" dxfId="1384" priority="1246">
      <formula>G242="n"</formula>
    </cfRule>
  </conditionalFormatting>
  <conditionalFormatting sqref="C242">
    <cfRule type="expression" dxfId="1383" priority="1245">
      <formula>G242="n"</formula>
    </cfRule>
  </conditionalFormatting>
  <conditionalFormatting sqref="F241">
    <cfRule type="expression" dxfId="1382" priority="1244">
      <formula>G241="n"</formula>
    </cfRule>
  </conditionalFormatting>
  <conditionalFormatting sqref="F241">
    <cfRule type="expression" dxfId="1381" priority="1243">
      <formula>G241="n"</formula>
    </cfRule>
  </conditionalFormatting>
  <conditionalFormatting sqref="A241">
    <cfRule type="expression" dxfId="1380" priority="1242">
      <formula>G241="n"</formula>
    </cfRule>
  </conditionalFormatting>
  <conditionalFormatting sqref="B241">
    <cfRule type="expression" dxfId="1379" priority="1241">
      <formula>G241="n"</formula>
    </cfRule>
  </conditionalFormatting>
  <conditionalFormatting sqref="C241">
    <cfRule type="expression" dxfId="1378" priority="1240">
      <formula>G241="n"</formula>
    </cfRule>
  </conditionalFormatting>
  <conditionalFormatting sqref="D241">
    <cfRule type="expression" dxfId="1377" priority="1239">
      <formula>G241="n"</formula>
    </cfRule>
  </conditionalFormatting>
  <conditionalFormatting sqref="E241">
    <cfRule type="expression" dxfId="1376" priority="1238">
      <formula>G241="n"</formula>
    </cfRule>
  </conditionalFormatting>
  <conditionalFormatting sqref="A241">
    <cfRule type="expression" dxfId="1375" priority="1237">
      <formula>G241="n"</formula>
    </cfRule>
  </conditionalFormatting>
  <conditionalFormatting sqref="B241">
    <cfRule type="expression" dxfId="1374" priority="1236">
      <formula>G241="n"</formula>
    </cfRule>
  </conditionalFormatting>
  <conditionalFormatting sqref="C241">
    <cfRule type="expression" dxfId="1373" priority="1235">
      <formula>G241="n"</formula>
    </cfRule>
  </conditionalFormatting>
  <conditionalFormatting sqref="D241">
    <cfRule type="expression" dxfId="1372" priority="1234">
      <formula>G241="n"</formula>
    </cfRule>
  </conditionalFormatting>
  <conditionalFormatting sqref="E241">
    <cfRule type="expression" dxfId="1371" priority="1233">
      <formula>G241="n"</formula>
    </cfRule>
  </conditionalFormatting>
  <conditionalFormatting sqref="F246">
    <cfRule type="expression" dxfId="1370" priority="1232">
      <formula>G246="n"</formula>
    </cfRule>
  </conditionalFormatting>
  <conditionalFormatting sqref="F246">
    <cfRule type="expression" dxfId="1369" priority="1231">
      <formula>G246="n"</formula>
    </cfRule>
  </conditionalFormatting>
  <conditionalFormatting sqref="A246">
    <cfRule type="expression" dxfId="1368" priority="1230">
      <formula>G246="n"</formula>
    </cfRule>
  </conditionalFormatting>
  <conditionalFormatting sqref="B246">
    <cfRule type="expression" dxfId="1367" priority="1229">
      <formula>G246="n"</formula>
    </cfRule>
  </conditionalFormatting>
  <conditionalFormatting sqref="C246">
    <cfRule type="expression" dxfId="1366" priority="1228">
      <formula>G246="n"</formula>
    </cfRule>
  </conditionalFormatting>
  <conditionalFormatting sqref="D246">
    <cfRule type="expression" dxfId="1365" priority="1227">
      <formula>G246="n"</formula>
    </cfRule>
  </conditionalFormatting>
  <conditionalFormatting sqref="E246">
    <cfRule type="expression" dxfId="1364" priority="1226">
      <formula>G246="n"</formula>
    </cfRule>
  </conditionalFormatting>
  <conditionalFormatting sqref="A246">
    <cfRule type="expression" dxfId="1363" priority="1225">
      <formula>G246="n"</formula>
    </cfRule>
  </conditionalFormatting>
  <conditionalFormatting sqref="B246">
    <cfRule type="expression" dxfId="1362" priority="1224">
      <formula>G246="n"</formula>
    </cfRule>
  </conditionalFormatting>
  <conditionalFormatting sqref="C246">
    <cfRule type="expression" dxfId="1361" priority="1223">
      <formula>G246="n"</formula>
    </cfRule>
  </conditionalFormatting>
  <conditionalFormatting sqref="D246">
    <cfRule type="expression" dxfId="1360" priority="1222">
      <formula>G246="n"</formula>
    </cfRule>
  </conditionalFormatting>
  <conditionalFormatting sqref="E246">
    <cfRule type="expression" dxfId="1359" priority="1221">
      <formula>G246="n"</formula>
    </cfRule>
  </conditionalFormatting>
  <conditionalFormatting sqref="F247">
    <cfRule type="expression" dxfId="1358" priority="1220">
      <formula>G247="n"</formula>
    </cfRule>
  </conditionalFormatting>
  <conditionalFormatting sqref="F247">
    <cfRule type="expression" dxfId="1357" priority="1219">
      <formula>G247="n"</formula>
    </cfRule>
  </conditionalFormatting>
  <conditionalFormatting sqref="A247">
    <cfRule type="expression" dxfId="1356" priority="1218">
      <formula>G247="n"</formula>
    </cfRule>
  </conditionalFormatting>
  <conditionalFormatting sqref="B247">
    <cfRule type="expression" dxfId="1355" priority="1217">
      <formula>G247="n"</formula>
    </cfRule>
  </conditionalFormatting>
  <conditionalFormatting sqref="C247">
    <cfRule type="expression" dxfId="1354" priority="1216">
      <formula>G247="n"</formula>
    </cfRule>
  </conditionalFormatting>
  <conditionalFormatting sqref="D247">
    <cfRule type="expression" dxfId="1353" priority="1215">
      <formula>G247="n"</formula>
    </cfRule>
  </conditionalFormatting>
  <conditionalFormatting sqref="E247">
    <cfRule type="expression" dxfId="1352" priority="1214">
      <formula>G247="n"</formula>
    </cfRule>
  </conditionalFormatting>
  <conditionalFormatting sqref="A247">
    <cfRule type="expression" dxfId="1351" priority="1213">
      <formula>G247="n"</formula>
    </cfRule>
  </conditionalFormatting>
  <conditionalFormatting sqref="B247">
    <cfRule type="expression" dxfId="1350" priority="1212">
      <formula>G247="n"</formula>
    </cfRule>
  </conditionalFormatting>
  <conditionalFormatting sqref="C247">
    <cfRule type="expression" dxfId="1349" priority="1211">
      <formula>G247="n"</formula>
    </cfRule>
  </conditionalFormatting>
  <conditionalFormatting sqref="D247">
    <cfRule type="expression" dxfId="1348" priority="1210">
      <formula>G247="n"</formula>
    </cfRule>
  </conditionalFormatting>
  <conditionalFormatting sqref="E247">
    <cfRule type="expression" dxfId="1347" priority="1209">
      <formula>G247="n"</formula>
    </cfRule>
  </conditionalFormatting>
  <conditionalFormatting sqref="F248">
    <cfRule type="expression" dxfId="1346" priority="1208">
      <formula>G248="n"</formula>
    </cfRule>
  </conditionalFormatting>
  <conditionalFormatting sqref="E248">
    <cfRule type="expression" dxfId="1345" priority="1207">
      <formula>G248="n"</formula>
    </cfRule>
  </conditionalFormatting>
  <conditionalFormatting sqref="A248">
    <cfRule type="expression" dxfId="1344" priority="1206">
      <formula>G248="n"</formula>
    </cfRule>
  </conditionalFormatting>
  <conditionalFormatting sqref="B248">
    <cfRule type="expression" dxfId="1343" priority="1205">
      <formula>G248="n"</formula>
    </cfRule>
  </conditionalFormatting>
  <conditionalFormatting sqref="C248">
    <cfRule type="expression" dxfId="1342" priority="1204">
      <formula>G248="n"</formula>
    </cfRule>
  </conditionalFormatting>
  <conditionalFormatting sqref="D248">
    <cfRule type="expression" dxfId="1341" priority="1203">
      <formula>G248="n"</formula>
    </cfRule>
  </conditionalFormatting>
  <conditionalFormatting sqref="A248">
    <cfRule type="expression" dxfId="1340" priority="1202">
      <formula>G248="n"</formula>
    </cfRule>
  </conditionalFormatting>
  <conditionalFormatting sqref="B248">
    <cfRule type="expression" dxfId="1339" priority="1201">
      <formula>G248="n"</formula>
    </cfRule>
  </conditionalFormatting>
  <conditionalFormatting sqref="C248">
    <cfRule type="expression" dxfId="1338" priority="1200">
      <formula>G248="n"</formula>
    </cfRule>
  </conditionalFormatting>
  <conditionalFormatting sqref="D248">
    <cfRule type="expression" dxfId="1337" priority="1199">
      <formula>G248="n"</formula>
    </cfRule>
  </conditionalFormatting>
  <conditionalFormatting sqref="F250">
    <cfRule type="expression" dxfId="1336" priority="1198">
      <formula>G250="n"</formula>
    </cfRule>
  </conditionalFormatting>
  <conditionalFormatting sqref="B250">
    <cfRule type="expression" dxfId="1335" priority="1197">
      <formula>G250="n"</formula>
    </cfRule>
  </conditionalFormatting>
  <conditionalFormatting sqref="C250">
    <cfRule type="expression" dxfId="1334" priority="1196">
      <formula>G250="n"</formula>
    </cfRule>
  </conditionalFormatting>
  <conditionalFormatting sqref="D250">
    <cfRule type="expression" dxfId="1333" priority="1195">
      <formula>G250="n"</formula>
    </cfRule>
  </conditionalFormatting>
  <conditionalFormatting sqref="E250">
    <cfRule type="expression" dxfId="1332" priority="1194">
      <formula>G250="n"</formula>
    </cfRule>
  </conditionalFormatting>
  <conditionalFormatting sqref="A250">
    <cfRule type="expression" dxfId="1331" priority="1193">
      <formula>G250="n"</formula>
    </cfRule>
  </conditionalFormatting>
  <conditionalFormatting sqref="F251">
    <cfRule type="expression" dxfId="1330" priority="1192">
      <formula>G251="n"</formula>
    </cfRule>
  </conditionalFormatting>
  <conditionalFormatting sqref="F251">
    <cfRule type="expression" dxfId="1329" priority="1191">
      <formula>G251="n"</formula>
    </cfRule>
  </conditionalFormatting>
  <conditionalFormatting sqref="A251">
    <cfRule type="expression" dxfId="1328" priority="1190">
      <formula>G251="n"</formula>
    </cfRule>
  </conditionalFormatting>
  <conditionalFormatting sqref="B251:B252">
    <cfRule type="expression" dxfId="1327" priority="1189">
      <formula>G251="n"</formula>
    </cfRule>
  </conditionalFormatting>
  <conditionalFormatting sqref="C251">
    <cfRule type="expression" dxfId="1326" priority="1188">
      <formula>G251="n"</formula>
    </cfRule>
  </conditionalFormatting>
  <conditionalFormatting sqref="D251">
    <cfRule type="expression" dxfId="1325" priority="1187">
      <formula>G251="n"</formula>
    </cfRule>
  </conditionalFormatting>
  <conditionalFormatting sqref="E251">
    <cfRule type="expression" dxfId="1324" priority="1186">
      <formula>G251="n"</formula>
    </cfRule>
  </conditionalFormatting>
  <conditionalFormatting sqref="A251">
    <cfRule type="expression" dxfId="1323" priority="1185">
      <formula>G251="n"</formula>
    </cfRule>
  </conditionalFormatting>
  <conditionalFormatting sqref="B251:B252">
    <cfRule type="expression" dxfId="1322" priority="1184">
      <formula>G251="n"</formula>
    </cfRule>
  </conditionalFormatting>
  <conditionalFormatting sqref="C251">
    <cfRule type="expression" dxfId="1321" priority="1183">
      <formula>G251="n"</formula>
    </cfRule>
  </conditionalFormatting>
  <conditionalFormatting sqref="D251">
    <cfRule type="expression" dxfId="1320" priority="1182">
      <formula>G251="n"</formula>
    </cfRule>
  </conditionalFormatting>
  <conditionalFormatting sqref="E251">
    <cfRule type="expression" dxfId="1319" priority="1181">
      <formula>G251="n"</formula>
    </cfRule>
  </conditionalFormatting>
  <conditionalFormatting sqref="E284">
    <cfRule type="expression" dxfId="1318" priority="1180">
      <formula>G284="n"</formula>
    </cfRule>
  </conditionalFormatting>
  <conditionalFormatting sqref="F284">
    <cfRule type="expression" dxfId="1317" priority="1177">
      <formula>G284="n"</formula>
    </cfRule>
  </conditionalFormatting>
  <conditionalFormatting sqref="A284">
    <cfRule type="expression" dxfId="1316" priority="1176">
      <formula>G284="n"</formula>
    </cfRule>
  </conditionalFormatting>
  <conditionalFormatting sqref="B284">
    <cfRule type="expression" dxfId="1315" priority="1175">
      <formula>G284="n"</formula>
    </cfRule>
  </conditionalFormatting>
  <conditionalFormatting sqref="C284">
    <cfRule type="expression" dxfId="1314" priority="1174">
      <formula>G284="n"</formula>
    </cfRule>
  </conditionalFormatting>
  <conditionalFormatting sqref="A284">
    <cfRule type="expression" dxfId="1313" priority="1173">
      <formula>G284="n"</formula>
    </cfRule>
  </conditionalFormatting>
  <conditionalFormatting sqref="B284">
    <cfRule type="expression" dxfId="1312" priority="1172">
      <formula>G284="n"</formula>
    </cfRule>
  </conditionalFormatting>
  <conditionalFormatting sqref="C284">
    <cfRule type="expression" dxfId="1311" priority="1171">
      <formula>G284="n"</formula>
    </cfRule>
  </conditionalFormatting>
  <conditionalFormatting sqref="A285">
    <cfRule type="expression" dxfId="1310" priority="1168">
      <formula>G285="n"</formula>
    </cfRule>
  </conditionalFormatting>
  <conditionalFormatting sqref="B285">
    <cfRule type="expression" dxfId="1309" priority="1167">
      <formula>G285="n"</formula>
    </cfRule>
  </conditionalFormatting>
  <conditionalFormatting sqref="C285">
    <cfRule type="expression" dxfId="1308" priority="1166">
      <formula>G285="n"</formula>
    </cfRule>
  </conditionalFormatting>
  <conditionalFormatting sqref="D285">
    <cfRule type="expression" dxfId="1307" priority="1165">
      <formula>G285="n"</formula>
    </cfRule>
  </conditionalFormatting>
  <conditionalFormatting sqref="E285">
    <cfRule type="expression" dxfId="1306" priority="1164">
      <formula>G285="n"</formula>
    </cfRule>
  </conditionalFormatting>
  <conditionalFormatting sqref="A285">
    <cfRule type="expression" dxfId="1305" priority="1163">
      <formula>G285="n"</formula>
    </cfRule>
  </conditionalFormatting>
  <conditionalFormatting sqref="B285">
    <cfRule type="expression" dxfId="1304" priority="1162">
      <formula>G285="n"</formula>
    </cfRule>
  </conditionalFormatting>
  <conditionalFormatting sqref="C285">
    <cfRule type="expression" dxfId="1303" priority="1161">
      <formula>G285="n"</formula>
    </cfRule>
  </conditionalFormatting>
  <conditionalFormatting sqref="D285">
    <cfRule type="expression" dxfId="1302" priority="1160">
      <formula>G285="n"</formula>
    </cfRule>
  </conditionalFormatting>
  <conditionalFormatting sqref="E285">
    <cfRule type="expression" dxfId="1301" priority="1159">
      <formula>G285="n"</formula>
    </cfRule>
  </conditionalFormatting>
  <conditionalFormatting sqref="F286">
    <cfRule type="expression" dxfId="1300" priority="1158">
      <formula>G286="n"</formula>
    </cfRule>
  </conditionalFormatting>
  <conditionalFormatting sqref="E286">
    <cfRule type="expression" dxfId="1299" priority="1157">
      <formula>G286="n"</formula>
    </cfRule>
  </conditionalFormatting>
  <conditionalFormatting sqref="A286">
    <cfRule type="expression" dxfId="1298" priority="1156">
      <formula>G286="n"</formula>
    </cfRule>
  </conditionalFormatting>
  <conditionalFormatting sqref="B286">
    <cfRule type="expression" dxfId="1297" priority="1155">
      <formula>G286="n"</formula>
    </cfRule>
  </conditionalFormatting>
  <conditionalFormatting sqref="C286">
    <cfRule type="expression" dxfId="1296" priority="1154">
      <formula>G286="n"</formula>
    </cfRule>
  </conditionalFormatting>
  <conditionalFormatting sqref="D286">
    <cfRule type="expression" dxfId="1295" priority="1153">
      <formula>G286="n"</formula>
    </cfRule>
  </conditionalFormatting>
  <conditionalFormatting sqref="A286">
    <cfRule type="expression" dxfId="1294" priority="1152">
      <formula>G286="n"</formula>
    </cfRule>
  </conditionalFormatting>
  <conditionalFormatting sqref="B286">
    <cfRule type="expression" dxfId="1293" priority="1151">
      <formula>G286="n"</formula>
    </cfRule>
  </conditionalFormatting>
  <conditionalFormatting sqref="C286">
    <cfRule type="expression" dxfId="1292" priority="1150">
      <formula>G286="n"</formula>
    </cfRule>
  </conditionalFormatting>
  <conditionalFormatting sqref="D286">
    <cfRule type="expression" dxfId="1291" priority="1149">
      <formula>G286="n"</formula>
    </cfRule>
  </conditionalFormatting>
  <conditionalFormatting sqref="A288">
    <cfRule type="expression" dxfId="1290" priority="1146">
      <formula>G288="n"</formula>
    </cfRule>
  </conditionalFormatting>
  <conditionalFormatting sqref="B288">
    <cfRule type="expression" dxfId="1289" priority="1145">
      <formula>G288="n"</formula>
    </cfRule>
  </conditionalFormatting>
  <conditionalFormatting sqref="C288">
    <cfRule type="expression" dxfId="1288" priority="1144">
      <formula>G288="n"</formula>
    </cfRule>
  </conditionalFormatting>
  <conditionalFormatting sqref="D288">
    <cfRule type="expression" dxfId="1287" priority="1143">
      <formula>G288="n"</formula>
    </cfRule>
  </conditionalFormatting>
  <conditionalFormatting sqref="E288">
    <cfRule type="expression" dxfId="1286" priority="1142">
      <formula>G288="n"</formula>
    </cfRule>
  </conditionalFormatting>
  <conditionalFormatting sqref="A288">
    <cfRule type="expression" dxfId="1285" priority="1141">
      <formula>G288="n"</formula>
    </cfRule>
  </conditionalFormatting>
  <conditionalFormatting sqref="B288">
    <cfRule type="expression" dxfId="1284" priority="1140">
      <formula>G288="n"</formula>
    </cfRule>
  </conditionalFormatting>
  <conditionalFormatting sqref="C288">
    <cfRule type="expression" dxfId="1283" priority="1139">
      <formula>G288="n"</formula>
    </cfRule>
  </conditionalFormatting>
  <conditionalFormatting sqref="D288">
    <cfRule type="expression" dxfId="1282" priority="1138">
      <formula>G288="n"</formula>
    </cfRule>
  </conditionalFormatting>
  <conditionalFormatting sqref="E288">
    <cfRule type="expression" dxfId="1281" priority="1137">
      <formula>G288="n"</formula>
    </cfRule>
  </conditionalFormatting>
  <conditionalFormatting sqref="F289">
    <cfRule type="expression" dxfId="1280" priority="1136">
      <formula>G289="n"</formula>
    </cfRule>
  </conditionalFormatting>
  <conditionalFormatting sqref="E289">
    <cfRule type="expression" dxfId="1279" priority="1135">
      <formula>G289="n"</formula>
    </cfRule>
  </conditionalFormatting>
  <conditionalFormatting sqref="A289">
    <cfRule type="expression" dxfId="1278" priority="1134">
      <formula>G289="n"</formula>
    </cfRule>
  </conditionalFormatting>
  <conditionalFormatting sqref="B289">
    <cfRule type="expression" dxfId="1277" priority="1133">
      <formula>G289="n"</formula>
    </cfRule>
  </conditionalFormatting>
  <conditionalFormatting sqref="C289">
    <cfRule type="expression" dxfId="1276" priority="1132">
      <formula>G289="n"</formula>
    </cfRule>
  </conditionalFormatting>
  <conditionalFormatting sqref="D289">
    <cfRule type="expression" dxfId="1275" priority="1131">
      <formula>G289="n"</formula>
    </cfRule>
  </conditionalFormatting>
  <conditionalFormatting sqref="A289">
    <cfRule type="expression" dxfId="1274" priority="1130">
      <formula>G289="n"</formula>
    </cfRule>
  </conditionalFormatting>
  <conditionalFormatting sqref="B289">
    <cfRule type="expression" dxfId="1273" priority="1129">
      <formula>G289="n"</formula>
    </cfRule>
  </conditionalFormatting>
  <conditionalFormatting sqref="C289">
    <cfRule type="expression" dxfId="1272" priority="1128">
      <formula>G289="n"</formula>
    </cfRule>
  </conditionalFormatting>
  <conditionalFormatting sqref="D289">
    <cfRule type="expression" dxfId="1271" priority="1127">
      <formula>G289="n"</formula>
    </cfRule>
  </conditionalFormatting>
  <conditionalFormatting sqref="F290">
    <cfRule type="expression" dxfId="1270" priority="1126">
      <formula>G290="n"</formula>
    </cfRule>
  </conditionalFormatting>
  <conditionalFormatting sqref="F290">
    <cfRule type="expression" dxfId="1269" priority="1125">
      <formula>G290="n"</formula>
    </cfRule>
  </conditionalFormatting>
  <conditionalFormatting sqref="A290">
    <cfRule type="expression" dxfId="1268" priority="1124">
      <formula>G290="n"</formula>
    </cfRule>
  </conditionalFormatting>
  <conditionalFormatting sqref="B290">
    <cfRule type="expression" dxfId="1267" priority="1123">
      <formula>G290="n"</formula>
    </cfRule>
  </conditionalFormatting>
  <conditionalFormatting sqref="C290">
    <cfRule type="expression" dxfId="1266" priority="1122">
      <formula>G290="n"</formula>
    </cfRule>
  </conditionalFormatting>
  <conditionalFormatting sqref="D290">
    <cfRule type="expression" dxfId="1265" priority="1121">
      <formula>G290="n"</formula>
    </cfRule>
  </conditionalFormatting>
  <conditionalFormatting sqref="E290">
    <cfRule type="expression" dxfId="1264" priority="1120">
      <formula>G290="n"</formula>
    </cfRule>
  </conditionalFormatting>
  <conditionalFormatting sqref="A290">
    <cfRule type="expression" dxfId="1263" priority="1119">
      <formula>G290="n"</formula>
    </cfRule>
  </conditionalFormatting>
  <conditionalFormatting sqref="B290">
    <cfRule type="expression" dxfId="1262" priority="1118">
      <formula>G290="n"</formula>
    </cfRule>
  </conditionalFormatting>
  <conditionalFormatting sqref="C290">
    <cfRule type="expression" dxfId="1261" priority="1117">
      <formula>G290="n"</formula>
    </cfRule>
  </conditionalFormatting>
  <conditionalFormatting sqref="D290">
    <cfRule type="expression" dxfId="1260" priority="1116">
      <formula>G290="n"</formula>
    </cfRule>
  </conditionalFormatting>
  <conditionalFormatting sqref="E290">
    <cfRule type="expression" dxfId="1259" priority="1115">
      <formula>G290="n"</formula>
    </cfRule>
  </conditionalFormatting>
  <conditionalFormatting sqref="D292">
    <cfRule type="expression" dxfId="1258" priority="1112">
      <formula>G292="n"</formula>
    </cfRule>
  </conditionalFormatting>
  <conditionalFormatting sqref="E292">
    <cfRule type="expression" dxfId="1257" priority="1111">
      <formula>G292="n"</formula>
    </cfRule>
  </conditionalFormatting>
  <conditionalFormatting sqref="D292">
    <cfRule type="expression" dxfId="1256" priority="1110">
      <formula>G292="n"</formula>
    </cfRule>
  </conditionalFormatting>
  <conditionalFormatting sqref="E292">
    <cfRule type="expression" dxfId="1255" priority="1109">
      <formula>G292="n"</formula>
    </cfRule>
  </conditionalFormatting>
  <conditionalFormatting sqref="A292">
    <cfRule type="expression" dxfId="1254" priority="1108">
      <formula>G292="n"</formula>
    </cfRule>
  </conditionalFormatting>
  <conditionalFormatting sqref="B292">
    <cfRule type="expression" dxfId="1253" priority="1107">
      <formula>G292="n"</formula>
    </cfRule>
  </conditionalFormatting>
  <conditionalFormatting sqref="C292">
    <cfRule type="expression" dxfId="1252" priority="1106">
      <formula>G292="n"</formula>
    </cfRule>
  </conditionalFormatting>
  <conditionalFormatting sqref="A292">
    <cfRule type="expression" dxfId="1251" priority="1105">
      <formula>G292="n"</formula>
    </cfRule>
  </conditionalFormatting>
  <conditionalFormatting sqref="B292">
    <cfRule type="expression" dxfId="1250" priority="1104">
      <formula>G292="n"</formula>
    </cfRule>
  </conditionalFormatting>
  <conditionalFormatting sqref="C292">
    <cfRule type="expression" dxfId="1249" priority="1103">
      <formula>G292="n"</formula>
    </cfRule>
  </conditionalFormatting>
  <conditionalFormatting sqref="F293">
    <cfRule type="expression" dxfId="1248" priority="1102">
      <formula>G293="n"</formula>
    </cfRule>
  </conditionalFormatting>
  <conditionalFormatting sqref="E293">
    <cfRule type="expression" dxfId="1247" priority="1101">
      <formula>G293="n"</formula>
    </cfRule>
  </conditionalFormatting>
  <conditionalFormatting sqref="A293">
    <cfRule type="expression" dxfId="1246" priority="1100">
      <formula>G293="n"</formula>
    </cfRule>
  </conditionalFormatting>
  <conditionalFormatting sqref="B293">
    <cfRule type="expression" dxfId="1245" priority="1099">
      <formula>G293="n"</formula>
    </cfRule>
  </conditionalFormatting>
  <conditionalFormatting sqref="C293">
    <cfRule type="expression" dxfId="1244" priority="1098">
      <formula>G293="n"</formula>
    </cfRule>
  </conditionalFormatting>
  <conditionalFormatting sqref="D293">
    <cfRule type="expression" dxfId="1243" priority="1097">
      <formula>G293="n"</formula>
    </cfRule>
  </conditionalFormatting>
  <conditionalFormatting sqref="A293">
    <cfRule type="expression" dxfId="1242" priority="1096">
      <formula>G293="n"</formula>
    </cfRule>
  </conditionalFormatting>
  <conditionalFormatting sqref="B293">
    <cfRule type="expression" dxfId="1241" priority="1095">
      <formula>G293="n"</formula>
    </cfRule>
  </conditionalFormatting>
  <conditionalFormatting sqref="C293">
    <cfRule type="expression" dxfId="1240" priority="1094">
      <formula>G293="n"</formula>
    </cfRule>
  </conditionalFormatting>
  <conditionalFormatting sqref="D293">
    <cfRule type="expression" dxfId="1239" priority="1093">
      <formula>G293="n"</formula>
    </cfRule>
  </conditionalFormatting>
  <conditionalFormatting sqref="A294">
    <cfRule type="expression" dxfId="1238" priority="1090">
      <formula>G294="n"</formula>
    </cfRule>
  </conditionalFormatting>
  <conditionalFormatting sqref="B294">
    <cfRule type="expression" dxfId="1237" priority="1089">
      <formula>G294="n"</formula>
    </cfRule>
  </conditionalFormatting>
  <conditionalFormatting sqref="C294">
    <cfRule type="expression" dxfId="1236" priority="1088">
      <formula>G294="n"</formula>
    </cfRule>
  </conditionalFormatting>
  <conditionalFormatting sqref="D294">
    <cfRule type="expression" dxfId="1235" priority="1087">
      <formula>G294="n"</formula>
    </cfRule>
  </conditionalFormatting>
  <conditionalFormatting sqref="E294">
    <cfRule type="expression" dxfId="1234" priority="1086">
      <formula>G294="n"</formula>
    </cfRule>
  </conditionalFormatting>
  <conditionalFormatting sqref="A294">
    <cfRule type="expression" dxfId="1233" priority="1085">
      <formula>G294="n"</formula>
    </cfRule>
  </conditionalFormatting>
  <conditionalFormatting sqref="B294">
    <cfRule type="expression" dxfId="1232" priority="1084">
      <formula>G294="n"</formula>
    </cfRule>
  </conditionalFormatting>
  <conditionalFormatting sqref="C294">
    <cfRule type="expression" dxfId="1231" priority="1083">
      <formula>G294="n"</formula>
    </cfRule>
  </conditionalFormatting>
  <conditionalFormatting sqref="D294">
    <cfRule type="expression" dxfId="1230" priority="1082">
      <formula>G294="n"</formula>
    </cfRule>
  </conditionalFormatting>
  <conditionalFormatting sqref="E294">
    <cfRule type="expression" dxfId="1229" priority="1081">
      <formula>G294="n"</formula>
    </cfRule>
  </conditionalFormatting>
  <conditionalFormatting sqref="F295">
    <cfRule type="expression" dxfId="1228" priority="1080">
      <formula>G295="n"</formula>
    </cfRule>
  </conditionalFormatting>
  <conditionalFormatting sqref="E295">
    <cfRule type="expression" dxfId="1227" priority="1079">
      <formula>G295="n"</formula>
    </cfRule>
  </conditionalFormatting>
  <conditionalFormatting sqref="A295">
    <cfRule type="expression" dxfId="1226" priority="1078">
      <formula>G295="n"</formula>
    </cfRule>
  </conditionalFormatting>
  <conditionalFormatting sqref="B295">
    <cfRule type="expression" dxfId="1225" priority="1077">
      <formula>G295="n"</formula>
    </cfRule>
  </conditionalFormatting>
  <conditionalFormatting sqref="C295">
    <cfRule type="expression" dxfId="1224" priority="1076">
      <formula>G295="n"</formula>
    </cfRule>
  </conditionalFormatting>
  <conditionalFormatting sqref="D295">
    <cfRule type="expression" dxfId="1223" priority="1075">
      <formula>G295="n"</formula>
    </cfRule>
  </conditionalFormatting>
  <conditionalFormatting sqref="A295">
    <cfRule type="expression" dxfId="1222" priority="1074">
      <formula>G295="n"</formula>
    </cfRule>
  </conditionalFormatting>
  <conditionalFormatting sqref="B295">
    <cfRule type="expression" dxfId="1221" priority="1073">
      <formula>G295="n"</formula>
    </cfRule>
  </conditionalFormatting>
  <conditionalFormatting sqref="C295">
    <cfRule type="expression" dxfId="1220" priority="1072">
      <formula>G295="n"</formula>
    </cfRule>
  </conditionalFormatting>
  <conditionalFormatting sqref="D295">
    <cfRule type="expression" dxfId="1219" priority="1071">
      <formula>G295="n"</formula>
    </cfRule>
  </conditionalFormatting>
  <conditionalFormatting sqref="E296">
    <cfRule type="expression" dxfId="1218" priority="1070">
      <formula>G296="n"</formula>
    </cfRule>
  </conditionalFormatting>
  <conditionalFormatting sqref="D296">
    <cfRule type="expression" dxfId="1217" priority="1069">
      <formula>G296="n"</formula>
    </cfRule>
  </conditionalFormatting>
  <conditionalFormatting sqref="D296">
    <cfRule type="expression" dxfId="1216" priority="1068">
      <formula>G296="n"</formula>
    </cfRule>
  </conditionalFormatting>
  <conditionalFormatting sqref="F296">
    <cfRule type="expression" dxfId="1215" priority="1067">
      <formula>G296="n"</formula>
    </cfRule>
  </conditionalFormatting>
  <conditionalFormatting sqref="A296">
    <cfRule type="expression" dxfId="1214" priority="1066">
      <formula>G296="n"</formula>
    </cfRule>
  </conditionalFormatting>
  <conditionalFormatting sqref="B296">
    <cfRule type="expression" dxfId="1213" priority="1065">
      <formula>G296="n"</formula>
    </cfRule>
  </conditionalFormatting>
  <conditionalFormatting sqref="C296">
    <cfRule type="expression" dxfId="1212" priority="1064">
      <formula>G296="n"</formula>
    </cfRule>
  </conditionalFormatting>
  <conditionalFormatting sqref="A296">
    <cfRule type="expression" dxfId="1211" priority="1063">
      <formula>G296="n"</formula>
    </cfRule>
  </conditionalFormatting>
  <conditionalFormatting sqref="B296">
    <cfRule type="expression" dxfId="1210" priority="1062">
      <formula>G296="n"</formula>
    </cfRule>
  </conditionalFormatting>
  <conditionalFormatting sqref="C296">
    <cfRule type="expression" dxfId="1209" priority="1061">
      <formula>G296="n"</formula>
    </cfRule>
  </conditionalFormatting>
  <conditionalFormatting sqref="D297">
    <cfRule type="expression" dxfId="1208" priority="1060">
      <formula>G297="n"</formula>
    </cfRule>
  </conditionalFormatting>
  <conditionalFormatting sqref="E297">
    <cfRule type="expression" dxfId="1207" priority="1059">
      <formula>G297="n"</formula>
    </cfRule>
  </conditionalFormatting>
  <conditionalFormatting sqref="D297">
    <cfRule type="expression" dxfId="1206" priority="1058">
      <formula>G297="n"</formula>
    </cfRule>
  </conditionalFormatting>
  <conditionalFormatting sqref="E297">
    <cfRule type="expression" dxfId="1205" priority="1057">
      <formula>G297="n"</formula>
    </cfRule>
  </conditionalFormatting>
  <conditionalFormatting sqref="D299">
    <cfRule type="expression" dxfId="1204" priority="1056">
      <formula>G299="n"</formula>
    </cfRule>
  </conditionalFormatting>
  <conditionalFormatting sqref="E299">
    <cfRule type="expression" dxfId="1203" priority="1055">
      <formula>G299="n"</formula>
    </cfRule>
  </conditionalFormatting>
  <conditionalFormatting sqref="D299">
    <cfRule type="expression" dxfId="1202" priority="1054">
      <formula>G299="n"</formula>
    </cfRule>
  </conditionalFormatting>
  <conditionalFormatting sqref="E299">
    <cfRule type="expression" dxfId="1201" priority="1053">
      <formula>G299="n"</formula>
    </cfRule>
  </conditionalFormatting>
  <conditionalFormatting sqref="D304">
    <cfRule type="expression" dxfId="1200" priority="1052">
      <formula>G304="n"</formula>
    </cfRule>
  </conditionalFormatting>
  <conditionalFormatting sqref="E304">
    <cfRule type="expression" dxfId="1199" priority="1051">
      <formula>G304="n"</formula>
    </cfRule>
  </conditionalFormatting>
  <conditionalFormatting sqref="D304">
    <cfRule type="expression" dxfId="1198" priority="1050">
      <formula>G304="n"</formula>
    </cfRule>
  </conditionalFormatting>
  <conditionalFormatting sqref="E304">
    <cfRule type="expression" dxfId="1197" priority="1049">
      <formula>G304="n"</formula>
    </cfRule>
  </conditionalFormatting>
  <conditionalFormatting sqref="F304">
    <cfRule type="expression" dxfId="1196" priority="1044">
      <formula>G304="n"</formula>
    </cfRule>
  </conditionalFormatting>
  <conditionalFormatting sqref="F304">
    <cfRule type="expression" dxfId="1195" priority="1043">
      <formula>G304="n"</formula>
    </cfRule>
  </conditionalFormatting>
  <conditionalFormatting sqref="D297">
    <cfRule type="expression" dxfId="1194" priority="1042">
      <formula>G297="n"</formula>
    </cfRule>
  </conditionalFormatting>
  <conditionalFormatting sqref="E297">
    <cfRule type="expression" dxfId="1193" priority="1041">
      <formula>G297="n"</formula>
    </cfRule>
  </conditionalFormatting>
  <conditionalFormatting sqref="D297">
    <cfRule type="expression" dxfId="1192" priority="1040">
      <formula>G297="n"</formula>
    </cfRule>
  </conditionalFormatting>
  <conditionalFormatting sqref="E297">
    <cfRule type="expression" dxfId="1191" priority="1039">
      <formula>G297="n"</formula>
    </cfRule>
  </conditionalFormatting>
  <conditionalFormatting sqref="A297">
    <cfRule type="expression" dxfId="1190" priority="1038">
      <formula>G297="n"</formula>
    </cfRule>
  </conditionalFormatting>
  <conditionalFormatting sqref="B297">
    <cfRule type="expression" dxfId="1189" priority="1037">
      <formula>G297="n"</formula>
    </cfRule>
  </conditionalFormatting>
  <conditionalFormatting sqref="C297">
    <cfRule type="expression" dxfId="1188" priority="1036">
      <formula>G297="n"</formula>
    </cfRule>
  </conditionalFormatting>
  <conditionalFormatting sqref="A297">
    <cfRule type="expression" dxfId="1187" priority="1035">
      <formula>G297="n"</formula>
    </cfRule>
  </conditionalFormatting>
  <conditionalFormatting sqref="B297">
    <cfRule type="expression" dxfId="1186" priority="1034">
      <formula>G297="n"</formula>
    </cfRule>
  </conditionalFormatting>
  <conditionalFormatting sqref="C297">
    <cfRule type="expression" dxfId="1185" priority="1033">
      <formula>G297="n"</formula>
    </cfRule>
  </conditionalFormatting>
  <conditionalFormatting sqref="D299">
    <cfRule type="expression" dxfId="1184" priority="1032">
      <formula>G299="n"</formula>
    </cfRule>
  </conditionalFormatting>
  <conditionalFormatting sqref="E299">
    <cfRule type="expression" dxfId="1183" priority="1031">
      <formula>G299="n"</formula>
    </cfRule>
  </conditionalFormatting>
  <conditionalFormatting sqref="D299">
    <cfRule type="expression" dxfId="1182" priority="1030">
      <formula>G299="n"</formula>
    </cfRule>
  </conditionalFormatting>
  <conditionalFormatting sqref="E299">
    <cfRule type="expression" dxfId="1181" priority="1029">
      <formula>G299="n"</formula>
    </cfRule>
  </conditionalFormatting>
  <conditionalFormatting sqref="A299">
    <cfRule type="expression" dxfId="1180" priority="1028">
      <formula>G299="n"</formula>
    </cfRule>
  </conditionalFormatting>
  <conditionalFormatting sqref="B299">
    <cfRule type="expression" dxfId="1179" priority="1027">
      <formula>G299="n"</formula>
    </cfRule>
  </conditionalFormatting>
  <conditionalFormatting sqref="C299">
    <cfRule type="expression" dxfId="1178" priority="1026">
      <formula>G299="n"</formula>
    </cfRule>
  </conditionalFormatting>
  <conditionalFormatting sqref="A299">
    <cfRule type="expression" dxfId="1177" priority="1025">
      <formula>G299="n"</formula>
    </cfRule>
  </conditionalFormatting>
  <conditionalFormatting sqref="B299">
    <cfRule type="expression" dxfId="1176" priority="1024">
      <formula>G299="n"</formula>
    </cfRule>
  </conditionalFormatting>
  <conditionalFormatting sqref="C299">
    <cfRule type="expression" dxfId="1175" priority="1023">
      <formula>G299="n"</formula>
    </cfRule>
  </conditionalFormatting>
  <conditionalFormatting sqref="D304">
    <cfRule type="expression" dxfId="1174" priority="1022">
      <formula>G304="n"</formula>
    </cfRule>
  </conditionalFormatting>
  <conditionalFormatting sqref="E304">
    <cfRule type="expression" dxfId="1173" priority="1021">
      <formula>G304="n"</formula>
    </cfRule>
  </conditionalFormatting>
  <conditionalFormatting sqref="D304">
    <cfRule type="expression" dxfId="1172" priority="1020">
      <formula>G304="n"</formula>
    </cfRule>
  </conditionalFormatting>
  <conditionalFormatting sqref="E304">
    <cfRule type="expression" dxfId="1171" priority="1019">
      <formula>G304="n"</formula>
    </cfRule>
  </conditionalFormatting>
  <conditionalFormatting sqref="A304">
    <cfRule type="expression" dxfId="1170" priority="1018">
      <formula>G304="n"</formula>
    </cfRule>
  </conditionalFormatting>
  <conditionalFormatting sqref="B304">
    <cfRule type="expression" dxfId="1169" priority="1017">
      <formula>G304="n"</formula>
    </cfRule>
  </conditionalFormatting>
  <conditionalFormatting sqref="C304">
    <cfRule type="expression" dxfId="1168" priority="1016">
      <formula>G304="n"</formula>
    </cfRule>
  </conditionalFormatting>
  <conditionalFormatting sqref="A304">
    <cfRule type="expression" dxfId="1167" priority="1015">
      <formula>G304="n"</formula>
    </cfRule>
  </conditionalFormatting>
  <conditionalFormatting sqref="B304">
    <cfRule type="expression" dxfId="1166" priority="1014">
      <formula>G304="n"</formula>
    </cfRule>
  </conditionalFormatting>
  <conditionalFormatting sqref="C304">
    <cfRule type="expression" dxfId="1165" priority="1013">
      <formula>G304="n"</formula>
    </cfRule>
  </conditionalFormatting>
  <conditionalFormatting sqref="F298">
    <cfRule type="expression" dxfId="1164" priority="1012">
      <formula>G298="n"</formula>
    </cfRule>
  </conditionalFormatting>
  <conditionalFormatting sqref="E298">
    <cfRule type="expression" dxfId="1163" priority="1011">
      <formula>G298="n"</formula>
    </cfRule>
  </conditionalFormatting>
  <conditionalFormatting sqref="A298">
    <cfRule type="expression" dxfId="1162" priority="1010">
      <formula>G298="n"</formula>
    </cfRule>
  </conditionalFormatting>
  <conditionalFormatting sqref="B298">
    <cfRule type="expression" dxfId="1161" priority="1009">
      <formula>G298="n"</formula>
    </cfRule>
  </conditionalFormatting>
  <conditionalFormatting sqref="C298">
    <cfRule type="expression" dxfId="1160" priority="1008">
      <formula>G298="n"</formula>
    </cfRule>
  </conditionalFormatting>
  <conditionalFormatting sqref="D298">
    <cfRule type="expression" dxfId="1159" priority="1007">
      <formula>G298="n"</formula>
    </cfRule>
  </conditionalFormatting>
  <conditionalFormatting sqref="A298">
    <cfRule type="expression" dxfId="1158" priority="1006">
      <formula>G298="n"</formula>
    </cfRule>
  </conditionalFormatting>
  <conditionalFormatting sqref="B298">
    <cfRule type="expression" dxfId="1157" priority="1005">
      <formula>G298="n"</formula>
    </cfRule>
  </conditionalFormatting>
  <conditionalFormatting sqref="C298">
    <cfRule type="expression" dxfId="1156" priority="1004">
      <formula>G298="n"</formula>
    </cfRule>
  </conditionalFormatting>
  <conditionalFormatting sqref="D298">
    <cfRule type="expression" dxfId="1155" priority="1003">
      <formula>G298="n"</formula>
    </cfRule>
  </conditionalFormatting>
  <conditionalFormatting sqref="F300">
    <cfRule type="expression" dxfId="1154" priority="1002">
      <formula>G300="n"</formula>
    </cfRule>
  </conditionalFormatting>
  <conditionalFormatting sqref="E300">
    <cfRule type="expression" dxfId="1153" priority="1001">
      <formula>G300="n"</formula>
    </cfRule>
  </conditionalFormatting>
  <conditionalFormatting sqref="A300">
    <cfRule type="expression" dxfId="1152" priority="1000">
      <formula>G300="n"</formula>
    </cfRule>
  </conditionalFormatting>
  <conditionalFormatting sqref="B300">
    <cfRule type="expression" dxfId="1151" priority="999">
      <formula>G300="n"</formula>
    </cfRule>
  </conditionalFormatting>
  <conditionalFormatting sqref="C300">
    <cfRule type="expression" dxfId="1150" priority="998">
      <formula>G300="n"</formula>
    </cfRule>
  </conditionalFormatting>
  <conditionalFormatting sqref="D300">
    <cfRule type="expression" dxfId="1149" priority="997">
      <formula>G300="n"</formula>
    </cfRule>
  </conditionalFormatting>
  <conditionalFormatting sqref="A300">
    <cfRule type="expression" dxfId="1148" priority="996">
      <formula>G300="n"</formula>
    </cfRule>
  </conditionalFormatting>
  <conditionalFormatting sqref="B300">
    <cfRule type="expression" dxfId="1147" priority="995">
      <formula>G300="n"</formula>
    </cfRule>
  </conditionalFormatting>
  <conditionalFormatting sqref="C300">
    <cfRule type="expression" dxfId="1146" priority="994">
      <formula>G300="n"</formula>
    </cfRule>
  </conditionalFormatting>
  <conditionalFormatting sqref="D300">
    <cfRule type="expression" dxfId="1145" priority="993">
      <formula>G300="n"</formula>
    </cfRule>
  </conditionalFormatting>
  <conditionalFormatting sqref="E302">
    <cfRule type="expression" dxfId="1144" priority="992">
      <formula>G302="n"</formula>
    </cfRule>
  </conditionalFormatting>
  <conditionalFormatting sqref="D302">
    <cfRule type="expression" dxfId="1143" priority="991">
      <formula>G302="n"</formula>
    </cfRule>
  </conditionalFormatting>
  <conditionalFormatting sqref="D302">
    <cfRule type="expression" dxfId="1142" priority="990">
      <formula>G302="n"</formula>
    </cfRule>
  </conditionalFormatting>
  <conditionalFormatting sqref="F302">
    <cfRule type="expression" dxfId="1141" priority="989">
      <formula>G302="n"</formula>
    </cfRule>
  </conditionalFormatting>
  <conditionalFormatting sqref="E303">
    <cfRule type="expression" dxfId="1140" priority="988">
      <formula>G303="n"</formula>
    </cfRule>
  </conditionalFormatting>
  <conditionalFormatting sqref="D303">
    <cfRule type="expression" dxfId="1139" priority="987">
      <formula>G303="n"</formula>
    </cfRule>
  </conditionalFormatting>
  <conditionalFormatting sqref="D303">
    <cfRule type="expression" dxfId="1138" priority="986">
      <formula>G303="n"</formula>
    </cfRule>
  </conditionalFormatting>
  <conditionalFormatting sqref="F303">
    <cfRule type="expression" dxfId="1137" priority="985">
      <formula>G303="n"</formula>
    </cfRule>
  </conditionalFormatting>
  <conditionalFormatting sqref="A302">
    <cfRule type="expression" dxfId="1136" priority="984">
      <formula>G302="n"</formula>
    </cfRule>
  </conditionalFormatting>
  <conditionalFormatting sqref="B302">
    <cfRule type="expression" dxfId="1135" priority="983">
      <formula>G302="n"</formula>
    </cfRule>
  </conditionalFormatting>
  <conditionalFormatting sqref="C302">
    <cfRule type="expression" dxfId="1134" priority="982">
      <formula>G302="n"</formula>
    </cfRule>
  </conditionalFormatting>
  <conditionalFormatting sqref="A302">
    <cfRule type="expression" dxfId="1133" priority="981">
      <formula>G302="n"</formula>
    </cfRule>
  </conditionalFormatting>
  <conditionalFormatting sqref="B302">
    <cfRule type="expression" dxfId="1132" priority="980">
      <formula>G302="n"</formula>
    </cfRule>
  </conditionalFormatting>
  <conditionalFormatting sqref="C302">
    <cfRule type="expression" dxfId="1131" priority="979">
      <formula>G302="n"</formula>
    </cfRule>
  </conditionalFormatting>
  <conditionalFormatting sqref="A303">
    <cfRule type="expression" dxfId="1130" priority="978">
      <formula>G303="n"</formula>
    </cfRule>
  </conditionalFormatting>
  <conditionalFormatting sqref="B303">
    <cfRule type="expression" dxfId="1129" priority="977">
      <formula>G303="n"</formula>
    </cfRule>
  </conditionalFormatting>
  <conditionalFormatting sqref="C303">
    <cfRule type="expression" dxfId="1128" priority="976">
      <formula>G303="n"</formula>
    </cfRule>
  </conditionalFormatting>
  <conditionalFormatting sqref="A303">
    <cfRule type="expression" dxfId="1127" priority="975">
      <formula>G303="n"</formula>
    </cfRule>
  </conditionalFormatting>
  <conditionalFormatting sqref="B303">
    <cfRule type="expression" dxfId="1126" priority="974">
      <formula>G303="n"</formula>
    </cfRule>
  </conditionalFormatting>
  <conditionalFormatting sqref="C303">
    <cfRule type="expression" dxfId="1125" priority="973">
      <formula>G303="n"</formula>
    </cfRule>
  </conditionalFormatting>
  <conditionalFormatting sqref="D306">
    <cfRule type="expression" dxfId="1124" priority="972">
      <formula>G306="n"</formula>
    </cfRule>
  </conditionalFormatting>
  <conditionalFormatting sqref="E306">
    <cfRule type="expression" dxfId="1123" priority="971">
      <formula>G306="n"</formula>
    </cfRule>
  </conditionalFormatting>
  <conditionalFormatting sqref="D306">
    <cfRule type="expression" dxfId="1122" priority="970">
      <formula>G306="n"</formula>
    </cfRule>
  </conditionalFormatting>
  <conditionalFormatting sqref="E306">
    <cfRule type="expression" dxfId="1121" priority="969">
      <formula>G306="n"</formula>
    </cfRule>
  </conditionalFormatting>
  <conditionalFormatting sqref="D306">
    <cfRule type="expression" dxfId="1120" priority="968">
      <formula>G306="n"</formula>
    </cfRule>
  </conditionalFormatting>
  <conditionalFormatting sqref="E306">
    <cfRule type="expression" dxfId="1119" priority="967">
      <formula>G306="n"</formula>
    </cfRule>
  </conditionalFormatting>
  <conditionalFormatting sqref="D306">
    <cfRule type="expression" dxfId="1118" priority="966">
      <formula>G306="n"</formula>
    </cfRule>
  </conditionalFormatting>
  <conditionalFormatting sqref="E306">
    <cfRule type="expression" dxfId="1117" priority="965">
      <formula>G306="n"</formula>
    </cfRule>
  </conditionalFormatting>
  <conditionalFormatting sqref="A306">
    <cfRule type="expression" dxfId="1116" priority="962">
      <formula>G306="n"</formula>
    </cfRule>
  </conditionalFormatting>
  <conditionalFormatting sqref="B306">
    <cfRule type="expression" dxfId="1115" priority="961">
      <formula>G306="n"</formula>
    </cfRule>
  </conditionalFormatting>
  <conditionalFormatting sqref="C306">
    <cfRule type="expression" dxfId="1114" priority="960">
      <formula>G306="n"</formula>
    </cfRule>
  </conditionalFormatting>
  <conditionalFormatting sqref="A306">
    <cfRule type="expression" dxfId="1113" priority="959">
      <formula>G306="n"</formula>
    </cfRule>
  </conditionalFormatting>
  <conditionalFormatting sqref="B306">
    <cfRule type="expression" dxfId="1112" priority="958">
      <formula>G306="n"</formula>
    </cfRule>
  </conditionalFormatting>
  <conditionalFormatting sqref="C306">
    <cfRule type="expression" dxfId="1111" priority="957">
      <formula>G306="n"</formula>
    </cfRule>
  </conditionalFormatting>
  <conditionalFormatting sqref="F307:F308">
    <cfRule type="expression" dxfId="1110" priority="956">
      <formula>G307="n"</formula>
    </cfRule>
  </conditionalFormatting>
  <conditionalFormatting sqref="E307:E308">
    <cfRule type="expression" dxfId="1109" priority="955">
      <formula>G307="n"</formula>
    </cfRule>
  </conditionalFormatting>
  <conditionalFormatting sqref="A307:A308">
    <cfRule type="expression" dxfId="1108" priority="954">
      <formula>G307="n"</formula>
    </cfRule>
  </conditionalFormatting>
  <conditionalFormatting sqref="B307:B308">
    <cfRule type="expression" dxfId="1107" priority="953">
      <formula>G307="n"</formula>
    </cfRule>
  </conditionalFormatting>
  <conditionalFormatting sqref="C307:C308">
    <cfRule type="expression" dxfId="1106" priority="952">
      <formula>G307="n"</formula>
    </cfRule>
  </conditionalFormatting>
  <conditionalFormatting sqref="D307:D308">
    <cfRule type="expression" dxfId="1105" priority="951">
      <formula>G307="n"</formula>
    </cfRule>
  </conditionalFormatting>
  <conditionalFormatting sqref="A307:A308">
    <cfRule type="expression" dxfId="1104" priority="950">
      <formula>G307="n"</formula>
    </cfRule>
  </conditionalFormatting>
  <conditionalFormatting sqref="B307:B308">
    <cfRule type="expression" dxfId="1103" priority="949">
      <formula>G307="n"</formula>
    </cfRule>
  </conditionalFormatting>
  <conditionalFormatting sqref="C307:C308">
    <cfRule type="expression" dxfId="1102" priority="948">
      <formula>G307="n"</formula>
    </cfRule>
  </conditionalFormatting>
  <conditionalFormatting sqref="D307:D308">
    <cfRule type="expression" dxfId="1101" priority="947">
      <formula>G307="n"</formula>
    </cfRule>
  </conditionalFormatting>
  <conditionalFormatting sqref="D324">
    <cfRule type="expression" dxfId="1100" priority="944">
      <formula>G324="n"</formula>
    </cfRule>
  </conditionalFormatting>
  <conditionalFormatting sqref="E324">
    <cfRule type="expression" dxfId="1099" priority="943">
      <formula>G324="n"</formula>
    </cfRule>
  </conditionalFormatting>
  <conditionalFormatting sqref="D324">
    <cfRule type="expression" dxfId="1098" priority="942">
      <formula>G324="n"</formula>
    </cfRule>
  </conditionalFormatting>
  <conditionalFormatting sqref="E324">
    <cfRule type="expression" dxfId="1097" priority="941">
      <formula>G324="n"</formula>
    </cfRule>
  </conditionalFormatting>
  <conditionalFormatting sqref="D324">
    <cfRule type="expression" dxfId="1096" priority="940">
      <formula>G324="n"</formula>
    </cfRule>
  </conditionalFormatting>
  <conditionalFormatting sqref="E324">
    <cfRule type="expression" dxfId="1095" priority="939">
      <formula>G324="n"</formula>
    </cfRule>
  </conditionalFormatting>
  <conditionalFormatting sqref="D324">
    <cfRule type="expression" dxfId="1094" priority="938">
      <formula>G324="n"</formula>
    </cfRule>
  </conditionalFormatting>
  <conditionalFormatting sqref="E324">
    <cfRule type="expression" dxfId="1093" priority="937">
      <formula>G324="n"</formula>
    </cfRule>
  </conditionalFormatting>
  <conditionalFormatting sqref="A324">
    <cfRule type="expression" dxfId="1092" priority="936">
      <formula>G324="n"</formula>
    </cfRule>
  </conditionalFormatting>
  <conditionalFormatting sqref="B324">
    <cfRule type="expression" dxfId="1091" priority="935">
      <formula>G324="n"</formula>
    </cfRule>
  </conditionalFormatting>
  <conditionalFormatting sqref="C324">
    <cfRule type="expression" dxfId="1090" priority="934">
      <formula>G324="n"</formula>
    </cfRule>
  </conditionalFormatting>
  <conditionalFormatting sqref="A324">
    <cfRule type="expression" dxfId="1089" priority="933">
      <formula>G324="n"</formula>
    </cfRule>
  </conditionalFormatting>
  <conditionalFormatting sqref="B324">
    <cfRule type="expression" dxfId="1088" priority="932">
      <formula>G324="n"</formula>
    </cfRule>
  </conditionalFormatting>
  <conditionalFormatting sqref="C324">
    <cfRule type="expression" dxfId="1087" priority="931">
      <formula>G324="n"</formula>
    </cfRule>
  </conditionalFormatting>
  <conditionalFormatting sqref="F325">
    <cfRule type="expression" dxfId="1086" priority="930">
      <formula>G325="n"</formula>
    </cfRule>
  </conditionalFormatting>
  <conditionalFormatting sqref="E325">
    <cfRule type="expression" dxfId="1085" priority="929">
      <formula>G325="n"</formula>
    </cfRule>
  </conditionalFormatting>
  <conditionalFormatting sqref="A325">
    <cfRule type="expression" dxfId="1084" priority="928">
      <formula>G325="n"</formula>
    </cfRule>
  </conditionalFormatting>
  <conditionalFormatting sqref="B325">
    <cfRule type="expression" dxfId="1083" priority="927">
      <formula>G325="n"</formula>
    </cfRule>
  </conditionalFormatting>
  <conditionalFormatting sqref="C325">
    <cfRule type="expression" dxfId="1082" priority="926">
      <formula>G325="n"</formula>
    </cfRule>
  </conditionalFormatting>
  <conditionalFormatting sqref="D325">
    <cfRule type="expression" dxfId="1081" priority="925">
      <formula>G325="n"</formula>
    </cfRule>
  </conditionalFormatting>
  <conditionalFormatting sqref="A325">
    <cfRule type="expression" dxfId="1080" priority="924">
      <formula>G325="n"</formula>
    </cfRule>
  </conditionalFormatting>
  <conditionalFormatting sqref="B325">
    <cfRule type="expression" dxfId="1079" priority="923">
      <formula>G325="n"</formula>
    </cfRule>
  </conditionalFormatting>
  <conditionalFormatting sqref="C325">
    <cfRule type="expression" dxfId="1078" priority="922">
      <formula>G325="n"</formula>
    </cfRule>
  </conditionalFormatting>
  <conditionalFormatting sqref="D325">
    <cfRule type="expression" dxfId="1077" priority="921">
      <formula>G325="n"</formula>
    </cfRule>
  </conditionalFormatting>
  <conditionalFormatting sqref="A320">
    <cfRule type="expression" dxfId="1076" priority="920">
      <formula>G320="n"</formula>
    </cfRule>
  </conditionalFormatting>
  <conditionalFormatting sqref="B320">
    <cfRule type="expression" dxfId="1075" priority="919">
      <formula>G320="n"</formula>
    </cfRule>
  </conditionalFormatting>
  <conditionalFormatting sqref="C320">
    <cfRule type="expression" dxfId="1074" priority="918">
      <formula>G320="n"</formula>
    </cfRule>
  </conditionalFormatting>
  <conditionalFormatting sqref="A320">
    <cfRule type="expression" dxfId="1073" priority="917">
      <formula>G320="n"</formula>
    </cfRule>
  </conditionalFormatting>
  <conditionalFormatting sqref="B320">
    <cfRule type="expression" dxfId="1072" priority="916">
      <formula>G320="n"</formula>
    </cfRule>
  </conditionalFormatting>
  <conditionalFormatting sqref="C320">
    <cfRule type="expression" dxfId="1071" priority="915">
      <formula>G320="n"</formula>
    </cfRule>
  </conditionalFormatting>
  <conditionalFormatting sqref="F320">
    <cfRule type="expression" dxfId="1070" priority="912">
      <formula>G320="n"</formula>
    </cfRule>
  </conditionalFormatting>
  <conditionalFormatting sqref="E320">
    <cfRule type="expression" dxfId="1069" priority="911">
      <formula>G320="n"</formula>
    </cfRule>
  </conditionalFormatting>
  <conditionalFormatting sqref="E320">
    <cfRule type="expression" dxfId="1068" priority="910">
      <formula>G320="n"</formula>
    </cfRule>
  </conditionalFormatting>
  <conditionalFormatting sqref="E320">
    <cfRule type="expression" dxfId="1067" priority="909">
      <formula>G320="n"</formula>
    </cfRule>
  </conditionalFormatting>
  <conditionalFormatting sqref="E320">
    <cfRule type="expression" dxfId="1066" priority="908">
      <formula>G320="n"</formula>
    </cfRule>
  </conditionalFormatting>
  <conditionalFormatting sqref="F321">
    <cfRule type="expression" dxfId="1065" priority="901">
      <formula>G321="n"</formula>
    </cfRule>
  </conditionalFormatting>
  <conditionalFormatting sqref="E321">
    <cfRule type="expression" dxfId="1064" priority="900">
      <formula>G321="n"</formula>
    </cfRule>
  </conditionalFormatting>
  <conditionalFormatting sqref="E321">
    <cfRule type="expression" dxfId="1063" priority="899">
      <formula>G321="n"</formula>
    </cfRule>
  </conditionalFormatting>
  <conditionalFormatting sqref="E321">
    <cfRule type="expression" dxfId="1062" priority="898">
      <formula>G321="n"</formula>
    </cfRule>
  </conditionalFormatting>
  <conditionalFormatting sqref="E321">
    <cfRule type="expression" dxfId="1061" priority="897">
      <formula>G321="n"</formula>
    </cfRule>
  </conditionalFormatting>
  <conditionalFormatting sqref="F322">
    <cfRule type="expression" dxfId="1060" priority="896">
      <formula>G322="n"</formula>
    </cfRule>
  </conditionalFormatting>
  <conditionalFormatting sqref="E322">
    <cfRule type="expression" dxfId="1059" priority="895">
      <formula>G322="n"</formula>
    </cfRule>
  </conditionalFormatting>
  <conditionalFormatting sqref="E322">
    <cfRule type="expression" dxfId="1058" priority="894">
      <formula>G322="n"</formula>
    </cfRule>
  </conditionalFormatting>
  <conditionalFormatting sqref="E322">
    <cfRule type="expression" dxfId="1057" priority="893">
      <formula>G322="n"</formula>
    </cfRule>
  </conditionalFormatting>
  <conditionalFormatting sqref="E322">
    <cfRule type="expression" dxfId="1056" priority="892">
      <formula>G322="n"</formula>
    </cfRule>
  </conditionalFormatting>
  <conditionalFormatting sqref="F323">
    <cfRule type="expression" dxfId="1055" priority="891">
      <formula>G323="n"</formula>
    </cfRule>
  </conditionalFormatting>
  <conditionalFormatting sqref="E323">
    <cfRule type="expression" dxfId="1054" priority="890">
      <formula>G323="n"</formula>
    </cfRule>
  </conditionalFormatting>
  <conditionalFormatting sqref="E323">
    <cfRule type="expression" dxfId="1053" priority="889">
      <formula>G323="n"</formula>
    </cfRule>
  </conditionalFormatting>
  <conditionalFormatting sqref="E323">
    <cfRule type="expression" dxfId="1052" priority="888">
      <formula>G323="n"</formula>
    </cfRule>
  </conditionalFormatting>
  <conditionalFormatting sqref="E323">
    <cfRule type="expression" dxfId="1051" priority="887">
      <formula>G323="n"</formula>
    </cfRule>
  </conditionalFormatting>
  <conditionalFormatting sqref="A321">
    <cfRule type="expression" dxfId="1050" priority="886">
      <formula>G321="n"</formula>
    </cfRule>
  </conditionalFormatting>
  <conditionalFormatting sqref="B321">
    <cfRule type="expression" dxfId="1049" priority="885">
      <formula>G321="n"</formula>
    </cfRule>
  </conditionalFormatting>
  <conditionalFormatting sqref="C321">
    <cfRule type="expression" dxfId="1048" priority="884">
      <formula>G321="n"</formula>
    </cfRule>
  </conditionalFormatting>
  <conditionalFormatting sqref="A321">
    <cfRule type="expression" dxfId="1047" priority="883">
      <formula>G321="n"</formula>
    </cfRule>
  </conditionalFormatting>
  <conditionalFormatting sqref="B321">
    <cfRule type="expression" dxfId="1046" priority="882">
      <formula>G321="n"</formula>
    </cfRule>
  </conditionalFormatting>
  <conditionalFormatting sqref="C321">
    <cfRule type="expression" dxfId="1045" priority="881">
      <formula>G321="n"</formula>
    </cfRule>
  </conditionalFormatting>
  <conditionalFormatting sqref="A322">
    <cfRule type="expression" dxfId="1044" priority="880">
      <formula>G322="n"</formula>
    </cfRule>
  </conditionalFormatting>
  <conditionalFormatting sqref="B322">
    <cfRule type="expression" dxfId="1043" priority="879">
      <formula>G322="n"</formula>
    </cfRule>
  </conditionalFormatting>
  <conditionalFormatting sqref="C322">
    <cfRule type="expression" dxfId="1042" priority="878">
      <formula>G322="n"</formula>
    </cfRule>
  </conditionalFormatting>
  <conditionalFormatting sqref="A322">
    <cfRule type="expression" dxfId="1041" priority="877">
      <formula>G322="n"</formula>
    </cfRule>
  </conditionalFormatting>
  <conditionalFormatting sqref="B322">
    <cfRule type="expression" dxfId="1040" priority="876">
      <formula>G322="n"</formula>
    </cfRule>
  </conditionalFormatting>
  <conditionalFormatting sqref="C322">
    <cfRule type="expression" dxfId="1039" priority="875">
      <formula>G322="n"</formula>
    </cfRule>
  </conditionalFormatting>
  <conditionalFormatting sqref="A323">
    <cfRule type="expression" dxfId="1038" priority="874">
      <formula>G323="n"</formula>
    </cfRule>
  </conditionalFormatting>
  <conditionalFormatting sqref="B323">
    <cfRule type="expression" dxfId="1037" priority="873">
      <formula>G323="n"</formula>
    </cfRule>
  </conditionalFormatting>
  <conditionalFormatting sqref="C323">
    <cfRule type="expression" dxfId="1036" priority="872">
      <formula>G323="n"</formula>
    </cfRule>
  </conditionalFormatting>
  <conditionalFormatting sqref="A323">
    <cfRule type="expression" dxfId="1035" priority="871">
      <formula>G323="n"</formula>
    </cfRule>
  </conditionalFormatting>
  <conditionalFormatting sqref="B323">
    <cfRule type="expression" dxfId="1034" priority="870">
      <formula>G323="n"</formula>
    </cfRule>
  </conditionalFormatting>
  <conditionalFormatting sqref="C323">
    <cfRule type="expression" dxfId="1033" priority="869">
      <formula>G323="n"</formula>
    </cfRule>
  </conditionalFormatting>
  <conditionalFormatting sqref="F329">
    <cfRule type="expression" dxfId="1032" priority="860">
      <formula>G329="n"</formula>
    </cfRule>
  </conditionalFormatting>
  <conditionalFormatting sqref="E329">
    <cfRule type="expression" dxfId="1031" priority="859">
      <formula>G329="n"</formula>
    </cfRule>
  </conditionalFormatting>
  <conditionalFormatting sqref="E329">
    <cfRule type="expression" dxfId="1030" priority="858">
      <formula>G329="n"</formula>
    </cfRule>
  </conditionalFormatting>
  <conditionalFormatting sqref="E329">
    <cfRule type="expression" dxfId="1029" priority="857">
      <formula>G329="n"</formula>
    </cfRule>
  </conditionalFormatting>
  <conditionalFormatting sqref="E329">
    <cfRule type="expression" dxfId="1028" priority="856">
      <formula>G329="n"</formula>
    </cfRule>
  </conditionalFormatting>
  <conditionalFormatting sqref="F330">
    <cfRule type="expression" dxfId="1027" priority="855">
      <formula>G330="n"</formula>
    </cfRule>
  </conditionalFormatting>
  <conditionalFormatting sqref="E330">
    <cfRule type="expression" dxfId="1026" priority="854">
      <formula>G330="n"</formula>
    </cfRule>
  </conditionalFormatting>
  <conditionalFormatting sqref="E330">
    <cfRule type="expression" dxfId="1025" priority="853">
      <formula>G330="n"</formula>
    </cfRule>
  </conditionalFormatting>
  <conditionalFormatting sqref="E330">
    <cfRule type="expression" dxfId="1024" priority="852">
      <formula>G330="n"</formula>
    </cfRule>
  </conditionalFormatting>
  <conditionalFormatting sqref="E330">
    <cfRule type="expression" dxfId="1023" priority="851">
      <formula>G330="n"</formula>
    </cfRule>
  </conditionalFormatting>
  <conditionalFormatting sqref="F331">
    <cfRule type="expression" dxfId="1022" priority="850">
      <formula>G331="n"</formula>
    </cfRule>
  </conditionalFormatting>
  <conditionalFormatting sqref="E331">
    <cfRule type="expression" dxfId="1021" priority="849">
      <formula>G331="n"</formula>
    </cfRule>
  </conditionalFormatting>
  <conditionalFormatting sqref="E331">
    <cfRule type="expression" dxfId="1020" priority="848">
      <formula>G331="n"</formula>
    </cfRule>
  </conditionalFormatting>
  <conditionalFormatting sqref="E331">
    <cfRule type="expression" dxfId="1019" priority="847">
      <formula>G331="n"</formula>
    </cfRule>
  </conditionalFormatting>
  <conditionalFormatting sqref="E331">
    <cfRule type="expression" dxfId="1018" priority="846">
      <formula>G331="n"</formula>
    </cfRule>
  </conditionalFormatting>
  <conditionalFormatting sqref="F332">
    <cfRule type="expression" dxfId="1017" priority="845">
      <formula>G332="n"</formula>
    </cfRule>
  </conditionalFormatting>
  <conditionalFormatting sqref="E332">
    <cfRule type="expression" dxfId="1016" priority="844">
      <formula>G332="n"</formula>
    </cfRule>
  </conditionalFormatting>
  <conditionalFormatting sqref="E332">
    <cfRule type="expression" dxfId="1015" priority="843">
      <formula>G332="n"</formula>
    </cfRule>
  </conditionalFormatting>
  <conditionalFormatting sqref="E332">
    <cfRule type="expression" dxfId="1014" priority="842">
      <formula>G332="n"</formula>
    </cfRule>
  </conditionalFormatting>
  <conditionalFormatting sqref="E332">
    <cfRule type="expression" dxfId="1013" priority="841">
      <formula>G332="n"</formula>
    </cfRule>
  </conditionalFormatting>
  <conditionalFormatting sqref="A329">
    <cfRule type="expression" dxfId="1012" priority="840">
      <formula>G329="n"</formula>
    </cfRule>
  </conditionalFormatting>
  <conditionalFormatting sqref="B329">
    <cfRule type="expression" dxfId="1011" priority="839">
      <formula>G329="n"</formula>
    </cfRule>
  </conditionalFormatting>
  <conditionalFormatting sqref="C329">
    <cfRule type="expression" dxfId="1010" priority="838">
      <formula>G329="n"</formula>
    </cfRule>
  </conditionalFormatting>
  <conditionalFormatting sqref="A329">
    <cfRule type="expression" dxfId="1009" priority="837">
      <formula>G329="n"</formula>
    </cfRule>
  </conditionalFormatting>
  <conditionalFormatting sqref="B329">
    <cfRule type="expression" dxfId="1008" priority="836">
      <formula>G329="n"</formula>
    </cfRule>
  </conditionalFormatting>
  <conditionalFormatting sqref="C329">
    <cfRule type="expression" dxfId="1007" priority="835">
      <formula>G329="n"</formula>
    </cfRule>
  </conditionalFormatting>
  <conditionalFormatting sqref="A330">
    <cfRule type="expression" dxfId="1006" priority="834">
      <formula>G330="n"</formula>
    </cfRule>
  </conditionalFormatting>
  <conditionalFormatting sqref="B330">
    <cfRule type="expression" dxfId="1005" priority="833">
      <formula>G330="n"</formula>
    </cfRule>
  </conditionalFormatting>
  <conditionalFormatting sqref="C330">
    <cfRule type="expression" dxfId="1004" priority="832">
      <formula>G330="n"</formula>
    </cfRule>
  </conditionalFormatting>
  <conditionalFormatting sqref="A330">
    <cfRule type="expression" dxfId="1003" priority="831">
      <formula>G330="n"</formula>
    </cfRule>
  </conditionalFormatting>
  <conditionalFormatting sqref="B330">
    <cfRule type="expression" dxfId="1002" priority="830">
      <formula>G330="n"</formula>
    </cfRule>
  </conditionalFormatting>
  <conditionalFormatting sqref="C330">
    <cfRule type="expression" dxfId="1001" priority="829">
      <formula>G330="n"</formula>
    </cfRule>
  </conditionalFormatting>
  <conditionalFormatting sqref="A331">
    <cfRule type="expression" dxfId="1000" priority="828">
      <formula>G331="n"</formula>
    </cfRule>
  </conditionalFormatting>
  <conditionalFormatting sqref="B331">
    <cfRule type="expression" dxfId="999" priority="827">
      <formula>G331="n"</formula>
    </cfRule>
  </conditionalFormatting>
  <conditionalFormatting sqref="C331">
    <cfRule type="expression" dxfId="998" priority="826">
      <formula>G331="n"</formula>
    </cfRule>
  </conditionalFormatting>
  <conditionalFormatting sqref="A331">
    <cfRule type="expression" dxfId="997" priority="825">
      <formula>G331="n"</formula>
    </cfRule>
  </conditionalFormatting>
  <conditionalFormatting sqref="B331">
    <cfRule type="expression" dxfId="996" priority="824">
      <formula>G331="n"</formula>
    </cfRule>
  </conditionalFormatting>
  <conditionalFormatting sqref="C331">
    <cfRule type="expression" dxfId="995" priority="823">
      <formula>G331="n"</formula>
    </cfRule>
  </conditionalFormatting>
  <conditionalFormatting sqref="A332">
    <cfRule type="expression" dxfId="994" priority="822">
      <formula>G332="n"</formula>
    </cfRule>
  </conditionalFormatting>
  <conditionalFormatting sqref="B332">
    <cfRule type="expression" dxfId="993" priority="821">
      <formula>G332="n"</formula>
    </cfRule>
  </conditionalFormatting>
  <conditionalFormatting sqref="C332">
    <cfRule type="expression" dxfId="992" priority="820">
      <formula>G332="n"</formula>
    </cfRule>
  </conditionalFormatting>
  <conditionalFormatting sqref="A332">
    <cfRule type="expression" dxfId="991" priority="819">
      <formula>G332="n"</formula>
    </cfRule>
  </conditionalFormatting>
  <conditionalFormatting sqref="B332">
    <cfRule type="expression" dxfId="990" priority="818">
      <formula>G332="n"</formula>
    </cfRule>
  </conditionalFormatting>
  <conditionalFormatting sqref="C332">
    <cfRule type="expression" dxfId="989" priority="817">
      <formula>G332="n"</formula>
    </cfRule>
  </conditionalFormatting>
  <conditionalFormatting sqref="D333">
    <cfRule type="expression" dxfId="988" priority="814">
      <formula>G333="n"</formula>
    </cfRule>
  </conditionalFormatting>
  <conditionalFormatting sqref="E333">
    <cfRule type="expression" dxfId="987" priority="813">
      <formula>G333="n"</formula>
    </cfRule>
  </conditionalFormatting>
  <conditionalFormatting sqref="D333">
    <cfRule type="expression" dxfId="986" priority="812">
      <formula>G333="n"</formula>
    </cfRule>
  </conditionalFormatting>
  <conditionalFormatting sqref="E333">
    <cfRule type="expression" dxfId="985" priority="811">
      <formula>G333="n"</formula>
    </cfRule>
  </conditionalFormatting>
  <conditionalFormatting sqref="D333">
    <cfRule type="expression" dxfId="984" priority="810">
      <formula>G333="n"</formula>
    </cfRule>
  </conditionalFormatting>
  <conditionalFormatting sqref="E333">
    <cfRule type="expression" dxfId="983" priority="809">
      <formula>G333="n"</formula>
    </cfRule>
  </conditionalFormatting>
  <conditionalFormatting sqref="D333">
    <cfRule type="expression" dxfId="982" priority="808">
      <formula>G333="n"</formula>
    </cfRule>
  </conditionalFormatting>
  <conditionalFormatting sqref="E333">
    <cfRule type="expression" dxfId="981" priority="807">
      <formula>G333="n"</formula>
    </cfRule>
  </conditionalFormatting>
  <conditionalFormatting sqref="A333">
    <cfRule type="expression" dxfId="980" priority="806">
      <formula>G333="n"</formula>
    </cfRule>
  </conditionalFormatting>
  <conditionalFormatting sqref="B333">
    <cfRule type="expression" dxfId="979" priority="805">
      <formula>G333="n"</formula>
    </cfRule>
  </conditionalFormatting>
  <conditionalFormatting sqref="C333">
    <cfRule type="expression" dxfId="978" priority="804">
      <formula>G333="n"</formula>
    </cfRule>
  </conditionalFormatting>
  <conditionalFormatting sqref="A333">
    <cfRule type="expression" dxfId="977" priority="803">
      <formula>G333="n"</formula>
    </cfRule>
  </conditionalFormatting>
  <conditionalFormatting sqref="B333">
    <cfRule type="expression" dxfId="976" priority="802">
      <formula>G333="n"</formula>
    </cfRule>
  </conditionalFormatting>
  <conditionalFormatting sqref="C333">
    <cfRule type="expression" dxfId="975" priority="801">
      <formula>G333="n"</formula>
    </cfRule>
  </conditionalFormatting>
  <conditionalFormatting sqref="D335">
    <cfRule type="expression" dxfId="974" priority="798">
      <formula>G335="n"</formula>
    </cfRule>
  </conditionalFormatting>
  <conditionalFormatting sqref="E335">
    <cfRule type="expression" dxfId="973" priority="797">
      <formula>G335="n"</formula>
    </cfRule>
  </conditionalFormatting>
  <conditionalFormatting sqref="D335">
    <cfRule type="expression" dxfId="972" priority="796">
      <formula>G335="n"</formula>
    </cfRule>
  </conditionalFormatting>
  <conditionalFormatting sqref="E335">
    <cfRule type="expression" dxfId="971" priority="795">
      <formula>G335="n"</formula>
    </cfRule>
  </conditionalFormatting>
  <conditionalFormatting sqref="D335">
    <cfRule type="expression" dxfId="970" priority="794">
      <formula>G335="n"</formula>
    </cfRule>
  </conditionalFormatting>
  <conditionalFormatting sqref="E335">
    <cfRule type="expression" dxfId="969" priority="793">
      <formula>G335="n"</formula>
    </cfRule>
  </conditionalFormatting>
  <conditionalFormatting sqref="D335">
    <cfRule type="expression" dxfId="968" priority="792">
      <formula>G335="n"</formula>
    </cfRule>
  </conditionalFormatting>
  <conditionalFormatting sqref="E335">
    <cfRule type="expression" dxfId="967" priority="791">
      <formula>G335="n"</formula>
    </cfRule>
  </conditionalFormatting>
  <conditionalFormatting sqref="A335">
    <cfRule type="expression" dxfId="966" priority="790">
      <formula>G335="n"</formula>
    </cfRule>
  </conditionalFormatting>
  <conditionalFormatting sqref="B335">
    <cfRule type="expression" dxfId="965" priority="789">
      <formula>G335="n"</formula>
    </cfRule>
  </conditionalFormatting>
  <conditionalFormatting sqref="C335">
    <cfRule type="expression" dxfId="964" priority="788">
      <formula>G335="n"</formula>
    </cfRule>
  </conditionalFormatting>
  <conditionalFormatting sqref="A335">
    <cfRule type="expression" dxfId="963" priority="787">
      <formula>G335="n"</formula>
    </cfRule>
  </conditionalFormatting>
  <conditionalFormatting sqref="B335">
    <cfRule type="expression" dxfId="962" priority="786">
      <formula>G335="n"</formula>
    </cfRule>
  </conditionalFormatting>
  <conditionalFormatting sqref="C335">
    <cfRule type="expression" dxfId="961" priority="785">
      <formula>G335="n"</formula>
    </cfRule>
  </conditionalFormatting>
  <conditionalFormatting sqref="D335">
    <cfRule type="expression" dxfId="960" priority="784">
      <formula>G335="n"</formula>
    </cfRule>
  </conditionalFormatting>
  <conditionalFormatting sqref="E335">
    <cfRule type="expression" dxfId="959" priority="783">
      <formula>G335="n"</formula>
    </cfRule>
  </conditionalFormatting>
  <conditionalFormatting sqref="D335">
    <cfRule type="expression" dxfId="958" priority="782">
      <formula>G335="n"</formula>
    </cfRule>
  </conditionalFormatting>
  <conditionalFormatting sqref="E335">
    <cfRule type="expression" dxfId="957" priority="781">
      <formula>G335="n"</formula>
    </cfRule>
  </conditionalFormatting>
  <conditionalFormatting sqref="D335">
    <cfRule type="expression" dxfId="956" priority="780">
      <formula>G335="n"</formula>
    </cfRule>
  </conditionalFormatting>
  <conditionalFormatting sqref="E335">
    <cfRule type="expression" dxfId="955" priority="779">
      <formula>G335="n"</formula>
    </cfRule>
  </conditionalFormatting>
  <conditionalFormatting sqref="D335">
    <cfRule type="expression" dxfId="954" priority="778">
      <formula>G335="n"</formula>
    </cfRule>
  </conditionalFormatting>
  <conditionalFormatting sqref="E335">
    <cfRule type="expression" dxfId="953" priority="777">
      <formula>G335="n"</formula>
    </cfRule>
  </conditionalFormatting>
  <conditionalFormatting sqref="E336">
    <cfRule type="expression" dxfId="952" priority="776">
      <formula>G336="n"</formula>
    </cfRule>
  </conditionalFormatting>
  <conditionalFormatting sqref="F336">
    <cfRule type="expression" dxfId="951" priority="773">
      <formula>G336="n"</formula>
    </cfRule>
  </conditionalFormatting>
  <conditionalFormatting sqref="A336">
    <cfRule type="expression" dxfId="950" priority="772">
      <formula>G336="n"</formula>
    </cfRule>
  </conditionalFormatting>
  <conditionalFormatting sqref="B336">
    <cfRule type="expression" dxfId="949" priority="771">
      <formula>G336="n"</formula>
    </cfRule>
  </conditionalFormatting>
  <conditionalFormatting sqref="C336">
    <cfRule type="expression" dxfId="948" priority="770">
      <formula>G336="n"</formula>
    </cfRule>
  </conditionalFormatting>
  <conditionalFormatting sqref="A336">
    <cfRule type="expression" dxfId="947" priority="769">
      <formula>G336="n"</formula>
    </cfRule>
  </conditionalFormatting>
  <conditionalFormatting sqref="B336">
    <cfRule type="expression" dxfId="946" priority="768">
      <formula>G336="n"</formula>
    </cfRule>
  </conditionalFormatting>
  <conditionalFormatting sqref="C336">
    <cfRule type="expression" dxfId="945" priority="767">
      <formula>G336="n"</formula>
    </cfRule>
  </conditionalFormatting>
  <conditionalFormatting sqref="D354">
    <cfRule type="expression" dxfId="944" priority="764">
      <formula>G354="n"</formula>
    </cfRule>
  </conditionalFormatting>
  <conditionalFormatting sqref="E354">
    <cfRule type="expression" dxfId="943" priority="763">
      <formula>G354="n"</formula>
    </cfRule>
  </conditionalFormatting>
  <conditionalFormatting sqref="D354">
    <cfRule type="expression" dxfId="942" priority="762">
      <formula>G354="n"</formula>
    </cfRule>
  </conditionalFormatting>
  <conditionalFormatting sqref="E354">
    <cfRule type="expression" dxfId="941" priority="761">
      <formula>G354="n"</formula>
    </cfRule>
  </conditionalFormatting>
  <conditionalFormatting sqref="D354">
    <cfRule type="expression" dxfId="940" priority="760">
      <formula>G354="n"</formula>
    </cfRule>
  </conditionalFormatting>
  <conditionalFormatting sqref="E354">
    <cfRule type="expression" dxfId="939" priority="759">
      <formula>G354="n"</formula>
    </cfRule>
  </conditionalFormatting>
  <conditionalFormatting sqref="D354">
    <cfRule type="expression" dxfId="938" priority="758">
      <formula>G354="n"</formula>
    </cfRule>
  </conditionalFormatting>
  <conditionalFormatting sqref="E354">
    <cfRule type="expression" dxfId="937" priority="757">
      <formula>G354="n"</formula>
    </cfRule>
  </conditionalFormatting>
  <conditionalFormatting sqref="A354">
    <cfRule type="expression" dxfId="936" priority="756">
      <formula>G354="n"</formula>
    </cfRule>
  </conditionalFormatting>
  <conditionalFormatting sqref="B354">
    <cfRule type="expression" dxfId="935" priority="755">
      <formula>G354="n"</formula>
    </cfRule>
  </conditionalFormatting>
  <conditionalFormatting sqref="C354">
    <cfRule type="expression" dxfId="934" priority="754">
      <formula>G354="n"</formula>
    </cfRule>
  </conditionalFormatting>
  <conditionalFormatting sqref="A354">
    <cfRule type="expression" dxfId="933" priority="753">
      <formula>G354="n"</formula>
    </cfRule>
  </conditionalFormatting>
  <conditionalFormatting sqref="B354">
    <cfRule type="expression" dxfId="932" priority="752">
      <formula>G354="n"</formula>
    </cfRule>
  </conditionalFormatting>
  <conditionalFormatting sqref="C354">
    <cfRule type="expression" dxfId="931" priority="751">
      <formula>G354="n"</formula>
    </cfRule>
  </conditionalFormatting>
  <conditionalFormatting sqref="F334">
    <cfRule type="expression" dxfId="930" priority="750">
      <formula>G334="n"</formula>
    </cfRule>
  </conditionalFormatting>
  <conditionalFormatting sqref="E334">
    <cfRule type="expression" dxfId="929" priority="749">
      <formula>G334="n"</formula>
    </cfRule>
  </conditionalFormatting>
  <conditionalFormatting sqref="A334">
    <cfRule type="expression" dxfId="928" priority="748">
      <formula>G334="n"</formula>
    </cfRule>
  </conditionalFormatting>
  <conditionalFormatting sqref="B334">
    <cfRule type="expression" dxfId="927" priority="747">
      <formula>G334="n"</formula>
    </cfRule>
  </conditionalFormatting>
  <conditionalFormatting sqref="C334">
    <cfRule type="expression" dxfId="926" priority="746">
      <formula>G334="n"</formula>
    </cfRule>
  </conditionalFormatting>
  <conditionalFormatting sqref="D334">
    <cfRule type="expression" dxfId="925" priority="745">
      <formula>G334="n"</formula>
    </cfRule>
  </conditionalFormatting>
  <conditionalFormatting sqref="A334">
    <cfRule type="expression" dxfId="924" priority="744">
      <formula>G334="n"</formula>
    </cfRule>
  </conditionalFormatting>
  <conditionalFormatting sqref="B334">
    <cfRule type="expression" dxfId="923" priority="743">
      <formula>G334="n"</formula>
    </cfRule>
  </conditionalFormatting>
  <conditionalFormatting sqref="C334">
    <cfRule type="expression" dxfId="922" priority="742">
      <formula>G334="n"</formula>
    </cfRule>
  </conditionalFormatting>
  <conditionalFormatting sqref="D334">
    <cfRule type="expression" dxfId="921" priority="741">
      <formula>G334="n"</formula>
    </cfRule>
  </conditionalFormatting>
  <conditionalFormatting sqref="F355">
    <cfRule type="expression" dxfId="920" priority="740">
      <formula>G355="n"</formula>
    </cfRule>
  </conditionalFormatting>
  <conditionalFormatting sqref="E355">
    <cfRule type="expression" dxfId="919" priority="739">
      <formula>G355="n"</formula>
    </cfRule>
  </conditionalFormatting>
  <conditionalFormatting sqref="F357">
    <cfRule type="expression" dxfId="918" priority="738">
      <formula>G357="n"</formula>
    </cfRule>
  </conditionalFormatting>
  <conditionalFormatting sqref="E357">
    <cfRule type="expression" dxfId="917" priority="737">
      <formula>G357="n"</formula>
    </cfRule>
  </conditionalFormatting>
  <conditionalFormatting sqref="A355">
    <cfRule type="expression" dxfId="916" priority="736">
      <formula>G355="n"</formula>
    </cfRule>
  </conditionalFormatting>
  <conditionalFormatting sqref="B355">
    <cfRule type="expression" dxfId="915" priority="735">
      <formula>G355="n"</formula>
    </cfRule>
  </conditionalFormatting>
  <conditionalFormatting sqref="C355">
    <cfRule type="expression" dxfId="914" priority="734">
      <formula>G355="n"</formula>
    </cfRule>
  </conditionalFormatting>
  <conditionalFormatting sqref="D355">
    <cfRule type="expression" dxfId="913" priority="733">
      <formula>G355="n"</formula>
    </cfRule>
  </conditionalFormatting>
  <conditionalFormatting sqref="A355">
    <cfRule type="expression" dxfId="912" priority="732">
      <formula>G355="n"</formula>
    </cfRule>
  </conditionalFormatting>
  <conditionalFormatting sqref="B355">
    <cfRule type="expression" dxfId="911" priority="731">
      <formula>G355="n"</formula>
    </cfRule>
  </conditionalFormatting>
  <conditionalFormatting sqref="C355">
    <cfRule type="expression" dxfId="910" priority="730">
      <formula>G355="n"</formula>
    </cfRule>
  </conditionalFormatting>
  <conditionalFormatting sqref="D355">
    <cfRule type="expression" dxfId="909" priority="729">
      <formula>G355="n"</formula>
    </cfRule>
  </conditionalFormatting>
  <conditionalFormatting sqref="A357">
    <cfRule type="expression" dxfId="908" priority="728">
      <formula>G357="n"</formula>
    </cfRule>
  </conditionalFormatting>
  <conditionalFormatting sqref="B357">
    <cfRule type="expression" dxfId="907" priority="727">
      <formula>G357="n"</formula>
    </cfRule>
  </conditionalFormatting>
  <conditionalFormatting sqref="C357">
    <cfRule type="expression" dxfId="906" priority="726">
      <formula>G357="n"</formula>
    </cfRule>
  </conditionalFormatting>
  <conditionalFormatting sqref="D357">
    <cfRule type="expression" dxfId="905" priority="725">
      <formula>G357="n"</formula>
    </cfRule>
  </conditionalFormatting>
  <conditionalFormatting sqref="A357">
    <cfRule type="expression" dxfId="904" priority="724">
      <formula>G357="n"</formula>
    </cfRule>
  </conditionalFormatting>
  <conditionalFormatting sqref="B357">
    <cfRule type="expression" dxfId="903" priority="723">
      <formula>G357="n"</formula>
    </cfRule>
  </conditionalFormatting>
  <conditionalFormatting sqref="C357">
    <cfRule type="expression" dxfId="902" priority="722">
      <formula>G357="n"</formula>
    </cfRule>
  </conditionalFormatting>
  <conditionalFormatting sqref="D357">
    <cfRule type="expression" dxfId="901" priority="721">
      <formula>G357="n"</formula>
    </cfRule>
  </conditionalFormatting>
  <conditionalFormatting sqref="F356">
    <cfRule type="expression" dxfId="900" priority="720">
      <formula>G356="n"</formula>
    </cfRule>
  </conditionalFormatting>
  <conditionalFormatting sqref="F356">
    <cfRule type="expression" dxfId="899" priority="719">
      <formula>G356="n"</formula>
    </cfRule>
  </conditionalFormatting>
  <conditionalFormatting sqref="D356">
    <cfRule type="expression" dxfId="898" priority="718">
      <formula>G356="n"</formula>
    </cfRule>
  </conditionalFormatting>
  <conditionalFormatting sqref="E356">
    <cfRule type="expression" dxfId="897" priority="717">
      <formula>G356="n"</formula>
    </cfRule>
  </conditionalFormatting>
  <conditionalFormatting sqref="D356">
    <cfRule type="expression" dxfId="896" priority="716">
      <formula>G356="n"</formula>
    </cfRule>
  </conditionalFormatting>
  <conditionalFormatting sqref="E356">
    <cfRule type="expression" dxfId="895" priority="715">
      <formula>G356="n"</formula>
    </cfRule>
  </conditionalFormatting>
  <conditionalFormatting sqref="D356">
    <cfRule type="expression" dxfId="894" priority="714">
      <formula>G356="n"</formula>
    </cfRule>
  </conditionalFormatting>
  <conditionalFormatting sqref="E356">
    <cfRule type="expression" dxfId="893" priority="713">
      <formula>G356="n"</formula>
    </cfRule>
  </conditionalFormatting>
  <conditionalFormatting sqref="D356">
    <cfRule type="expression" dxfId="892" priority="712">
      <formula>G356="n"</formula>
    </cfRule>
  </conditionalFormatting>
  <conditionalFormatting sqref="E356">
    <cfRule type="expression" dxfId="891" priority="711">
      <formula>G356="n"</formula>
    </cfRule>
  </conditionalFormatting>
  <conditionalFormatting sqref="A356">
    <cfRule type="expression" dxfId="890" priority="710">
      <formula>G356="n"</formula>
    </cfRule>
  </conditionalFormatting>
  <conditionalFormatting sqref="B356">
    <cfRule type="expression" dxfId="889" priority="709">
      <formula>G356="n"</formula>
    </cfRule>
  </conditionalFormatting>
  <conditionalFormatting sqref="C356">
    <cfRule type="expression" dxfId="888" priority="708">
      <formula>G356="n"</formula>
    </cfRule>
  </conditionalFormatting>
  <conditionalFormatting sqref="A356">
    <cfRule type="expression" dxfId="887" priority="707">
      <formula>G356="n"</formula>
    </cfRule>
  </conditionalFormatting>
  <conditionalFormatting sqref="B356">
    <cfRule type="expression" dxfId="886" priority="706">
      <formula>G356="n"</formula>
    </cfRule>
  </conditionalFormatting>
  <conditionalFormatting sqref="C356">
    <cfRule type="expression" dxfId="885" priority="705">
      <formula>G356="n"</formula>
    </cfRule>
  </conditionalFormatting>
  <conditionalFormatting sqref="E277">
    <cfRule type="expression" dxfId="884" priority="704">
      <formula>G277="n"</formula>
    </cfRule>
  </conditionalFormatting>
  <conditionalFormatting sqref="D277">
    <cfRule type="expression" dxfId="883" priority="703">
      <formula>G277="n"</formula>
    </cfRule>
  </conditionalFormatting>
  <conditionalFormatting sqref="D277">
    <cfRule type="expression" dxfId="882" priority="702">
      <formula>G277="n"</formula>
    </cfRule>
  </conditionalFormatting>
  <conditionalFormatting sqref="F277">
    <cfRule type="expression" dxfId="881" priority="701">
      <formula>G277="n"</formula>
    </cfRule>
  </conditionalFormatting>
  <conditionalFormatting sqref="D285">
    <cfRule type="expression" dxfId="880" priority="700">
      <formula>G285="n"</formula>
    </cfRule>
  </conditionalFormatting>
  <conditionalFormatting sqref="E285">
    <cfRule type="expression" dxfId="879" priority="699">
      <formula>G285="n"</formula>
    </cfRule>
  </conditionalFormatting>
  <conditionalFormatting sqref="D285">
    <cfRule type="expression" dxfId="878" priority="698">
      <formula>G285="n"</formula>
    </cfRule>
  </conditionalFormatting>
  <conditionalFormatting sqref="E285">
    <cfRule type="expression" dxfId="877" priority="697">
      <formula>G285="n"</formula>
    </cfRule>
  </conditionalFormatting>
  <conditionalFormatting sqref="C285">
    <cfRule type="expression" dxfId="876" priority="696">
      <formula>G285="n"</formula>
    </cfRule>
  </conditionalFormatting>
  <conditionalFormatting sqref="C285">
    <cfRule type="expression" dxfId="875" priority="695">
      <formula>G285="n"</formula>
    </cfRule>
  </conditionalFormatting>
  <conditionalFormatting sqref="F308">
    <cfRule type="expression" dxfId="874" priority="694">
      <formula>G308="n"</formula>
    </cfRule>
  </conditionalFormatting>
  <conditionalFormatting sqref="E308">
    <cfRule type="expression" dxfId="873" priority="693">
      <formula>G308="n"</formula>
    </cfRule>
  </conditionalFormatting>
  <conditionalFormatting sqref="B308">
    <cfRule type="expression" dxfId="872" priority="692">
      <formula>G308="n"</formula>
    </cfRule>
  </conditionalFormatting>
  <conditionalFormatting sqref="C308">
    <cfRule type="expression" dxfId="871" priority="691">
      <formula>G308="n"</formula>
    </cfRule>
  </conditionalFormatting>
  <conditionalFormatting sqref="D308">
    <cfRule type="expression" dxfId="870" priority="690">
      <formula>G308="n"</formula>
    </cfRule>
  </conditionalFormatting>
  <conditionalFormatting sqref="B308">
    <cfRule type="expression" dxfId="869" priority="689">
      <formula>G308="n"</formula>
    </cfRule>
  </conditionalFormatting>
  <conditionalFormatting sqref="C308">
    <cfRule type="expression" dxfId="868" priority="688">
      <formula>G308="n"</formula>
    </cfRule>
  </conditionalFormatting>
  <conditionalFormatting sqref="D308">
    <cfRule type="expression" dxfId="867" priority="687">
      <formula>G308="n"</formula>
    </cfRule>
  </conditionalFormatting>
  <conditionalFormatting sqref="F308">
    <cfRule type="expression" dxfId="866" priority="686">
      <formula>G308="n"</formula>
    </cfRule>
  </conditionalFormatting>
  <conditionalFormatting sqref="F308">
    <cfRule type="expression" dxfId="865" priority="685">
      <formula>G308="n"</formula>
    </cfRule>
  </conditionalFormatting>
  <conditionalFormatting sqref="D308">
    <cfRule type="expression" dxfId="864" priority="684">
      <formula>G308="n"</formula>
    </cfRule>
  </conditionalFormatting>
  <conditionalFormatting sqref="E308">
    <cfRule type="expression" dxfId="863" priority="683">
      <formula>G308="n"</formula>
    </cfRule>
  </conditionalFormatting>
  <conditionalFormatting sqref="D308">
    <cfRule type="expression" dxfId="862" priority="682">
      <formula>G308="n"</formula>
    </cfRule>
  </conditionalFormatting>
  <conditionalFormatting sqref="E308">
    <cfRule type="expression" dxfId="861" priority="681">
      <formula>G308="n"</formula>
    </cfRule>
  </conditionalFormatting>
  <conditionalFormatting sqref="D308">
    <cfRule type="expression" dxfId="860" priority="680">
      <formula>G308="n"</formula>
    </cfRule>
  </conditionalFormatting>
  <conditionalFormatting sqref="E308">
    <cfRule type="expression" dxfId="859" priority="679">
      <formula>G308="n"</formula>
    </cfRule>
  </conditionalFormatting>
  <conditionalFormatting sqref="D308">
    <cfRule type="expression" dxfId="858" priority="678">
      <formula>G308="n"</formula>
    </cfRule>
  </conditionalFormatting>
  <conditionalFormatting sqref="E308">
    <cfRule type="expression" dxfId="857" priority="677">
      <formula>G308="n"</formula>
    </cfRule>
  </conditionalFormatting>
  <conditionalFormatting sqref="C308">
    <cfRule type="expression" dxfId="856" priority="676">
      <formula>G308="n"</formula>
    </cfRule>
  </conditionalFormatting>
  <conditionalFormatting sqref="C308">
    <cfRule type="expression" dxfId="855" priority="675">
      <formula>G308="n"</formula>
    </cfRule>
  </conditionalFormatting>
  <conditionalFormatting sqref="F233">
    <cfRule type="expression" dxfId="854" priority="668">
      <formula>G233="n"</formula>
    </cfRule>
  </conditionalFormatting>
  <conditionalFormatting sqref="E233">
    <cfRule type="expression" dxfId="853" priority="667">
      <formula>G233="n"</formula>
    </cfRule>
  </conditionalFormatting>
  <conditionalFormatting sqref="A233 A235:A236">
    <cfRule type="expression" dxfId="852" priority="666">
      <formula>G233="n"</formula>
    </cfRule>
  </conditionalFormatting>
  <conditionalFormatting sqref="B233 B235">
    <cfRule type="expression" dxfId="851" priority="665">
      <formula>G233="n"</formula>
    </cfRule>
  </conditionalFormatting>
  <conditionalFormatting sqref="C233">
    <cfRule type="expression" dxfId="850" priority="664">
      <formula>G233="n"</formula>
    </cfRule>
  </conditionalFormatting>
  <conditionalFormatting sqref="D233">
    <cfRule type="expression" dxfId="849" priority="663">
      <formula>G233="n"</formula>
    </cfRule>
  </conditionalFormatting>
  <conditionalFormatting sqref="A233 A235:A236">
    <cfRule type="expression" dxfId="848" priority="662">
      <formula>G233="n"</formula>
    </cfRule>
  </conditionalFormatting>
  <conditionalFormatting sqref="B233 B235">
    <cfRule type="expression" dxfId="847" priority="661">
      <formula>G233="n"</formula>
    </cfRule>
  </conditionalFormatting>
  <conditionalFormatting sqref="C233">
    <cfRule type="expression" dxfId="846" priority="660">
      <formula>G233="n"</formula>
    </cfRule>
  </conditionalFormatting>
  <conditionalFormatting sqref="D233">
    <cfRule type="expression" dxfId="845" priority="659">
      <formula>G233="n"</formula>
    </cfRule>
  </conditionalFormatting>
  <conditionalFormatting sqref="F232">
    <cfRule type="expression" dxfId="844" priority="658">
      <formula>G232="n"</formula>
    </cfRule>
  </conditionalFormatting>
  <conditionalFormatting sqref="F232">
    <cfRule type="expression" dxfId="843" priority="657">
      <formula>G232="n"</formula>
    </cfRule>
  </conditionalFormatting>
  <conditionalFormatting sqref="A232">
    <cfRule type="expression" dxfId="842" priority="656">
      <formula>G232="n"</formula>
    </cfRule>
  </conditionalFormatting>
  <conditionalFormatting sqref="B232">
    <cfRule type="expression" dxfId="841" priority="655">
      <formula>G232="n"</formula>
    </cfRule>
  </conditionalFormatting>
  <conditionalFormatting sqref="C232">
    <cfRule type="expression" dxfId="840" priority="654">
      <formula>G232="n"</formula>
    </cfRule>
  </conditionalFormatting>
  <conditionalFormatting sqref="D232">
    <cfRule type="expression" dxfId="839" priority="653">
      <formula>G232="n"</formula>
    </cfRule>
  </conditionalFormatting>
  <conditionalFormatting sqref="E232">
    <cfRule type="expression" dxfId="838" priority="652">
      <formula>G232="n"</formula>
    </cfRule>
  </conditionalFormatting>
  <conditionalFormatting sqref="A232">
    <cfRule type="expression" dxfId="837" priority="651">
      <formula>G232="n"</formula>
    </cfRule>
  </conditionalFormatting>
  <conditionalFormatting sqref="B232">
    <cfRule type="expression" dxfId="836" priority="650">
      <formula>G232="n"</formula>
    </cfRule>
  </conditionalFormatting>
  <conditionalFormatting sqref="C232">
    <cfRule type="expression" dxfId="835" priority="649">
      <formula>G232="n"</formula>
    </cfRule>
  </conditionalFormatting>
  <conditionalFormatting sqref="D232">
    <cfRule type="expression" dxfId="834" priority="648">
      <formula>G232="n"</formula>
    </cfRule>
  </conditionalFormatting>
  <conditionalFormatting sqref="E232">
    <cfRule type="expression" dxfId="833" priority="647">
      <formula>G232="n"</formula>
    </cfRule>
  </conditionalFormatting>
  <conditionalFormatting sqref="E310">
    <cfRule type="expression" dxfId="832" priority="646">
      <formula>G310="n"</formula>
    </cfRule>
  </conditionalFormatting>
  <conditionalFormatting sqref="D310">
    <cfRule type="expression" dxfId="831" priority="645">
      <formula>G310="n"</formula>
    </cfRule>
  </conditionalFormatting>
  <conditionalFormatting sqref="D310">
    <cfRule type="expression" dxfId="830" priority="644">
      <formula>G310="n"</formula>
    </cfRule>
  </conditionalFormatting>
  <conditionalFormatting sqref="F310">
    <cfRule type="expression" dxfId="829" priority="643">
      <formula>G310="n"</formula>
    </cfRule>
  </conditionalFormatting>
  <conditionalFormatting sqref="A310">
    <cfRule type="expression" dxfId="828" priority="642">
      <formula>G310="n"</formula>
    </cfRule>
  </conditionalFormatting>
  <conditionalFormatting sqref="B310">
    <cfRule type="expression" dxfId="827" priority="641">
      <formula>G310="n"</formula>
    </cfRule>
  </conditionalFormatting>
  <conditionalFormatting sqref="C310">
    <cfRule type="expression" dxfId="826" priority="640">
      <formula>G310="n"</formula>
    </cfRule>
  </conditionalFormatting>
  <conditionalFormatting sqref="A310">
    <cfRule type="expression" dxfId="825" priority="639">
      <formula>G310="n"</formula>
    </cfRule>
  </conditionalFormatting>
  <conditionalFormatting sqref="B310">
    <cfRule type="expression" dxfId="824" priority="638">
      <formula>G310="n"</formula>
    </cfRule>
  </conditionalFormatting>
  <conditionalFormatting sqref="C310">
    <cfRule type="expression" dxfId="823" priority="637">
      <formula>G310="n"</formula>
    </cfRule>
  </conditionalFormatting>
  <conditionalFormatting sqref="E311">
    <cfRule type="expression" dxfId="822" priority="636">
      <formula>G311="n"</formula>
    </cfRule>
  </conditionalFormatting>
  <conditionalFormatting sqref="D311">
    <cfRule type="expression" dxfId="821" priority="635">
      <formula>G311="n"</formula>
    </cfRule>
  </conditionalFormatting>
  <conditionalFormatting sqref="D311">
    <cfRule type="expression" dxfId="820" priority="634">
      <formula>G311="n"</formula>
    </cfRule>
  </conditionalFormatting>
  <conditionalFormatting sqref="F311">
    <cfRule type="expression" dxfId="819" priority="633">
      <formula>G311="n"</formula>
    </cfRule>
  </conditionalFormatting>
  <conditionalFormatting sqref="A311">
    <cfRule type="expression" dxfId="818" priority="632">
      <formula>G311="n"</formula>
    </cfRule>
  </conditionalFormatting>
  <conditionalFormatting sqref="B311">
    <cfRule type="expression" dxfId="817" priority="631">
      <formula>G311="n"</formula>
    </cfRule>
  </conditionalFormatting>
  <conditionalFormatting sqref="C311">
    <cfRule type="expression" dxfId="816" priority="630">
      <formula>G311="n"</formula>
    </cfRule>
  </conditionalFormatting>
  <conditionalFormatting sqref="A311">
    <cfRule type="expression" dxfId="815" priority="629">
      <formula>G311="n"</formula>
    </cfRule>
  </conditionalFormatting>
  <conditionalFormatting sqref="B311">
    <cfRule type="expression" dxfId="814" priority="628">
      <formula>G311="n"</formula>
    </cfRule>
  </conditionalFormatting>
  <conditionalFormatting sqref="C311">
    <cfRule type="expression" dxfId="813" priority="627">
      <formula>G311="n"</formula>
    </cfRule>
  </conditionalFormatting>
  <conditionalFormatting sqref="E312">
    <cfRule type="expression" dxfId="812" priority="626">
      <formula>G312="n"</formula>
    </cfRule>
  </conditionalFormatting>
  <conditionalFormatting sqref="D312">
    <cfRule type="expression" dxfId="811" priority="625">
      <formula>G312="n"</formula>
    </cfRule>
  </conditionalFormatting>
  <conditionalFormatting sqref="D312">
    <cfRule type="expression" dxfId="810" priority="624">
      <formula>G312="n"</formula>
    </cfRule>
  </conditionalFormatting>
  <conditionalFormatting sqref="F312">
    <cfRule type="expression" dxfId="809" priority="623">
      <formula>G312="n"</formula>
    </cfRule>
  </conditionalFormatting>
  <conditionalFormatting sqref="A312 A314:A315">
    <cfRule type="expression" dxfId="808" priority="622">
      <formula>G312="n"</formula>
    </cfRule>
  </conditionalFormatting>
  <conditionalFormatting sqref="B312 B314:B315">
    <cfRule type="expression" dxfId="807" priority="621">
      <formula>G312="n"</formula>
    </cfRule>
  </conditionalFormatting>
  <conditionalFormatting sqref="C312">
    <cfRule type="expression" dxfId="806" priority="620">
      <formula>G312="n"</formula>
    </cfRule>
  </conditionalFormatting>
  <conditionalFormatting sqref="A312 A314:A315">
    <cfRule type="expression" dxfId="805" priority="619">
      <formula>G312="n"</formula>
    </cfRule>
  </conditionalFormatting>
  <conditionalFormatting sqref="B312 B314:B315">
    <cfRule type="expression" dxfId="804" priority="618">
      <formula>G312="n"</formula>
    </cfRule>
  </conditionalFormatting>
  <conditionalFormatting sqref="C312">
    <cfRule type="expression" dxfId="803" priority="617">
      <formula>G312="n"</formula>
    </cfRule>
  </conditionalFormatting>
  <conditionalFormatting sqref="F338">
    <cfRule type="expression" dxfId="802" priority="616">
      <formula>G338="n"</formula>
    </cfRule>
  </conditionalFormatting>
  <conditionalFormatting sqref="F338">
    <cfRule type="expression" dxfId="801" priority="615">
      <formula>G338="n"</formula>
    </cfRule>
  </conditionalFormatting>
  <conditionalFormatting sqref="A338">
    <cfRule type="expression" dxfId="800" priority="614">
      <formula>G338="n"</formula>
    </cfRule>
  </conditionalFormatting>
  <conditionalFormatting sqref="B338">
    <cfRule type="expression" dxfId="799" priority="613">
      <formula>G338="n"</formula>
    </cfRule>
  </conditionalFormatting>
  <conditionalFormatting sqref="C338">
    <cfRule type="expression" dxfId="798" priority="612">
      <formula>G338="n"</formula>
    </cfRule>
  </conditionalFormatting>
  <conditionalFormatting sqref="D338">
    <cfRule type="expression" dxfId="797" priority="611">
      <formula>G338="n"</formula>
    </cfRule>
  </conditionalFormatting>
  <conditionalFormatting sqref="E338">
    <cfRule type="expression" dxfId="796" priority="610">
      <formula>G338="n"</formula>
    </cfRule>
  </conditionalFormatting>
  <conditionalFormatting sqref="A338">
    <cfRule type="expression" dxfId="795" priority="609">
      <formula>G338="n"</formula>
    </cfRule>
  </conditionalFormatting>
  <conditionalFormatting sqref="B338">
    <cfRule type="expression" dxfId="794" priority="608">
      <formula>G338="n"</formula>
    </cfRule>
  </conditionalFormatting>
  <conditionalFormatting sqref="C338">
    <cfRule type="expression" dxfId="793" priority="607">
      <formula>G338="n"</formula>
    </cfRule>
  </conditionalFormatting>
  <conditionalFormatting sqref="D338">
    <cfRule type="expression" dxfId="792" priority="606">
      <formula>G338="n"</formula>
    </cfRule>
  </conditionalFormatting>
  <conditionalFormatting sqref="E338">
    <cfRule type="expression" dxfId="791" priority="605">
      <formula>G338="n"</formula>
    </cfRule>
  </conditionalFormatting>
  <conditionalFormatting sqref="D339">
    <cfRule type="expression" dxfId="790" priority="604">
      <formula>G339="n"</formula>
    </cfRule>
  </conditionalFormatting>
  <conditionalFormatting sqref="E339">
    <cfRule type="expression" dxfId="789" priority="603">
      <formula>G339="n"</formula>
    </cfRule>
  </conditionalFormatting>
  <conditionalFormatting sqref="D339">
    <cfRule type="expression" dxfId="788" priority="602">
      <formula>G339="n"</formula>
    </cfRule>
  </conditionalFormatting>
  <conditionalFormatting sqref="E339">
    <cfRule type="expression" dxfId="787" priority="601">
      <formula>G339="n"</formula>
    </cfRule>
  </conditionalFormatting>
  <conditionalFormatting sqref="D339">
    <cfRule type="expression" dxfId="786" priority="598">
      <formula>G339="n"</formula>
    </cfRule>
  </conditionalFormatting>
  <conditionalFormatting sqref="E339">
    <cfRule type="expression" dxfId="785" priority="597">
      <formula>G339="n"</formula>
    </cfRule>
  </conditionalFormatting>
  <conditionalFormatting sqref="D339">
    <cfRule type="expression" dxfId="784" priority="596">
      <formula>G339="n"</formula>
    </cfRule>
  </conditionalFormatting>
  <conditionalFormatting sqref="E339">
    <cfRule type="expression" dxfId="783" priority="595">
      <formula>G339="n"</formula>
    </cfRule>
  </conditionalFormatting>
  <conditionalFormatting sqref="A339">
    <cfRule type="expression" dxfId="782" priority="594">
      <formula>G339="n"</formula>
    </cfRule>
  </conditionalFormatting>
  <conditionalFormatting sqref="B339">
    <cfRule type="expression" dxfId="781" priority="593">
      <formula>G339="n"</formula>
    </cfRule>
  </conditionalFormatting>
  <conditionalFormatting sqref="C339">
    <cfRule type="expression" dxfId="780" priority="592">
      <formula>G339="n"</formula>
    </cfRule>
  </conditionalFormatting>
  <conditionalFormatting sqref="A339">
    <cfRule type="expression" dxfId="779" priority="591">
      <formula>G339="n"</formula>
    </cfRule>
  </conditionalFormatting>
  <conditionalFormatting sqref="B339">
    <cfRule type="expression" dxfId="778" priority="590">
      <formula>G339="n"</formula>
    </cfRule>
  </conditionalFormatting>
  <conditionalFormatting sqref="C339">
    <cfRule type="expression" dxfId="777" priority="589">
      <formula>G339="n"</formula>
    </cfRule>
  </conditionalFormatting>
  <conditionalFormatting sqref="D340">
    <cfRule type="expression" dxfId="776" priority="588">
      <formula>G340="n"</formula>
    </cfRule>
  </conditionalFormatting>
  <conditionalFormatting sqref="E340">
    <cfRule type="expression" dxfId="775" priority="587">
      <formula>G340="n"</formula>
    </cfRule>
  </conditionalFormatting>
  <conditionalFormatting sqref="D340">
    <cfRule type="expression" dxfId="774" priority="586">
      <formula>G340="n"</formula>
    </cfRule>
  </conditionalFormatting>
  <conditionalFormatting sqref="E340">
    <cfRule type="expression" dxfId="773" priority="585">
      <formula>G340="n"</formula>
    </cfRule>
  </conditionalFormatting>
  <conditionalFormatting sqref="D340">
    <cfRule type="expression" dxfId="772" priority="582">
      <formula>G340="n"</formula>
    </cfRule>
  </conditionalFormatting>
  <conditionalFormatting sqref="E340">
    <cfRule type="expression" dxfId="771" priority="581">
      <formula>G340="n"</formula>
    </cfRule>
  </conditionalFormatting>
  <conditionalFormatting sqref="D340">
    <cfRule type="expression" dxfId="770" priority="580">
      <formula>G340="n"</formula>
    </cfRule>
  </conditionalFormatting>
  <conditionalFormatting sqref="E340">
    <cfRule type="expression" dxfId="769" priority="579">
      <formula>G340="n"</formula>
    </cfRule>
  </conditionalFormatting>
  <conditionalFormatting sqref="A340:A343">
    <cfRule type="expression" dxfId="768" priority="578">
      <formula>G340="n"</formula>
    </cfRule>
  </conditionalFormatting>
  <conditionalFormatting sqref="B340:B343">
    <cfRule type="expression" dxfId="767" priority="577">
      <formula>G340="n"</formula>
    </cfRule>
  </conditionalFormatting>
  <conditionalFormatting sqref="C340">
    <cfRule type="expression" dxfId="766" priority="576">
      <formula>G340="n"</formula>
    </cfRule>
  </conditionalFormatting>
  <conditionalFormatting sqref="A340:A343">
    <cfRule type="expression" dxfId="765" priority="575">
      <formula>G340="n"</formula>
    </cfRule>
  </conditionalFormatting>
  <conditionalFormatting sqref="B340:B343">
    <cfRule type="expression" dxfId="764" priority="574">
      <formula>G340="n"</formula>
    </cfRule>
  </conditionalFormatting>
  <conditionalFormatting sqref="C340">
    <cfRule type="expression" dxfId="763" priority="573">
      <formula>G340="n"</formula>
    </cfRule>
  </conditionalFormatting>
  <conditionalFormatting sqref="F345">
    <cfRule type="expression" dxfId="762" priority="572">
      <formula>G345="n"</formula>
    </cfRule>
  </conditionalFormatting>
  <conditionalFormatting sqref="F345">
    <cfRule type="expression" dxfId="761" priority="571">
      <formula>G345="n"</formula>
    </cfRule>
  </conditionalFormatting>
  <conditionalFormatting sqref="A345">
    <cfRule type="expression" dxfId="760" priority="570">
      <formula>G345="n"</formula>
    </cfRule>
  </conditionalFormatting>
  <conditionalFormatting sqref="B345">
    <cfRule type="expression" dxfId="759" priority="569">
      <formula>G345="n"</formula>
    </cfRule>
  </conditionalFormatting>
  <conditionalFormatting sqref="C345">
    <cfRule type="expression" dxfId="758" priority="568">
      <formula>G345="n"</formula>
    </cfRule>
  </conditionalFormatting>
  <conditionalFormatting sqref="D345">
    <cfRule type="expression" dxfId="757" priority="567">
      <formula>G345="n"</formula>
    </cfRule>
  </conditionalFormatting>
  <conditionalFormatting sqref="E345">
    <cfRule type="expression" dxfId="756" priority="566">
      <formula>G345="n"</formula>
    </cfRule>
  </conditionalFormatting>
  <conditionalFormatting sqref="A345">
    <cfRule type="expression" dxfId="755" priority="565">
      <formula>G345="n"</formula>
    </cfRule>
  </conditionalFormatting>
  <conditionalFormatting sqref="B345">
    <cfRule type="expression" dxfId="754" priority="564">
      <formula>G345="n"</formula>
    </cfRule>
  </conditionalFormatting>
  <conditionalFormatting sqref="C345">
    <cfRule type="expression" dxfId="753" priority="563">
      <formula>G345="n"</formula>
    </cfRule>
  </conditionalFormatting>
  <conditionalFormatting sqref="D345">
    <cfRule type="expression" dxfId="752" priority="562">
      <formula>G345="n"</formula>
    </cfRule>
  </conditionalFormatting>
  <conditionalFormatting sqref="E345">
    <cfRule type="expression" dxfId="751" priority="561">
      <formula>G345="n"</formula>
    </cfRule>
  </conditionalFormatting>
  <conditionalFormatting sqref="A346:A347 A349:A350">
    <cfRule type="expression" dxfId="750" priority="558">
      <formula>G346="n"</formula>
    </cfRule>
  </conditionalFormatting>
  <conditionalFormatting sqref="B346:B347 B349:B350">
    <cfRule type="expression" dxfId="749" priority="557">
      <formula>G346="n"</formula>
    </cfRule>
  </conditionalFormatting>
  <conditionalFormatting sqref="A346:A347 A349:A350">
    <cfRule type="expression" dxfId="748" priority="553">
      <formula>G346="n"</formula>
    </cfRule>
  </conditionalFormatting>
  <conditionalFormatting sqref="B346:B347 B349:B350">
    <cfRule type="expression" dxfId="747" priority="552">
      <formula>G346="n"</formula>
    </cfRule>
  </conditionalFormatting>
  <conditionalFormatting sqref="A29">
    <cfRule type="expression" dxfId="746" priority="548">
      <formula>G29="n"</formula>
    </cfRule>
  </conditionalFormatting>
  <conditionalFormatting sqref="B29">
    <cfRule type="expression" dxfId="745" priority="547">
      <formula>G29="n"</formula>
    </cfRule>
  </conditionalFormatting>
  <conditionalFormatting sqref="C29">
    <cfRule type="expression" dxfId="744" priority="546">
      <formula>G29="n"</formula>
    </cfRule>
  </conditionalFormatting>
  <conditionalFormatting sqref="D29">
    <cfRule type="expression" dxfId="743" priority="545">
      <formula>G29="n"</formula>
    </cfRule>
  </conditionalFormatting>
  <conditionalFormatting sqref="E29">
    <cfRule type="expression" dxfId="742" priority="544">
      <formula>G29="n"</formula>
    </cfRule>
  </conditionalFormatting>
  <conditionalFormatting sqref="F29">
    <cfRule type="expression" dxfId="741" priority="543">
      <formula>G29="n"</formula>
    </cfRule>
  </conditionalFormatting>
  <conditionalFormatting sqref="A30">
    <cfRule type="expression" dxfId="740" priority="542">
      <formula>G30="n"</formula>
    </cfRule>
  </conditionalFormatting>
  <conditionalFormatting sqref="B30">
    <cfRule type="expression" dxfId="739" priority="541">
      <formula>G30="n"</formula>
    </cfRule>
  </conditionalFormatting>
  <conditionalFormatting sqref="C30">
    <cfRule type="expression" dxfId="738" priority="540">
      <formula>G30="n"</formula>
    </cfRule>
  </conditionalFormatting>
  <conditionalFormatting sqref="D30">
    <cfRule type="expression" dxfId="737" priority="539">
      <formula>G30="n"</formula>
    </cfRule>
  </conditionalFormatting>
  <conditionalFormatting sqref="E30">
    <cfRule type="expression" dxfId="736" priority="538">
      <formula>G30="n"</formula>
    </cfRule>
  </conditionalFormatting>
  <conditionalFormatting sqref="F30">
    <cfRule type="expression" dxfId="735" priority="537">
      <formula>G30="n"</formula>
    </cfRule>
  </conditionalFormatting>
  <conditionalFormatting sqref="F29">
    <cfRule type="expression" dxfId="734" priority="536">
      <formula>G29="n"</formula>
    </cfRule>
  </conditionalFormatting>
  <conditionalFormatting sqref="F30">
    <cfRule type="expression" dxfId="733" priority="535">
      <formula>G30="n"</formula>
    </cfRule>
  </conditionalFormatting>
  <conditionalFormatting sqref="F28">
    <cfRule type="expression" dxfId="732" priority="534">
      <formula>G28="n"</formula>
    </cfRule>
  </conditionalFormatting>
  <conditionalFormatting sqref="F28">
    <cfRule type="expression" dxfId="731" priority="533">
      <formula>G28="n"</formula>
    </cfRule>
  </conditionalFormatting>
  <conditionalFormatting sqref="A28">
    <cfRule type="expression" dxfId="730" priority="532">
      <formula>G28="n"</formula>
    </cfRule>
  </conditionalFormatting>
  <conditionalFormatting sqref="B28">
    <cfRule type="expression" dxfId="729" priority="531">
      <formula>G28="n"</formula>
    </cfRule>
  </conditionalFormatting>
  <conditionalFormatting sqref="C28">
    <cfRule type="expression" dxfId="728" priority="530">
      <formula>G28="n"</formula>
    </cfRule>
  </conditionalFormatting>
  <conditionalFormatting sqref="D28">
    <cfRule type="expression" dxfId="727" priority="529">
      <formula>G28="n"</formula>
    </cfRule>
  </conditionalFormatting>
  <conditionalFormatting sqref="E28">
    <cfRule type="expression" dxfId="726" priority="528">
      <formula>G28="n"</formula>
    </cfRule>
  </conditionalFormatting>
  <conditionalFormatting sqref="A29">
    <cfRule type="expression" dxfId="725" priority="527">
      <formula>G29="n"</formula>
    </cfRule>
  </conditionalFormatting>
  <conditionalFormatting sqref="B29">
    <cfRule type="expression" dxfId="724" priority="526">
      <formula>G29="n"</formula>
    </cfRule>
  </conditionalFormatting>
  <conditionalFormatting sqref="C29">
    <cfRule type="expression" dxfId="723" priority="525">
      <formula>G29="n"</formula>
    </cfRule>
  </conditionalFormatting>
  <conditionalFormatting sqref="D29">
    <cfRule type="expression" dxfId="722" priority="524">
      <formula>G29="n"</formula>
    </cfRule>
  </conditionalFormatting>
  <conditionalFormatting sqref="E29">
    <cfRule type="expression" dxfId="721" priority="523">
      <formula>G29="n"</formula>
    </cfRule>
  </conditionalFormatting>
  <conditionalFormatting sqref="A30">
    <cfRule type="expression" dxfId="720" priority="522">
      <formula>G30="n"</formula>
    </cfRule>
  </conditionalFormatting>
  <conditionalFormatting sqref="B30">
    <cfRule type="expression" dxfId="719" priority="521">
      <formula>G30="n"</formula>
    </cfRule>
  </conditionalFormatting>
  <conditionalFormatting sqref="C30">
    <cfRule type="expression" dxfId="718" priority="520">
      <formula>G30="n"</formula>
    </cfRule>
  </conditionalFormatting>
  <conditionalFormatting sqref="D30">
    <cfRule type="expression" dxfId="717" priority="519">
      <formula>G30="n"</formula>
    </cfRule>
  </conditionalFormatting>
  <conditionalFormatting sqref="E30">
    <cfRule type="expression" dxfId="716" priority="518">
      <formula>G30="n"</formula>
    </cfRule>
  </conditionalFormatting>
  <conditionalFormatting sqref="A30">
    <cfRule type="expression" dxfId="715" priority="517">
      <formula>G30="n"</formula>
    </cfRule>
  </conditionalFormatting>
  <conditionalFormatting sqref="B30">
    <cfRule type="expression" dxfId="714" priority="516">
      <formula>G30="n"</formula>
    </cfRule>
  </conditionalFormatting>
  <conditionalFormatting sqref="C30">
    <cfRule type="expression" dxfId="713" priority="515">
      <formula>G30="n"</formula>
    </cfRule>
  </conditionalFormatting>
  <conditionalFormatting sqref="D30">
    <cfRule type="expression" dxfId="712" priority="514">
      <formula>G30="n"</formula>
    </cfRule>
  </conditionalFormatting>
  <conditionalFormatting sqref="E30">
    <cfRule type="expression" dxfId="711" priority="513">
      <formula>G30="n"</formula>
    </cfRule>
  </conditionalFormatting>
  <conditionalFormatting sqref="F35">
    <cfRule type="expression" dxfId="710" priority="512">
      <formula>G35="n"</formula>
    </cfRule>
  </conditionalFormatting>
  <conditionalFormatting sqref="F35">
    <cfRule type="expression" dxfId="709" priority="511">
      <formula>G35="n"</formula>
    </cfRule>
  </conditionalFormatting>
  <conditionalFormatting sqref="C35">
    <cfRule type="expression" dxfId="708" priority="510">
      <formula>G35="n"</formula>
    </cfRule>
  </conditionalFormatting>
  <conditionalFormatting sqref="D35">
    <cfRule type="expression" dxfId="707" priority="509">
      <formula>G35="n"</formula>
    </cfRule>
  </conditionalFormatting>
  <conditionalFormatting sqref="E35">
    <cfRule type="expression" dxfId="706" priority="508">
      <formula>G35="n"</formula>
    </cfRule>
  </conditionalFormatting>
  <conditionalFormatting sqref="C35">
    <cfRule type="expression" dxfId="705" priority="507">
      <formula>G35="n"</formula>
    </cfRule>
  </conditionalFormatting>
  <conditionalFormatting sqref="D35">
    <cfRule type="expression" dxfId="704" priority="506">
      <formula>G35="n"</formula>
    </cfRule>
  </conditionalFormatting>
  <conditionalFormatting sqref="E35">
    <cfRule type="expression" dxfId="703" priority="505">
      <formula>G35="n"</formula>
    </cfRule>
  </conditionalFormatting>
  <conditionalFormatting sqref="F36">
    <cfRule type="expression" dxfId="702" priority="504">
      <formula>G36="n"</formula>
    </cfRule>
  </conditionalFormatting>
  <conditionalFormatting sqref="F36">
    <cfRule type="expression" dxfId="701" priority="503">
      <formula>G36="n"</formula>
    </cfRule>
  </conditionalFormatting>
  <conditionalFormatting sqref="C36">
    <cfRule type="expression" dxfId="700" priority="502">
      <formula>G36="n"</formula>
    </cfRule>
  </conditionalFormatting>
  <conditionalFormatting sqref="D36">
    <cfRule type="expression" dxfId="699" priority="501">
      <formula>G36="n"</formula>
    </cfRule>
  </conditionalFormatting>
  <conditionalFormatting sqref="E36">
    <cfRule type="expression" dxfId="698" priority="500">
      <formula>G36="n"</formula>
    </cfRule>
  </conditionalFormatting>
  <conditionalFormatting sqref="C36">
    <cfRule type="expression" dxfId="697" priority="499">
      <formula>G36="n"</formula>
    </cfRule>
  </conditionalFormatting>
  <conditionalFormatting sqref="D36">
    <cfRule type="expression" dxfId="696" priority="498">
      <formula>G36="n"</formula>
    </cfRule>
  </conditionalFormatting>
  <conditionalFormatting sqref="E36">
    <cfRule type="expression" dxfId="695" priority="497">
      <formula>G36="n"</formula>
    </cfRule>
  </conditionalFormatting>
  <conditionalFormatting sqref="F37">
    <cfRule type="expression" dxfId="694" priority="491">
      <formula>G37="n"</formula>
    </cfRule>
  </conditionalFormatting>
  <conditionalFormatting sqref="E37">
    <cfRule type="expression" dxfId="693" priority="496">
      <formula>G37="n"</formula>
    </cfRule>
  </conditionalFormatting>
  <conditionalFormatting sqref="C37">
    <cfRule type="expression" dxfId="692" priority="495">
      <formula>G37="n"</formula>
    </cfRule>
  </conditionalFormatting>
  <conditionalFormatting sqref="C37">
    <cfRule type="expression" dxfId="691" priority="493">
      <formula>G37="n"</formula>
    </cfRule>
  </conditionalFormatting>
  <conditionalFormatting sqref="B39">
    <cfRule type="expression" dxfId="690" priority="490">
      <formula>G39="n"</formula>
    </cfRule>
  </conditionalFormatting>
  <conditionalFormatting sqref="B39">
    <cfRule type="expression" dxfId="689" priority="489">
      <formula>G39="n"</formula>
    </cfRule>
  </conditionalFormatting>
  <conditionalFormatting sqref="C39">
    <cfRule type="expression" dxfId="688" priority="486">
      <formula>G39="n"</formula>
    </cfRule>
  </conditionalFormatting>
  <conditionalFormatting sqref="D39">
    <cfRule type="expression" dxfId="687" priority="485">
      <formula>G39="n"</formula>
    </cfRule>
  </conditionalFormatting>
  <conditionalFormatting sqref="E39">
    <cfRule type="expression" dxfId="686" priority="484">
      <formula>G39="n"</formula>
    </cfRule>
  </conditionalFormatting>
  <conditionalFormatting sqref="C39">
    <cfRule type="expression" dxfId="685" priority="483">
      <formula>G39="n"</formula>
    </cfRule>
  </conditionalFormatting>
  <conditionalFormatting sqref="D39">
    <cfRule type="expression" dxfId="684" priority="482">
      <formula>G39="n"</formula>
    </cfRule>
  </conditionalFormatting>
  <conditionalFormatting sqref="E39">
    <cfRule type="expression" dxfId="683" priority="481">
      <formula>G39="n"</formula>
    </cfRule>
  </conditionalFormatting>
  <conditionalFormatting sqref="C40">
    <cfRule type="expression" dxfId="682" priority="478">
      <formula>G40="n"</formula>
    </cfRule>
  </conditionalFormatting>
  <conditionalFormatting sqref="D40">
    <cfRule type="expression" dxfId="681" priority="477">
      <formula>G40="n"</formula>
    </cfRule>
  </conditionalFormatting>
  <conditionalFormatting sqref="E40">
    <cfRule type="expression" dxfId="680" priority="476">
      <formula>G40="n"</formula>
    </cfRule>
  </conditionalFormatting>
  <conditionalFormatting sqref="C40">
    <cfRule type="expression" dxfId="679" priority="475">
      <formula>G40="n"</formula>
    </cfRule>
  </conditionalFormatting>
  <conditionalFormatting sqref="D40">
    <cfRule type="expression" dxfId="678" priority="474">
      <formula>G40="n"</formula>
    </cfRule>
  </conditionalFormatting>
  <conditionalFormatting sqref="E40">
    <cfRule type="expression" dxfId="677" priority="473">
      <formula>G40="n"</formula>
    </cfRule>
  </conditionalFormatting>
  <conditionalFormatting sqref="B41">
    <cfRule type="expression" dxfId="676" priority="470">
      <formula>G41="n"</formula>
    </cfRule>
  </conditionalFormatting>
  <conditionalFormatting sqref="C41">
    <cfRule type="expression" dxfId="675" priority="469">
      <formula>G41="n"</formula>
    </cfRule>
  </conditionalFormatting>
  <conditionalFormatting sqref="D41">
    <cfRule type="expression" dxfId="674" priority="468">
      <formula>G41="n"</formula>
    </cfRule>
  </conditionalFormatting>
  <conditionalFormatting sqref="E41">
    <cfRule type="expression" dxfId="673" priority="467">
      <formula>G41="n"</formula>
    </cfRule>
  </conditionalFormatting>
  <conditionalFormatting sqref="B41">
    <cfRule type="expression" dxfId="672" priority="466">
      <formula>G41="n"</formula>
    </cfRule>
  </conditionalFormatting>
  <conditionalFormatting sqref="C41">
    <cfRule type="expression" dxfId="671" priority="465">
      <formula>G41="n"</formula>
    </cfRule>
  </conditionalFormatting>
  <conditionalFormatting sqref="D41">
    <cfRule type="expression" dxfId="670" priority="464">
      <formula>G41="n"</formula>
    </cfRule>
  </conditionalFormatting>
  <conditionalFormatting sqref="E41">
    <cfRule type="expression" dxfId="669" priority="463">
      <formula>G41="n"</formula>
    </cfRule>
  </conditionalFormatting>
  <conditionalFormatting sqref="E42">
    <cfRule type="expression" dxfId="668" priority="462">
      <formula>G42="n"</formula>
    </cfRule>
  </conditionalFormatting>
  <conditionalFormatting sqref="C42">
    <cfRule type="expression" dxfId="667" priority="461">
      <formula>G42="n"</formula>
    </cfRule>
  </conditionalFormatting>
  <conditionalFormatting sqref="C42">
    <cfRule type="expression" dxfId="666" priority="459">
      <formula>G42="n"</formula>
    </cfRule>
  </conditionalFormatting>
  <conditionalFormatting sqref="F42">
    <cfRule type="expression" dxfId="665" priority="457">
      <formula>G42="n"</formula>
    </cfRule>
  </conditionalFormatting>
  <conditionalFormatting sqref="C44">
    <cfRule type="expression" dxfId="664" priority="454">
      <formula>G44="n"</formula>
    </cfRule>
  </conditionalFormatting>
  <conditionalFormatting sqref="D44">
    <cfRule type="expression" dxfId="663" priority="453">
      <formula>G44="n"</formula>
    </cfRule>
  </conditionalFormatting>
  <conditionalFormatting sqref="E44">
    <cfRule type="expression" dxfId="662" priority="452">
      <formula>G44="n"</formula>
    </cfRule>
  </conditionalFormatting>
  <conditionalFormatting sqref="C44">
    <cfRule type="expression" dxfId="661" priority="451">
      <formula>G44="n"</formula>
    </cfRule>
  </conditionalFormatting>
  <conditionalFormatting sqref="D44">
    <cfRule type="expression" dxfId="660" priority="450">
      <formula>G44="n"</formula>
    </cfRule>
  </conditionalFormatting>
  <conditionalFormatting sqref="E44">
    <cfRule type="expression" dxfId="659" priority="449">
      <formula>G44="n"</formula>
    </cfRule>
  </conditionalFormatting>
  <conditionalFormatting sqref="F45">
    <cfRule type="expression" dxfId="658" priority="448">
      <formula>G45="n"</formula>
    </cfRule>
  </conditionalFormatting>
  <conditionalFormatting sqref="F45">
    <cfRule type="expression" dxfId="657" priority="447">
      <formula>G45="n"</formula>
    </cfRule>
  </conditionalFormatting>
  <conditionalFormatting sqref="C45">
    <cfRule type="expression" dxfId="656" priority="446">
      <formula>G45="n"</formula>
    </cfRule>
  </conditionalFormatting>
  <conditionalFormatting sqref="D45">
    <cfRule type="expression" dxfId="655" priority="445">
      <formula>G45="n"</formula>
    </cfRule>
  </conditionalFormatting>
  <conditionalFormatting sqref="E45">
    <cfRule type="expression" dxfId="654" priority="444">
      <formula>G45="n"</formula>
    </cfRule>
  </conditionalFormatting>
  <conditionalFormatting sqref="C45">
    <cfRule type="expression" dxfId="653" priority="443">
      <formula>G45="n"</formula>
    </cfRule>
  </conditionalFormatting>
  <conditionalFormatting sqref="D45">
    <cfRule type="expression" dxfId="652" priority="442">
      <formula>G45="n"</formula>
    </cfRule>
  </conditionalFormatting>
  <conditionalFormatting sqref="E45">
    <cfRule type="expression" dxfId="651" priority="441">
      <formula>G45="n"</formula>
    </cfRule>
  </conditionalFormatting>
  <conditionalFormatting sqref="E161">
    <cfRule type="expression" dxfId="650" priority="440">
      <formula>G161="n"</formula>
    </cfRule>
  </conditionalFormatting>
  <conditionalFormatting sqref="D161">
    <cfRule type="expression" dxfId="649" priority="439">
      <formula>G161="n"</formula>
    </cfRule>
  </conditionalFormatting>
  <conditionalFormatting sqref="D161">
    <cfRule type="expression" dxfId="648" priority="438">
      <formula>G161="n"</formula>
    </cfRule>
  </conditionalFormatting>
  <conditionalFormatting sqref="F161">
    <cfRule type="expression" dxfId="647" priority="437">
      <formula>G161="n"</formula>
    </cfRule>
  </conditionalFormatting>
  <conditionalFormatting sqref="C161">
    <cfRule type="expression" dxfId="646" priority="436">
      <formula>G161="n"</formula>
    </cfRule>
  </conditionalFormatting>
  <conditionalFormatting sqref="C161">
    <cfRule type="expression" dxfId="645" priority="435">
      <formula>G161="n"</formula>
    </cfRule>
  </conditionalFormatting>
  <conditionalFormatting sqref="E162">
    <cfRule type="expression" dxfId="644" priority="434">
      <formula>G162="n"</formula>
    </cfRule>
  </conditionalFormatting>
  <conditionalFormatting sqref="D162">
    <cfRule type="expression" dxfId="643" priority="433">
      <formula>G162="n"</formula>
    </cfRule>
  </conditionalFormatting>
  <conditionalFormatting sqref="D162">
    <cfRule type="expression" dxfId="642" priority="432">
      <formula>G162="n"</formula>
    </cfRule>
  </conditionalFormatting>
  <conditionalFormatting sqref="F162">
    <cfRule type="expression" dxfId="641" priority="431">
      <formula>G162="n"</formula>
    </cfRule>
  </conditionalFormatting>
  <conditionalFormatting sqref="C162">
    <cfRule type="expression" dxfId="640" priority="430">
      <formula>G162="n"</formula>
    </cfRule>
  </conditionalFormatting>
  <conditionalFormatting sqref="C162">
    <cfRule type="expression" dxfId="639" priority="429">
      <formula>G162="n"</formula>
    </cfRule>
  </conditionalFormatting>
  <conditionalFormatting sqref="E163">
    <cfRule type="expression" dxfId="638" priority="428">
      <formula>G163="n"</formula>
    </cfRule>
  </conditionalFormatting>
  <conditionalFormatting sqref="D163">
    <cfRule type="expression" dxfId="637" priority="427">
      <formula>G163="n"</formula>
    </cfRule>
  </conditionalFormatting>
  <conditionalFormatting sqref="D163">
    <cfRule type="expression" dxfId="636" priority="426">
      <formula>G163="n"</formula>
    </cfRule>
  </conditionalFormatting>
  <conditionalFormatting sqref="F163">
    <cfRule type="expression" dxfId="635" priority="425">
      <formula>G163="n"</formula>
    </cfRule>
  </conditionalFormatting>
  <conditionalFormatting sqref="C163">
    <cfRule type="expression" dxfId="634" priority="424">
      <formula>G163="n"</formula>
    </cfRule>
  </conditionalFormatting>
  <conditionalFormatting sqref="C163">
    <cfRule type="expression" dxfId="633" priority="423">
      <formula>G163="n"</formula>
    </cfRule>
  </conditionalFormatting>
  <conditionalFormatting sqref="E177">
    <cfRule type="expression" dxfId="632" priority="422">
      <formula>G177="n"</formula>
    </cfRule>
  </conditionalFormatting>
  <conditionalFormatting sqref="F177">
    <cfRule type="expression" dxfId="631" priority="419">
      <formula>G177="n"</formula>
    </cfRule>
  </conditionalFormatting>
  <conditionalFormatting sqref="E178">
    <cfRule type="expression" dxfId="630" priority="418">
      <formula>G178="n"</formula>
    </cfRule>
  </conditionalFormatting>
  <conditionalFormatting sqref="F178">
    <cfRule type="expression" dxfId="629" priority="415">
      <formula>G178="n"</formula>
    </cfRule>
  </conditionalFormatting>
  <conditionalFormatting sqref="B177">
    <cfRule type="expression" dxfId="628" priority="414">
      <formula>G177="n"</formula>
    </cfRule>
  </conditionalFormatting>
  <conditionalFormatting sqref="C177">
    <cfRule type="expression" dxfId="627" priority="413">
      <formula>G177="n"</formula>
    </cfRule>
  </conditionalFormatting>
  <conditionalFormatting sqref="B177">
    <cfRule type="expression" dxfId="626" priority="412">
      <formula>G177="n"</formula>
    </cfRule>
  </conditionalFormatting>
  <conditionalFormatting sqref="C177">
    <cfRule type="expression" dxfId="625" priority="411">
      <formula>G177="n"</formula>
    </cfRule>
  </conditionalFormatting>
  <conditionalFormatting sqref="B178">
    <cfRule type="expression" dxfId="624" priority="410">
      <formula>G178="n"</formula>
    </cfRule>
  </conditionalFormatting>
  <conditionalFormatting sqref="C178">
    <cfRule type="expression" dxfId="623" priority="409">
      <formula>G178="n"</formula>
    </cfRule>
  </conditionalFormatting>
  <conditionalFormatting sqref="B178">
    <cfRule type="expression" dxfId="622" priority="408">
      <formula>G178="n"</formula>
    </cfRule>
  </conditionalFormatting>
  <conditionalFormatting sqref="C178">
    <cfRule type="expression" dxfId="621" priority="407">
      <formula>G178="n"</formula>
    </cfRule>
  </conditionalFormatting>
  <conditionalFormatting sqref="B179">
    <cfRule type="expression" dxfId="620" priority="404">
      <formula>G179="n"</formula>
    </cfRule>
  </conditionalFormatting>
  <conditionalFormatting sqref="C179">
    <cfRule type="expression" dxfId="619" priority="403">
      <formula>G179="n"</formula>
    </cfRule>
  </conditionalFormatting>
  <conditionalFormatting sqref="D179">
    <cfRule type="expression" dxfId="618" priority="402">
      <formula>G179="n"</formula>
    </cfRule>
  </conditionalFormatting>
  <conditionalFormatting sqref="E179">
    <cfRule type="expression" dxfId="617" priority="401">
      <formula>G179="n"</formula>
    </cfRule>
  </conditionalFormatting>
  <conditionalFormatting sqref="B179">
    <cfRule type="expression" dxfId="616" priority="400">
      <formula>G179="n"</formula>
    </cfRule>
  </conditionalFormatting>
  <conditionalFormatting sqref="C179">
    <cfRule type="expression" dxfId="615" priority="399">
      <formula>G179="n"</formula>
    </cfRule>
  </conditionalFormatting>
  <conditionalFormatting sqref="D179">
    <cfRule type="expression" dxfId="614" priority="398">
      <formula>G179="n"</formula>
    </cfRule>
  </conditionalFormatting>
  <conditionalFormatting sqref="E179">
    <cfRule type="expression" dxfId="613" priority="397">
      <formula>G179="n"</formula>
    </cfRule>
  </conditionalFormatting>
  <conditionalFormatting sqref="C175">
    <cfRule type="expression" dxfId="612" priority="394">
      <formula>G175="n"</formula>
    </cfRule>
  </conditionalFormatting>
  <conditionalFormatting sqref="D175">
    <cfRule type="expression" dxfId="611" priority="393">
      <formula>G175="n"</formula>
    </cfRule>
  </conditionalFormatting>
  <conditionalFormatting sqref="E175">
    <cfRule type="expression" dxfId="610" priority="392">
      <formula>G175="n"</formula>
    </cfRule>
  </conditionalFormatting>
  <conditionalFormatting sqref="C175">
    <cfRule type="expression" dxfId="609" priority="391">
      <formula>G175="n"</formula>
    </cfRule>
  </conditionalFormatting>
  <conditionalFormatting sqref="D175">
    <cfRule type="expression" dxfId="608" priority="390">
      <formula>G175="n"</formula>
    </cfRule>
  </conditionalFormatting>
  <conditionalFormatting sqref="E175">
    <cfRule type="expression" dxfId="607" priority="389">
      <formula>G175="n"</formula>
    </cfRule>
  </conditionalFormatting>
  <conditionalFormatting sqref="C173">
    <cfRule type="expression" dxfId="606" priority="386">
      <formula>G173="n"</formula>
    </cfRule>
  </conditionalFormatting>
  <conditionalFormatting sqref="D173">
    <cfRule type="expression" dxfId="605" priority="385">
      <formula>G173="n"</formula>
    </cfRule>
  </conditionalFormatting>
  <conditionalFormatting sqref="E173">
    <cfRule type="expression" dxfId="604" priority="384">
      <formula>G173="n"</formula>
    </cfRule>
  </conditionalFormatting>
  <conditionalFormatting sqref="C173">
    <cfRule type="expression" dxfId="603" priority="383">
      <formula>G173="n"</formula>
    </cfRule>
  </conditionalFormatting>
  <conditionalFormatting sqref="D173">
    <cfRule type="expression" dxfId="602" priority="382">
      <formula>G173="n"</formula>
    </cfRule>
  </conditionalFormatting>
  <conditionalFormatting sqref="E173">
    <cfRule type="expression" dxfId="601" priority="381">
      <formula>G173="n"</formula>
    </cfRule>
  </conditionalFormatting>
  <conditionalFormatting sqref="C174">
    <cfRule type="expression" dxfId="600" priority="378">
      <formula>G174="n"</formula>
    </cfRule>
  </conditionalFormatting>
  <conditionalFormatting sqref="D174">
    <cfRule type="expression" dxfId="599" priority="377">
      <formula>G174="n"</formula>
    </cfRule>
  </conditionalFormatting>
  <conditionalFormatting sqref="E174">
    <cfRule type="expression" dxfId="598" priority="376">
      <formula>G174="n"</formula>
    </cfRule>
  </conditionalFormatting>
  <conditionalFormatting sqref="C174">
    <cfRule type="expression" dxfId="597" priority="375">
      <formula>G174="n"</formula>
    </cfRule>
  </conditionalFormatting>
  <conditionalFormatting sqref="D174">
    <cfRule type="expression" dxfId="596" priority="374">
      <formula>G174="n"</formula>
    </cfRule>
  </conditionalFormatting>
  <conditionalFormatting sqref="E174">
    <cfRule type="expression" dxfId="595" priority="373">
      <formula>G174="n"</formula>
    </cfRule>
  </conditionalFormatting>
  <conditionalFormatting sqref="F235">
    <cfRule type="expression" dxfId="594" priority="372">
      <formula>G235="n"</formula>
    </cfRule>
  </conditionalFormatting>
  <conditionalFormatting sqref="F235">
    <cfRule type="expression" dxfId="593" priority="371">
      <formula>G235="n"</formula>
    </cfRule>
  </conditionalFormatting>
  <conditionalFormatting sqref="C235">
    <cfRule type="expression" dxfId="592" priority="370">
      <formula>G235="n"</formula>
    </cfRule>
  </conditionalFormatting>
  <conditionalFormatting sqref="D235">
    <cfRule type="expression" dxfId="591" priority="369">
      <formula>G235="n"</formula>
    </cfRule>
  </conditionalFormatting>
  <conditionalFormatting sqref="E235">
    <cfRule type="expression" dxfId="590" priority="368">
      <formula>G235="n"</formula>
    </cfRule>
  </conditionalFormatting>
  <conditionalFormatting sqref="C235">
    <cfRule type="expression" dxfId="589" priority="367">
      <formula>G235="n"</formula>
    </cfRule>
  </conditionalFormatting>
  <conditionalFormatting sqref="D235">
    <cfRule type="expression" dxfId="588" priority="366">
      <formula>G235="n"</formula>
    </cfRule>
  </conditionalFormatting>
  <conditionalFormatting sqref="E235">
    <cfRule type="expression" dxfId="587" priority="365">
      <formula>G235="n"</formula>
    </cfRule>
  </conditionalFormatting>
  <conditionalFormatting sqref="F236">
    <cfRule type="expression" dxfId="586" priority="364">
      <formula>G236="n"</formula>
    </cfRule>
  </conditionalFormatting>
  <conditionalFormatting sqref="F236">
    <cfRule type="expression" dxfId="585" priority="363">
      <formula>G236="n"</formula>
    </cfRule>
  </conditionalFormatting>
  <conditionalFormatting sqref="C236">
    <cfRule type="expression" dxfId="584" priority="362">
      <formula>G236="n"</formula>
    </cfRule>
  </conditionalFormatting>
  <conditionalFormatting sqref="D236">
    <cfRule type="expression" dxfId="583" priority="361">
      <formula>G236="n"</formula>
    </cfRule>
  </conditionalFormatting>
  <conditionalFormatting sqref="E236">
    <cfRule type="expression" dxfId="582" priority="360">
      <formula>G236="n"</formula>
    </cfRule>
  </conditionalFormatting>
  <conditionalFormatting sqref="C236">
    <cfRule type="expression" dxfId="581" priority="359">
      <formula>G236="n"</formula>
    </cfRule>
  </conditionalFormatting>
  <conditionalFormatting sqref="D236">
    <cfRule type="expression" dxfId="580" priority="358">
      <formula>G236="n"</formula>
    </cfRule>
  </conditionalFormatting>
  <conditionalFormatting sqref="E236">
    <cfRule type="expression" dxfId="579" priority="357">
      <formula>G236="n"</formula>
    </cfRule>
  </conditionalFormatting>
  <conditionalFormatting sqref="F252">
    <cfRule type="expression" dxfId="578" priority="356">
      <formula>G252="n"</formula>
    </cfRule>
  </conditionalFormatting>
  <conditionalFormatting sqref="F252">
    <cfRule type="expression" dxfId="577" priority="355">
      <formula>G252="n"</formula>
    </cfRule>
  </conditionalFormatting>
  <conditionalFormatting sqref="C252">
    <cfRule type="expression" dxfId="576" priority="354">
      <formula>G252="n"</formula>
    </cfRule>
  </conditionalFormatting>
  <conditionalFormatting sqref="D252">
    <cfRule type="expression" dxfId="575" priority="353">
      <formula>G252="n"</formula>
    </cfRule>
  </conditionalFormatting>
  <conditionalFormatting sqref="E252">
    <cfRule type="expression" dxfId="574" priority="352">
      <formula>G252="n"</formula>
    </cfRule>
  </conditionalFormatting>
  <conditionalFormatting sqref="C252">
    <cfRule type="expression" dxfId="573" priority="351">
      <formula>G252="n"</formula>
    </cfRule>
  </conditionalFormatting>
  <conditionalFormatting sqref="D252">
    <cfRule type="expression" dxfId="572" priority="350">
      <formula>G252="n"</formula>
    </cfRule>
  </conditionalFormatting>
  <conditionalFormatting sqref="E252">
    <cfRule type="expression" dxfId="571" priority="349">
      <formula>G252="n"</formula>
    </cfRule>
  </conditionalFormatting>
  <conditionalFormatting sqref="E278">
    <cfRule type="expression" dxfId="570" priority="348">
      <formula>G278="n"</formula>
    </cfRule>
  </conditionalFormatting>
  <conditionalFormatting sqref="D278">
    <cfRule type="expression" dxfId="569" priority="347">
      <formula>G278="n"</formula>
    </cfRule>
  </conditionalFormatting>
  <conditionalFormatting sqref="D278">
    <cfRule type="expression" dxfId="568" priority="346">
      <formula>G278="n"</formula>
    </cfRule>
  </conditionalFormatting>
  <conditionalFormatting sqref="F278">
    <cfRule type="expression" dxfId="567" priority="345">
      <formula>G278="n"</formula>
    </cfRule>
  </conditionalFormatting>
  <conditionalFormatting sqref="E279">
    <cfRule type="expression" dxfId="566" priority="344">
      <formula>G279="n"</formula>
    </cfRule>
  </conditionalFormatting>
  <conditionalFormatting sqref="D279">
    <cfRule type="expression" dxfId="565" priority="343">
      <formula>G279="n"</formula>
    </cfRule>
  </conditionalFormatting>
  <conditionalFormatting sqref="D279">
    <cfRule type="expression" dxfId="564" priority="342">
      <formula>G279="n"</formula>
    </cfRule>
  </conditionalFormatting>
  <conditionalFormatting sqref="F279">
    <cfRule type="expression" dxfId="563" priority="341">
      <formula>G279="n"</formula>
    </cfRule>
  </conditionalFormatting>
  <conditionalFormatting sqref="C281">
    <cfRule type="expression" dxfId="562" priority="338">
      <formula>G281="n"</formula>
    </cfRule>
  </conditionalFormatting>
  <conditionalFormatting sqref="D281">
    <cfRule type="expression" dxfId="561" priority="337">
      <formula>G281="n"</formula>
    </cfRule>
  </conditionalFormatting>
  <conditionalFormatting sqref="E281">
    <cfRule type="expression" dxfId="560" priority="336">
      <formula>G281="n"</formula>
    </cfRule>
  </conditionalFormatting>
  <conditionalFormatting sqref="C281">
    <cfRule type="expression" dxfId="559" priority="335">
      <formula>G281="n"</formula>
    </cfRule>
  </conditionalFormatting>
  <conditionalFormatting sqref="D281">
    <cfRule type="expression" dxfId="558" priority="334">
      <formula>G281="n"</formula>
    </cfRule>
  </conditionalFormatting>
  <conditionalFormatting sqref="E281">
    <cfRule type="expression" dxfId="557" priority="333">
      <formula>G281="n"</formula>
    </cfRule>
  </conditionalFormatting>
  <conditionalFormatting sqref="D281">
    <cfRule type="expression" dxfId="556" priority="332">
      <formula>G281="n"</formula>
    </cfRule>
  </conditionalFormatting>
  <conditionalFormatting sqref="E281">
    <cfRule type="expression" dxfId="555" priority="331">
      <formula>G281="n"</formula>
    </cfRule>
  </conditionalFormatting>
  <conditionalFormatting sqref="D281">
    <cfRule type="expression" dxfId="554" priority="330">
      <formula>G281="n"</formula>
    </cfRule>
  </conditionalFormatting>
  <conditionalFormatting sqref="E281">
    <cfRule type="expression" dxfId="553" priority="329">
      <formula>G281="n"</formula>
    </cfRule>
  </conditionalFormatting>
  <conditionalFormatting sqref="C281">
    <cfRule type="expression" dxfId="552" priority="328">
      <formula>G281="n"</formula>
    </cfRule>
  </conditionalFormatting>
  <conditionalFormatting sqref="C281">
    <cfRule type="expression" dxfId="551" priority="327">
      <formula>G281="n"</formula>
    </cfRule>
  </conditionalFormatting>
  <conditionalFormatting sqref="C282">
    <cfRule type="expression" dxfId="550" priority="324">
      <formula>G282="n"</formula>
    </cfRule>
  </conditionalFormatting>
  <conditionalFormatting sqref="D282">
    <cfRule type="expression" dxfId="549" priority="323">
      <formula>G282="n"</formula>
    </cfRule>
  </conditionalFormatting>
  <conditionalFormatting sqref="E282">
    <cfRule type="expression" dxfId="548" priority="322">
      <formula>G282="n"</formula>
    </cfRule>
  </conditionalFormatting>
  <conditionalFormatting sqref="C282">
    <cfRule type="expression" dxfId="547" priority="321">
      <formula>G282="n"</formula>
    </cfRule>
  </conditionalFormatting>
  <conditionalFormatting sqref="D282">
    <cfRule type="expression" dxfId="546" priority="320">
      <formula>G282="n"</formula>
    </cfRule>
  </conditionalFormatting>
  <conditionalFormatting sqref="E282">
    <cfRule type="expression" dxfId="545" priority="319">
      <formula>G282="n"</formula>
    </cfRule>
  </conditionalFormatting>
  <conditionalFormatting sqref="F314">
    <cfRule type="expression" dxfId="544" priority="318">
      <formula>G314="n"</formula>
    </cfRule>
  </conditionalFormatting>
  <conditionalFormatting sqref="E314">
    <cfRule type="expression" dxfId="543" priority="317">
      <formula>G314="n"</formula>
    </cfRule>
  </conditionalFormatting>
  <conditionalFormatting sqref="C314">
    <cfRule type="expression" dxfId="542" priority="316">
      <formula>G314="n"</formula>
    </cfRule>
  </conditionalFormatting>
  <conditionalFormatting sqref="D314">
    <cfRule type="expression" dxfId="541" priority="315">
      <formula>G314="n"</formula>
    </cfRule>
  </conditionalFormatting>
  <conditionalFormatting sqref="C314">
    <cfRule type="expression" dxfId="540" priority="314">
      <formula>G314="n"</formula>
    </cfRule>
  </conditionalFormatting>
  <conditionalFormatting sqref="D314">
    <cfRule type="expression" dxfId="539" priority="313">
      <formula>G314="n"</formula>
    </cfRule>
  </conditionalFormatting>
  <conditionalFormatting sqref="F314">
    <cfRule type="expression" dxfId="538" priority="312">
      <formula>G314="n"</formula>
    </cfRule>
  </conditionalFormatting>
  <conditionalFormatting sqref="E314">
    <cfRule type="expression" dxfId="537" priority="311">
      <formula>G314="n"</formula>
    </cfRule>
  </conditionalFormatting>
  <conditionalFormatting sqref="C314">
    <cfRule type="expression" dxfId="536" priority="310">
      <formula>G314="n"</formula>
    </cfRule>
  </conditionalFormatting>
  <conditionalFormatting sqref="D314">
    <cfRule type="expression" dxfId="535" priority="309">
      <formula>G314="n"</formula>
    </cfRule>
  </conditionalFormatting>
  <conditionalFormatting sqref="C314">
    <cfRule type="expression" dxfId="534" priority="308">
      <formula>G314="n"</formula>
    </cfRule>
  </conditionalFormatting>
  <conditionalFormatting sqref="D314">
    <cfRule type="expression" dxfId="533" priority="307">
      <formula>G314="n"</formula>
    </cfRule>
  </conditionalFormatting>
  <conditionalFormatting sqref="F314">
    <cfRule type="expression" dxfId="532" priority="306">
      <formula>G314="n"</formula>
    </cfRule>
  </conditionalFormatting>
  <conditionalFormatting sqref="F314">
    <cfRule type="expression" dxfId="531" priority="305">
      <formula>G314="n"</formula>
    </cfRule>
  </conditionalFormatting>
  <conditionalFormatting sqref="D314">
    <cfRule type="expression" dxfId="530" priority="304">
      <formula>G314="n"</formula>
    </cfRule>
  </conditionalFormatting>
  <conditionalFormatting sqref="E314">
    <cfRule type="expression" dxfId="529" priority="303">
      <formula>G314="n"</formula>
    </cfRule>
  </conditionalFormatting>
  <conditionalFormatting sqref="D314">
    <cfRule type="expression" dxfId="528" priority="302">
      <formula>G314="n"</formula>
    </cfRule>
  </conditionalFormatting>
  <conditionalFormatting sqref="E314">
    <cfRule type="expression" dxfId="527" priority="301">
      <formula>G314="n"</formula>
    </cfRule>
  </conditionalFormatting>
  <conditionalFormatting sqref="D314">
    <cfRule type="expression" dxfId="526" priority="300">
      <formula>G314="n"</formula>
    </cfRule>
  </conditionalFormatting>
  <conditionalFormatting sqref="E314">
    <cfRule type="expression" dxfId="525" priority="299">
      <formula>G314="n"</formula>
    </cfRule>
  </conditionalFormatting>
  <conditionalFormatting sqref="D314">
    <cfRule type="expression" dxfId="524" priority="298">
      <formula>G314="n"</formula>
    </cfRule>
  </conditionalFormatting>
  <conditionalFormatting sqref="E314">
    <cfRule type="expression" dxfId="523" priority="297">
      <formula>G314="n"</formula>
    </cfRule>
  </conditionalFormatting>
  <conditionalFormatting sqref="C314">
    <cfRule type="expression" dxfId="522" priority="296">
      <formula>G314="n"</formula>
    </cfRule>
  </conditionalFormatting>
  <conditionalFormatting sqref="C314">
    <cfRule type="expression" dxfId="521" priority="295">
      <formula>G314="n"</formula>
    </cfRule>
  </conditionalFormatting>
  <conditionalFormatting sqref="F315">
    <cfRule type="expression" dxfId="520" priority="294">
      <formula>G315="n"</formula>
    </cfRule>
  </conditionalFormatting>
  <conditionalFormatting sqref="F315">
    <cfRule type="expression" dxfId="519" priority="293">
      <formula>G315="n"</formula>
    </cfRule>
  </conditionalFormatting>
  <conditionalFormatting sqref="C315">
    <cfRule type="expression" dxfId="518" priority="292">
      <formula>G315="n"</formula>
    </cfRule>
  </conditionalFormatting>
  <conditionalFormatting sqref="D315">
    <cfRule type="expression" dxfId="517" priority="291">
      <formula>G315="n"</formula>
    </cfRule>
  </conditionalFormatting>
  <conditionalFormatting sqref="E315">
    <cfRule type="expression" dxfId="516" priority="290">
      <formula>G315="n"</formula>
    </cfRule>
  </conditionalFormatting>
  <conditionalFormatting sqref="C315">
    <cfRule type="expression" dxfId="515" priority="289">
      <formula>G315="n"</formula>
    </cfRule>
  </conditionalFormatting>
  <conditionalFormatting sqref="D315">
    <cfRule type="expression" dxfId="514" priority="288">
      <formula>G315="n"</formula>
    </cfRule>
  </conditionalFormatting>
  <conditionalFormatting sqref="E315">
    <cfRule type="expression" dxfId="513" priority="287">
      <formula>G315="n"</formula>
    </cfRule>
  </conditionalFormatting>
  <conditionalFormatting sqref="F341">
    <cfRule type="expression" dxfId="512" priority="286">
      <formula>G341="n"</formula>
    </cfRule>
  </conditionalFormatting>
  <conditionalFormatting sqref="E341">
    <cfRule type="expression" dxfId="511" priority="285">
      <formula>G341="n"</formula>
    </cfRule>
  </conditionalFormatting>
  <conditionalFormatting sqref="C341">
    <cfRule type="expression" dxfId="510" priority="284">
      <formula>G341="n"</formula>
    </cfRule>
  </conditionalFormatting>
  <conditionalFormatting sqref="D341">
    <cfRule type="expression" dxfId="509" priority="283">
      <formula>G341="n"</formula>
    </cfRule>
  </conditionalFormatting>
  <conditionalFormatting sqref="C341">
    <cfRule type="expression" dxfId="508" priority="282">
      <formula>G341="n"</formula>
    </cfRule>
  </conditionalFormatting>
  <conditionalFormatting sqref="D341">
    <cfRule type="expression" dxfId="507" priority="281">
      <formula>G341="n"</formula>
    </cfRule>
  </conditionalFormatting>
  <conditionalFormatting sqref="F343">
    <cfRule type="expression" dxfId="506" priority="280">
      <formula>G343="n"</formula>
    </cfRule>
  </conditionalFormatting>
  <conditionalFormatting sqref="E343">
    <cfRule type="expression" dxfId="505" priority="279">
      <formula>G343="n"</formula>
    </cfRule>
  </conditionalFormatting>
  <conditionalFormatting sqref="C343">
    <cfRule type="expression" dxfId="504" priority="278">
      <formula>G343="n"</formula>
    </cfRule>
  </conditionalFormatting>
  <conditionalFormatting sqref="D343">
    <cfRule type="expression" dxfId="503" priority="277">
      <formula>G343="n"</formula>
    </cfRule>
  </conditionalFormatting>
  <conditionalFormatting sqref="C343">
    <cfRule type="expression" dxfId="502" priority="276">
      <formula>G343="n"</formula>
    </cfRule>
  </conditionalFormatting>
  <conditionalFormatting sqref="D343">
    <cfRule type="expression" dxfId="501" priority="275">
      <formula>G343="n"</formula>
    </cfRule>
  </conditionalFormatting>
  <conditionalFormatting sqref="D342">
    <cfRule type="expression" dxfId="500" priority="274">
      <formula>G342="n"</formula>
    </cfRule>
  </conditionalFormatting>
  <conditionalFormatting sqref="E342">
    <cfRule type="expression" dxfId="499" priority="273">
      <formula>G342="n"</formula>
    </cfRule>
  </conditionalFormatting>
  <conditionalFormatting sqref="D342">
    <cfRule type="expression" dxfId="498" priority="272">
      <formula>G342="n"</formula>
    </cfRule>
  </conditionalFormatting>
  <conditionalFormatting sqref="E342">
    <cfRule type="expression" dxfId="497" priority="271">
      <formula>G342="n"</formula>
    </cfRule>
  </conditionalFormatting>
  <conditionalFormatting sqref="D342">
    <cfRule type="expression" dxfId="496" priority="268">
      <formula>G342="n"</formula>
    </cfRule>
  </conditionalFormatting>
  <conditionalFormatting sqref="E342">
    <cfRule type="expression" dxfId="495" priority="267">
      <formula>G342="n"</formula>
    </cfRule>
  </conditionalFormatting>
  <conditionalFormatting sqref="D342">
    <cfRule type="expression" dxfId="494" priority="266">
      <formula>G342="n"</formula>
    </cfRule>
  </conditionalFormatting>
  <conditionalFormatting sqref="E342">
    <cfRule type="expression" dxfId="493" priority="265">
      <formula>G342="n"</formula>
    </cfRule>
  </conditionalFormatting>
  <conditionalFormatting sqref="C342">
    <cfRule type="expression" dxfId="492" priority="264">
      <formula>G342="n"</formula>
    </cfRule>
  </conditionalFormatting>
  <conditionalFormatting sqref="C342">
    <cfRule type="expression" dxfId="491" priority="263">
      <formula>G342="n"</formula>
    </cfRule>
  </conditionalFormatting>
  <conditionalFormatting sqref="E346">
    <cfRule type="expression" dxfId="490" priority="262">
      <formula>G346="n"</formula>
    </cfRule>
  </conditionalFormatting>
  <conditionalFormatting sqref="D346">
    <cfRule type="expression" dxfId="489" priority="261">
      <formula>G346="n"</formula>
    </cfRule>
  </conditionalFormatting>
  <conditionalFormatting sqref="D346">
    <cfRule type="expression" dxfId="488" priority="260">
      <formula>G346="n"</formula>
    </cfRule>
  </conditionalFormatting>
  <conditionalFormatting sqref="F346">
    <cfRule type="expression" dxfId="487" priority="259">
      <formula>G346="n"</formula>
    </cfRule>
  </conditionalFormatting>
  <conditionalFormatting sqref="C346">
    <cfRule type="expression" dxfId="486" priority="258">
      <formula>G346="n"</formula>
    </cfRule>
  </conditionalFormatting>
  <conditionalFormatting sqref="C346">
    <cfRule type="expression" dxfId="485" priority="257">
      <formula>G346="n"</formula>
    </cfRule>
  </conditionalFormatting>
  <conditionalFormatting sqref="E347">
    <cfRule type="expression" dxfId="484" priority="256">
      <formula>G347="n"</formula>
    </cfRule>
  </conditionalFormatting>
  <conditionalFormatting sqref="D347">
    <cfRule type="expression" dxfId="483" priority="255">
      <formula>G347="n"</formula>
    </cfRule>
  </conditionalFormatting>
  <conditionalFormatting sqref="D347">
    <cfRule type="expression" dxfId="482" priority="254">
      <formula>G347="n"</formula>
    </cfRule>
  </conditionalFormatting>
  <conditionalFormatting sqref="F347">
    <cfRule type="expression" dxfId="481" priority="253">
      <formula>G347="n"</formula>
    </cfRule>
  </conditionalFormatting>
  <conditionalFormatting sqref="C347">
    <cfRule type="expression" dxfId="480" priority="252">
      <formula>G347="n"</formula>
    </cfRule>
  </conditionalFormatting>
  <conditionalFormatting sqref="C347">
    <cfRule type="expression" dxfId="479" priority="251">
      <formula>G347="n"</formula>
    </cfRule>
  </conditionalFormatting>
  <conditionalFormatting sqref="F350">
    <cfRule type="expression" dxfId="478" priority="250">
      <formula>G350="n"</formula>
    </cfRule>
  </conditionalFormatting>
  <conditionalFormatting sqref="E350">
    <cfRule type="expression" dxfId="477" priority="249">
      <formula>G350="n"</formula>
    </cfRule>
  </conditionalFormatting>
  <conditionalFormatting sqref="C350">
    <cfRule type="expression" dxfId="476" priority="248">
      <formula>G350="n"</formula>
    </cfRule>
  </conditionalFormatting>
  <conditionalFormatting sqref="D350">
    <cfRule type="expression" dxfId="475" priority="247">
      <formula>G350="n"</formula>
    </cfRule>
  </conditionalFormatting>
  <conditionalFormatting sqref="C350">
    <cfRule type="expression" dxfId="474" priority="246">
      <formula>G350="n"</formula>
    </cfRule>
  </conditionalFormatting>
  <conditionalFormatting sqref="D350">
    <cfRule type="expression" dxfId="473" priority="245">
      <formula>G350="n"</formula>
    </cfRule>
  </conditionalFormatting>
  <conditionalFormatting sqref="D349">
    <cfRule type="expression" dxfId="472" priority="244">
      <formula>G349="n"</formula>
    </cfRule>
  </conditionalFormatting>
  <conditionalFormatting sqref="E349">
    <cfRule type="expression" dxfId="471" priority="243">
      <formula>G349="n"</formula>
    </cfRule>
  </conditionalFormatting>
  <conditionalFormatting sqref="D349">
    <cfRule type="expression" dxfId="470" priority="242">
      <formula>G349="n"</formula>
    </cfRule>
  </conditionalFormatting>
  <conditionalFormatting sqref="E349">
    <cfRule type="expression" dxfId="469" priority="241">
      <formula>G349="n"</formula>
    </cfRule>
  </conditionalFormatting>
  <conditionalFormatting sqref="F349">
    <cfRule type="expression" dxfId="468" priority="240">
      <formula>G349="n"</formula>
    </cfRule>
  </conditionalFormatting>
  <conditionalFormatting sqref="F349">
    <cfRule type="expression" dxfId="467" priority="239">
      <formula>G349="n"</formula>
    </cfRule>
  </conditionalFormatting>
  <conditionalFormatting sqref="D349">
    <cfRule type="expression" dxfId="466" priority="238">
      <formula>G349="n"</formula>
    </cfRule>
  </conditionalFormatting>
  <conditionalFormatting sqref="E349">
    <cfRule type="expression" dxfId="465" priority="237">
      <formula>G349="n"</formula>
    </cfRule>
  </conditionalFormatting>
  <conditionalFormatting sqref="D349">
    <cfRule type="expression" dxfId="464" priority="236">
      <formula>G349="n"</formula>
    </cfRule>
  </conditionalFormatting>
  <conditionalFormatting sqref="E349">
    <cfRule type="expression" dxfId="463" priority="235">
      <formula>G349="n"</formula>
    </cfRule>
  </conditionalFormatting>
  <conditionalFormatting sqref="C349">
    <cfRule type="expression" dxfId="462" priority="234">
      <formula>G349="n"</formula>
    </cfRule>
  </conditionalFormatting>
  <conditionalFormatting sqref="C349">
    <cfRule type="expression" dxfId="461" priority="233">
      <formula>G349="n"</formula>
    </cfRule>
  </conditionalFormatting>
  <conditionalFormatting sqref="C182">
    <cfRule type="expression" dxfId="460" priority="232">
      <formula>G182="n"</formula>
    </cfRule>
  </conditionalFormatting>
  <conditionalFormatting sqref="C182">
    <cfRule type="expression" dxfId="459" priority="231">
      <formula>G182="n"</formula>
    </cfRule>
  </conditionalFormatting>
  <conditionalFormatting sqref="C183">
    <cfRule type="expression" dxfId="458" priority="230">
      <formula>G183="n"</formula>
    </cfRule>
  </conditionalFormatting>
  <conditionalFormatting sqref="C183">
    <cfRule type="expression" dxfId="457" priority="229">
      <formula>G183="n"</formula>
    </cfRule>
  </conditionalFormatting>
  <conditionalFormatting sqref="C191">
    <cfRule type="expression" dxfId="456" priority="228">
      <formula>G191="n"</formula>
    </cfRule>
  </conditionalFormatting>
  <conditionalFormatting sqref="C191">
    <cfRule type="expression" dxfId="455" priority="227">
      <formula>G191="n"</formula>
    </cfRule>
  </conditionalFormatting>
  <conditionalFormatting sqref="C229">
    <cfRule type="expression" dxfId="454" priority="226">
      <formula>G229="n"</formula>
    </cfRule>
  </conditionalFormatting>
  <conditionalFormatting sqref="C229">
    <cfRule type="expression" dxfId="453" priority="225">
      <formula>G229="n"</formula>
    </cfRule>
  </conditionalFormatting>
  <conditionalFormatting sqref="D50">
    <cfRule type="expression" dxfId="452" priority="219">
      <formula>G50="n"</formula>
    </cfRule>
  </conditionalFormatting>
  <conditionalFormatting sqref="D51">
    <cfRule type="expression" dxfId="451" priority="217">
      <formula>G51="n"</formula>
    </cfRule>
  </conditionalFormatting>
  <conditionalFormatting sqref="D48">
    <cfRule type="expression" dxfId="450" priority="224">
      <formula>G48="n"</formula>
    </cfRule>
  </conditionalFormatting>
  <conditionalFormatting sqref="D48">
    <cfRule type="expression" dxfId="449" priority="223">
      <formula>G48="n"</formula>
    </cfRule>
  </conditionalFormatting>
  <conditionalFormatting sqref="D49">
    <cfRule type="expression" dxfId="448" priority="222">
      <formula>G49="n"</formula>
    </cfRule>
  </conditionalFormatting>
  <conditionalFormatting sqref="D49">
    <cfRule type="expression" dxfId="447" priority="221">
      <formula>G49="n"</formula>
    </cfRule>
  </conditionalFormatting>
  <conditionalFormatting sqref="D50">
    <cfRule type="expression" dxfId="446" priority="220">
      <formula>G50="n"</formula>
    </cfRule>
  </conditionalFormatting>
  <conditionalFormatting sqref="D51">
    <cfRule type="expression" dxfId="445" priority="218">
      <formula>G51="n"</formula>
    </cfRule>
  </conditionalFormatting>
  <conditionalFormatting sqref="D53">
    <cfRule type="expression" dxfId="444" priority="216">
      <formula>G53="n"</formula>
    </cfRule>
  </conditionalFormatting>
  <conditionalFormatting sqref="D53">
    <cfRule type="expression" dxfId="443" priority="215">
      <formula>G53="n"</formula>
    </cfRule>
  </conditionalFormatting>
  <conditionalFormatting sqref="D54">
    <cfRule type="expression" dxfId="442" priority="214">
      <formula>G54="n"</formula>
    </cfRule>
  </conditionalFormatting>
  <conditionalFormatting sqref="D54">
    <cfRule type="expression" dxfId="441" priority="213">
      <formula>G54="n"</formula>
    </cfRule>
  </conditionalFormatting>
  <conditionalFormatting sqref="D57">
    <cfRule type="expression" dxfId="440" priority="212">
      <formula>G57="n"</formula>
    </cfRule>
  </conditionalFormatting>
  <conditionalFormatting sqref="D57">
    <cfRule type="expression" dxfId="439" priority="211">
      <formula>G57="n"</formula>
    </cfRule>
  </conditionalFormatting>
  <conditionalFormatting sqref="D58">
    <cfRule type="expression" dxfId="438" priority="210">
      <formula>G58="n"</formula>
    </cfRule>
  </conditionalFormatting>
  <conditionalFormatting sqref="D58">
    <cfRule type="expression" dxfId="437" priority="209">
      <formula>G58="n"</formula>
    </cfRule>
  </conditionalFormatting>
  <conditionalFormatting sqref="D59">
    <cfRule type="expression" dxfId="436" priority="208">
      <formula>G59="n"</formula>
    </cfRule>
  </conditionalFormatting>
  <conditionalFormatting sqref="D59">
    <cfRule type="expression" dxfId="435" priority="207">
      <formula>G59="n"</formula>
    </cfRule>
  </conditionalFormatting>
  <conditionalFormatting sqref="D60">
    <cfRule type="expression" dxfId="434" priority="206">
      <formula>G60="n"</formula>
    </cfRule>
  </conditionalFormatting>
  <conditionalFormatting sqref="D60">
    <cfRule type="expression" dxfId="433" priority="205">
      <formula>G60="n"</formula>
    </cfRule>
  </conditionalFormatting>
  <conditionalFormatting sqref="D61">
    <cfRule type="expression" dxfId="432" priority="204">
      <formula>G61="n"</formula>
    </cfRule>
  </conditionalFormatting>
  <conditionalFormatting sqref="D61">
    <cfRule type="expression" dxfId="431" priority="203">
      <formula>G61="n"</formula>
    </cfRule>
  </conditionalFormatting>
  <conditionalFormatting sqref="D62">
    <cfRule type="expression" dxfId="430" priority="202">
      <formula>G62="n"</formula>
    </cfRule>
  </conditionalFormatting>
  <conditionalFormatting sqref="D62">
    <cfRule type="expression" dxfId="429" priority="201">
      <formula>G62="n"</formula>
    </cfRule>
  </conditionalFormatting>
  <conditionalFormatting sqref="D63">
    <cfRule type="expression" dxfId="428" priority="200">
      <formula>G63="n"</formula>
    </cfRule>
  </conditionalFormatting>
  <conditionalFormatting sqref="D63">
    <cfRule type="expression" dxfId="427" priority="199">
      <formula>G63="n"</formula>
    </cfRule>
  </conditionalFormatting>
  <conditionalFormatting sqref="D64">
    <cfRule type="expression" dxfId="426" priority="198">
      <formula>G64="n"</formula>
    </cfRule>
  </conditionalFormatting>
  <conditionalFormatting sqref="D64">
    <cfRule type="expression" dxfId="425" priority="197">
      <formula>G64="n"</formula>
    </cfRule>
  </conditionalFormatting>
  <conditionalFormatting sqref="D65">
    <cfRule type="expression" dxfId="424" priority="196">
      <formula>G65="n"</formula>
    </cfRule>
  </conditionalFormatting>
  <conditionalFormatting sqref="D65">
    <cfRule type="expression" dxfId="423" priority="195">
      <formula>G65="n"</formula>
    </cfRule>
  </conditionalFormatting>
  <conditionalFormatting sqref="D66">
    <cfRule type="expression" dxfId="422" priority="194">
      <formula>G66="n"</formula>
    </cfRule>
  </conditionalFormatting>
  <conditionalFormatting sqref="D66">
    <cfRule type="expression" dxfId="421" priority="193">
      <formula>G66="n"</formula>
    </cfRule>
  </conditionalFormatting>
  <conditionalFormatting sqref="D67">
    <cfRule type="expression" dxfId="420" priority="192">
      <formula>G67="n"</formula>
    </cfRule>
  </conditionalFormatting>
  <conditionalFormatting sqref="D67">
    <cfRule type="expression" dxfId="419" priority="191">
      <formula>G67="n"</formula>
    </cfRule>
  </conditionalFormatting>
  <conditionalFormatting sqref="D68">
    <cfRule type="expression" dxfId="418" priority="190">
      <formula>G68="n"</formula>
    </cfRule>
  </conditionalFormatting>
  <conditionalFormatting sqref="D68">
    <cfRule type="expression" dxfId="417" priority="189">
      <formula>G68="n"</formula>
    </cfRule>
  </conditionalFormatting>
  <conditionalFormatting sqref="D69">
    <cfRule type="expression" dxfId="416" priority="188">
      <formula>G69="n"</formula>
    </cfRule>
  </conditionalFormatting>
  <conditionalFormatting sqref="D69">
    <cfRule type="expression" dxfId="415" priority="187">
      <formula>G69="n"</formula>
    </cfRule>
  </conditionalFormatting>
  <conditionalFormatting sqref="D70">
    <cfRule type="expression" dxfId="414" priority="186">
      <formula>G70="n"</formula>
    </cfRule>
  </conditionalFormatting>
  <conditionalFormatting sqref="D70">
    <cfRule type="expression" dxfId="413" priority="185">
      <formula>G70="n"</formula>
    </cfRule>
  </conditionalFormatting>
  <conditionalFormatting sqref="D71">
    <cfRule type="expression" dxfId="412" priority="184">
      <formula>G71="n"</formula>
    </cfRule>
  </conditionalFormatting>
  <conditionalFormatting sqref="D71">
    <cfRule type="expression" dxfId="411" priority="183">
      <formula>G71="n"</formula>
    </cfRule>
  </conditionalFormatting>
  <conditionalFormatting sqref="D72">
    <cfRule type="expression" dxfId="410" priority="182">
      <formula>G72="n"</formula>
    </cfRule>
  </conditionalFormatting>
  <conditionalFormatting sqref="D72">
    <cfRule type="expression" dxfId="409" priority="181">
      <formula>G72="n"</formula>
    </cfRule>
  </conditionalFormatting>
  <conditionalFormatting sqref="D73">
    <cfRule type="expression" dxfId="408" priority="180">
      <formula>G73="n"</formula>
    </cfRule>
  </conditionalFormatting>
  <conditionalFormatting sqref="D73">
    <cfRule type="expression" dxfId="407" priority="179">
      <formula>G73="n"</formula>
    </cfRule>
  </conditionalFormatting>
  <conditionalFormatting sqref="D74">
    <cfRule type="expression" dxfId="406" priority="178">
      <formula>G74="n"</formula>
    </cfRule>
  </conditionalFormatting>
  <conditionalFormatting sqref="D74">
    <cfRule type="expression" dxfId="405" priority="177">
      <formula>G74="n"</formula>
    </cfRule>
  </conditionalFormatting>
  <conditionalFormatting sqref="D75">
    <cfRule type="expression" dxfId="404" priority="176">
      <formula>G75="n"</formula>
    </cfRule>
  </conditionalFormatting>
  <conditionalFormatting sqref="D75">
    <cfRule type="expression" dxfId="403" priority="175">
      <formula>G75="n"</formula>
    </cfRule>
  </conditionalFormatting>
  <conditionalFormatting sqref="D76">
    <cfRule type="expression" dxfId="402" priority="174">
      <formula>G76="n"</formula>
    </cfRule>
  </conditionalFormatting>
  <conditionalFormatting sqref="D76">
    <cfRule type="expression" dxfId="401" priority="173">
      <formula>G76="n"</formula>
    </cfRule>
  </conditionalFormatting>
  <conditionalFormatting sqref="D77">
    <cfRule type="expression" dxfId="400" priority="172">
      <formula>G77="n"</formula>
    </cfRule>
  </conditionalFormatting>
  <conditionalFormatting sqref="D77">
    <cfRule type="expression" dxfId="399" priority="171">
      <formula>G77="n"</formula>
    </cfRule>
  </conditionalFormatting>
  <conditionalFormatting sqref="D78">
    <cfRule type="expression" dxfId="398" priority="170">
      <formula>G78="n"</formula>
    </cfRule>
  </conditionalFormatting>
  <conditionalFormatting sqref="D78">
    <cfRule type="expression" dxfId="397" priority="169">
      <formula>G78="n"</formula>
    </cfRule>
  </conditionalFormatting>
  <conditionalFormatting sqref="D79">
    <cfRule type="expression" dxfId="396" priority="168">
      <formula>G79="n"</formula>
    </cfRule>
  </conditionalFormatting>
  <conditionalFormatting sqref="D79">
    <cfRule type="expression" dxfId="395" priority="167">
      <formula>G79="n"</formula>
    </cfRule>
  </conditionalFormatting>
  <conditionalFormatting sqref="D80">
    <cfRule type="expression" dxfId="394" priority="166">
      <formula>G80="n"</formula>
    </cfRule>
  </conditionalFormatting>
  <conditionalFormatting sqref="D80">
    <cfRule type="expression" dxfId="393" priority="165">
      <formula>G80="n"</formula>
    </cfRule>
  </conditionalFormatting>
  <conditionalFormatting sqref="D81">
    <cfRule type="expression" dxfId="392" priority="164">
      <formula>G81="n"</formula>
    </cfRule>
  </conditionalFormatting>
  <conditionalFormatting sqref="D81">
    <cfRule type="expression" dxfId="391" priority="163">
      <formula>G81="n"</formula>
    </cfRule>
  </conditionalFormatting>
  <conditionalFormatting sqref="D82">
    <cfRule type="expression" dxfId="390" priority="162">
      <formula>G82="n"</formula>
    </cfRule>
  </conditionalFormatting>
  <conditionalFormatting sqref="D82">
    <cfRule type="expression" dxfId="389" priority="161">
      <formula>G82="n"</formula>
    </cfRule>
  </conditionalFormatting>
  <conditionalFormatting sqref="D83">
    <cfRule type="expression" dxfId="388" priority="160">
      <formula>G83="n"</formula>
    </cfRule>
  </conditionalFormatting>
  <conditionalFormatting sqref="D83">
    <cfRule type="expression" dxfId="387" priority="159">
      <formula>G83="n"</formula>
    </cfRule>
  </conditionalFormatting>
  <conditionalFormatting sqref="D84">
    <cfRule type="expression" dxfId="386" priority="158">
      <formula>G84="n"</formula>
    </cfRule>
  </conditionalFormatting>
  <conditionalFormatting sqref="D84">
    <cfRule type="expression" dxfId="385" priority="157">
      <formula>G84="n"</formula>
    </cfRule>
  </conditionalFormatting>
  <conditionalFormatting sqref="F85">
    <cfRule type="expression" dxfId="384" priority="156">
      <formula>G85="n"</formula>
    </cfRule>
  </conditionalFormatting>
  <conditionalFormatting sqref="F85">
    <cfRule type="expression" dxfId="383" priority="155">
      <formula>G85="n"</formula>
    </cfRule>
  </conditionalFormatting>
  <conditionalFormatting sqref="F191">
    <cfRule type="expression" dxfId="382" priority="154">
      <formula>G191="n"</formula>
    </cfRule>
  </conditionalFormatting>
  <conditionalFormatting sqref="F191">
    <cfRule type="expression" dxfId="381" priority="153">
      <formula>G191="n"</formula>
    </cfRule>
  </conditionalFormatting>
  <conditionalFormatting sqref="D193">
    <cfRule type="expression" dxfId="380" priority="152">
      <formula>G193="n"</formula>
    </cfRule>
  </conditionalFormatting>
  <conditionalFormatting sqref="D193">
    <cfRule type="expression" dxfId="379" priority="151">
      <formula>G193="n"</formula>
    </cfRule>
  </conditionalFormatting>
  <conditionalFormatting sqref="D194">
    <cfRule type="expression" dxfId="378" priority="150">
      <formula>G194="n"</formula>
    </cfRule>
  </conditionalFormatting>
  <conditionalFormatting sqref="D194">
    <cfRule type="expression" dxfId="377" priority="149">
      <formula>G194="n"</formula>
    </cfRule>
  </conditionalFormatting>
  <conditionalFormatting sqref="D195">
    <cfRule type="expression" dxfId="376" priority="148">
      <formula>G195="n"</formula>
    </cfRule>
  </conditionalFormatting>
  <conditionalFormatting sqref="D195">
    <cfRule type="expression" dxfId="375" priority="147">
      <formula>G195="n"</formula>
    </cfRule>
  </conditionalFormatting>
  <conditionalFormatting sqref="D197">
    <cfRule type="expression" dxfId="374" priority="146">
      <formula>G197="n"</formula>
    </cfRule>
  </conditionalFormatting>
  <conditionalFormatting sqref="D197">
    <cfRule type="expression" dxfId="373" priority="145">
      <formula>G197="n"</formula>
    </cfRule>
  </conditionalFormatting>
  <conditionalFormatting sqref="D198">
    <cfRule type="expression" dxfId="372" priority="144">
      <formula>G198="n"</formula>
    </cfRule>
  </conditionalFormatting>
  <conditionalFormatting sqref="D198">
    <cfRule type="expression" dxfId="371" priority="143">
      <formula>G198="n"</formula>
    </cfRule>
  </conditionalFormatting>
  <conditionalFormatting sqref="D201">
    <cfRule type="expression" dxfId="370" priority="142">
      <formula>G201="n"</formula>
    </cfRule>
  </conditionalFormatting>
  <conditionalFormatting sqref="D201">
    <cfRule type="expression" dxfId="369" priority="141">
      <formula>G201="n"</formula>
    </cfRule>
  </conditionalFormatting>
  <conditionalFormatting sqref="D202">
    <cfRule type="expression" dxfId="368" priority="140">
      <formula>G202="n"</formula>
    </cfRule>
  </conditionalFormatting>
  <conditionalFormatting sqref="D202">
    <cfRule type="expression" dxfId="367" priority="139">
      <formula>G202="n"</formula>
    </cfRule>
  </conditionalFormatting>
  <conditionalFormatting sqref="D203">
    <cfRule type="expression" dxfId="366" priority="138">
      <formula>G203="n"</formula>
    </cfRule>
  </conditionalFormatting>
  <conditionalFormatting sqref="D203">
    <cfRule type="expression" dxfId="365" priority="137">
      <formula>G203="n"</formula>
    </cfRule>
  </conditionalFormatting>
  <conditionalFormatting sqref="D204">
    <cfRule type="expression" dxfId="364" priority="136">
      <formula>G204="n"</formula>
    </cfRule>
  </conditionalFormatting>
  <conditionalFormatting sqref="D204">
    <cfRule type="expression" dxfId="363" priority="135">
      <formula>G204="n"</formula>
    </cfRule>
  </conditionalFormatting>
  <conditionalFormatting sqref="D205">
    <cfRule type="expression" dxfId="362" priority="134">
      <formula>G205="n"</formula>
    </cfRule>
  </conditionalFormatting>
  <conditionalFormatting sqref="D205">
    <cfRule type="expression" dxfId="361" priority="133">
      <formula>G205="n"</formula>
    </cfRule>
  </conditionalFormatting>
  <conditionalFormatting sqref="D206">
    <cfRule type="expression" dxfId="360" priority="132">
      <formula>G206="n"</formula>
    </cfRule>
  </conditionalFormatting>
  <conditionalFormatting sqref="D206">
    <cfRule type="expression" dxfId="359" priority="131">
      <formula>G206="n"</formula>
    </cfRule>
  </conditionalFormatting>
  <conditionalFormatting sqref="D207">
    <cfRule type="expression" dxfId="358" priority="130">
      <formula>G207="n"</formula>
    </cfRule>
  </conditionalFormatting>
  <conditionalFormatting sqref="D207">
    <cfRule type="expression" dxfId="357" priority="129">
      <formula>G207="n"</formula>
    </cfRule>
  </conditionalFormatting>
  <conditionalFormatting sqref="D208">
    <cfRule type="expression" dxfId="356" priority="128">
      <formula>G208="n"</formula>
    </cfRule>
  </conditionalFormatting>
  <conditionalFormatting sqref="D208">
    <cfRule type="expression" dxfId="355" priority="127">
      <formula>G208="n"</formula>
    </cfRule>
  </conditionalFormatting>
  <conditionalFormatting sqref="D209">
    <cfRule type="expression" dxfId="354" priority="126">
      <formula>G209="n"</formula>
    </cfRule>
  </conditionalFormatting>
  <conditionalFormatting sqref="D209">
    <cfRule type="expression" dxfId="353" priority="125">
      <formula>G209="n"</formula>
    </cfRule>
  </conditionalFormatting>
  <conditionalFormatting sqref="D210">
    <cfRule type="expression" dxfId="352" priority="124">
      <formula>G210="n"</formula>
    </cfRule>
  </conditionalFormatting>
  <conditionalFormatting sqref="D210">
    <cfRule type="expression" dxfId="351" priority="123">
      <formula>G210="n"</formula>
    </cfRule>
  </conditionalFormatting>
  <conditionalFormatting sqref="D211">
    <cfRule type="expression" dxfId="350" priority="122">
      <formula>G211="n"</formula>
    </cfRule>
  </conditionalFormatting>
  <conditionalFormatting sqref="D211">
    <cfRule type="expression" dxfId="349" priority="121">
      <formula>G211="n"</formula>
    </cfRule>
  </conditionalFormatting>
  <conditionalFormatting sqref="D212">
    <cfRule type="expression" dxfId="348" priority="120">
      <formula>G212="n"</formula>
    </cfRule>
  </conditionalFormatting>
  <conditionalFormatting sqref="D212">
    <cfRule type="expression" dxfId="347" priority="119">
      <formula>G212="n"</formula>
    </cfRule>
  </conditionalFormatting>
  <conditionalFormatting sqref="D213">
    <cfRule type="expression" dxfId="346" priority="118">
      <formula>G213="n"</formula>
    </cfRule>
  </conditionalFormatting>
  <conditionalFormatting sqref="D213">
    <cfRule type="expression" dxfId="345" priority="117">
      <formula>G213="n"</formula>
    </cfRule>
  </conditionalFormatting>
  <conditionalFormatting sqref="D214">
    <cfRule type="expression" dxfId="344" priority="116">
      <formula>G214="n"</formula>
    </cfRule>
  </conditionalFormatting>
  <conditionalFormatting sqref="D214">
    <cfRule type="expression" dxfId="343" priority="115">
      <formula>G214="n"</formula>
    </cfRule>
  </conditionalFormatting>
  <conditionalFormatting sqref="D215">
    <cfRule type="expression" dxfId="342" priority="114">
      <formula>G215="n"</formula>
    </cfRule>
  </conditionalFormatting>
  <conditionalFormatting sqref="D215">
    <cfRule type="expression" dxfId="341" priority="113">
      <formula>G215="n"</formula>
    </cfRule>
  </conditionalFormatting>
  <conditionalFormatting sqref="D216">
    <cfRule type="expression" dxfId="340" priority="112">
      <formula>G216="n"</formula>
    </cfRule>
  </conditionalFormatting>
  <conditionalFormatting sqref="D216">
    <cfRule type="expression" dxfId="339" priority="111">
      <formula>G216="n"</formula>
    </cfRule>
  </conditionalFormatting>
  <conditionalFormatting sqref="D217">
    <cfRule type="expression" dxfId="338" priority="110">
      <formula>G217="n"</formula>
    </cfRule>
  </conditionalFormatting>
  <conditionalFormatting sqref="D217">
    <cfRule type="expression" dxfId="337" priority="109">
      <formula>G217="n"</formula>
    </cfRule>
  </conditionalFormatting>
  <conditionalFormatting sqref="D218">
    <cfRule type="expression" dxfId="336" priority="108">
      <formula>G218="n"</formula>
    </cfRule>
  </conditionalFormatting>
  <conditionalFormatting sqref="D218">
    <cfRule type="expression" dxfId="335" priority="107">
      <formula>G218="n"</formula>
    </cfRule>
  </conditionalFormatting>
  <conditionalFormatting sqref="D219">
    <cfRule type="expression" dxfId="334" priority="106">
      <formula>G219="n"</formula>
    </cfRule>
  </conditionalFormatting>
  <conditionalFormatting sqref="D219">
    <cfRule type="expression" dxfId="333" priority="105">
      <formula>G219="n"</formula>
    </cfRule>
  </conditionalFormatting>
  <conditionalFormatting sqref="D220">
    <cfRule type="expression" dxfId="332" priority="104">
      <formula>G220="n"</formula>
    </cfRule>
  </conditionalFormatting>
  <conditionalFormatting sqref="D220">
    <cfRule type="expression" dxfId="331" priority="103">
      <formula>G220="n"</formula>
    </cfRule>
  </conditionalFormatting>
  <conditionalFormatting sqref="D221">
    <cfRule type="expression" dxfId="330" priority="102">
      <formula>G221="n"</formula>
    </cfRule>
  </conditionalFormatting>
  <conditionalFormatting sqref="D221">
    <cfRule type="expression" dxfId="329" priority="101">
      <formula>G221="n"</formula>
    </cfRule>
  </conditionalFormatting>
  <conditionalFormatting sqref="D222">
    <cfRule type="expression" dxfId="328" priority="100">
      <formula>G222="n"</formula>
    </cfRule>
  </conditionalFormatting>
  <conditionalFormatting sqref="D222">
    <cfRule type="expression" dxfId="327" priority="99">
      <formula>G222="n"</formula>
    </cfRule>
  </conditionalFormatting>
  <conditionalFormatting sqref="D223">
    <cfRule type="expression" dxfId="326" priority="98">
      <formula>G223="n"</formula>
    </cfRule>
  </conditionalFormatting>
  <conditionalFormatting sqref="D223">
    <cfRule type="expression" dxfId="325" priority="97">
      <formula>G223="n"</formula>
    </cfRule>
  </conditionalFormatting>
  <conditionalFormatting sqref="D224">
    <cfRule type="expression" dxfId="324" priority="96">
      <formula>G224="n"</formula>
    </cfRule>
  </conditionalFormatting>
  <conditionalFormatting sqref="D224">
    <cfRule type="expression" dxfId="323" priority="95">
      <formula>G224="n"</formula>
    </cfRule>
  </conditionalFormatting>
  <conditionalFormatting sqref="D225">
    <cfRule type="expression" dxfId="322" priority="94">
      <formula>G225="n"</formula>
    </cfRule>
  </conditionalFormatting>
  <conditionalFormatting sqref="D225">
    <cfRule type="expression" dxfId="321" priority="93">
      <formula>G225="n"</formula>
    </cfRule>
  </conditionalFormatting>
  <conditionalFormatting sqref="D226">
    <cfRule type="expression" dxfId="320" priority="92">
      <formula>G226="n"</formula>
    </cfRule>
  </conditionalFormatting>
  <conditionalFormatting sqref="D226">
    <cfRule type="expression" dxfId="319" priority="91">
      <formula>G226="n"</formula>
    </cfRule>
  </conditionalFormatting>
  <conditionalFormatting sqref="D227">
    <cfRule type="expression" dxfId="318" priority="90">
      <formula>G227="n"</formula>
    </cfRule>
  </conditionalFormatting>
  <conditionalFormatting sqref="D227">
    <cfRule type="expression" dxfId="317" priority="89">
      <formula>G227="n"</formula>
    </cfRule>
  </conditionalFormatting>
  <conditionalFormatting sqref="D228">
    <cfRule type="expression" dxfId="316" priority="88">
      <formula>G228="n"</formula>
    </cfRule>
  </conditionalFormatting>
  <conditionalFormatting sqref="D228">
    <cfRule type="expression" dxfId="315" priority="87">
      <formula>G228="n"</formula>
    </cfRule>
  </conditionalFormatting>
  <conditionalFormatting sqref="F229">
    <cfRule type="expression" dxfId="314" priority="86">
      <formula>G229="n"</formula>
    </cfRule>
  </conditionalFormatting>
  <conditionalFormatting sqref="F229">
    <cfRule type="expression" dxfId="313" priority="85">
      <formula>G229="n"</formula>
    </cfRule>
  </conditionalFormatting>
  <conditionalFormatting sqref="F354">
    <cfRule type="expression" dxfId="312" priority="84">
      <formula>G354="n"</formula>
    </cfRule>
  </conditionalFormatting>
  <conditionalFormatting sqref="F354">
    <cfRule type="expression" dxfId="311" priority="83">
      <formula>G354="n"</formula>
    </cfRule>
  </conditionalFormatting>
  <conditionalFormatting sqref="D37">
    <cfRule type="expression" dxfId="310" priority="82">
      <formula>G37="n"</formula>
    </cfRule>
  </conditionalFormatting>
  <conditionalFormatting sqref="D37">
    <cfRule type="expression" dxfId="309" priority="81">
      <formula>G37="n"</formula>
    </cfRule>
  </conditionalFormatting>
  <conditionalFormatting sqref="F39">
    <cfRule type="expression" dxfId="308" priority="80">
      <formula>G39="n"</formula>
    </cfRule>
  </conditionalFormatting>
  <conditionalFormatting sqref="F39">
    <cfRule type="expression" dxfId="307" priority="79">
      <formula>G39="n"</formula>
    </cfRule>
  </conditionalFormatting>
  <conditionalFormatting sqref="F40">
    <cfRule type="expression" dxfId="306" priority="78">
      <formula>G40="n"</formula>
    </cfRule>
  </conditionalFormatting>
  <conditionalFormatting sqref="F40">
    <cfRule type="expression" dxfId="305" priority="77">
      <formula>G40="n"</formula>
    </cfRule>
  </conditionalFormatting>
  <conditionalFormatting sqref="F41">
    <cfRule type="expression" dxfId="304" priority="76">
      <formula>G41="n"</formula>
    </cfRule>
  </conditionalFormatting>
  <conditionalFormatting sqref="F41">
    <cfRule type="expression" dxfId="303" priority="75">
      <formula>G41="n"</formula>
    </cfRule>
  </conditionalFormatting>
  <conditionalFormatting sqref="D42">
    <cfRule type="expression" dxfId="302" priority="74">
      <formula>G42="n"</formula>
    </cfRule>
  </conditionalFormatting>
  <conditionalFormatting sqref="D42">
    <cfRule type="expression" dxfId="301" priority="73">
      <formula>G42="n"</formula>
    </cfRule>
  </conditionalFormatting>
  <conditionalFormatting sqref="F44">
    <cfRule type="expression" dxfId="300" priority="72">
      <formula>G44="n"</formula>
    </cfRule>
  </conditionalFormatting>
  <conditionalFormatting sqref="F44">
    <cfRule type="expression" dxfId="299" priority="71">
      <formula>G44="n"</formula>
    </cfRule>
  </conditionalFormatting>
  <conditionalFormatting sqref="F165">
    <cfRule type="expression" dxfId="298" priority="70">
      <formula>G165="n"</formula>
    </cfRule>
  </conditionalFormatting>
  <conditionalFormatting sqref="F165">
    <cfRule type="expression" dxfId="297" priority="69">
      <formula>G165="n"</formula>
    </cfRule>
  </conditionalFormatting>
  <conditionalFormatting sqref="F168">
    <cfRule type="expression" dxfId="296" priority="68">
      <formula>G168="n"</formula>
    </cfRule>
  </conditionalFormatting>
  <conditionalFormatting sqref="F168">
    <cfRule type="expression" dxfId="295" priority="67">
      <formula>G168="n"</formula>
    </cfRule>
  </conditionalFormatting>
  <conditionalFormatting sqref="F175">
    <cfRule type="expression" dxfId="294" priority="66">
      <formula>G175="n"</formula>
    </cfRule>
  </conditionalFormatting>
  <conditionalFormatting sqref="F175">
    <cfRule type="expression" dxfId="293" priority="65">
      <formula>G175="n"</formula>
    </cfRule>
  </conditionalFormatting>
  <conditionalFormatting sqref="F173">
    <cfRule type="expression" dxfId="292" priority="64">
      <formula>G173="n"</formula>
    </cfRule>
  </conditionalFormatting>
  <conditionalFormatting sqref="F173">
    <cfRule type="expression" dxfId="291" priority="63">
      <formula>G173="n"</formula>
    </cfRule>
  </conditionalFormatting>
  <conditionalFormatting sqref="F174">
    <cfRule type="expression" dxfId="290" priority="62">
      <formula>G174="n"</formula>
    </cfRule>
  </conditionalFormatting>
  <conditionalFormatting sqref="F174">
    <cfRule type="expression" dxfId="289" priority="61">
      <formula>G174="n"</formula>
    </cfRule>
  </conditionalFormatting>
  <conditionalFormatting sqref="D177">
    <cfRule type="expression" dxfId="288" priority="60">
      <formula>G177="n"</formula>
    </cfRule>
  </conditionalFormatting>
  <conditionalFormatting sqref="D177">
    <cfRule type="expression" dxfId="287" priority="59">
      <formula>G177="n"</formula>
    </cfRule>
  </conditionalFormatting>
  <conditionalFormatting sqref="D178">
    <cfRule type="expression" dxfId="286" priority="58">
      <formula>G178="n"</formula>
    </cfRule>
  </conditionalFormatting>
  <conditionalFormatting sqref="D178">
    <cfRule type="expression" dxfId="285" priority="57">
      <formula>G178="n"</formula>
    </cfRule>
  </conditionalFormatting>
  <conditionalFormatting sqref="F179">
    <cfRule type="expression" dxfId="284" priority="56">
      <formula>G179="n"</formula>
    </cfRule>
  </conditionalFormatting>
  <conditionalFormatting sqref="F179">
    <cfRule type="expression" dxfId="283" priority="55">
      <formula>G179="n"</formula>
    </cfRule>
  </conditionalFormatting>
  <conditionalFormatting sqref="F281">
    <cfRule type="expression" dxfId="282" priority="54">
      <formula>G281="n"</formula>
    </cfRule>
  </conditionalFormatting>
  <conditionalFormatting sqref="F281">
    <cfRule type="expression" dxfId="281" priority="53">
      <formula>G281="n"</formula>
    </cfRule>
  </conditionalFormatting>
  <conditionalFormatting sqref="F282">
    <cfRule type="expression" dxfId="280" priority="52">
      <formula>G282="n"</formula>
    </cfRule>
  </conditionalFormatting>
  <conditionalFormatting sqref="F282">
    <cfRule type="expression" dxfId="279" priority="51">
      <formula>G282="n"</formula>
    </cfRule>
  </conditionalFormatting>
  <conditionalFormatting sqref="D284">
    <cfRule type="expression" dxfId="278" priority="50">
      <formula>G284="n"</formula>
    </cfRule>
  </conditionalFormatting>
  <conditionalFormatting sqref="D284">
    <cfRule type="expression" dxfId="277" priority="49">
      <formula>G284="n"</formula>
    </cfRule>
  </conditionalFormatting>
  <conditionalFormatting sqref="F285">
    <cfRule type="expression" dxfId="276" priority="48">
      <formula>G285="n"</formula>
    </cfRule>
  </conditionalFormatting>
  <conditionalFormatting sqref="F285">
    <cfRule type="expression" dxfId="275" priority="47">
      <formula>G285="n"</formula>
    </cfRule>
  </conditionalFormatting>
  <conditionalFormatting sqref="F288">
    <cfRule type="expression" dxfId="274" priority="46">
      <formula>G288="n"</formula>
    </cfRule>
  </conditionalFormatting>
  <conditionalFormatting sqref="F288">
    <cfRule type="expression" dxfId="273" priority="45">
      <formula>G288="n"</formula>
    </cfRule>
  </conditionalFormatting>
  <conditionalFormatting sqref="F292">
    <cfRule type="expression" dxfId="272" priority="44">
      <formula>G292="n"</formula>
    </cfRule>
  </conditionalFormatting>
  <conditionalFormatting sqref="F292">
    <cfRule type="expression" dxfId="271" priority="43">
      <formula>G292="n"</formula>
    </cfRule>
  </conditionalFormatting>
  <conditionalFormatting sqref="D320">
    <cfRule type="expression" dxfId="270" priority="38">
      <formula>G320="n"</formula>
    </cfRule>
  </conditionalFormatting>
  <conditionalFormatting sqref="D320">
    <cfRule type="expression" dxfId="269" priority="37">
      <formula>G320="n"</formula>
    </cfRule>
  </conditionalFormatting>
  <conditionalFormatting sqref="D321">
    <cfRule type="expression" dxfId="268" priority="36">
      <formula>G321="n"</formula>
    </cfRule>
  </conditionalFormatting>
  <conditionalFormatting sqref="D321">
    <cfRule type="expression" dxfId="267" priority="35">
      <formula>G321="n"</formula>
    </cfRule>
  </conditionalFormatting>
  <conditionalFormatting sqref="D322">
    <cfRule type="expression" dxfId="266" priority="34">
      <formula>G322="n"</formula>
    </cfRule>
  </conditionalFormatting>
  <conditionalFormatting sqref="D322">
    <cfRule type="expression" dxfId="265" priority="33">
      <formula>G322="n"</formula>
    </cfRule>
  </conditionalFormatting>
  <conditionalFormatting sqref="D323">
    <cfRule type="expression" dxfId="264" priority="32">
      <formula>G323="n"</formula>
    </cfRule>
  </conditionalFormatting>
  <conditionalFormatting sqref="D323">
    <cfRule type="expression" dxfId="263" priority="31">
      <formula>G323="n"</formula>
    </cfRule>
  </conditionalFormatting>
  <conditionalFormatting sqref="F324">
    <cfRule type="expression" dxfId="262" priority="30">
      <formula>G324="n"</formula>
    </cfRule>
  </conditionalFormatting>
  <conditionalFormatting sqref="F324">
    <cfRule type="expression" dxfId="261" priority="29">
      <formula>G324="n"</formula>
    </cfRule>
  </conditionalFormatting>
  <conditionalFormatting sqref="D329">
    <cfRule type="expression" dxfId="260" priority="28">
      <formula>G329="n"</formula>
    </cfRule>
  </conditionalFormatting>
  <conditionalFormatting sqref="D329">
    <cfRule type="expression" dxfId="259" priority="27">
      <formula>G329="n"</formula>
    </cfRule>
  </conditionalFormatting>
  <conditionalFormatting sqref="D330">
    <cfRule type="expression" dxfId="258" priority="26">
      <formula>G330="n"</formula>
    </cfRule>
  </conditionalFormatting>
  <conditionalFormatting sqref="D330">
    <cfRule type="expression" dxfId="257" priority="25">
      <formula>G330="n"</formula>
    </cfRule>
  </conditionalFormatting>
  <conditionalFormatting sqref="D331">
    <cfRule type="expression" dxfId="256" priority="24">
      <formula>G331="n"</formula>
    </cfRule>
  </conditionalFormatting>
  <conditionalFormatting sqref="D331">
    <cfRule type="expression" dxfId="255" priority="23">
      <formula>G331="n"</formula>
    </cfRule>
  </conditionalFormatting>
  <conditionalFormatting sqref="D332">
    <cfRule type="expression" dxfId="254" priority="22">
      <formula>G332="n"</formula>
    </cfRule>
  </conditionalFormatting>
  <conditionalFormatting sqref="D332">
    <cfRule type="expression" dxfId="253" priority="21">
      <formula>G332="n"</formula>
    </cfRule>
  </conditionalFormatting>
  <conditionalFormatting sqref="F333">
    <cfRule type="expression" dxfId="252" priority="20">
      <formula>G333="n"</formula>
    </cfRule>
  </conditionalFormatting>
  <conditionalFormatting sqref="F333">
    <cfRule type="expression" dxfId="251" priority="19">
      <formula>G333="n"</formula>
    </cfRule>
  </conditionalFormatting>
  <conditionalFormatting sqref="F335">
    <cfRule type="expression" dxfId="250" priority="18">
      <formula>G335="n"</formula>
    </cfRule>
  </conditionalFormatting>
  <conditionalFormatting sqref="F335">
    <cfRule type="expression" dxfId="249" priority="17">
      <formula>G335="n"</formula>
    </cfRule>
  </conditionalFormatting>
  <conditionalFormatting sqref="D336">
    <cfRule type="expression" dxfId="248" priority="16">
      <formula>G336="n"</formula>
    </cfRule>
  </conditionalFormatting>
  <conditionalFormatting sqref="D336">
    <cfRule type="expression" dxfId="247" priority="15">
      <formula>G336="n"</formula>
    </cfRule>
  </conditionalFormatting>
  <conditionalFormatting sqref="F339">
    <cfRule type="expression" dxfId="246" priority="14">
      <formula>G339="n"</formula>
    </cfRule>
  </conditionalFormatting>
  <conditionalFormatting sqref="F339">
    <cfRule type="expression" dxfId="245" priority="13">
      <formula>G339="n"</formula>
    </cfRule>
  </conditionalFormatting>
  <conditionalFormatting sqref="F340">
    <cfRule type="expression" dxfId="244" priority="12">
      <formula>G340="n"</formula>
    </cfRule>
  </conditionalFormatting>
  <conditionalFormatting sqref="F340">
    <cfRule type="expression" dxfId="243" priority="11">
      <formula>G340="n"</formula>
    </cfRule>
  </conditionalFormatting>
  <conditionalFormatting sqref="F342">
    <cfRule type="expression" dxfId="242" priority="10">
      <formula>G342="n"</formula>
    </cfRule>
  </conditionalFormatting>
  <conditionalFormatting sqref="F342">
    <cfRule type="expression" dxfId="241" priority="9">
      <formula>G342="n"</formula>
    </cfRule>
  </conditionalFormatting>
  <conditionalFormatting sqref="F294">
    <cfRule type="expression" dxfId="240" priority="8">
      <formula>G294="n"</formula>
    </cfRule>
  </conditionalFormatting>
  <conditionalFormatting sqref="F294">
    <cfRule type="expression" dxfId="239" priority="7">
      <formula>G294="n"</formula>
    </cfRule>
  </conditionalFormatting>
  <conditionalFormatting sqref="F297">
    <cfRule type="expression" dxfId="238" priority="6">
      <formula>G297="n"</formula>
    </cfRule>
  </conditionalFormatting>
  <conditionalFormatting sqref="F297">
    <cfRule type="expression" dxfId="237" priority="5">
      <formula>G297="n"</formula>
    </cfRule>
  </conditionalFormatting>
  <conditionalFormatting sqref="F299">
    <cfRule type="expression" dxfId="236" priority="4">
      <formula>G299="n"</formula>
    </cfRule>
  </conditionalFormatting>
  <conditionalFormatting sqref="F299">
    <cfRule type="expression" dxfId="235" priority="3">
      <formula>G299="n"</formula>
    </cfRule>
  </conditionalFormatting>
  <conditionalFormatting sqref="F306">
    <cfRule type="expression" dxfId="234" priority="2">
      <formula>G306="n"</formula>
    </cfRule>
  </conditionalFormatting>
  <conditionalFormatting sqref="F306">
    <cfRule type="expression" dxfId="233" priority="1">
      <formula>G306="n"</formula>
    </cfRule>
  </conditionalFormatting>
  <dataValidations count="5">
    <dataValidation type="decimal" operator="greaterThanOrEqual" allowBlank="1" showInputMessage="1" showErrorMessage="1" error="Negative rates or values may not be tendered. Refer to Clause F.2.10 of the tender data." sqref="E55:E56 E199:E200 E46 E189 E52 E231 E234" xr:uid="{00000000-0002-0000-2C00-000000000000}">
      <formula1>0</formula1>
    </dataValidation>
    <dataValidation type="decimal" allowBlank="1" showInputMessage="1" showErrorMessage="1" errorTitle="INVALID INPUT" error="ONLY ZERO CAN BE INPUT IF THIS ITEM IS NOT REQUIRED FOR THIS TENDER" sqref="F19 F13 F16 F240 F250" xr:uid="{00000000-0002-0000-2C00-000001000000}">
      <formula1>0</formula1>
      <formula2>H13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F20 F17 F14 F338:F340 F232 F32:F33 F47 F349 F157:F159 F44:F45 F165:F166 F39:F41 F181:F183 F186:F187 F85 F190:F191 F241 F246:F247 F235:F236 F281:F282 F285 F290 F288 F342 F292 F294 F304 F299 F297 F324 F333 F229 F356 F308 F314:F315 F24:F26 F28:F30 F35:F36 F354 F173:F176 F168:F170 F251:F252 F179 F335 F345 F306" xr:uid="{00000000-0002-0000-2C00-000002000000}">
      <formula1>0</formula1>
      <formula2>H14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E336 E48:E51 E53:E54 E57:E84 E86 E42 E177:E178 E184 E188 E192:E195 E197:E198 E201:E228 E242 E248 E284 E286 E289 E293 E295:E296 E298 E300 E302:E303 E233 E325 E277:E280 E334 E355 E357 E307 E230 E161:E163 E37 E310:E312 E341 E343 E346:E347 E350" xr:uid="{00000000-0002-0000-2C00-000003000000}">
      <formula1>0</formula1>
      <formula2>H37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D320:D323 D329:D332" xr:uid="{00000000-0002-0000-2C00-000004000000}">
      <formula1>0</formula1>
      <formula2>H320</formula2>
    </dataValidation>
  </dataValidations>
  <hyperlinks>
    <hyperlink ref="B13" location="'Non Fee Hours'!A1" display="(a)   Initial Assessment" xr:uid="{00000000-0004-0000-2C00-000000000000}"/>
    <hyperlink ref="B16" location="'Non Fee Hours'!A64" display="(a)   Visual survey" xr:uid="{00000000-0004-0000-2C00-000001000000}"/>
  </hyperlinks>
  <pageMargins left="0.19685039370078741" right="0.15748031496062992" top="0.39370078740157483" bottom="0.35433070866141736" header="0.15748031496062992" footer="0.15748031496062992"/>
  <pageSetup paperSize="9" scale="74" fitToHeight="0" orientation="portrait" r:id="rId1"/>
  <headerFooter>
    <oddHeader>&amp;L&amp;"Calibri"&amp;10&amp;K000000Sensitivity - General&amp;1#</oddHeader>
  </headerFooter>
  <rowBreaks count="7" manualBreakCount="7">
    <brk id="45" max="5" man="1"/>
    <brk id="87" max="16383" man="1"/>
    <brk id="133" max="5" man="1"/>
    <brk id="188" max="16383" man="1"/>
    <brk id="253" max="16383" man="1"/>
    <brk id="316" max="16383" man="1"/>
    <brk id="358" max="16383" man="1"/>
  </rowBreaks>
  <legacy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5">
    <tabColor rgb="FFF20079"/>
    <pageSetUpPr fitToPage="1"/>
  </sheetPr>
  <dimension ref="A1:AB38"/>
  <sheetViews>
    <sheetView workbookViewId="0"/>
  </sheetViews>
  <sheetFormatPr defaultRowHeight="15"/>
  <cols>
    <col min="1" max="1" width="21.42578125" customWidth="1"/>
    <col min="2" max="2" width="19.28515625" customWidth="1"/>
    <col min="3" max="3" width="16" bestFit="1" customWidth="1"/>
    <col min="4" max="4" width="10.5703125" customWidth="1"/>
    <col min="5" max="5" width="16.140625" customWidth="1"/>
    <col min="6" max="6" width="20.42578125" customWidth="1"/>
    <col min="7" max="7" width="16" customWidth="1"/>
    <col min="8" max="8" width="17.42578125" customWidth="1"/>
    <col min="9" max="9" width="15.42578125" customWidth="1"/>
    <col min="10" max="10" width="11.5703125" customWidth="1"/>
    <col min="11" max="11" width="16.28515625" customWidth="1"/>
  </cols>
  <sheetData>
    <row r="1" spans="1:21" ht="15.75">
      <c r="A1" s="123" t="s">
        <v>219</v>
      </c>
      <c r="C1" s="138" t="s">
        <v>94</v>
      </c>
      <c r="D1" s="1627" t="str">
        <f>DATA!$C$1004</f>
        <v>NRA.N.011-050-2012/1F</v>
      </c>
      <c r="E1" s="1628"/>
      <c r="F1" s="280" t="s">
        <v>225</v>
      </c>
      <c r="G1" s="282" t="str">
        <f>IF('All Hours'!D1="","No Consultant Name provided on 'All Hours' tab - Please input there",'All Hours'!D1)</f>
        <v>PLEASE INSERT TENDERER NAME ON INPUT DATA SHEET</v>
      </c>
      <c r="H1" s="126"/>
      <c r="I1" s="126"/>
      <c r="J1" s="126"/>
      <c r="K1" s="126"/>
    </row>
    <row r="2" spans="1:21">
      <c r="A2" t="s">
        <v>860</v>
      </c>
    </row>
    <row r="3" spans="1:21" ht="31.5" customHeight="1">
      <c r="A3" s="141"/>
      <c r="B3" s="234" t="s">
        <v>218</v>
      </c>
      <c r="C3" s="1629" t="str">
        <f>DATA!C1005</f>
        <v>CONSULTING ENGINEERING SERVICES FOR THE PRELIMINARY DESIGN REVIEW,DETAIL DESIGN, CONTRACT DOCUMENTATION AND CONSTRUCTION MONITORING OF THE ERMELO RING ROAD</v>
      </c>
      <c r="D3" s="1630"/>
      <c r="E3" s="1630"/>
      <c r="F3" s="1630"/>
      <c r="G3" s="1630"/>
      <c r="H3" s="1630"/>
      <c r="I3" s="1630"/>
      <c r="J3" s="1630"/>
      <c r="K3" s="1631"/>
    </row>
    <row r="5" spans="1:21">
      <c r="A5" s="144"/>
      <c r="B5" s="135"/>
      <c r="C5" s="135"/>
      <c r="D5" s="137"/>
      <c r="E5" s="145" t="s">
        <v>62</v>
      </c>
      <c r="F5" s="136"/>
      <c r="G5" s="136"/>
      <c r="H5" s="136"/>
      <c r="I5" s="137"/>
      <c r="K5" s="130"/>
    </row>
    <row r="6" spans="1:21" ht="32.25" customHeight="1">
      <c r="A6" s="146" t="s">
        <v>64</v>
      </c>
      <c r="B6" s="147" t="s">
        <v>65</v>
      </c>
      <c r="C6" s="147" t="s">
        <v>66</v>
      </c>
      <c r="D6" s="148"/>
      <c r="E6" s="149" t="s">
        <v>67</v>
      </c>
      <c r="F6" s="150" t="s">
        <v>68</v>
      </c>
      <c r="G6" s="150" t="s">
        <v>69</v>
      </c>
      <c r="H6" s="150" t="s">
        <v>70</v>
      </c>
      <c r="I6" s="150" t="s">
        <v>71</v>
      </c>
    </row>
    <row r="7" spans="1:21">
      <c r="A7" s="124" t="str">
        <f>DATA!B1010</f>
        <v>Road works</v>
      </c>
      <c r="B7" s="142" t="str">
        <f>DATA!C1010</f>
        <v>Road works</v>
      </c>
      <c r="C7" s="142" t="str">
        <f>DATA!D1010</f>
        <v>PD, DD, AMW, CO</v>
      </c>
      <c r="D7" s="143"/>
      <c r="E7" s="151">
        <f>DATA!E1010</f>
        <v>0</v>
      </c>
      <c r="F7" s="151">
        <f>DATA!F1010</f>
        <v>0.22</v>
      </c>
      <c r="G7" s="151">
        <f>DATA!G1010</f>
        <v>0.44</v>
      </c>
      <c r="H7" s="151">
        <f>DATA!H1010</f>
        <v>0.28000000000000003</v>
      </c>
      <c r="I7" s="151">
        <f>DATA!I1010</f>
        <v>0.06</v>
      </c>
    </row>
    <row r="8" spans="1:21">
      <c r="A8" s="124" t="str">
        <f>DATA!B1011</f>
        <v>Structures</v>
      </c>
      <c r="B8" s="142" t="str">
        <f>DATA!C1011</f>
        <v>Structures</v>
      </c>
      <c r="C8" s="142" t="str">
        <f>DATA!D1011</f>
        <v>PD, DD, AMW, CO</v>
      </c>
      <c r="D8" s="143"/>
      <c r="E8" s="151">
        <f>DATA!E1011</f>
        <v>0</v>
      </c>
      <c r="F8" s="151">
        <f>DATA!F1011</f>
        <v>0.22</v>
      </c>
      <c r="G8" s="151">
        <f>DATA!G1011</f>
        <v>0.44</v>
      </c>
      <c r="H8" s="151">
        <f>DATA!H1011</f>
        <v>0.28000000000000003</v>
      </c>
      <c r="I8" s="151">
        <f>DATA!I1011</f>
        <v>0.06</v>
      </c>
    </row>
    <row r="9" spans="1:21">
      <c r="A9" s="124" t="str">
        <f>DATA!B1012</f>
        <v>Electrical</v>
      </c>
      <c r="B9" s="142" t="str">
        <f>DATA!C1012</f>
        <v>Electrical</v>
      </c>
      <c r="C9" s="142" t="str">
        <f>DATA!D1012</f>
        <v>PD, DD, AMW, CO</v>
      </c>
      <c r="D9" s="143"/>
      <c r="E9" s="151">
        <f>DATA!E1012</f>
        <v>0</v>
      </c>
      <c r="F9" s="151">
        <f>DATA!F1012</f>
        <v>0.17</v>
      </c>
      <c r="G9" s="151">
        <f>DATA!G1012</f>
        <v>0.39</v>
      </c>
      <c r="H9" s="151">
        <f>DATA!H1012</f>
        <v>0.39</v>
      </c>
      <c r="I9" s="151">
        <f>DATA!I1012</f>
        <v>0.05</v>
      </c>
    </row>
    <row r="10" spans="1:21">
      <c r="A10" s="124" t="str">
        <f>DATA!B1013</f>
        <v xml:space="preserve">Building </v>
      </c>
      <c r="B10" s="142" t="str">
        <f>DATA!C1013</f>
        <v>Building</v>
      </c>
      <c r="C10" s="142" t="str">
        <f>DATA!D1013</f>
        <v>None</v>
      </c>
      <c r="D10" s="143"/>
      <c r="E10" s="151">
        <f>DATA!E1013</f>
        <v>0</v>
      </c>
      <c r="F10" s="151">
        <f>DATA!F1013</f>
        <v>0</v>
      </c>
      <c r="G10" s="151">
        <f>DATA!G1013</f>
        <v>0</v>
      </c>
      <c r="H10" s="151">
        <f>DATA!H1013</f>
        <v>0</v>
      </c>
      <c r="I10" s="151">
        <f>DATA!I1013</f>
        <v>0</v>
      </c>
    </row>
    <row r="11" spans="1:21">
      <c r="A11" s="124" t="str">
        <f>DATA!B1014</f>
        <v>Mechanical</v>
      </c>
      <c r="B11" s="142" t="str">
        <f>DATA!C1014</f>
        <v>Mechanical</v>
      </c>
      <c r="C11" s="142" t="str">
        <f>DATA!D1014</f>
        <v>None</v>
      </c>
      <c r="D11" s="143"/>
      <c r="E11" s="151">
        <f>DATA!E1014</f>
        <v>0</v>
      </c>
      <c r="F11" s="151">
        <f>DATA!F1014</f>
        <v>0</v>
      </c>
      <c r="G11" s="151">
        <f>DATA!G1014</f>
        <v>0</v>
      </c>
      <c r="H11" s="151">
        <f>DATA!H1014</f>
        <v>0</v>
      </c>
      <c r="I11" s="151">
        <f>DATA!I1014</f>
        <v>0</v>
      </c>
    </row>
    <row r="12" spans="1:21">
      <c r="A12" s="124" t="str">
        <f>DATA!B1015</f>
        <v>Electronic</v>
      </c>
      <c r="B12" s="142" t="str">
        <f>DATA!C1015</f>
        <v>Electronic</v>
      </c>
      <c r="C12" s="142" t="str">
        <f>DATA!D1015</f>
        <v>None</v>
      </c>
      <c r="D12" s="143"/>
      <c r="E12" s="151">
        <f>DATA!E1015</f>
        <v>0</v>
      </c>
      <c r="F12" s="151">
        <f>DATA!F1015</f>
        <v>0</v>
      </c>
      <c r="G12" s="151">
        <f>DATA!G1015</f>
        <v>0</v>
      </c>
      <c r="H12" s="151">
        <f>DATA!H1015</f>
        <v>0</v>
      </c>
      <c r="I12" s="151">
        <f>DATA!I1015</f>
        <v>0</v>
      </c>
    </row>
    <row r="13" spans="1:21">
      <c r="A13" s="124" t="str">
        <f>DATA!B1016</f>
        <v>Other:</v>
      </c>
      <c r="B13" s="142" t="str">
        <f>DATA!C1016</f>
        <v>Other: Industrial</v>
      </c>
      <c r="C13" s="142" t="str">
        <f>DATA!D1016</f>
        <v>None</v>
      </c>
      <c r="D13" s="143"/>
      <c r="E13" s="151">
        <f>DATA!E1016</f>
        <v>0</v>
      </c>
      <c r="F13" s="151">
        <f>DATA!F1016</f>
        <v>0</v>
      </c>
      <c r="G13" s="151">
        <f>DATA!G1016</f>
        <v>0</v>
      </c>
      <c r="H13" s="151">
        <f>DATA!H1016</f>
        <v>0</v>
      </c>
      <c r="I13" s="151">
        <f>DATA!I1016</f>
        <v>0</v>
      </c>
    </row>
    <row r="15" spans="1:21">
      <c r="A15" t="s">
        <v>877</v>
      </c>
      <c r="U15" t="s">
        <v>95</v>
      </c>
    </row>
    <row r="16" spans="1:21" ht="30">
      <c r="A16" s="138" t="s">
        <v>96</v>
      </c>
      <c r="B16" s="138" t="s">
        <v>72</v>
      </c>
      <c r="C16" s="138" t="s">
        <v>861</v>
      </c>
      <c r="D16" s="150" t="s">
        <v>862</v>
      </c>
      <c r="E16" s="150" t="s">
        <v>80</v>
      </c>
      <c r="F16" s="150" t="s">
        <v>81</v>
      </c>
      <c r="G16" s="150" t="s">
        <v>82</v>
      </c>
      <c r="H16" s="150" t="s">
        <v>97</v>
      </c>
      <c r="I16" s="150" t="s">
        <v>84</v>
      </c>
      <c r="K16" s="150" t="s">
        <v>98</v>
      </c>
    </row>
    <row r="17" spans="1:28">
      <c r="A17" s="124" t="str">
        <f>DATA!B1010</f>
        <v>Road works</v>
      </c>
      <c r="B17" s="152">
        <f>IF(DATA!D1010="None",0,DATA!J1010)</f>
        <v>4500000000</v>
      </c>
      <c r="C17" s="152">
        <f>IF(DATA!D1010="None",0,'All Hours'!F71)</f>
        <v>0</v>
      </c>
      <c r="D17" s="153">
        <f t="shared" ref="D17:D22" si="0">IF(B17=0,0,C17/B17)</f>
        <v>0</v>
      </c>
      <c r="E17" s="152">
        <f>IF(DATA!E1010="",0,$C17*DATA!E1010)</f>
        <v>0</v>
      </c>
      <c r="F17" s="152">
        <f>IF(DATA!F1010="",0,$C17*DATA!F1010)</f>
        <v>0</v>
      </c>
      <c r="G17" s="152">
        <f>IF(DATA!G1010="",0,$C17*DATA!G1010)</f>
        <v>0</v>
      </c>
      <c r="H17" s="152">
        <f>IF(DATA!H1010="",0,$C17*DATA!H1010)</f>
        <v>0</v>
      </c>
      <c r="I17" s="152">
        <f>IF(DATA!I1010="",0,$C17*DATA!I1010)</f>
        <v>0</v>
      </c>
      <c r="K17" s="152">
        <f>SUM(E17:I17)</f>
        <v>0</v>
      </c>
      <c r="U17" s="124"/>
      <c r="V17" s="124" t="s">
        <v>75</v>
      </c>
      <c r="W17" s="124" t="s">
        <v>76</v>
      </c>
      <c r="X17" s="124" t="s">
        <v>77</v>
      </c>
      <c r="Y17" s="124" t="s">
        <v>78</v>
      </c>
      <c r="Z17" s="124" t="s">
        <v>79</v>
      </c>
    </row>
    <row r="18" spans="1:28">
      <c r="A18" s="124" t="str">
        <f>DATA!B1011</f>
        <v>Structures</v>
      </c>
      <c r="B18" s="152">
        <f>IF(DATA!D1011="None",0,DATA!J1011)</f>
        <v>300000000</v>
      </c>
      <c r="C18" s="152">
        <f>IF(DATA!D1011="None",0,'All Hours'!F72)</f>
        <v>0</v>
      </c>
      <c r="D18" s="153">
        <f t="shared" si="0"/>
        <v>0</v>
      </c>
      <c r="E18" s="152">
        <f>IF(DATA!E1011="",0,$C18*DATA!E1011)</f>
        <v>0</v>
      </c>
      <c r="F18" s="152">
        <f>IF(DATA!F1011="",0,$C18*DATA!F1011)</f>
        <v>0</v>
      </c>
      <c r="G18" s="152">
        <f>IF(DATA!G1011="",0,$C18*DATA!G1011)</f>
        <v>0</v>
      </c>
      <c r="H18" s="152">
        <f>IF(DATA!H1011="",0,$C18*DATA!H1011)</f>
        <v>0</v>
      </c>
      <c r="I18" s="152">
        <f>IF(DATA!I1011="",0,$C18*DATA!I1011)</f>
        <v>0</v>
      </c>
      <c r="K18" s="152">
        <f t="shared" ref="K18:K23" si="1">SUM(E18:I18)</f>
        <v>0</v>
      </c>
      <c r="U18" s="128"/>
      <c r="V18" s="128" t="s">
        <v>80</v>
      </c>
      <c r="W18" s="128" t="s">
        <v>81</v>
      </c>
      <c r="X18" s="128" t="s">
        <v>82</v>
      </c>
      <c r="Y18" s="128" t="s">
        <v>83</v>
      </c>
      <c r="Z18" s="128" t="s">
        <v>84</v>
      </c>
    </row>
    <row r="19" spans="1:28">
      <c r="A19" s="124" t="str">
        <f>DATA!B1012</f>
        <v>Electrical</v>
      </c>
      <c r="B19" s="152">
        <f>IF(DATA!D1012="None",0,DATA!J1012)</f>
        <v>100000000</v>
      </c>
      <c r="C19" s="152">
        <f>IF(DATA!D1012="None",0,'All Hours'!F73)</f>
        <v>0</v>
      </c>
      <c r="D19" s="153">
        <f t="shared" si="0"/>
        <v>0</v>
      </c>
      <c r="E19" s="152">
        <f>IF(DATA!E1012="",0,$C19*DATA!E1012)</f>
        <v>0</v>
      </c>
      <c r="F19" s="152">
        <f>IF(DATA!F1012="",0,$C19*DATA!F1012)</f>
        <v>0</v>
      </c>
      <c r="G19" s="152">
        <f>IF(DATA!G1012="",0,$C19*DATA!G1012)</f>
        <v>0</v>
      </c>
      <c r="H19" s="152">
        <f>IF(DATA!H1012="",0,$C19*DATA!H1012)</f>
        <v>0</v>
      </c>
      <c r="I19" s="152">
        <f>IF(DATA!I1012="",0,$C19*DATA!I1012)</f>
        <v>0</v>
      </c>
      <c r="K19" s="152">
        <f t="shared" si="1"/>
        <v>0</v>
      </c>
      <c r="U19" s="128" t="s">
        <v>73</v>
      </c>
      <c r="V19" s="127">
        <v>0.05</v>
      </c>
      <c r="W19" s="127">
        <v>0.21</v>
      </c>
      <c r="X19" s="127">
        <v>0.42</v>
      </c>
      <c r="Y19" s="127">
        <v>0.27</v>
      </c>
      <c r="Z19" s="127">
        <v>0.05</v>
      </c>
      <c r="AB19" s="131">
        <v>1</v>
      </c>
    </row>
    <row r="20" spans="1:28">
      <c r="A20" s="124" t="str">
        <f>DATA!B1013</f>
        <v xml:space="preserve">Building </v>
      </c>
      <c r="B20" s="152">
        <f>IF(DATA!D1013="None",0,DATA!J1013)</f>
        <v>0</v>
      </c>
      <c r="C20" s="152">
        <f>IF(DATA!D1013="None",0,'All Hours'!F74)</f>
        <v>0</v>
      </c>
      <c r="D20" s="153">
        <f t="shared" si="0"/>
        <v>0</v>
      </c>
      <c r="E20" s="152">
        <f>IF(DATA!E1013="",0,$C20*DATA!E1013)</f>
        <v>0</v>
      </c>
      <c r="F20" s="152">
        <f>IF(DATA!F1013="",0,$C20*DATA!F1013)</f>
        <v>0</v>
      </c>
      <c r="G20" s="152">
        <f>IF(DATA!G1013="",0,$C20*DATA!G1013)</f>
        <v>0</v>
      </c>
      <c r="H20" s="152">
        <f>IF(DATA!H1013="",0,$C20*DATA!H1013)</f>
        <v>0</v>
      </c>
      <c r="I20" s="152">
        <f>IF(DATA!I1013="",0,$C20*DATA!I1013)</f>
        <v>0</v>
      </c>
      <c r="K20" s="152">
        <f t="shared" si="1"/>
        <v>0</v>
      </c>
      <c r="U20" s="128" t="s">
        <v>75</v>
      </c>
      <c r="V20" s="127">
        <v>1</v>
      </c>
      <c r="W20" s="127" t="s">
        <v>19</v>
      </c>
      <c r="X20" s="127" t="s">
        <v>19</v>
      </c>
      <c r="Y20" s="127" t="s">
        <v>19</v>
      </c>
      <c r="Z20" s="127" t="s">
        <v>19</v>
      </c>
      <c r="AB20" s="131">
        <v>1</v>
      </c>
    </row>
    <row r="21" spans="1:28">
      <c r="A21" s="124" t="str">
        <f>DATA!B1014</f>
        <v>Mechanical</v>
      </c>
      <c r="B21" s="152">
        <f>IF(DATA!D1014="None",0,DATA!J1014)</f>
        <v>0</v>
      </c>
      <c r="C21" s="152">
        <f>IF(DATA!D1014="None",0,'All Hours'!F75)</f>
        <v>0</v>
      </c>
      <c r="D21" s="153">
        <f t="shared" si="0"/>
        <v>0</v>
      </c>
      <c r="E21" s="152">
        <f>IF(DATA!E1014="",0,$C21*DATA!E1014)</f>
        <v>0</v>
      </c>
      <c r="F21" s="152">
        <f>IF(DATA!F1014="",0,$C21*DATA!F1014)</f>
        <v>0</v>
      </c>
      <c r="G21" s="152">
        <f>IF(DATA!G1014="",0,$C21*DATA!G1014)</f>
        <v>0</v>
      </c>
      <c r="H21" s="152">
        <f>IF(DATA!H1014="",0,$C21*DATA!H1014)</f>
        <v>0</v>
      </c>
      <c r="I21" s="152">
        <f>IF(DATA!I1014="",0,$C21*DATA!I1014)</f>
        <v>0</v>
      </c>
      <c r="K21" s="152">
        <f t="shared" si="1"/>
        <v>0</v>
      </c>
      <c r="U21" s="128" t="s">
        <v>86</v>
      </c>
      <c r="V21" s="127">
        <v>0.2</v>
      </c>
      <c r="W21" s="127">
        <v>0.8</v>
      </c>
      <c r="X21" s="127" t="s">
        <v>19</v>
      </c>
      <c r="Y21" s="127" t="s">
        <v>19</v>
      </c>
      <c r="Z21" s="127" t="s">
        <v>19</v>
      </c>
      <c r="AB21" s="131">
        <v>1</v>
      </c>
    </row>
    <row r="22" spans="1:28">
      <c r="A22" s="124" t="str">
        <f>DATA!B1015</f>
        <v>Electronic</v>
      </c>
      <c r="B22" s="152">
        <f>IF(DATA!D1015="None",0,DATA!J1015)</f>
        <v>0</v>
      </c>
      <c r="C22" s="152">
        <f>IF(DATA!D1015="None",0,'All Hours'!F76)</f>
        <v>0</v>
      </c>
      <c r="D22" s="153">
        <f t="shared" si="0"/>
        <v>0</v>
      </c>
      <c r="E22" s="152">
        <f>IF(DATA!E1015="",0,$C22*DATA!E1015)</f>
        <v>0</v>
      </c>
      <c r="F22" s="152">
        <f>IF(DATA!F1015="",0,$C22*DATA!F1015)</f>
        <v>0</v>
      </c>
      <c r="G22" s="152">
        <f>IF(DATA!G1015="",0,$C22*DATA!G1015)</f>
        <v>0</v>
      </c>
      <c r="H22" s="152">
        <f>IF(DATA!H1015="",0,$C22*DATA!H1015)</f>
        <v>0</v>
      </c>
      <c r="I22" s="152">
        <f>IF(DATA!I1015="",0,$C22*DATA!I1015)</f>
        <v>0</v>
      </c>
      <c r="K22" s="152">
        <f t="shared" si="1"/>
        <v>0</v>
      </c>
      <c r="U22" s="128" t="s">
        <v>88</v>
      </c>
      <c r="V22" s="127">
        <v>0.08</v>
      </c>
      <c r="W22" s="127">
        <v>0.31</v>
      </c>
      <c r="X22" s="127">
        <v>0.61</v>
      </c>
      <c r="Y22" s="127" t="s">
        <v>19</v>
      </c>
      <c r="Z22" s="127" t="s">
        <v>19</v>
      </c>
      <c r="AB22" s="131">
        <v>1</v>
      </c>
    </row>
    <row r="23" spans="1:28">
      <c r="A23" s="124" t="str">
        <f>DATA!B1016</f>
        <v>Other:</v>
      </c>
      <c r="B23" s="152">
        <f>IF(DATA!D1016="None",0,DATA!J1016)</f>
        <v>0</v>
      </c>
      <c r="C23" s="152">
        <f>IF(DATA!D1016="None",0,'All Hours'!F77)</f>
        <v>0</v>
      </c>
      <c r="D23" s="153">
        <f>IF(B23=0,0,C23/B23)</f>
        <v>0</v>
      </c>
      <c r="E23" s="152">
        <f>IF(DATA!E1016="",0,$C23*DATA!E1016)</f>
        <v>0</v>
      </c>
      <c r="F23" s="152">
        <f>IF(DATA!F1016="",0,$C23*DATA!F1016)</f>
        <v>0</v>
      </c>
      <c r="G23" s="152">
        <f>IF(DATA!G1016="",0,$C23*DATA!G1016)</f>
        <v>0</v>
      </c>
      <c r="H23" s="152">
        <f>IF(DATA!H1016="",0,$C23*DATA!H1016)</f>
        <v>0</v>
      </c>
      <c r="I23" s="152">
        <f>IF(DATA!I1016="",0,$C23*DATA!I1016)</f>
        <v>0</v>
      </c>
      <c r="K23" s="152">
        <f t="shared" si="1"/>
        <v>0</v>
      </c>
      <c r="U23" s="128" t="s">
        <v>76</v>
      </c>
      <c r="V23" s="127" t="s">
        <v>19</v>
      </c>
      <c r="W23" s="127">
        <v>1</v>
      </c>
      <c r="X23" s="127" t="s">
        <v>19</v>
      </c>
      <c r="Y23" s="127" t="s">
        <v>19</v>
      </c>
      <c r="Z23" s="127" t="s">
        <v>19</v>
      </c>
      <c r="AB23" s="131">
        <v>1</v>
      </c>
    </row>
    <row r="24" spans="1:28">
      <c r="D24" s="154"/>
      <c r="U24" s="128" t="s">
        <v>89</v>
      </c>
      <c r="V24" s="127" t="s">
        <v>19</v>
      </c>
      <c r="W24" s="127">
        <v>0.33</v>
      </c>
      <c r="X24" s="127">
        <v>0.67</v>
      </c>
      <c r="Y24" s="127" t="s">
        <v>19</v>
      </c>
      <c r="Z24" s="127" t="s">
        <v>19</v>
      </c>
      <c r="AB24" s="131">
        <v>1</v>
      </c>
    </row>
    <row r="25" spans="1:28" ht="15.75" thickBot="1">
      <c r="A25" t="s">
        <v>98</v>
      </c>
      <c r="B25" s="155">
        <f>DATA!J1017</f>
        <v>4900000000</v>
      </c>
      <c r="C25" s="152">
        <f>C17+C18+C19+C20+C21+C22+C23</f>
        <v>0</v>
      </c>
      <c r="D25" s="153">
        <f t="shared" ref="D25" si="2">IF(B25=0,0,C25/B25)</f>
        <v>0</v>
      </c>
      <c r="E25" s="152">
        <f>SUM(E17:E23)</f>
        <v>0</v>
      </c>
      <c r="F25" s="152">
        <f t="shared" ref="F25:H25" si="3">SUM(F17:F23)</f>
        <v>0</v>
      </c>
      <c r="G25" s="152">
        <f t="shared" si="3"/>
        <v>0</v>
      </c>
      <c r="H25" s="152">
        <f t="shared" si="3"/>
        <v>0</v>
      </c>
      <c r="I25" s="152">
        <f>SUM(I17:I23)</f>
        <v>0</v>
      </c>
      <c r="K25" s="152">
        <f>SUM(K17:K23)</f>
        <v>0</v>
      </c>
      <c r="U25" s="128" t="s">
        <v>74</v>
      </c>
      <c r="V25" s="127" t="s">
        <v>19</v>
      </c>
      <c r="W25" s="127" t="s">
        <v>19</v>
      </c>
      <c r="X25" s="127">
        <v>0.56999999999999995</v>
      </c>
      <c r="Y25" s="127">
        <v>0.36</v>
      </c>
      <c r="Z25" s="127">
        <v>7.0000000000000007E-2</v>
      </c>
      <c r="AB25" s="131">
        <v>1</v>
      </c>
    </row>
    <row r="26" spans="1:28" ht="15.75" thickTop="1">
      <c r="U26" s="128" t="s">
        <v>90</v>
      </c>
      <c r="V26" s="127" t="s">
        <v>19</v>
      </c>
      <c r="W26" s="127">
        <v>0.22</v>
      </c>
      <c r="X26" s="127">
        <v>0.44</v>
      </c>
      <c r="Y26" s="127">
        <v>0.28000000000000003</v>
      </c>
      <c r="Z26" s="127">
        <v>0.06</v>
      </c>
      <c r="AB26" s="131">
        <v>1</v>
      </c>
    </row>
    <row r="27" spans="1:28">
      <c r="A27" t="s">
        <v>878</v>
      </c>
      <c r="U27" s="128" t="s">
        <v>91</v>
      </c>
      <c r="V27" s="127" t="s">
        <v>19</v>
      </c>
      <c r="W27" s="127" t="s">
        <v>19</v>
      </c>
      <c r="X27" s="127" t="s">
        <v>19</v>
      </c>
      <c r="Y27" s="127">
        <v>0.83</v>
      </c>
      <c r="Z27" s="127">
        <v>0.17</v>
      </c>
      <c r="AB27" s="131">
        <v>1</v>
      </c>
    </row>
    <row r="28" spans="1:28" ht="30">
      <c r="A28" s="138" t="s">
        <v>96</v>
      </c>
      <c r="B28" s="138" t="s">
        <v>72</v>
      </c>
      <c r="C28" s="138" t="s">
        <v>861</v>
      </c>
      <c r="D28" s="150" t="s">
        <v>862</v>
      </c>
      <c r="E28" s="150" t="s">
        <v>80</v>
      </c>
      <c r="F28" s="150" t="s">
        <v>81</v>
      </c>
      <c r="G28" s="150" t="s">
        <v>82</v>
      </c>
      <c r="H28" s="150" t="s">
        <v>97</v>
      </c>
      <c r="I28" s="150" t="s">
        <v>84</v>
      </c>
      <c r="K28" s="150" t="s">
        <v>98</v>
      </c>
    </row>
    <row r="29" spans="1:28">
      <c r="A29" s="124" t="str">
        <f>A17</f>
        <v>Road works</v>
      </c>
      <c r="B29" s="152">
        <f>IF(DATA!D1010="None",0,DATA!J1010)</f>
        <v>4500000000</v>
      </c>
      <c r="C29" s="152">
        <f>IF(DATA!D1010="None",0,'All Hours'!F71)</f>
        <v>0</v>
      </c>
      <c r="D29" s="153">
        <f t="shared" ref="D29:D35" si="4">IF(B29=0,0,C29/B29)</f>
        <v>0</v>
      </c>
      <c r="E29" s="152" t="e">
        <f>'C3.4'!N10+'C3.4'!N11</f>
        <v>#N/A</v>
      </c>
      <c r="F29" s="152" t="e">
        <f>'C3.4'!N32+'C3.4'!N33</f>
        <v>#N/A</v>
      </c>
      <c r="G29" s="152" t="e">
        <f>'C3.4'!N54+'C3.4'!N55</f>
        <v>#N/A</v>
      </c>
      <c r="H29" s="152" t="e">
        <f>'C3.7'!N10+'C3.7'!N11</f>
        <v>#N/A</v>
      </c>
      <c r="I29" s="152" t="e">
        <f>'C3.10'!N10+'C3.10'!N11</f>
        <v>#N/A</v>
      </c>
      <c r="K29" s="152" t="e">
        <f>SUM(E29:I29)</f>
        <v>#N/A</v>
      </c>
    </row>
    <row r="30" spans="1:28">
      <c r="A30" s="124" t="str">
        <f t="shared" ref="A30:A35" si="5">A18</f>
        <v>Structures</v>
      </c>
      <c r="B30" s="152">
        <f>IF(DATA!D1011="None",0,DATA!J1011)</f>
        <v>300000000</v>
      </c>
      <c r="C30" s="152">
        <f>IF(DATA!D1011="None",0,'All Hours'!F72)</f>
        <v>0</v>
      </c>
      <c r="D30" s="153">
        <f t="shared" si="4"/>
        <v>0</v>
      </c>
      <c r="E30" s="152" t="e">
        <f>'C3.4'!N13+'C3.4'!N14</f>
        <v>#N/A</v>
      </c>
      <c r="F30" s="152" t="e">
        <f>'C3.4'!N35+'C3.4'!N36</f>
        <v>#N/A</v>
      </c>
      <c r="G30" s="152" t="e">
        <f>'C3.4'!N57+'C3.4'!N58</f>
        <v>#N/A</v>
      </c>
      <c r="H30" s="152" t="e">
        <f>'C3.7'!N13+'C3.7'!N14</f>
        <v>#N/A</v>
      </c>
      <c r="I30" s="152" t="e">
        <f>'C3.10'!N13+'C3.10'!N14</f>
        <v>#N/A</v>
      </c>
      <c r="K30" s="152" t="e">
        <f t="shared" ref="K30:K35" si="6">SUM(E30:I30)</f>
        <v>#N/A</v>
      </c>
    </row>
    <row r="31" spans="1:28">
      <c r="A31" s="124" t="str">
        <f t="shared" si="5"/>
        <v>Electrical</v>
      </c>
      <c r="B31" s="152">
        <f>IF(DATA!D1012="None",0,DATA!J1012)</f>
        <v>100000000</v>
      </c>
      <c r="C31" s="152">
        <f>IF(DATA!D1012="None",0,'All Hours'!F73)</f>
        <v>0</v>
      </c>
      <c r="D31" s="153">
        <f t="shared" si="4"/>
        <v>0</v>
      </c>
      <c r="E31" s="152" t="e">
        <f>'C3.4'!N16+'C3.4'!N17</f>
        <v>#N/A</v>
      </c>
      <c r="F31" s="152" t="e">
        <f>'C3.4'!N38+'C3.4'!N39</f>
        <v>#N/A</v>
      </c>
      <c r="G31" s="152" t="e">
        <f>'C3.4'!N60+'C3.4'!N61</f>
        <v>#N/A</v>
      </c>
      <c r="H31" s="152" t="e">
        <f>'C3.7'!N16+'C3.7'!N17</f>
        <v>#N/A</v>
      </c>
      <c r="I31" s="152" t="e">
        <f>'C3.10'!N16+'C3.10'!N17</f>
        <v>#N/A</v>
      </c>
      <c r="K31" s="152" t="e">
        <f t="shared" si="6"/>
        <v>#N/A</v>
      </c>
    </row>
    <row r="32" spans="1:28">
      <c r="A32" s="124" t="str">
        <f t="shared" si="5"/>
        <v xml:space="preserve">Building </v>
      </c>
      <c r="B32" s="152">
        <f>IF(DATA!D1013="None",0,DATA!J1013)</f>
        <v>0</v>
      </c>
      <c r="C32" s="152">
        <f>IF(DATA!D1013="None",0,'All Hours'!F74)</f>
        <v>0</v>
      </c>
      <c r="D32" s="153">
        <f t="shared" si="4"/>
        <v>0</v>
      </c>
      <c r="E32" s="152" t="e">
        <f>'C3.4'!N19+'C3.4'!N20</f>
        <v>#N/A</v>
      </c>
      <c r="F32" s="152" t="e">
        <f>'C3.4'!N41+'C3.4'!N42</f>
        <v>#N/A</v>
      </c>
      <c r="G32" s="152" t="e">
        <f>'C3.4'!N63+'C3.4'!N64</f>
        <v>#N/A</v>
      </c>
      <c r="H32" s="152" t="e">
        <f>'C3.7'!N19+'C3.7'!N20</f>
        <v>#N/A</v>
      </c>
      <c r="I32" s="152" t="e">
        <f>'C3.10'!N19+'C3.10'!N20</f>
        <v>#N/A</v>
      </c>
      <c r="K32" s="152" t="e">
        <f t="shared" si="6"/>
        <v>#N/A</v>
      </c>
    </row>
    <row r="33" spans="1:11">
      <c r="A33" s="124" t="str">
        <f t="shared" si="5"/>
        <v>Mechanical</v>
      </c>
      <c r="B33" s="152">
        <f>IF(DATA!D1014="None",0,DATA!J1014)</f>
        <v>0</v>
      </c>
      <c r="C33" s="152">
        <f>IF(DATA!D1014="None",0,'All Hours'!F75)</f>
        <v>0</v>
      </c>
      <c r="D33" s="153">
        <f t="shared" si="4"/>
        <v>0</v>
      </c>
      <c r="E33" s="152" t="e">
        <f>'C3.4'!N22+'C3.4'!N23</f>
        <v>#N/A</v>
      </c>
      <c r="F33" s="152" t="e">
        <f>'C3.4'!N44+'C3.4'!N45</f>
        <v>#N/A</v>
      </c>
      <c r="G33" s="152" t="e">
        <f>'C3.4'!N66+'C3.4'!N67</f>
        <v>#N/A</v>
      </c>
      <c r="H33" s="152" t="e">
        <f>'C3.7'!N22+'C3.7'!N23</f>
        <v>#N/A</v>
      </c>
      <c r="I33" s="152" t="e">
        <f>'C3.10'!N22+'C3.10'!N23</f>
        <v>#N/A</v>
      </c>
      <c r="K33" s="152" t="e">
        <f t="shared" si="6"/>
        <v>#N/A</v>
      </c>
    </row>
    <row r="34" spans="1:11">
      <c r="A34" s="124" t="str">
        <f t="shared" si="5"/>
        <v>Electronic</v>
      </c>
      <c r="B34" s="152">
        <f>IF(DATA!D1015="None",0,DATA!J1015)</f>
        <v>0</v>
      </c>
      <c r="C34" s="152">
        <f>IF(DATA!D1015="None",0,'All Hours'!F76)</f>
        <v>0</v>
      </c>
      <c r="D34" s="153">
        <f t="shared" si="4"/>
        <v>0</v>
      </c>
      <c r="E34" s="152" t="e">
        <f>'C3.4'!N25+'C3.4'!N26</f>
        <v>#N/A</v>
      </c>
      <c r="F34" s="152" t="e">
        <f>'C3.4'!N47+'C3.4'!N48</f>
        <v>#N/A</v>
      </c>
      <c r="G34" s="152" t="e">
        <f>'C3.4'!N69+'C3.4'!N70</f>
        <v>#N/A</v>
      </c>
      <c r="H34" s="152" t="e">
        <f>'C3.7'!N25+'C3.7'!N26</f>
        <v>#N/A</v>
      </c>
      <c r="I34" s="152" t="e">
        <f>'C3.10'!N25+'C3.10'!N26</f>
        <v>#N/A</v>
      </c>
      <c r="K34" s="152" t="e">
        <f t="shared" si="6"/>
        <v>#N/A</v>
      </c>
    </row>
    <row r="35" spans="1:11">
      <c r="A35" s="124" t="str">
        <f t="shared" si="5"/>
        <v>Other:</v>
      </c>
      <c r="B35" s="152">
        <f>IF(DATA!D1016="None",0,DATA!J1016)</f>
        <v>0</v>
      </c>
      <c r="C35" s="152">
        <f>IF(DATA!D1016="None",0,'All Hours'!F77)</f>
        <v>0</v>
      </c>
      <c r="D35" s="153">
        <f t="shared" si="4"/>
        <v>0</v>
      </c>
      <c r="E35" s="152" t="e">
        <f>'C3.4'!N28+'C3.4'!N29</f>
        <v>#N/A</v>
      </c>
      <c r="F35" s="152" t="e">
        <f>'C3.4'!N50+'C3.4'!N51</f>
        <v>#N/A</v>
      </c>
      <c r="G35" s="152" t="e">
        <f>'C3.4'!N72+'C3.4'!N73</f>
        <v>#N/A</v>
      </c>
      <c r="H35" s="152" t="e">
        <f>'C3.7'!N28+'C3.7'!N29</f>
        <v>#N/A</v>
      </c>
      <c r="I35" s="152" t="e">
        <f>'C3.10'!N28+'C3.10'!N29</f>
        <v>#N/A</v>
      </c>
      <c r="K35" s="152" t="e">
        <f t="shared" si="6"/>
        <v>#N/A</v>
      </c>
    </row>
    <row r="36" spans="1:11">
      <c r="D36" s="154"/>
    </row>
    <row r="37" spans="1:11" ht="15.75" thickBot="1">
      <c r="A37" t="s">
        <v>98</v>
      </c>
      <c r="B37" s="155">
        <f>DATA!J1017</f>
        <v>4900000000</v>
      </c>
      <c r="C37" s="152">
        <f>C29+C30+C31+C32+C33+C34+C35</f>
        <v>0</v>
      </c>
      <c r="D37" s="153">
        <f t="shared" ref="D37" si="7">IF(B37=0,0,C37/B37)</f>
        <v>0</v>
      </c>
      <c r="E37" s="152" t="e">
        <f>SUM(E29:E35)</f>
        <v>#N/A</v>
      </c>
      <c r="F37" s="152" t="e">
        <f t="shared" ref="F37:H37" si="8">SUM(F29:F35)</f>
        <v>#N/A</v>
      </c>
      <c r="G37" s="152" t="e">
        <f t="shared" si="8"/>
        <v>#N/A</v>
      </c>
      <c r="H37" s="152" t="e">
        <f t="shared" si="8"/>
        <v>#N/A</v>
      </c>
      <c r="I37" s="152" t="e">
        <f>SUM(I29:I35)</f>
        <v>#N/A</v>
      </c>
      <c r="K37" s="152" t="e">
        <f>SUM(K29:K35)</f>
        <v>#N/A</v>
      </c>
    </row>
    <row r="38" spans="1:11" ht="15.75" thickTop="1">
      <c r="A38" t="s">
        <v>879</v>
      </c>
      <c r="D38" s="936" t="e">
        <f>K37/B37</f>
        <v>#N/A</v>
      </c>
      <c r="E38" s="937" t="str">
        <f>IF(E25=0,"",E37/E25)</f>
        <v/>
      </c>
      <c r="F38" s="937" t="str">
        <f t="shared" ref="F38:I38" si="9">IF(F25=0,"",F37/F25)</f>
        <v/>
      </c>
      <c r="G38" s="937" t="str">
        <f t="shared" si="9"/>
        <v/>
      </c>
      <c r="H38" s="937" t="str">
        <f t="shared" si="9"/>
        <v/>
      </c>
      <c r="I38" s="937" t="str">
        <f t="shared" si="9"/>
        <v/>
      </c>
      <c r="K38" s="937" t="e">
        <f>K37/K25</f>
        <v>#N/A</v>
      </c>
    </row>
  </sheetData>
  <sheetProtection algorithmName="SHA-512" hashValue="nLH3rrrnjHu5Qh7uL9gWgUozSAeWVLELvd/y86GMFV70YUGFRf2/EpbjrFWChb1tPCliP9nDBO8qmbNXOJHCPw==" saltValue="fX0ooSegLc9A7TmaXVjDYQ==" spinCount="100000" sheet="1" objects="1" scenarios="1" selectLockedCells="1" selectUnlockedCells="1"/>
  <mergeCells count="2">
    <mergeCell ref="D1:E1"/>
    <mergeCell ref="C3:K3"/>
  </mergeCells>
  <conditionalFormatting sqref="C7:C13">
    <cfRule type="cellIs" dxfId="232" priority="237" operator="equal">
      <formula>"None"</formula>
    </cfRule>
  </conditionalFormatting>
  <conditionalFormatting sqref="A9">
    <cfRule type="expression" dxfId="231" priority="236">
      <formula>C9="None"</formula>
    </cfRule>
  </conditionalFormatting>
  <conditionalFormatting sqref="B9">
    <cfRule type="expression" dxfId="230" priority="235">
      <formula>C9="None"</formula>
    </cfRule>
  </conditionalFormatting>
  <conditionalFormatting sqref="D9">
    <cfRule type="expression" dxfId="229" priority="234">
      <formula>C9="None"</formula>
    </cfRule>
  </conditionalFormatting>
  <conditionalFormatting sqref="E9">
    <cfRule type="expression" dxfId="228" priority="233">
      <formula>C9="None"</formula>
    </cfRule>
  </conditionalFormatting>
  <conditionalFormatting sqref="F9">
    <cfRule type="expression" dxfId="227" priority="232">
      <formula>C9="None"</formula>
    </cfRule>
  </conditionalFormatting>
  <conditionalFormatting sqref="G9">
    <cfRule type="expression" dxfId="226" priority="231">
      <formula>C9="None"</formula>
    </cfRule>
  </conditionalFormatting>
  <conditionalFormatting sqref="H9">
    <cfRule type="expression" dxfId="225" priority="230">
      <formula>C9="None"</formula>
    </cfRule>
  </conditionalFormatting>
  <conditionalFormatting sqref="I9">
    <cfRule type="expression" dxfId="224" priority="229">
      <formula>C9="None"</formula>
    </cfRule>
  </conditionalFormatting>
  <conditionalFormatting sqref="A10">
    <cfRule type="expression" dxfId="223" priority="227">
      <formula>C10="None"</formula>
    </cfRule>
  </conditionalFormatting>
  <conditionalFormatting sqref="B10">
    <cfRule type="expression" dxfId="222" priority="226">
      <formula>C10="None"</formula>
    </cfRule>
  </conditionalFormatting>
  <conditionalFormatting sqref="D10">
    <cfRule type="expression" dxfId="221" priority="225">
      <formula>C10="None"</formula>
    </cfRule>
  </conditionalFormatting>
  <conditionalFormatting sqref="E10">
    <cfRule type="expression" dxfId="220" priority="224">
      <formula>C10="None"</formula>
    </cfRule>
  </conditionalFormatting>
  <conditionalFormatting sqref="F10">
    <cfRule type="expression" dxfId="219" priority="223">
      <formula>C10="None"</formula>
    </cfRule>
  </conditionalFormatting>
  <conditionalFormatting sqref="G10">
    <cfRule type="expression" dxfId="218" priority="222">
      <formula>C10="None"</formula>
    </cfRule>
  </conditionalFormatting>
  <conditionalFormatting sqref="H10">
    <cfRule type="expression" dxfId="217" priority="221">
      <formula>C10="None"</formula>
    </cfRule>
  </conditionalFormatting>
  <conditionalFormatting sqref="I10">
    <cfRule type="expression" dxfId="216" priority="220">
      <formula>C10="None"</formula>
    </cfRule>
  </conditionalFormatting>
  <conditionalFormatting sqref="A11">
    <cfRule type="expression" dxfId="215" priority="218">
      <formula>C11="None"</formula>
    </cfRule>
  </conditionalFormatting>
  <conditionalFormatting sqref="B11">
    <cfRule type="expression" dxfId="214" priority="217">
      <formula>C11="None"</formula>
    </cfRule>
  </conditionalFormatting>
  <conditionalFormatting sqref="D11">
    <cfRule type="expression" dxfId="213" priority="216">
      <formula>C11="None"</formula>
    </cfRule>
  </conditionalFormatting>
  <conditionalFormatting sqref="E11">
    <cfRule type="expression" dxfId="212" priority="215">
      <formula>C11="None"</formula>
    </cfRule>
  </conditionalFormatting>
  <conditionalFormatting sqref="F11">
    <cfRule type="expression" dxfId="211" priority="214">
      <formula>C11="None"</formula>
    </cfRule>
  </conditionalFormatting>
  <conditionalFormatting sqref="G11">
    <cfRule type="expression" dxfId="210" priority="213">
      <formula>C11="None"</formula>
    </cfRule>
  </conditionalFormatting>
  <conditionalFormatting sqref="H11">
    <cfRule type="expression" dxfId="209" priority="212">
      <formula>C11="None"</formula>
    </cfRule>
  </conditionalFormatting>
  <conditionalFormatting sqref="I11">
    <cfRule type="expression" dxfId="208" priority="211">
      <formula>C11="None"</formula>
    </cfRule>
  </conditionalFormatting>
  <conditionalFormatting sqref="A12">
    <cfRule type="expression" dxfId="207" priority="209">
      <formula>C12="None"</formula>
    </cfRule>
  </conditionalFormatting>
  <conditionalFormatting sqref="B12">
    <cfRule type="expression" dxfId="206" priority="208">
      <formula>C12="None"</formula>
    </cfRule>
  </conditionalFormatting>
  <conditionalFormatting sqref="D12">
    <cfRule type="expression" dxfId="205" priority="207">
      <formula>C12="None"</formula>
    </cfRule>
  </conditionalFormatting>
  <conditionalFormatting sqref="E12">
    <cfRule type="expression" dxfId="204" priority="206">
      <formula>C12="None"</formula>
    </cfRule>
  </conditionalFormatting>
  <conditionalFormatting sqref="F12">
    <cfRule type="expression" dxfId="203" priority="205">
      <formula>C12="None"</formula>
    </cfRule>
  </conditionalFormatting>
  <conditionalFormatting sqref="G12">
    <cfRule type="expression" dxfId="202" priority="204">
      <formula>C12="None"</formula>
    </cfRule>
  </conditionalFormatting>
  <conditionalFormatting sqref="H12">
    <cfRule type="expression" dxfId="201" priority="203">
      <formula>C12="None"</formula>
    </cfRule>
  </conditionalFormatting>
  <conditionalFormatting sqref="I12">
    <cfRule type="expression" dxfId="200" priority="202">
      <formula>C12="None"</formula>
    </cfRule>
  </conditionalFormatting>
  <conditionalFormatting sqref="A13">
    <cfRule type="expression" dxfId="199" priority="200">
      <formula>C13="None"</formula>
    </cfRule>
  </conditionalFormatting>
  <conditionalFormatting sqref="B13">
    <cfRule type="expression" dxfId="198" priority="199">
      <formula>C13="None"</formula>
    </cfRule>
  </conditionalFormatting>
  <conditionalFormatting sqref="D13">
    <cfRule type="expression" dxfId="197" priority="198">
      <formula>C13="None"</formula>
    </cfRule>
  </conditionalFormatting>
  <conditionalFormatting sqref="E13">
    <cfRule type="expression" dxfId="196" priority="197">
      <formula>C13="None"</formula>
    </cfRule>
  </conditionalFormatting>
  <conditionalFormatting sqref="F13">
    <cfRule type="expression" dxfId="195" priority="196">
      <formula>C13="None"</formula>
    </cfRule>
  </conditionalFormatting>
  <conditionalFormatting sqref="G13">
    <cfRule type="expression" dxfId="194" priority="195">
      <formula>C13="None"</formula>
    </cfRule>
  </conditionalFormatting>
  <conditionalFormatting sqref="H13">
    <cfRule type="expression" dxfId="193" priority="194">
      <formula>C13="None"</formula>
    </cfRule>
  </conditionalFormatting>
  <conditionalFormatting sqref="I13">
    <cfRule type="expression" dxfId="192" priority="193">
      <formula>C13="None"</formula>
    </cfRule>
  </conditionalFormatting>
  <conditionalFormatting sqref="A8">
    <cfRule type="expression" dxfId="191" priority="191">
      <formula>C8="None"</formula>
    </cfRule>
  </conditionalFormatting>
  <conditionalFormatting sqref="B8">
    <cfRule type="expression" dxfId="190" priority="190">
      <formula>C8="None"</formula>
    </cfRule>
  </conditionalFormatting>
  <conditionalFormatting sqref="D8">
    <cfRule type="expression" dxfId="189" priority="189">
      <formula>C8="None"</formula>
    </cfRule>
  </conditionalFormatting>
  <conditionalFormatting sqref="E8">
    <cfRule type="expression" dxfId="188" priority="188">
      <formula>C8="None"</formula>
    </cfRule>
  </conditionalFormatting>
  <conditionalFormatting sqref="F8">
    <cfRule type="expression" dxfId="187" priority="187">
      <formula>C8="None"</formula>
    </cfRule>
  </conditionalFormatting>
  <conditionalFormatting sqref="G8">
    <cfRule type="expression" dxfId="186" priority="186">
      <formula>C8="None"</formula>
    </cfRule>
  </conditionalFormatting>
  <conditionalFormatting sqref="H8">
    <cfRule type="expression" dxfId="185" priority="185">
      <formula>C8="None"</formula>
    </cfRule>
  </conditionalFormatting>
  <conditionalFormatting sqref="I8">
    <cfRule type="expression" dxfId="184" priority="184">
      <formula>C8="None"</formula>
    </cfRule>
  </conditionalFormatting>
  <conditionalFormatting sqref="A7:A13">
    <cfRule type="expression" dxfId="183" priority="182">
      <formula>C7="None"</formula>
    </cfRule>
  </conditionalFormatting>
  <conditionalFormatting sqref="B7:B13">
    <cfRule type="expression" dxfId="182" priority="181">
      <formula>C7="None"</formula>
    </cfRule>
  </conditionalFormatting>
  <conditionalFormatting sqref="D7">
    <cfRule type="expression" dxfId="181" priority="180">
      <formula>C7="None"</formula>
    </cfRule>
  </conditionalFormatting>
  <conditionalFormatting sqref="E7:I13">
    <cfRule type="expression" dxfId="180" priority="179">
      <formula>C7="None"</formula>
    </cfRule>
  </conditionalFormatting>
  <conditionalFormatting sqref="F7:F13">
    <cfRule type="expression" dxfId="179" priority="178">
      <formula>C7="None"</formula>
    </cfRule>
  </conditionalFormatting>
  <conditionalFormatting sqref="G7:G13">
    <cfRule type="expression" dxfId="178" priority="177">
      <formula>C7="None"</formula>
    </cfRule>
  </conditionalFormatting>
  <conditionalFormatting sqref="H7:H13">
    <cfRule type="expression" dxfId="177" priority="176">
      <formula>C7="None"</formula>
    </cfRule>
  </conditionalFormatting>
  <conditionalFormatting sqref="I7:I13">
    <cfRule type="expression" dxfId="176" priority="175">
      <formula>C7="None"</formula>
    </cfRule>
  </conditionalFormatting>
  <conditionalFormatting sqref="A17:A23">
    <cfRule type="expression" dxfId="175" priority="174">
      <formula>C7="None"</formula>
    </cfRule>
  </conditionalFormatting>
  <conditionalFormatting sqref="A18">
    <cfRule type="expression" dxfId="174" priority="173">
      <formula>C8="None"</formula>
    </cfRule>
  </conditionalFormatting>
  <conditionalFormatting sqref="A19">
    <cfRule type="expression" dxfId="173" priority="172">
      <formula>C9="None"</formula>
    </cfRule>
  </conditionalFormatting>
  <conditionalFormatting sqref="A20">
    <cfRule type="expression" dxfId="172" priority="171">
      <formula>C10="None"</formula>
    </cfRule>
  </conditionalFormatting>
  <conditionalFormatting sqref="A21">
    <cfRule type="expression" dxfId="171" priority="170">
      <formula>C11="None"</formula>
    </cfRule>
  </conditionalFormatting>
  <conditionalFormatting sqref="A22">
    <cfRule type="expression" dxfId="170" priority="169">
      <formula>C12="None"</formula>
    </cfRule>
  </conditionalFormatting>
  <conditionalFormatting sqref="A23">
    <cfRule type="expression" dxfId="169" priority="168">
      <formula>C13="None"</formula>
    </cfRule>
  </conditionalFormatting>
  <conditionalFormatting sqref="B17:B23">
    <cfRule type="expression" dxfId="168" priority="167">
      <formula>C7="None"</formula>
    </cfRule>
  </conditionalFormatting>
  <conditionalFormatting sqref="C17:C23">
    <cfRule type="expression" dxfId="167" priority="166">
      <formula>C7="None"</formula>
    </cfRule>
  </conditionalFormatting>
  <conditionalFormatting sqref="D17">
    <cfRule type="expression" dxfId="166" priority="165">
      <formula>C7="None"</formula>
    </cfRule>
  </conditionalFormatting>
  <conditionalFormatting sqref="E17:I23">
    <cfRule type="expression" dxfId="165" priority="164">
      <formula>C7="None"</formula>
    </cfRule>
  </conditionalFormatting>
  <conditionalFormatting sqref="F17:F23">
    <cfRule type="expression" dxfId="164" priority="163">
      <formula>C7="None"</formula>
    </cfRule>
  </conditionalFormatting>
  <conditionalFormatting sqref="G17:G23">
    <cfRule type="expression" dxfId="163" priority="162">
      <formula>C7="None"</formula>
    </cfRule>
  </conditionalFormatting>
  <conditionalFormatting sqref="H17:H23">
    <cfRule type="expression" dxfId="162" priority="161">
      <formula>C7="None"</formula>
    </cfRule>
  </conditionalFormatting>
  <conditionalFormatting sqref="I17:I23">
    <cfRule type="expression" dxfId="161" priority="160">
      <formula>C7="None"</formula>
    </cfRule>
  </conditionalFormatting>
  <conditionalFormatting sqref="K17">
    <cfRule type="expression" dxfId="160" priority="159">
      <formula>C7="None"</formula>
    </cfRule>
  </conditionalFormatting>
  <conditionalFormatting sqref="B18">
    <cfRule type="expression" dxfId="159" priority="158">
      <formula>C8="None"</formula>
    </cfRule>
  </conditionalFormatting>
  <conditionalFormatting sqref="C18">
    <cfRule type="expression" dxfId="158" priority="157">
      <formula>C8="None"</formula>
    </cfRule>
  </conditionalFormatting>
  <conditionalFormatting sqref="D18">
    <cfRule type="expression" dxfId="157" priority="156">
      <formula>C8="None"</formula>
    </cfRule>
  </conditionalFormatting>
  <conditionalFormatting sqref="E18">
    <cfRule type="expression" dxfId="156" priority="155">
      <formula>C8="None"</formula>
    </cfRule>
  </conditionalFormatting>
  <conditionalFormatting sqref="F18">
    <cfRule type="expression" dxfId="155" priority="154">
      <formula>C8="None"</formula>
    </cfRule>
  </conditionalFormatting>
  <conditionalFormatting sqref="G18">
    <cfRule type="expression" dxfId="154" priority="153">
      <formula>C8="None"</formula>
    </cfRule>
  </conditionalFormatting>
  <conditionalFormatting sqref="H18">
    <cfRule type="expression" dxfId="153" priority="152">
      <formula>C8="None"</formula>
    </cfRule>
  </conditionalFormatting>
  <conditionalFormatting sqref="I18">
    <cfRule type="expression" dxfId="152" priority="151">
      <formula>C8="None"</formula>
    </cfRule>
  </conditionalFormatting>
  <conditionalFormatting sqref="B19">
    <cfRule type="expression" dxfId="151" priority="150">
      <formula>C9="None"</formula>
    </cfRule>
  </conditionalFormatting>
  <conditionalFormatting sqref="C19">
    <cfRule type="expression" dxfId="150" priority="149">
      <formula>C9="None"</formula>
    </cfRule>
  </conditionalFormatting>
  <conditionalFormatting sqref="D19">
    <cfRule type="expression" dxfId="149" priority="148">
      <formula>C9="None"</formula>
    </cfRule>
  </conditionalFormatting>
  <conditionalFormatting sqref="E19">
    <cfRule type="expression" dxfId="148" priority="147">
      <formula>C9="None"</formula>
    </cfRule>
  </conditionalFormatting>
  <conditionalFormatting sqref="F19">
    <cfRule type="expression" dxfId="147" priority="146">
      <formula>C9="None"</formula>
    </cfRule>
  </conditionalFormatting>
  <conditionalFormatting sqref="G19">
    <cfRule type="expression" dxfId="146" priority="145">
      <formula>C9="None"</formula>
    </cfRule>
  </conditionalFormatting>
  <conditionalFormatting sqref="H19">
    <cfRule type="expression" dxfId="145" priority="144">
      <formula>C9="None"</formula>
    </cfRule>
  </conditionalFormatting>
  <conditionalFormatting sqref="I19">
    <cfRule type="expression" dxfId="144" priority="143">
      <formula>C9="None"</formula>
    </cfRule>
  </conditionalFormatting>
  <conditionalFormatting sqref="B20">
    <cfRule type="expression" dxfId="143" priority="142">
      <formula>C10="None"</formula>
    </cfRule>
  </conditionalFormatting>
  <conditionalFormatting sqref="C20">
    <cfRule type="expression" dxfId="142" priority="141">
      <formula>C10="None"</formula>
    </cfRule>
  </conditionalFormatting>
  <conditionalFormatting sqref="D20">
    <cfRule type="expression" dxfId="141" priority="140">
      <formula>C10="None"</formula>
    </cfRule>
  </conditionalFormatting>
  <conditionalFormatting sqref="E20">
    <cfRule type="expression" dxfId="140" priority="139">
      <formula>C10="None"</formula>
    </cfRule>
  </conditionalFormatting>
  <conditionalFormatting sqref="F20">
    <cfRule type="expression" dxfId="139" priority="138">
      <formula>C10="None"</formula>
    </cfRule>
  </conditionalFormatting>
  <conditionalFormatting sqref="G20">
    <cfRule type="expression" dxfId="138" priority="137">
      <formula>C10="None"</formula>
    </cfRule>
  </conditionalFormatting>
  <conditionalFormatting sqref="H20">
    <cfRule type="expression" dxfId="137" priority="136">
      <formula>C10="None"</formula>
    </cfRule>
  </conditionalFormatting>
  <conditionalFormatting sqref="I20">
    <cfRule type="expression" dxfId="136" priority="135">
      <formula>C10="None"</formula>
    </cfRule>
  </conditionalFormatting>
  <conditionalFormatting sqref="B21">
    <cfRule type="expression" dxfId="135" priority="134">
      <formula>C11="None"</formula>
    </cfRule>
  </conditionalFormatting>
  <conditionalFormatting sqref="C21">
    <cfRule type="expression" dxfId="134" priority="133">
      <formula>C11="None"</formula>
    </cfRule>
  </conditionalFormatting>
  <conditionalFormatting sqref="D21">
    <cfRule type="expression" dxfId="133" priority="132">
      <formula>C11="None"</formula>
    </cfRule>
  </conditionalFormatting>
  <conditionalFormatting sqref="E21">
    <cfRule type="expression" dxfId="132" priority="131">
      <formula>C11="None"</formula>
    </cfRule>
  </conditionalFormatting>
  <conditionalFormatting sqref="F21">
    <cfRule type="expression" dxfId="131" priority="130">
      <formula>C11="None"</formula>
    </cfRule>
  </conditionalFormatting>
  <conditionalFormatting sqref="G21">
    <cfRule type="expression" dxfId="130" priority="129">
      <formula>C11="None"</formula>
    </cfRule>
  </conditionalFormatting>
  <conditionalFormatting sqref="H21">
    <cfRule type="expression" dxfId="129" priority="128">
      <formula>C11="None"</formula>
    </cfRule>
  </conditionalFormatting>
  <conditionalFormatting sqref="I21">
    <cfRule type="expression" dxfId="128" priority="127">
      <formula>C11="None"</formula>
    </cfRule>
  </conditionalFormatting>
  <conditionalFormatting sqref="B22">
    <cfRule type="expression" dxfId="127" priority="126">
      <formula>C12="None"</formula>
    </cfRule>
  </conditionalFormatting>
  <conditionalFormatting sqref="C22">
    <cfRule type="expression" dxfId="126" priority="125">
      <formula>C12="None"</formula>
    </cfRule>
  </conditionalFormatting>
  <conditionalFormatting sqref="D22">
    <cfRule type="expression" dxfId="125" priority="124">
      <formula>C12="None"</formula>
    </cfRule>
  </conditionalFormatting>
  <conditionalFormatting sqref="E22">
    <cfRule type="expression" dxfId="124" priority="123">
      <formula>C12="None"</formula>
    </cfRule>
  </conditionalFormatting>
  <conditionalFormatting sqref="F22">
    <cfRule type="expression" dxfId="123" priority="122">
      <formula>C12="None"</formula>
    </cfRule>
  </conditionalFormatting>
  <conditionalFormatting sqref="G22">
    <cfRule type="expression" dxfId="122" priority="121">
      <formula>C12="None"</formula>
    </cfRule>
  </conditionalFormatting>
  <conditionalFormatting sqref="H22">
    <cfRule type="expression" dxfId="121" priority="120">
      <formula>C12="None"</formula>
    </cfRule>
  </conditionalFormatting>
  <conditionalFormatting sqref="I22">
    <cfRule type="expression" dxfId="120" priority="119">
      <formula>C12="None"</formula>
    </cfRule>
  </conditionalFormatting>
  <conditionalFormatting sqref="B23">
    <cfRule type="expression" dxfId="119" priority="118">
      <formula>C13="None"</formula>
    </cfRule>
  </conditionalFormatting>
  <conditionalFormatting sqref="C23">
    <cfRule type="expression" dxfId="118" priority="117">
      <formula>C13="None"</formula>
    </cfRule>
  </conditionalFormatting>
  <conditionalFormatting sqref="D23">
    <cfRule type="expression" dxfId="117" priority="116">
      <formula>C13="None"</formula>
    </cfRule>
  </conditionalFormatting>
  <conditionalFormatting sqref="E23">
    <cfRule type="expression" dxfId="116" priority="115">
      <formula>C13="None"</formula>
    </cfRule>
  </conditionalFormatting>
  <conditionalFormatting sqref="F23">
    <cfRule type="expression" dxfId="115" priority="114">
      <formula>C13="None"</formula>
    </cfRule>
  </conditionalFormatting>
  <conditionalFormatting sqref="G23">
    <cfRule type="expression" dxfId="114" priority="113">
      <formula>C13="None"</formula>
    </cfRule>
  </conditionalFormatting>
  <conditionalFormatting sqref="H23">
    <cfRule type="expression" dxfId="113" priority="112">
      <formula>C13="None"</formula>
    </cfRule>
  </conditionalFormatting>
  <conditionalFormatting sqref="I23">
    <cfRule type="expression" dxfId="112" priority="111">
      <formula>C13="None"</formula>
    </cfRule>
  </conditionalFormatting>
  <conditionalFormatting sqref="K18">
    <cfRule type="expression" dxfId="111" priority="110">
      <formula>C8="None"</formula>
    </cfRule>
  </conditionalFormatting>
  <conditionalFormatting sqref="K19">
    <cfRule type="expression" dxfId="110" priority="109">
      <formula>C9="None"</formula>
    </cfRule>
  </conditionalFormatting>
  <conditionalFormatting sqref="K20">
    <cfRule type="expression" dxfId="109" priority="108">
      <formula>C10="None"</formula>
    </cfRule>
  </conditionalFormatting>
  <conditionalFormatting sqref="K21">
    <cfRule type="expression" dxfId="108" priority="107">
      <formula>C11="None"</formula>
    </cfRule>
  </conditionalFormatting>
  <conditionalFormatting sqref="K22">
    <cfRule type="expression" dxfId="107" priority="106">
      <formula>C12="None"</formula>
    </cfRule>
  </conditionalFormatting>
  <conditionalFormatting sqref="K23">
    <cfRule type="expression" dxfId="106" priority="105">
      <formula>C13="None"</formula>
    </cfRule>
  </conditionalFormatting>
  <conditionalFormatting sqref="B29:B35">
    <cfRule type="expression" dxfId="105" priority="104">
      <formula>C7="None"</formula>
    </cfRule>
  </conditionalFormatting>
  <conditionalFormatting sqref="C29:C35">
    <cfRule type="expression" dxfId="104" priority="103">
      <formula>C7="None"</formula>
    </cfRule>
  </conditionalFormatting>
  <conditionalFormatting sqref="D29:D35 D38">
    <cfRule type="expression" dxfId="103" priority="102">
      <formula>C7="None"</formula>
    </cfRule>
  </conditionalFormatting>
  <conditionalFormatting sqref="E29:I35">
    <cfRule type="expression" dxfId="102" priority="101">
      <formula>C7="None"</formula>
    </cfRule>
  </conditionalFormatting>
  <conditionalFormatting sqref="F29:F35">
    <cfRule type="expression" dxfId="101" priority="100">
      <formula>C7="None"</formula>
    </cfRule>
  </conditionalFormatting>
  <conditionalFormatting sqref="G29:G35">
    <cfRule type="expression" dxfId="100" priority="99">
      <formula>C7="None"</formula>
    </cfRule>
  </conditionalFormatting>
  <conditionalFormatting sqref="H29:H35">
    <cfRule type="expression" dxfId="99" priority="98">
      <formula>C7="None"</formula>
    </cfRule>
  </conditionalFormatting>
  <conditionalFormatting sqref="I29:I35">
    <cfRule type="expression" dxfId="98" priority="97">
      <formula>C7="None"</formula>
    </cfRule>
  </conditionalFormatting>
  <conditionalFormatting sqref="B30">
    <cfRule type="expression" dxfId="97" priority="96">
      <formula>C8="None"</formula>
    </cfRule>
  </conditionalFormatting>
  <conditionalFormatting sqref="C30">
    <cfRule type="expression" dxfId="96" priority="95">
      <formula>C8="None"</formula>
    </cfRule>
  </conditionalFormatting>
  <conditionalFormatting sqref="E30:E31">
    <cfRule type="expression" dxfId="95" priority="94">
      <formula>C20="None"</formula>
    </cfRule>
  </conditionalFormatting>
  <conditionalFormatting sqref="F30:F31">
    <cfRule type="expression" dxfId="94" priority="93">
      <formula>C20="None"</formula>
    </cfRule>
  </conditionalFormatting>
  <conditionalFormatting sqref="G30:G31">
    <cfRule type="expression" dxfId="93" priority="92">
      <formula>C20="None"</formula>
    </cfRule>
  </conditionalFormatting>
  <conditionalFormatting sqref="H30:H31">
    <cfRule type="expression" dxfId="92" priority="91">
      <formula>C20="None"</formula>
    </cfRule>
  </conditionalFormatting>
  <conditionalFormatting sqref="I30:I31">
    <cfRule type="expression" dxfId="91" priority="90">
      <formula>C20="None"</formula>
    </cfRule>
  </conditionalFormatting>
  <conditionalFormatting sqref="B31">
    <cfRule type="expression" dxfId="90" priority="89">
      <formula>C21="None"</formula>
    </cfRule>
  </conditionalFormatting>
  <conditionalFormatting sqref="C31">
    <cfRule type="expression" dxfId="89" priority="88">
      <formula>C9="None"</formula>
    </cfRule>
  </conditionalFormatting>
  <conditionalFormatting sqref="E31">
    <cfRule type="expression" dxfId="88" priority="87">
      <formula>C21="None"</formula>
    </cfRule>
  </conditionalFormatting>
  <conditionalFormatting sqref="F31">
    <cfRule type="expression" dxfId="87" priority="86">
      <formula>C21="None"</formula>
    </cfRule>
  </conditionalFormatting>
  <conditionalFormatting sqref="G31">
    <cfRule type="expression" dxfId="86" priority="85">
      <formula>C21="None"</formula>
    </cfRule>
  </conditionalFormatting>
  <conditionalFormatting sqref="H31">
    <cfRule type="expression" dxfId="85" priority="84">
      <formula>C21="None"</formula>
    </cfRule>
  </conditionalFormatting>
  <conditionalFormatting sqref="I31">
    <cfRule type="expression" dxfId="84" priority="83">
      <formula>C21="None"</formula>
    </cfRule>
  </conditionalFormatting>
  <conditionalFormatting sqref="B32">
    <cfRule type="expression" dxfId="83" priority="82">
      <formula>C10="None"</formula>
    </cfRule>
  </conditionalFormatting>
  <conditionalFormatting sqref="C32">
    <cfRule type="expression" dxfId="82" priority="81">
      <formula>C10="None"</formula>
    </cfRule>
  </conditionalFormatting>
  <conditionalFormatting sqref="E32">
    <cfRule type="expression" dxfId="81" priority="80">
      <formula>C22="None"</formula>
    </cfRule>
  </conditionalFormatting>
  <conditionalFormatting sqref="F32">
    <cfRule type="expression" dxfId="80" priority="79">
      <formula>C22="None"</formula>
    </cfRule>
  </conditionalFormatting>
  <conditionalFormatting sqref="G32">
    <cfRule type="expression" dxfId="79" priority="78">
      <formula>C22="None"</formula>
    </cfRule>
  </conditionalFormatting>
  <conditionalFormatting sqref="H32">
    <cfRule type="expression" dxfId="78" priority="77">
      <formula>C22="None"</formula>
    </cfRule>
  </conditionalFormatting>
  <conditionalFormatting sqref="I32">
    <cfRule type="expression" dxfId="77" priority="76">
      <formula>C22="None"</formula>
    </cfRule>
  </conditionalFormatting>
  <conditionalFormatting sqref="B33">
    <cfRule type="expression" dxfId="76" priority="75">
      <formula>C11="None"</formula>
    </cfRule>
  </conditionalFormatting>
  <conditionalFormatting sqref="C33">
    <cfRule type="expression" dxfId="75" priority="74">
      <formula>C11="None"</formula>
    </cfRule>
  </conditionalFormatting>
  <conditionalFormatting sqref="E33">
    <cfRule type="expression" dxfId="74" priority="73">
      <formula>C23="None"</formula>
    </cfRule>
  </conditionalFormatting>
  <conditionalFormatting sqref="F33">
    <cfRule type="expression" dxfId="73" priority="72">
      <formula>C23="None"</formula>
    </cfRule>
  </conditionalFormatting>
  <conditionalFormatting sqref="G33">
    <cfRule type="expression" dxfId="72" priority="71">
      <formula>C23="None"</formula>
    </cfRule>
  </conditionalFormatting>
  <conditionalFormatting sqref="H33">
    <cfRule type="expression" dxfId="71" priority="70">
      <formula>C23="None"</formula>
    </cfRule>
  </conditionalFormatting>
  <conditionalFormatting sqref="I33">
    <cfRule type="expression" dxfId="70" priority="69">
      <formula>C23="None"</formula>
    </cfRule>
  </conditionalFormatting>
  <conditionalFormatting sqref="B34">
    <cfRule type="expression" dxfId="69" priority="68">
      <formula>C12="None"</formula>
    </cfRule>
  </conditionalFormatting>
  <conditionalFormatting sqref="C34">
    <cfRule type="expression" dxfId="68" priority="67">
      <formula>C12="None"</formula>
    </cfRule>
  </conditionalFormatting>
  <conditionalFormatting sqref="E34">
    <cfRule type="expression" dxfId="67" priority="66">
      <formula>C24="None"</formula>
    </cfRule>
  </conditionalFormatting>
  <conditionalFormatting sqref="F34">
    <cfRule type="expression" dxfId="66" priority="65">
      <formula>C24="None"</formula>
    </cfRule>
  </conditionalFormatting>
  <conditionalFormatting sqref="G34">
    <cfRule type="expression" dxfId="65" priority="64">
      <formula>C24="None"</formula>
    </cfRule>
  </conditionalFormatting>
  <conditionalFormatting sqref="H34">
    <cfRule type="expression" dxfId="64" priority="63">
      <formula>C24="None"</formula>
    </cfRule>
  </conditionalFormatting>
  <conditionalFormatting sqref="I34">
    <cfRule type="expression" dxfId="63" priority="62">
      <formula>C24="None"</formula>
    </cfRule>
  </conditionalFormatting>
  <conditionalFormatting sqref="B35">
    <cfRule type="expression" dxfId="62" priority="61">
      <formula>C13="None"</formula>
    </cfRule>
  </conditionalFormatting>
  <conditionalFormatting sqref="C35">
    <cfRule type="expression" dxfId="61" priority="60">
      <formula>C13="None"</formula>
    </cfRule>
  </conditionalFormatting>
  <conditionalFormatting sqref="E35">
    <cfRule type="expression" dxfId="60" priority="59">
      <formula>C25="None"</formula>
    </cfRule>
  </conditionalFormatting>
  <conditionalFormatting sqref="F35">
    <cfRule type="expression" dxfId="59" priority="58">
      <formula>C25="None"</formula>
    </cfRule>
  </conditionalFormatting>
  <conditionalFormatting sqref="G35">
    <cfRule type="expression" dxfId="58" priority="57">
      <formula>C25="None"</formula>
    </cfRule>
  </conditionalFormatting>
  <conditionalFormatting sqref="H35">
    <cfRule type="expression" dxfId="57" priority="56">
      <formula>C25="None"</formula>
    </cfRule>
  </conditionalFormatting>
  <conditionalFormatting sqref="I35">
    <cfRule type="expression" dxfId="56" priority="55">
      <formula>C25="None"</formula>
    </cfRule>
  </conditionalFormatting>
  <conditionalFormatting sqref="A29:A35">
    <cfRule type="expression" dxfId="55" priority="54">
      <formula>C7="None"</formula>
    </cfRule>
  </conditionalFormatting>
  <conditionalFormatting sqref="A30">
    <cfRule type="expression" dxfId="54" priority="53">
      <formula>C20="None"</formula>
    </cfRule>
  </conditionalFormatting>
  <conditionalFormatting sqref="A31">
    <cfRule type="expression" dxfId="53" priority="52">
      <formula>C21="None"</formula>
    </cfRule>
  </conditionalFormatting>
  <conditionalFormatting sqref="A32">
    <cfRule type="expression" dxfId="52" priority="51">
      <formula>C22="None"</formula>
    </cfRule>
  </conditionalFormatting>
  <conditionalFormatting sqref="A33">
    <cfRule type="expression" dxfId="51" priority="50">
      <formula>C23="None"</formula>
    </cfRule>
  </conditionalFormatting>
  <conditionalFormatting sqref="A34">
    <cfRule type="expression" dxfId="50" priority="49">
      <formula>C24="None"</formula>
    </cfRule>
  </conditionalFormatting>
  <conditionalFormatting sqref="A35">
    <cfRule type="expression" dxfId="49" priority="48">
      <formula>C25="None"</formula>
    </cfRule>
  </conditionalFormatting>
  <conditionalFormatting sqref="K29">
    <cfRule type="expression" dxfId="48" priority="47">
      <formula>C19="None"</formula>
    </cfRule>
  </conditionalFormatting>
  <conditionalFormatting sqref="K30">
    <cfRule type="expression" dxfId="47" priority="46">
      <formula>C20="None"</formula>
    </cfRule>
  </conditionalFormatting>
  <conditionalFormatting sqref="K31">
    <cfRule type="expression" dxfId="46" priority="45">
      <formula>C21="None"</formula>
    </cfRule>
  </conditionalFormatting>
  <conditionalFormatting sqref="K32">
    <cfRule type="expression" dxfId="45" priority="44">
      <formula>C22="None"</formula>
    </cfRule>
  </conditionalFormatting>
  <conditionalFormatting sqref="K33">
    <cfRule type="expression" dxfId="44" priority="43">
      <formula>C23="None"</formula>
    </cfRule>
  </conditionalFormatting>
  <conditionalFormatting sqref="K34">
    <cfRule type="expression" dxfId="43" priority="42">
      <formula>C24="None"</formula>
    </cfRule>
  </conditionalFormatting>
  <conditionalFormatting sqref="K35">
    <cfRule type="expression" dxfId="42" priority="41">
      <formula>C25="None"</formula>
    </cfRule>
  </conditionalFormatting>
  <conditionalFormatting sqref="E32">
    <cfRule type="expression" dxfId="41" priority="40">
      <formula>C22="None"</formula>
    </cfRule>
  </conditionalFormatting>
  <conditionalFormatting sqref="E32">
    <cfRule type="expression" dxfId="40" priority="39">
      <formula>C22="None"</formula>
    </cfRule>
  </conditionalFormatting>
  <conditionalFormatting sqref="E33">
    <cfRule type="expression" dxfId="39" priority="38">
      <formula>C23="None"</formula>
    </cfRule>
  </conditionalFormatting>
  <conditionalFormatting sqref="E33">
    <cfRule type="expression" dxfId="38" priority="37">
      <formula>C23="None"</formula>
    </cfRule>
  </conditionalFormatting>
  <conditionalFormatting sqref="E34">
    <cfRule type="expression" dxfId="37" priority="36">
      <formula>C24="None"</formula>
    </cfRule>
  </conditionalFormatting>
  <conditionalFormatting sqref="E34">
    <cfRule type="expression" dxfId="36" priority="35">
      <formula>C24="None"</formula>
    </cfRule>
  </conditionalFormatting>
  <conditionalFormatting sqref="E35">
    <cfRule type="expression" dxfId="35" priority="34">
      <formula>C25="None"</formula>
    </cfRule>
  </conditionalFormatting>
  <conditionalFormatting sqref="E35">
    <cfRule type="expression" dxfId="34" priority="33">
      <formula>C25="None"</formula>
    </cfRule>
  </conditionalFormatting>
  <conditionalFormatting sqref="F32">
    <cfRule type="expression" dxfId="33" priority="32">
      <formula>C22="None"</formula>
    </cfRule>
  </conditionalFormatting>
  <conditionalFormatting sqref="F32">
    <cfRule type="expression" dxfId="32" priority="31">
      <formula>C22="None"</formula>
    </cfRule>
  </conditionalFormatting>
  <conditionalFormatting sqref="F33">
    <cfRule type="expression" dxfId="31" priority="30">
      <formula>C23="None"</formula>
    </cfRule>
  </conditionalFormatting>
  <conditionalFormatting sqref="F33">
    <cfRule type="expression" dxfId="30" priority="29">
      <formula>C23="None"</formula>
    </cfRule>
  </conditionalFormatting>
  <conditionalFormatting sqref="F34">
    <cfRule type="expression" dxfId="29" priority="28">
      <formula>C24="None"</formula>
    </cfRule>
  </conditionalFormatting>
  <conditionalFormatting sqref="F34">
    <cfRule type="expression" dxfId="28" priority="27">
      <formula>C24="None"</formula>
    </cfRule>
  </conditionalFormatting>
  <conditionalFormatting sqref="F35">
    <cfRule type="expression" dxfId="27" priority="26">
      <formula>C25="None"</formula>
    </cfRule>
  </conditionalFormatting>
  <conditionalFormatting sqref="F35">
    <cfRule type="expression" dxfId="26" priority="25">
      <formula>C25="None"</formula>
    </cfRule>
  </conditionalFormatting>
  <conditionalFormatting sqref="G32">
    <cfRule type="expression" dxfId="25" priority="24">
      <formula>C22="None"</formula>
    </cfRule>
  </conditionalFormatting>
  <conditionalFormatting sqref="G32">
    <cfRule type="expression" dxfId="24" priority="23">
      <formula>C22="None"</formula>
    </cfRule>
  </conditionalFormatting>
  <conditionalFormatting sqref="G33">
    <cfRule type="expression" dxfId="23" priority="22">
      <formula>C23="None"</formula>
    </cfRule>
  </conditionalFormatting>
  <conditionalFormatting sqref="G33">
    <cfRule type="expression" dxfId="22" priority="21">
      <formula>C23="None"</formula>
    </cfRule>
  </conditionalFormatting>
  <conditionalFormatting sqref="G34">
    <cfRule type="expression" dxfId="21" priority="20">
      <formula>C24="None"</formula>
    </cfRule>
  </conditionalFormatting>
  <conditionalFormatting sqref="G34">
    <cfRule type="expression" dxfId="20" priority="19">
      <formula>C24="None"</formula>
    </cfRule>
  </conditionalFormatting>
  <conditionalFormatting sqref="G35">
    <cfRule type="expression" dxfId="19" priority="18">
      <formula>C25="None"</formula>
    </cfRule>
  </conditionalFormatting>
  <conditionalFormatting sqref="G35">
    <cfRule type="expression" dxfId="18" priority="17">
      <formula>C25="None"</formula>
    </cfRule>
  </conditionalFormatting>
  <conditionalFormatting sqref="H32">
    <cfRule type="expression" dxfId="17" priority="16">
      <formula>C22="None"</formula>
    </cfRule>
  </conditionalFormatting>
  <conditionalFormatting sqref="H32">
    <cfRule type="expression" dxfId="16" priority="15">
      <formula>C22="None"</formula>
    </cfRule>
  </conditionalFormatting>
  <conditionalFormatting sqref="H33">
    <cfRule type="expression" dxfId="15" priority="14">
      <formula>C23="None"</formula>
    </cfRule>
  </conditionalFormatting>
  <conditionalFormatting sqref="H33">
    <cfRule type="expression" dxfId="14" priority="13">
      <formula>C23="None"</formula>
    </cfRule>
  </conditionalFormatting>
  <conditionalFormatting sqref="H34">
    <cfRule type="expression" dxfId="13" priority="12">
      <formula>C24="None"</formula>
    </cfRule>
  </conditionalFormatting>
  <conditionalFormatting sqref="H34">
    <cfRule type="expression" dxfId="12" priority="11">
      <formula>C24="None"</formula>
    </cfRule>
  </conditionalFormatting>
  <conditionalFormatting sqref="H35">
    <cfRule type="expression" dxfId="11" priority="10">
      <formula>C25="None"</formula>
    </cfRule>
  </conditionalFormatting>
  <conditionalFormatting sqref="H35">
    <cfRule type="expression" dxfId="10" priority="9">
      <formula>C25="None"</formula>
    </cfRule>
  </conditionalFormatting>
  <conditionalFormatting sqref="I32">
    <cfRule type="expression" dxfId="9" priority="8">
      <formula>C22="None"</formula>
    </cfRule>
  </conditionalFormatting>
  <conditionalFormatting sqref="I32">
    <cfRule type="expression" dxfId="8" priority="7">
      <formula>C22="None"</formula>
    </cfRule>
  </conditionalFormatting>
  <conditionalFormatting sqref="I33">
    <cfRule type="expression" dxfId="7" priority="6">
      <formula>C23="None"</formula>
    </cfRule>
  </conditionalFormatting>
  <conditionalFormatting sqref="I33">
    <cfRule type="expression" dxfId="6" priority="5">
      <formula>C23="None"</formula>
    </cfRule>
  </conditionalFormatting>
  <conditionalFormatting sqref="I34">
    <cfRule type="expression" dxfId="5" priority="4">
      <formula>C24="None"</formula>
    </cfRule>
  </conditionalFormatting>
  <conditionalFormatting sqref="I34">
    <cfRule type="expression" dxfId="4" priority="3">
      <formula>C24="None"</formula>
    </cfRule>
  </conditionalFormatting>
  <conditionalFormatting sqref="I35">
    <cfRule type="expression" dxfId="3" priority="2">
      <formula>C25="None"</formula>
    </cfRule>
  </conditionalFormatting>
  <conditionalFormatting sqref="I35">
    <cfRule type="expression" dxfId="2" priority="1">
      <formula>C25="None"</formula>
    </cfRule>
  </conditionalFormatting>
  <pageMargins left="0.18" right="0.16" top="0.5" bottom="0.74803149606299213" header="0.31496062992125984" footer="0.31496062992125984"/>
  <pageSetup paperSize="9" scale="80" orientation="landscape" r:id="rId1"/>
  <headerFooter>
    <oddHeader>&amp;L&amp;"Calibri"&amp;10&amp;K000000Sensitivity - General&amp;1#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3"/>
  <dimension ref="A1:KP1070"/>
  <sheetViews>
    <sheetView workbookViewId="0"/>
  </sheetViews>
  <sheetFormatPr defaultColWidth="13.85546875" defaultRowHeight="15"/>
  <cols>
    <col min="1" max="2" width="13.85546875" style="1633"/>
    <col min="3" max="3" width="15" style="1633" customWidth="1"/>
    <col min="4" max="9" width="13.85546875" style="1633"/>
    <col min="10" max="10" width="17.5703125" style="1633" customWidth="1"/>
    <col min="11" max="16384" width="13.85546875" style="1633"/>
  </cols>
  <sheetData>
    <row r="1" spans="1:26">
      <c r="B1" s="1634" t="s">
        <v>978</v>
      </c>
      <c r="S1" s="1633" t="s">
        <v>671</v>
      </c>
    </row>
    <row r="2" spans="1:26">
      <c r="A2" s="1633">
        <v>1</v>
      </c>
      <c r="B2" s="1633" t="s">
        <v>226</v>
      </c>
      <c r="S2" s="1633">
        <f>A15</f>
        <v>45237</v>
      </c>
      <c r="T2" s="1635">
        <f>S2</f>
        <v>45237</v>
      </c>
      <c r="U2" s="1635">
        <f>VLOOKUP(1,$X$2:$Y$41,2,FALSE)</f>
        <v>45017</v>
      </c>
      <c r="W2" s="1635">
        <v>41730</v>
      </c>
      <c r="X2" s="1633">
        <f>IF($T$2&lt;W2,1,0)</f>
        <v>0</v>
      </c>
      <c r="Y2" s="1635">
        <f>W2</f>
        <v>41730</v>
      </c>
      <c r="Z2" s="1633" t="s">
        <v>302</v>
      </c>
    </row>
    <row r="3" spans="1:26">
      <c r="A3" s="1633">
        <v>2</v>
      </c>
      <c r="B3" s="1633" t="s">
        <v>227</v>
      </c>
      <c r="E3" s="1633" t="s">
        <v>608</v>
      </c>
      <c r="F3" s="1633" t="s">
        <v>608</v>
      </c>
      <c r="W3" s="1635">
        <v>42004</v>
      </c>
      <c r="X3" s="1633">
        <f>IF(X2=1,0,IF($T$2&lt;W3,1,0))</f>
        <v>0</v>
      </c>
      <c r="Y3" s="1635">
        <f>W2</f>
        <v>41730</v>
      </c>
    </row>
    <row r="4" spans="1:26">
      <c r="E4" s="1635">
        <v>42401</v>
      </c>
      <c r="F4" s="1635">
        <v>42095</v>
      </c>
      <c r="W4" s="1635">
        <f>W2+365</f>
        <v>42095</v>
      </c>
      <c r="X4" s="1633">
        <f>IF(SUM($X$2:X3)=1,0,IF($T$2&lt;W4,1,0))</f>
        <v>0</v>
      </c>
      <c r="Y4" s="1635">
        <f t="shared" ref="Y4:Y40" si="0">W4</f>
        <v>42095</v>
      </c>
      <c r="Z4" s="1633" t="s">
        <v>303</v>
      </c>
    </row>
    <row r="5" spans="1:26">
      <c r="E5" s="1635">
        <v>43862</v>
      </c>
      <c r="F5" s="1635">
        <v>43556</v>
      </c>
      <c r="G5" s="958">
        <f>G6/$K$6</f>
        <v>0.25</v>
      </c>
      <c r="H5" s="958">
        <f t="shared" ref="H5:J5" si="1">H6/$K$6</f>
        <v>0.05</v>
      </c>
      <c r="I5" s="958">
        <f t="shared" si="1"/>
        <v>0.6</v>
      </c>
      <c r="J5" s="958">
        <f t="shared" si="1"/>
        <v>0.1</v>
      </c>
      <c r="K5" s="1636">
        <f>SUM(G5:J5)</f>
        <v>0.99999999999999989</v>
      </c>
      <c r="P5" s="1636"/>
      <c r="W5" s="1635">
        <f>W3+365</f>
        <v>42369</v>
      </c>
      <c r="X5" s="1633">
        <f>IF(SUM($X$2:X4)=1,0,IF($T$2&lt;W5,1,0))</f>
        <v>0</v>
      </c>
      <c r="Y5" s="1635">
        <f>W4</f>
        <v>42095</v>
      </c>
    </row>
    <row r="6" spans="1:26">
      <c r="A6" s="1633" t="s">
        <v>20</v>
      </c>
      <c r="B6" s="1633" t="s">
        <v>25</v>
      </c>
      <c r="C6" s="1633" t="s">
        <v>43</v>
      </c>
      <c r="E6" s="1635">
        <v>45323</v>
      </c>
      <c r="F6" s="1635">
        <v>45017</v>
      </c>
      <c r="G6" s="1633">
        <f>$K$7*O9</f>
        <v>120</v>
      </c>
      <c r="H6" s="1633">
        <f t="shared" ref="H6:J6" si="2">$K$7*P9</f>
        <v>24</v>
      </c>
      <c r="I6" s="1633">
        <f>$K$7*Q9</f>
        <v>288</v>
      </c>
      <c r="J6" s="1633">
        <f t="shared" si="2"/>
        <v>48</v>
      </c>
      <c r="K6" s="1633">
        <f>SUM(G6:J6)</f>
        <v>480</v>
      </c>
      <c r="P6" s="1636"/>
      <c r="W6" s="1635">
        <f>W4+366</f>
        <v>42461</v>
      </c>
      <c r="X6" s="1633">
        <f>IF(SUM($X$2:X5)=1,0,IF($T$2&lt;W6,1,0))</f>
        <v>0</v>
      </c>
      <c r="Y6" s="1635">
        <f t="shared" si="0"/>
        <v>42461</v>
      </c>
      <c r="Z6" s="1633" t="s">
        <v>304</v>
      </c>
    </row>
    <row r="7" spans="1:26">
      <c r="A7" s="1633" t="s">
        <v>21</v>
      </c>
      <c r="B7" s="1637">
        <f>C1022</f>
        <v>3534</v>
      </c>
      <c r="C7" s="1633">
        <f>B7/$B$10</f>
        <v>3.0282776349614395</v>
      </c>
      <c r="E7" s="1635">
        <v>46784</v>
      </c>
      <c r="F7" s="1635">
        <v>46478</v>
      </c>
      <c r="G7" s="1633">
        <v>125</v>
      </c>
      <c r="H7" s="1633">
        <v>115</v>
      </c>
      <c r="I7" s="1633">
        <v>125</v>
      </c>
      <c r="J7" s="1633">
        <v>115</v>
      </c>
      <c r="K7" s="1633">
        <f>SUM(G7:J7)</f>
        <v>480</v>
      </c>
      <c r="P7" s="1636"/>
      <c r="W7" s="1635">
        <f>W5+366</f>
        <v>42735</v>
      </c>
      <c r="X7" s="1633">
        <f>IF(SUM($X$2:X6)=1,0,IF($T$2&lt;W7,1,0))</f>
        <v>0</v>
      </c>
      <c r="Y7" s="1635">
        <f t="shared" ref="Y7" si="3">W6</f>
        <v>42461</v>
      </c>
    </row>
    <row r="8" spans="1:26">
      <c r="A8" s="1633" t="s">
        <v>22</v>
      </c>
      <c r="B8" s="1637">
        <f t="shared" ref="B8:B10" si="4">C1023</f>
        <v>2796</v>
      </c>
      <c r="C8" s="1633">
        <f t="shared" ref="C8:C10" si="5">B8/$B$10</f>
        <v>2.3958868894601544</v>
      </c>
      <c r="E8" s="1635">
        <v>48245</v>
      </c>
      <c r="F8" s="1635">
        <v>47939</v>
      </c>
      <c r="G8" s="1638" t="s">
        <v>13</v>
      </c>
      <c r="H8" s="1638" t="s">
        <v>49</v>
      </c>
      <c r="I8" s="1638" t="s">
        <v>15</v>
      </c>
      <c r="J8" s="1638" t="s">
        <v>16</v>
      </c>
      <c r="K8" s="1638" t="s">
        <v>50</v>
      </c>
      <c r="O8" s="1638" t="s">
        <v>13</v>
      </c>
      <c r="P8" s="1638" t="s">
        <v>49</v>
      </c>
      <c r="Q8" s="1638" t="s">
        <v>15</v>
      </c>
      <c r="R8" s="1638" t="s">
        <v>16</v>
      </c>
      <c r="S8" s="1638"/>
      <c r="W8" s="1635">
        <f t="shared" ref="W8:W41" si="6">W6+365</f>
        <v>42826</v>
      </c>
      <c r="X8" s="1633">
        <f>IF(SUM($X$2:X7)=1,0,IF($T$2&lt;W8,1,0))</f>
        <v>0</v>
      </c>
      <c r="Y8" s="1635">
        <f t="shared" si="0"/>
        <v>42826</v>
      </c>
      <c r="Z8" s="1633" t="s">
        <v>672</v>
      </c>
    </row>
    <row r="9" spans="1:26">
      <c r="A9" s="1633" t="s">
        <v>23</v>
      </c>
      <c r="B9" s="1637">
        <f t="shared" si="4"/>
        <v>2403</v>
      </c>
      <c r="C9" s="1633">
        <f t="shared" si="5"/>
        <v>2.0591259640102826</v>
      </c>
      <c r="E9" s="1635">
        <v>49706</v>
      </c>
      <c r="F9" s="1635">
        <v>49400</v>
      </c>
      <c r="G9" s="1638">
        <v>120</v>
      </c>
      <c r="H9" s="1638">
        <v>80</v>
      </c>
      <c r="I9" s="1638">
        <v>70</v>
      </c>
      <c r="J9" s="1638">
        <v>90</v>
      </c>
      <c r="K9" s="1638">
        <f>SUM(G9:J9)</f>
        <v>360</v>
      </c>
      <c r="L9" s="958">
        <f>K9/K7</f>
        <v>0.75</v>
      </c>
      <c r="O9" s="1639">
        <v>0.25</v>
      </c>
      <c r="P9" s="1639">
        <v>0.05</v>
      </c>
      <c r="Q9" s="1639">
        <v>0.6</v>
      </c>
      <c r="R9" s="1639">
        <v>0.1</v>
      </c>
      <c r="S9" s="1639">
        <f>SUM(O9:R9)</f>
        <v>0.99999999999999989</v>
      </c>
      <c r="W9" s="1635">
        <f t="shared" si="6"/>
        <v>43100</v>
      </c>
      <c r="X9" s="1633">
        <f>IF(SUM($X$2:X8)=1,0,IF($T$2&lt;W9,1,0))</f>
        <v>0</v>
      </c>
      <c r="Y9" s="1635">
        <f t="shared" ref="Y9" si="7">W8</f>
        <v>42826</v>
      </c>
    </row>
    <row r="10" spans="1:26">
      <c r="A10" s="1633" t="s">
        <v>24</v>
      </c>
      <c r="B10" s="1637">
        <f t="shared" si="4"/>
        <v>1167</v>
      </c>
      <c r="C10" s="1633">
        <f t="shared" si="5"/>
        <v>1</v>
      </c>
      <c r="E10" s="1635">
        <v>51167</v>
      </c>
      <c r="F10" s="1635">
        <v>50861</v>
      </c>
      <c r="G10" s="958">
        <f>G9/$K$9</f>
        <v>0.33333333333333331</v>
      </c>
      <c r="H10" s="958">
        <f t="shared" ref="H10:J10" si="8">H9/$K$9</f>
        <v>0.22222222222222221</v>
      </c>
      <c r="I10" s="958">
        <f t="shared" si="8"/>
        <v>0.19444444444444445</v>
      </c>
      <c r="J10" s="958">
        <f t="shared" si="8"/>
        <v>0.25</v>
      </c>
      <c r="K10" s="1636">
        <f>SUM(G10:J10)</f>
        <v>1</v>
      </c>
      <c r="W10" s="1635">
        <f t="shared" si="6"/>
        <v>43191</v>
      </c>
      <c r="X10" s="1633">
        <f>IF(SUM($X$2:X9)=1,0,IF($T$2&lt;W10,1,0))</f>
        <v>0</v>
      </c>
      <c r="Y10" s="1635">
        <f t="shared" si="0"/>
        <v>43191</v>
      </c>
      <c r="Z10" s="1633" t="s">
        <v>673</v>
      </c>
    </row>
    <row r="11" spans="1:26">
      <c r="E11" s="1635">
        <v>52628</v>
      </c>
      <c r="F11" s="1635">
        <v>52322</v>
      </c>
      <c r="G11" s="959">
        <f>G9/G7*G6</f>
        <v>115.19999999999999</v>
      </c>
      <c r="H11" s="959">
        <f t="shared" ref="H11:J11" si="9">H9/H7*H6</f>
        <v>16.695652173913043</v>
      </c>
      <c r="I11" s="959">
        <f>I9/I7*I6</f>
        <v>161.28000000000003</v>
      </c>
      <c r="J11" s="959">
        <f t="shared" si="9"/>
        <v>37.565217391304351</v>
      </c>
      <c r="K11" s="959">
        <f>SUM(G11:J11)</f>
        <v>330.74086956521739</v>
      </c>
      <c r="L11" s="958">
        <f>K11/K7</f>
        <v>0.68904347826086954</v>
      </c>
      <c r="W11" s="1635">
        <f t="shared" si="6"/>
        <v>43465</v>
      </c>
      <c r="X11" s="1633">
        <f>IF(SUM($X$2:X10)=1,0,IF($T$2&lt;W11,1,0))</f>
        <v>0</v>
      </c>
      <c r="Y11" s="1635">
        <f t="shared" ref="Y11" si="10">W10</f>
        <v>43191</v>
      </c>
    </row>
    <row r="12" spans="1:26">
      <c r="E12" s="1635">
        <v>54089</v>
      </c>
      <c r="F12" s="1635">
        <v>53783</v>
      </c>
      <c r="G12" s="958">
        <f>G11/$K$11</f>
        <v>0.34830893488137299</v>
      </c>
      <c r="H12" s="958">
        <f t="shared" ref="H12:J12" si="11">H11/$K$11</f>
        <v>5.0479555779909133E-2</v>
      </c>
      <c r="I12" s="958">
        <f t="shared" si="11"/>
        <v>0.48763250883392234</v>
      </c>
      <c r="J12" s="958">
        <f t="shared" si="11"/>
        <v>0.11357900050479557</v>
      </c>
      <c r="K12" s="1636">
        <f>SUM(G12:J12)</f>
        <v>1</v>
      </c>
      <c r="W12" s="1635">
        <f t="shared" si="6"/>
        <v>43556</v>
      </c>
      <c r="X12" s="1633">
        <f>IF(SUM($X$2:X11)=1,0,IF($T$2&lt;W12,1,0))</f>
        <v>0</v>
      </c>
      <c r="Y12" s="1635">
        <f t="shared" si="0"/>
        <v>43556</v>
      </c>
      <c r="Z12" s="1633" t="s">
        <v>674</v>
      </c>
    </row>
    <row r="13" spans="1:26">
      <c r="A13" s="1640" t="s">
        <v>613</v>
      </c>
      <c r="B13" s="1640"/>
      <c r="C13" s="1641">
        <f>C1028</f>
        <v>3</v>
      </c>
      <c r="D13" s="960">
        <f>VLOOKUP(C13,$C$15:$D$17,2,FALSE)</f>
        <v>300000</v>
      </c>
      <c r="E13" s="1635">
        <v>55550</v>
      </c>
      <c r="F13" s="1635">
        <v>55244</v>
      </c>
      <c r="W13" s="1635">
        <f t="shared" si="6"/>
        <v>43830</v>
      </c>
      <c r="X13" s="1633">
        <f>IF(SUM($X$2:X12)=1,0,IF($T$2&lt;W13,1,0))</f>
        <v>0</v>
      </c>
      <c r="Y13" s="1635">
        <f t="shared" ref="Y13" si="12">W12</f>
        <v>43556</v>
      </c>
    </row>
    <row r="14" spans="1:26">
      <c r="A14" s="1633" t="s">
        <v>671</v>
      </c>
      <c r="G14" s="958">
        <f>G9/G7</f>
        <v>0.96</v>
      </c>
      <c r="H14" s="958">
        <f t="shared" ref="H14:J14" si="13">H9/H7</f>
        <v>0.69565217391304346</v>
      </c>
      <c r="I14" s="958">
        <f t="shared" si="13"/>
        <v>0.56000000000000005</v>
      </c>
      <c r="J14" s="958">
        <f t="shared" si="13"/>
        <v>0.78260869565217395</v>
      </c>
      <c r="W14" s="1635">
        <f>W12+366</f>
        <v>43922</v>
      </c>
      <c r="X14" s="1633">
        <f>IF(SUM($X$2:X13)=1,0,IF($T$2&lt;W14,1,0))</f>
        <v>0</v>
      </c>
      <c r="Y14" s="1635">
        <f t="shared" si="0"/>
        <v>43922</v>
      </c>
      <c r="Z14" s="1633" t="s">
        <v>675</v>
      </c>
    </row>
    <row r="15" spans="1:26">
      <c r="A15" s="1633">
        <f>K1023</f>
        <v>45237</v>
      </c>
      <c r="B15" s="1635">
        <f>A15</f>
        <v>45237</v>
      </c>
      <c r="C15" s="1633">
        <v>1</v>
      </c>
      <c r="D15" s="960">
        <v>50000</v>
      </c>
      <c r="G15" s="958">
        <f>G11/G6</f>
        <v>0.95999999999999985</v>
      </c>
      <c r="H15" s="958">
        <f t="shared" ref="H15:J15" si="14">H11/H6</f>
        <v>0.69565217391304346</v>
      </c>
      <c r="I15" s="958">
        <f t="shared" si="14"/>
        <v>0.56000000000000005</v>
      </c>
      <c r="J15" s="958">
        <f t="shared" si="14"/>
        <v>0.78260869565217395</v>
      </c>
      <c r="W15" s="1635">
        <f>W13+366</f>
        <v>44196</v>
      </c>
      <c r="X15" s="1633">
        <f>IF(SUM($X$2:X14)=1,0,IF($T$2&lt;W15,1,0))</f>
        <v>0</v>
      </c>
      <c r="Y15" s="1635">
        <f t="shared" ref="Y15" si="15">W14</f>
        <v>43922</v>
      </c>
    </row>
    <row r="16" spans="1:26">
      <c r="C16" s="1633">
        <v>2</v>
      </c>
      <c r="D16" s="960">
        <v>150000</v>
      </c>
      <c r="W16" s="1635">
        <f t="shared" si="6"/>
        <v>44287</v>
      </c>
      <c r="X16" s="1633">
        <f>IF(SUM($X$2:X15)=1,0,IF($T$2&lt;W16,1,0))</f>
        <v>0</v>
      </c>
      <c r="Y16" s="1635">
        <f t="shared" si="0"/>
        <v>44287</v>
      </c>
      <c r="Z16" s="1633" t="s">
        <v>676</v>
      </c>
    </row>
    <row r="17" spans="1:36">
      <c r="C17" s="1633">
        <v>3</v>
      </c>
      <c r="D17" s="960">
        <v>300000</v>
      </c>
      <c r="W17" s="1635">
        <f t="shared" si="6"/>
        <v>44561</v>
      </c>
      <c r="X17" s="1633">
        <f>IF(SUM($X$2:X16)=1,0,IF($T$2&lt;W17,1,0))</f>
        <v>0</v>
      </c>
      <c r="Y17" s="1635">
        <f t="shared" ref="Y17" si="16">W16</f>
        <v>44287</v>
      </c>
    </row>
    <row r="18" spans="1:36">
      <c r="A18" s="1633">
        <f>IF(OR(F1023=0,G1023=0,H1023=0),0,DATEVALUE(H1023 &amp; "/" &amp; 1 &amp; "/" &amp; 1))</f>
        <v>44927</v>
      </c>
      <c r="B18" s="1635">
        <f>A18</f>
        <v>44927</v>
      </c>
      <c r="W18" s="1635">
        <f t="shared" si="6"/>
        <v>44652</v>
      </c>
      <c r="X18" s="1633">
        <f>IF(SUM($X$2:X17)=1,0,IF($T$2&lt;W18,1,0))</f>
        <v>0</v>
      </c>
      <c r="Y18" s="1635">
        <f t="shared" si="0"/>
        <v>44652</v>
      </c>
      <c r="Z18" s="1633" t="s">
        <v>677</v>
      </c>
    </row>
    <row r="19" spans="1:36">
      <c r="W19" s="1635">
        <f t="shared" si="6"/>
        <v>44926</v>
      </c>
      <c r="X19" s="1633">
        <f>IF(SUM($X$2:X18)=1,0,IF($T$2&lt;W19,1,0))</f>
        <v>0</v>
      </c>
      <c r="Y19" s="1635">
        <f t="shared" ref="Y19" si="17">W18</f>
        <v>44652</v>
      </c>
    </row>
    <row r="20" spans="1:36">
      <c r="A20" s="1635">
        <f>A18</f>
        <v>44927</v>
      </c>
      <c r="C20" s="1642">
        <f>A20</f>
        <v>44927</v>
      </c>
      <c r="D20" s="1638" t="str">
        <f>IF(($P$23-C20)&lt;0,"",($P$23-C20))</f>
        <v/>
      </c>
      <c r="E20" s="1633" t="str">
        <f>IF(D20="","",RANK(D20,$D$20:$D$215,1))</f>
        <v/>
      </c>
      <c r="F20" s="1633" t="str">
        <f>IF(A20&lt;$L$37,$K$36,IF(A20&lt;$L$38,$K$37,IF(A20&lt;$L$39,$K$38,IF(A20&lt;$L$40,$K$39,IF(A20&lt;$L$41,$K$40,$K$41)))))</f>
        <v/>
      </c>
      <c r="G20" s="1635" t="str">
        <f>VLOOKUP(F20,$K$36:$L$41,2,FALSE)</f>
        <v/>
      </c>
      <c r="H20" s="1635">
        <f>A20</f>
        <v>44927</v>
      </c>
      <c r="W20" s="1635">
        <f t="shared" si="6"/>
        <v>45017</v>
      </c>
      <c r="X20" s="1633">
        <f>IF(SUM($X$2:X19)=1,0,IF($T$2&lt;W20,1,0))</f>
        <v>0</v>
      </c>
      <c r="Y20" s="1635">
        <f t="shared" si="0"/>
        <v>45017</v>
      </c>
      <c r="Z20" s="1633" t="s">
        <v>678</v>
      </c>
    </row>
    <row r="21" spans="1:36">
      <c r="A21" s="1635">
        <f>A20+31</f>
        <v>44958</v>
      </c>
      <c r="B21" s="1633" t="b">
        <f>ISNA(VLOOKUP(A21,$E$4:$E$13,1,FALSE))</f>
        <v>1</v>
      </c>
      <c r="C21" s="1642">
        <f t="shared" ref="C21:C84" si="18">A21</f>
        <v>44958</v>
      </c>
      <c r="D21" s="1638" t="str">
        <f t="shared" ref="D21:D84" si="19">IF(($P$23-C21)&lt;0,"",($P$23-C21))</f>
        <v/>
      </c>
      <c r="E21" s="1633" t="str">
        <f t="shared" ref="E21:E84" si="20">IF(D21="","",RANK(D21,$D$20:$D$215,1))</f>
        <v/>
      </c>
      <c r="F21" s="1633" t="str">
        <f t="shared" ref="F21:F84" si="21">IF(A21&lt;$L$37,$K$36,IF(A21&lt;$L$38,$K$37,IF(A21&lt;$L$39,$K$38,IF(A21&lt;$L$40,$K$39,IF(A21&lt;$L$41,$K$40,$K$41)))))</f>
        <v/>
      </c>
      <c r="G21" s="1635" t="str">
        <f t="shared" ref="G21:G84" si="22">VLOOKUP(F21,$K$36:$L$41,2,FALSE)</f>
        <v/>
      </c>
      <c r="H21" s="1635">
        <f t="shared" ref="H21:H84" si="23">A21</f>
        <v>44958</v>
      </c>
      <c r="W21" s="1635">
        <f t="shared" si="6"/>
        <v>45291</v>
      </c>
      <c r="X21" s="1633">
        <f>IF(SUM($X$2:X20)=1,0,IF($T$2&lt;W21,1,0))</f>
        <v>1</v>
      </c>
      <c r="Y21" s="1635">
        <f t="shared" ref="Y21" si="24">W20</f>
        <v>45017</v>
      </c>
    </row>
    <row r="22" spans="1:36">
      <c r="A22" s="1635">
        <f>IF(B21=TRUE,(A21+28),(A21+29))</f>
        <v>44986</v>
      </c>
      <c r="C22" s="1642">
        <f t="shared" si="18"/>
        <v>44986</v>
      </c>
      <c r="D22" s="1638" t="str">
        <f t="shared" si="19"/>
        <v/>
      </c>
      <c r="E22" s="1633" t="str">
        <f t="shared" si="20"/>
        <v/>
      </c>
      <c r="F22" s="1633" t="str">
        <f t="shared" si="21"/>
        <v/>
      </c>
      <c r="G22" s="1635" t="str">
        <f t="shared" si="22"/>
        <v/>
      </c>
      <c r="H22" s="1635">
        <f t="shared" si="23"/>
        <v>44986</v>
      </c>
      <c r="W22" s="1635">
        <f>W20+366</f>
        <v>45383</v>
      </c>
      <c r="X22" s="1633">
        <f>IF(SUM($X$2:X21)=1,0,IF($T$2&lt;W22,1,0))</f>
        <v>0</v>
      </c>
      <c r="Y22" s="1635">
        <f t="shared" si="0"/>
        <v>45383</v>
      </c>
      <c r="Z22" s="1633" t="s">
        <v>679</v>
      </c>
    </row>
    <row r="23" spans="1:36">
      <c r="A23" s="1635">
        <f>A22+31</f>
        <v>45017</v>
      </c>
      <c r="C23" s="1642">
        <f t="shared" si="18"/>
        <v>45017</v>
      </c>
      <c r="D23" s="1638" t="str">
        <f t="shared" si="19"/>
        <v/>
      </c>
      <c r="E23" s="1633" t="str">
        <f t="shared" si="20"/>
        <v/>
      </c>
      <c r="F23" s="1633" t="str">
        <f t="shared" si="21"/>
        <v/>
      </c>
      <c r="G23" s="1635" t="str">
        <f t="shared" si="22"/>
        <v/>
      </c>
      <c r="H23" s="1635">
        <f t="shared" si="23"/>
        <v>45017</v>
      </c>
      <c r="O23" s="1643" t="s">
        <v>609</v>
      </c>
      <c r="P23" s="1644">
        <f>'F1  Cover'!L8</f>
        <v>44804</v>
      </c>
      <c r="W23" s="1635">
        <f>W21+366</f>
        <v>45657</v>
      </c>
      <c r="X23" s="1633">
        <f>IF(SUM($X$2:X22)=1,0,IF($T$2&lt;W23,1,0))</f>
        <v>0</v>
      </c>
      <c r="Y23" s="1635">
        <f t="shared" ref="Y23" si="25">W22</f>
        <v>45383</v>
      </c>
    </row>
    <row r="24" spans="1:36" ht="45">
      <c r="A24" s="1635">
        <f>A23+30</f>
        <v>45047</v>
      </c>
      <c r="C24" s="1642">
        <f t="shared" si="18"/>
        <v>45047</v>
      </c>
      <c r="D24" s="1638" t="str">
        <f t="shared" si="19"/>
        <v/>
      </c>
      <c r="E24" s="1633" t="str">
        <f t="shared" si="20"/>
        <v/>
      </c>
      <c r="F24" s="1633" t="str">
        <f t="shared" si="21"/>
        <v/>
      </c>
      <c r="G24" s="1635" t="str">
        <f t="shared" si="22"/>
        <v/>
      </c>
      <c r="H24" s="1635">
        <f t="shared" si="23"/>
        <v>45047</v>
      </c>
      <c r="K24" s="1645" t="s">
        <v>222</v>
      </c>
      <c r="L24" s="1645" t="str">
        <f>'ADJ-1'!A4</f>
        <v xml:space="preserve"> Design stage Adjustment</v>
      </c>
      <c r="M24" s="1645" t="str">
        <f>'ADJ-2'!A4</f>
        <v>Delay Adjustment</v>
      </c>
      <c r="N24" s="1646" t="str">
        <f>'ADJ-3'!A4</f>
        <v>Tender Value Adjustment</v>
      </c>
      <c r="O24" s="1645" t="str">
        <f>'ADJ-4'!A4</f>
        <v>Takeover Value Adjustment</v>
      </c>
      <c r="P24" s="1645" t="str">
        <f>'ADJ-5'!A4</f>
        <v>Complete project Value Adjustment</v>
      </c>
      <c r="W24" s="1635">
        <f t="shared" si="6"/>
        <v>45748</v>
      </c>
      <c r="X24" s="1633">
        <f>IF(SUM($X$2:X23)=1,0,IF($T$2&lt;W24,1,0))</f>
        <v>0</v>
      </c>
      <c r="Y24" s="1635">
        <f t="shared" si="0"/>
        <v>45748</v>
      </c>
      <c r="Z24" s="1633" t="s">
        <v>680</v>
      </c>
    </row>
    <row r="25" spans="1:36">
      <c r="A25" s="1635">
        <f>A24+31</f>
        <v>45078</v>
      </c>
      <c r="C25" s="1642">
        <f t="shared" si="18"/>
        <v>45078</v>
      </c>
      <c r="D25" s="1638" t="str">
        <f t="shared" si="19"/>
        <v/>
      </c>
      <c r="E25" s="1633" t="str">
        <f t="shared" si="20"/>
        <v/>
      </c>
      <c r="F25" s="1633" t="str">
        <f t="shared" si="21"/>
        <v/>
      </c>
      <c r="G25" s="1635" t="str">
        <f t="shared" si="22"/>
        <v/>
      </c>
      <c r="H25" s="1635">
        <f t="shared" si="23"/>
        <v>45078</v>
      </c>
      <c r="K25" s="1635">
        <f>B15</f>
        <v>45237</v>
      </c>
      <c r="L25" s="1635">
        <f>IF('ADJ-1'!$I$7=0,401765,'ADJ-1'!$I$7)</f>
        <v>401765</v>
      </c>
      <c r="M25" s="1635">
        <f>IF('ADJ-2'!$I$7=0,401766,'ADJ-2'!$I$7)</f>
        <v>401766</v>
      </c>
      <c r="N25" s="1635">
        <f>IF('ADJ-3'!$I$7=0,401767,'ADJ-3'!$I$7)</f>
        <v>401767</v>
      </c>
      <c r="O25" s="1635">
        <f>IF('ADJ-4'!$I$7=0,401767,'ADJ-4'!$I$7)</f>
        <v>401767</v>
      </c>
      <c r="P25" s="1635">
        <f>IF('ADJ-5'!$I$7=0,401768,'ADJ-5'!$I$7)</f>
        <v>401768</v>
      </c>
      <c r="R25" s="1647"/>
      <c r="W25" s="1635">
        <f t="shared" si="6"/>
        <v>46022</v>
      </c>
      <c r="X25" s="1633">
        <f>IF(SUM($X$2:X24)=1,0,IF($T$2&lt;W25,1,0))</f>
        <v>0</v>
      </c>
      <c r="Y25" s="1635">
        <f t="shared" ref="Y25" si="26">W24</f>
        <v>45748</v>
      </c>
    </row>
    <row r="26" spans="1:36">
      <c r="A26" s="1635">
        <f>A25+30</f>
        <v>45108</v>
      </c>
      <c r="C26" s="1642">
        <f t="shared" si="18"/>
        <v>45108</v>
      </c>
      <c r="D26" s="1638" t="str">
        <f t="shared" si="19"/>
        <v/>
      </c>
      <c r="E26" s="1633" t="str">
        <f t="shared" si="20"/>
        <v/>
      </c>
      <c r="F26" s="1633" t="str">
        <f t="shared" si="21"/>
        <v/>
      </c>
      <c r="G26" s="1635" t="str">
        <f t="shared" si="22"/>
        <v/>
      </c>
      <c r="H26" s="1635">
        <f t="shared" si="23"/>
        <v>45108</v>
      </c>
      <c r="K26" s="1633">
        <f>$P$23-K25</f>
        <v>-433</v>
      </c>
      <c r="L26" s="1633">
        <f t="shared" ref="L26:P26" si="27">$P$23-L25</f>
        <v>-356961</v>
      </c>
      <c r="M26" s="1633">
        <f t="shared" si="27"/>
        <v>-356962</v>
      </c>
      <c r="N26" s="1633">
        <f t="shared" si="27"/>
        <v>-356963</v>
      </c>
      <c r="O26" s="1633">
        <f t="shared" si="27"/>
        <v>-356963</v>
      </c>
      <c r="P26" s="1633">
        <f t="shared" si="27"/>
        <v>-356964</v>
      </c>
      <c r="W26" s="1635">
        <f t="shared" si="6"/>
        <v>46113</v>
      </c>
      <c r="X26" s="1633">
        <f>IF(SUM($X$2:X25)=1,0,IF($T$2&lt;W26,1,0))</f>
        <v>0</v>
      </c>
      <c r="Y26" s="1635">
        <f t="shared" si="0"/>
        <v>46113</v>
      </c>
      <c r="Z26" s="1633" t="s">
        <v>681</v>
      </c>
    </row>
    <row r="27" spans="1:36">
      <c r="A27" s="1635">
        <f>A26+31</f>
        <v>45139</v>
      </c>
      <c r="C27" s="1642">
        <f t="shared" si="18"/>
        <v>45139</v>
      </c>
      <c r="D27" s="1638" t="str">
        <f t="shared" si="19"/>
        <v/>
      </c>
      <c r="E27" s="1633" t="str">
        <f t="shared" si="20"/>
        <v/>
      </c>
      <c r="F27" s="1633" t="str">
        <f t="shared" si="21"/>
        <v/>
      </c>
      <c r="G27" s="1635" t="str">
        <f t="shared" si="22"/>
        <v/>
      </c>
      <c r="H27" s="1635">
        <f t="shared" si="23"/>
        <v>45139</v>
      </c>
      <c r="K27" s="1638">
        <f>RANK(K26,$K$26:$P$26)</f>
        <v>1</v>
      </c>
      <c r="L27" s="1638">
        <f t="shared" ref="L27:P27" si="28">RANK(L26,$K$26:$P$26)</f>
        <v>2</v>
      </c>
      <c r="M27" s="1638">
        <f t="shared" si="28"/>
        <v>3</v>
      </c>
      <c r="N27" s="1638">
        <f t="shared" si="28"/>
        <v>4</v>
      </c>
      <c r="O27" s="1638">
        <f t="shared" si="28"/>
        <v>4</v>
      </c>
      <c r="P27" s="1638">
        <f t="shared" si="28"/>
        <v>6</v>
      </c>
      <c r="W27" s="1635">
        <f t="shared" si="6"/>
        <v>46387</v>
      </c>
      <c r="X27" s="1633">
        <f>IF(SUM($X$2:X26)=1,0,IF($T$2&lt;W27,1,0))</f>
        <v>0</v>
      </c>
      <c r="Y27" s="1635">
        <f t="shared" ref="Y27" si="29">W26</f>
        <v>46113</v>
      </c>
    </row>
    <row r="28" spans="1:36">
      <c r="A28" s="1635">
        <f>A27+31</f>
        <v>45170</v>
      </c>
      <c r="C28" s="1642">
        <f t="shared" si="18"/>
        <v>45170</v>
      </c>
      <c r="D28" s="1638" t="str">
        <f t="shared" si="19"/>
        <v/>
      </c>
      <c r="E28" s="1633" t="str">
        <f t="shared" si="20"/>
        <v/>
      </c>
      <c r="F28" s="1633" t="str">
        <f t="shared" si="21"/>
        <v/>
      </c>
      <c r="G28" s="1635" t="str">
        <f t="shared" si="22"/>
        <v/>
      </c>
      <c r="H28" s="1635">
        <f t="shared" si="23"/>
        <v>45170</v>
      </c>
      <c r="K28" s="1633" t="str">
        <f>IF(K26&gt;=0,K26,"")</f>
        <v/>
      </c>
      <c r="L28" s="1633" t="str">
        <f t="shared" ref="L28:P28" si="30">IF(L26&gt;=0,L26,"")</f>
        <v/>
      </c>
      <c r="M28" s="1633" t="str">
        <f t="shared" si="30"/>
        <v/>
      </c>
      <c r="N28" s="1633" t="str">
        <f t="shared" si="30"/>
        <v/>
      </c>
      <c r="O28" s="1633" t="str">
        <f t="shared" si="30"/>
        <v/>
      </c>
      <c r="P28" s="1633" t="str">
        <f t="shared" si="30"/>
        <v/>
      </c>
      <c r="W28" s="1635">
        <f t="shared" si="6"/>
        <v>46478</v>
      </c>
      <c r="X28" s="1633">
        <f>IF(SUM($X$2:X27)=1,0,IF($T$2&lt;W28,1,0))</f>
        <v>0</v>
      </c>
      <c r="Y28" s="1635">
        <f t="shared" si="0"/>
        <v>46478</v>
      </c>
      <c r="Z28" s="1633" t="s">
        <v>682</v>
      </c>
    </row>
    <row r="29" spans="1:36">
      <c r="A29" s="1635">
        <f>A28+30</f>
        <v>45200</v>
      </c>
      <c r="C29" s="1642">
        <f t="shared" si="18"/>
        <v>45200</v>
      </c>
      <c r="D29" s="1638" t="str">
        <f t="shared" si="19"/>
        <v/>
      </c>
      <c r="E29" s="1633" t="str">
        <f t="shared" si="20"/>
        <v/>
      </c>
      <c r="F29" s="1633" t="str">
        <f t="shared" si="21"/>
        <v/>
      </c>
      <c r="G29" s="1635" t="str">
        <f t="shared" si="22"/>
        <v/>
      </c>
      <c r="H29" s="1635">
        <f t="shared" si="23"/>
        <v>45200</v>
      </c>
      <c r="K29" s="1633" t="str">
        <f>IF(K28="","",RANK(K28,$K$28:$P$28,0))</f>
        <v/>
      </c>
      <c r="L29" s="1633" t="str">
        <f t="shared" ref="L29:P29" si="31">IF(L28="","",RANK(L28,$K$28:$P$28,0))</f>
        <v/>
      </c>
      <c r="M29" s="1633" t="str">
        <f t="shared" si="31"/>
        <v/>
      </c>
      <c r="N29" s="1633" t="str">
        <f t="shared" si="31"/>
        <v/>
      </c>
      <c r="O29" s="1633" t="str">
        <f t="shared" si="31"/>
        <v/>
      </c>
      <c r="P29" s="1633" t="str">
        <f t="shared" si="31"/>
        <v/>
      </c>
      <c r="W29" s="1635">
        <f t="shared" si="6"/>
        <v>46752</v>
      </c>
      <c r="X29" s="1633">
        <f>IF(SUM($X$2:X28)=1,0,IF($T$2&lt;W29,1,0))</f>
        <v>0</v>
      </c>
      <c r="Y29" s="1635">
        <f t="shared" ref="Y29" si="32">W28</f>
        <v>46478</v>
      </c>
      <c r="AJ29" s="1648"/>
    </row>
    <row r="30" spans="1:36">
      <c r="A30" s="1635">
        <f>A29+31</f>
        <v>45231</v>
      </c>
      <c r="C30" s="1642">
        <f t="shared" si="18"/>
        <v>45231</v>
      </c>
      <c r="D30" s="1638" t="str">
        <f t="shared" si="19"/>
        <v/>
      </c>
      <c r="E30" s="1633" t="str">
        <f t="shared" si="20"/>
        <v/>
      </c>
      <c r="F30" s="1633" t="str">
        <f t="shared" si="21"/>
        <v/>
      </c>
      <c r="G30" s="1635" t="str">
        <f t="shared" si="22"/>
        <v/>
      </c>
      <c r="H30" s="1635">
        <f t="shared" si="23"/>
        <v>45231</v>
      </c>
      <c r="W30" s="1635">
        <f>W28+366</f>
        <v>46844</v>
      </c>
      <c r="X30" s="1633">
        <f>IF(SUM($X$2:X29)=1,0,IF($T$2&lt;W30,1,0))</f>
        <v>0</v>
      </c>
      <c r="Y30" s="1635">
        <f t="shared" si="0"/>
        <v>46844</v>
      </c>
      <c r="Z30" s="1633" t="s">
        <v>683</v>
      </c>
      <c r="AJ30" s="1648"/>
    </row>
    <row r="31" spans="1:36">
      <c r="A31" s="1635">
        <f>A30+30</f>
        <v>45261</v>
      </c>
      <c r="C31" s="1642">
        <f t="shared" si="18"/>
        <v>45261</v>
      </c>
      <c r="D31" s="1638" t="str">
        <f t="shared" si="19"/>
        <v/>
      </c>
      <c r="E31" s="1633" t="str">
        <f t="shared" si="20"/>
        <v/>
      </c>
      <c r="F31" s="1633" t="str">
        <f t="shared" si="21"/>
        <v/>
      </c>
      <c r="G31" s="1635" t="str">
        <f t="shared" si="22"/>
        <v/>
      </c>
      <c r="H31" s="1635">
        <f t="shared" si="23"/>
        <v>45261</v>
      </c>
      <c r="K31" s="1649" t="str">
        <f t="shared" ref="K31:P31" si="33">IF(K28="","",K25)</f>
        <v/>
      </c>
      <c r="L31" s="1649" t="str">
        <f t="shared" si="33"/>
        <v/>
      </c>
      <c r="M31" s="1649" t="str">
        <f t="shared" si="33"/>
        <v/>
      </c>
      <c r="N31" s="1649" t="str">
        <f t="shared" si="33"/>
        <v/>
      </c>
      <c r="O31" s="1649" t="str">
        <f t="shared" si="33"/>
        <v/>
      </c>
      <c r="P31" s="1649" t="str">
        <f t="shared" si="33"/>
        <v/>
      </c>
      <c r="W31" s="1635">
        <f>W29+366</f>
        <v>47118</v>
      </c>
      <c r="X31" s="1633">
        <f>IF(SUM($X$2:X30)=1,0,IF($T$2&lt;W31,1,0))</f>
        <v>0</v>
      </c>
      <c r="Y31" s="1635">
        <f t="shared" ref="Y31" si="34">W30</f>
        <v>46844</v>
      </c>
      <c r="AJ31" s="1648"/>
    </row>
    <row r="32" spans="1:36">
      <c r="A32" s="1635">
        <f>A31+31</f>
        <v>45292</v>
      </c>
      <c r="C32" s="1642">
        <f t="shared" si="18"/>
        <v>45292</v>
      </c>
      <c r="D32" s="1638" t="str">
        <f t="shared" si="19"/>
        <v/>
      </c>
      <c r="E32" s="1633" t="str">
        <f t="shared" si="20"/>
        <v/>
      </c>
      <c r="F32" s="1633" t="str">
        <f t="shared" si="21"/>
        <v/>
      </c>
      <c r="G32" s="1635" t="str">
        <f t="shared" si="22"/>
        <v/>
      </c>
      <c r="H32" s="1635">
        <f t="shared" si="23"/>
        <v>45292</v>
      </c>
      <c r="K32" s="1633">
        <f t="shared" ref="K32:P32" si="35">IF(K26&lt;0,K26,"")</f>
        <v>-433</v>
      </c>
      <c r="L32" s="1633">
        <f t="shared" si="35"/>
        <v>-356961</v>
      </c>
      <c r="M32" s="1633">
        <f t="shared" si="35"/>
        <v>-356962</v>
      </c>
      <c r="N32" s="1633">
        <f t="shared" si="35"/>
        <v>-356963</v>
      </c>
      <c r="O32" s="1633">
        <f t="shared" si="35"/>
        <v>-356963</v>
      </c>
      <c r="P32" s="1633">
        <f t="shared" si="35"/>
        <v>-356964</v>
      </c>
      <c r="W32" s="1635">
        <f t="shared" si="6"/>
        <v>47209</v>
      </c>
      <c r="X32" s="1633">
        <f>IF(SUM($X$2:X31)=1,0,IF($T$2&lt;W32,1,0))</f>
        <v>0</v>
      </c>
      <c r="Y32" s="1635">
        <f t="shared" si="0"/>
        <v>47209</v>
      </c>
      <c r="Z32" s="1633" t="s">
        <v>684</v>
      </c>
      <c r="AJ32" s="1648"/>
    </row>
    <row r="33" spans="1:302">
      <c r="A33" s="1635">
        <f>A32+31</f>
        <v>45323</v>
      </c>
      <c r="B33" s="1633" t="b">
        <f>ISNA(VLOOKUP(A33,$E$4:$E$13,1,FALSE))</f>
        <v>0</v>
      </c>
      <c r="C33" s="1642">
        <f t="shared" si="18"/>
        <v>45323</v>
      </c>
      <c r="D33" s="1638" t="str">
        <f t="shared" si="19"/>
        <v/>
      </c>
      <c r="E33" s="1633" t="str">
        <f t="shared" si="20"/>
        <v/>
      </c>
      <c r="F33" s="1633" t="str">
        <f t="shared" si="21"/>
        <v/>
      </c>
      <c r="G33" s="1635" t="str">
        <f t="shared" si="22"/>
        <v/>
      </c>
      <c r="H33" s="1635">
        <f t="shared" si="23"/>
        <v>45323</v>
      </c>
      <c r="K33" s="1633" t="str">
        <f>K24</f>
        <v>Original</v>
      </c>
      <c r="L33" s="1633" t="str">
        <f t="shared" ref="L33:P33" si="36">L24</f>
        <v xml:space="preserve"> Design stage Adjustment</v>
      </c>
      <c r="M33" s="1633" t="str">
        <f t="shared" si="36"/>
        <v>Delay Adjustment</v>
      </c>
      <c r="N33" s="1633" t="str">
        <f t="shared" si="36"/>
        <v>Tender Value Adjustment</v>
      </c>
      <c r="O33" s="1633" t="str">
        <f t="shared" si="36"/>
        <v>Takeover Value Adjustment</v>
      </c>
      <c r="P33" s="1633" t="str">
        <f t="shared" si="36"/>
        <v>Complete project Value Adjustment</v>
      </c>
      <c r="W33" s="1635">
        <f t="shared" si="6"/>
        <v>47483</v>
      </c>
      <c r="X33" s="1633">
        <f>IF(SUM($X$2:X32)=1,0,IF($T$2&lt;W33,1,0))</f>
        <v>0</v>
      </c>
      <c r="Y33" s="1635">
        <f t="shared" ref="Y33" si="37">W32</f>
        <v>47209</v>
      </c>
      <c r="AJ33" s="1648"/>
    </row>
    <row r="34" spans="1:302">
      <c r="A34" s="1635">
        <f>IF(B33=TRUE,(A33+28),(A33+29))</f>
        <v>45352</v>
      </c>
      <c r="C34" s="1642">
        <f t="shared" si="18"/>
        <v>45352</v>
      </c>
      <c r="D34" s="1638" t="str">
        <f t="shared" si="19"/>
        <v/>
      </c>
      <c r="E34" s="1633" t="str">
        <f t="shared" si="20"/>
        <v/>
      </c>
      <c r="F34" s="1633" t="str">
        <f t="shared" si="21"/>
        <v/>
      </c>
      <c r="G34" s="1635" t="str">
        <f t="shared" si="22"/>
        <v/>
      </c>
      <c r="H34" s="1635">
        <f t="shared" si="23"/>
        <v>45352</v>
      </c>
      <c r="W34" s="1635">
        <f t="shared" si="6"/>
        <v>47574</v>
      </c>
      <c r="X34" s="1633">
        <f>IF(SUM($X$2:X33)=1,0,IF($T$2&lt;W34,1,0))</f>
        <v>0</v>
      </c>
      <c r="Y34" s="1635">
        <f t="shared" si="0"/>
        <v>47574</v>
      </c>
      <c r="Z34" s="1633" t="s">
        <v>685</v>
      </c>
      <c r="AJ34" s="1648"/>
    </row>
    <row r="35" spans="1:302">
      <c r="A35" s="1635">
        <f>A34+31</f>
        <v>45383</v>
      </c>
      <c r="C35" s="1642">
        <f t="shared" si="18"/>
        <v>45383</v>
      </c>
      <c r="D35" s="1638" t="str">
        <f t="shared" si="19"/>
        <v/>
      </c>
      <c r="E35" s="1633" t="str">
        <f t="shared" si="20"/>
        <v/>
      </c>
      <c r="F35" s="1633" t="str">
        <f t="shared" si="21"/>
        <v/>
      </c>
      <c r="G35" s="1635" t="str">
        <f t="shared" si="22"/>
        <v/>
      </c>
      <c r="H35" s="1635">
        <f t="shared" si="23"/>
        <v>45383</v>
      </c>
      <c r="W35" s="1635">
        <f t="shared" si="6"/>
        <v>47848</v>
      </c>
      <c r="X35" s="1633">
        <f>IF(SUM($X$2:X34)=1,0,IF($T$2&lt;W35,1,0))</f>
        <v>0</v>
      </c>
      <c r="Y35" s="1635">
        <f t="shared" ref="Y35" si="38">W34</f>
        <v>47574</v>
      </c>
      <c r="AJ35" s="1648"/>
    </row>
    <row r="36" spans="1:302">
      <c r="A36" s="1635">
        <f>A35+30</f>
        <v>45413</v>
      </c>
      <c r="C36" s="1642">
        <f t="shared" si="18"/>
        <v>45413</v>
      </c>
      <c r="D36" s="1638" t="str">
        <f t="shared" si="19"/>
        <v/>
      </c>
      <c r="E36" s="1633" t="str">
        <f t="shared" si="20"/>
        <v/>
      </c>
      <c r="F36" s="1633" t="str">
        <f t="shared" si="21"/>
        <v/>
      </c>
      <c r="G36" s="1635" t="str">
        <f t="shared" si="22"/>
        <v/>
      </c>
      <c r="H36" s="1635">
        <f t="shared" si="23"/>
        <v>45413</v>
      </c>
      <c r="J36" s="1633">
        <v>1</v>
      </c>
      <c r="K36" s="1633" t="str">
        <f t="shared" ref="K36:K38" si="39">IF(ISNA(HLOOKUP(J36,$K$29:$P$33,5,FALSE))=TRUE,"",(HLOOKUP(J36,$K$29:$P$33,5,FALSE)))</f>
        <v/>
      </c>
      <c r="L36" s="1649" t="str">
        <f>IF(ISNA(HLOOKUP(J36,$K$29:$P$33,3,FALSE))=TRUE,"",(HLOOKUP(J36,$K$29:$P$33,3,FALSE)))</f>
        <v/>
      </c>
      <c r="W36" s="1635">
        <f t="shared" si="6"/>
        <v>47939</v>
      </c>
      <c r="X36" s="1633">
        <f>IF(SUM($X$2:X35)=1,0,IF($T$2&lt;W36,1,0))</f>
        <v>0</v>
      </c>
      <c r="Y36" s="1635">
        <f t="shared" si="0"/>
        <v>47939</v>
      </c>
      <c r="Z36" s="1633" t="s">
        <v>686</v>
      </c>
      <c r="AJ36" s="1648"/>
    </row>
    <row r="37" spans="1:302">
      <c r="A37" s="1635">
        <f>A36+31</f>
        <v>45444</v>
      </c>
      <c r="C37" s="1642">
        <f t="shared" si="18"/>
        <v>45444</v>
      </c>
      <c r="D37" s="1638" t="str">
        <f t="shared" si="19"/>
        <v/>
      </c>
      <c r="E37" s="1633" t="str">
        <f t="shared" si="20"/>
        <v/>
      </c>
      <c r="F37" s="1633" t="str">
        <f t="shared" si="21"/>
        <v/>
      </c>
      <c r="G37" s="1635" t="str">
        <f t="shared" si="22"/>
        <v/>
      </c>
      <c r="H37" s="1635">
        <f t="shared" si="23"/>
        <v>45444</v>
      </c>
      <c r="J37" s="1633">
        <v>2</v>
      </c>
      <c r="K37" s="1633" t="str">
        <f t="shared" si="39"/>
        <v/>
      </c>
      <c r="L37" s="1649" t="str">
        <f t="shared" ref="L37:L41" si="40">IF(ISNA(HLOOKUP(J37,$K$29:$P$33,3,FALSE))=TRUE,"",(HLOOKUP(J37,$K$29:$P$33,3,FALSE)))</f>
        <v/>
      </c>
      <c r="W37" s="1635">
        <f t="shared" si="6"/>
        <v>48213</v>
      </c>
      <c r="X37" s="1633">
        <f>IF(SUM($X$2:X36)=1,0,IF($T$2&lt;W37,1,0))</f>
        <v>0</v>
      </c>
      <c r="Y37" s="1635">
        <f t="shared" ref="Y37" si="41">W36</f>
        <v>47939</v>
      </c>
      <c r="AJ37" s="1648"/>
    </row>
    <row r="38" spans="1:302">
      <c r="A38" s="1635">
        <f>A37+30</f>
        <v>45474</v>
      </c>
      <c r="C38" s="1642">
        <f t="shared" si="18"/>
        <v>45474</v>
      </c>
      <c r="D38" s="1638" t="str">
        <f t="shared" si="19"/>
        <v/>
      </c>
      <c r="E38" s="1633" t="str">
        <f t="shared" si="20"/>
        <v/>
      </c>
      <c r="F38" s="1633" t="str">
        <f t="shared" si="21"/>
        <v/>
      </c>
      <c r="G38" s="1635" t="str">
        <f t="shared" si="22"/>
        <v/>
      </c>
      <c r="H38" s="1635">
        <f t="shared" si="23"/>
        <v>45474</v>
      </c>
      <c r="J38" s="1633">
        <v>3</v>
      </c>
      <c r="K38" s="1633" t="str">
        <f t="shared" si="39"/>
        <v/>
      </c>
      <c r="L38" s="1649" t="str">
        <f t="shared" si="40"/>
        <v/>
      </c>
      <c r="W38" s="1635">
        <f>W36+366</f>
        <v>48305</v>
      </c>
      <c r="X38" s="1633">
        <f>IF(SUM($X$2:X37)=1,0,IF($T$2&lt;W38,1,0))</f>
        <v>0</v>
      </c>
      <c r="Y38" s="1635">
        <f t="shared" si="0"/>
        <v>48305</v>
      </c>
      <c r="Z38" s="1633" t="s">
        <v>687</v>
      </c>
      <c r="AJ38" s="1648"/>
    </row>
    <row r="39" spans="1:302" ht="16.5">
      <c r="A39" s="1635">
        <f>A38+31</f>
        <v>45505</v>
      </c>
      <c r="C39" s="1642">
        <f t="shared" si="18"/>
        <v>45505</v>
      </c>
      <c r="D39" s="1638" t="str">
        <f t="shared" si="19"/>
        <v/>
      </c>
      <c r="E39" s="1633" t="str">
        <f t="shared" si="20"/>
        <v/>
      </c>
      <c r="F39" s="1633" t="str">
        <f t="shared" si="21"/>
        <v/>
      </c>
      <c r="G39" s="1635" t="str">
        <f t="shared" si="22"/>
        <v/>
      </c>
      <c r="H39" s="1635">
        <f t="shared" si="23"/>
        <v>45505</v>
      </c>
      <c r="J39" s="1633">
        <v>4</v>
      </c>
      <c r="K39" s="1633" t="str">
        <f>IF(ISNA(HLOOKUP(J39,$K$29:$P$33,5,FALSE))=TRUE,"",(HLOOKUP(J39,$K$29:$P$33,5,FALSE)))</f>
        <v/>
      </c>
      <c r="L39" s="1649" t="str">
        <f t="shared" si="40"/>
        <v/>
      </c>
      <c r="W39" s="1635">
        <f>W37+366</f>
        <v>48579</v>
      </c>
      <c r="X39" s="1633">
        <f>IF(SUM($X$2:X38)=1,0,IF($T$2&lt;W39,1,0))</f>
        <v>0</v>
      </c>
      <c r="Y39" s="1635">
        <f t="shared" ref="Y39" si="42">W38</f>
        <v>48305</v>
      </c>
      <c r="AJ39" s="1650"/>
    </row>
    <row r="40" spans="1:302" ht="16.5">
      <c r="A40" s="1635">
        <f>A39+31</f>
        <v>45536</v>
      </c>
      <c r="C40" s="1642">
        <f t="shared" si="18"/>
        <v>45536</v>
      </c>
      <c r="D40" s="1638" t="str">
        <f t="shared" si="19"/>
        <v/>
      </c>
      <c r="E40" s="1633" t="str">
        <f t="shared" si="20"/>
        <v/>
      </c>
      <c r="F40" s="1633" t="str">
        <f t="shared" si="21"/>
        <v/>
      </c>
      <c r="G40" s="1635" t="str">
        <f t="shared" si="22"/>
        <v/>
      </c>
      <c r="H40" s="1635">
        <f t="shared" si="23"/>
        <v>45536</v>
      </c>
      <c r="J40" s="1633">
        <v>5</v>
      </c>
      <c r="K40" s="1633" t="str">
        <f t="shared" ref="K40:K41" si="43">IF(ISNA(HLOOKUP(J40,$K$29:$P$33,5,FALSE))=TRUE,"",(HLOOKUP(J40,$K$29:$P$33,5,FALSE)))</f>
        <v/>
      </c>
      <c r="L40" s="1649" t="str">
        <f t="shared" si="40"/>
        <v/>
      </c>
      <c r="W40" s="1635">
        <f t="shared" si="6"/>
        <v>48670</v>
      </c>
      <c r="X40" s="1633">
        <f>IF(SUM($X$2:X39)=1,0,IF($T$2&lt;W40,1,0))</f>
        <v>0</v>
      </c>
      <c r="Y40" s="1635">
        <f t="shared" si="0"/>
        <v>48670</v>
      </c>
      <c r="Z40" s="1633" t="s">
        <v>688</v>
      </c>
      <c r="AJ40" s="1650"/>
    </row>
    <row r="41" spans="1:302">
      <c r="A41" s="1635">
        <f>A40+30</f>
        <v>45566</v>
      </c>
      <c r="C41" s="1642">
        <f t="shared" si="18"/>
        <v>45566</v>
      </c>
      <c r="D41" s="1638" t="str">
        <f t="shared" si="19"/>
        <v/>
      </c>
      <c r="E41" s="1633" t="str">
        <f t="shared" si="20"/>
        <v/>
      </c>
      <c r="F41" s="1633" t="str">
        <f t="shared" si="21"/>
        <v/>
      </c>
      <c r="G41" s="1635" t="str">
        <f t="shared" si="22"/>
        <v/>
      </c>
      <c r="H41" s="1635">
        <f t="shared" si="23"/>
        <v>45566</v>
      </c>
      <c r="J41" s="1633">
        <v>6</v>
      </c>
      <c r="K41" s="1633" t="str">
        <f t="shared" si="43"/>
        <v/>
      </c>
      <c r="L41" s="1649" t="str">
        <f t="shared" si="40"/>
        <v/>
      </c>
      <c r="W41" s="1635">
        <f t="shared" si="6"/>
        <v>48944</v>
      </c>
      <c r="X41" s="1633">
        <f>IF(SUM($X$2:X40)=1,0,IF($T$2&lt;W41,1,0))</f>
        <v>0</v>
      </c>
      <c r="Y41" s="1635">
        <f t="shared" ref="Y41" si="44">W40</f>
        <v>48670</v>
      </c>
    </row>
    <row r="42" spans="1:302">
      <c r="A42" s="1635">
        <f>A41+31</f>
        <v>45597</v>
      </c>
      <c r="C42" s="1642">
        <f t="shared" si="18"/>
        <v>45597</v>
      </c>
      <c r="D42" s="1638" t="str">
        <f t="shared" si="19"/>
        <v/>
      </c>
      <c r="E42" s="1633" t="str">
        <f t="shared" si="20"/>
        <v/>
      </c>
      <c r="F42" s="1633" t="str">
        <f t="shared" si="21"/>
        <v/>
      </c>
      <c r="G42" s="1635" t="str">
        <f t="shared" si="22"/>
        <v/>
      </c>
      <c r="H42" s="1635">
        <f t="shared" si="23"/>
        <v>45597</v>
      </c>
      <c r="Y42" s="1651"/>
    </row>
    <row r="43" spans="1:302">
      <c r="A43" s="1635">
        <f>A42+30</f>
        <v>45627</v>
      </c>
      <c r="C43" s="1642">
        <f t="shared" si="18"/>
        <v>45627</v>
      </c>
      <c r="D43" s="1638" t="str">
        <f t="shared" si="19"/>
        <v/>
      </c>
      <c r="E43" s="1633" t="str">
        <f t="shared" si="20"/>
        <v/>
      </c>
      <c r="F43" s="1633" t="str">
        <f t="shared" si="21"/>
        <v/>
      </c>
      <c r="G43" s="1635" t="str">
        <f t="shared" si="22"/>
        <v/>
      </c>
      <c r="H43" s="1635">
        <f t="shared" si="23"/>
        <v>45627</v>
      </c>
    </row>
    <row r="44" spans="1:302">
      <c r="A44" s="1635">
        <f>A43+31</f>
        <v>45658</v>
      </c>
      <c r="C44" s="1642">
        <f t="shared" si="18"/>
        <v>45658</v>
      </c>
      <c r="D44" s="1638" t="str">
        <f t="shared" si="19"/>
        <v/>
      </c>
      <c r="E44" s="1633" t="str">
        <f t="shared" si="20"/>
        <v/>
      </c>
      <c r="F44" s="1633" t="str">
        <f t="shared" si="21"/>
        <v/>
      </c>
      <c r="G44" s="1635" t="str">
        <f t="shared" si="22"/>
        <v/>
      </c>
      <c r="H44" s="1635">
        <f t="shared" si="23"/>
        <v>45658</v>
      </c>
      <c r="J44" s="1633">
        <v>2</v>
      </c>
      <c r="K44" s="1635" t="e">
        <f>VLOOKUP(J44,$E$20:$H$215,4,FALSE)</f>
        <v>#N/A</v>
      </c>
      <c r="L44" s="1633" t="s">
        <v>385</v>
      </c>
      <c r="M44" s="1633" t="e">
        <f>VLOOKUP(J44,$E$20:$G$215,2,FALSE)</f>
        <v>#N/A</v>
      </c>
      <c r="N44" s="1649" t="e">
        <f>VLOOKUP(J44,$E$20:$G$215,3,FALSE)</f>
        <v>#N/A</v>
      </c>
    </row>
    <row r="45" spans="1:302">
      <c r="A45" s="1635">
        <f>A44+31</f>
        <v>45689</v>
      </c>
      <c r="B45" s="1633" t="b">
        <f>ISNA(VLOOKUP(A45,$E$4:$E$13,1,FALSE))</f>
        <v>1</v>
      </c>
      <c r="C45" s="1642">
        <f t="shared" si="18"/>
        <v>45689</v>
      </c>
      <c r="D45" s="1638" t="str">
        <f t="shared" si="19"/>
        <v/>
      </c>
      <c r="E45" s="1633" t="str">
        <f t="shared" si="20"/>
        <v/>
      </c>
      <c r="F45" s="1633" t="str">
        <f t="shared" si="21"/>
        <v/>
      </c>
      <c r="G45" s="1635" t="str">
        <f t="shared" si="22"/>
        <v/>
      </c>
      <c r="H45" s="1635">
        <f t="shared" si="23"/>
        <v>45689</v>
      </c>
      <c r="J45" s="1633">
        <v>1</v>
      </c>
      <c r="K45" s="1635" t="e">
        <f>VLOOKUP(J45,$E$20:$H$215,4,FALSE)</f>
        <v>#N/A</v>
      </c>
      <c r="L45" s="1633" t="s">
        <v>611</v>
      </c>
      <c r="M45" s="1633" t="e">
        <f>VLOOKUP(J45,$E$20:$G$215,2,FALSE)</f>
        <v>#N/A</v>
      </c>
      <c r="N45" s="1649" t="e">
        <f>VLOOKUP(J45,$E$20:$G$215,3,FALSE)</f>
        <v>#N/A</v>
      </c>
    </row>
    <row r="46" spans="1:302">
      <c r="A46" s="1635">
        <f>IF(B45=TRUE,(A45+28),(A45+29))</f>
        <v>45717</v>
      </c>
      <c r="C46" s="1642">
        <f t="shared" si="18"/>
        <v>45717</v>
      </c>
      <c r="D46" s="1638" t="str">
        <f t="shared" si="19"/>
        <v/>
      </c>
      <c r="E46" s="1633" t="str">
        <f t="shared" si="20"/>
        <v/>
      </c>
      <c r="F46" s="1633" t="str">
        <f t="shared" si="21"/>
        <v/>
      </c>
      <c r="G46" s="1635" t="str">
        <f t="shared" si="22"/>
        <v/>
      </c>
      <c r="H46" s="1635">
        <f t="shared" si="23"/>
        <v>45717</v>
      </c>
    </row>
    <row r="47" spans="1:302">
      <c r="A47" s="1635">
        <f>A46+31</f>
        <v>45748</v>
      </c>
      <c r="C47" s="1642">
        <f t="shared" si="18"/>
        <v>45748</v>
      </c>
      <c r="D47" s="1638" t="str">
        <f t="shared" si="19"/>
        <v/>
      </c>
      <c r="E47" s="1633" t="str">
        <f t="shared" si="20"/>
        <v/>
      </c>
      <c r="F47" s="1633" t="str">
        <f t="shared" si="21"/>
        <v/>
      </c>
      <c r="G47" s="1635" t="str">
        <f t="shared" si="22"/>
        <v/>
      </c>
      <c r="H47" s="1635">
        <f t="shared" si="23"/>
        <v>45748</v>
      </c>
    </row>
    <row r="48" spans="1:302">
      <c r="A48" s="1635">
        <f>A47+30</f>
        <v>45778</v>
      </c>
      <c r="C48" s="1642">
        <f t="shared" si="18"/>
        <v>45778</v>
      </c>
      <c r="D48" s="1638" t="str">
        <f t="shared" si="19"/>
        <v/>
      </c>
      <c r="E48" s="1633" t="str">
        <f t="shared" si="20"/>
        <v/>
      </c>
      <c r="F48" s="1633" t="str">
        <f t="shared" si="21"/>
        <v/>
      </c>
      <c r="G48" s="1635" t="str">
        <f t="shared" si="22"/>
        <v/>
      </c>
      <c r="H48" s="1635">
        <f t="shared" si="23"/>
        <v>45778</v>
      </c>
      <c r="M48" s="1633" t="s">
        <v>665</v>
      </c>
      <c r="N48" s="1638" t="s">
        <v>274</v>
      </c>
      <c r="O48" s="1638" t="s">
        <v>274</v>
      </c>
      <c r="P48" s="1638" t="s">
        <v>274</v>
      </c>
      <c r="Q48" s="1638" t="s">
        <v>667</v>
      </c>
      <c r="R48" s="1638" t="s">
        <v>667</v>
      </c>
      <c r="S48" s="1638" t="s">
        <v>669</v>
      </c>
      <c r="T48" s="1638" t="s">
        <v>669</v>
      </c>
      <c r="U48" s="1638" t="s">
        <v>328</v>
      </c>
      <c r="V48" s="1638" t="s">
        <v>328</v>
      </c>
      <c r="W48" s="1638" t="s">
        <v>328</v>
      </c>
      <c r="X48" s="1638" t="s">
        <v>328</v>
      </c>
      <c r="Y48" s="1638" t="s">
        <v>328</v>
      </c>
      <c r="Z48" s="1638" t="s">
        <v>328</v>
      </c>
      <c r="AA48" s="1638" t="s">
        <v>330</v>
      </c>
      <c r="AB48" s="1638" t="s">
        <v>330</v>
      </c>
      <c r="AC48" s="1638" t="s">
        <v>330</v>
      </c>
      <c r="AD48" s="1638" t="s">
        <v>330</v>
      </c>
      <c r="AE48" s="1638" t="s">
        <v>330</v>
      </c>
      <c r="AF48" s="1638" t="s">
        <v>330</v>
      </c>
      <c r="AG48" s="1638" t="s">
        <v>330</v>
      </c>
      <c r="AH48" s="1638" t="s">
        <v>330</v>
      </c>
      <c r="AI48" s="1638" t="s">
        <v>330</v>
      </c>
      <c r="AJ48" s="1638" t="s">
        <v>330</v>
      </c>
      <c r="AK48" s="1638" t="s">
        <v>810</v>
      </c>
      <c r="AL48" s="1638" t="s">
        <v>810</v>
      </c>
      <c r="AM48" s="1638" t="s">
        <v>330</v>
      </c>
      <c r="AN48" s="1638" t="s">
        <v>330</v>
      </c>
      <c r="AO48" s="1638" t="s">
        <v>330</v>
      </c>
      <c r="AP48" s="1638" t="s">
        <v>330</v>
      </c>
      <c r="AQ48" s="1638" t="s">
        <v>330</v>
      </c>
      <c r="AR48" s="1638" t="s">
        <v>330</v>
      </c>
      <c r="AS48" s="1638" t="s">
        <v>330</v>
      </c>
      <c r="AT48" s="1638" t="s">
        <v>330</v>
      </c>
      <c r="AU48" s="1638" t="s">
        <v>330</v>
      </c>
      <c r="AV48" s="1638" t="s">
        <v>330</v>
      </c>
      <c r="AW48" s="1638" t="s">
        <v>330</v>
      </c>
      <c r="AX48" s="1638" t="s">
        <v>330</v>
      </c>
      <c r="AY48" s="1638" t="s">
        <v>330</v>
      </c>
      <c r="AZ48" s="1638" t="s">
        <v>330</v>
      </c>
      <c r="BA48" s="1638" t="s">
        <v>330</v>
      </c>
      <c r="BB48" s="1638" t="s">
        <v>330</v>
      </c>
      <c r="BC48" s="1638" t="s">
        <v>330</v>
      </c>
      <c r="BD48" s="1638" t="s">
        <v>330</v>
      </c>
      <c r="BE48" s="1638" t="s">
        <v>330</v>
      </c>
      <c r="BF48" s="1638" t="s">
        <v>330</v>
      </c>
      <c r="BG48" s="1638" t="s">
        <v>330</v>
      </c>
      <c r="BH48" s="1638" t="s">
        <v>330</v>
      </c>
      <c r="BI48" s="1638" t="s">
        <v>330</v>
      </c>
      <c r="BJ48" s="1638" t="s">
        <v>330</v>
      </c>
      <c r="BK48" s="1638" t="s">
        <v>330</v>
      </c>
      <c r="BL48" s="1638" t="s">
        <v>330</v>
      </c>
      <c r="BM48" s="1638" t="s">
        <v>330</v>
      </c>
      <c r="BN48" s="1638" t="s">
        <v>330</v>
      </c>
      <c r="BO48" s="1638" t="s">
        <v>330</v>
      </c>
      <c r="BP48" s="1638" t="s">
        <v>330</v>
      </c>
      <c r="BQ48" s="1638" t="s">
        <v>330</v>
      </c>
      <c r="BR48" s="1638" t="s">
        <v>330</v>
      </c>
      <c r="BS48" s="1638" t="s">
        <v>330</v>
      </c>
      <c r="BT48" s="1638" t="s">
        <v>330</v>
      </c>
      <c r="BU48" s="1638" t="s">
        <v>330</v>
      </c>
      <c r="BV48" s="1638" t="s">
        <v>330</v>
      </c>
      <c r="BW48" s="1638" t="s">
        <v>331</v>
      </c>
      <c r="BX48" s="1638" t="s">
        <v>331</v>
      </c>
      <c r="BY48" s="1638" t="s">
        <v>331</v>
      </c>
      <c r="BZ48" s="1638" t="s">
        <v>331</v>
      </c>
      <c r="CA48" s="1638" t="s">
        <v>331</v>
      </c>
      <c r="CB48" s="1638" t="s">
        <v>331</v>
      </c>
      <c r="CC48" s="1638" t="s">
        <v>331</v>
      </c>
      <c r="CD48" s="1638" t="s">
        <v>331</v>
      </c>
      <c r="CE48" s="1638" t="s">
        <v>331</v>
      </c>
      <c r="CF48" s="1638" t="s">
        <v>331</v>
      </c>
      <c r="CG48" s="1638" t="s">
        <v>331</v>
      </c>
      <c r="CH48" s="1638" t="s">
        <v>331</v>
      </c>
      <c r="CI48" s="1638" t="s">
        <v>331</v>
      </c>
      <c r="CJ48" s="1638" t="s">
        <v>331</v>
      </c>
      <c r="CK48" s="1638" t="s">
        <v>331</v>
      </c>
      <c r="CL48" s="1638" t="s">
        <v>331</v>
      </c>
      <c r="CM48" s="1638" t="s">
        <v>331</v>
      </c>
      <c r="CN48" s="1638" t="s">
        <v>331</v>
      </c>
      <c r="CO48" s="1638" t="s">
        <v>331</v>
      </c>
      <c r="CP48" s="1638" t="s">
        <v>331</v>
      </c>
      <c r="CQ48" s="1638" t="s">
        <v>331</v>
      </c>
      <c r="CR48" s="1638" t="s">
        <v>331</v>
      </c>
      <c r="CS48" s="1638" t="s">
        <v>331</v>
      </c>
      <c r="CT48" s="1638" t="s">
        <v>331</v>
      </c>
      <c r="CU48" s="1638" t="s">
        <v>331</v>
      </c>
      <c r="CV48" s="1638" t="s">
        <v>331</v>
      </c>
      <c r="CW48" s="1638" t="s">
        <v>331</v>
      </c>
      <c r="CX48" s="1638" t="s">
        <v>331</v>
      </c>
      <c r="CY48" s="1638" t="s">
        <v>331</v>
      </c>
      <c r="CZ48" s="1638" t="s">
        <v>331</v>
      </c>
      <c r="DA48" s="1638" t="s">
        <v>331</v>
      </c>
      <c r="DB48" s="1638" t="s">
        <v>331</v>
      </c>
      <c r="DC48" s="1638" t="s">
        <v>331</v>
      </c>
      <c r="DD48" s="1638" t="s">
        <v>331</v>
      </c>
      <c r="DE48" s="1638" t="s">
        <v>331</v>
      </c>
      <c r="DF48" s="1638" t="s">
        <v>331</v>
      </c>
      <c r="DG48" s="1638" t="s">
        <v>331</v>
      </c>
      <c r="DH48" s="1638" t="s">
        <v>331</v>
      </c>
      <c r="DI48" s="1638" t="s">
        <v>331</v>
      </c>
      <c r="DJ48" s="1638" t="s">
        <v>331</v>
      </c>
      <c r="DK48" s="1638" t="s">
        <v>331</v>
      </c>
      <c r="DL48" s="1638" t="s">
        <v>331</v>
      </c>
      <c r="DM48" s="1638" t="s">
        <v>331</v>
      </c>
      <c r="DN48" s="1638" t="s">
        <v>331</v>
      </c>
      <c r="DO48" s="1638" t="s">
        <v>331</v>
      </c>
      <c r="DP48" s="1638" t="s">
        <v>331</v>
      </c>
      <c r="DQ48" s="1638" t="s">
        <v>331</v>
      </c>
      <c r="DR48" s="1638" t="s">
        <v>331</v>
      </c>
      <c r="DS48" s="1638" t="s">
        <v>331</v>
      </c>
      <c r="DT48" s="1638" t="s">
        <v>331</v>
      </c>
      <c r="DU48" s="1638" t="s">
        <v>331</v>
      </c>
      <c r="DV48" s="1638" t="s">
        <v>331</v>
      </c>
      <c r="DW48" s="1638" t="s">
        <v>331</v>
      </c>
      <c r="DX48" s="1638" t="s">
        <v>331</v>
      </c>
      <c r="DY48" s="1638" t="s">
        <v>331</v>
      </c>
      <c r="DZ48" s="1638" t="s">
        <v>331</v>
      </c>
      <c r="EA48" s="1638" t="s">
        <v>331</v>
      </c>
      <c r="EB48" s="1638" t="s">
        <v>331</v>
      </c>
      <c r="EC48" s="1638" t="s">
        <v>331</v>
      </c>
      <c r="ED48" s="1638" t="s">
        <v>331</v>
      </c>
      <c r="EE48" s="1638" t="s">
        <v>331</v>
      </c>
      <c r="EF48" s="1638" t="s">
        <v>331</v>
      </c>
      <c r="EG48" s="1638" t="s">
        <v>331</v>
      </c>
      <c r="EH48" s="1638" t="s">
        <v>331</v>
      </c>
      <c r="EI48" s="1638" t="s">
        <v>331</v>
      </c>
      <c r="EJ48" s="1638" t="s">
        <v>331</v>
      </c>
      <c r="EK48" s="1638" t="s">
        <v>331</v>
      </c>
      <c r="EL48" s="1638" t="s">
        <v>331</v>
      </c>
      <c r="EM48" s="1638" t="s">
        <v>331</v>
      </c>
      <c r="EN48" s="1638" t="s">
        <v>331</v>
      </c>
      <c r="EO48" s="1638" t="s">
        <v>331</v>
      </c>
      <c r="EP48" s="1638" t="s">
        <v>331</v>
      </c>
      <c r="EQ48" s="1638" t="s">
        <v>333</v>
      </c>
      <c r="ER48" s="1638" t="s">
        <v>333</v>
      </c>
      <c r="ES48" s="1638" t="s">
        <v>333</v>
      </c>
      <c r="ET48" s="1638" t="s">
        <v>334</v>
      </c>
      <c r="EU48" s="1638" t="s">
        <v>334</v>
      </c>
      <c r="EV48" s="1638" t="s">
        <v>334</v>
      </c>
      <c r="EW48" s="1638" t="s">
        <v>334</v>
      </c>
      <c r="EX48" s="1638" t="s">
        <v>336</v>
      </c>
      <c r="EY48" s="1638" t="s">
        <v>336</v>
      </c>
      <c r="EZ48" s="1638" t="s">
        <v>336</v>
      </c>
      <c r="FA48" s="1638" t="s">
        <v>336</v>
      </c>
      <c r="FB48" s="1638" t="s">
        <v>336</v>
      </c>
      <c r="FC48" s="1638" t="s">
        <v>336</v>
      </c>
      <c r="FD48" s="1638" t="s">
        <v>336</v>
      </c>
      <c r="FE48" s="1638" t="s">
        <v>336</v>
      </c>
      <c r="FF48" s="1638" t="s">
        <v>336</v>
      </c>
      <c r="FG48" s="1638" t="s">
        <v>336</v>
      </c>
      <c r="FH48" s="1638" t="s">
        <v>336</v>
      </c>
      <c r="FI48" s="1638" t="s">
        <v>336</v>
      </c>
      <c r="FJ48" s="1638" t="s">
        <v>336</v>
      </c>
      <c r="FK48" s="1638" t="s">
        <v>336</v>
      </c>
      <c r="FL48" s="1638" t="s">
        <v>336</v>
      </c>
      <c r="FM48" s="1638" t="s">
        <v>336</v>
      </c>
      <c r="FN48" s="1638" t="s">
        <v>336</v>
      </c>
      <c r="FO48" s="1638" t="s">
        <v>336</v>
      </c>
      <c r="FP48" s="1638" t="s">
        <v>336</v>
      </c>
      <c r="FQ48" s="1638" t="s">
        <v>336</v>
      </c>
      <c r="FR48" s="1638" t="s">
        <v>339</v>
      </c>
      <c r="FS48" s="1638" t="s">
        <v>339</v>
      </c>
      <c r="FT48" s="1638" t="s">
        <v>339</v>
      </c>
      <c r="FU48" s="1638" t="s">
        <v>339</v>
      </c>
      <c r="FV48" s="1638" t="s">
        <v>339</v>
      </c>
      <c r="FW48" s="1638" t="s">
        <v>339</v>
      </c>
      <c r="FX48" s="1638" t="s">
        <v>339</v>
      </c>
      <c r="FY48" s="1638" t="s">
        <v>339</v>
      </c>
      <c r="FZ48" s="1638" t="s">
        <v>339</v>
      </c>
      <c r="GA48" s="1638" t="s">
        <v>339</v>
      </c>
      <c r="GB48" s="1638" t="s">
        <v>339</v>
      </c>
      <c r="GC48" s="1638" t="s">
        <v>339</v>
      </c>
      <c r="GD48" s="1638" t="s">
        <v>339</v>
      </c>
      <c r="GE48" s="1638" t="s">
        <v>340</v>
      </c>
      <c r="GF48" s="1638" t="s">
        <v>340</v>
      </c>
      <c r="GG48" s="1638" t="s">
        <v>599</v>
      </c>
      <c r="GH48" s="1638" t="s">
        <v>599</v>
      </c>
      <c r="GI48" s="1638" t="s">
        <v>599</v>
      </c>
      <c r="GJ48" s="1638" t="s">
        <v>599</v>
      </c>
      <c r="GK48" s="1638" t="s">
        <v>599</v>
      </c>
      <c r="GL48" s="1638" t="s">
        <v>599</v>
      </c>
      <c r="GM48" s="1638" t="s">
        <v>599</v>
      </c>
      <c r="GN48" s="1633" t="s">
        <v>274</v>
      </c>
      <c r="GO48" s="1633" t="s">
        <v>274</v>
      </c>
      <c r="GP48" s="1638" t="s">
        <v>336</v>
      </c>
      <c r="GQ48" s="1638" t="s">
        <v>331</v>
      </c>
      <c r="GR48" s="1638" t="s">
        <v>331</v>
      </c>
      <c r="GS48" s="1638" t="s">
        <v>331</v>
      </c>
      <c r="GT48" s="1638" t="s">
        <v>331</v>
      </c>
      <c r="GU48" s="1638" t="s">
        <v>331</v>
      </c>
      <c r="GV48" s="1638" t="s">
        <v>331</v>
      </c>
      <c r="GW48" s="1638" t="s">
        <v>331</v>
      </c>
      <c r="GX48" s="1638" t="s">
        <v>331</v>
      </c>
      <c r="GY48" s="1638" t="s">
        <v>331</v>
      </c>
      <c r="GZ48" s="1638" t="s">
        <v>331</v>
      </c>
      <c r="HA48" s="1638" t="s">
        <v>331</v>
      </c>
      <c r="HB48" s="1638" t="s">
        <v>331</v>
      </c>
      <c r="HC48" s="1638" t="s">
        <v>331</v>
      </c>
      <c r="HD48" s="1638" t="s">
        <v>331</v>
      </c>
      <c r="HE48" s="1638" t="s">
        <v>331</v>
      </c>
      <c r="HF48" s="1638" t="s">
        <v>331</v>
      </c>
      <c r="HG48" s="1638" t="s">
        <v>331</v>
      </c>
      <c r="HH48" s="1638" t="s">
        <v>331</v>
      </c>
      <c r="HI48" s="1638" t="s">
        <v>331</v>
      </c>
      <c r="HJ48" s="1638" t="s">
        <v>331</v>
      </c>
      <c r="HK48" s="1638" t="s">
        <v>331</v>
      </c>
      <c r="HL48" s="1638" t="s">
        <v>331</v>
      </c>
      <c r="HM48" s="1638" t="s">
        <v>331</v>
      </c>
      <c r="HN48" s="1638" t="s">
        <v>331</v>
      </c>
      <c r="HO48" s="1638" t="s">
        <v>331</v>
      </c>
      <c r="HP48" s="1638" t="s">
        <v>331</v>
      </c>
      <c r="HQ48" s="1638" t="s">
        <v>331</v>
      </c>
      <c r="HR48" s="1638" t="s">
        <v>331</v>
      </c>
      <c r="HS48" s="1638" t="s">
        <v>331</v>
      </c>
      <c r="HT48" s="1638" t="s">
        <v>331</v>
      </c>
      <c r="HU48" s="1638" t="s">
        <v>331</v>
      </c>
      <c r="HV48" s="1638" t="s">
        <v>331</v>
      </c>
      <c r="HW48" s="1638" t="s">
        <v>331</v>
      </c>
      <c r="HX48" s="1638" t="s">
        <v>331</v>
      </c>
      <c r="HY48" s="1638" t="s">
        <v>331</v>
      </c>
      <c r="HZ48" s="1638" t="s">
        <v>331</v>
      </c>
      <c r="IA48" s="1638" t="s">
        <v>331</v>
      </c>
      <c r="IB48" s="1638" t="s">
        <v>331</v>
      </c>
      <c r="IC48" s="1638" t="s">
        <v>331</v>
      </c>
      <c r="ID48" s="1638" t="s">
        <v>331</v>
      </c>
      <c r="IE48" s="1638" t="s">
        <v>331</v>
      </c>
      <c r="IF48" s="1638" t="s">
        <v>331</v>
      </c>
      <c r="IG48" s="1638" t="s">
        <v>336</v>
      </c>
      <c r="IH48" s="1638" t="s">
        <v>336</v>
      </c>
      <c r="II48" s="1638" t="s">
        <v>336</v>
      </c>
      <c r="IJ48" s="1638" t="s">
        <v>336</v>
      </c>
      <c r="IK48" s="1638" t="s">
        <v>336</v>
      </c>
      <c r="IL48" s="1638" t="s">
        <v>336</v>
      </c>
      <c r="IM48" s="1638" t="s">
        <v>336</v>
      </c>
      <c r="IN48" s="1638" t="s">
        <v>336</v>
      </c>
      <c r="IO48" s="1638" t="s">
        <v>336</v>
      </c>
      <c r="IP48" s="1638" t="s">
        <v>336</v>
      </c>
      <c r="IQ48" s="1638" t="s">
        <v>336</v>
      </c>
      <c r="IR48" s="1638" t="s">
        <v>336</v>
      </c>
      <c r="IS48" s="1638" t="s">
        <v>336</v>
      </c>
      <c r="IT48" s="1638" t="s">
        <v>336</v>
      </c>
      <c r="IU48" s="1638" t="s">
        <v>599</v>
      </c>
      <c r="IV48" s="1638" t="s">
        <v>599</v>
      </c>
      <c r="IW48" s="1638" t="s">
        <v>599</v>
      </c>
      <c r="IX48" s="1638" t="s">
        <v>599</v>
      </c>
      <c r="IY48" s="1638" t="s">
        <v>599</v>
      </c>
      <c r="IZ48" s="1638" t="s">
        <v>599</v>
      </c>
      <c r="JA48" s="1638" t="s">
        <v>599</v>
      </c>
      <c r="JB48" s="1638" t="s">
        <v>599</v>
      </c>
      <c r="JC48" s="1638" t="s">
        <v>599</v>
      </c>
      <c r="JD48" s="1638" t="s">
        <v>599</v>
      </c>
      <c r="JE48" s="1638" t="s">
        <v>599</v>
      </c>
      <c r="JF48" s="1638" t="s">
        <v>599</v>
      </c>
      <c r="JG48" s="1638" t="s">
        <v>599</v>
      </c>
      <c r="JH48" s="1638" t="s">
        <v>599</v>
      </c>
      <c r="JI48" s="1638" t="s">
        <v>336</v>
      </c>
      <c r="JJ48" s="1638" t="s">
        <v>334</v>
      </c>
      <c r="JK48" s="1638" t="s">
        <v>331</v>
      </c>
      <c r="JL48" s="1638" t="s">
        <v>336</v>
      </c>
      <c r="JM48" s="1638" t="s">
        <v>336</v>
      </c>
      <c r="JN48" s="1638" t="s">
        <v>336</v>
      </c>
      <c r="JO48" s="1638" t="s">
        <v>339</v>
      </c>
      <c r="JP48" s="1638" t="s">
        <v>339</v>
      </c>
      <c r="JQ48" s="1638" t="s">
        <v>339</v>
      </c>
      <c r="JR48" s="1638" t="s">
        <v>339</v>
      </c>
      <c r="JS48" s="1638" t="s">
        <v>339</v>
      </c>
      <c r="JT48" s="1638" t="s">
        <v>330</v>
      </c>
      <c r="JU48" s="1638" t="s">
        <v>330</v>
      </c>
      <c r="JV48" s="1638" t="s">
        <v>330</v>
      </c>
      <c r="JW48" s="1638" t="s">
        <v>330</v>
      </c>
      <c r="JX48" s="1638" t="s">
        <v>330</v>
      </c>
      <c r="JY48" s="1638" t="s">
        <v>330</v>
      </c>
      <c r="JZ48" s="1638" t="s">
        <v>330</v>
      </c>
      <c r="KA48" s="1638" t="s">
        <v>331</v>
      </c>
      <c r="KB48" s="1638" t="s">
        <v>331</v>
      </c>
      <c r="KC48" s="1638" t="s">
        <v>331</v>
      </c>
      <c r="KD48" s="1638" t="s">
        <v>331</v>
      </c>
      <c r="KE48" s="1638" t="s">
        <v>331</v>
      </c>
      <c r="KF48" s="1638" t="s">
        <v>331</v>
      </c>
      <c r="KG48" s="1638" t="s">
        <v>331</v>
      </c>
      <c r="KH48" s="1638" t="s">
        <v>336</v>
      </c>
      <c r="KI48" s="1638" t="s">
        <v>339</v>
      </c>
      <c r="KJ48" s="1638" t="s">
        <v>339</v>
      </c>
      <c r="KK48" s="1638" t="s">
        <v>339</v>
      </c>
      <c r="KL48" s="1638" t="s">
        <v>336</v>
      </c>
      <c r="KM48" s="1638" t="s">
        <v>336</v>
      </c>
      <c r="KN48" s="1638" t="s">
        <v>336</v>
      </c>
      <c r="KO48" s="1638" t="s">
        <v>336</v>
      </c>
      <c r="KP48" s="1638" t="s">
        <v>336</v>
      </c>
    </row>
    <row r="49" spans="1:302">
      <c r="A49" s="1635">
        <f>A48+31</f>
        <v>45809</v>
      </c>
      <c r="C49" s="1642">
        <f t="shared" si="18"/>
        <v>45809</v>
      </c>
      <c r="D49" s="1638" t="str">
        <f t="shared" si="19"/>
        <v/>
      </c>
      <c r="E49" s="1633" t="str">
        <f t="shared" si="20"/>
        <v/>
      </c>
      <c r="F49" s="1633" t="str">
        <f t="shared" si="21"/>
        <v/>
      </c>
      <c r="G49" s="1635" t="str">
        <f t="shared" si="22"/>
        <v/>
      </c>
      <c r="H49" s="1635">
        <f t="shared" si="23"/>
        <v>45809</v>
      </c>
      <c r="N49" s="1638" t="s">
        <v>668</v>
      </c>
      <c r="O49" s="1638" t="s">
        <v>692</v>
      </c>
      <c r="P49" s="1638" t="s">
        <v>857</v>
      </c>
      <c r="Q49" s="1638" t="s">
        <v>693</v>
      </c>
      <c r="R49" s="1638" t="s">
        <v>694</v>
      </c>
      <c r="S49" s="1638" t="s">
        <v>695</v>
      </c>
      <c r="T49" s="1638" t="s">
        <v>696</v>
      </c>
      <c r="U49" s="1638" t="s">
        <v>700</v>
      </c>
      <c r="V49" s="1638" t="s">
        <v>701</v>
      </c>
      <c r="W49" s="1638" t="s">
        <v>702</v>
      </c>
      <c r="X49" s="1638" t="s">
        <v>703</v>
      </c>
      <c r="Y49" s="1638" t="s">
        <v>704</v>
      </c>
      <c r="Z49" s="1638" t="s">
        <v>705</v>
      </c>
      <c r="AA49" s="1638" t="s">
        <v>700</v>
      </c>
      <c r="AB49" s="1638" t="s">
        <v>701</v>
      </c>
      <c r="AC49" s="1638" t="s">
        <v>707</v>
      </c>
      <c r="AD49" s="1638" t="s">
        <v>866</v>
      </c>
      <c r="AE49" s="1638" t="s">
        <v>709</v>
      </c>
      <c r="AF49" s="1638" t="s">
        <v>693</v>
      </c>
      <c r="AG49" s="1638" t="s">
        <v>954</v>
      </c>
      <c r="AH49" s="1638" t="s">
        <v>751</v>
      </c>
      <c r="AI49" s="1638" t="s">
        <v>710</v>
      </c>
      <c r="AJ49" s="1638" t="s">
        <v>711</v>
      </c>
      <c r="AK49" s="1638" t="s">
        <v>771</v>
      </c>
      <c r="AL49" s="1638" t="s">
        <v>811</v>
      </c>
      <c r="AM49" s="1638" t="s">
        <v>695</v>
      </c>
      <c r="AN49" s="1638" t="s">
        <v>716</v>
      </c>
      <c r="AO49" s="1638" t="s">
        <v>717</v>
      </c>
      <c r="AP49" s="1638" t="s">
        <v>753</v>
      </c>
      <c r="AQ49" s="1638" t="s">
        <v>867</v>
      </c>
      <c r="AR49" s="1638" t="s">
        <v>720</v>
      </c>
      <c r="AS49" s="1638" t="s">
        <v>721</v>
      </c>
      <c r="AT49" s="1638" t="s">
        <v>723</v>
      </c>
      <c r="AU49" s="1638" t="s">
        <v>724</v>
      </c>
      <c r="AV49" s="1638" t="s">
        <v>725</v>
      </c>
      <c r="AW49" s="1638" t="s">
        <v>726</v>
      </c>
      <c r="AX49" s="1638" t="s">
        <v>727</v>
      </c>
      <c r="AY49" s="1638" t="s">
        <v>728</v>
      </c>
      <c r="AZ49" s="1638" t="s">
        <v>729</v>
      </c>
      <c r="BA49" s="1638" t="s">
        <v>730</v>
      </c>
      <c r="BB49" s="1638" t="s">
        <v>731</v>
      </c>
      <c r="BC49" s="1638" t="s">
        <v>732</v>
      </c>
      <c r="BD49" s="1638" t="s">
        <v>733</v>
      </c>
      <c r="BE49" s="1638" t="s">
        <v>734</v>
      </c>
      <c r="BF49" s="1638" t="s">
        <v>735</v>
      </c>
      <c r="BG49" s="1638" t="s">
        <v>736</v>
      </c>
      <c r="BH49" s="1638" t="s">
        <v>737</v>
      </c>
      <c r="BI49" s="1638" t="s">
        <v>738</v>
      </c>
      <c r="BJ49" s="1638" t="s">
        <v>739</v>
      </c>
      <c r="BK49" s="1638" t="s">
        <v>740</v>
      </c>
      <c r="BL49" s="1638" t="s">
        <v>741</v>
      </c>
      <c r="BM49" s="1638" t="s">
        <v>742</v>
      </c>
      <c r="BN49" s="1638" t="s">
        <v>743</v>
      </c>
      <c r="BO49" s="1638" t="s">
        <v>744</v>
      </c>
      <c r="BP49" s="1638" t="s">
        <v>745</v>
      </c>
      <c r="BQ49" s="1638" t="s">
        <v>746</v>
      </c>
      <c r="BR49" s="1638" t="s">
        <v>749</v>
      </c>
      <c r="BS49" s="1638" t="s">
        <v>868</v>
      </c>
      <c r="BT49" s="1638" t="s">
        <v>955</v>
      </c>
      <c r="BU49" s="1638" t="s">
        <v>754</v>
      </c>
      <c r="BV49" s="1638" t="s">
        <v>869</v>
      </c>
      <c r="BW49" s="1638" t="s">
        <v>701</v>
      </c>
      <c r="BX49" s="1638" t="s">
        <v>703</v>
      </c>
      <c r="BY49" s="1638" t="s">
        <v>705</v>
      </c>
      <c r="BZ49" s="1638" t="s">
        <v>750</v>
      </c>
      <c r="CA49" s="1638" t="s">
        <v>693</v>
      </c>
      <c r="CB49" s="1638" t="s">
        <v>751</v>
      </c>
      <c r="CC49" s="1638" t="s">
        <v>713</v>
      </c>
      <c r="CD49" s="1638" t="s">
        <v>752</v>
      </c>
      <c r="CE49" s="1638" t="s">
        <v>753</v>
      </c>
      <c r="CF49" s="1638" t="s">
        <v>720</v>
      </c>
      <c r="CG49" s="1638" t="s">
        <v>722</v>
      </c>
      <c r="CH49" s="1638" t="s">
        <v>725</v>
      </c>
      <c r="CI49" s="1638" t="s">
        <v>728</v>
      </c>
      <c r="CJ49" s="1638" t="s">
        <v>731</v>
      </c>
      <c r="CK49" s="1638" t="s">
        <v>735</v>
      </c>
      <c r="CL49" s="1638" t="s">
        <v>738</v>
      </c>
      <c r="CM49" s="1638" t="s">
        <v>741</v>
      </c>
      <c r="CN49" s="1638" t="s">
        <v>744</v>
      </c>
      <c r="CO49" s="1638" t="s">
        <v>749</v>
      </c>
      <c r="CP49" s="1638" t="s">
        <v>754</v>
      </c>
      <c r="CQ49" s="1638" t="s">
        <v>755</v>
      </c>
      <c r="CR49" s="1638" t="s">
        <v>756</v>
      </c>
      <c r="CS49" s="1638" t="s">
        <v>757</v>
      </c>
      <c r="CT49" s="1638" t="s">
        <v>758</v>
      </c>
      <c r="CU49" s="1638" t="s">
        <v>956</v>
      </c>
      <c r="CV49" s="1638" t="s">
        <v>761</v>
      </c>
      <c r="CW49" s="1638" t="s">
        <v>763</v>
      </c>
      <c r="CX49" s="1638" t="s">
        <v>957</v>
      </c>
      <c r="CY49" s="1638" t="s">
        <v>762</v>
      </c>
      <c r="CZ49" s="1638" t="s">
        <v>764</v>
      </c>
      <c r="DA49" s="1638" t="s">
        <v>958</v>
      </c>
      <c r="DB49" s="1638" t="s">
        <v>765</v>
      </c>
      <c r="DC49" s="1638" t="s">
        <v>766</v>
      </c>
      <c r="DD49" s="1638" t="s">
        <v>960</v>
      </c>
      <c r="DE49" s="1638" t="s">
        <v>769</v>
      </c>
      <c r="DF49" s="1638" t="s">
        <v>770</v>
      </c>
      <c r="DG49" s="1638" t="s">
        <v>772</v>
      </c>
      <c r="DH49" s="1638" t="s">
        <v>961</v>
      </c>
      <c r="DI49" s="1638" t="s">
        <v>773</v>
      </c>
      <c r="DJ49" s="1638" t="s">
        <v>774</v>
      </c>
      <c r="DK49" s="1638" t="s">
        <v>775</v>
      </c>
      <c r="DL49" s="1638" t="s">
        <v>776</v>
      </c>
      <c r="DM49" s="1638" t="s">
        <v>777</v>
      </c>
      <c r="DN49" s="1638" t="s">
        <v>778</v>
      </c>
      <c r="DO49" s="1638" t="s">
        <v>779</v>
      </c>
      <c r="DP49" s="1638" t="s">
        <v>780</v>
      </c>
      <c r="DQ49" s="1638" t="s">
        <v>781</v>
      </c>
      <c r="DR49" s="1638" t="s">
        <v>782</v>
      </c>
      <c r="DS49" s="1638" t="s">
        <v>783</v>
      </c>
      <c r="DT49" s="1638" t="s">
        <v>784</v>
      </c>
      <c r="DU49" s="1638" t="s">
        <v>785</v>
      </c>
      <c r="DV49" s="1638" t="s">
        <v>786</v>
      </c>
      <c r="DW49" s="1638" t="s">
        <v>787</v>
      </c>
      <c r="DX49" s="1638" t="s">
        <v>788</v>
      </c>
      <c r="DY49" s="1638" t="s">
        <v>789</v>
      </c>
      <c r="DZ49" s="1638" t="s">
        <v>790</v>
      </c>
      <c r="EA49" s="1638" t="s">
        <v>791</v>
      </c>
      <c r="EB49" s="1638" t="s">
        <v>792</v>
      </c>
      <c r="EC49" s="1638" t="s">
        <v>793</v>
      </c>
      <c r="ED49" s="1638" t="s">
        <v>795</v>
      </c>
      <c r="EE49" s="1638" t="s">
        <v>812</v>
      </c>
      <c r="EF49" s="1638" t="s">
        <v>813</v>
      </c>
      <c r="EG49" s="1638" t="s">
        <v>814</v>
      </c>
      <c r="EH49" s="1638" t="s">
        <v>815</v>
      </c>
      <c r="EI49" s="1638" t="s">
        <v>962</v>
      </c>
      <c r="EJ49" s="1638" t="s">
        <v>963</v>
      </c>
      <c r="EK49" s="1638" t="s">
        <v>886</v>
      </c>
      <c r="EL49" s="1638" t="s">
        <v>964</v>
      </c>
      <c r="EM49" s="1638" t="s">
        <v>965</v>
      </c>
      <c r="EN49" s="1638" t="s">
        <v>966</v>
      </c>
      <c r="EO49" s="1638" t="s">
        <v>967</v>
      </c>
      <c r="EP49" s="1638" t="s">
        <v>968</v>
      </c>
      <c r="EQ49" s="1638" t="s">
        <v>700</v>
      </c>
      <c r="ER49" s="1638" t="s">
        <v>701</v>
      </c>
      <c r="ES49" s="1638" t="s">
        <v>707</v>
      </c>
      <c r="ET49" s="1638" t="s">
        <v>700</v>
      </c>
      <c r="EU49" s="1638" t="s">
        <v>701</v>
      </c>
      <c r="EV49" s="1638" t="s">
        <v>703</v>
      </c>
      <c r="EW49" s="1638" t="s">
        <v>708</v>
      </c>
      <c r="EX49" s="1638" t="s">
        <v>701</v>
      </c>
      <c r="EY49" s="1638" t="s">
        <v>703</v>
      </c>
      <c r="EZ49" s="1638" t="s">
        <v>705</v>
      </c>
      <c r="FA49" s="1638" t="s">
        <v>750</v>
      </c>
      <c r="FB49" s="1638" t="s">
        <v>693</v>
      </c>
      <c r="FC49" s="1638" t="s">
        <v>751</v>
      </c>
      <c r="FD49" s="1638" t="s">
        <v>713</v>
      </c>
      <c r="FE49" s="1638" t="s">
        <v>752</v>
      </c>
      <c r="FF49" s="1638" t="s">
        <v>716</v>
      </c>
      <c r="FG49" s="1638" t="s">
        <v>867</v>
      </c>
      <c r="FH49" s="1638" t="s">
        <v>720</v>
      </c>
      <c r="FI49" s="1638" t="s">
        <v>719</v>
      </c>
      <c r="FJ49" s="1638" t="s">
        <v>723</v>
      </c>
      <c r="FK49" s="1638" t="s">
        <v>725</v>
      </c>
      <c r="FL49" s="1638" t="s">
        <v>726</v>
      </c>
      <c r="FM49" s="1638" t="s">
        <v>728</v>
      </c>
      <c r="FN49" s="1638" t="s">
        <v>731</v>
      </c>
      <c r="FO49" s="1638" t="s">
        <v>732</v>
      </c>
      <c r="FP49" s="1638" t="s">
        <v>733</v>
      </c>
      <c r="FQ49" s="1638" t="s">
        <v>735</v>
      </c>
      <c r="FR49" s="1638" t="s">
        <v>701</v>
      </c>
      <c r="FS49" s="1638" t="s">
        <v>707</v>
      </c>
      <c r="FT49" s="1638" t="s">
        <v>702</v>
      </c>
      <c r="FU49" s="1638" t="s">
        <v>703</v>
      </c>
      <c r="FV49" s="1638" t="s">
        <v>708</v>
      </c>
      <c r="FW49" s="1638" t="s">
        <v>705</v>
      </c>
      <c r="FX49" s="1638" t="s">
        <v>750</v>
      </c>
      <c r="FY49" s="1638" t="s">
        <v>710</v>
      </c>
      <c r="FZ49" s="1638" t="s">
        <v>711</v>
      </c>
      <c r="GA49" s="1638" t="s">
        <v>693</v>
      </c>
      <c r="GB49" s="1638" t="s">
        <v>712</v>
      </c>
      <c r="GC49" s="1638" t="s">
        <v>751</v>
      </c>
      <c r="GD49" s="1638" t="s">
        <v>803</v>
      </c>
      <c r="GE49" s="1638" t="s">
        <v>700</v>
      </c>
      <c r="GF49" s="1638" t="s">
        <v>707</v>
      </c>
      <c r="GG49" s="1638" t="s">
        <v>701</v>
      </c>
      <c r="GH49" s="1638" t="s">
        <v>703</v>
      </c>
      <c r="GI49" s="1638" t="s">
        <v>705</v>
      </c>
      <c r="GJ49" s="1638" t="s">
        <v>750</v>
      </c>
      <c r="GK49" s="1638" t="s">
        <v>693</v>
      </c>
      <c r="GL49" s="1638" t="s">
        <v>751</v>
      </c>
      <c r="GM49" s="1638" t="s">
        <v>713</v>
      </c>
      <c r="GN49" s="1638" t="s">
        <v>843</v>
      </c>
      <c r="GO49" s="1638" t="s">
        <v>844</v>
      </c>
      <c r="GP49" s="1638" t="s">
        <v>715</v>
      </c>
      <c r="GQ49" s="1638" t="s">
        <v>707</v>
      </c>
      <c r="GR49" s="1638" t="s">
        <v>707</v>
      </c>
      <c r="GS49" s="1638" t="s">
        <v>708</v>
      </c>
      <c r="GT49" s="1638" t="s">
        <v>708</v>
      </c>
      <c r="GU49" s="1638" t="s">
        <v>866</v>
      </c>
      <c r="GV49" s="1638" t="s">
        <v>866</v>
      </c>
      <c r="GW49" s="1638" t="s">
        <v>710</v>
      </c>
      <c r="GX49" s="1638" t="s">
        <v>710</v>
      </c>
      <c r="GY49" s="1638" t="s">
        <v>712</v>
      </c>
      <c r="GZ49" s="1638" t="s">
        <v>712</v>
      </c>
      <c r="HA49" s="1638" t="s">
        <v>803</v>
      </c>
      <c r="HB49" s="1638" t="s">
        <v>803</v>
      </c>
      <c r="HC49" s="1638" t="s">
        <v>714</v>
      </c>
      <c r="HD49" s="1638" t="s">
        <v>714</v>
      </c>
      <c r="HE49" s="1638" t="s">
        <v>716</v>
      </c>
      <c r="HF49" s="1638" t="s">
        <v>716</v>
      </c>
      <c r="HG49" s="1638" t="s">
        <v>867</v>
      </c>
      <c r="HH49" s="1638" t="s">
        <v>867</v>
      </c>
      <c r="HI49" s="1638" t="s">
        <v>721</v>
      </c>
      <c r="HJ49" s="1638" t="s">
        <v>721</v>
      </c>
      <c r="HK49" s="1638" t="s">
        <v>723</v>
      </c>
      <c r="HL49" s="1638" t="s">
        <v>723</v>
      </c>
      <c r="HM49" s="1638" t="s">
        <v>726</v>
      </c>
      <c r="HN49" s="1638" t="s">
        <v>726</v>
      </c>
      <c r="HO49" s="1638" t="s">
        <v>729</v>
      </c>
      <c r="HP49" s="1638" t="s">
        <v>729</v>
      </c>
      <c r="HQ49" s="1638" t="s">
        <v>732</v>
      </c>
      <c r="HR49" s="1638" t="s">
        <v>732</v>
      </c>
      <c r="HS49" s="1638" t="s">
        <v>736</v>
      </c>
      <c r="HT49" s="1638" t="s">
        <v>736</v>
      </c>
      <c r="HU49" s="1638" t="s">
        <v>739</v>
      </c>
      <c r="HV49" s="1638" t="s">
        <v>739</v>
      </c>
      <c r="HW49" s="1638" t="s">
        <v>742</v>
      </c>
      <c r="HX49" s="1638" t="s">
        <v>742</v>
      </c>
      <c r="HY49" s="1638" t="s">
        <v>745</v>
      </c>
      <c r="HZ49" s="1638" t="s">
        <v>745</v>
      </c>
      <c r="IA49" s="1638" t="s">
        <v>868</v>
      </c>
      <c r="IB49" s="1638" t="s">
        <v>868</v>
      </c>
      <c r="IC49" s="1638" t="s">
        <v>869</v>
      </c>
      <c r="ID49" s="1638" t="s">
        <v>869</v>
      </c>
      <c r="IE49" s="1638" t="s">
        <v>870</v>
      </c>
      <c r="IF49" s="1638" t="s">
        <v>870</v>
      </c>
      <c r="IG49" s="1638" t="s">
        <v>707</v>
      </c>
      <c r="IH49" s="1638" t="s">
        <v>707</v>
      </c>
      <c r="II49" s="1638" t="s">
        <v>708</v>
      </c>
      <c r="IJ49" s="1638" t="s">
        <v>708</v>
      </c>
      <c r="IK49" s="1638" t="s">
        <v>866</v>
      </c>
      <c r="IL49" s="1638" t="s">
        <v>866</v>
      </c>
      <c r="IM49" s="1638" t="s">
        <v>710</v>
      </c>
      <c r="IN49" s="1638" t="s">
        <v>710</v>
      </c>
      <c r="IO49" s="1638" t="s">
        <v>712</v>
      </c>
      <c r="IP49" s="1638" t="s">
        <v>712</v>
      </c>
      <c r="IQ49" s="1638" t="s">
        <v>803</v>
      </c>
      <c r="IR49" s="1638" t="s">
        <v>803</v>
      </c>
      <c r="IS49" s="1638" t="s">
        <v>714</v>
      </c>
      <c r="IT49" s="1638" t="s">
        <v>714</v>
      </c>
      <c r="IU49" s="1638" t="s">
        <v>707</v>
      </c>
      <c r="IV49" s="1638" t="s">
        <v>707</v>
      </c>
      <c r="IW49" s="1638" t="s">
        <v>708</v>
      </c>
      <c r="IX49" s="1638" t="s">
        <v>708</v>
      </c>
      <c r="IY49" s="1638" t="s">
        <v>866</v>
      </c>
      <c r="IZ49" s="1638" t="s">
        <v>866</v>
      </c>
      <c r="JA49" s="1638" t="s">
        <v>710</v>
      </c>
      <c r="JB49" s="1638" t="s">
        <v>710</v>
      </c>
      <c r="JC49" s="1638" t="s">
        <v>712</v>
      </c>
      <c r="JD49" s="1638" t="s">
        <v>712</v>
      </c>
      <c r="JE49" s="1638" t="s">
        <v>803</v>
      </c>
      <c r="JF49" s="1638" t="s">
        <v>803</v>
      </c>
      <c r="JG49" s="1638" t="s">
        <v>714</v>
      </c>
      <c r="JH49" s="1638" t="s">
        <v>714</v>
      </c>
      <c r="JI49" s="1638" t="s">
        <v>737</v>
      </c>
      <c r="JJ49" s="1638" t="s">
        <v>704</v>
      </c>
      <c r="JK49" s="1638" t="s">
        <v>969</v>
      </c>
      <c r="JL49" s="1638" t="s">
        <v>739</v>
      </c>
      <c r="JM49" s="1638" t="s">
        <v>740</v>
      </c>
      <c r="JN49" s="1638" t="s">
        <v>741</v>
      </c>
      <c r="JO49" s="1638" t="s">
        <v>713</v>
      </c>
      <c r="JP49" s="1638" t="s">
        <v>714</v>
      </c>
      <c r="JQ49" s="1638" t="s">
        <v>715</v>
      </c>
      <c r="JR49" s="1638" t="s">
        <v>753</v>
      </c>
      <c r="JS49" s="1638" t="s">
        <v>867</v>
      </c>
      <c r="JT49" s="1638" t="s">
        <v>703</v>
      </c>
      <c r="JU49" s="1638" t="s">
        <v>708</v>
      </c>
      <c r="JV49" s="1638" t="s">
        <v>704</v>
      </c>
      <c r="JW49" s="1638" t="s">
        <v>803</v>
      </c>
      <c r="JX49" s="1638" t="s">
        <v>714</v>
      </c>
      <c r="JY49" s="1638" t="s">
        <v>715</v>
      </c>
      <c r="JZ49" s="1638" t="s">
        <v>752</v>
      </c>
      <c r="KA49" s="1638" t="s">
        <v>759</v>
      </c>
      <c r="KB49" s="1638" t="s">
        <v>760</v>
      </c>
      <c r="KC49" s="1638" t="s">
        <v>959</v>
      </c>
      <c r="KD49" s="1638" t="s">
        <v>767</v>
      </c>
      <c r="KE49" s="1638" t="s">
        <v>768</v>
      </c>
      <c r="KF49" s="1638" t="s">
        <v>970</v>
      </c>
      <c r="KG49" s="1638" t="s">
        <v>971</v>
      </c>
      <c r="KH49" s="1638" t="s">
        <v>744</v>
      </c>
      <c r="KI49" s="1638" t="s">
        <v>752</v>
      </c>
      <c r="KJ49" s="1638" t="s">
        <v>972</v>
      </c>
      <c r="KK49" s="1638" t="s">
        <v>721</v>
      </c>
      <c r="KL49" s="1638" t="s">
        <v>976</v>
      </c>
      <c r="KM49" s="1638" t="s">
        <v>752</v>
      </c>
      <c r="KN49" s="1638" t="s">
        <v>717</v>
      </c>
      <c r="KO49" s="1638" t="s">
        <v>753</v>
      </c>
      <c r="KP49" s="1638" t="s">
        <v>868</v>
      </c>
    </row>
    <row r="50" spans="1:302" s="1653" customFormat="1" ht="59.25" customHeight="1">
      <c r="A50" s="1652">
        <f>A49+30</f>
        <v>45839</v>
      </c>
      <c r="C50" s="1654">
        <f t="shared" si="18"/>
        <v>45839</v>
      </c>
      <c r="D50" s="1655" t="str">
        <f t="shared" si="19"/>
        <v/>
      </c>
      <c r="E50" s="1653" t="str">
        <f t="shared" si="20"/>
        <v/>
      </c>
      <c r="F50" s="1653" t="str">
        <f t="shared" si="21"/>
        <v/>
      </c>
      <c r="G50" s="1652" t="str">
        <f t="shared" si="22"/>
        <v/>
      </c>
      <c r="H50" s="1652">
        <f t="shared" si="23"/>
        <v>45839</v>
      </c>
      <c r="N50" s="1655" t="s">
        <v>296</v>
      </c>
      <c r="O50" s="1655" t="str">
        <f>'F1  Cover'!A32</f>
        <v xml:space="preserve">Esc </v>
      </c>
      <c r="P50" s="1655" t="str">
        <f>'F1  Cover'!B38</f>
        <v>Retention @ 10%</v>
      </c>
      <c r="Q50" s="1655" t="str">
        <f>'Pg 1 Payment'!B26</f>
        <v>Deduct: Previous certificate (A)</v>
      </c>
      <c r="R50" s="1655" t="str">
        <f>'Pg 1 Payment'!B26</f>
        <v>Deduct: Previous certificate (A)</v>
      </c>
      <c r="S50" s="1655" t="str">
        <f>'Pg 2 Sum Scheduled'!B29</f>
        <v>Deduct: Previous Certificate Escalatable work (C)</v>
      </c>
      <c r="T50" s="1655" t="str">
        <f>'Pg 2 Sum Scheduled'!B29</f>
        <v>Deduct: Previous Certificate Escalatable work (C)</v>
      </c>
      <c r="U50" s="1655" t="str">
        <f>'C3.2'!B9</f>
        <v>(a)   Initial Assessment</v>
      </c>
      <c r="V50" s="1655" t="str">
        <f>'C3.2'!B10</f>
        <v>(b)   Disbursements</v>
      </c>
      <c r="W50" s="1655" t="str">
        <f>'C3.2'!B12</f>
        <v>(a)   Visual survey</v>
      </c>
      <c r="X50" s="1655" t="str">
        <f>'C3.2'!B13</f>
        <v xml:space="preserve">(b)   Disbursements </v>
      </c>
      <c r="Y50" s="1655" t="str">
        <f>'C3.2'!B15</f>
        <v>(a)   Project assessment report</v>
      </c>
      <c r="Z50" s="1655" t="str">
        <f>'C3.2'!B16</f>
        <v>(b)   Disbursements</v>
      </c>
      <c r="AA50" s="1653" t="str">
        <f>'C3.3'!B9</f>
        <v>(a) Survey Services when procured by service provider</v>
      </c>
      <c r="AB50" s="1653" t="str">
        <f>'C3.3'!B10</f>
        <v>(b) Cost for procuring and managing sub-service providerService Provider under sub-item 3.3.1(a)</v>
      </c>
      <c r="AC50" s="1653" t="str">
        <f>'C3.3'!B11</f>
        <v>(c) Cost when making use of SANRAL’s Property Service Providers</v>
      </c>
      <c r="AD50" s="1653" t="str">
        <f>'C3.3'!B17</f>
        <v>(a) Environmental services during design stage</v>
      </c>
      <c r="AE50" s="1653" t="str">
        <f>'C3.3'!B18</f>
        <v>(b) Cost for procuring and managing sub-service provider under sub-item 3.3.3(a)</v>
      </c>
      <c r="AF50" s="1653" t="str">
        <f>'C3.3'!B22</f>
        <v>(c)  Administration and monitoring of the geotechnical and/or drilling contract by the engineer</v>
      </c>
      <c r="AG50" s="1653" t="str">
        <f>'C3.3'!B24</f>
        <v xml:space="preserve">    (i)   Full time</v>
      </c>
      <c r="AH50" s="1653" t="str">
        <f>'C3.3'!B25</f>
        <v>(ii)  Engineering Geologist for logging of cores and Profiling of test pits</v>
      </c>
      <c r="AI50" s="1653" t="str">
        <f>'C3.3'!B20</f>
        <v>(a) Professional Service for Geotechnical and/or Drilling services investigations</v>
      </c>
      <c r="AJ50" s="1653" t="str">
        <f>'C3.3'!B21</f>
        <v>(b) Handling costs for planning, procuring professional services for geotechnical and/or drilling investigations i.r.o. item 3.3.4(a)</v>
      </c>
      <c r="AK50" s="1653" t="str">
        <f>'C3.4'!C104</f>
        <v>provisional sum (PS)</v>
      </c>
      <c r="AL50" s="1653" t="str">
        <f>'C3.4'!C105</f>
        <v>prime cost (PC)</v>
      </c>
      <c r="AM50" s="1653" t="str">
        <f>'C3.3'!B27</f>
        <v xml:space="preserve">   (iv)  Occupational Health and Safety obligations (continuous compliance and monthly audits)</v>
      </c>
      <c r="AN50" s="1653" t="str">
        <f>'C3.3'!B33</f>
        <v>(b) Pavement test pit, sampling &amp; profiling</v>
      </c>
      <c r="AO50" s="1653" t="str">
        <f>'C3.3'!B34</f>
        <v>(c)   Dynamic Cone Penetration (DCP)</v>
      </c>
      <c r="AP50" s="1653" t="str">
        <f>'C3.3'!B35</f>
        <v>(d)   Cores in asphalt layers (100/150mm dia)</v>
      </c>
      <c r="AQ50" s="1653" t="str">
        <f>'C3.3'!B36</f>
        <v>(e)   Cores in concrete layers (100/150mm dia)</v>
      </c>
      <c r="AR50" s="1653" t="str">
        <f>'C3.3'!B38</f>
        <v xml:space="preserve">    (i) Large bags</v>
      </c>
      <c r="AS50" s="1653" t="str">
        <f>'C3.3'!B39</f>
        <v xml:space="preserve">    (ii) Small bags/cores</v>
      </c>
      <c r="AT50" s="1653" t="str">
        <f>'C3.3'!B42</f>
        <v xml:space="preserve">  (i) In-situ density</v>
      </c>
      <c r="AU50" s="1653" t="str">
        <f>'C3.3'!B43</f>
        <v xml:space="preserve">  (ii)   Moisture content</v>
      </c>
      <c r="AV50" s="1653" t="str">
        <f>'C3.3'!B44</f>
        <v xml:space="preserve">  (iii)  Sieve analysis</v>
      </c>
      <c r="AW50" s="1653" t="str">
        <f>'C3.3'!B45</f>
        <v xml:space="preserve">(iv)   Atterberg limits </v>
      </c>
      <c r="AX50" s="1653" t="str">
        <f>'C3.3'!B46</f>
        <v>(v)   M.D.D + OMC (Mod AASHTO) natural</v>
      </c>
      <c r="AY50" s="1653" t="str">
        <f>'C3.3'!B47</f>
        <v>(vi)   M.D.D + OMC (Mod.AASHTO) stab.</v>
      </c>
      <c r="AZ50" s="1653" t="str">
        <f>'C3.3'!B48</f>
        <v>(vii)  CBR</v>
      </c>
      <c r="BA50" s="1653" t="str">
        <f>'C3.3'!B49</f>
        <v>(viii)  ITS (stabilised) (set of 3)</v>
      </c>
      <c r="BB50" s="1653" t="str">
        <f>'C3.3'!B50</f>
        <v>(ix)  UCS (stabilised) (set of 3)</v>
      </c>
      <c r="BC50" s="1653" t="str">
        <f>'C3.3'!B51</f>
        <v>(x)  PH value</v>
      </c>
      <c r="BD50" s="1653" t="str">
        <f>'C3.3'!B52</f>
        <v>(xi)  Wet/dry durability (150mm) (set of 3)</v>
      </c>
      <c r="BE50" s="1653" t="str">
        <f>'C3.3'!B53</f>
        <v>(xii)  Initial consumption lime/cement (ICL)</v>
      </c>
      <c r="BF50" s="1653" t="str">
        <f>'C3.3'!B54</f>
        <v>(xiii)   Ethylene glycol Durability Index</v>
      </c>
      <c r="BG50" s="1653" t="str">
        <f>'C3.3'!B55</f>
        <v>(xiv)  ACV</v>
      </c>
      <c r="BH50" s="1653" t="str">
        <f>'C3.3'!B56</f>
        <v>(xv)  10% FACT (dry)</v>
      </c>
      <c r="BI50" s="1653" t="str">
        <f>'C3.3'!B57</f>
        <v>(xvi) 10% Fact (wet)</v>
      </c>
      <c r="BJ50" s="1653" t="str">
        <f>'C3.3'!B58</f>
        <v>(xvii)  10% Fact (ethylene glycol)</v>
      </c>
      <c r="BK50" s="1653" t="str">
        <f>'C3.3'!B59</f>
        <v>(xviii) Aggregate grading</v>
      </c>
      <c r="BL50" s="1653" t="str">
        <f>'C3.3'!B60</f>
        <v>(xix) Aggregate Flakiness Index</v>
      </c>
      <c r="BM50" s="1653" t="str">
        <f>'C3.3'!B61</f>
        <v>(xx) Aggregate Average Least Dimension</v>
      </c>
      <c r="BN50" s="1653" t="str">
        <f>'C3.3'!B62</f>
        <v>(xxi) Polished Stone Value</v>
      </c>
      <c r="BO50" s="1653" t="str">
        <f>'C3.3'!B63</f>
        <v>(xxii)  Sand Equivalent</v>
      </c>
      <c r="BP50" s="1653" t="str">
        <f>'C3.3'!B64</f>
        <v>(xxiii) Bitumen content and grading</v>
      </c>
      <c r="BQ50" s="1653" t="str">
        <f>'C3.3'!B65</f>
        <v>(xxiv) Asphalt void content (cores)</v>
      </c>
      <c r="BR50" s="1653" t="str">
        <f>'C3.3'!B66</f>
        <v>(xxv)  Binder recovery (Absom)</v>
      </c>
      <c r="BS50" s="1653" t="str">
        <f>'C3.3'!B67</f>
        <v>(xxvi) Bitumen penetration</v>
      </c>
      <c r="BT50" s="1653" t="str">
        <f>'C3.3'!B68</f>
        <v>(xxvii) Bitumen softening point</v>
      </c>
      <c r="BU50" s="1653" t="str">
        <f>'C3.3'!B69</f>
        <v>(xxviii)  Sand Patch</v>
      </c>
      <c r="BV50" s="1653" t="str">
        <f>'C3.3'!B70</f>
        <v>(b) Laboratory Testing where no schedule is available, or specialised testing</v>
      </c>
      <c r="BW50" s="1653" t="str">
        <f>'C3.4'!$B10</f>
        <v>(i)   Fee (based on Employer’s estimated cost of the works)</v>
      </c>
      <c r="BX50" s="1653" t="str">
        <f>'C3.4'!$B13</f>
        <v>(i)   Fee (based on Employer’s estimated cost of the works)</v>
      </c>
      <c r="BY50" s="1653" t="str">
        <f>'C3.4'!$B16</f>
        <v>(i)   Fee (based on Employer’s estimated cost of the works)</v>
      </c>
      <c r="BZ50" s="1653" t="str">
        <f>'C3.4'!$B19</f>
        <v>(i)   Fee (based on Employer’s estimated cost of the works)</v>
      </c>
      <c r="CA50" s="1653" t="str">
        <f>'C3.4'!$B22</f>
        <v>(i)   Fee (based on Employer’s estimated cost of the works)</v>
      </c>
      <c r="CB50" s="1653" t="str">
        <f>'C3.4'!$B25</f>
        <v>(i)   Fee (based on Employer’s estimated cost of the works)</v>
      </c>
      <c r="CC50" s="1653" t="str">
        <f>'C3.4'!$B28</f>
        <v>(i)   Fee (based on Employer’s estimated cost of the works)</v>
      </c>
      <c r="CD50" s="1653" t="str">
        <f>'C3.4'!$B32</f>
        <v>(i)   Fee (based on Employer’s estimated cost of the works)</v>
      </c>
      <c r="CE50" s="1653" t="str">
        <f>'C3.4'!$B35</f>
        <v>(i)   Fee (based on Employer’s estimated cost of the works)</v>
      </c>
      <c r="CF50" s="1653" t="str">
        <f>'C3.4'!$B38</f>
        <v>(i)   Fee (based on Employer’s estimated cost of the works)</v>
      </c>
      <c r="CG50" s="1653" t="str">
        <f>'C3.4'!$B41</f>
        <v>(i)   Fee (based on Employer’s estimated cost of the works)</v>
      </c>
      <c r="CH50" s="1653" t="str">
        <f>'C3.4'!$B44</f>
        <v>(i)   Fee (based on Employer’s estimated cost of the works)</v>
      </c>
      <c r="CI50" s="1653" t="str">
        <f>'C3.4'!$B47</f>
        <v>(i)   Fee (based on Employer’s estimated cost of the works)</v>
      </c>
      <c r="CJ50" s="1653" t="str">
        <f>'C3.4'!$B50</f>
        <v>(i)   Fee (based on Employer’s estimated cost of the works)</v>
      </c>
      <c r="CK50" s="1653" t="str">
        <f>'C3.4'!$B54</f>
        <v>(i)   Fee (based on Employer’s estimated cost of the works)</v>
      </c>
      <c r="CL50" s="1653" t="str">
        <f>'C3.4'!$B57</f>
        <v>(i)   Fee (based on Employer’s estimated cost of the works)</v>
      </c>
      <c r="CM50" s="1653" t="str">
        <f>'C3.4'!$B60</f>
        <v>(i)   Fee (based on Employer’s estimated cost of the works)</v>
      </c>
      <c r="CN50" s="1653" t="str">
        <f>'C3.4'!$B63</f>
        <v>(i)   Fee (based on Employer’s estimated cost of the works)</v>
      </c>
      <c r="CO50" s="1653" t="str">
        <f>'C3.4'!$B66</f>
        <v>(i)   Fee (based on Employer’s estimated cost of the works)</v>
      </c>
      <c r="CP50" s="1653" t="str">
        <f>'C3.4'!$B69</f>
        <v>(i)   Fee (based on Employer’s estimated cost of the works)</v>
      </c>
      <c r="CQ50" s="1653" t="str">
        <f>'C3.4'!$B72</f>
        <v>(i)   Fee (based on Employer’s estimated cost of the works)</v>
      </c>
      <c r="CR50" s="1653" t="str">
        <f>'C3.4'!$B75</f>
        <v>(a)   Concept design</v>
      </c>
      <c r="CS50" s="1653" t="str">
        <f>'C3.4'!$B76</f>
        <v>(b)   Preliminary design</v>
      </c>
      <c r="CT50" s="1653" t="str">
        <f>'C3.4'!$B77</f>
        <v>(c)   Detailed design</v>
      </c>
      <c r="CU50" s="1653" t="str">
        <f>'C3.4'!$B79</f>
        <v>(a)   Compilation of Property Report for each individual property (or portion thereof) required</v>
      </c>
      <c r="CV50" s="1653" t="str">
        <f>'C3.4'!$B83</f>
        <v>(a) Road Safety Audit</v>
      </c>
      <c r="CW50" s="1653" t="str">
        <f>'C3.4'!$B84</f>
        <v>(b) Handling costs i.r.o. sub item 3.4.6(a)</v>
      </c>
      <c r="CX50" s="1653" t="str">
        <f>'C3.4'!$B86</f>
        <v>(a)  Road Safety Audit</v>
      </c>
      <c r="CY50" s="1653" t="str">
        <f>'C3.4'!$B87</f>
        <v>(b)  Handling costs i.r.o. sub item 3.4.7(a)</v>
      </c>
      <c r="CZ50" s="1653" t="str">
        <f>'C3.4'!$B88</f>
        <v>Occupational Health and Safety requirements</v>
      </c>
      <c r="DA50" s="1653" t="str">
        <f>'C3.4'!$B91</f>
        <v>(i)   Assistant Project Leader (APL)</v>
      </c>
      <c r="DB50" s="1653" t="str">
        <f>'C3.4'!$B92</f>
        <v>(ii)  Assistant Design Specialist(s) (ADS)</v>
      </c>
      <c r="DC50" s="1653" t="str">
        <f>'C3.4'!$B93</f>
        <v>(iii)  Disbursements</v>
      </c>
      <c r="DD50" s="1653" t="str">
        <f>'C3.4'!$B99</f>
        <v>(a)   Review of previous phase / stage</v>
      </c>
      <c r="DE50" s="1653" t="str">
        <f>'C3.4'!$B100</f>
        <v>(b)   Review of tender documentation by original designer</v>
      </c>
      <c r="DF50" s="1653" t="str">
        <f>'C3.4'!$B101</f>
        <v>(c)   Visit to construction site by original designer</v>
      </c>
      <c r="DG50" s="1653" t="str">
        <f>'C3.4'!$B108</f>
        <v>(a)   Establishment of personnel and equipment for test pitting</v>
      </c>
      <c r="DH50" s="1653" t="str">
        <f>'C3.4'!$B109</f>
        <v>(b)   Hire and operation of excavator</v>
      </c>
      <c r="DI50" s="1653" t="str">
        <f>'C3.4'!$B111</f>
        <v>(d)   Test pit excavation by hand</v>
      </c>
      <c r="DJ50" s="1653" t="str">
        <f>'C3.4'!$B112</f>
        <v>(e)   Sampling and profiling of test pits</v>
      </c>
      <c r="DK50" s="1653" t="str">
        <f>'C3.4'!$B113</f>
        <v>(f)    DCP</v>
      </c>
      <c r="DL50" s="1653" t="str">
        <f>'C3.4'!$B115</f>
        <v xml:space="preserve">  (i) Large bags</v>
      </c>
      <c r="DM50" s="1653" t="str">
        <f>'C3.4'!$B116</f>
        <v xml:space="preserve">  (ii) Small bags</v>
      </c>
      <c r="DN50" s="1653" t="str">
        <f>'C3.4'!$B119</f>
        <v>(i) In-situ density</v>
      </c>
      <c r="DO50" s="1653" t="str">
        <f>'C3.4'!$B120</f>
        <v>(ii)   Moisture content</v>
      </c>
      <c r="DP50" s="1653" t="str">
        <f>'C3.4'!$B121</f>
        <v>(iii)  Sieve analysis</v>
      </c>
      <c r="DQ50" s="1653" t="str">
        <f>'C3.4'!$B122</f>
        <v xml:space="preserve">(iv)   Atterberg limits </v>
      </c>
      <c r="DR50" s="1653" t="str">
        <f>'C3.4'!$B123</f>
        <v>(v)   M.D.D + OMC (Mod AASHTO) natural</v>
      </c>
      <c r="DS50" s="1653" t="str">
        <f>'C3.4'!$B124</f>
        <v>(vi)   M.D.D + OMC (Mod.AASHTO) stab.</v>
      </c>
      <c r="DT50" s="1653" t="str">
        <f>'C3.4'!$B125</f>
        <v>(vii)  CBR</v>
      </c>
      <c r="DU50" s="1653" t="str">
        <f>'C3.4'!$B126</f>
        <v>(viii)  ITS (stabilised) (set of 3)</v>
      </c>
      <c r="DV50" s="1653" t="str">
        <f>'C3.4'!$B127</f>
        <v>(ix)  UCS (stabilised) (set of 3)</v>
      </c>
      <c r="DW50" s="1653" t="str">
        <f>'C3.4'!$B128</f>
        <v>(x)  PH value</v>
      </c>
      <c r="DX50" s="1653" t="str">
        <f>'C3.4'!$B129</f>
        <v>(xi)  Wet/dry durability (150mm) (set of 3)</v>
      </c>
      <c r="DY50" s="1653" t="str">
        <f>'C3.4'!$B130</f>
        <v>(xii)  Initial consumption lime/cement (ICL)</v>
      </c>
      <c r="DZ50" s="1653" t="str">
        <f>'C3.4'!$B131</f>
        <v>(xiii)   Ethylene glycol Durability Index</v>
      </c>
      <c r="EA50" s="1653" t="str">
        <f>'C3.4'!$B132</f>
        <v>(xiv)  ACV</v>
      </c>
      <c r="EB50" s="1653" t="str">
        <f>'C3.4'!$B133</f>
        <v>(xv)  10% FACT (dry)</v>
      </c>
      <c r="EC50" s="1653" t="str">
        <f>'C3.4'!$B134</f>
        <v>(xvi) 10% Fact (wet)</v>
      </c>
      <c r="ED50" s="1653" t="str">
        <f>'C3.4'!$B135</f>
        <v>(xvii)  10% Fact (ethylene glycol)</v>
      </c>
      <c r="EE50" s="1653" t="str">
        <f>'C3.4'!$B136</f>
        <v>(xviii) Aggregate grading</v>
      </c>
      <c r="EF50" s="1653" t="str">
        <f>'C3.4'!$B137</f>
        <v>(xix) Aggregate Flakiness Index</v>
      </c>
      <c r="EG50" s="1653" t="str">
        <f>'C3.4'!$B138</f>
        <v>(xx) Aggregate Average Least Dimension</v>
      </c>
      <c r="EH50" s="1653" t="str">
        <f>'C3.4'!$B139</f>
        <v>(xxi) Polished Stone Value</v>
      </c>
      <c r="EI50" s="1653" t="str">
        <f>'C3.4'!$B140</f>
        <v>(xxii)  Sand Equivalent</v>
      </c>
      <c r="EJ50" s="1653" t="str">
        <f>'C3.4'!$B141</f>
        <v>(xxiii) Bitumen content and grading</v>
      </c>
      <c r="EK50" s="1653" t="str">
        <f>'C3.4'!$B142</f>
        <v>(xxiv) Asphalt void content (cores)</v>
      </c>
      <c r="EL50" s="1653" t="str">
        <f>'C3.4'!$B143</f>
        <v>(xxv)  Binder recovery (Absom)</v>
      </c>
      <c r="EM50" s="1653" t="str">
        <f>'C3.4'!$B144</f>
        <v>(xxvi) Bitumen penetration</v>
      </c>
      <c r="EN50" s="1653" t="str">
        <f>'C3.4'!$B145</f>
        <v>(xxvii) Bitumen softening point</v>
      </c>
      <c r="EO50" s="1653" t="str">
        <f>'C3.4'!$B146</f>
        <v>(xxviii)  Sand Patch</v>
      </c>
      <c r="EP50" s="1653" t="str">
        <f>'C3.4'!$B147</f>
        <v>(b)   Laboratory Testing where no schedule is available, or specialised testing</v>
      </c>
      <c r="EQ50" s="1653" t="str">
        <f>'C3.5'!$B9</f>
        <v>(a)  Preparation of tender documentation</v>
      </c>
      <c r="ER50" s="1653" t="str">
        <f>'C3.5'!$B10</f>
        <v>(b)  Disbursements</v>
      </c>
      <c r="ES50" s="1653" t="str">
        <f>'C3.5'!$B11</f>
        <v>(c)  Tender Documents on CD/DVD</v>
      </c>
      <c r="ET50" s="1653" t="str">
        <f>'C3.6'!$B9</f>
        <v>(a)  Service Provider’s cost</v>
      </c>
      <c r="EU50" s="1653" t="str">
        <f>'C3.6'!$B10</f>
        <v>(b)  Provision for pre-recorded video</v>
      </c>
      <c r="EV50" s="1653" t="str">
        <f>'C3.6'!$B13</f>
        <v>(a)   Tender evaluation and report</v>
      </c>
      <c r="EW50" s="1653" t="str">
        <f>'C3.6'!$B14</f>
        <v>(b)   Disbursements</v>
      </c>
      <c r="EX50" s="1653" t="str">
        <f>'C3.7'!$B10</f>
        <v>(i)   Fee (based on Employer’s estimated cost of the works)</v>
      </c>
      <c r="EY50" s="1653" t="str">
        <f>'C3.7'!$B13</f>
        <v>(i)   Fee (based on Employer’s estimated cost of the works)</v>
      </c>
      <c r="EZ50" s="1653" t="str">
        <f>'C3.7'!$B16</f>
        <v>(i)   Fee (based on Employer’s estimated cost of the works)</v>
      </c>
      <c r="FA50" s="1653" t="str">
        <f>'C3.7'!$B19</f>
        <v>(i)   Fee (based on Employer’s estimated cost of the works)</v>
      </c>
      <c r="FB50" s="1653" t="str">
        <f>'C3.7'!$B22</f>
        <v>(i)   Fee (based on Employer’s estimated cost of the works)</v>
      </c>
      <c r="FC50" s="1653" t="str">
        <f>'C3.7'!$B25</f>
        <v>(i)   Fee (based on Employer’s estimated cost of the works)</v>
      </c>
      <c r="FD50" s="1653" t="str">
        <f>'C3.7'!$B28</f>
        <v>(i)   Fee (based on Employer’s estimated cost of the works)</v>
      </c>
      <c r="FE50" s="1653" t="str">
        <f>'C3.7'!$B37</f>
        <v>(a) Continuous compliance and monthly internal audits</v>
      </c>
      <c r="FF50" s="1653" t="str">
        <f>'C3.7'!$B38</f>
        <v>(b) external site audits</v>
      </c>
      <c r="FG50" s="1653" t="str">
        <f>'C3.7'!$B41</f>
        <v>(a) Relocation costs of individual site personnel</v>
      </c>
      <c r="FH50" s="1653" t="str">
        <f>'C3.7'!$B43</f>
        <v>(c) Establishment of office equipment</v>
      </c>
      <c r="FI50" s="1653" t="str">
        <f>'C3.7'!$B45</f>
        <v>(a) Site supervision staff</v>
      </c>
      <c r="FJ50" s="1653" t="str">
        <f>'C3.7'!$B47</f>
        <v>(c) Surveyor and assistants</v>
      </c>
      <c r="FK50" s="1653" t="str">
        <f>'C3.7'!$B49</f>
        <v>(e) Provision and monthly cost of office equipment</v>
      </c>
      <c r="FL50" s="1653" t="str">
        <f>'C3.7'!$B50</f>
        <v>(f) Project Liaison Officer (PLO)</v>
      </c>
      <c r="FM50" s="1653" t="str">
        <f>'C3.7'!$B52</f>
        <v>(h) Accommodation for supervisory staff</v>
      </c>
      <c r="FN50" s="1653" t="str">
        <f>'C3.7'!$B55</f>
        <v>(a)   Employer’s candidate engineers</v>
      </c>
      <c r="FO50" s="1653" t="str">
        <f>'C3.7'!$B56</f>
        <v>(b)   Students (engineering or surveying) receiving experiential training</v>
      </c>
      <c r="FP50" s="1653" t="str">
        <f>'C3.7'!$B57</f>
        <v>(c)   Student stipend</v>
      </c>
      <c r="FQ50" s="1653" t="str">
        <f>'C3.7'!$B59</f>
        <v>(a) Travelling to perform duties</v>
      </c>
      <c r="FR50" s="1653" t="str">
        <f>'C3.8'!$B10</f>
        <v xml:space="preserve">(i) Category A </v>
      </c>
      <c r="FS50" s="1653" t="str">
        <f>'C3.8'!$B11</f>
        <v xml:space="preserve">(ii) Category B </v>
      </c>
      <c r="FT50" s="1653" t="str">
        <f>'C3.8'!$B12</f>
        <v xml:space="preserve">(iii) Category C </v>
      </c>
      <c r="FU50" s="1653" t="str">
        <f>'C3.8'!$B13</f>
        <v xml:space="preserve">(iv) Category D </v>
      </c>
      <c r="FV50" s="1653" t="str">
        <f>'C3.8'!$B14</f>
        <v>(b)  Disbursements</v>
      </c>
      <c r="FW50" s="1653" t="str">
        <f>'C3.8'!$B16</f>
        <v>Additional duties by the Employer</v>
      </c>
      <c r="FX50" s="1653" t="str">
        <f>'C3.8'!$B19</f>
        <v xml:space="preserve">(i) Personnel - Category A </v>
      </c>
      <c r="FY50" s="1653" t="str">
        <f>'C3.8'!$B20</f>
        <v xml:space="preserve">(ii) Personnel - Category B </v>
      </c>
      <c r="FZ50" s="1653" t="str">
        <f>'C3.8'!$B21</f>
        <v xml:space="preserve">(iii) Personnel - Category C </v>
      </c>
      <c r="GA50" s="1653" t="str">
        <f>'C3.8'!$B22</f>
        <v xml:space="preserve">(iv) Personnel - Category D </v>
      </c>
      <c r="GB50" s="1653" t="str">
        <f>'C3.8'!$B23</f>
        <v>(b) Service or advice procured by service provider</v>
      </c>
      <c r="GC50" s="1653" t="str">
        <f>'C3.8'!$B25</f>
        <v>Training of Targeted Enterprise Understudy</v>
      </c>
      <c r="GD50" s="1653" t="str">
        <f>'C3.8'!$B26</f>
        <v>Payment and Monthly Reporting cost</v>
      </c>
      <c r="GE50" s="1653" t="str">
        <f>'C3.9'!$B9</f>
        <v>(a) Provision of a fully operational laboratory</v>
      </c>
      <c r="GF50" s="1653" t="str">
        <f>'C3.9'!$B11</f>
        <v>(c) Off-site materials testing</v>
      </c>
      <c r="GG50" s="1653" t="str">
        <f>'C3.10'!$B10</f>
        <v>(i)   Fee (based on Employer’s estimated cost of the works)</v>
      </c>
      <c r="GH50" s="1653" t="str">
        <f>'C3.10'!$B13</f>
        <v>(i)   Fee (based on Employer’s estimated cost of the works)</v>
      </c>
      <c r="GI50" s="1653" t="str">
        <f>'C3.10'!$B16</f>
        <v>(i)   Fee (based on Employer’s estimated cost of the works)</v>
      </c>
      <c r="GJ50" s="1653" t="str">
        <f>'C3.10'!$B19</f>
        <v>(i)   Fee (based on Employer’s estimated cost of the works)</v>
      </c>
      <c r="GK50" s="1653" t="str">
        <f>'C3.10'!$B22</f>
        <v>(i)   Fee (based on Employer’s estimated cost of the works)</v>
      </c>
      <c r="GL50" s="1653" t="str">
        <f>'C3.10'!$B25</f>
        <v>(i)   Fee (based on Employer’s estimated cost of the works)</v>
      </c>
      <c r="GM50" s="1653" t="str">
        <f>'C3.10'!$B28</f>
        <v>(i)   Fee (based on Employer’s estimated cost of the works)</v>
      </c>
      <c r="GN50" s="1653" t="str">
        <f>'F1  Cover'!A34</f>
        <v>WAF</v>
      </c>
      <c r="GO50" s="1653" t="str">
        <f>'F1  Cover'!A36</f>
        <v>PEN</v>
      </c>
      <c r="GP50" s="1653" t="str">
        <f>'C3.7'!$B30</f>
        <v>(h) Disbursements</v>
      </c>
      <c r="GQ50" s="1653" t="str">
        <f>'C3.4'!$B11</f>
        <v xml:space="preserve">(ii)  Fee adjustment* </v>
      </c>
      <c r="GR50" s="1653" t="str">
        <f>'C3.4'!$B11</f>
        <v xml:space="preserve">(ii)  Fee adjustment* </v>
      </c>
      <c r="GS50" s="1653" t="str">
        <f>'C3.4'!$B14</f>
        <v xml:space="preserve">(ii)  Fee adjustment* </v>
      </c>
      <c r="GT50" s="1653" t="str">
        <f>'C3.4'!$B14</f>
        <v xml:space="preserve">(ii)  Fee adjustment* </v>
      </c>
      <c r="GU50" s="1653" t="str">
        <f>'C3.4'!$B17</f>
        <v xml:space="preserve">(ii)  Fee adjustment* </v>
      </c>
      <c r="GV50" s="1653" t="str">
        <f>'C3.4'!$B17</f>
        <v xml:space="preserve">(ii)  Fee adjustment* </v>
      </c>
      <c r="GW50" s="1653" t="str">
        <f>'C3.4'!$B20</f>
        <v xml:space="preserve">(ii)  Fee adjustment* </v>
      </c>
      <c r="GX50" s="1653" t="str">
        <f>'C3.4'!$B20</f>
        <v xml:space="preserve">(ii)  Fee adjustment* </v>
      </c>
      <c r="GY50" s="1653" t="str">
        <f>'C3.4'!$B23</f>
        <v xml:space="preserve">(ii)  Fee adjustment* </v>
      </c>
      <c r="GZ50" s="1653" t="str">
        <f>'C3.4'!$B23</f>
        <v xml:space="preserve">(ii)  Fee adjustment* </v>
      </c>
      <c r="HA50" s="1653" t="str">
        <f>'C3.4'!$B26</f>
        <v xml:space="preserve">(ii)  Fee adjustment* </v>
      </c>
      <c r="HB50" s="1653" t="str">
        <f>'C3.4'!$B26</f>
        <v xml:space="preserve">(ii)  Fee adjustment* </v>
      </c>
      <c r="HC50" s="1653" t="str">
        <f>'C3.4'!$B29</f>
        <v>(ii)  Fee adjustment*</v>
      </c>
      <c r="HD50" s="1653" t="str">
        <f>'C3.4'!$B29</f>
        <v>(ii)  Fee adjustment*</v>
      </c>
      <c r="HE50" s="1653" t="str">
        <f>'C3.4'!$B33</f>
        <v xml:space="preserve">(ii)  Fee adjustment* </v>
      </c>
      <c r="HF50" s="1653" t="str">
        <f>'C3.4'!$B33</f>
        <v xml:space="preserve">(ii)  Fee adjustment* </v>
      </c>
      <c r="HG50" s="1653" t="str">
        <f>'C3.4'!$B36</f>
        <v xml:space="preserve">(ii)  Fee adjustment* </v>
      </c>
      <c r="HH50" s="1653" t="str">
        <f>'C3.4'!$B36</f>
        <v xml:space="preserve">(ii)  Fee adjustment* </v>
      </c>
      <c r="HI50" s="1653" t="str">
        <f>'C3.4'!$B39</f>
        <v xml:space="preserve">(ii)  Fee adjustment* </v>
      </c>
      <c r="HJ50" s="1653" t="str">
        <f>'C3.4'!$B39</f>
        <v xml:space="preserve">(ii)  Fee adjustment* </v>
      </c>
      <c r="HK50" s="1653" t="str">
        <f>'C3.4'!$B42</f>
        <v xml:space="preserve">(ii)  Fee adjustment* </v>
      </c>
      <c r="HL50" s="1653" t="str">
        <f>'C3.4'!$B42</f>
        <v xml:space="preserve">(ii)  Fee adjustment* </v>
      </c>
      <c r="HM50" s="1653" t="str">
        <f>'C3.4'!$B45</f>
        <v xml:space="preserve">(ii)  Fee adjustment* </v>
      </c>
      <c r="HN50" s="1653" t="str">
        <f>'C3.4'!$B45</f>
        <v xml:space="preserve">(ii)  Fee adjustment* </v>
      </c>
      <c r="HO50" s="1653" t="str">
        <f>'C3.4'!$B48</f>
        <v xml:space="preserve">(ii)  Fee adjustment* </v>
      </c>
      <c r="HP50" s="1653" t="str">
        <f>'C3.4'!$B48</f>
        <v xml:space="preserve">(ii)  Fee adjustment* </v>
      </c>
      <c r="HQ50" s="1653" t="str">
        <f>'C3.4'!$B51</f>
        <v>(ii)  Fee adjustment*</v>
      </c>
      <c r="HR50" s="1653" t="str">
        <f>'C3.4'!$B51</f>
        <v>(ii)  Fee adjustment*</v>
      </c>
      <c r="HS50" s="1653" t="str">
        <f>'C3.4'!$B55</f>
        <v xml:space="preserve">(ii)  Fee adjustment* </v>
      </c>
      <c r="HT50" s="1653" t="str">
        <f>'C3.4'!$B55</f>
        <v xml:space="preserve">(ii)  Fee adjustment* </v>
      </c>
      <c r="HU50" s="1653" t="str">
        <f>'C3.4'!$B58</f>
        <v xml:space="preserve">(ii)  Fee adjustment* </v>
      </c>
      <c r="HV50" s="1653" t="str">
        <f>'C3.4'!$B58</f>
        <v xml:space="preserve">(ii)  Fee adjustment* </v>
      </c>
      <c r="HW50" s="1653" t="str">
        <f>'C3.4'!$B61</f>
        <v xml:space="preserve">(ii)  Fee adjustment* </v>
      </c>
      <c r="HX50" s="1653" t="str">
        <f>'C3.4'!$B61</f>
        <v xml:space="preserve">(ii)  Fee adjustment* </v>
      </c>
      <c r="HY50" s="1653" t="str">
        <f>'C3.4'!$B64</f>
        <v xml:space="preserve">(ii)  Fee adjustment* </v>
      </c>
      <c r="HZ50" s="1653" t="str">
        <f>'C3.4'!$B64</f>
        <v xml:space="preserve">(ii)  Fee adjustment* </v>
      </c>
      <c r="IA50" s="1653" t="str">
        <f>'C3.4'!$B67</f>
        <v xml:space="preserve">(ii)  Fee adjustment* </v>
      </c>
      <c r="IB50" s="1653" t="str">
        <f>'C3.4'!$B67</f>
        <v xml:space="preserve">(ii)  Fee adjustment* </v>
      </c>
      <c r="IC50" s="1653" t="str">
        <f>'C3.4'!$B70</f>
        <v xml:space="preserve">(ii)  Fee adjustment* </v>
      </c>
      <c r="ID50" s="1653" t="str">
        <f>'C3.4'!$B70</f>
        <v xml:space="preserve">(ii)  Fee adjustment* </v>
      </c>
      <c r="IE50" s="1653" t="str">
        <f>'C3.4'!$B73</f>
        <v>(ii)  Fee adjustment*</v>
      </c>
      <c r="IF50" s="1653" t="str">
        <f>'C3.4'!$B73</f>
        <v>(ii)  Fee adjustment*</v>
      </c>
      <c r="IG50" s="1653" t="str">
        <f>'C3.7'!$B11</f>
        <v xml:space="preserve">(ii)  Fee adjustment* </v>
      </c>
      <c r="IH50" s="1653" t="str">
        <f>'C3.7'!$B11</f>
        <v xml:space="preserve">(ii)  Fee adjustment* </v>
      </c>
      <c r="II50" s="1653" t="str">
        <f>'C3.7'!$B14</f>
        <v xml:space="preserve">(ii)  Fee adjustment* </v>
      </c>
      <c r="IJ50" s="1653" t="str">
        <f>'C3.7'!$B14</f>
        <v xml:space="preserve">(ii)  Fee adjustment* </v>
      </c>
      <c r="IK50" s="1653" t="str">
        <f>'C3.7'!$B17</f>
        <v xml:space="preserve">(ii)  Fee adjustment* </v>
      </c>
      <c r="IL50" s="1653" t="str">
        <f>'C3.7'!$B17</f>
        <v xml:space="preserve">(ii)  Fee adjustment* </v>
      </c>
      <c r="IM50" s="1653" t="str">
        <f>'C3.7'!$B20</f>
        <v xml:space="preserve">(ii)  Fee adjustment* </v>
      </c>
      <c r="IN50" s="1653" t="str">
        <f>'C3.7'!$B20</f>
        <v xml:space="preserve">(ii)  Fee adjustment* </v>
      </c>
      <c r="IO50" s="1653" t="str">
        <f>'C3.7'!$B23</f>
        <v xml:space="preserve">(ii)  Fee adjustment* </v>
      </c>
      <c r="IP50" s="1653" t="str">
        <f>'C3.7'!$B23</f>
        <v xml:space="preserve">(ii)  Fee adjustment* </v>
      </c>
      <c r="IQ50" s="1653" t="str">
        <f>'C3.7'!$B26</f>
        <v xml:space="preserve">(ii)  Fee adjustment* </v>
      </c>
      <c r="IR50" s="1653" t="str">
        <f>'C3.7'!$B26</f>
        <v xml:space="preserve">(ii)  Fee adjustment* </v>
      </c>
      <c r="IS50" s="1653" t="str">
        <f>'C3.7'!$B29</f>
        <v>(ii)  Fee adjustment*</v>
      </c>
      <c r="IT50" s="1653" t="str">
        <f>'C3.7'!$B29</f>
        <v>(ii)  Fee adjustment*</v>
      </c>
      <c r="IU50" s="1653" t="str">
        <f>'C3.10'!$B11</f>
        <v xml:space="preserve">(ii)  Fee adjustment* </v>
      </c>
      <c r="IV50" s="1653" t="str">
        <f>'C3.10'!$B11</f>
        <v xml:space="preserve">(ii)  Fee adjustment* </v>
      </c>
      <c r="IW50" s="1653" t="str">
        <f>'C3.10'!$B14</f>
        <v xml:space="preserve">(ii)  Fee adjustment* </v>
      </c>
      <c r="IX50" s="1653" t="str">
        <f>'C3.10'!$B14</f>
        <v xml:space="preserve">(ii)  Fee adjustment* </v>
      </c>
      <c r="IY50" s="1653" t="str">
        <f>'C3.10'!$B17</f>
        <v xml:space="preserve">(ii)  Fee adjustment* </v>
      </c>
      <c r="IZ50" s="1653" t="str">
        <f>'C3.10'!$B17</f>
        <v xml:space="preserve">(ii)  Fee adjustment* </v>
      </c>
      <c r="JA50" s="1653" t="str">
        <f>'C3.10'!$B20</f>
        <v xml:space="preserve">(ii)  Fee adjustment* </v>
      </c>
      <c r="JB50" s="1653" t="str">
        <f>'C3.10'!$B20</f>
        <v xml:space="preserve">(ii)  Fee adjustment* </v>
      </c>
      <c r="JC50" s="1653" t="str">
        <f>'C3.10'!$B23</f>
        <v xml:space="preserve">(ii)  Fee adjustment* </v>
      </c>
      <c r="JD50" s="1653" t="str">
        <f>'C3.10'!$B23</f>
        <v xml:space="preserve">(ii)  Fee adjustment* </v>
      </c>
      <c r="JE50" s="1653" t="str">
        <f>'C3.10'!$B26</f>
        <v xml:space="preserve">(ii)  Fee adjustment* </v>
      </c>
      <c r="JF50" s="1653" t="str">
        <f>'C3.10'!$B26</f>
        <v xml:space="preserve">(ii)  Fee adjustment* </v>
      </c>
      <c r="JG50" s="1653" t="str">
        <f>'C3.10'!$B29</f>
        <v>(ii)  Fee adjustment*</v>
      </c>
      <c r="JH50" s="1653" t="str">
        <f>'C3.10'!$B29</f>
        <v>(ii)  Fee adjustment*</v>
      </c>
      <c r="JI50" s="1653" t="str">
        <f>'C3.7'!$B61</f>
        <v>(c) Toll fees</v>
      </c>
      <c r="JJ50" s="1653" t="str">
        <f>'C3.6'!B15</f>
        <v>Preparation of Works contract documents</v>
      </c>
      <c r="JK50" s="1653" t="str">
        <f>'C3.4'!$B150</f>
        <v>(a)  Services</v>
      </c>
      <c r="JL50" s="1653" t="str">
        <f>'C3.7'!$B63</f>
        <v>(a)  Service Provider’s cost</v>
      </c>
      <c r="JM50" s="1653" t="str">
        <f>'C3.7'!$B64</f>
        <v>(b)  Tender Evaluation</v>
      </c>
      <c r="JN50" s="1653" t="str">
        <f>'C3.7'!$B65</f>
        <v>(c)  Evaluation Report</v>
      </c>
      <c r="JO50" s="1653" t="str">
        <f>'C3.8'!$B28</f>
        <v>(a) Establishment of PLC</v>
      </c>
      <c r="JP50" s="1653" t="str">
        <f>'C3.8'!$B29</f>
        <v>(b)   Liaison/Meetings with the PLC during design phase</v>
      </c>
      <c r="JQ50" s="1653" t="str">
        <f>'C3.8'!$B30</f>
        <v>(c)   PLC stipend</v>
      </c>
      <c r="JR50" s="1653" t="str">
        <f>'C3.8'!$B35</f>
        <v>(a) Market analysis</v>
      </c>
      <c r="JS50" s="1653" t="str">
        <f>'C3.8'!$B36</f>
        <v>(b) Establishment and Maintenance of a Targeted Enterprise database</v>
      </c>
      <c r="JT50" s="1653" t="str">
        <f>'C3.3'!$B$13</f>
        <v>(a) Traffic Monitoring Services when procured by Service Provider</v>
      </c>
      <c r="JU50" s="1653" t="str">
        <f>'C3.3'!$B$14</f>
        <v>(b) Cost for procuring and managing sub-Service Provider under sub-item 3.3.2(a)</v>
      </c>
      <c r="JV50" s="1653" t="str">
        <f>'C3.3'!$B$15</f>
        <v>(c) Cost when making use of SANRAL’s Traffic Monitoring Service Provider (TMSP)</v>
      </c>
      <c r="JW50" s="1653" t="str">
        <f>'C3.3'!$B$26</f>
        <v xml:space="preserve">   (iii)  Accommodation costs</v>
      </c>
      <c r="JX50" s="1656" t="str">
        <f>'C3.3'!B29</f>
        <v>(i)  Geotechnical and Drilling contractor</v>
      </c>
      <c r="JY50" s="1656" t="str">
        <f>'C3.3'!B30</f>
        <v xml:space="preserve">  (ii)  Handling cost for planning, procuring Contracting Services for geotechnical and drilling Works i.r.o item 3.3.4(e)(i)</v>
      </c>
      <c r="JZ50" s="1653" t="str">
        <f>'C3.3'!B32</f>
        <v>(a) Establishment of personnel and equipment for test pitting</v>
      </c>
      <c r="KA50" s="1653" t="str">
        <f>'C3.4'!$B80</f>
        <v>(b)   Conclusion of SPLUMA Agreement with relevant Municipality(ies)</v>
      </c>
      <c r="KB50" s="1653" t="str">
        <f>'C3.4'!$B81</f>
        <v>(c)   Conclusion of addendums to the SPLUMA Agreement(s)</v>
      </c>
      <c r="KC50" s="1653" t="str">
        <f>'C3.4'!$B95</f>
        <v>(i)   Candidate engineers</v>
      </c>
      <c r="KD50" s="1653" t="str">
        <f>'C3.4'!$B96</f>
        <v>(ii)  Students experiential training</v>
      </c>
      <c r="KE50" s="1653" t="str">
        <f>'C3.4'!$B97</f>
        <v>(iii)  Student stipend</v>
      </c>
      <c r="KF50" s="1653" t="str">
        <f>'C3.4'!$B153</f>
        <v>(a)   Regional Gateway Review</v>
      </c>
      <c r="KG50" s="1653" t="str">
        <f>'C3.4'!$B154</f>
        <v>(b)   National Gateway Review</v>
      </c>
      <c r="KH50" s="1653" t="str">
        <f>'C3.7'!$B68</f>
        <v>(b)  Cost for procuring and managing sub-service provider under sub-item 3.7.8(a)</v>
      </c>
      <c r="KI50" s="1653" t="str">
        <f>'C3.8'!$B32</f>
        <v>(e) Training of PLC members</v>
      </c>
      <c r="KJ50" s="1653" t="str">
        <f>'C3.8'!$B37</f>
        <v>(c) Establishment and Maintenance of a Targeted Labour database</v>
      </c>
      <c r="KK50" s="1653" t="str">
        <f>'C3.8'!$B39</f>
        <v>(a) Social Facilitator</v>
      </c>
      <c r="KL50" s="1653" t="str">
        <f>'C3.7'!$B31</f>
        <v>(i)  Administration and Monitoring of the Works Contract for extended Works Contract period from the original Employer’s estimate</v>
      </c>
      <c r="KM50" s="1653" t="str">
        <f>'C3.7'!$B32</f>
        <v>(j)  Administration and Monitoring of the Works Contract for prolonged site stoppages not under the control of the Employer</v>
      </c>
      <c r="KN50" s="1653" t="str">
        <f>'C3.7'!$B34</f>
        <v>(i)   Assistant Contract Engineer</v>
      </c>
      <c r="KO50" s="1653" t="str">
        <f>'C3.7'!$B35</f>
        <v>(ii)  Disbursements</v>
      </c>
      <c r="KP50" s="1653" t="str">
        <f>'C3.7'!$B67</f>
        <v>(a)  Environmental services</v>
      </c>
    </row>
    <row r="51" spans="1:302">
      <c r="A51" s="1635">
        <f>A50+31</f>
        <v>45870</v>
      </c>
      <c r="C51" s="1642">
        <f t="shared" si="18"/>
        <v>45870</v>
      </c>
      <c r="D51" s="1638" t="str">
        <f t="shared" si="19"/>
        <v/>
      </c>
      <c r="E51" s="1633" t="str">
        <f t="shared" si="20"/>
        <v/>
      </c>
      <c r="F51" s="1633" t="str">
        <f t="shared" si="21"/>
        <v/>
      </c>
      <c r="G51" s="1635" t="str">
        <f t="shared" si="22"/>
        <v/>
      </c>
      <c r="H51" s="1635">
        <f t="shared" si="23"/>
        <v>45870</v>
      </c>
      <c r="GQ51" s="1633" t="s">
        <v>864</v>
      </c>
      <c r="GR51" s="1633" t="s">
        <v>865</v>
      </c>
      <c r="GS51" s="1633" t="s">
        <v>864</v>
      </c>
      <c r="GT51" s="1633" t="s">
        <v>865</v>
      </c>
      <c r="GU51" s="1633" t="s">
        <v>864</v>
      </c>
      <c r="GV51" s="1633" t="s">
        <v>865</v>
      </c>
      <c r="GW51" s="1633" t="s">
        <v>864</v>
      </c>
      <c r="GX51" s="1633" t="s">
        <v>865</v>
      </c>
      <c r="GY51" s="1633" t="s">
        <v>864</v>
      </c>
      <c r="GZ51" s="1633" t="s">
        <v>865</v>
      </c>
      <c r="HA51" s="1633" t="s">
        <v>864</v>
      </c>
      <c r="HB51" s="1633" t="s">
        <v>865</v>
      </c>
      <c r="HC51" s="1633" t="s">
        <v>864</v>
      </c>
      <c r="HD51" s="1633" t="s">
        <v>865</v>
      </c>
      <c r="HE51" s="1633" t="s">
        <v>864</v>
      </c>
      <c r="HF51" s="1633" t="s">
        <v>865</v>
      </c>
      <c r="HG51" s="1633" t="s">
        <v>864</v>
      </c>
      <c r="HH51" s="1633" t="s">
        <v>865</v>
      </c>
      <c r="HI51" s="1633" t="s">
        <v>864</v>
      </c>
      <c r="HJ51" s="1633" t="s">
        <v>865</v>
      </c>
      <c r="HK51" s="1633" t="s">
        <v>864</v>
      </c>
      <c r="HL51" s="1633" t="s">
        <v>865</v>
      </c>
      <c r="HM51" s="1633" t="s">
        <v>864</v>
      </c>
      <c r="HN51" s="1633" t="s">
        <v>865</v>
      </c>
      <c r="HO51" s="1633" t="s">
        <v>864</v>
      </c>
      <c r="HP51" s="1633" t="s">
        <v>865</v>
      </c>
      <c r="HQ51" s="1633" t="s">
        <v>864</v>
      </c>
      <c r="HR51" s="1633" t="s">
        <v>865</v>
      </c>
      <c r="HS51" s="1633" t="s">
        <v>864</v>
      </c>
      <c r="HT51" s="1633" t="s">
        <v>865</v>
      </c>
      <c r="HU51" s="1633" t="s">
        <v>864</v>
      </c>
      <c r="HV51" s="1633" t="s">
        <v>865</v>
      </c>
      <c r="HW51" s="1633" t="s">
        <v>864</v>
      </c>
      <c r="HX51" s="1633" t="s">
        <v>865</v>
      </c>
      <c r="HY51" s="1633" t="s">
        <v>864</v>
      </c>
      <c r="HZ51" s="1633" t="s">
        <v>865</v>
      </c>
      <c r="IA51" s="1633" t="s">
        <v>864</v>
      </c>
      <c r="IB51" s="1633" t="s">
        <v>865</v>
      </c>
      <c r="IC51" s="1633" t="s">
        <v>864</v>
      </c>
      <c r="ID51" s="1633" t="s">
        <v>865</v>
      </c>
      <c r="IE51" s="1633" t="s">
        <v>864</v>
      </c>
      <c r="IF51" s="1633" t="s">
        <v>865</v>
      </c>
      <c r="IG51" s="1633" t="s">
        <v>864</v>
      </c>
      <c r="IH51" s="1633" t="s">
        <v>865</v>
      </c>
      <c r="II51" s="1633" t="s">
        <v>864</v>
      </c>
      <c r="IJ51" s="1633" t="s">
        <v>865</v>
      </c>
      <c r="IK51" s="1633" t="s">
        <v>864</v>
      </c>
      <c r="IL51" s="1633" t="s">
        <v>865</v>
      </c>
      <c r="IM51" s="1633" t="s">
        <v>864</v>
      </c>
      <c r="IN51" s="1633" t="s">
        <v>865</v>
      </c>
      <c r="IO51" s="1633" t="s">
        <v>864</v>
      </c>
      <c r="IP51" s="1633" t="s">
        <v>865</v>
      </c>
      <c r="IQ51" s="1633" t="s">
        <v>864</v>
      </c>
      <c r="IR51" s="1633" t="s">
        <v>865</v>
      </c>
      <c r="IS51" s="1633" t="s">
        <v>864</v>
      </c>
      <c r="IT51" s="1633" t="s">
        <v>865</v>
      </c>
      <c r="IU51" s="1633" t="s">
        <v>864</v>
      </c>
      <c r="IV51" s="1633" t="s">
        <v>865</v>
      </c>
      <c r="IW51" s="1633" t="s">
        <v>864</v>
      </c>
      <c r="IX51" s="1633" t="s">
        <v>865</v>
      </c>
      <c r="IY51" s="1633" t="s">
        <v>864</v>
      </c>
      <c r="IZ51" s="1633" t="s">
        <v>865</v>
      </c>
      <c r="JA51" s="1633" t="s">
        <v>864</v>
      </c>
      <c r="JB51" s="1633" t="s">
        <v>865</v>
      </c>
      <c r="JC51" s="1633" t="s">
        <v>864</v>
      </c>
      <c r="JD51" s="1633" t="s">
        <v>865</v>
      </c>
      <c r="JE51" s="1633" t="s">
        <v>864</v>
      </c>
      <c r="JF51" s="1633" t="s">
        <v>865</v>
      </c>
      <c r="JG51" s="1633" t="s">
        <v>864</v>
      </c>
      <c r="JH51" s="1633" t="s">
        <v>865</v>
      </c>
    </row>
    <row r="52" spans="1:302">
      <c r="A52" s="1635">
        <f>A51+31</f>
        <v>45901</v>
      </c>
      <c r="C52" s="1642">
        <f t="shared" si="18"/>
        <v>45901</v>
      </c>
      <c r="D52" s="1638" t="str">
        <f t="shared" si="19"/>
        <v/>
      </c>
      <c r="E52" s="1633" t="str">
        <f t="shared" si="20"/>
        <v/>
      </c>
      <c r="F52" s="1633" t="str">
        <f t="shared" si="21"/>
        <v/>
      </c>
      <c r="G52" s="1635" t="str">
        <f t="shared" si="22"/>
        <v/>
      </c>
      <c r="H52" s="1635">
        <f t="shared" si="23"/>
        <v>45901</v>
      </c>
      <c r="L52" s="1643" t="s">
        <v>662</v>
      </c>
      <c r="M52" s="1638">
        <f>IF(M53="",0,IF(M53=0,0,M53-1))</f>
        <v>0</v>
      </c>
      <c r="N52" s="1657">
        <f>VLOOKUP($M$52,$M$57:$ZZ$207,2,FALSE)</f>
        <v>45237</v>
      </c>
      <c r="O52" s="1658">
        <f>O56</f>
        <v>0</v>
      </c>
      <c r="P52" s="1658">
        <f>P56</f>
        <v>0</v>
      </c>
      <c r="Q52" s="1658">
        <f>VLOOKUP($M$52,$M$57:$ZZ$207,5,FALSE)</f>
        <v>0</v>
      </c>
      <c r="R52" s="1658">
        <f>VLOOKUP($M$52,$M$57:$ZZ$207,6,FALSE)</f>
        <v>0</v>
      </c>
      <c r="S52" s="1658">
        <f>VLOOKUP($M$52,$M$57:$ZZ$207,7,FALSE)</f>
        <v>0</v>
      </c>
      <c r="T52" s="1658">
        <f>VLOOKUP($M$52,$M$57:$ZZ$207,8,FALSE)</f>
        <v>0</v>
      </c>
      <c r="U52" s="1647">
        <f>VLOOKUP($M$52,$M$57:$ZZ$207,9,FALSE)</f>
        <v>0</v>
      </c>
      <c r="V52" s="1647">
        <f>VLOOKUP($M$52,$M$57:$ZZ$207,10,FALSE)</f>
        <v>0</v>
      </c>
      <c r="W52" s="1647">
        <f>VLOOKUP($M$52,$M$57:$ZZ$207,11,FALSE)</f>
        <v>0</v>
      </c>
      <c r="X52" s="1647">
        <f>VLOOKUP($M$52,$M$57:$ZZ$207,12,FALSE)</f>
        <v>0</v>
      </c>
      <c r="Y52" s="1647">
        <f>VLOOKUP($M$52,$M$57:$ZZ$207,13,FALSE)</f>
        <v>0</v>
      </c>
      <c r="Z52" s="1647">
        <f>VLOOKUP($M$52,$M$57:$ZZ$207,14,FALSE)</f>
        <v>0</v>
      </c>
      <c r="AA52" s="1647">
        <f>VLOOKUP($M$52,$M$57:$ZZ$207,15,FALSE)</f>
        <v>0</v>
      </c>
      <c r="AB52" s="1647">
        <f>VLOOKUP($M$52,$M$57:$ZZ$207,16,FALSE)</f>
        <v>0</v>
      </c>
      <c r="AC52" s="1647">
        <f>VLOOKUP($M$52,$M$57:$ZZ$207,17,FALSE)</f>
        <v>0</v>
      </c>
      <c r="AD52" s="1647">
        <f>VLOOKUP($M$52,$M$57:$ZZ$207,18,FALSE)</f>
        <v>0</v>
      </c>
      <c r="AE52" s="1647">
        <f>VLOOKUP($M$52,$M$57:$ZZ$207,19,FALSE)</f>
        <v>0</v>
      </c>
      <c r="AF52" s="1647">
        <f>VLOOKUP($M$52,$M$57:$ZZ$207,20,FALSE)</f>
        <v>0</v>
      </c>
      <c r="AG52" s="1647">
        <f>VLOOKUP($M$52,$M$57:$ZZ$207,21,FALSE)</f>
        <v>0</v>
      </c>
      <c r="AH52" s="1647">
        <f>VLOOKUP($M$52,$M$57:$ZZ$207,22,FALSE)</f>
        <v>0</v>
      </c>
      <c r="AI52" s="1647">
        <f>VLOOKUP($M$52,$M$57:$ZZ$207,23,FALSE)</f>
        <v>0</v>
      </c>
      <c r="AJ52" s="1647">
        <f>VLOOKUP($M$52,$M$57:$ZZ$207,24,FALSE)</f>
        <v>0</v>
      </c>
      <c r="AK52" s="1647">
        <f>VLOOKUP($M$52,$M$57:$ZZ$207,25,FALSE)</f>
        <v>0</v>
      </c>
      <c r="AL52" s="1647">
        <f>VLOOKUP($M$52,$M$57:$ZZ$207,26,FALSE)</f>
        <v>0</v>
      </c>
      <c r="AM52" s="1647">
        <f>VLOOKUP($M$52,$M$57:$ZZ$207,27,FALSE)</f>
        <v>0</v>
      </c>
      <c r="AN52" s="1647">
        <f>VLOOKUP($M$52,$M$57:$ZZ$207,28,FALSE)</f>
        <v>0</v>
      </c>
      <c r="AO52" s="1647">
        <f>VLOOKUP($M$52,$M$57:$ZZ$207,29,FALSE)</f>
        <v>0</v>
      </c>
      <c r="AP52" s="1647">
        <f>VLOOKUP($M$52,$M$57:$ZZ$207,30,FALSE)</f>
        <v>0</v>
      </c>
      <c r="AQ52" s="1647">
        <f>VLOOKUP($M$52,$M$57:$ZZ$207,31,FALSE)</f>
        <v>0</v>
      </c>
      <c r="AR52" s="1647">
        <f>VLOOKUP($M$52,$M$57:$ZZ$207,32,FALSE)</f>
        <v>0</v>
      </c>
      <c r="AS52" s="1647">
        <f>VLOOKUP($M$52,$M$57:$ZZ$207,33,FALSE)</f>
        <v>0</v>
      </c>
      <c r="AT52" s="1647">
        <f>VLOOKUP($M$52,$M$57:$ZZ$207,34,FALSE)</f>
        <v>0</v>
      </c>
      <c r="AU52" s="1647">
        <f>VLOOKUP($M$52,$M$57:$ZZ$207,35,FALSE)</f>
        <v>0</v>
      </c>
      <c r="AV52" s="1647">
        <f>VLOOKUP($M$52,$M$57:$ZZ$207,36,FALSE)</f>
        <v>0</v>
      </c>
      <c r="AW52" s="1647">
        <f>VLOOKUP($M$52,$M$57:$ZZ$207,37,FALSE)</f>
        <v>0</v>
      </c>
      <c r="AX52" s="1647">
        <f>VLOOKUP($M$52,$M$57:$ZZ$207,38,FALSE)</f>
        <v>0</v>
      </c>
      <c r="AY52" s="1647">
        <f>VLOOKUP($M$52,$M$57:$ZZ$207,39,FALSE)</f>
        <v>0</v>
      </c>
      <c r="AZ52" s="1647">
        <f>VLOOKUP($M$52,$M$57:$ZZ$207,40,FALSE)</f>
        <v>0</v>
      </c>
      <c r="BA52" s="1647">
        <f>VLOOKUP($M$52,$M$57:$ZZ$207,41,FALSE)</f>
        <v>0</v>
      </c>
      <c r="BB52" s="1647">
        <f>VLOOKUP($M$52,$M$57:$ZZ$207,42,FALSE)</f>
        <v>0</v>
      </c>
      <c r="BC52" s="1647">
        <f>VLOOKUP($M$52,$M$57:$ZZ$207,43,FALSE)</f>
        <v>0</v>
      </c>
      <c r="BD52" s="1647">
        <f>VLOOKUP($M$52,$M$57:$ZZ$207,44,FALSE)</f>
        <v>0</v>
      </c>
      <c r="BE52" s="1647">
        <f>VLOOKUP($M$52,$M$57:$ZZ$207,45,FALSE)</f>
        <v>0</v>
      </c>
      <c r="BF52" s="1647">
        <f>VLOOKUP($M$52,$M$57:$ZZ$207,46,FALSE)</f>
        <v>0</v>
      </c>
      <c r="BG52" s="1647">
        <f>VLOOKUP($M$52,$M$57:$ZZ$207,47,FALSE)</f>
        <v>0</v>
      </c>
      <c r="BH52" s="1647">
        <f>VLOOKUP($M$52,$M$57:$ZZ$207,48,FALSE)</f>
        <v>0</v>
      </c>
      <c r="BI52" s="1647">
        <f>VLOOKUP($M$52,$M$57:$ZZ$207,49,FALSE)</f>
        <v>0</v>
      </c>
      <c r="BJ52" s="1647">
        <f>VLOOKUP($M$52,$M$57:$ZZ$207,50,FALSE)</f>
        <v>0</v>
      </c>
      <c r="BK52" s="1647">
        <f>VLOOKUP($M$52,$M$57:$ZZ$207,51,FALSE)</f>
        <v>0</v>
      </c>
      <c r="BL52" s="1647">
        <f>VLOOKUP($M$52,$M$57:$ZZ$207,52,FALSE)</f>
        <v>0</v>
      </c>
      <c r="BM52" s="1647">
        <f>VLOOKUP($M$52,$M$57:$ZZ$207,53,FALSE)</f>
        <v>0</v>
      </c>
      <c r="BN52" s="1647">
        <f>VLOOKUP($M$52,$M$57:$ZZ$207,54,FALSE)</f>
        <v>0</v>
      </c>
      <c r="BO52" s="1647">
        <f>VLOOKUP($M$52,$M$57:$ZZ$207,55,FALSE)</f>
        <v>0</v>
      </c>
      <c r="BP52" s="1647">
        <f>VLOOKUP($M$52,$M$57:$ZZ$207,56,FALSE)</f>
        <v>0</v>
      </c>
      <c r="BQ52" s="1647">
        <f>VLOOKUP($M$52,$M$57:$ZZ$207,57,FALSE)</f>
        <v>0</v>
      </c>
      <c r="BR52" s="1647">
        <f>VLOOKUP($M$52,$M$57:$ZZ$207,58,FALSE)</f>
        <v>0</v>
      </c>
      <c r="BS52" s="1647">
        <f>VLOOKUP($M$52,$M$57:$ZZ$207,59,FALSE)</f>
        <v>0</v>
      </c>
      <c r="BT52" s="1647">
        <f>VLOOKUP($M$52,$M$57:$ZZ$207,60,FALSE)</f>
        <v>0</v>
      </c>
      <c r="BU52" s="1647">
        <f>VLOOKUP($M$52,$M$57:$ZZ$207,61,FALSE)</f>
        <v>0</v>
      </c>
      <c r="BV52" s="1647">
        <f>VLOOKUP($M$52,$M$57:$ZZ$207,62,FALSE)</f>
        <v>0</v>
      </c>
      <c r="BW52" s="1647">
        <f>VLOOKUP($M$52,$M$57:$ZZ$207,63,FALSE)</f>
        <v>0</v>
      </c>
      <c r="BX52" s="1647">
        <f>VLOOKUP($M$52,$M$57:$ZZ$207,64,FALSE)</f>
        <v>0</v>
      </c>
      <c r="BY52" s="1647">
        <f>VLOOKUP($M$52,$M$57:$ZZ$207,65,FALSE)</f>
        <v>0</v>
      </c>
      <c r="BZ52" s="1647">
        <f>VLOOKUP($M$52,$M$57:$ZZ$207,66,FALSE)</f>
        <v>0</v>
      </c>
      <c r="CA52" s="1647">
        <f>VLOOKUP($M$52,$M$57:$ZZ$207,67,FALSE)</f>
        <v>0</v>
      </c>
      <c r="CB52" s="1647">
        <f>VLOOKUP($M$52,$M$57:$ZZ$207,68,FALSE)</f>
        <v>0</v>
      </c>
      <c r="CC52" s="1647">
        <f>VLOOKUP($M$52,$M$57:$ZZ$207,69,FALSE)</f>
        <v>0</v>
      </c>
      <c r="CD52" s="1647">
        <f>VLOOKUP($M$52,$M$57:$ZZ$207,70,FALSE)</f>
        <v>0</v>
      </c>
      <c r="CE52" s="1647">
        <f>VLOOKUP($M$52,$M$57:$ZZ$207,71,FALSE)</f>
        <v>0</v>
      </c>
      <c r="CF52" s="1647">
        <f>VLOOKUP($M$52,$M$57:$ZZ$207,72,FALSE)</f>
        <v>0</v>
      </c>
      <c r="CG52" s="1647">
        <f>VLOOKUP($M$52,$M$57:$ZZ$207,73,FALSE)</f>
        <v>0</v>
      </c>
      <c r="CH52" s="1647">
        <f>VLOOKUP($M$52,$M$57:$ZZ$207,74,FALSE)</f>
        <v>0</v>
      </c>
      <c r="CI52" s="1647">
        <f>VLOOKUP($M$52,$M$57:$ZZ$207,75,FALSE)</f>
        <v>0</v>
      </c>
      <c r="CJ52" s="1647">
        <f>VLOOKUP($M$52,$M$57:$ZZ$207,76,FALSE)</f>
        <v>0</v>
      </c>
      <c r="CK52" s="1647">
        <f>VLOOKUP($M$52,$M$57:$ZZ$207,77,FALSE)</f>
        <v>0</v>
      </c>
      <c r="CL52" s="1647">
        <f>VLOOKUP($M$52,$M$57:$ZZ$207,78,FALSE)</f>
        <v>0</v>
      </c>
      <c r="CM52" s="1647">
        <f>VLOOKUP($M$52,$M$57:$ZZ$207,79,FALSE)</f>
        <v>0</v>
      </c>
      <c r="CN52" s="1647">
        <f>VLOOKUP($M$52,$M$57:$ZZ$207,80,FALSE)</f>
        <v>0</v>
      </c>
      <c r="CO52" s="1647">
        <f>VLOOKUP($M$52,$M$57:$ZZ$207,81,FALSE)</f>
        <v>0</v>
      </c>
      <c r="CP52" s="1647">
        <f>VLOOKUP($M$52,$M$57:$ZZ$207,82,FALSE)</f>
        <v>0</v>
      </c>
      <c r="CQ52" s="1647">
        <f>VLOOKUP($M$52,$M$57:$ZZ$207,83,FALSE)</f>
        <v>0</v>
      </c>
      <c r="CR52" s="1647">
        <f>VLOOKUP($M$52,$M$57:$ZZ$207,84,FALSE)</f>
        <v>0</v>
      </c>
      <c r="CS52" s="1647">
        <f>VLOOKUP($M$52,$M$57:$ZZ$207,85,FALSE)</f>
        <v>0</v>
      </c>
      <c r="CT52" s="1647">
        <f>VLOOKUP($M$52,$M$57:$ZZ$207,86,FALSE)</f>
        <v>0</v>
      </c>
      <c r="CU52" s="1647">
        <f>VLOOKUP($M$52,$M$57:$ZZ$207,87,FALSE)</f>
        <v>0</v>
      </c>
      <c r="CV52" s="1647">
        <f>VLOOKUP($M$52,$M$57:$ZZ$207,88,FALSE)</f>
        <v>0</v>
      </c>
      <c r="CW52" s="1647">
        <f>VLOOKUP($M$52,$M$57:$ZZ$207,89,FALSE)</f>
        <v>0</v>
      </c>
      <c r="CX52" s="1647">
        <f>VLOOKUP($M$52,$M$57:$ZZ$207,90,FALSE)</f>
        <v>0</v>
      </c>
      <c r="CY52" s="1647">
        <f>VLOOKUP($M$52,$M$57:$ZZ$207,91,FALSE)</f>
        <v>0</v>
      </c>
      <c r="CZ52" s="1647">
        <f>VLOOKUP($M$52,$M$57:$ZZ$207,92,FALSE)</f>
        <v>0</v>
      </c>
      <c r="DA52" s="1647">
        <f>VLOOKUP($M$52,$M$57:$ZZ$207,93,FALSE)</f>
        <v>0</v>
      </c>
      <c r="DB52" s="1647">
        <f>VLOOKUP($M$52,$M$57:$ZZ$207,94,FALSE)</f>
        <v>0</v>
      </c>
      <c r="DC52" s="1647">
        <f>VLOOKUP($M$52,$M$57:$ZZ$207,95,FALSE)</f>
        <v>0</v>
      </c>
      <c r="DD52" s="1647">
        <f>VLOOKUP($M$52,$M$57:$ZZ$207,96,FALSE)</f>
        <v>0</v>
      </c>
      <c r="DE52" s="1647">
        <f>VLOOKUP($M$52,$M$57:$ZZ$207,97,FALSE)</f>
        <v>0</v>
      </c>
      <c r="DF52" s="1647">
        <f>VLOOKUP($M$52,$M$57:$ZZ$207,98,FALSE)</f>
        <v>0</v>
      </c>
      <c r="DG52" s="1647">
        <f>VLOOKUP($M$52,$M$57:$ZZ$207,99,FALSE)</f>
        <v>0</v>
      </c>
      <c r="DH52" s="1647">
        <f>VLOOKUP($M$52,$M$57:$ZZ$207,100,FALSE)</f>
        <v>0</v>
      </c>
      <c r="DI52" s="1647">
        <f>VLOOKUP($M$52,$M$57:$ZZ$207,101,FALSE)</f>
        <v>0</v>
      </c>
      <c r="DJ52" s="1647">
        <f>VLOOKUP($M$52,$M$57:$ZZ$207,102,FALSE)</f>
        <v>0</v>
      </c>
      <c r="DK52" s="1647">
        <f>VLOOKUP($M$52,$M$57:$ZZ$207,103,FALSE)</f>
        <v>0</v>
      </c>
      <c r="DL52" s="1647">
        <f>VLOOKUP($M$52,$M$57:$ZZ$207,104,FALSE)</f>
        <v>0</v>
      </c>
      <c r="DM52" s="1647">
        <f>VLOOKUP($M$52,$M$57:$ZZ$207,105,FALSE)</f>
        <v>0</v>
      </c>
      <c r="DN52" s="1647">
        <f>VLOOKUP($M$52,$M$57:$ZZ$207,106,FALSE)</f>
        <v>0</v>
      </c>
      <c r="DO52" s="1647">
        <f>VLOOKUP($M$52,$M$57:$ZZ$207,107,FALSE)</f>
        <v>0</v>
      </c>
      <c r="DP52" s="1647">
        <f>VLOOKUP($M$52,$M$57:$ZZ$207,108,FALSE)</f>
        <v>0</v>
      </c>
      <c r="DQ52" s="1647">
        <f>VLOOKUP($M$52,$M$57:$ZZ$207,109,FALSE)</f>
        <v>0</v>
      </c>
      <c r="DR52" s="1647">
        <f>VLOOKUP($M$52,$M$57:$ZZ$207,110,FALSE)</f>
        <v>0</v>
      </c>
      <c r="DS52" s="1647">
        <f>VLOOKUP($M$52,$M$57:$ZZ$207,111,FALSE)</f>
        <v>0</v>
      </c>
      <c r="DT52" s="1647">
        <f>VLOOKUP($M$52,$M$57:$ZZ$207,112,FALSE)</f>
        <v>0</v>
      </c>
      <c r="DU52" s="1647">
        <f>VLOOKUP($M$52,$M$57:$ZZ$207,113,FALSE)</f>
        <v>0</v>
      </c>
      <c r="DV52" s="1647">
        <f>VLOOKUP($M$52,$M$57:$ZZ$207,114,FALSE)</f>
        <v>0</v>
      </c>
      <c r="DW52" s="1647">
        <f>VLOOKUP($M$52,$M$57:$ZZ$207,115,FALSE)</f>
        <v>0</v>
      </c>
      <c r="DX52" s="1647">
        <f>VLOOKUP($M$52,$M$57:$ZZ$207,116,FALSE)</f>
        <v>0</v>
      </c>
      <c r="DY52" s="1647">
        <f>VLOOKUP($M$52,$M$57:$ZZ$207,117,FALSE)</f>
        <v>0</v>
      </c>
      <c r="DZ52" s="1647">
        <f>VLOOKUP($M$52,$M$57:$ZZ$207,118,FALSE)</f>
        <v>0</v>
      </c>
      <c r="EA52" s="1647">
        <f>VLOOKUP($M$52,$M$57:$ZZ$207,119,FALSE)</f>
        <v>0</v>
      </c>
      <c r="EB52" s="1647">
        <f>VLOOKUP($M$52,$M$57:$ZZ$207,120,FALSE)</f>
        <v>0</v>
      </c>
      <c r="EC52" s="1647">
        <f>VLOOKUP($M$52,$M$57:$ZZ$207,121,FALSE)</f>
        <v>0</v>
      </c>
      <c r="ED52" s="1647">
        <f>VLOOKUP($M$52,$M$57:$ZZ$207,122,FALSE)</f>
        <v>0</v>
      </c>
      <c r="EE52" s="1647">
        <f>VLOOKUP($M$52,$M$57:$ZZ$207,123,FALSE)</f>
        <v>0</v>
      </c>
      <c r="EF52" s="1647">
        <f>VLOOKUP($M$52,$M$57:$ZZ$207,124,FALSE)</f>
        <v>0</v>
      </c>
      <c r="EG52" s="1647">
        <f>VLOOKUP($M$52,$M$57:$ZZ$207,125,FALSE)</f>
        <v>0</v>
      </c>
      <c r="EH52" s="1647">
        <f>VLOOKUP($M$52,$M$57:$ZZ$207,126,FALSE)</f>
        <v>0</v>
      </c>
      <c r="EI52" s="1647">
        <f>VLOOKUP($M$52,$M$57:$ZZ$207,127,FALSE)</f>
        <v>0</v>
      </c>
      <c r="EJ52" s="1647">
        <f>VLOOKUP($M$52,$M$57:$ZZ$207,128,FALSE)</f>
        <v>0</v>
      </c>
      <c r="EK52" s="1647">
        <f>VLOOKUP($M$52,$M$57:$ZZ$207,129,FALSE)</f>
        <v>0</v>
      </c>
      <c r="EL52" s="1647">
        <f>VLOOKUP($M$52,$M$57:$ZZ$207,130,FALSE)</f>
        <v>0</v>
      </c>
      <c r="EM52" s="1647">
        <f>VLOOKUP($M$52,$M$57:$ZZ$207,131,FALSE)</f>
        <v>0</v>
      </c>
      <c r="EN52" s="1647">
        <f>VLOOKUP($M$52,$M$57:$ZZ$207,132,FALSE)</f>
        <v>0</v>
      </c>
      <c r="EO52" s="1647">
        <f>VLOOKUP($M$52,$M$57:$ZZ$207,133,FALSE)</f>
        <v>0</v>
      </c>
      <c r="EP52" s="1647">
        <f>VLOOKUP($M$52,$M$57:$ZZ$207,134,FALSE)</f>
        <v>0</v>
      </c>
      <c r="EQ52" s="1647">
        <f>VLOOKUP($M$52,$M$57:$ZZ$207,135,FALSE)</f>
        <v>0</v>
      </c>
      <c r="ER52" s="1647">
        <f>VLOOKUP($M$52,$M$57:$ZZ$207,136,FALSE)</f>
        <v>0</v>
      </c>
      <c r="ES52" s="1647">
        <f>VLOOKUP($M$52,$M$57:$ZZ$207,137,FALSE)</f>
        <v>0</v>
      </c>
      <c r="ET52" s="1647">
        <f>VLOOKUP($M$52,$M$57:$ZZ$207,138,FALSE)</f>
        <v>0</v>
      </c>
      <c r="EU52" s="1647">
        <f>VLOOKUP($M$52,$M$57:$ZZ$207,139,FALSE)</f>
        <v>0</v>
      </c>
      <c r="EV52" s="1647">
        <f>VLOOKUP($M$52,$M$57:$ZZ$207,140,FALSE)</f>
        <v>0</v>
      </c>
      <c r="EW52" s="1647">
        <f>VLOOKUP($M$52,$M$57:$ZZ$207,141,FALSE)</f>
        <v>0</v>
      </c>
      <c r="EX52" s="1647">
        <f>VLOOKUP($M$52,$M$57:$ZZ$207,142,FALSE)</f>
        <v>0</v>
      </c>
      <c r="EY52" s="1647">
        <f>VLOOKUP($M$52,$M$57:$ZZ$207,143,FALSE)</f>
        <v>0</v>
      </c>
      <c r="EZ52" s="1647">
        <f>VLOOKUP($M$52,$M$57:$ZZ$207,144,FALSE)</f>
        <v>0</v>
      </c>
      <c r="FA52" s="1647">
        <f>VLOOKUP($M$52,$M$57:$ZZ$207,145,FALSE)</f>
        <v>0</v>
      </c>
      <c r="FB52" s="1647">
        <f>VLOOKUP($M$52,$M$57:$ZZ$207,146,FALSE)</f>
        <v>0</v>
      </c>
      <c r="FC52" s="1647">
        <f>VLOOKUP($M$52,$M$57:$ZZ$207,147,FALSE)</f>
        <v>0</v>
      </c>
      <c r="FD52" s="1647">
        <f>VLOOKUP($M$52,$M$57:$ZZ$207,148,FALSE)</f>
        <v>0</v>
      </c>
      <c r="FE52" s="1647">
        <f>VLOOKUP($M$52,$M$57:$ZZ$207,149,FALSE)</f>
        <v>0</v>
      </c>
      <c r="FF52" s="1647">
        <f>VLOOKUP($M$52,$M$57:$ZZ$207,150,FALSE)</f>
        <v>0</v>
      </c>
      <c r="FG52" s="1647">
        <f>VLOOKUP($M$52,$M$57:$ZZ$207,151,FALSE)</f>
        <v>0</v>
      </c>
      <c r="FH52" s="1647">
        <f>VLOOKUP($M$52,$M$57:$ZZ$207,152,FALSE)</f>
        <v>0</v>
      </c>
      <c r="FI52" s="1647">
        <f>VLOOKUP($M$52,$M$57:$ZZ$207,153,FALSE)</f>
        <v>0</v>
      </c>
      <c r="FJ52" s="1647">
        <f>VLOOKUP($M$52,$M$57:$ZZ$207,154,FALSE)</f>
        <v>0</v>
      </c>
      <c r="FK52" s="1647">
        <f>VLOOKUP($M$52,$M$57:$ZZ$207,155,FALSE)</f>
        <v>0</v>
      </c>
      <c r="FL52" s="1647">
        <f>VLOOKUP($M$52,$M$57:$ZZ$207,156,FALSE)</f>
        <v>0</v>
      </c>
      <c r="FM52" s="1647">
        <f>VLOOKUP($M$52,$M$57:$ZZ$207,157,FALSE)</f>
        <v>0</v>
      </c>
      <c r="FN52" s="1647">
        <f>VLOOKUP($M$52,$M$57:$ZZ$207,158,FALSE)</f>
        <v>0</v>
      </c>
      <c r="FO52" s="1647">
        <f>VLOOKUP($M$52,$M$57:$ZZ$207,159,FALSE)</f>
        <v>0</v>
      </c>
      <c r="FP52" s="1647">
        <f>VLOOKUP($M$52,$M$57:$ZZ$207,160,FALSE)</f>
        <v>0</v>
      </c>
      <c r="FQ52" s="1647">
        <f>VLOOKUP($M$52,$M$57:$ZZ$207,161,FALSE)</f>
        <v>0</v>
      </c>
      <c r="FR52" s="1647">
        <f>VLOOKUP($M$52,$M$57:$ZZ$207,162,FALSE)</f>
        <v>0</v>
      </c>
      <c r="FS52" s="1647">
        <f>VLOOKUP($M$52,$M$57:$ZZ$207,163,FALSE)</f>
        <v>0</v>
      </c>
      <c r="FT52" s="1647">
        <f>VLOOKUP($M$52,$M$57:$ZZ$207,164,FALSE)</f>
        <v>0</v>
      </c>
      <c r="FU52" s="1647">
        <f>VLOOKUP($M$52,$M$57:$ZZ$207,165,FALSE)</f>
        <v>0</v>
      </c>
      <c r="FV52" s="1647">
        <f>VLOOKUP($M$52,$M$57:$ZZ$207,166,FALSE)</f>
        <v>0</v>
      </c>
      <c r="FW52" s="1647">
        <f>VLOOKUP($M$52,$M$57:$ZZ$207,167,FALSE)</f>
        <v>0</v>
      </c>
      <c r="FX52" s="1647">
        <f>VLOOKUP($M$52,$M$57:$ZZ$207,168,FALSE)</f>
        <v>0</v>
      </c>
      <c r="FY52" s="1647">
        <f>VLOOKUP($M$52,$M$57:$ZZ$207,169,FALSE)</f>
        <v>0</v>
      </c>
      <c r="FZ52" s="1647">
        <f>VLOOKUP($M$52,$M$57:$ZZ$207,170,FALSE)</f>
        <v>0</v>
      </c>
      <c r="GA52" s="1647">
        <f>VLOOKUP($M$52,$M$57:$ZZ$207,171,FALSE)</f>
        <v>0</v>
      </c>
      <c r="GB52" s="1647">
        <f>VLOOKUP($M$52,$M$57:$ZZ$207,172,FALSE)</f>
        <v>0</v>
      </c>
      <c r="GC52" s="1647">
        <f>VLOOKUP($M$52,$M$57:$ZZ$207,173,FALSE)</f>
        <v>0</v>
      </c>
      <c r="GD52" s="1647">
        <f>VLOOKUP($M$52,$M$57:$ZZ$207,174,FALSE)</f>
        <v>0</v>
      </c>
      <c r="GE52" s="1647">
        <f>VLOOKUP($M$52,$M$57:$ZZ$207,175,FALSE)</f>
        <v>0</v>
      </c>
      <c r="GF52" s="1647">
        <f>VLOOKUP($M$52,$M$57:$ZZ$207,176,FALSE)</f>
        <v>0</v>
      </c>
      <c r="GG52" s="1647">
        <f>VLOOKUP($M$52,$M$57:$ZZ$207,177,FALSE)</f>
        <v>0</v>
      </c>
      <c r="GH52" s="1647">
        <f>VLOOKUP($M$52,$M$57:$ZZ$207,178,FALSE)</f>
        <v>0</v>
      </c>
      <c r="GI52" s="1647">
        <f>VLOOKUP($M$52,$M$57:$ZZ$207,179,FALSE)</f>
        <v>0</v>
      </c>
      <c r="GJ52" s="1647">
        <f>VLOOKUP($M$52,$M$57:$ZZ$207,180,FALSE)</f>
        <v>0</v>
      </c>
      <c r="GK52" s="1647">
        <f>VLOOKUP($M$52,$M$57:$ZZ$207,181,FALSE)</f>
        <v>0</v>
      </c>
      <c r="GL52" s="1647">
        <f>VLOOKUP($M$52,$M$57:$ZZ$207,182,FALSE)</f>
        <v>0</v>
      </c>
      <c r="GM52" s="1647">
        <f>VLOOKUP($M$52,$M$57:$ZZ$207,183,FALSE)</f>
        <v>0</v>
      </c>
      <c r="GN52" s="1647">
        <f>GN56</f>
        <v>0</v>
      </c>
      <c r="GO52" s="1647">
        <f>GO56</f>
        <v>0</v>
      </c>
      <c r="GP52" s="1647">
        <f>VLOOKUP($M$52,$M$57:$ZZ$207,186,FALSE)</f>
        <v>0</v>
      </c>
      <c r="GQ52" s="1647">
        <f>VLOOKUP($M$52,$M$57:$ZZ$207,187,FALSE)</f>
        <v>0</v>
      </c>
      <c r="GR52" s="1647">
        <f>VLOOKUP($M$52,$M$57:$ZZ$207,188,FALSE)</f>
        <v>0</v>
      </c>
      <c r="GS52" s="1647">
        <f>VLOOKUP($M$52,$M$57:$ZZ$207,189,FALSE)</f>
        <v>0</v>
      </c>
      <c r="GT52" s="1647">
        <f>VLOOKUP($M$52,$M$57:$ZZ$207,190,FALSE)</f>
        <v>0</v>
      </c>
      <c r="GU52" s="1647">
        <f>VLOOKUP($M$52,$M$57:$ZZ$207,191,FALSE)</f>
        <v>0</v>
      </c>
      <c r="GV52" s="1647">
        <f>VLOOKUP($M$52,$M$57:$ZZ$207,192,FALSE)</f>
        <v>0</v>
      </c>
      <c r="GW52" s="1647">
        <f>VLOOKUP($M$52,$M$57:$ZZ$207,193,FALSE)</f>
        <v>0</v>
      </c>
      <c r="GX52" s="1647">
        <f>VLOOKUP($M$52,$M$57:$ZZ$207,194,FALSE)</f>
        <v>0</v>
      </c>
      <c r="GY52" s="1647">
        <f>VLOOKUP($M$52,$M$57:$ZZ$207,195,FALSE)</f>
        <v>0</v>
      </c>
      <c r="GZ52" s="1647">
        <f>VLOOKUP($M$52,$M$57:$ZZ$207,196,FALSE)</f>
        <v>0</v>
      </c>
      <c r="HA52" s="1647">
        <f>VLOOKUP($M$52,$M$57:$ZZ$207,197,FALSE)</f>
        <v>0</v>
      </c>
      <c r="HB52" s="1647">
        <f>VLOOKUP($M$52,$M$57:$ZZ$207,198,FALSE)</f>
        <v>0</v>
      </c>
      <c r="HC52" s="1647">
        <f>VLOOKUP($M$52,$M$57:$ZZ$207,199,FALSE)</f>
        <v>0</v>
      </c>
      <c r="HD52" s="1647">
        <f>VLOOKUP($M$52,$M$57:$ZZ$207,200,FALSE)</f>
        <v>0</v>
      </c>
      <c r="HE52" s="1647">
        <f>VLOOKUP($M$52,$M$57:$ZZ$207,201,FALSE)</f>
        <v>0</v>
      </c>
      <c r="HF52" s="1647">
        <f>VLOOKUP($M$52,$M$57:$ZZ$207,202,FALSE)</f>
        <v>0</v>
      </c>
      <c r="HG52" s="1647">
        <f>VLOOKUP($M$52,$M$57:$ZZ$207,203,FALSE)</f>
        <v>0</v>
      </c>
      <c r="HH52" s="1647">
        <f>VLOOKUP($M$52,$M$57:$ZZ$207,204,FALSE)</f>
        <v>0</v>
      </c>
      <c r="HI52" s="1647">
        <f>VLOOKUP($M$52,$M$57:$ZZ$207,205,FALSE)</f>
        <v>0</v>
      </c>
      <c r="HJ52" s="1647">
        <f>VLOOKUP($M$52,$M$57:$ZZ$207,206,FALSE)</f>
        <v>0</v>
      </c>
      <c r="HK52" s="1647">
        <f>VLOOKUP($M$52,$M$57:$ZZ$207,207,FALSE)</f>
        <v>0</v>
      </c>
      <c r="HL52" s="1647">
        <f>VLOOKUP($M$52,$M$57:$ZZ$207,208,FALSE)</f>
        <v>0</v>
      </c>
      <c r="HM52" s="1647">
        <f>VLOOKUP($M$52,$M$57:$ZZ$207,209,FALSE)</f>
        <v>0</v>
      </c>
      <c r="HN52" s="1647">
        <f>VLOOKUP($M$52,$M$57:$ZZ$207,210,FALSE)</f>
        <v>0</v>
      </c>
      <c r="HO52" s="1647">
        <f>VLOOKUP($M$52,$M$57:$ZZ$207,211,FALSE)</f>
        <v>0</v>
      </c>
      <c r="HP52" s="1647">
        <f>VLOOKUP($M$52,$M$57:$ZZ$207,212,FALSE)</f>
        <v>0</v>
      </c>
      <c r="HQ52" s="1647">
        <f>VLOOKUP($M$52,$M$57:$ZZ$207,213,FALSE)</f>
        <v>0</v>
      </c>
      <c r="HR52" s="1647">
        <f>VLOOKUP($M$52,$M$57:$ZZ$207,214,FALSE)</f>
        <v>0</v>
      </c>
      <c r="HS52" s="1647">
        <f>VLOOKUP($M$52,$M$57:$ZZ$207,215,FALSE)</f>
        <v>0</v>
      </c>
      <c r="HT52" s="1647">
        <f>VLOOKUP($M$52,$M$57:$ZZ$207,216,FALSE)</f>
        <v>0</v>
      </c>
      <c r="HU52" s="1647">
        <f>VLOOKUP($M$52,$M$57:$ZZ$207,217,FALSE)</f>
        <v>0</v>
      </c>
      <c r="HV52" s="1647">
        <f>VLOOKUP($M$52,$M$57:$ZZ$207,218,FALSE)</f>
        <v>0</v>
      </c>
      <c r="HW52" s="1647">
        <f>VLOOKUP($M$52,$M$57:$ZZ$207,219,FALSE)</f>
        <v>0</v>
      </c>
      <c r="HX52" s="1647">
        <f>VLOOKUP($M$52,$M$57:$ZZ$207,220,FALSE)</f>
        <v>0</v>
      </c>
      <c r="HY52" s="1647">
        <f>VLOOKUP($M$52,$M$57:$ZZ$207,221,FALSE)</f>
        <v>0</v>
      </c>
      <c r="HZ52" s="1647">
        <f>VLOOKUP($M$52,$M$57:$ZZ$207,222,FALSE)</f>
        <v>0</v>
      </c>
      <c r="IA52" s="1647">
        <f>VLOOKUP($M$52,$M$57:$ZZ$207,223,FALSE)</f>
        <v>0</v>
      </c>
      <c r="IB52" s="1647">
        <f>VLOOKUP($M$52,$M$57:$ZZ$207,224,FALSE)</f>
        <v>0</v>
      </c>
      <c r="IC52" s="1647">
        <f>VLOOKUP($M$52,$M$57:$ZZ$207,225,FALSE)</f>
        <v>0</v>
      </c>
      <c r="ID52" s="1647">
        <f>VLOOKUP($M$52,$M$57:$ZZ$207,226,FALSE)</f>
        <v>0</v>
      </c>
      <c r="IE52" s="1647">
        <f>VLOOKUP($M$52,$M$57:$ZZ$207,227,FALSE)</f>
        <v>0</v>
      </c>
      <c r="IF52" s="1647">
        <f>VLOOKUP($M$52,$M$57:$ZZ$207,228,FALSE)</f>
        <v>0</v>
      </c>
      <c r="IG52" s="1647">
        <f>VLOOKUP($M$52,$M$57:$ZZ$207,229,FALSE)</f>
        <v>0</v>
      </c>
      <c r="IH52" s="1647">
        <f>VLOOKUP($M$52,$M$57:$ZZ$207,230,FALSE)</f>
        <v>0</v>
      </c>
      <c r="II52" s="1647">
        <f>VLOOKUP($M$52,$M$57:$ZZ$207,231,FALSE)</f>
        <v>0</v>
      </c>
      <c r="IJ52" s="1647">
        <f>VLOOKUP($M$52,$M$57:$ZZ$207,232,FALSE)</f>
        <v>0</v>
      </c>
      <c r="IK52" s="1647">
        <f>VLOOKUP($M$52,$M$57:$ZZ$207,233,FALSE)</f>
        <v>0</v>
      </c>
      <c r="IL52" s="1647">
        <f>VLOOKUP($M$52,$M$57:$ZZ$207,234,FALSE)</f>
        <v>0</v>
      </c>
      <c r="IM52" s="1647">
        <f>VLOOKUP($M$52,$M$57:$ZZ$207,235,FALSE)</f>
        <v>0</v>
      </c>
      <c r="IN52" s="1647">
        <f>VLOOKUP($M$52,$M$57:$ZZ$207,236,FALSE)</f>
        <v>0</v>
      </c>
      <c r="IO52" s="1647">
        <f>VLOOKUP($M$52,$M$57:$ZZ$207,237,FALSE)</f>
        <v>0</v>
      </c>
      <c r="IP52" s="1647">
        <f>VLOOKUP($M$52,$M$57:$ZZ$207,238,FALSE)</f>
        <v>0</v>
      </c>
      <c r="IQ52" s="1647">
        <f>VLOOKUP($M$52,$M$57:$ZZ$207,239,FALSE)</f>
        <v>0</v>
      </c>
      <c r="IR52" s="1647">
        <f>VLOOKUP($M$52,$M$57:$ZZ$207,240,FALSE)</f>
        <v>0</v>
      </c>
      <c r="IS52" s="1647">
        <f>VLOOKUP($M$52,$M$57:$ZZ$207,241,FALSE)</f>
        <v>0</v>
      </c>
      <c r="IT52" s="1647">
        <f>VLOOKUP($M$52,$M$57:$ZZ$207,242,FALSE)</f>
        <v>0</v>
      </c>
      <c r="IU52" s="1647">
        <f>VLOOKUP($M$52,$M$57:$ZZ$207,243,FALSE)</f>
        <v>0</v>
      </c>
      <c r="IV52" s="1647">
        <f>VLOOKUP($M$52,$M$57:$ZZ$207,244,FALSE)</f>
        <v>0</v>
      </c>
      <c r="IW52" s="1647">
        <f>VLOOKUP($M$52,$M$57:$ZZ$207,245,FALSE)</f>
        <v>0</v>
      </c>
      <c r="IX52" s="1647">
        <f>VLOOKUP($M$52,$M$57:$ZZ$207,246,FALSE)</f>
        <v>0</v>
      </c>
      <c r="IY52" s="1647">
        <f>VLOOKUP($M$52,$M$57:$ZZ$207,247,FALSE)</f>
        <v>0</v>
      </c>
      <c r="IZ52" s="1647">
        <f>VLOOKUP($M$52,$M$57:$ZZ$207,248,FALSE)</f>
        <v>0</v>
      </c>
      <c r="JA52" s="1647">
        <f>VLOOKUP($M$52,$M$57:$ZZ$207,249,FALSE)</f>
        <v>0</v>
      </c>
      <c r="JB52" s="1647">
        <f>VLOOKUP($M$52,$M$57:$ZZ$207,250,FALSE)</f>
        <v>0</v>
      </c>
      <c r="JC52" s="1647">
        <f>VLOOKUP($M$52,$M$57:$ZZ$207,251,FALSE)</f>
        <v>0</v>
      </c>
      <c r="JD52" s="1647">
        <f>VLOOKUP($M$52,$M$57:$ZZ$207,252,FALSE)</f>
        <v>0</v>
      </c>
      <c r="JE52" s="1647">
        <f>VLOOKUP($M$52,$M$57:$ZZ$207,253,FALSE)</f>
        <v>0</v>
      </c>
      <c r="JF52" s="1647">
        <f>VLOOKUP($M$52,$M$57:$ZZ$207,254,FALSE)</f>
        <v>0</v>
      </c>
      <c r="JG52" s="1647">
        <f>VLOOKUP($M$52,$M$57:$ZZ$207,255,FALSE)</f>
        <v>0</v>
      </c>
      <c r="JH52" s="1647">
        <f>VLOOKUP($M$52,$M$57:$ZZ$207,256,FALSE)</f>
        <v>0</v>
      </c>
      <c r="JI52" s="1647">
        <f>VLOOKUP($M$52,$M$57:$ZZ$207,257,FALSE)</f>
        <v>0</v>
      </c>
      <c r="JJ52" s="1647">
        <f>VLOOKUP($M$52,$M$57:$ZZ$207,258,FALSE)</f>
        <v>0</v>
      </c>
      <c r="JK52" s="1647">
        <f>VLOOKUP($M$52,$M$57:$ZZ$207,259,FALSE)</f>
        <v>0</v>
      </c>
      <c r="JL52" s="1647">
        <f>VLOOKUP($M$52,$M$57:$ZZ$207,260,FALSE)</f>
        <v>0</v>
      </c>
      <c r="JM52" s="1647">
        <f>VLOOKUP($M$52,$M$57:$ZZ$207,261,FALSE)</f>
        <v>0</v>
      </c>
      <c r="JN52" s="1647">
        <f>VLOOKUP($M$52,$M$57:$ZZ$207,262,FALSE)</f>
        <v>0</v>
      </c>
      <c r="JO52" s="1647">
        <f>VLOOKUP($M$52,$M$57:$ZZ$207,263,FALSE)</f>
        <v>0</v>
      </c>
      <c r="JP52" s="1647">
        <f>VLOOKUP($M$52,$M$57:$ZZ$207,264,FALSE)</f>
        <v>0</v>
      </c>
      <c r="JQ52" s="1647">
        <f>VLOOKUP($M$52,$M$57:$ZZ$207,265,FALSE)</f>
        <v>0</v>
      </c>
      <c r="JR52" s="1647">
        <f>VLOOKUP($M$52,$M$57:$ZZ$207,266,FALSE)</f>
        <v>0</v>
      </c>
      <c r="JS52" s="1647">
        <f>VLOOKUP($M$52,$M$57:$ZZ$207,267,FALSE)</f>
        <v>0</v>
      </c>
      <c r="JT52" s="1647">
        <f>VLOOKUP($M$52,$M$57:$ZZ$207,268,FALSE)</f>
        <v>0</v>
      </c>
      <c r="JU52" s="1647">
        <f>VLOOKUP($M$52,$M$57:$ZZ$207,269,FALSE)</f>
        <v>0</v>
      </c>
      <c r="JV52" s="1647">
        <f>VLOOKUP($M$52,$M$57:$ZZ$207,270,FALSE)</f>
        <v>0</v>
      </c>
      <c r="JW52" s="1647">
        <f>VLOOKUP($M$52,$M$57:$ZZ$207,271,FALSE)</f>
        <v>0</v>
      </c>
      <c r="JX52" s="1647">
        <f>VLOOKUP($M$52,$M$57:$ZZ$207,272,FALSE)</f>
        <v>0</v>
      </c>
      <c r="JY52" s="1647">
        <f>VLOOKUP($M$52,$M$57:$ZZ$207,273,FALSE)</f>
        <v>0</v>
      </c>
      <c r="JZ52" s="1647">
        <f>VLOOKUP($M$52,$M$57:$ZZ$207,274,FALSE)</f>
        <v>0</v>
      </c>
      <c r="KA52" s="1647">
        <f>VLOOKUP($M$52,$M$57:$ZZ$207,275,FALSE)</f>
        <v>0</v>
      </c>
      <c r="KB52" s="1647">
        <f>VLOOKUP($M$52,$M$57:$ZZ$207,276,FALSE)</f>
        <v>0</v>
      </c>
      <c r="KC52" s="1647">
        <f>VLOOKUP($M$52,$M$57:$ZZ$207,277,FALSE)</f>
        <v>0</v>
      </c>
      <c r="KD52" s="1647">
        <f>VLOOKUP($M$52,$M$57:$ZZ$207,278,FALSE)</f>
        <v>0</v>
      </c>
      <c r="KE52" s="1647">
        <f>VLOOKUP($M$52,$M$57:$ZZ$207,279,FALSE)</f>
        <v>0</v>
      </c>
      <c r="KF52" s="1647">
        <f>VLOOKUP($M$52,$M$57:$ZZ$207,280,FALSE)</f>
        <v>0</v>
      </c>
      <c r="KG52" s="1647">
        <f>VLOOKUP($M$52,$M$57:$ZZ$207,281,FALSE)</f>
        <v>0</v>
      </c>
      <c r="KH52" s="1647">
        <f>VLOOKUP($M$52,$M$57:$ZZ$207,282,FALSE)</f>
        <v>0</v>
      </c>
      <c r="KI52" s="1647">
        <f>VLOOKUP($M$52,$M$57:$ZZ$207,283,FALSE)</f>
        <v>0</v>
      </c>
      <c r="KJ52" s="1647">
        <f>VLOOKUP($M$52,$M$57:$ZZ$207,284,FALSE)</f>
        <v>0</v>
      </c>
      <c r="KK52" s="1647">
        <f>VLOOKUP($M$52,$M$57:$ZZ$207,285,FALSE)</f>
        <v>0</v>
      </c>
      <c r="KL52" s="1647">
        <f>VLOOKUP($M$52,$M$57:$ZZ$207,286,FALSE)</f>
        <v>0</v>
      </c>
      <c r="KM52" s="1647">
        <f>VLOOKUP($M$52,$M$57:$ZZ$207,287,FALSE)</f>
        <v>0</v>
      </c>
      <c r="KN52" s="1647">
        <f>VLOOKUP($M$52,$M$57:$ZZ$207,288,FALSE)</f>
        <v>0</v>
      </c>
      <c r="KO52" s="1647">
        <f>VLOOKUP($M$52,$M$57:$ZZ$207,289,FALSE)</f>
        <v>0</v>
      </c>
      <c r="KP52" s="1647">
        <f>VLOOKUP($M$52,$M$57:$ZZ$207,290,FALSE)</f>
        <v>0</v>
      </c>
    </row>
    <row r="53" spans="1:302">
      <c r="A53" s="1635">
        <f>A52+30</f>
        <v>45931</v>
      </c>
      <c r="C53" s="1642">
        <f t="shared" si="18"/>
        <v>45931</v>
      </c>
      <c r="D53" s="1638" t="str">
        <f t="shared" si="19"/>
        <v/>
      </c>
      <c r="E53" s="1633" t="str">
        <f t="shared" si="20"/>
        <v/>
      </c>
      <c r="F53" s="1633" t="str">
        <f t="shared" si="21"/>
        <v/>
      </c>
      <c r="G53" s="1635" t="str">
        <f t="shared" si="22"/>
        <v/>
      </c>
      <c r="H53" s="1635">
        <f t="shared" si="23"/>
        <v>45931</v>
      </c>
      <c r="L53" s="1643" t="s">
        <v>663</v>
      </c>
      <c r="M53" s="1659">
        <f>'F1  Cover'!K8</f>
        <v>1</v>
      </c>
      <c r="N53" s="1657">
        <f>'F1  Cover'!L8</f>
        <v>44804</v>
      </c>
      <c r="O53" s="961">
        <f>'F1  Cover'!K32</f>
        <v>0</v>
      </c>
      <c r="P53" s="961" t="e">
        <f>'F1  Cover'!K38</f>
        <v>#N/A</v>
      </c>
      <c r="Q53" s="961" t="e">
        <f>'Pg 1 Payment'!H24</f>
        <v>#N/A</v>
      </c>
      <c r="R53" s="961" t="e">
        <f>'Pg 1 Payment'!J24</f>
        <v>#N/A</v>
      </c>
      <c r="S53" s="1660" t="e">
        <f>'Pg 2 Sum Scheduled'!H28</f>
        <v>#N/A</v>
      </c>
      <c r="T53" s="1660" t="e">
        <f>'Pg 2 Sum Scheduled'!I28</f>
        <v>#N/A</v>
      </c>
      <c r="U53" s="1661">
        <f>'C3.2'!H9</f>
        <v>0</v>
      </c>
      <c r="V53" s="1661">
        <f>'C3.2'!H10</f>
        <v>0</v>
      </c>
      <c r="W53" s="1661">
        <f>'C3.2'!H12</f>
        <v>0</v>
      </c>
      <c r="X53" s="1661">
        <f>'C3.2'!H13</f>
        <v>0</v>
      </c>
      <c r="Y53" s="1661">
        <f>'C3.2'!H15</f>
        <v>0</v>
      </c>
      <c r="Z53" s="1661">
        <f>'C3.2'!H16</f>
        <v>0</v>
      </c>
      <c r="AA53" s="1661">
        <f>'C3.3'!H9</f>
        <v>0</v>
      </c>
      <c r="AB53" s="1661">
        <f>'C3.3'!H10</f>
        <v>0</v>
      </c>
      <c r="AC53" s="1661">
        <f>'C3.3'!H10</f>
        <v>0</v>
      </c>
      <c r="AD53" s="1661">
        <f>'C3.3'!H17</f>
        <v>0</v>
      </c>
      <c r="AE53" s="1661">
        <f>'C3.3'!H18</f>
        <v>0</v>
      </c>
      <c r="AF53" s="1661">
        <f>'C3.3'!H22</f>
        <v>0</v>
      </c>
      <c r="AG53" s="1661">
        <f>'C3.3'!H24</f>
        <v>0</v>
      </c>
      <c r="AH53" s="1661">
        <f>'C3.3'!H25</f>
        <v>0</v>
      </c>
      <c r="AI53" s="1661">
        <f>'C3.3'!H20</f>
        <v>0</v>
      </c>
      <c r="AJ53" s="1661">
        <f>'C3.3'!H21</f>
        <v>0</v>
      </c>
      <c r="AK53" s="1661">
        <f>'C3.4'!H104</f>
        <v>0</v>
      </c>
      <c r="AL53" s="1661">
        <f>'C3.4'!H105</f>
        <v>0</v>
      </c>
      <c r="AM53" s="1661">
        <f>'C3.3'!H27</f>
        <v>0</v>
      </c>
      <c r="AN53" s="1661">
        <f>'C3.3'!H33</f>
        <v>0</v>
      </c>
      <c r="AO53" s="1661">
        <f>'C3.3'!H34</f>
        <v>0</v>
      </c>
      <c r="AP53" s="1661">
        <f>'C3.3'!H35</f>
        <v>0</v>
      </c>
      <c r="AQ53" s="1661">
        <f>'C3.3'!H36</f>
        <v>0</v>
      </c>
      <c r="AR53" s="1661">
        <f>'C3.3'!H38</f>
        <v>0</v>
      </c>
      <c r="AS53" s="1661">
        <f>'C3.3'!H39</f>
        <v>0</v>
      </c>
      <c r="AT53" s="1661">
        <f>'C3.3'!$H42</f>
        <v>0</v>
      </c>
      <c r="AU53" s="1661">
        <f>'C3.3'!$H43</f>
        <v>0</v>
      </c>
      <c r="AV53" s="1661">
        <f>'C3.3'!$H44</f>
        <v>0</v>
      </c>
      <c r="AW53" s="1661">
        <f>'C3.3'!$H45</f>
        <v>0</v>
      </c>
      <c r="AX53" s="1661">
        <f>'C3.3'!$H46</f>
        <v>0</v>
      </c>
      <c r="AY53" s="1661">
        <f>'C3.3'!$H47</f>
        <v>0</v>
      </c>
      <c r="AZ53" s="1661">
        <f>'C3.3'!$H48</f>
        <v>0</v>
      </c>
      <c r="BA53" s="1661">
        <f>'C3.3'!$H49</f>
        <v>0</v>
      </c>
      <c r="BB53" s="1661">
        <f>'C3.3'!$H50</f>
        <v>0</v>
      </c>
      <c r="BC53" s="1661">
        <f>'C3.3'!$H51</f>
        <v>0</v>
      </c>
      <c r="BD53" s="1661">
        <f>'C3.3'!$H52</f>
        <v>0</v>
      </c>
      <c r="BE53" s="1661">
        <f>'C3.3'!$H53</f>
        <v>0</v>
      </c>
      <c r="BF53" s="1661">
        <f>'C3.3'!$H54</f>
        <v>0</v>
      </c>
      <c r="BG53" s="1661">
        <f>'C3.3'!$H55</f>
        <v>0</v>
      </c>
      <c r="BH53" s="1661">
        <f>'C3.3'!$H56</f>
        <v>0</v>
      </c>
      <c r="BI53" s="1661">
        <f>'C3.3'!$H57</f>
        <v>0</v>
      </c>
      <c r="BJ53" s="1661">
        <f>'C3.3'!$H58</f>
        <v>0</v>
      </c>
      <c r="BK53" s="1661">
        <f>'C3.3'!$H59</f>
        <v>0</v>
      </c>
      <c r="BL53" s="1661">
        <f>'C3.3'!$H60</f>
        <v>0</v>
      </c>
      <c r="BM53" s="1661">
        <f>'C3.3'!$H61</f>
        <v>0</v>
      </c>
      <c r="BN53" s="1661">
        <f>'C3.3'!$H62</f>
        <v>0</v>
      </c>
      <c r="BO53" s="1661">
        <f>'C3.3'!$H63</f>
        <v>0</v>
      </c>
      <c r="BP53" s="1661">
        <f>'C3.3'!$H64</f>
        <v>0</v>
      </c>
      <c r="BQ53" s="1661">
        <f>'C3.3'!$H65</f>
        <v>0</v>
      </c>
      <c r="BR53" s="1661">
        <f>'C3.3'!$H66</f>
        <v>0</v>
      </c>
      <c r="BS53" s="1661">
        <f>'C3.3'!$H67</f>
        <v>0</v>
      </c>
      <c r="BT53" s="1661">
        <f>'C3.3'!$H68</f>
        <v>0</v>
      </c>
      <c r="BU53" s="1661">
        <f>'C3.3'!$H69</f>
        <v>0</v>
      </c>
      <c r="BV53" s="1661">
        <f>'C3.3'!$H70</f>
        <v>0</v>
      </c>
      <c r="BW53" s="1661">
        <f>'C3.4'!$H10</f>
        <v>0</v>
      </c>
      <c r="BX53" s="1661">
        <f>'C3.4'!$H13</f>
        <v>0</v>
      </c>
      <c r="BY53" s="1661">
        <f>'C3.4'!$H16</f>
        <v>0</v>
      </c>
      <c r="BZ53" s="1661">
        <f>'C3.4'!$H19</f>
        <v>0</v>
      </c>
      <c r="CA53" s="1661">
        <f>'C3.4'!$H22</f>
        <v>0</v>
      </c>
      <c r="CB53" s="1661">
        <f>'C3.4'!$H25</f>
        <v>0</v>
      </c>
      <c r="CC53" s="1661">
        <f>'C3.4'!$H28</f>
        <v>0</v>
      </c>
      <c r="CD53" s="1661">
        <f>'C3.4'!$H32</f>
        <v>0</v>
      </c>
      <c r="CE53" s="1661">
        <f>'C3.4'!$H35</f>
        <v>0</v>
      </c>
      <c r="CF53" s="1661">
        <f>'C3.4'!$H38</f>
        <v>0</v>
      </c>
      <c r="CG53" s="1661">
        <f>'C3.4'!$H41</f>
        <v>0</v>
      </c>
      <c r="CH53" s="1661">
        <f>'C3.4'!$H44</f>
        <v>0</v>
      </c>
      <c r="CI53" s="1661">
        <f>'C3.4'!$H47</f>
        <v>0</v>
      </c>
      <c r="CJ53" s="1661">
        <f>'C3.4'!$H50</f>
        <v>0</v>
      </c>
      <c r="CK53" s="1661">
        <f>'C3.4'!$H54</f>
        <v>0</v>
      </c>
      <c r="CL53" s="1661">
        <f>'C3.4'!$H57</f>
        <v>0</v>
      </c>
      <c r="CM53" s="1661">
        <f>'C3.4'!$H60</f>
        <v>0</v>
      </c>
      <c r="CN53" s="1661">
        <f>'C3.4'!$H63</f>
        <v>0</v>
      </c>
      <c r="CO53" s="1661">
        <f>'C3.4'!$H66</f>
        <v>0</v>
      </c>
      <c r="CP53" s="1661">
        <f>'C3.4'!$H69</f>
        <v>0</v>
      </c>
      <c r="CQ53" s="1661">
        <f>'C3.4'!$H72</f>
        <v>0</v>
      </c>
      <c r="CR53" s="1661">
        <f>'C3.4'!$H75</f>
        <v>0</v>
      </c>
      <c r="CS53" s="1661">
        <f>'C3.4'!$H76</f>
        <v>0</v>
      </c>
      <c r="CT53" s="1661">
        <f>'C3.4'!$H77</f>
        <v>0</v>
      </c>
      <c r="CU53" s="1661">
        <f>'C3.4'!$H79</f>
        <v>0</v>
      </c>
      <c r="CV53" s="1661">
        <f>'C3.4'!$H83</f>
        <v>0</v>
      </c>
      <c r="CW53" s="1661">
        <f>'C3.4'!$H84</f>
        <v>0</v>
      </c>
      <c r="CX53" s="1661">
        <f>'C3.4'!$H86</f>
        <v>0</v>
      </c>
      <c r="CY53" s="1661">
        <f>'C3.4'!$H87</f>
        <v>0</v>
      </c>
      <c r="CZ53" s="1661">
        <f>'C3.4'!$H88</f>
        <v>0</v>
      </c>
      <c r="DA53" s="1661">
        <f>'C3.4'!$H91</f>
        <v>0</v>
      </c>
      <c r="DB53" s="1661">
        <f>'C3.4'!$H92</f>
        <v>0</v>
      </c>
      <c r="DC53" s="1661">
        <f>'C3.4'!$H93</f>
        <v>0</v>
      </c>
      <c r="DD53" s="1661">
        <f>'C3.4'!$H99</f>
        <v>0</v>
      </c>
      <c r="DE53" s="1661">
        <f>'C3.4'!$H100</f>
        <v>0</v>
      </c>
      <c r="DF53" s="1661">
        <f>'C3.4'!$H101</f>
        <v>0</v>
      </c>
      <c r="DG53" s="1661">
        <f>'C3.4'!$H108</f>
        <v>0</v>
      </c>
      <c r="DH53" s="1661">
        <f>'C3.4'!$H109</f>
        <v>0</v>
      </c>
      <c r="DI53" s="1661">
        <f>'C3.4'!$H111</f>
        <v>0</v>
      </c>
      <c r="DJ53" s="1661">
        <f>'C3.4'!$H112</f>
        <v>0</v>
      </c>
      <c r="DK53" s="1661">
        <f>'C3.4'!$H113</f>
        <v>0</v>
      </c>
      <c r="DL53" s="1661">
        <f>'C3.4'!$H115</f>
        <v>0</v>
      </c>
      <c r="DM53" s="1661">
        <f>'C3.4'!$H116</f>
        <v>0</v>
      </c>
      <c r="DN53" s="1661">
        <f>'C3.4'!$H119</f>
        <v>0</v>
      </c>
      <c r="DO53" s="1661">
        <f>'C3.4'!$H120</f>
        <v>0</v>
      </c>
      <c r="DP53" s="1661">
        <f>'C3.4'!$H121</f>
        <v>0</v>
      </c>
      <c r="DQ53" s="1661">
        <f>'C3.4'!$H122</f>
        <v>0</v>
      </c>
      <c r="DR53" s="1661">
        <f>'C3.4'!$H123</f>
        <v>0</v>
      </c>
      <c r="DS53" s="1661">
        <f>'C3.4'!$H124</f>
        <v>0</v>
      </c>
      <c r="DT53" s="1661">
        <f>'C3.4'!$H125</f>
        <v>0</v>
      </c>
      <c r="DU53" s="1661">
        <f>'C3.4'!$H126</f>
        <v>0</v>
      </c>
      <c r="DV53" s="1661">
        <f>'C3.4'!$H127</f>
        <v>0</v>
      </c>
      <c r="DW53" s="1661">
        <f>'C3.4'!$H128</f>
        <v>0</v>
      </c>
      <c r="DX53" s="1661">
        <f>'C3.4'!$H129</f>
        <v>0</v>
      </c>
      <c r="DY53" s="1661">
        <f>'C3.4'!$H130</f>
        <v>0</v>
      </c>
      <c r="DZ53" s="1661">
        <f>'C3.4'!$H131</f>
        <v>0</v>
      </c>
      <c r="EA53" s="1661">
        <f>'C3.4'!$H132</f>
        <v>0</v>
      </c>
      <c r="EB53" s="1661">
        <f>'C3.4'!$H133</f>
        <v>0</v>
      </c>
      <c r="EC53" s="1661">
        <f>'C3.4'!$H134</f>
        <v>0</v>
      </c>
      <c r="ED53" s="1661">
        <f>'C3.4'!$H135</f>
        <v>0</v>
      </c>
      <c r="EE53" s="1661">
        <f>'C3.4'!$H136</f>
        <v>0</v>
      </c>
      <c r="EF53" s="1661">
        <f>'C3.4'!$H137</f>
        <v>0</v>
      </c>
      <c r="EG53" s="1661">
        <f>'C3.4'!$H138</f>
        <v>0</v>
      </c>
      <c r="EH53" s="1661">
        <f>'C3.4'!$H139</f>
        <v>0</v>
      </c>
      <c r="EI53" s="1661">
        <f>'C3.4'!$H140</f>
        <v>0</v>
      </c>
      <c r="EJ53" s="1661">
        <f>'C3.4'!$H141</f>
        <v>0</v>
      </c>
      <c r="EK53" s="1661">
        <f>'C3.4'!$H142</f>
        <v>0</v>
      </c>
      <c r="EL53" s="1661">
        <f>'C3.4'!$H143</f>
        <v>0</v>
      </c>
      <c r="EM53" s="1661">
        <f>'C3.4'!$H144</f>
        <v>0</v>
      </c>
      <c r="EN53" s="1661">
        <f>'C3.4'!$H145</f>
        <v>0</v>
      </c>
      <c r="EO53" s="1661">
        <f>'C3.4'!$H146</f>
        <v>0</v>
      </c>
      <c r="EP53" s="1661">
        <f>'C3.4'!$H147</f>
        <v>0</v>
      </c>
      <c r="EQ53" s="1661">
        <f>'C3.5'!$H9</f>
        <v>0</v>
      </c>
      <c r="ER53" s="1661">
        <f>'C3.5'!$H10</f>
        <v>0</v>
      </c>
      <c r="ES53" s="1661">
        <f>'C3.5'!$H11</f>
        <v>0</v>
      </c>
      <c r="ET53" s="1661">
        <f>'C3.6'!$H9</f>
        <v>0</v>
      </c>
      <c r="EU53" s="1661">
        <f>'C3.6'!$H10</f>
        <v>0</v>
      </c>
      <c r="EV53" s="1661">
        <f>'C3.6'!$H13</f>
        <v>0</v>
      </c>
      <c r="EW53" s="1661">
        <f>'C3.6'!$H14</f>
        <v>0</v>
      </c>
      <c r="EX53" s="1661">
        <f>'C3.7'!$H10</f>
        <v>0</v>
      </c>
      <c r="EY53" s="1661">
        <f>'C3.7'!$H13</f>
        <v>0</v>
      </c>
      <c r="EZ53" s="1661">
        <f>'C3.7'!$H16</f>
        <v>0</v>
      </c>
      <c r="FA53" s="1661">
        <f>'C3.7'!$H19</f>
        <v>0</v>
      </c>
      <c r="FB53" s="1661">
        <f>'C3.7'!$H22</f>
        <v>0</v>
      </c>
      <c r="FC53" s="1661">
        <f>'C3.7'!$H25</f>
        <v>0</v>
      </c>
      <c r="FD53" s="1661">
        <f>'C3.7'!$H28</f>
        <v>0</v>
      </c>
      <c r="FE53" s="1661">
        <f>'C3.7'!$H37</f>
        <v>0</v>
      </c>
      <c r="FF53" s="1661">
        <f>'C3.7'!$H38</f>
        <v>0</v>
      </c>
      <c r="FG53" s="1661">
        <f>'C3.7'!$H41</f>
        <v>0</v>
      </c>
      <c r="FH53" s="1661">
        <f>'C3.7'!$H43</f>
        <v>0</v>
      </c>
      <c r="FI53" s="1661">
        <f>'C3.7'!$H45</f>
        <v>0</v>
      </c>
      <c r="FJ53" s="1661">
        <f>'C3.7'!$H47</f>
        <v>0</v>
      </c>
      <c r="FK53" s="1661">
        <f>'C3.7'!$H49</f>
        <v>0</v>
      </c>
      <c r="FL53" s="1661">
        <f>'C3.7'!$H50</f>
        <v>0</v>
      </c>
      <c r="FM53" s="1661">
        <f>'C3.7'!$H52</f>
        <v>0</v>
      </c>
      <c r="FN53" s="1661">
        <f>'C3.7'!$H55</f>
        <v>0</v>
      </c>
      <c r="FO53" s="1661">
        <f>'C3.7'!$H56</f>
        <v>0</v>
      </c>
      <c r="FP53" s="1661">
        <f>'C3.7'!$H57</f>
        <v>0</v>
      </c>
      <c r="FQ53" s="1661">
        <f>'C3.7'!$H59</f>
        <v>0</v>
      </c>
      <c r="FR53" s="1661">
        <f>'C3.8'!$H10</f>
        <v>0</v>
      </c>
      <c r="FS53" s="1661">
        <f>'C3.8'!$H11</f>
        <v>0</v>
      </c>
      <c r="FT53" s="1661">
        <f>'C3.8'!$H12</f>
        <v>0</v>
      </c>
      <c r="FU53" s="1661">
        <f>'C3.8'!$H13</f>
        <v>0</v>
      </c>
      <c r="FV53" s="1661">
        <f>'C3.8'!$H14</f>
        <v>0</v>
      </c>
      <c r="FW53" s="1661">
        <f>'C3.8'!$H16</f>
        <v>0</v>
      </c>
      <c r="FX53" s="1661">
        <f>'C3.8'!$H19</f>
        <v>0</v>
      </c>
      <c r="FY53" s="1661">
        <f>'C3.8'!$H20</f>
        <v>0</v>
      </c>
      <c r="FZ53" s="1661">
        <f>'C3.8'!$H21</f>
        <v>0</v>
      </c>
      <c r="GA53" s="1661">
        <f>'C3.8'!$H22</f>
        <v>0</v>
      </c>
      <c r="GB53" s="1661">
        <f>'C3.8'!$H23</f>
        <v>0</v>
      </c>
      <c r="GC53" s="1661">
        <f>'C3.8'!$H25</f>
        <v>0</v>
      </c>
      <c r="GD53" s="1661">
        <f>'C3.8'!$H26</f>
        <v>0</v>
      </c>
      <c r="GE53" s="1661">
        <f>'C3.9'!$H9</f>
        <v>0</v>
      </c>
      <c r="GF53" s="1661">
        <f>'C3.9'!$H11</f>
        <v>0</v>
      </c>
      <c r="GG53" s="1661">
        <f>'C3.10'!$H10</f>
        <v>0</v>
      </c>
      <c r="GH53" s="1661">
        <f>'C3.10'!$H13</f>
        <v>0</v>
      </c>
      <c r="GI53" s="1661">
        <f>'C3.10'!$H16</f>
        <v>0</v>
      </c>
      <c r="GJ53" s="1661">
        <f>'C3.10'!$H19</f>
        <v>0</v>
      </c>
      <c r="GK53" s="1661">
        <f>'C3.10'!$H22</f>
        <v>0</v>
      </c>
      <c r="GL53" s="1661">
        <f>'C3.10'!$H25</f>
        <v>0</v>
      </c>
      <c r="GM53" s="1661">
        <f>'C3.10'!$H28</f>
        <v>0</v>
      </c>
      <c r="GN53" s="1661">
        <f>'F1  Cover'!K34</f>
        <v>0</v>
      </c>
      <c r="GO53" s="1661">
        <f>'F1  Cover'!K36</f>
        <v>0</v>
      </c>
      <c r="GP53" s="1661">
        <f>'C3.7'!$H30</f>
        <v>0</v>
      </c>
      <c r="GQ53" s="1661">
        <f>'C3.4'!$H11</f>
        <v>0</v>
      </c>
      <c r="GR53" s="1661" t="e">
        <f>'C3.4'!$N11</f>
        <v>#N/A</v>
      </c>
      <c r="GS53" s="1661">
        <f>'C3.4'!$H14</f>
        <v>0</v>
      </c>
      <c r="GT53" s="1661" t="e">
        <f>'C3.4'!$N14</f>
        <v>#N/A</v>
      </c>
      <c r="GU53" s="1661">
        <f>'C3.4'!$H17</f>
        <v>0</v>
      </c>
      <c r="GV53" s="1661" t="e">
        <f>'C3.4'!$N17</f>
        <v>#N/A</v>
      </c>
      <c r="GW53" s="1661">
        <f>'C3.4'!$H20</f>
        <v>0</v>
      </c>
      <c r="GX53" s="1661" t="e">
        <f>'C3.4'!$N20</f>
        <v>#N/A</v>
      </c>
      <c r="GY53" s="1661">
        <f>'C3.4'!$H23</f>
        <v>0</v>
      </c>
      <c r="GZ53" s="1661" t="e">
        <f>'C3.4'!$N23</f>
        <v>#N/A</v>
      </c>
      <c r="HA53" s="1661">
        <f>'C3.4'!$H26</f>
        <v>0</v>
      </c>
      <c r="HB53" s="1661" t="e">
        <f>'C3.4'!$N26</f>
        <v>#N/A</v>
      </c>
      <c r="HC53" s="1661">
        <f>'C3.4'!$H29</f>
        <v>0</v>
      </c>
      <c r="HD53" s="1661" t="e">
        <f>'C3.4'!$N29</f>
        <v>#N/A</v>
      </c>
      <c r="HE53" s="1661">
        <f>'C3.4'!$H33</f>
        <v>0</v>
      </c>
      <c r="HF53" s="1661" t="e">
        <f>'C3.4'!$N33</f>
        <v>#N/A</v>
      </c>
      <c r="HG53" s="1661">
        <f>'C3.4'!$H36</f>
        <v>0</v>
      </c>
      <c r="HH53" s="1661" t="e">
        <f>'C3.4'!$N36</f>
        <v>#N/A</v>
      </c>
      <c r="HI53" s="1661">
        <f>'C3.4'!$H39</f>
        <v>0</v>
      </c>
      <c r="HJ53" s="1661" t="e">
        <f>'C3.4'!$N39</f>
        <v>#N/A</v>
      </c>
      <c r="HK53" s="1661">
        <f>'C3.4'!$H42</f>
        <v>0</v>
      </c>
      <c r="HL53" s="1661" t="e">
        <f>'C3.4'!$N42</f>
        <v>#N/A</v>
      </c>
      <c r="HM53" s="1661">
        <f>'C3.4'!$H45</f>
        <v>0</v>
      </c>
      <c r="HN53" s="1661" t="e">
        <f>'C3.4'!$N45</f>
        <v>#N/A</v>
      </c>
      <c r="HO53" s="1661">
        <f>'C3.4'!$H48</f>
        <v>0</v>
      </c>
      <c r="HP53" s="1661" t="e">
        <f>'C3.4'!$N48</f>
        <v>#N/A</v>
      </c>
      <c r="HQ53" s="1661">
        <f>'C3.4'!$H51</f>
        <v>0</v>
      </c>
      <c r="HR53" s="1661" t="e">
        <f>'C3.4'!$N51</f>
        <v>#N/A</v>
      </c>
      <c r="HS53" s="1661">
        <f>'C3.4'!$H55</f>
        <v>0</v>
      </c>
      <c r="HT53" s="1661" t="e">
        <f>'C3.4'!$N55</f>
        <v>#N/A</v>
      </c>
      <c r="HU53" s="1661">
        <f>'C3.4'!$H58</f>
        <v>0</v>
      </c>
      <c r="HV53" s="1661" t="e">
        <f>'C3.4'!$N58</f>
        <v>#N/A</v>
      </c>
      <c r="HW53" s="1661">
        <f>'C3.4'!$H61</f>
        <v>0</v>
      </c>
      <c r="HX53" s="1661" t="e">
        <f>'C3.4'!$N61</f>
        <v>#N/A</v>
      </c>
      <c r="HY53" s="1661">
        <f>'C3.4'!$H64</f>
        <v>0</v>
      </c>
      <c r="HZ53" s="1661" t="e">
        <f>'C3.4'!$N64</f>
        <v>#N/A</v>
      </c>
      <c r="IA53" s="1661">
        <f>'C3.4'!$H67</f>
        <v>0</v>
      </c>
      <c r="IB53" s="1661" t="e">
        <f>'C3.4'!$N67</f>
        <v>#N/A</v>
      </c>
      <c r="IC53" s="1661">
        <f>'C3.4'!$H70</f>
        <v>0</v>
      </c>
      <c r="ID53" s="1661" t="e">
        <f>'C3.4'!$N70</f>
        <v>#N/A</v>
      </c>
      <c r="IE53" s="1661">
        <f>'C3.4'!$H73</f>
        <v>0</v>
      </c>
      <c r="IF53" s="1661" t="e">
        <f>'C3.4'!$N73</f>
        <v>#N/A</v>
      </c>
      <c r="IG53" s="1661">
        <f>'C3.7'!$H11</f>
        <v>0</v>
      </c>
      <c r="IH53" s="1661" t="e">
        <f>'C3.7'!$N11</f>
        <v>#N/A</v>
      </c>
      <c r="II53" s="1661">
        <f>'C3.7'!$H14</f>
        <v>0</v>
      </c>
      <c r="IJ53" s="1661" t="e">
        <f>'C3.7'!$N14</f>
        <v>#N/A</v>
      </c>
      <c r="IK53" s="1661">
        <f>'C3.7'!$H17</f>
        <v>0</v>
      </c>
      <c r="IL53" s="1661" t="e">
        <f>'C3.7'!$N17</f>
        <v>#N/A</v>
      </c>
      <c r="IM53" s="1661">
        <f>'C3.7'!$H20</f>
        <v>0</v>
      </c>
      <c r="IN53" s="1661" t="e">
        <f>'C3.7'!$N20</f>
        <v>#N/A</v>
      </c>
      <c r="IO53" s="1661">
        <f>'C3.7'!$H23</f>
        <v>0</v>
      </c>
      <c r="IP53" s="1661" t="e">
        <f>'C3.7'!$N23</f>
        <v>#N/A</v>
      </c>
      <c r="IQ53" s="1661">
        <f>'C3.7'!$H26</f>
        <v>0</v>
      </c>
      <c r="IR53" s="1661" t="e">
        <f>'C3.7'!$N26</f>
        <v>#N/A</v>
      </c>
      <c r="IS53" s="1661">
        <f>'C3.7'!$H29</f>
        <v>0</v>
      </c>
      <c r="IT53" s="1661" t="e">
        <f>'C3.7'!$N29</f>
        <v>#N/A</v>
      </c>
      <c r="IU53" s="1661">
        <f>'C3.10'!$H11</f>
        <v>0</v>
      </c>
      <c r="IV53" s="1661" t="e">
        <f>'C3.10'!$N11</f>
        <v>#N/A</v>
      </c>
      <c r="IW53" s="1661">
        <f>'C3.10'!$H14</f>
        <v>0</v>
      </c>
      <c r="IX53" s="1661" t="e">
        <f>'C3.10'!$N14</f>
        <v>#N/A</v>
      </c>
      <c r="IY53" s="1661">
        <f>'C3.10'!$H17</f>
        <v>0</v>
      </c>
      <c r="IZ53" s="1661" t="e">
        <f>'C3.10'!$N17</f>
        <v>#N/A</v>
      </c>
      <c r="JA53" s="1661">
        <f>'C3.10'!$H20</f>
        <v>0</v>
      </c>
      <c r="JB53" s="1661" t="e">
        <f>'C3.10'!$N20</f>
        <v>#N/A</v>
      </c>
      <c r="JC53" s="1661">
        <f>'C3.10'!$H23</f>
        <v>0</v>
      </c>
      <c r="JD53" s="1661" t="e">
        <f>'C3.10'!$N23</f>
        <v>#N/A</v>
      </c>
      <c r="JE53" s="1661">
        <f>'C3.10'!$H26</f>
        <v>0</v>
      </c>
      <c r="JF53" s="1661" t="e">
        <f>'C3.10'!$N26</f>
        <v>#N/A</v>
      </c>
      <c r="JG53" s="1661">
        <f>'C3.10'!$H29</f>
        <v>0</v>
      </c>
      <c r="JH53" s="1661" t="e">
        <f>'C3.10'!$N29</f>
        <v>#N/A</v>
      </c>
      <c r="JI53" s="1661">
        <f>'C3.7'!$H61</f>
        <v>0</v>
      </c>
      <c r="JJ53" s="1661">
        <f>'C3.6'!H15</f>
        <v>0</v>
      </c>
      <c r="JK53" s="1661">
        <f>'C3.4'!$H150</f>
        <v>0</v>
      </c>
      <c r="JL53" s="1661">
        <f>'C3.7'!$H63</f>
        <v>0</v>
      </c>
      <c r="JM53" s="1661">
        <f>'C3.7'!$H64</f>
        <v>0</v>
      </c>
      <c r="JN53" s="1661">
        <f>'C3.7'!$H65</f>
        <v>0</v>
      </c>
      <c r="JO53" s="1661">
        <f>'C3.8'!$H28</f>
        <v>0</v>
      </c>
      <c r="JP53" s="1661">
        <f>'C3.8'!$H29</f>
        <v>0</v>
      </c>
      <c r="JQ53" s="1661">
        <f>'C3.8'!$H30</f>
        <v>0</v>
      </c>
      <c r="JR53" s="1661">
        <f>'C3.8'!$H35</f>
        <v>0</v>
      </c>
      <c r="JS53" s="1661">
        <f>'C3.8'!$H36</f>
        <v>0</v>
      </c>
      <c r="JT53" s="1661">
        <f>'C3.3'!$H$13</f>
        <v>0</v>
      </c>
      <c r="JU53" s="1661">
        <f>'C3.3'!$H$14</f>
        <v>0</v>
      </c>
      <c r="JV53" s="1661">
        <f>'C3.3'!$H$15</f>
        <v>0</v>
      </c>
      <c r="JW53" s="1661">
        <f>'C3.3'!$H$26</f>
        <v>0</v>
      </c>
      <c r="JX53" s="1661">
        <f>'C3.3'!H29</f>
        <v>0</v>
      </c>
      <c r="JY53" s="1661">
        <f>'C3.3'!H30</f>
        <v>0</v>
      </c>
      <c r="JZ53" s="1661">
        <f>'C3.3'!H32</f>
        <v>0</v>
      </c>
      <c r="KA53" s="1661">
        <f>'C3.4'!$H80</f>
        <v>0</v>
      </c>
      <c r="KB53" s="1661">
        <f>'C3.4'!$H81</f>
        <v>0</v>
      </c>
      <c r="KC53" s="1661">
        <f>'C3.4'!$H95</f>
        <v>0</v>
      </c>
      <c r="KD53" s="1661">
        <f>'C3.4'!$H96</f>
        <v>0</v>
      </c>
      <c r="KE53" s="1661">
        <f>'C3.4'!$H97</f>
        <v>0</v>
      </c>
      <c r="KF53" s="1661">
        <f>'C3.4'!$H153</f>
        <v>0</v>
      </c>
      <c r="KG53" s="1661">
        <f>'C3.4'!$H153</f>
        <v>0</v>
      </c>
      <c r="KH53" s="1661">
        <f>'C3.7'!$H68</f>
        <v>0</v>
      </c>
      <c r="KI53" s="1661">
        <f>'C3.8'!$H36</f>
        <v>0</v>
      </c>
      <c r="KJ53" s="1661">
        <f>'C3.8'!$H37</f>
        <v>0</v>
      </c>
      <c r="KK53" s="1661">
        <f>'C3.8'!$H39</f>
        <v>0</v>
      </c>
      <c r="KL53" s="1661">
        <f>'C3.7'!$H31</f>
        <v>0</v>
      </c>
      <c r="KM53" s="1661">
        <f>'C3.7'!$H32</f>
        <v>0</v>
      </c>
      <c r="KN53" s="1661">
        <f>'C3.7'!$H34</f>
        <v>0</v>
      </c>
      <c r="KO53" s="1661">
        <f>'C3.7'!$H35</f>
        <v>0</v>
      </c>
      <c r="KP53" s="1661">
        <f>'C3.7'!$H67</f>
        <v>0</v>
      </c>
    </row>
    <row r="54" spans="1:302">
      <c r="A54" s="1635">
        <f>A53+31</f>
        <v>45962</v>
      </c>
      <c r="C54" s="1642">
        <f t="shared" si="18"/>
        <v>45962</v>
      </c>
      <c r="D54" s="1638" t="str">
        <f t="shared" si="19"/>
        <v/>
      </c>
      <c r="E54" s="1633" t="str">
        <f t="shared" si="20"/>
        <v/>
      </c>
      <c r="F54" s="1633" t="str">
        <f t="shared" si="21"/>
        <v/>
      </c>
      <c r="G54" s="1635" t="str">
        <f t="shared" si="22"/>
        <v/>
      </c>
      <c r="H54" s="1635">
        <f t="shared" si="23"/>
        <v>45962</v>
      </c>
      <c r="L54" s="1643" t="s">
        <v>670</v>
      </c>
      <c r="M54" s="1659">
        <f>M53+1</f>
        <v>2</v>
      </c>
    </row>
    <row r="55" spans="1:302">
      <c r="A55" s="1635">
        <f>A54+30</f>
        <v>45992</v>
      </c>
      <c r="C55" s="1642">
        <f t="shared" si="18"/>
        <v>45992</v>
      </c>
      <c r="D55" s="1638" t="str">
        <f t="shared" si="19"/>
        <v/>
      </c>
      <c r="E55" s="1633" t="str">
        <f t="shared" si="20"/>
        <v/>
      </c>
      <c r="F55" s="1633" t="str">
        <f t="shared" si="21"/>
        <v/>
      </c>
      <c r="G55" s="1635" t="str">
        <f t="shared" si="22"/>
        <v/>
      </c>
      <c r="H55" s="1635">
        <f t="shared" si="23"/>
        <v>45992</v>
      </c>
    </row>
    <row r="56" spans="1:302">
      <c r="A56" s="1635">
        <f>A55+31</f>
        <v>46023</v>
      </c>
      <c r="C56" s="1642">
        <f t="shared" si="18"/>
        <v>46023</v>
      </c>
      <c r="D56" s="1638" t="str">
        <f t="shared" si="19"/>
        <v/>
      </c>
      <c r="E56" s="1633" t="str">
        <f t="shared" si="20"/>
        <v/>
      </c>
      <c r="F56" s="1633" t="str">
        <f t="shared" si="21"/>
        <v/>
      </c>
      <c r="G56" s="1635" t="str">
        <f t="shared" si="22"/>
        <v/>
      </c>
      <c r="H56" s="1635">
        <f t="shared" si="23"/>
        <v>46023</v>
      </c>
      <c r="M56" s="1633" t="s">
        <v>664</v>
      </c>
      <c r="N56" s="1633" t="s">
        <v>296</v>
      </c>
      <c r="O56" s="1658">
        <f>SUM(O57:O207)</f>
        <v>0</v>
      </c>
      <c r="P56" s="1658">
        <f>SUM(P57:P207)</f>
        <v>0</v>
      </c>
      <c r="GN56" s="1658">
        <f>SUM(GN57:GN207)</f>
        <v>0</v>
      </c>
      <c r="GO56" s="1658">
        <f>SUM(GO57:GO207)</f>
        <v>0</v>
      </c>
    </row>
    <row r="57" spans="1:302">
      <c r="A57" s="1635">
        <f>A56+31</f>
        <v>46054</v>
      </c>
      <c r="B57" s="1633" t="b">
        <f>ISNA(VLOOKUP(A57,$E$4:$E$13,1,FALSE))</f>
        <v>1</v>
      </c>
      <c r="C57" s="1642">
        <f t="shared" si="18"/>
        <v>46054</v>
      </c>
      <c r="D57" s="1638" t="str">
        <f t="shared" si="19"/>
        <v/>
      </c>
      <c r="E57" s="1633" t="str">
        <f t="shared" si="20"/>
        <v/>
      </c>
      <c r="F57" s="1633" t="str">
        <f t="shared" si="21"/>
        <v/>
      </c>
      <c r="G57" s="1635" t="str">
        <f t="shared" si="22"/>
        <v/>
      </c>
      <c r="H57" s="1635">
        <f t="shared" si="23"/>
        <v>46054</v>
      </c>
      <c r="M57" s="1638">
        <v>0</v>
      </c>
      <c r="N57" s="1657">
        <f>$K$1023</f>
        <v>45237</v>
      </c>
      <c r="O57" s="1658">
        <v>0</v>
      </c>
      <c r="P57" s="1658">
        <v>0</v>
      </c>
      <c r="Q57" s="1658">
        <v>0</v>
      </c>
      <c r="R57" s="1658">
        <v>0</v>
      </c>
      <c r="S57" s="1658">
        <v>0</v>
      </c>
      <c r="T57" s="1658">
        <v>0</v>
      </c>
      <c r="U57" s="1647">
        <v>0</v>
      </c>
      <c r="V57" s="1647">
        <v>0</v>
      </c>
      <c r="W57" s="1647">
        <v>0</v>
      </c>
      <c r="X57" s="1647">
        <v>0</v>
      </c>
      <c r="Y57" s="1647">
        <v>0</v>
      </c>
      <c r="Z57" s="1647">
        <v>0</v>
      </c>
      <c r="AA57" s="1647">
        <v>0</v>
      </c>
      <c r="AB57" s="1647">
        <v>0</v>
      </c>
      <c r="AC57" s="1647">
        <v>0</v>
      </c>
      <c r="AD57" s="1647">
        <v>0</v>
      </c>
      <c r="AE57" s="1647">
        <v>0</v>
      </c>
      <c r="AF57" s="1647">
        <v>0</v>
      </c>
      <c r="AG57" s="1647">
        <v>0</v>
      </c>
      <c r="AH57" s="1647">
        <v>0</v>
      </c>
      <c r="AI57" s="1647">
        <v>0</v>
      </c>
      <c r="AJ57" s="1647">
        <v>0</v>
      </c>
      <c r="AK57" s="1647">
        <v>0</v>
      </c>
      <c r="AL57" s="1647">
        <v>0</v>
      </c>
      <c r="AM57" s="1647">
        <v>0</v>
      </c>
      <c r="AN57" s="1647">
        <v>0</v>
      </c>
      <c r="AO57" s="1647">
        <v>0</v>
      </c>
      <c r="AP57" s="1647">
        <v>0</v>
      </c>
      <c r="AQ57" s="1647">
        <v>0</v>
      </c>
      <c r="AR57" s="1647">
        <v>0</v>
      </c>
      <c r="AS57" s="1647">
        <v>0</v>
      </c>
      <c r="AT57" s="1647">
        <v>0</v>
      </c>
      <c r="AU57" s="1647">
        <v>0</v>
      </c>
      <c r="AV57" s="1647">
        <v>0</v>
      </c>
      <c r="AW57" s="1647">
        <v>0</v>
      </c>
      <c r="AX57" s="1647">
        <v>0</v>
      </c>
      <c r="AY57" s="1647">
        <v>0</v>
      </c>
      <c r="AZ57" s="1647">
        <v>0</v>
      </c>
      <c r="BA57" s="1647">
        <v>0</v>
      </c>
      <c r="BB57" s="1647">
        <v>0</v>
      </c>
      <c r="BC57" s="1647">
        <v>0</v>
      </c>
      <c r="BD57" s="1647">
        <v>0</v>
      </c>
      <c r="BE57" s="1647">
        <v>0</v>
      </c>
      <c r="BF57" s="1647">
        <v>0</v>
      </c>
      <c r="BG57" s="1647">
        <v>0</v>
      </c>
      <c r="BH57" s="1647">
        <v>0</v>
      </c>
      <c r="BI57" s="1647">
        <v>0</v>
      </c>
      <c r="BJ57" s="1647">
        <v>0</v>
      </c>
      <c r="BK57" s="1647">
        <v>0</v>
      </c>
      <c r="BL57" s="1647">
        <v>0</v>
      </c>
      <c r="BM57" s="1647">
        <v>0</v>
      </c>
      <c r="BN57" s="1647">
        <v>0</v>
      </c>
      <c r="BO57" s="1647">
        <v>0</v>
      </c>
      <c r="BP57" s="1647">
        <v>0</v>
      </c>
      <c r="BQ57" s="1647">
        <v>0</v>
      </c>
      <c r="BR57" s="1647">
        <v>0</v>
      </c>
      <c r="BS57" s="1647">
        <v>0</v>
      </c>
      <c r="BT57" s="1647">
        <v>0</v>
      </c>
      <c r="BU57" s="1647">
        <v>0</v>
      </c>
      <c r="BV57" s="1647">
        <v>0</v>
      </c>
      <c r="BW57" s="1647">
        <v>0</v>
      </c>
      <c r="BX57" s="1647">
        <v>0</v>
      </c>
      <c r="BY57" s="1647">
        <v>0</v>
      </c>
      <c r="BZ57" s="1647">
        <v>0</v>
      </c>
      <c r="CA57" s="1647">
        <v>0</v>
      </c>
      <c r="CB57" s="1647">
        <v>0</v>
      </c>
      <c r="CC57" s="1647">
        <v>0</v>
      </c>
      <c r="CD57" s="1647">
        <v>0</v>
      </c>
      <c r="CE57" s="1647">
        <v>0</v>
      </c>
      <c r="CF57" s="1647">
        <v>0</v>
      </c>
      <c r="CG57" s="1647">
        <v>0</v>
      </c>
      <c r="CH57" s="1647">
        <v>0</v>
      </c>
      <c r="CI57" s="1647">
        <v>0</v>
      </c>
      <c r="CJ57" s="1647">
        <v>0</v>
      </c>
      <c r="CK57" s="1647">
        <v>0</v>
      </c>
      <c r="CL57" s="1647">
        <v>0</v>
      </c>
      <c r="CM57" s="1647">
        <v>0</v>
      </c>
      <c r="CN57" s="1647">
        <v>0</v>
      </c>
      <c r="CO57" s="1647">
        <v>0</v>
      </c>
      <c r="CP57" s="1647">
        <v>0</v>
      </c>
      <c r="CQ57" s="1647">
        <v>0</v>
      </c>
      <c r="CR57" s="1647">
        <v>0</v>
      </c>
      <c r="CS57" s="1647">
        <v>0</v>
      </c>
      <c r="CT57" s="1647">
        <v>0</v>
      </c>
      <c r="CU57" s="1647">
        <v>0</v>
      </c>
      <c r="CV57" s="1647">
        <v>0</v>
      </c>
      <c r="CW57" s="1647">
        <v>0</v>
      </c>
      <c r="CX57" s="1647">
        <v>0</v>
      </c>
      <c r="CY57" s="1647">
        <v>0</v>
      </c>
      <c r="CZ57" s="1647">
        <v>0</v>
      </c>
      <c r="DA57" s="1647">
        <v>0</v>
      </c>
      <c r="DB57" s="1647">
        <v>0</v>
      </c>
      <c r="DC57" s="1647">
        <v>0</v>
      </c>
      <c r="DD57" s="1647">
        <v>0</v>
      </c>
      <c r="DE57" s="1647">
        <v>0</v>
      </c>
      <c r="DF57" s="1647">
        <v>0</v>
      </c>
      <c r="DG57" s="1647">
        <v>0</v>
      </c>
      <c r="DH57" s="1647">
        <v>0</v>
      </c>
      <c r="DI57" s="1647">
        <v>0</v>
      </c>
      <c r="DJ57" s="1647">
        <v>0</v>
      </c>
      <c r="DK57" s="1647">
        <v>0</v>
      </c>
      <c r="DL57" s="1647">
        <v>0</v>
      </c>
      <c r="DM57" s="1647">
        <v>0</v>
      </c>
      <c r="DN57" s="1647">
        <v>0</v>
      </c>
      <c r="DO57" s="1647">
        <v>0</v>
      </c>
      <c r="DP57" s="1647">
        <v>0</v>
      </c>
      <c r="DQ57" s="1647">
        <v>0</v>
      </c>
      <c r="DR57" s="1647">
        <v>0</v>
      </c>
      <c r="DS57" s="1647">
        <v>0</v>
      </c>
      <c r="DT57" s="1647">
        <v>0</v>
      </c>
      <c r="DU57" s="1647">
        <v>0</v>
      </c>
      <c r="DV57" s="1647">
        <v>0</v>
      </c>
      <c r="DW57" s="1647">
        <v>0</v>
      </c>
      <c r="DX57" s="1647">
        <v>0</v>
      </c>
      <c r="DY57" s="1647">
        <v>0</v>
      </c>
      <c r="DZ57" s="1647">
        <v>0</v>
      </c>
      <c r="EA57" s="1647">
        <v>0</v>
      </c>
      <c r="EB57" s="1647">
        <v>0</v>
      </c>
      <c r="EC57" s="1647">
        <v>0</v>
      </c>
      <c r="ED57" s="1647">
        <v>0</v>
      </c>
      <c r="EE57" s="1647">
        <v>0</v>
      </c>
      <c r="EF57" s="1647">
        <v>0</v>
      </c>
      <c r="EG57" s="1647">
        <v>0</v>
      </c>
      <c r="EH57" s="1647">
        <v>0</v>
      </c>
      <c r="EI57" s="1647">
        <v>0</v>
      </c>
      <c r="EJ57" s="1647">
        <v>0</v>
      </c>
      <c r="EK57" s="1647">
        <v>0</v>
      </c>
      <c r="EL57" s="1647">
        <v>0</v>
      </c>
      <c r="EM57" s="1647">
        <v>0</v>
      </c>
      <c r="EN57" s="1647">
        <v>0</v>
      </c>
      <c r="EO57" s="1647">
        <v>0</v>
      </c>
      <c r="EP57" s="1647">
        <v>0</v>
      </c>
      <c r="EQ57" s="1647">
        <v>0</v>
      </c>
      <c r="ER57" s="1647">
        <v>0</v>
      </c>
      <c r="ES57" s="1647">
        <v>0</v>
      </c>
      <c r="ET57" s="1647">
        <v>0</v>
      </c>
      <c r="EU57" s="1647">
        <v>0</v>
      </c>
      <c r="EV57" s="1647">
        <v>0</v>
      </c>
      <c r="EW57" s="1647">
        <v>0</v>
      </c>
      <c r="EX57" s="1647">
        <v>0</v>
      </c>
      <c r="EY57" s="1647">
        <v>0</v>
      </c>
      <c r="EZ57" s="1647">
        <v>0</v>
      </c>
      <c r="FA57" s="1647">
        <v>0</v>
      </c>
      <c r="FB57" s="1647">
        <v>0</v>
      </c>
      <c r="FC57" s="1647">
        <v>0</v>
      </c>
      <c r="FD57" s="1647">
        <v>0</v>
      </c>
      <c r="FE57" s="1647">
        <v>0</v>
      </c>
      <c r="FF57" s="1647">
        <v>0</v>
      </c>
      <c r="FG57" s="1647">
        <v>0</v>
      </c>
      <c r="FH57" s="1647">
        <v>0</v>
      </c>
      <c r="FI57" s="1647">
        <v>0</v>
      </c>
      <c r="FJ57" s="1647">
        <v>0</v>
      </c>
      <c r="FK57" s="1647">
        <v>0</v>
      </c>
      <c r="FL57" s="1647">
        <v>0</v>
      </c>
      <c r="FM57" s="1647">
        <v>0</v>
      </c>
      <c r="FN57" s="1647">
        <v>0</v>
      </c>
      <c r="FO57" s="1647">
        <v>0</v>
      </c>
      <c r="FP57" s="1647">
        <v>0</v>
      </c>
      <c r="FQ57" s="1647">
        <v>0</v>
      </c>
      <c r="FR57" s="1647">
        <v>0</v>
      </c>
      <c r="FS57" s="1647">
        <v>0</v>
      </c>
      <c r="FT57" s="1647">
        <v>0</v>
      </c>
      <c r="FU57" s="1647">
        <v>0</v>
      </c>
      <c r="FV57" s="1647">
        <v>0</v>
      </c>
      <c r="FW57" s="1647">
        <v>0</v>
      </c>
      <c r="FX57" s="1647">
        <v>0</v>
      </c>
      <c r="FY57" s="1647">
        <v>0</v>
      </c>
      <c r="FZ57" s="1647">
        <v>0</v>
      </c>
      <c r="GA57" s="1647">
        <v>0</v>
      </c>
      <c r="GB57" s="1647">
        <v>0</v>
      </c>
      <c r="GC57" s="1647">
        <v>0</v>
      </c>
      <c r="GD57" s="1647">
        <v>0</v>
      </c>
      <c r="GE57" s="1647">
        <v>0</v>
      </c>
      <c r="GF57" s="1647">
        <v>0</v>
      </c>
      <c r="GG57" s="1647">
        <v>0</v>
      </c>
      <c r="GH57" s="1647">
        <v>0</v>
      </c>
      <c r="GI57" s="1647">
        <v>0</v>
      </c>
      <c r="GJ57" s="1647">
        <v>0</v>
      </c>
      <c r="GK57" s="1647">
        <v>0</v>
      </c>
      <c r="GL57" s="1647">
        <v>0</v>
      </c>
      <c r="GM57" s="1647">
        <v>0</v>
      </c>
      <c r="GN57" s="1647">
        <v>0</v>
      </c>
      <c r="GO57" s="1647">
        <v>0</v>
      </c>
      <c r="GP57" s="1647">
        <v>0</v>
      </c>
      <c r="GQ57" s="1647">
        <v>0</v>
      </c>
      <c r="GR57" s="1647">
        <v>0</v>
      </c>
      <c r="GS57" s="1647">
        <v>0</v>
      </c>
      <c r="GT57" s="1647">
        <v>0</v>
      </c>
      <c r="GU57" s="1647">
        <v>0</v>
      </c>
      <c r="GV57" s="1647">
        <v>0</v>
      </c>
      <c r="GW57" s="1647">
        <v>0</v>
      </c>
      <c r="GX57" s="1647">
        <v>0</v>
      </c>
      <c r="GY57" s="1647">
        <v>0</v>
      </c>
      <c r="GZ57" s="1647">
        <v>0</v>
      </c>
      <c r="HA57" s="1647">
        <v>0</v>
      </c>
      <c r="HB57" s="1647">
        <v>0</v>
      </c>
      <c r="HC57" s="1647">
        <v>0</v>
      </c>
      <c r="HD57" s="1647">
        <v>0</v>
      </c>
      <c r="HE57" s="1647">
        <v>0</v>
      </c>
      <c r="HF57" s="1647">
        <v>0</v>
      </c>
      <c r="HG57" s="1647">
        <v>0</v>
      </c>
      <c r="HH57" s="1647">
        <v>0</v>
      </c>
      <c r="HI57" s="1647">
        <v>0</v>
      </c>
      <c r="HJ57" s="1647">
        <v>0</v>
      </c>
      <c r="HK57" s="1647">
        <v>0</v>
      </c>
      <c r="HL57" s="1647">
        <v>0</v>
      </c>
      <c r="HM57" s="1647">
        <v>0</v>
      </c>
      <c r="HN57" s="1647">
        <v>0</v>
      </c>
      <c r="HO57" s="1647">
        <v>0</v>
      </c>
      <c r="HP57" s="1647">
        <v>0</v>
      </c>
      <c r="HQ57" s="1647">
        <v>0</v>
      </c>
      <c r="HR57" s="1647">
        <v>0</v>
      </c>
      <c r="HS57" s="1647">
        <v>0</v>
      </c>
      <c r="HT57" s="1647">
        <v>0</v>
      </c>
      <c r="HU57" s="1647">
        <v>0</v>
      </c>
      <c r="HV57" s="1647">
        <v>0</v>
      </c>
      <c r="HW57" s="1647">
        <v>0</v>
      </c>
      <c r="HX57" s="1647">
        <v>0</v>
      </c>
      <c r="HY57" s="1647">
        <v>0</v>
      </c>
      <c r="HZ57" s="1647">
        <v>0</v>
      </c>
      <c r="IA57" s="1647">
        <v>0</v>
      </c>
      <c r="IB57" s="1647">
        <v>0</v>
      </c>
      <c r="IC57" s="1647">
        <v>0</v>
      </c>
      <c r="ID57" s="1647">
        <v>0</v>
      </c>
      <c r="IE57" s="1647">
        <v>0</v>
      </c>
      <c r="IF57" s="1647">
        <v>0</v>
      </c>
      <c r="IG57" s="1647">
        <v>0</v>
      </c>
      <c r="IH57" s="1647">
        <v>0</v>
      </c>
      <c r="II57" s="1647">
        <v>0</v>
      </c>
      <c r="IJ57" s="1647">
        <v>0</v>
      </c>
      <c r="IK57" s="1647">
        <v>0</v>
      </c>
      <c r="IL57" s="1647">
        <v>0</v>
      </c>
      <c r="IM57" s="1647">
        <v>0</v>
      </c>
      <c r="IN57" s="1647">
        <v>0</v>
      </c>
      <c r="IO57" s="1647">
        <v>0</v>
      </c>
      <c r="IP57" s="1647">
        <v>0</v>
      </c>
      <c r="IQ57" s="1647">
        <v>0</v>
      </c>
      <c r="IR57" s="1647">
        <v>0</v>
      </c>
      <c r="IS57" s="1647">
        <v>0</v>
      </c>
      <c r="IT57" s="1647">
        <v>0</v>
      </c>
      <c r="IU57" s="1647">
        <v>0</v>
      </c>
      <c r="IV57" s="1647">
        <v>0</v>
      </c>
      <c r="IW57" s="1647">
        <v>0</v>
      </c>
      <c r="IX57" s="1647">
        <v>0</v>
      </c>
      <c r="IY57" s="1647">
        <v>0</v>
      </c>
      <c r="IZ57" s="1647">
        <v>0</v>
      </c>
      <c r="JA57" s="1647">
        <v>0</v>
      </c>
      <c r="JB57" s="1647">
        <v>0</v>
      </c>
      <c r="JC57" s="1647">
        <v>0</v>
      </c>
      <c r="JD57" s="1647">
        <v>0</v>
      </c>
      <c r="JE57" s="1647">
        <v>0</v>
      </c>
      <c r="JF57" s="1647">
        <v>0</v>
      </c>
      <c r="JG57" s="1647">
        <v>0</v>
      </c>
      <c r="JH57" s="1647">
        <v>0</v>
      </c>
      <c r="JI57" s="1647">
        <v>0</v>
      </c>
      <c r="JJ57" s="1647">
        <v>0</v>
      </c>
      <c r="JK57" s="1647">
        <v>0</v>
      </c>
      <c r="JL57" s="1647">
        <v>0</v>
      </c>
      <c r="JM57" s="1647">
        <v>0</v>
      </c>
      <c r="JN57" s="1647">
        <v>0</v>
      </c>
      <c r="JO57" s="1647">
        <v>0</v>
      </c>
      <c r="JP57" s="1647">
        <v>0</v>
      </c>
      <c r="JQ57" s="1647">
        <v>0</v>
      </c>
      <c r="JR57" s="1647">
        <v>0</v>
      </c>
      <c r="JS57" s="1647">
        <v>0</v>
      </c>
      <c r="JT57" s="1647">
        <v>0</v>
      </c>
      <c r="JU57" s="1647">
        <v>0</v>
      </c>
      <c r="JV57" s="1647">
        <v>0</v>
      </c>
      <c r="JW57" s="1647">
        <v>0</v>
      </c>
      <c r="JX57" s="1647">
        <v>0</v>
      </c>
      <c r="JY57" s="1647">
        <v>0</v>
      </c>
      <c r="JZ57" s="1647">
        <v>0</v>
      </c>
      <c r="KA57" s="1647">
        <v>0</v>
      </c>
      <c r="KB57" s="1647">
        <v>0</v>
      </c>
      <c r="KC57" s="1647">
        <v>0</v>
      </c>
      <c r="KD57" s="1647">
        <v>0</v>
      </c>
      <c r="KE57" s="1647">
        <v>0</v>
      </c>
      <c r="KF57" s="1647">
        <v>0</v>
      </c>
      <c r="KG57" s="1647">
        <v>0</v>
      </c>
      <c r="KH57" s="1647">
        <v>0</v>
      </c>
      <c r="KI57" s="1647">
        <v>0</v>
      </c>
      <c r="KJ57" s="1647">
        <v>0</v>
      </c>
      <c r="KK57" s="1647">
        <v>0</v>
      </c>
    </row>
    <row r="58" spans="1:302">
      <c r="A58" s="1635">
        <f>IF(B57=TRUE,(A57+28),(A57+29))</f>
        <v>46082</v>
      </c>
      <c r="C58" s="1642">
        <f t="shared" si="18"/>
        <v>46082</v>
      </c>
      <c r="D58" s="1638" t="str">
        <f t="shared" si="19"/>
        <v/>
      </c>
      <c r="E58" s="1633" t="str">
        <f t="shared" si="20"/>
        <v/>
      </c>
      <c r="F58" s="1633" t="str">
        <f t="shared" si="21"/>
        <v/>
      </c>
      <c r="G58" s="1635" t="str">
        <f t="shared" si="22"/>
        <v/>
      </c>
      <c r="H58" s="1635">
        <f t="shared" si="23"/>
        <v>46082</v>
      </c>
      <c r="M58" s="1638">
        <v>1</v>
      </c>
      <c r="N58" s="1657"/>
      <c r="O58" s="1658"/>
      <c r="P58" s="1658"/>
      <c r="Q58" s="1658"/>
      <c r="R58" s="1658"/>
      <c r="S58" s="1658"/>
      <c r="T58" s="1658"/>
      <c r="U58" s="1647"/>
    </row>
    <row r="59" spans="1:302">
      <c r="A59" s="1635">
        <f>A58+31</f>
        <v>46113</v>
      </c>
      <c r="C59" s="1642">
        <f t="shared" si="18"/>
        <v>46113</v>
      </c>
      <c r="D59" s="1638" t="str">
        <f t="shared" si="19"/>
        <v/>
      </c>
      <c r="E59" s="1633" t="str">
        <f t="shared" si="20"/>
        <v/>
      </c>
      <c r="F59" s="1633" t="str">
        <f t="shared" si="21"/>
        <v/>
      </c>
      <c r="G59" s="1635" t="str">
        <f t="shared" si="22"/>
        <v/>
      </c>
      <c r="H59" s="1635">
        <f t="shared" si="23"/>
        <v>46113</v>
      </c>
      <c r="M59" s="1638">
        <v>2</v>
      </c>
      <c r="N59" s="1657"/>
      <c r="O59" s="1658"/>
      <c r="P59" s="1658"/>
      <c r="Q59" s="1658"/>
      <c r="R59" s="1658"/>
      <c r="S59" s="1658"/>
      <c r="T59" s="1658"/>
      <c r="U59" s="1647"/>
    </row>
    <row r="60" spans="1:302">
      <c r="A60" s="1635">
        <f>A59+30</f>
        <v>46143</v>
      </c>
      <c r="C60" s="1642">
        <f t="shared" si="18"/>
        <v>46143</v>
      </c>
      <c r="D60" s="1638" t="str">
        <f t="shared" si="19"/>
        <v/>
      </c>
      <c r="E60" s="1633" t="str">
        <f t="shared" si="20"/>
        <v/>
      </c>
      <c r="F60" s="1633" t="str">
        <f t="shared" si="21"/>
        <v/>
      </c>
      <c r="G60" s="1635" t="str">
        <f t="shared" si="22"/>
        <v/>
      </c>
      <c r="H60" s="1635">
        <f t="shared" si="23"/>
        <v>46143</v>
      </c>
      <c r="M60" s="1638">
        <v>3</v>
      </c>
      <c r="N60" s="1657"/>
      <c r="O60" s="1658"/>
      <c r="P60" s="1658"/>
      <c r="Q60" s="1658"/>
      <c r="R60" s="1658"/>
      <c r="S60" s="1658"/>
      <c r="T60" s="1658"/>
      <c r="U60" s="1647"/>
    </row>
    <row r="61" spans="1:302">
      <c r="A61" s="1635">
        <f>A60+31</f>
        <v>46174</v>
      </c>
      <c r="C61" s="1642">
        <f t="shared" si="18"/>
        <v>46174</v>
      </c>
      <c r="D61" s="1638" t="str">
        <f t="shared" si="19"/>
        <v/>
      </c>
      <c r="E61" s="1633" t="str">
        <f t="shared" si="20"/>
        <v/>
      </c>
      <c r="F61" s="1633" t="str">
        <f t="shared" si="21"/>
        <v/>
      </c>
      <c r="G61" s="1635" t="str">
        <f t="shared" si="22"/>
        <v/>
      </c>
      <c r="H61" s="1635">
        <f t="shared" si="23"/>
        <v>46174</v>
      </c>
      <c r="M61" s="1638">
        <v>4</v>
      </c>
      <c r="N61" s="1657"/>
      <c r="O61" s="1658"/>
      <c r="P61" s="1658"/>
      <c r="Q61" s="1658"/>
      <c r="R61" s="1658"/>
      <c r="S61" s="1658"/>
      <c r="T61" s="1658"/>
      <c r="U61" s="1647"/>
    </row>
    <row r="62" spans="1:302">
      <c r="A62" s="1635">
        <f>A61+30</f>
        <v>46204</v>
      </c>
      <c r="C62" s="1642">
        <f t="shared" si="18"/>
        <v>46204</v>
      </c>
      <c r="D62" s="1638" t="str">
        <f t="shared" si="19"/>
        <v/>
      </c>
      <c r="E62" s="1633" t="str">
        <f t="shared" si="20"/>
        <v/>
      </c>
      <c r="F62" s="1633" t="str">
        <f t="shared" si="21"/>
        <v/>
      </c>
      <c r="G62" s="1635" t="str">
        <f t="shared" si="22"/>
        <v/>
      </c>
      <c r="H62" s="1635">
        <f t="shared" si="23"/>
        <v>46204</v>
      </c>
      <c r="M62" s="1638">
        <v>5</v>
      </c>
      <c r="N62" s="1657"/>
      <c r="O62" s="1658"/>
      <c r="P62" s="1658"/>
      <c r="Q62" s="1658"/>
      <c r="R62" s="1658"/>
      <c r="S62" s="1658"/>
      <c r="T62" s="1658"/>
    </row>
    <row r="63" spans="1:302">
      <c r="A63" s="1635">
        <f>A62+31</f>
        <v>46235</v>
      </c>
      <c r="C63" s="1642">
        <f t="shared" si="18"/>
        <v>46235</v>
      </c>
      <c r="D63" s="1638" t="str">
        <f t="shared" si="19"/>
        <v/>
      </c>
      <c r="E63" s="1633" t="str">
        <f t="shared" si="20"/>
        <v/>
      </c>
      <c r="F63" s="1633" t="str">
        <f t="shared" si="21"/>
        <v/>
      </c>
      <c r="G63" s="1635" t="str">
        <f t="shared" si="22"/>
        <v/>
      </c>
      <c r="H63" s="1635">
        <f t="shared" si="23"/>
        <v>46235</v>
      </c>
      <c r="M63" s="1638">
        <v>6</v>
      </c>
      <c r="N63" s="1657"/>
      <c r="O63" s="1658"/>
      <c r="P63" s="1658"/>
      <c r="Q63" s="1658"/>
      <c r="R63" s="1658"/>
      <c r="S63" s="1658"/>
      <c r="T63" s="1658"/>
    </row>
    <row r="64" spans="1:302">
      <c r="A64" s="1635">
        <f>A63+31</f>
        <v>46266</v>
      </c>
      <c r="C64" s="1642">
        <f t="shared" si="18"/>
        <v>46266</v>
      </c>
      <c r="D64" s="1638" t="str">
        <f t="shared" si="19"/>
        <v/>
      </c>
      <c r="E64" s="1633" t="str">
        <f t="shared" si="20"/>
        <v/>
      </c>
      <c r="F64" s="1633" t="str">
        <f t="shared" si="21"/>
        <v/>
      </c>
      <c r="G64" s="1635" t="str">
        <f t="shared" si="22"/>
        <v/>
      </c>
      <c r="H64" s="1635">
        <f t="shared" si="23"/>
        <v>46266</v>
      </c>
      <c r="M64" s="1638">
        <v>7</v>
      </c>
      <c r="N64" s="1657"/>
      <c r="O64" s="1658"/>
      <c r="P64" s="1658"/>
      <c r="Q64" s="1658"/>
      <c r="R64" s="1658"/>
      <c r="S64" s="1658"/>
      <c r="T64" s="1658"/>
    </row>
    <row r="65" spans="1:20">
      <c r="A65" s="1635">
        <f>A64+30</f>
        <v>46296</v>
      </c>
      <c r="C65" s="1642">
        <f t="shared" si="18"/>
        <v>46296</v>
      </c>
      <c r="D65" s="1638" t="str">
        <f t="shared" si="19"/>
        <v/>
      </c>
      <c r="E65" s="1633" t="str">
        <f t="shared" si="20"/>
        <v/>
      </c>
      <c r="F65" s="1633" t="str">
        <f t="shared" si="21"/>
        <v/>
      </c>
      <c r="G65" s="1635" t="str">
        <f t="shared" si="22"/>
        <v/>
      </c>
      <c r="H65" s="1635">
        <f t="shared" si="23"/>
        <v>46296</v>
      </c>
      <c r="M65" s="1638">
        <v>8</v>
      </c>
      <c r="N65" s="1657"/>
      <c r="O65" s="1658"/>
      <c r="P65" s="1658"/>
      <c r="Q65" s="1658"/>
      <c r="R65" s="1658"/>
      <c r="S65" s="1658"/>
      <c r="T65" s="1658"/>
    </row>
    <row r="66" spans="1:20">
      <c r="A66" s="1635">
        <f>A65+31</f>
        <v>46327</v>
      </c>
      <c r="C66" s="1642">
        <f t="shared" si="18"/>
        <v>46327</v>
      </c>
      <c r="D66" s="1638" t="str">
        <f t="shared" si="19"/>
        <v/>
      </c>
      <c r="E66" s="1633" t="str">
        <f t="shared" si="20"/>
        <v/>
      </c>
      <c r="F66" s="1633" t="str">
        <f t="shared" si="21"/>
        <v/>
      </c>
      <c r="G66" s="1635" t="str">
        <f t="shared" si="22"/>
        <v/>
      </c>
      <c r="H66" s="1635">
        <f t="shared" si="23"/>
        <v>46327</v>
      </c>
      <c r="M66" s="1638">
        <v>9</v>
      </c>
      <c r="N66" s="1657"/>
      <c r="O66" s="1658"/>
      <c r="P66" s="1658"/>
      <c r="Q66" s="1658"/>
      <c r="R66" s="1658"/>
      <c r="S66" s="1658"/>
      <c r="T66" s="1658"/>
    </row>
    <row r="67" spans="1:20">
      <c r="A67" s="1635">
        <f>A66+30</f>
        <v>46357</v>
      </c>
      <c r="C67" s="1642">
        <f t="shared" si="18"/>
        <v>46357</v>
      </c>
      <c r="D67" s="1638" t="str">
        <f t="shared" si="19"/>
        <v/>
      </c>
      <c r="E67" s="1633" t="str">
        <f t="shared" si="20"/>
        <v/>
      </c>
      <c r="F67" s="1633" t="str">
        <f t="shared" si="21"/>
        <v/>
      </c>
      <c r="G67" s="1635" t="str">
        <f t="shared" si="22"/>
        <v/>
      </c>
      <c r="H67" s="1635">
        <f t="shared" si="23"/>
        <v>46357</v>
      </c>
      <c r="M67" s="1638">
        <v>10</v>
      </c>
      <c r="N67" s="1657"/>
      <c r="O67" s="1658"/>
      <c r="P67" s="1658"/>
      <c r="Q67" s="1658"/>
      <c r="R67" s="1658"/>
      <c r="S67" s="1658"/>
      <c r="T67" s="1658"/>
    </row>
    <row r="68" spans="1:20">
      <c r="A68" s="1635">
        <f>A67+31</f>
        <v>46388</v>
      </c>
      <c r="C68" s="1642">
        <f t="shared" si="18"/>
        <v>46388</v>
      </c>
      <c r="D68" s="1638" t="str">
        <f t="shared" si="19"/>
        <v/>
      </c>
      <c r="E68" s="1633" t="str">
        <f t="shared" si="20"/>
        <v/>
      </c>
      <c r="F68" s="1633" t="str">
        <f t="shared" si="21"/>
        <v/>
      </c>
      <c r="G68" s="1635" t="str">
        <f t="shared" si="22"/>
        <v/>
      </c>
      <c r="H68" s="1635">
        <f t="shared" si="23"/>
        <v>46388</v>
      </c>
      <c r="M68" s="1638">
        <v>11</v>
      </c>
      <c r="N68" s="1657"/>
      <c r="O68" s="1658"/>
      <c r="P68" s="1658"/>
      <c r="Q68" s="1658"/>
      <c r="R68" s="1658"/>
      <c r="S68" s="1658"/>
      <c r="T68" s="1658"/>
    </row>
    <row r="69" spans="1:20">
      <c r="A69" s="1635">
        <f>A68+31</f>
        <v>46419</v>
      </c>
      <c r="B69" s="1633" t="b">
        <f>ISNA(VLOOKUP(A69,$E$4:$E$13,1,FALSE))</f>
        <v>1</v>
      </c>
      <c r="C69" s="1642">
        <f t="shared" si="18"/>
        <v>46419</v>
      </c>
      <c r="D69" s="1638" t="str">
        <f t="shared" si="19"/>
        <v/>
      </c>
      <c r="E69" s="1633" t="str">
        <f t="shared" si="20"/>
        <v/>
      </c>
      <c r="F69" s="1633" t="str">
        <f t="shared" si="21"/>
        <v/>
      </c>
      <c r="G69" s="1635" t="str">
        <f t="shared" si="22"/>
        <v/>
      </c>
      <c r="H69" s="1635">
        <f t="shared" si="23"/>
        <v>46419</v>
      </c>
      <c r="M69" s="1638">
        <v>12</v>
      </c>
      <c r="N69" s="1657"/>
      <c r="O69" s="1658"/>
      <c r="P69" s="1658"/>
      <c r="Q69" s="1658"/>
      <c r="R69" s="1658"/>
      <c r="S69" s="1658"/>
      <c r="T69" s="1658"/>
    </row>
    <row r="70" spans="1:20">
      <c r="A70" s="1635">
        <f>IF(B69=TRUE,(A69+28),(A69+29))</f>
        <v>46447</v>
      </c>
      <c r="C70" s="1642">
        <f t="shared" si="18"/>
        <v>46447</v>
      </c>
      <c r="D70" s="1638" t="str">
        <f t="shared" si="19"/>
        <v/>
      </c>
      <c r="E70" s="1633" t="str">
        <f t="shared" si="20"/>
        <v/>
      </c>
      <c r="F70" s="1633" t="str">
        <f t="shared" si="21"/>
        <v/>
      </c>
      <c r="G70" s="1635" t="str">
        <f t="shared" si="22"/>
        <v/>
      </c>
      <c r="H70" s="1635">
        <f t="shared" si="23"/>
        <v>46447</v>
      </c>
      <c r="M70" s="1638">
        <v>13</v>
      </c>
      <c r="N70" s="1657"/>
      <c r="O70" s="1658"/>
      <c r="P70" s="1658"/>
      <c r="Q70" s="1658"/>
      <c r="R70" s="1658"/>
      <c r="S70" s="1658"/>
      <c r="T70" s="1658"/>
    </row>
    <row r="71" spans="1:20">
      <c r="A71" s="1635">
        <f>A70+31</f>
        <v>46478</v>
      </c>
      <c r="C71" s="1642">
        <f t="shared" si="18"/>
        <v>46478</v>
      </c>
      <c r="D71" s="1638" t="str">
        <f t="shared" si="19"/>
        <v/>
      </c>
      <c r="E71" s="1633" t="str">
        <f t="shared" si="20"/>
        <v/>
      </c>
      <c r="F71" s="1633" t="str">
        <f t="shared" si="21"/>
        <v/>
      </c>
      <c r="G71" s="1635" t="str">
        <f t="shared" si="22"/>
        <v/>
      </c>
      <c r="H71" s="1635">
        <f t="shared" si="23"/>
        <v>46478</v>
      </c>
      <c r="M71" s="1638">
        <v>14</v>
      </c>
      <c r="N71" s="1657"/>
      <c r="O71" s="1658"/>
      <c r="P71" s="1658"/>
      <c r="Q71" s="1658"/>
      <c r="R71" s="1658"/>
      <c r="S71" s="1658"/>
      <c r="T71" s="1658"/>
    </row>
    <row r="72" spans="1:20">
      <c r="A72" s="1635">
        <f>A71+30</f>
        <v>46508</v>
      </c>
      <c r="C72" s="1642">
        <f t="shared" si="18"/>
        <v>46508</v>
      </c>
      <c r="D72" s="1638" t="str">
        <f t="shared" si="19"/>
        <v/>
      </c>
      <c r="E72" s="1633" t="str">
        <f t="shared" si="20"/>
        <v/>
      </c>
      <c r="F72" s="1633" t="str">
        <f t="shared" si="21"/>
        <v/>
      </c>
      <c r="G72" s="1635" t="str">
        <f t="shared" si="22"/>
        <v/>
      </c>
      <c r="H72" s="1635">
        <f t="shared" si="23"/>
        <v>46508</v>
      </c>
      <c r="M72" s="1638">
        <v>15</v>
      </c>
      <c r="N72" s="1657"/>
      <c r="O72" s="1658"/>
      <c r="P72" s="1658"/>
      <c r="Q72" s="1658"/>
      <c r="R72" s="1658"/>
      <c r="S72" s="1658"/>
      <c r="T72" s="1658"/>
    </row>
    <row r="73" spans="1:20">
      <c r="A73" s="1635">
        <f>A72+31</f>
        <v>46539</v>
      </c>
      <c r="C73" s="1642">
        <f t="shared" si="18"/>
        <v>46539</v>
      </c>
      <c r="D73" s="1638" t="str">
        <f t="shared" si="19"/>
        <v/>
      </c>
      <c r="E73" s="1633" t="str">
        <f t="shared" si="20"/>
        <v/>
      </c>
      <c r="F73" s="1633" t="str">
        <f t="shared" si="21"/>
        <v/>
      </c>
      <c r="G73" s="1635" t="str">
        <f t="shared" si="22"/>
        <v/>
      </c>
      <c r="H73" s="1635">
        <f t="shared" si="23"/>
        <v>46539</v>
      </c>
      <c r="M73" s="1638">
        <v>16</v>
      </c>
      <c r="N73" s="1657"/>
      <c r="O73" s="1658"/>
      <c r="P73" s="1658"/>
      <c r="Q73" s="1658"/>
      <c r="R73" s="1658"/>
      <c r="S73" s="1658"/>
      <c r="T73" s="1658"/>
    </row>
    <row r="74" spans="1:20">
      <c r="A74" s="1635">
        <f>A73+30</f>
        <v>46569</v>
      </c>
      <c r="C74" s="1642">
        <f t="shared" si="18"/>
        <v>46569</v>
      </c>
      <c r="D74" s="1638" t="str">
        <f t="shared" si="19"/>
        <v/>
      </c>
      <c r="E74" s="1633" t="str">
        <f t="shared" si="20"/>
        <v/>
      </c>
      <c r="F74" s="1633" t="str">
        <f t="shared" si="21"/>
        <v/>
      </c>
      <c r="G74" s="1635" t="str">
        <f t="shared" si="22"/>
        <v/>
      </c>
      <c r="H74" s="1635">
        <f t="shared" si="23"/>
        <v>46569</v>
      </c>
      <c r="M74" s="1638">
        <v>17</v>
      </c>
      <c r="N74" s="1657"/>
      <c r="O74" s="1658"/>
      <c r="P74" s="1658"/>
      <c r="Q74" s="1658"/>
      <c r="R74" s="1658"/>
      <c r="S74" s="1658"/>
      <c r="T74" s="1658"/>
    </row>
    <row r="75" spans="1:20">
      <c r="A75" s="1635">
        <f>A74+31</f>
        <v>46600</v>
      </c>
      <c r="C75" s="1642">
        <f t="shared" si="18"/>
        <v>46600</v>
      </c>
      <c r="D75" s="1638" t="str">
        <f t="shared" si="19"/>
        <v/>
      </c>
      <c r="E75" s="1633" t="str">
        <f t="shared" si="20"/>
        <v/>
      </c>
      <c r="F75" s="1633" t="str">
        <f t="shared" si="21"/>
        <v/>
      </c>
      <c r="G75" s="1635" t="str">
        <f t="shared" si="22"/>
        <v/>
      </c>
      <c r="H75" s="1635">
        <f t="shared" si="23"/>
        <v>46600</v>
      </c>
      <c r="M75" s="1638">
        <v>18</v>
      </c>
      <c r="N75" s="1657"/>
      <c r="O75" s="1658"/>
      <c r="P75" s="1658"/>
      <c r="Q75" s="1658"/>
      <c r="R75" s="1658"/>
      <c r="S75" s="1658"/>
      <c r="T75" s="1658"/>
    </row>
    <row r="76" spans="1:20">
      <c r="A76" s="1635">
        <f>A75+31</f>
        <v>46631</v>
      </c>
      <c r="C76" s="1642">
        <f t="shared" si="18"/>
        <v>46631</v>
      </c>
      <c r="D76" s="1638" t="str">
        <f t="shared" si="19"/>
        <v/>
      </c>
      <c r="E76" s="1633" t="str">
        <f t="shared" si="20"/>
        <v/>
      </c>
      <c r="F76" s="1633" t="str">
        <f t="shared" si="21"/>
        <v/>
      </c>
      <c r="G76" s="1635" t="str">
        <f t="shared" si="22"/>
        <v/>
      </c>
      <c r="H76" s="1635">
        <f t="shared" si="23"/>
        <v>46631</v>
      </c>
      <c r="M76" s="1638">
        <v>19</v>
      </c>
      <c r="N76" s="1657"/>
      <c r="O76" s="1658"/>
      <c r="P76" s="1658"/>
      <c r="Q76" s="1658"/>
      <c r="R76" s="1658"/>
      <c r="S76" s="1658"/>
      <c r="T76" s="1658"/>
    </row>
    <row r="77" spans="1:20">
      <c r="A77" s="1635">
        <f>A76+30</f>
        <v>46661</v>
      </c>
      <c r="C77" s="1642">
        <f t="shared" si="18"/>
        <v>46661</v>
      </c>
      <c r="D77" s="1638" t="str">
        <f t="shared" si="19"/>
        <v/>
      </c>
      <c r="E77" s="1633" t="str">
        <f t="shared" si="20"/>
        <v/>
      </c>
      <c r="F77" s="1633" t="str">
        <f t="shared" si="21"/>
        <v/>
      </c>
      <c r="G77" s="1635" t="str">
        <f t="shared" si="22"/>
        <v/>
      </c>
      <c r="H77" s="1635">
        <f t="shared" si="23"/>
        <v>46661</v>
      </c>
      <c r="M77" s="1638">
        <v>20</v>
      </c>
      <c r="N77" s="1657"/>
      <c r="O77" s="1658"/>
      <c r="P77" s="1658"/>
      <c r="Q77" s="1658"/>
      <c r="R77" s="1658"/>
      <c r="S77" s="1658"/>
      <c r="T77" s="1658"/>
    </row>
    <row r="78" spans="1:20">
      <c r="A78" s="1635">
        <f>A77+31</f>
        <v>46692</v>
      </c>
      <c r="C78" s="1642">
        <f t="shared" si="18"/>
        <v>46692</v>
      </c>
      <c r="D78" s="1638" t="str">
        <f t="shared" si="19"/>
        <v/>
      </c>
      <c r="E78" s="1633" t="str">
        <f t="shared" si="20"/>
        <v/>
      </c>
      <c r="F78" s="1633" t="str">
        <f t="shared" si="21"/>
        <v/>
      </c>
      <c r="G78" s="1635" t="str">
        <f t="shared" si="22"/>
        <v/>
      </c>
      <c r="H78" s="1635">
        <f t="shared" si="23"/>
        <v>46692</v>
      </c>
      <c r="M78" s="1638">
        <v>21</v>
      </c>
      <c r="N78" s="1657"/>
      <c r="O78" s="1658"/>
      <c r="P78" s="1658"/>
      <c r="Q78" s="1658"/>
      <c r="R78" s="1658"/>
      <c r="S78" s="1658"/>
      <c r="T78" s="1658"/>
    </row>
    <row r="79" spans="1:20">
      <c r="A79" s="1635">
        <f>A78+30</f>
        <v>46722</v>
      </c>
      <c r="C79" s="1642">
        <f t="shared" si="18"/>
        <v>46722</v>
      </c>
      <c r="D79" s="1638" t="str">
        <f t="shared" si="19"/>
        <v/>
      </c>
      <c r="E79" s="1633" t="str">
        <f t="shared" si="20"/>
        <v/>
      </c>
      <c r="F79" s="1633" t="str">
        <f t="shared" si="21"/>
        <v/>
      </c>
      <c r="G79" s="1635" t="str">
        <f t="shared" si="22"/>
        <v/>
      </c>
      <c r="H79" s="1635">
        <f t="shared" si="23"/>
        <v>46722</v>
      </c>
      <c r="M79" s="1638">
        <v>22</v>
      </c>
      <c r="N79" s="1657"/>
      <c r="O79" s="1658"/>
      <c r="P79" s="1658"/>
      <c r="Q79" s="1658"/>
      <c r="R79" s="1658"/>
      <c r="S79" s="1658"/>
      <c r="T79" s="1658"/>
    </row>
    <row r="80" spans="1:20">
      <c r="A80" s="1635">
        <f>A79+31</f>
        <v>46753</v>
      </c>
      <c r="C80" s="1642">
        <f t="shared" si="18"/>
        <v>46753</v>
      </c>
      <c r="D80" s="1638" t="str">
        <f t="shared" si="19"/>
        <v/>
      </c>
      <c r="E80" s="1633" t="str">
        <f t="shared" si="20"/>
        <v/>
      </c>
      <c r="F80" s="1633" t="str">
        <f t="shared" si="21"/>
        <v/>
      </c>
      <c r="G80" s="1635" t="str">
        <f t="shared" si="22"/>
        <v/>
      </c>
      <c r="H80" s="1635">
        <f t="shared" si="23"/>
        <v>46753</v>
      </c>
      <c r="M80" s="1638">
        <v>23</v>
      </c>
      <c r="N80" s="1657"/>
      <c r="O80" s="1658"/>
      <c r="P80" s="1658"/>
      <c r="Q80" s="1658"/>
      <c r="R80" s="1658"/>
      <c r="S80" s="1658"/>
      <c r="T80" s="1658"/>
    </row>
    <row r="81" spans="1:20">
      <c r="A81" s="1635">
        <f>A80+31</f>
        <v>46784</v>
      </c>
      <c r="B81" s="1633" t="b">
        <f>ISNA(VLOOKUP(A81,$E$4:$E$13,1,FALSE))</f>
        <v>0</v>
      </c>
      <c r="C81" s="1642">
        <f t="shared" si="18"/>
        <v>46784</v>
      </c>
      <c r="D81" s="1638" t="str">
        <f t="shared" si="19"/>
        <v/>
      </c>
      <c r="E81" s="1633" t="str">
        <f t="shared" si="20"/>
        <v/>
      </c>
      <c r="F81" s="1633" t="str">
        <f t="shared" si="21"/>
        <v/>
      </c>
      <c r="G81" s="1635" t="str">
        <f t="shared" si="22"/>
        <v/>
      </c>
      <c r="H81" s="1635">
        <f t="shared" si="23"/>
        <v>46784</v>
      </c>
      <c r="M81" s="1638">
        <v>24</v>
      </c>
      <c r="N81" s="1657"/>
      <c r="O81" s="1658"/>
      <c r="P81" s="1658"/>
      <c r="Q81" s="1658"/>
      <c r="R81" s="1658"/>
      <c r="S81" s="1658"/>
      <c r="T81" s="1658"/>
    </row>
    <row r="82" spans="1:20">
      <c r="A82" s="1635">
        <f>IF(B81=TRUE,(A81+28),(A81+29))</f>
        <v>46813</v>
      </c>
      <c r="C82" s="1642">
        <f t="shared" si="18"/>
        <v>46813</v>
      </c>
      <c r="D82" s="1638" t="str">
        <f t="shared" si="19"/>
        <v/>
      </c>
      <c r="E82" s="1633" t="str">
        <f t="shared" si="20"/>
        <v/>
      </c>
      <c r="F82" s="1633" t="str">
        <f t="shared" si="21"/>
        <v/>
      </c>
      <c r="G82" s="1635" t="str">
        <f t="shared" si="22"/>
        <v/>
      </c>
      <c r="H82" s="1635">
        <f t="shared" si="23"/>
        <v>46813</v>
      </c>
      <c r="M82" s="1638">
        <v>25</v>
      </c>
      <c r="N82" s="1657"/>
      <c r="O82" s="1658"/>
      <c r="P82" s="1658"/>
      <c r="Q82" s="1658"/>
      <c r="R82" s="1658"/>
      <c r="S82" s="1658"/>
      <c r="T82" s="1658"/>
    </row>
    <row r="83" spans="1:20">
      <c r="A83" s="1635">
        <f>A82+31</f>
        <v>46844</v>
      </c>
      <c r="C83" s="1642">
        <f t="shared" si="18"/>
        <v>46844</v>
      </c>
      <c r="D83" s="1638" t="str">
        <f t="shared" si="19"/>
        <v/>
      </c>
      <c r="E83" s="1633" t="str">
        <f t="shared" si="20"/>
        <v/>
      </c>
      <c r="F83" s="1633" t="str">
        <f t="shared" si="21"/>
        <v/>
      </c>
      <c r="G83" s="1635" t="str">
        <f t="shared" si="22"/>
        <v/>
      </c>
      <c r="H83" s="1635">
        <f t="shared" si="23"/>
        <v>46844</v>
      </c>
      <c r="M83" s="1638">
        <v>26</v>
      </c>
      <c r="N83" s="1657"/>
      <c r="O83" s="1658"/>
      <c r="P83" s="1658"/>
      <c r="Q83" s="1658"/>
      <c r="R83" s="1658"/>
      <c r="S83" s="1658"/>
      <c r="T83" s="1658"/>
    </row>
    <row r="84" spans="1:20">
      <c r="A84" s="1635">
        <f>A83+30</f>
        <v>46874</v>
      </c>
      <c r="C84" s="1642">
        <f t="shared" si="18"/>
        <v>46874</v>
      </c>
      <c r="D84" s="1638" t="str">
        <f t="shared" si="19"/>
        <v/>
      </c>
      <c r="E84" s="1633" t="str">
        <f t="shared" si="20"/>
        <v/>
      </c>
      <c r="F84" s="1633" t="str">
        <f t="shared" si="21"/>
        <v/>
      </c>
      <c r="G84" s="1635" t="str">
        <f t="shared" si="22"/>
        <v/>
      </c>
      <c r="H84" s="1635">
        <f t="shared" si="23"/>
        <v>46874</v>
      </c>
      <c r="M84" s="1638">
        <v>27</v>
      </c>
      <c r="N84" s="1657"/>
      <c r="O84" s="1658"/>
      <c r="P84" s="1658"/>
      <c r="Q84" s="1658"/>
      <c r="R84" s="1658"/>
      <c r="S84" s="1658"/>
      <c r="T84" s="1658"/>
    </row>
    <row r="85" spans="1:20">
      <c r="A85" s="1635">
        <f>A84+31</f>
        <v>46905</v>
      </c>
      <c r="C85" s="1642">
        <f t="shared" ref="C85:C148" si="45">A85</f>
        <v>46905</v>
      </c>
      <c r="D85" s="1638" t="str">
        <f t="shared" ref="D85:D148" si="46">IF(($P$23-C85)&lt;0,"",($P$23-C85))</f>
        <v/>
      </c>
      <c r="E85" s="1633" t="str">
        <f t="shared" ref="E85:E148" si="47">IF(D85="","",RANK(D85,$D$20:$D$215,1))</f>
        <v/>
      </c>
      <c r="F85" s="1633" t="str">
        <f t="shared" ref="F85:F148" si="48">IF(A85&lt;$L$37,$K$36,IF(A85&lt;$L$38,$K$37,IF(A85&lt;$L$39,$K$38,IF(A85&lt;$L$40,$K$39,IF(A85&lt;$L$41,$K$40,$K$41)))))</f>
        <v/>
      </c>
      <c r="G85" s="1635" t="str">
        <f t="shared" ref="G85:G148" si="49">VLOOKUP(F85,$K$36:$L$41,2,FALSE)</f>
        <v/>
      </c>
      <c r="H85" s="1635">
        <f t="shared" ref="H85:H148" si="50">A85</f>
        <v>46905</v>
      </c>
      <c r="M85" s="1638">
        <v>28</v>
      </c>
      <c r="N85" s="1657"/>
      <c r="O85" s="1658"/>
      <c r="P85" s="1658"/>
      <c r="Q85" s="1658"/>
      <c r="R85" s="1658"/>
      <c r="S85" s="1658"/>
      <c r="T85" s="1658"/>
    </row>
    <row r="86" spans="1:20">
      <c r="A86" s="1635">
        <f>A85+30</f>
        <v>46935</v>
      </c>
      <c r="C86" s="1642">
        <f t="shared" si="45"/>
        <v>46935</v>
      </c>
      <c r="D86" s="1638" t="str">
        <f t="shared" si="46"/>
        <v/>
      </c>
      <c r="E86" s="1633" t="str">
        <f t="shared" si="47"/>
        <v/>
      </c>
      <c r="F86" s="1633" t="str">
        <f t="shared" si="48"/>
        <v/>
      </c>
      <c r="G86" s="1635" t="str">
        <f t="shared" si="49"/>
        <v/>
      </c>
      <c r="H86" s="1635">
        <f t="shared" si="50"/>
        <v>46935</v>
      </c>
      <c r="M86" s="1638">
        <v>29</v>
      </c>
      <c r="N86" s="1657"/>
      <c r="O86" s="1658"/>
      <c r="P86" s="1658"/>
      <c r="Q86" s="1658"/>
      <c r="R86" s="1658"/>
      <c r="S86" s="1658"/>
      <c r="T86" s="1658"/>
    </row>
    <row r="87" spans="1:20">
      <c r="A87" s="1635">
        <f>A86+31</f>
        <v>46966</v>
      </c>
      <c r="C87" s="1642">
        <f t="shared" si="45"/>
        <v>46966</v>
      </c>
      <c r="D87" s="1638" t="str">
        <f t="shared" si="46"/>
        <v/>
      </c>
      <c r="E87" s="1633" t="str">
        <f t="shared" si="47"/>
        <v/>
      </c>
      <c r="F87" s="1633" t="str">
        <f t="shared" si="48"/>
        <v/>
      </c>
      <c r="G87" s="1635" t="str">
        <f t="shared" si="49"/>
        <v/>
      </c>
      <c r="H87" s="1635">
        <f t="shared" si="50"/>
        <v>46966</v>
      </c>
      <c r="M87" s="1638">
        <v>30</v>
      </c>
      <c r="N87" s="1657"/>
      <c r="O87" s="1658"/>
      <c r="P87" s="1658"/>
      <c r="Q87" s="1658"/>
      <c r="R87" s="1658"/>
      <c r="S87" s="1658"/>
      <c r="T87" s="1658"/>
    </row>
    <row r="88" spans="1:20">
      <c r="A88" s="1635">
        <f>A87+31</f>
        <v>46997</v>
      </c>
      <c r="C88" s="1642">
        <f t="shared" si="45"/>
        <v>46997</v>
      </c>
      <c r="D88" s="1638" t="str">
        <f t="shared" si="46"/>
        <v/>
      </c>
      <c r="E88" s="1633" t="str">
        <f t="shared" si="47"/>
        <v/>
      </c>
      <c r="F88" s="1633" t="str">
        <f t="shared" si="48"/>
        <v/>
      </c>
      <c r="G88" s="1635" t="str">
        <f t="shared" si="49"/>
        <v/>
      </c>
      <c r="H88" s="1635">
        <f t="shared" si="50"/>
        <v>46997</v>
      </c>
      <c r="M88" s="1638">
        <v>31</v>
      </c>
      <c r="N88" s="1657"/>
      <c r="O88" s="1658"/>
      <c r="P88" s="1658"/>
      <c r="Q88" s="1658"/>
      <c r="R88" s="1658"/>
      <c r="S88" s="1658"/>
      <c r="T88" s="1658"/>
    </row>
    <row r="89" spans="1:20">
      <c r="A89" s="1635">
        <f>A88+30</f>
        <v>47027</v>
      </c>
      <c r="C89" s="1642">
        <f t="shared" si="45"/>
        <v>47027</v>
      </c>
      <c r="D89" s="1638" t="str">
        <f t="shared" si="46"/>
        <v/>
      </c>
      <c r="E89" s="1633" t="str">
        <f t="shared" si="47"/>
        <v/>
      </c>
      <c r="F89" s="1633" t="str">
        <f t="shared" si="48"/>
        <v/>
      </c>
      <c r="G89" s="1635" t="str">
        <f t="shared" si="49"/>
        <v/>
      </c>
      <c r="H89" s="1635">
        <f t="shared" si="50"/>
        <v>47027</v>
      </c>
      <c r="M89" s="1638">
        <v>32</v>
      </c>
      <c r="N89" s="1657"/>
      <c r="O89" s="1658"/>
      <c r="P89" s="1658"/>
      <c r="Q89" s="1658"/>
      <c r="R89" s="1658"/>
      <c r="S89" s="1658"/>
      <c r="T89" s="1658"/>
    </row>
    <row r="90" spans="1:20">
      <c r="A90" s="1635">
        <f>A89+31</f>
        <v>47058</v>
      </c>
      <c r="C90" s="1642">
        <f t="shared" si="45"/>
        <v>47058</v>
      </c>
      <c r="D90" s="1638" t="str">
        <f t="shared" si="46"/>
        <v/>
      </c>
      <c r="E90" s="1633" t="str">
        <f t="shared" si="47"/>
        <v/>
      </c>
      <c r="F90" s="1633" t="str">
        <f t="shared" si="48"/>
        <v/>
      </c>
      <c r="G90" s="1635" t="str">
        <f t="shared" si="49"/>
        <v/>
      </c>
      <c r="H90" s="1635">
        <f t="shared" si="50"/>
        <v>47058</v>
      </c>
      <c r="M90" s="1638">
        <v>33</v>
      </c>
      <c r="N90" s="1657"/>
      <c r="O90" s="1658"/>
      <c r="P90" s="1658"/>
      <c r="Q90" s="1658"/>
      <c r="R90" s="1658"/>
      <c r="S90" s="1658"/>
      <c r="T90" s="1658"/>
    </row>
    <row r="91" spans="1:20">
      <c r="A91" s="1635">
        <f>A90+30</f>
        <v>47088</v>
      </c>
      <c r="C91" s="1642">
        <f t="shared" si="45"/>
        <v>47088</v>
      </c>
      <c r="D91" s="1638" t="str">
        <f t="shared" si="46"/>
        <v/>
      </c>
      <c r="E91" s="1633" t="str">
        <f t="shared" si="47"/>
        <v/>
      </c>
      <c r="F91" s="1633" t="str">
        <f t="shared" si="48"/>
        <v/>
      </c>
      <c r="G91" s="1635" t="str">
        <f t="shared" si="49"/>
        <v/>
      </c>
      <c r="H91" s="1635">
        <f t="shared" si="50"/>
        <v>47088</v>
      </c>
      <c r="M91" s="1638">
        <v>34</v>
      </c>
      <c r="N91" s="1657"/>
      <c r="O91" s="1658"/>
      <c r="P91" s="1658"/>
      <c r="Q91" s="1658"/>
      <c r="R91" s="1658"/>
      <c r="S91" s="1658"/>
      <c r="T91" s="1658"/>
    </row>
    <row r="92" spans="1:20">
      <c r="A92" s="1635">
        <f>A91+31</f>
        <v>47119</v>
      </c>
      <c r="C92" s="1642">
        <f t="shared" si="45"/>
        <v>47119</v>
      </c>
      <c r="D92" s="1638" t="str">
        <f t="shared" si="46"/>
        <v/>
      </c>
      <c r="E92" s="1633" t="str">
        <f t="shared" si="47"/>
        <v/>
      </c>
      <c r="F92" s="1633" t="str">
        <f t="shared" si="48"/>
        <v/>
      </c>
      <c r="G92" s="1635" t="str">
        <f t="shared" si="49"/>
        <v/>
      </c>
      <c r="H92" s="1635">
        <f t="shared" si="50"/>
        <v>47119</v>
      </c>
      <c r="M92" s="1638">
        <v>35</v>
      </c>
      <c r="N92" s="1657"/>
      <c r="O92" s="1658"/>
      <c r="P92" s="1658"/>
      <c r="Q92" s="1658"/>
      <c r="R92" s="1658"/>
      <c r="S92" s="1658"/>
      <c r="T92" s="1658"/>
    </row>
    <row r="93" spans="1:20">
      <c r="A93" s="1635">
        <f>A92+31</f>
        <v>47150</v>
      </c>
      <c r="B93" s="1633" t="b">
        <f>ISNA(VLOOKUP(A93,$E$4:$E$13,1,FALSE))</f>
        <v>1</v>
      </c>
      <c r="C93" s="1642">
        <f t="shared" si="45"/>
        <v>47150</v>
      </c>
      <c r="D93" s="1638" t="str">
        <f t="shared" si="46"/>
        <v/>
      </c>
      <c r="E93" s="1633" t="str">
        <f t="shared" si="47"/>
        <v/>
      </c>
      <c r="F93" s="1633" t="str">
        <f t="shared" si="48"/>
        <v/>
      </c>
      <c r="G93" s="1635" t="str">
        <f t="shared" si="49"/>
        <v/>
      </c>
      <c r="H93" s="1635">
        <f t="shared" si="50"/>
        <v>47150</v>
      </c>
      <c r="M93" s="1638">
        <v>36</v>
      </c>
      <c r="N93" s="1657"/>
      <c r="O93" s="1658"/>
      <c r="P93" s="1658"/>
      <c r="Q93" s="1658"/>
      <c r="R93" s="1658"/>
      <c r="S93" s="1658"/>
      <c r="T93" s="1658"/>
    </row>
    <row r="94" spans="1:20">
      <c r="A94" s="1635">
        <f>IF(B93=TRUE,(A93+28),(A93+29))</f>
        <v>47178</v>
      </c>
      <c r="C94" s="1642">
        <f t="shared" si="45"/>
        <v>47178</v>
      </c>
      <c r="D94" s="1638" t="str">
        <f t="shared" si="46"/>
        <v/>
      </c>
      <c r="E94" s="1633" t="str">
        <f t="shared" si="47"/>
        <v/>
      </c>
      <c r="F94" s="1633" t="str">
        <f t="shared" si="48"/>
        <v/>
      </c>
      <c r="G94" s="1635" t="str">
        <f t="shared" si="49"/>
        <v/>
      </c>
      <c r="H94" s="1635">
        <f t="shared" si="50"/>
        <v>47178</v>
      </c>
      <c r="M94" s="1638">
        <v>37</v>
      </c>
      <c r="N94" s="1657"/>
      <c r="O94" s="1658"/>
      <c r="P94" s="1658"/>
      <c r="Q94" s="1658"/>
      <c r="R94" s="1658"/>
      <c r="S94" s="1658"/>
      <c r="T94" s="1658"/>
    </row>
    <row r="95" spans="1:20">
      <c r="A95" s="1635">
        <f>A94+31</f>
        <v>47209</v>
      </c>
      <c r="C95" s="1642">
        <f t="shared" si="45"/>
        <v>47209</v>
      </c>
      <c r="D95" s="1638" t="str">
        <f t="shared" si="46"/>
        <v/>
      </c>
      <c r="E95" s="1633" t="str">
        <f t="shared" si="47"/>
        <v/>
      </c>
      <c r="F95" s="1633" t="str">
        <f t="shared" si="48"/>
        <v/>
      </c>
      <c r="G95" s="1635" t="str">
        <f t="shared" si="49"/>
        <v/>
      </c>
      <c r="H95" s="1635">
        <f t="shared" si="50"/>
        <v>47209</v>
      </c>
      <c r="M95" s="1638">
        <v>38</v>
      </c>
      <c r="N95" s="1657"/>
      <c r="O95" s="1658"/>
      <c r="P95" s="1658"/>
      <c r="Q95" s="1658"/>
      <c r="R95" s="1658"/>
      <c r="S95" s="1658"/>
      <c r="T95" s="1658"/>
    </row>
    <row r="96" spans="1:20">
      <c r="A96" s="1635">
        <f>A95+30</f>
        <v>47239</v>
      </c>
      <c r="C96" s="1642">
        <f t="shared" si="45"/>
        <v>47239</v>
      </c>
      <c r="D96" s="1638" t="str">
        <f t="shared" si="46"/>
        <v/>
      </c>
      <c r="E96" s="1633" t="str">
        <f t="shared" si="47"/>
        <v/>
      </c>
      <c r="F96" s="1633" t="str">
        <f t="shared" si="48"/>
        <v/>
      </c>
      <c r="G96" s="1635" t="str">
        <f t="shared" si="49"/>
        <v/>
      </c>
      <c r="H96" s="1635">
        <f t="shared" si="50"/>
        <v>47239</v>
      </c>
      <c r="M96" s="1638">
        <v>39</v>
      </c>
      <c r="N96" s="1657"/>
      <c r="O96" s="1658"/>
      <c r="P96" s="1658"/>
      <c r="Q96" s="1658"/>
      <c r="R96" s="1658"/>
      <c r="S96" s="1658"/>
      <c r="T96" s="1658"/>
    </row>
    <row r="97" spans="1:20">
      <c r="A97" s="1635">
        <f>A96+31</f>
        <v>47270</v>
      </c>
      <c r="C97" s="1642">
        <f t="shared" si="45"/>
        <v>47270</v>
      </c>
      <c r="D97" s="1638" t="str">
        <f t="shared" si="46"/>
        <v/>
      </c>
      <c r="E97" s="1633" t="str">
        <f t="shared" si="47"/>
        <v/>
      </c>
      <c r="F97" s="1633" t="str">
        <f t="shared" si="48"/>
        <v/>
      </c>
      <c r="G97" s="1635" t="str">
        <f t="shared" si="49"/>
        <v/>
      </c>
      <c r="H97" s="1635">
        <f t="shared" si="50"/>
        <v>47270</v>
      </c>
      <c r="M97" s="1638">
        <v>40</v>
      </c>
      <c r="N97" s="1657"/>
      <c r="O97" s="1658"/>
      <c r="P97" s="1658"/>
      <c r="Q97" s="1658"/>
      <c r="R97" s="1658"/>
      <c r="S97" s="1658"/>
      <c r="T97" s="1658"/>
    </row>
    <row r="98" spans="1:20">
      <c r="A98" s="1635">
        <f>A97+30</f>
        <v>47300</v>
      </c>
      <c r="C98" s="1642">
        <f t="shared" si="45"/>
        <v>47300</v>
      </c>
      <c r="D98" s="1638" t="str">
        <f t="shared" si="46"/>
        <v/>
      </c>
      <c r="E98" s="1633" t="str">
        <f t="shared" si="47"/>
        <v/>
      </c>
      <c r="F98" s="1633" t="str">
        <f t="shared" si="48"/>
        <v/>
      </c>
      <c r="G98" s="1635" t="str">
        <f t="shared" si="49"/>
        <v/>
      </c>
      <c r="H98" s="1635">
        <f t="shared" si="50"/>
        <v>47300</v>
      </c>
      <c r="M98" s="1638">
        <v>41</v>
      </c>
      <c r="N98" s="1657"/>
      <c r="O98" s="1658"/>
      <c r="P98" s="1658"/>
      <c r="Q98" s="1658"/>
      <c r="R98" s="1658"/>
      <c r="S98" s="1658"/>
      <c r="T98" s="1658"/>
    </row>
    <row r="99" spans="1:20">
      <c r="A99" s="1635">
        <f>A98+31</f>
        <v>47331</v>
      </c>
      <c r="C99" s="1642">
        <f t="shared" si="45"/>
        <v>47331</v>
      </c>
      <c r="D99" s="1638" t="str">
        <f t="shared" si="46"/>
        <v/>
      </c>
      <c r="E99" s="1633" t="str">
        <f t="shared" si="47"/>
        <v/>
      </c>
      <c r="F99" s="1633" t="str">
        <f t="shared" si="48"/>
        <v/>
      </c>
      <c r="G99" s="1635" t="str">
        <f t="shared" si="49"/>
        <v/>
      </c>
      <c r="H99" s="1635">
        <f t="shared" si="50"/>
        <v>47331</v>
      </c>
      <c r="M99" s="1638">
        <v>42</v>
      </c>
      <c r="N99" s="1657"/>
      <c r="O99" s="1658"/>
      <c r="P99" s="1658"/>
      <c r="Q99" s="1658"/>
      <c r="R99" s="1658"/>
      <c r="S99" s="1658"/>
      <c r="T99" s="1658"/>
    </row>
    <row r="100" spans="1:20">
      <c r="A100" s="1635">
        <f>A99+31</f>
        <v>47362</v>
      </c>
      <c r="C100" s="1642">
        <f t="shared" si="45"/>
        <v>47362</v>
      </c>
      <c r="D100" s="1638" t="str">
        <f t="shared" si="46"/>
        <v/>
      </c>
      <c r="E100" s="1633" t="str">
        <f t="shared" si="47"/>
        <v/>
      </c>
      <c r="F100" s="1633" t="str">
        <f t="shared" si="48"/>
        <v/>
      </c>
      <c r="G100" s="1635" t="str">
        <f t="shared" si="49"/>
        <v/>
      </c>
      <c r="H100" s="1635">
        <f t="shared" si="50"/>
        <v>47362</v>
      </c>
      <c r="M100" s="1638">
        <v>43</v>
      </c>
      <c r="N100" s="1657"/>
      <c r="O100" s="1658"/>
      <c r="P100" s="1658"/>
      <c r="Q100" s="1658"/>
      <c r="R100" s="1658"/>
      <c r="S100" s="1658"/>
      <c r="T100" s="1658"/>
    </row>
    <row r="101" spans="1:20">
      <c r="A101" s="1635">
        <f>A100+30</f>
        <v>47392</v>
      </c>
      <c r="C101" s="1642">
        <f t="shared" si="45"/>
        <v>47392</v>
      </c>
      <c r="D101" s="1638" t="str">
        <f t="shared" si="46"/>
        <v/>
      </c>
      <c r="E101" s="1633" t="str">
        <f t="shared" si="47"/>
        <v/>
      </c>
      <c r="F101" s="1633" t="str">
        <f t="shared" si="48"/>
        <v/>
      </c>
      <c r="G101" s="1635" t="str">
        <f t="shared" si="49"/>
        <v/>
      </c>
      <c r="H101" s="1635">
        <f t="shared" si="50"/>
        <v>47392</v>
      </c>
      <c r="M101" s="1638">
        <v>44</v>
      </c>
      <c r="N101" s="1657"/>
      <c r="O101" s="1658"/>
      <c r="P101" s="1658"/>
      <c r="Q101" s="1658"/>
      <c r="R101" s="1658"/>
      <c r="S101" s="1658"/>
      <c r="T101" s="1658"/>
    </row>
    <row r="102" spans="1:20">
      <c r="A102" s="1635">
        <f>A101+31</f>
        <v>47423</v>
      </c>
      <c r="C102" s="1642">
        <f t="shared" si="45"/>
        <v>47423</v>
      </c>
      <c r="D102" s="1638" t="str">
        <f t="shared" si="46"/>
        <v/>
      </c>
      <c r="E102" s="1633" t="str">
        <f t="shared" si="47"/>
        <v/>
      </c>
      <c r="F102" s="1633" t="str">
        <f t="shared" si="48"/>
        <v/>
      </c>
      <c r="G102" s="1635" t="str">
        <f t="shared" si="49"/>
        <v/>
      </c>
      <c r="H102" s="1635">
        <f t="shared" si="50"/>
        <v>47423</v>
      </c>
      <c r="M102" s="1638">
        <v>45</v>
      </c>
      <c r="N102" s="1657"/>
      <c r="O102" s="1658"/>
      <c r="P102" s="1658"/>
      <c r="Q102" s="1658"/>
      <c r="R102" s="1658"/>
      <c r="S102" s="1658"/>
      <c r="T102" s="1658"/>
    </row>
    <row r="103" spans="1:20">
      <c r="A103" s="1635">
        <f>A102+30</f>
        <v>47453</v>
      </c>
      <c r="C103" s="1642">
        <f t="shared" si="45"/>
        <v>47453</v>
      </c>
      <c r="D103" s="1638" t="str">
        <f t="shared" si="46"/>
        <v/>
      </c>
      <c r="E103" s="1633" t="str">
        <f t="shared" si="47"/>
        <v/>
      </c>
      <c r="F103" s="1633" t="str">
        <f t="shared" si="48"/>
        <v/>
      </c>
      <c r="G103" s="1635" t="str">
        <f t="shared" si="49"/>
        <v/>
      </c>
      <c r="H103" s="1635">
        <f t="shared" si="50"/>
        <v>47453</v>
      </c>
      <c r="M103" s="1638">
        <v>46</v>
      </c>
      <c r="N103" s="1657"/>
      <c r="O103" s="1658"/>
      <c r="P103" s="1658"/>
      <c r="Q103" s="1658"/>
      <c r="R103" s="1658"/>
      <c r="S103" s="1658"/>
      <c r="T103" s="1658"/>
    </row>
    <row r="104" spans="1:20">
      <c r="A104" s="1635">
        <f>A103+31</f>
        <v>47484</v>
      </c>
      <c r="C104" s="1642">
        <f t="shared" si="45"/>
        <v>47484</v>
      </c>
      <c r="D104" s="1638" t="str">
        <f t="shared" si="46"/>
        <v/>
      </c>
      <c r="E104" s="1633" t="str">
        <f t="shared" si="47"/>
        <v/>
      </c>
      <c r="F104" s="1633" t="str">
        <f t="shared" si="48"/>
        <v/>
      </c>
      <c r="G104" s="1635" t="str">
        <f t="shared" si="49"/>
        <v/>
      </c>
      <c r="H104" s="1635">
        <f t="shared" si="50"/>
        <v>47484</v>
      </c>
      <c r="M104" s="1638">
        <v>47</v>
      </c>
      <c r="N104" s="1657"/>
      <c r="O104" s="1658"/>
      <c r="P104" s="1658"/>
      <c r="Q104" s="1658"/>
      <c r="R104" s="1658"/>
      <c r="S104" s="1658"/>
      <c r="T104" s="1658"/>
    </row>
    <row r="105" spans="1:20">
      <c r="A105" s="1635">
        <f>A104+31</f>
        <v>47515</v>
      </c>
      <c r="B105" s="1633" t="b">
        <f>ISNA(VLOOKUP(A105,$E$4:$E$13,1,FALSE))</f>
        <v>1</v>
      </c>
      <c r="C105" s="1642">
        <f t="shared" si="45"/>
        <v>47515</v>
      </c>
      <c r="D105" s="1638" t="str">
        <f t="shared" si="46"/>
        <v/>
      </c>
      <c r="E105" s="1633" t="str">
        <f t="shared" si="47"/>
        <v/>
      </c>
      <c r="F105" s="1633" t="str">
        <f t="shared" si="48"/>
        <v/>
      </c>
      <c r="G105" s="1635" t="str">
        <f t="shared" si="49"/>
        <v/>
      </c>
      <c r="H105" s="1635">
        <f t="shared" si="50"/>
        <v>47515</v>
      </c>
      <c r="M105" s="1638">
        <v>48</v>
      </c>
      <c r="N105" s="1657"/>
      <c r="O105" s="1658"/>
      <c r="P105" s="1658"/>
      <c r="Q105" s="1658"/>
      <c r="R105" s="1658"/>
      <c r="S105" s="1658"/>
      <c r="T105" s="1658"/>
    </row>
    <row r="106" spans="1:20">
      <c r="A106" s="1635">
        <f>IF(B105=TRUE,(A105+28),(A105+29))</f>
        <v>47543</v>
      </c>
      <c r="C106" s="1642">
        <f t="shared" si="45"/>
        <v>47543</v>
      </c>
      <c r="D106" s="1638" t="str">
        <f t="shared" si="46"/>
        <v/>
      </c>
      <c r="E106" s="1633" t="str">
        <f t="shared" si="47"/>
        <v/>
      </c>
      <c r="F106" s="1633" t="str">
        <f t="shared" si="48"/>
        <v/>
      </c>
      <c r="G106" s="1635" t="str">
        <f t="shared" si="49"/>
        <v/>
      </c>
      <c r="H106" s="1635">
        <f t="shared" si="50"/>
        <v>47543</v>
      </c>
      <c r="M106" s="1638">
        <v>49</v>
      </c>
      <c r="N106" s="1657"/>
      <c r="O106" s="1658"/>
      <c r="P106" s="1658"/>
      <c r="Q106" s="1658"/>
      <c r="R106" s="1658"/>
      <c r="S106" s="1658"/>
      <c r="T106" s="1658"/>
    </row>
    <row r="107" spans="1:20">
      <c r="A107" s="1635">
        <f>A106+31</f>
        <v>47574</v>
      </c>
      <c r="C107" s="1642">
        <f t="shared" si="45"/>
        <v>47574</v>
      </c>
      <c r="D107" s="1638" t="str">
        <f t="shared" si="46"/>
        <v/>
      </c>
      <c r="E107" s="1633" t="str">
        <f t="shared" si="47"/>
        <v/>
      </c>
      <c r="F107" s="1633" t="str">
        <f t="shared" si="48"/>
        <v/>
      </c>
      <c r="G107" s="1635" t="str">
        <f t="shared" si="49"/>
        <v/>
      </c>
      <c r="H107" s="1635">
        <f t="shared" si="50"/>
        <v>47574</v>
      </c>
      <c r="M107" s="1638">
        <v>50</v>
      </c>
      <c r="N107" s="1657"/>
      <c r="O107" s="1658"/>
      <c r="P107" s="1658"/>
      <c r="Q107" s="1658"/>
      <c r="R107" s="1658"/>
      <c r="S107" s="1658"/>
      <c r="T107" s="1658"/>
    </row>
    <row r="108" spans="1:20">
      <c r="A108" s="1635">
        <f>A107+30</f>
        <v>47604</v>
      </c>
      <c r="C108" s="1642">
        <f t="shared" si="45"/>
        <v>47604</v>
      </c>
      <c r="D108" s="1638" t="str">
        <f t="shared" si="46"/>
        <v/>
      </c>
      <c r="E108" s="1633" t="str">
        <f t="shared" si="47"/>
        <v/>
      </c>
      <c r="F108" s="1633" t="str">
        <f t="shared" si="48"/>
        <v/>
      </c>
      <c r="G108" s="1635" t="str">
        <f t="shared" si="49"/>
        <v/>
      </c>
      <c r="H108" s="1635">
        <f t="shared" si="50"/>
        <v>47604</v>
      </c>
      <c r="M108" s="1638">
        <v>51</v>
      </c>
      <c r="N108" s="1657"/>
      <c r="O108" s="1658"/>
      <c r="P108" s="1658"/>
      <c r="Q108" s="1658"/>
      <c r="R108" s="1658"/>
      <c r="S108" s="1658"/>
      <c r="T108" s="1658"/>
    </row>
    <row r="109" spans="1:20">
      <c r="A109" s="1635">
        <f>A108+31</f>
        <v>47635</v>
      </c>
      <c r="C109" s="1642">
        <f t="shared" si="45"/>
        <v>47635</v>
      </c>
      <c r="D109" s="1638" t="str">
        <f t="shared" si="46"/>
        <v/>
      </c>
      <c r="E109" s="1633" t="str">
        <f t="shared" si="47"/>
        <v/>
      </c>
      <c r="F109" s="1633" t="str">
        <f t="shared" si="48"/>
        <v/>
      </c>
      <c r="G109" s="1635" t="str">
        <f t="shared" si="49"/>
        <v/>
      </c>
      <c r="H109" s="1635">
        <f t="shared" si="50"/>
        <v>47635</v>
      </c>
      <c r="M109" s="1638">
        <v>52</v>
      </c>
      <c r="N109" s="1657"/>
      <c r="O109" s="1658"/>
      <c r="P109" s="1658"/>
      <c r="Q109" s="1658"/>
      <c r="R109" s="1658"/>
      <c r="S109" s="1658"/>
      <c r="T109" s="1658"/>
    </row>
    <row r="110" spans="1:20">
      <c r="A110" s="1635">
        <f>A109+30</f>
        <v>47665</v>
      </c>
      <c r="C110" s="1642">
        <f t="shared" si="45"/>
        <v>47665</v>
      </c>
      <c r="D110" s="1638" t="str">
        <f t="shared" si="46"/>
        <v/>
      </c>
      <c r="E110" s="1633" t="str">
        <f t="shared" si="47"/>
        <v/>
      </c>
      <c r="F110" s="1633" t="str">
        <f t="shared" si="48"/>
        <v/>
      </c>
      <c r="G110" s="1635" t="str">
        <f t="shared" si="49"/>
        <v/>
      </c>
      <c r="H110" s="1635">
        <f t="shared" si="50"/>
        <v>47665</v>
      </c>
      <c r="M110" s="1638">
        <v>53</v>
      </c>
      <c r="N110" s="1657"/>
      <c r="O110" s="1658"/>
      <c r="P110" s="1658"/>
      <c r="Q110" s="1658"/>
      <c r="R110" s="1658"/>
      <c r="S110" s="1658"/>
      <c r="T110" s="1658"/>
    </row>
    <row r="111" spans="1:20">
      <c r="A111" s="1635">
        <f>A110+31</f>
        <v>47696</v>
      </c>
      <c r="C111" s="1642">
        <f t="shared" si="45"/>
        <v>47696</v>
      </c>
      <c r="D111" s="1638" t="str">
        <f t="shared" si="46"/>
        <v/>
      </c>
      <c r="E111" s="1633" t="str">
        <f t="shared" si="47"/>
        <v/>
      </c>
      <c r="F111" s="1633" t="str">
        <f t="shared" si="48"/>
        <v/>
      </c>
      <c r="G111" s="1635" t="str">
        <f t="shared" si="49"/>
        <v/>
      </c>
      <c r="H111" s="1635">
        <f t="shared" si="50"/>
        <v>47696</v>
      </c>
      <c r="M111" s="1638">
        <v>54</v>
      </c>
      <c r="N111" s="1657"/>
      <c r="O111" s="1658"/>
      <c r="P111" s="1658"/>
      <c r="Q111" s="1658"/>
      <c r="R111" s="1658"/>
      <c r="S111" s="1658"/>
      <c r="T111" s="1658"/>
    </row>
    <row r="112" spans="1:20">
      <c r="A112" s="1635">
        <f>A111+31</f>
        <v>47727</v>
      </c>
      <c r="C112" s="1642">
        <f t="shared" si="45"/>
        <v>47727</v>
      </c>
      <c r="D112" s="1638" t="str">
        <f t="shared" si="46"/>
        <v/>
      </c>
      <c r="E112" s="1633" t="str">
        <f t="shared" si="47"/>
        <v/>
      </c>
      <c r="F112" s="1633" t="str">
        <f t="shared" si="48"/>
        <v/>
      </c>
      <c r="G112" s="1635" t="str">
        <f t="shared" si="49"/>
        <v/>
      </c>
      <c r="H112" s="1635">
        <f t="shared" si="50"/>
        <v>47727</v>
      </c>
      <c r="M112" s="1638">
        <v>55</v>
      </c>
      <c r="N112" s="1657"/>
      <c r="O112" s="1658"/>
      <c r="P112" s="1658"/>
      <c r="Q112" s="1658"/>
      <c r="R112" s="1658"/>
      <c r="S112" s="1658"/>
      <c r="T112" s="1658"/>
    </row>
    <row r="113" spans="1:20">
      <c r="A113" s="1635">
        <f>A112+30</f>
        <v>47757</v>
      </c>
      <c r="C113" s="1642">
        <f t="shared" si="45"/>
        <v>47757</v>
      </c>
      <c r="D113" s="1638" t="str">
        <f t="shared" si="46"/>
        <v/>
      </c>
      <c r="E113" s="1633" t="str">
        <f t="shared" si="47"/>
        <v/>
      </c>
      <c r="F113" s="1633" t="str">
        <f t="shared" si="48"/>
        <v/>
      </c>
      <c r="G113" s="1635" t="str">
        <f t="shared" si="49"/>
        <v/>
      </c>
      <c r="H113" s="1635">
        <f t="shared" si="50"/>
        <v>47757</v>
      </c>
      <c r="M113" s="1638">
        <v>56</v>
      </c>
      <c r="N113" s="1657"/>
      <c r="O113" s="1658"/>
      <c r="P113" s="1658"/>
      <c r="Q113" s="1658"/>
      <c r="R113" s="1658"/>
      <c r="S113" s="1658"/>
      <c r="T113" s="1658"/>
    </row>
    <row r="114" spans="1:20">
      <c r="A114" s="1635">
        <f>A113+31</f>
        <v>47788</v>
      </c>
      <c r="C114" s="1642">
        <f t="shared" si="45"/>
        <v>47788</v>
      </c>
      <c r="D114" s="1638" t="str">
        <f t="shared" si="46"/>
        <v/>
      </c>
      <c r="E114" s="1633" t="str">
        <f t="shared" si="47"/>
        <v/>
      </c>
      <c r="F114" s="1633" t="str">
        <f t="shared" si="48"/>
        <v/>
      </c>
      <c r="G114" s="1635" t="str">
        <f t="shared" si="49"/>
        <v/>
      </c>
      <c r="H114" s="1635">
        <f t="shared" si="50"/>
        <v>47788</v>
      </c>
      <c r="M114" s="1638">
        <v>57</v>
      </c>
      <c r="N114" s="1657"/>
      <c r="O114" s="1658"/>
      <c r="P114" s="1658"/>
      <c r="Q114" s="1658"/>
      <c r="R114" s="1658"/>
      <c r="S114" s="1658"/>
      <c r="T114" s="1658"/>
    </row>
    <row r="115" spans="1:20">
      <c r="A115" s="1635">
        <f>A114+30</f>
        <v>47818</v>
      </c>
      <c r="C115" s="1642">
        <f t="shared" si="45"/>
        <v>47818</v>
      </c>
      <c r="D115" s="1638" t="str">
        <f t="shared" si="46"/>
        <v/>
      </c>
      <c r="E115" s="1633" t="str">
        <f t="shared" si="47"/>
        <v/>
      </c>
      <c r="F115" s="1633" t="str">
        <f t="shared" si="48"/>
        <v/>
      </c>
      <c r="G115" s="1635" t="str">
        <f t="shared" si="49"/>
        <v/>
      </c>
      <c r="H115" s="1635">
        <f t="shared" si="50"/>
        <v>47818</v>
      </c>
      <c r="M115" s="1638">
        <v>58</v>
      </c>
      <c r="N115" s="1657"/>
      <c r="O115" s="1658"/>
      <c r="P115" s="1658"/>
      <c r="Q115" s="1658"/>
      <c r="R115" s="1658"/>
      <c r="S115" s="1658"/>
      <c r="T115" s="1658"/>
    </row>
    <row r="116" spans="1:20">
      <c r="A116" s="1635">
        <f>A115+31</f>
        <v>47849</v>
      </c>
      <c r="C116" s="1642">
        <f t="shared" si="45"/>
        <v>47849</v>
      </c>
      <c r="D116" s="1638" t="str">
        <f t="shared" si="46"/>
        <v/>
      </c>
      <c r="E116" s="1633" t="str">
        <f t="shared" si="47"/>
        <v/>
      </c>
      <c r="F116" s="1633" t="str">
        <f t="shared" si="48"/>
        <v/>
      </c>
      <c r="G116" s="1635" t="str">
        <f t="shared" si="49"/>
        <v/>
      </c>
      <c r="H116" s="1635">
        <f t="shared" si="50"/>
        <v>47849</v>
      </c>
      <c r="M116" s="1638">
        <v>59</v>
      </c>
      <c r="N116" s="1657"/>
      <c r="O116" s="1658"/>
      <c r="P116" s="1658"/>
      <c r="Q116" s="1658"/>
      <c r="R116" s="1658"/>
      <c r="S116" s="1658"/>
      <c r="T116" s="1658"/>
    </row>
    <row r="117" spans="1:20">
      <c r="A117" s="1635">
        <f>A116+31</f>
        <v>47880</v>
      </c>
      <c r="B117" s="1633" t="b">
        <f>ISNA(VLOOKUP(A117,$E$4:$E$13,1,FALSE))</f>
        <v>1</v>
      </c>
      <c r="C117" s="1642">
        <f t="shared" si="45"/>
        <v>47880</v>
      </c>
      <c r="D117" s="1638" t="str">
        <f t="shared" si="46"/>
        <v/>
      </c>
      <c r="E117" s="1633" t="str">
        <f t="shared" si="47"/>
        <v/>
      </c>
      <c r="F117" s="1633" t="str">
        <f t="shared" si="48"/>
        <v/>
      </c>
      <c r="G117" s="1635" t="str">
        <f t="shared" si="49"/>
        <v/>
      </c>
      <c r="H117" s="1635">
        <f t="shared" si="50"/>
        <v>47880</v>
      </c>
      <c r="M117" s="1638">
        <v>60</v>
      </c>
      <c r="N117" s="1657"/>
      <c r="O117" s="1658"/>
      <c r="P117" s="1658"/>
      <c r="Q117" s="1658"/>
      <c r="R117" s="1658"/>
      <c r="S117" s="1658"/>
      <c r="T117" s="1658"/>
    </row>
    <row r="118" spans="1:20">
      <c r="A118" s="1635">
        <f>IF(B117=TRUE,(A117+28),(A117+29))</f>
        <v>47908</v>
      </c>
      <c r="C118" s="1642">
        <f t="shared" si="45"/>
        <v>47908</v>
      </c>
      <c r="D118" s="1638" t="str">
        <f t="shared" si="46"/>
        <v/>
      </c>
      <c r="E118" s="1633" t="str">
        <f t="shared" si="47"/>
        <v/>
      </c>
      <c r="F118" s="1633" t="str">
        <f t="shared" si="48"/>
        <v/>
      </c>
      <c r="G118" s="1635" t="str">
        <f t="shared" si="49"/>
        <v/>
      </c>
      <c r="H118" s="1635">
        <f t="shared" si="50"/>
        <v>47908</v>
      </c>
      <c r="M118" s="1638">
        <v>61</v>
      </c>
      <c r="N118" s="1657"/>
      <c r="O118" s="1658"/>
      <c r="P118" s="1658"/>
      <c r="Q118" s="1658"/>
      <c r="R118" s="1658"/>
      <c r="S118" s="1658"/>
      <c r="T118" s="1658"/>
    </row>
    <row r="119" spans="1:20">
      <c r="A119" s="1635">
        <f>A118+31</f>
        <v>47939</v>
      </c>
      <c r="C119" s="1642">
        <f t="shared" si="45"/>
        <v>47939</v>
      </c>
      <c r="D119" s="1638" t="str">
        <f t="shared" si="46"/>
        <v/>
      </c>
      <c r="E119" s="1633" t="str">
        <f t="shared" si="47"/>
        <v/>
      </c>
      <c r="F119" s="1633" t="str">
        <f t="shared" si="48"/>
        <v/>
      </c>
      <c r="G119" s="1635" t="str">
        <f t="shared" si="49"/>
        <v/>
      </c>
      <c r="H119" s="1635">
        <f t="shared" si="50"/>
        <v>47939</v>
      </c>
      <c r="M119" s="1638">
        <v>62</v>
      </c>
      <c r="N119" s="1657"/>
      <c r="O119" s="1658"/>
      <c r="P119" s="1658"/>
      <c r="Q119" s="1658"/>
      <c r="R119" s="1658"/>
      <c r="S119" s="1658"/>
      <c r="T119" s="1658"/>
    </row>
    <row r="120" spans="1:20">
      <c r="A120" s="1635">
        <f>A119+30</f>
        <v>47969</v>
      </c>
      <c r="C120" s="1642">
        <f t="shared" si="45"/>
        <v>47969</v>
      </c>
      <c r="D120" s="1638" t="str">
        <f t="shared" si="46"/>
        <v/>
      </c>
      <c r="E120" s="1633" t="str">
        <f t="shared" si="47"/>
        <v/>
      </c>
      <c r="F120" s="1633" t="str">
        <f t="shared" si="48"/>
        <v/>
      </c>
      <c r="G120" s="1635" t="str">
        <f t="shared" si="49"/>
        <v/>
      </c>
      <c r="H120" s="1635">
        <f t="shared" si="50"/>
        <v>47969</v>
      </c>
      <c r="M120" s="1638">
        <v>63</v>
      </c>
      <c r="N120" s="1657"/>
      <c r="O120" s="1658"/>
      <c r="P120" s="1658"/>
      <c r="Q120" s="1658"/>
      <c r="R120" s="1658"/>
      <c r="S120" s="1658"/>
      <c r="T120" s="1658"/>
    </row>
    <row r="121" spans="1:20">
      <c r="A121" s="1635">
        <f>A120+31</f>
        <v>48000</v>
      </c>
      <c r="C121" s="1642">
        <f t="shared" si="45"/>
        <v>48000</v>
      </c>
      <c r="D121" s="1638" t="str">
        <f t="shared" si="46"/>
        <v/>
      </c>
      <c r="E121" s="1633" t="str">
        <f t="shared" si="47"/>
        <v/>
      </c>
      <c r="F121" s="1633" t="str">
        <f t="shared" si="48"/>
        <v/>
      </c>
      <c r="G121" s="1635" t="str">
        <f t="shared" si="49"/>
        <v/>
      </c>
      <c r="H121" s="1635">
        <f t="shared" si="50"/>
        <v>48000</v>
      </c>
      <c r="M121" s="1638">
        <v>64</v>
      </c>
      <c r="N121" s="1657"/>
      <c r="O121" s="1658"/>
      <c r="P121" s="1658"/>
      <c r="Q121" s="1658"/>
      <c r="R121" s="1658"/>
      <c r="S121" s="1658"/>
      <c r="T121" s="1658"/>
    </row>
    <row r="122" spans="1:20">
      <c r="A122" s="1635">
        <f>A121+30</f>
        <v>48030</v>
      </c>
      <c r="C122" s="1642">
        <f t="shared" si="45"/>
        <v>48030</v>
      </c>
      <c r="D122" s="1638" t="str">
        <f t="shared" si="46"/>
        <v/>
      </c>
      <c r="E122" s="1633" t="str">
        <f t="shared" si="47"/>
        <v/>
      </c>
      <c r="F122" s="1633" t="str">
        <f t="shared" si="48"/>
        <v/>
      </c>
      <c r="G122" s="1635" t="str">
        <f t="shared" si="49"/>
        <v/>
      </c>
      <c r="H122" s="1635">
        <f t="shared" si="50"/>
        <v>48030</v>
      </c>
      <c r="M122" s="1638">
        <v>65</v>
      </c>
      <c r="N122" s="1657"/>
      <c r="O122" s="1658"/>
      <c r="P122" s="1658"/>
      <c r="Q122" s="1658"/>
      <c r="R122" s="1658"/>
      <c r="S122" s="1658"/>
      <c r="T122" s="1658"/>
    </row>
    <row r="123" spans="1:20">
      <c r="A123" s="1635">
        <f>A122+31</f>
        <v>48061</v>
      </c>
      <c r="C123" s="1642">
        <f t="shared" si="45"/>
        <v>48061</v>
      </c>
      <c r="D123" s="1638" t="str">
        <f t="shared" si="46"/>
        <v/>
      </c>
      <c r="E123" s="1633" t="str">
        <f t="shared" si="47"/>
        <v/>
      </c>
      <c r="F123" s="1633" t="str">
        <f t="shared" si="48"/>
        <v/>
      </c>
      <c r="G123" s="1635" t="str">
        <f t="shared" si="49"/>
        <v/>
      </c>
      <c r="H123" s="1635">
        <f t="shared" si="50"/>
        <v>48061</v>
      </c>
      <c r="M123" s="1638">
        <v>66</v>
      </c>
      <c r="N123" s="1657"/>
      <c r="O123" s="1658"/>
      <c r="P123" s="1658"/>
      <c r="Q123" s="1658"/>
      <c r="R123" s="1658"/>
      <c r="S123" s="1658"/>
      <c r="T123" s="1658"/>
    </row>
    <row r="124" spans="1:20">
      <c r="A124" s="1635">
        <f>A123+31</f>
        <v>48092</v>
      </c>
      <c r="C124" s="1642">
        <f t="shared" si="45"/>
        <v>48092</v>
      </c>
      <c r="D124" s="1638" t="str">
        <f t="shared" si="46"/>
        <v/>
      </c>
      <c r="E124" s="1633" t="str">
        <f t="shared" si="47"/>
        <v/>
      </c>
      <c r="F124" s="1633" t="str">
        <f t="shared" si="48"/>
        <v/>
      </c>
      <c r="G124" s="1635" t="str">
        <f t="shared" si="49"/>
        <v/>
      </c>
      <c r="H124" s="1635">
        <f t="shared" si="50"/>
        <v>48092</v>
      </c>
      <c r="M124" s="1638">
        <v>67</v>
      </c>
      <c r="N124" s="1657"/>
      <c r="O124" s="1658"/>
      <c r="P124" s="1658"/>
      <c r="Q124" s="1658"/>
      <c r="R124" s="1658"/>
      <c r="S124" s="1658"/>
      <c r="T124" s="1658"/>
    </row>
    <row r="125" spans="1:20">
      <c r="A125" s="1635">
        <f>A124+30</f>
        <v>48122</v>
      </c>
      <c r="C125" s="1642">
        <f t="shared" si="45"/>
        <v>48122</v>
      </c>
      <c r="D125" s="1638" t="str">
        <f t="shared" si="46"/>
        <v/>
      </c>
      <c r="E125" s="1633" t="str">
        <f t="shared" si="47"/>
        <v/>
      </c>
      <c r="F125" s="1633" t="str">
        <f t="shared" si="48"/>
        <v/>
      </c>
      <c r="G125" s="1635" t="str">
        <f t="shared" si="49"/>
        <v/>
      </c>
      <c r="H125" s="1635">
        <f t="shared" si="50"/>
        <v>48122</v>
      </c>
      <c r="M125" s="1638">
        <v>68</v>
      </c>
      <c r="N125" s="1657"/>
      <c r="O125" s="1658"/>
      <c r="P125" s="1658"/>
      <c r="Q125" s="1658"/>
      <c r="R125" s="1658"/>
      <c r="S125" s="1658"/>
      <c r="T125" s="1658"/>
    </row>
    <row r="126" spans="1:20">
      <c r="A126" s="1635">
        <f>A125+31</f>
        <v>48153</v>
      </c>
      <c r="C126" s="1642">
        <f t="shared" si="45"/>
        <v>48153</v>
      </c>
      <c r="D126" s="1638" t="str">
        <f t="shared" si="46"/>
        <v/>
      </c>
      <c r="E126" s="1633" t="str">
        <f t="shared" si="47"/>
        <v/>
      </c>
      <c r="F126" s="1633" t="str">
        <f t="shared" si="48"/>
        <v/>
      </c>
      <c r="G126" s="1635" t="str">
        <f t="shared" si="49"/>
        <v/>
      </c>
      <c r="H126" s="1635">
        <f t="shared" si="50"/>
        <v>48153</v>
      </c>
      <c r="M126" s="1638">
        <v>69</v>
      </c>
      <c r="N126" s="1657"/>
      <c r="O126" s="1658"/>
      <c r="P126" s="1658"/>
      <c r="Q126" s="1658"/>
      <c r="R126" s="1658"/>
      <c r="S126" s="1658"/>
      <c r="T126" s="1658"/>
    </row>
    <row r="127" spans="1:20">
      <c r="A127" s="1635">
        <f>A126+30</f>
        <v>48183</v>
      </c>
      <c r="C127" s="1642">
        <f t="shared" si="45"/>
        <v>48183</v>
      </c>
      <c r="D127" s="1638" t="str">
        <f t="shared" si="46"/>
        <v/>
      </c>
      <c r="E127" s="1633" t="str">
        <f t="shared" si="47"/>
        <v/>
      </c>
      <c r="F127" s="1633" t="str">
        <f t="shared" si="48"/>
        <v/>
      </c>
      <c r="G127" s="1635" t="str">
        <f t="shared" si="49"/>
        <v/>
      </c>
      <c r="H127" s="1635">
        <f t="shared" si="50"/>
        <v>48183</v>
      </c>
      <c r="M127" s="1638">
        <v>70</v>
      </c>
      <c r="N127" s="1657"/>
      <c r="O127" s="1658"/>
      <c r="P127" s="1658"/>
      <c r="Q127" s="1658"/>
      <c r="R127" s="1658"/>
      <c r="S127" s="1658"/>
      <c r="T127" s="1658"/>
    </row>
    <row r="128" spans="1:20">
      <c r="A128" s="1635">
        <f>A127+31</f>
        <v>48214</v>
      </c>
      <c r="C128" s="1642">
        <f t="shared" si="45"/>
        <v>48214</v>
      </c>
      <c r="D128" s="1638" t="str">
        <f t="shared" si="46"/>
        <v/>
      </c>
      <c r="E128" s="1633" t="str">
        <f t="shared" si="47"/>
        <v/>
      </c>
      <c r="F128" s="1633" t="str">
        <f t="shared" si="48"/>
        <v/>
      </c>
      <c r="G128" s="1635" t="str">
        <f t="shared" si="49"/>
        <v/>
      </c>
      <c r="H128" s="1635">
        <f t="shared" si="50"/>
        <v>48214</v>
      </c>
      <c r="M128" s="1638">
        <v>71</v>
      </c>
      <c r="N128" s="1657"/>
      <c r="O128" s="1658"/>
      <c r="P128" s="1658"/>
      <c r="Q128" s="1658"/>
      <c r="R128" s="1658"/>
      <c r="S128" s="1658"/>
      <c r="T128" s="1658"/>
    </row>
    <row r="129" spans="1:20">
      <c r="A129" s="1635">
        <f>A128+31</f>
        <v>48245</v>
      </c>
      <c r="B129" s="1633" t="b">
        <f>ISNA(VLOOKUP(A129,$E$4:$E$13,1,FALSE))</f>
        <v>0</v>
      </c>
      <c r="C129" s="1642">
        <f t="shared" si="45"/>
        <v>48245</v>
      </c>
      <c r="D129" s="1638" t="str">
        <f t="shared" si="46"/>
        <v/>
      </c>
      <c r="E129" s="1633" t="str">
        <f t="shared" si="47"/>
        <v/>
      </c>
      <c r="F129" s="1633" t="str">
        <f t="shared" si="48"/>
        <v/>
      </c>
      <c r="G129" s="1635" t="str">
        <f t="shared" si="49"/>
        <v/>
      </c>
      <c r="H129" s="1635">
        <f t="shared" si="50"/>
        <v>48245</v>
      </c>
      <c r="M129" s="1638">
        <v>72</v>
      </c>
      <c r="N129" s="1657"/>
      <c r="O129" s="1658"/>
      <c r="P129" s="1658"/>
      <c r="Q129" s="1658"/>
      <c r="R129" s="1658"/>
      <c r="S129" s="1658"/>
      <c r="T129" s="1658"/>
    </row>
    <row r="130" spans="1:20">
      <c r="A130" s="1635">
        <f>IF(B129=TRUE,(A129+28),(A129+29))</f>
        <v>48274</v>
      </c>
      <c r="C130" s="1642">
        <f t="shared" si="45"/>
        <v>48274</v>
      </c>
      <c r="D130" s="1638" t="str">
        <f t="shared" si="46"/>
        <v/>
      </c>
      <c r="E130" s="1633" t="str">
        <f t="shared" si="47"/>
        <v/>
      </c>
      <c r="F130" s="1633" t="str">
        <f t="shared" si="48"/>
        <v/>
      </c>
      <c r="G130" s="1635" t="str">
        <f t="shared" si="49"/>
        <v/>
      </c>
      <c r="H130" s="1635">
        <f t="shared" si="50"/>
        <v>48274</v>
      </c>
      <c r="M130" s="1638">
        <v>73</v>
      </c>
      <c r="N130" s="1657"/>
      <c r="O130" s="1658"/>
      <c r="P130" s="1658"/>
      <c r="Q130" s="1658"/>
      <c r="R130" s="1658"/>
      <c r="S130" s="1658"/>
      <c r="T130" s="1658"/>
    </row>
    <row r="131" spans="1:20">
      <c r="A131" s="1635">
        <f>A130+31</f>
        <v>48305</v>
      </c>
      <c r="C131" s="1642">
        <f t="shared" si="45"/>
        <v>48305</v>
      </c>
      <c r="D131" s="1638" t="str">
        <f t="shared" si="46"/>
        <v/>
      </c>
      <c r="E131" s="1633" t="str">
        <f t="shared" si="47"/>
        <v/>
      </c>
      <c r="F131" s="1633" t="str">
        <f t="shared" si="48"/>
        <v/>
      </c>
      <c r="G131" s="1635" t="str">
        <f t="shared" si="49"/>
        <v/>
      </c>
      <c r="H131" s="1635">
        <f t="shared" si="50"/>
        <v>48305</v>
      </c>
      <c r="M131" s="1638">
        <v>74</v>
      </c>
      <c r="N131" s="1657"/>
      <c r="O131" s="1658"/>
      <c r="P131" s="1658"/>
      <c r="Q131" s="1658"/>
      <c r="R131" s="1658"/>
      <c r="S131" s="1658"/>
      <c r="T131" s="1658"/>
    </row>
    <row r="132" spans="1:20">
      <c r="A132" s="1635">
        <f>A131+30</f>
        <v>48335</v>
      </c>
      <c r="C132" s="1642">
        <f t="shared" si="45"/>
        <v>48335</v>
      </c>
      <c r="D132" s="1638" t="str">
        <f t="shared" si="46"/>
        <v/>
      </c>
      <c r="E132" s="1633" t="str">
        <f t="shared" si="47"/>
        <v/>
      </c>
      <c r="F132" s="1633" t="str">
        <f t="shared" si="48"/>
        <v/>
      </c>
      <c r="G132" s="1635" t="str">
        <f t="shared" si="49"/>
        <v/>
      </c>
      <c r="H132" s="1635">
        <f t="shared" si="50"/>
        <v>48335</v>
      </c>
      <c r="M132" s="1638">
        <v>75</v>
      </c>
      <c r="N132" s="1657"/>
      <c r="O132" s="1658"/>
      <c r="P132" s="1658"/>
      <c r="Q132" s="1658"/>
      <c r="R132" s="1658"/>
      <c r="S132" s="1658"/>
      <c r="T132" s="1658"/>
    </row>
    <row r="133" spans="1:20">
      <c r="A133" s="1635">
        <f>A132+31</f>
        <v>48366</v>
      </c>
      <c r="C133" s="1642">
        <f t="shared" si="45"/>
        <v>48366</v>
      </c>
      <c r="D133" s="1638" t="str">
        <f t="shared" si="46"/>
        <v/>
      </c>
      <c r="E133" s="1633" t="str">
        <f t="shared" si="47"/>
        <v/>
      </c>
      <c r="F133" s="1633" t="str">
        <f t="shared" si="48"/>
        <v/>
      </c>
      <c r="G133" s="1635" t="str">
        <f t="shared" si="49"/>
        <v/>
      </c>
      <c r="H133" s="1635">
        <f t="shared" si="50"/>
        <v>48366</v>
      </c>
      <c r="M133" s="1638">
        <v>76</v>
      </c>
      <c r="N133" s="1657"/>
      <c r="O133" s="1658"/>
      <c r="P133" s="1658"/>
      <c r="Q133" s="1658"/>
      <c r="R133" s="1658"/>
      <c r="S133" s="1658"/>
      <c r="T133" s="1658"/>
    </row>
    <row r="134" spans="1:20">
      <c r="A134" s="1635">
        <f>A133+30</f>
        <v>48396</v>
      </c>
      <c r="C134" s="1642">
        <f t="shared" si="45"/>
        <v>48396</v>
      </c>
      <c r="D134" s="1638" t="str">
        <f t="shared" si="46"/>
        <v/>
      </c>
      <c r="E134" s="1633" t="str">
        <f t="shared" si="47"/>
        <v/>
      </c>
      <c r="F134" s="1633" t="str">
        <f t="shared" si="48"/>
        <v/>
      </c>
      <c r="G134" s="1635" t="str">
        <f t="shared" si="49"/>
        <v/>
      </c>
      <c r="H134" s="1635">
        <f t="shared" si="50"/>
        <v>48396</v>
      </c>
      <c r="M134" s="1638">
        <v>77</v>
      </c>
      <c r="N134" s="1657"/>
      <c r="O134" s="1658"/>
      <c r="P134" s="1658"/>
      <c r="Q134" s="1658"/>
      <c r="R134" s="1658"/>
      <c r="S134" s="1658"/>
      <c r="T134" s="1658"/>
    </row>
    <row r="135" spans="1:20">
      <c r="A135" s="1635">
        <f>A134+31</f>
        <v>48427</v>
      </c>
      <c r="C135" s="1642">
        <f t="shared" si="45"/>
        <v>48427</v>
      </c>
      <c r="D135" s="1638" t="str">
        <f t="shared" si="46"/>
        <v/>
      </c>
      <c r="E135" s="1633" t="str">
        <f t="shared" si="47"/>
        <v/>
      </c>
      <c r="F135" s="1633" t="str">
        <f t="shared" si="48"/>
        <v/>
      </c>
      <c r="G135" s="1635" t="str">
        <f t="shared" si="49"/>
        <v/>
      </c>
      <c r="H135" s="1635">
        <f t="shared" si="50"/>
        <v>48427</v>
      </c>
      <c r="M135" s="1638">
        <v>78</v>
      </c>
      <c r="N135" s="1657"/>
      <c r="O135" s="1658"/>
      <c r="P135" s="1658"/>
      <c r="Q135" s="1658"/>
      <c r="R135" s="1658"/>
      <c r="S135" s="1658"/>
      <c r="T135" s="1658"/>
    </row>
    <row r="136" spans="1:20">
      <c r="A136" s="1635">
        <f>A135+31</f>
        <v>48458</v>
      </c>
      <c r="C136" s="1642">
        <f t="shared" si="45"/>
        <v>48458</v>
      </c>
      <c r="D136" s="1638" t="str">
        <f t="shared" si="46"/>
        <v/>
      </c>
      <c r="E136" s="1633" t="str">
        <f t="shared" si="47"/>
        <v/>
      </c>
      <c r="F136" s="1633" t="str">
        <f t="shared" si="48"/>
        <v/>
      </c>
      <c r="G136" s="1635" t="str">
        <f t="shared" si="49"/>
        <v/>
      </c>
      <c r="H136" s="1635">
        <f t="shared" si="50"/>
        <v>48458</v>
      </c>
      <c r="M136" s="1638">
        <v>79</v>
      </c>
      <c r="N136" s="1657"/>
      <c r="O136" s="1658"/>
      <c r="P136" s="1658"/>
      <c r="Q136" s="1658"/>
      <c r="R136" s="1658"/>
      <c r="S136" s="1658"/>
      <c r="T136" s="1658"/>
    </row>
    <row r="137" spans="1:20">
      <c r="A137" s="1635">
        <f>A136+30</f>
        <v>48488</v>
      </c>
      <c r="C137" s="1642">
        <f t="shared" si="45"/>
        <v>48488</v>
      </c>
      <c r="D137" s="1638" t="str">
        <f t="shared" si="46"/>
        <v/>
      </c>
      <c r="E137" s="1633" t="str">
        <f t="shared" si="47"/>
        <v/>
      </c>
      <c r="F137" s="1633" t="str">
        <f t="shared" si="48"/>
        <v/>
      </c>
      <c r="G137" s="1635" t="str">
        <f t="shared" si="49"/>
        <v/>
      </c>
      <c r="H137" s="1635">
        <f t="shared" si="50"/>
        <v>48488</v>
      </c>
      <c r="M137" s="1638">
        <v>80</v>
      </c>
      <c r="N137" s="1657"/>
      <c r="O137" s="1658"/>
      <c r="P137" s="1658"/>
      <c r="Q137" s="1658"/>
      <c r="R137" s="1658"/>
      <c r="S137" s="1658"/>
      <c r="T137" s="1658"/>
    </row>
    <row r="138" spans="1:20">
      <c r="A138" s="1635">
        <f>A137+31</f>
        <v>48519</v>
      </c>
      <c r="C138" s="1642">
        <f t="shared" si="45"/>
        <v>48519</v>
      </c>
      <c r="D138" s="1638" t="str">
        <f t="shared" si="46"/>
        <v/>
      </c>
      <c r="E138" s="1633" t="str">
        <f t="shared" si="47"/>
        <v/>
      </c>
      <c r="F138" s="1633" t="str">
        <f t="shared" si="48"/>
        <v/>
      </c>
      <c r="G138" s="1635" t="str">
        <f t="shared" si="49"/>
        <v/>
      </c>
      <c r="H138" s="1635">
        <f t="shared" si="50"/>
        <v>48519</v>
      </c>
      <c r="M138" s="1638">
        <v>81</v>
      </c>
      <c r="N138" s="1657"/>
      <c r="O138" s="1658"/>
      <c r="P138" s="1658"/>
      <c r="Q138" s="1658"/>
      <c r="R138" s="1658"/>
      <c r="S138" s="1658"/>
      <c r="T138" s="1658"/>
    </row>
    <row r="139" spans="1:20">
      <c r="A139" s="1635">
        <f>A138+30</f>
        <v>48549</v>
      </c>
      <c r="C139" s="1642">
        <f t="shared" si="45"/>
        <v>48549</v>
      </c>
      <c r="D139" s="1638" t="str">
        <f t="shared" si="46"/>
        <v/>
      </c>
      <c r="E139" s="1633" t="str">
        <f t="shared" si="47"/>
        <v/>
      </c>
      <c r="F139" s="1633" t="str">
        <f t="shared" si="48"/>
        <v/>
      </c>
      <c r="G139" s="1635" t="str">
        <f t="shared" si="49"/>
        <v/>
      </c>
      <c r="H139" s="1635">
        <f t="shared" si="50"/>
        <v>48549</v>
      </c>
      <c r="M139" s="1638">
        <v>82</v>
      </c>
      <c r="N139" s="1657"/>
      <c r="O139" s="1658"/>
      <c r="P139" s="1658"/>
      <c r="Q139" s="1658"/>
      <c r="R139" s="1658"/>
      <c r="S139" s="1658"/>
      <c r="T139" s="1658"/>
    </row>
    <row r="140" spans="1:20">
      <c r="A140" s="1635">
        <f>A139+31</f>
        <v>48580</v>
      </c>
      <c r="C140" s="1642">
        <f t="shared" si="45"/>
        <v>48580</v>
      </c>
      <c r="D140" s="1638" t="str">
        <f t="shared" si="46"/>
        <v/>
      </c>
      <c r="E140" s="1633" t="str">
        <f t="shared" si="47"/>
        <v/>
      </c>
      <c r="F140" s="1633" t="str">
        <f t="shared" si="48"/>
        <v/>
      </c>
      <c r="G140" s="1635" t="str">
        <f t="shared" si="49"/>
        <v/>
      </c>
      <c r="H140" s="1635">
        <f t="shared" si="50"/>
        <v>48580</v>
      </c>
      <c r="M140" s="1638">
        <v>83</v>
      </c>
      <c r="N140" s="1657"/>
      <c r="O140" s="1658"/>
      <c r="P140" s="1658"/>
      <c r="Q140" s="1658"/>
      <c r="R140" s="1658"/>
      <c r="S140" s="1658"/>
      <c r="T140" s="1658"/>
    </row>
    <row r="141" spans="1:20">
      <c r="A141" s="1635">
        <f>A140+31</f>
        <v>48611</v>
      </c>
      <c r="B141" s="1633" t="b">
        <f>ISNA(VLOOKUP(A141,$E$4:$E$13,1,FALSE))</f>
        <v>1</v>
      </c>
      <c r="C141" s="1642">
        <f t="shared" si="45"/>
        <v>48611</v>
      </c>
      <c r="D141" s="1638" t="str">
        <f t="shared" si="46"/>
        <v/>
      </c>
      <c r="E141" s="1633" t="str">
        <f t="shared" si="47"/>
        <v/>
      </c>
      <c r="F141" s="1633" t="str">
        <f t="shared" si="48"/>
        <v/>
      </c>
      <c r="G141" s="1635" t="str">
        <f t="shared" si="49"/>
        <v/>
      </c>
      <c r="H141" s="1635">
        <f t="shared" si="50"/>
        <v>48611</v>
      </c>
      <c r="M141" s="1638">
        <v>84</v>
      </c>
      <c r="N141" s="1657"/>
      <c r="O141" s="1658"/>
      <c r="P141" s="1658"/>
      <c r="Q141" s="1658"/>
      <c r="R141" s="1658"/>
      <c r="S141" s="1658"/>
      <c r="T141" s="1658"/>
    </row>
    <row r="142" spans="1:20">
      <c r="A142" s="1635">
        <f>IF(B141=TRUE,(A141+28),(A141+29))</f>
        <v>48639</v>
      </c>
      <c r="C142" s="1642">
        <f t="shared" si="45"/>
        <v>48639</v>
      </c>
      <c r="D142" s="1638" t="str">
        <f t="shared" si="46"/>
        <v/>
      </c>
      <c r="E142" s="1633" t="str">
        <f t="shared" si="47"/>
        <v/>
      </c>
      <c r="F142" s="1633" t="str">
        <f t="shared" si="48"/>
        <v/>
      </c>
      <c r="G142" s="1635" t="str">
        <f t="shared" si="49"/>
        <v/>
      </c>
      <c r="H142" s="1635">
        <f t="shared" si="50"/>
        <v>48639</v>
      </c>
      <c r="M142" s="1638">
        <v>85</v>
      </c>
      <c r="N142" s="1657"/>
      <c r="O142" s="1658"/>
      <c r="P142" s="1658"/>
      <c r="Q142" s="1658"/>
      <c r="R142" s="1658"/>
      <c r="S142" s="1658"/>
      <c r="T142" s="1658"/>
    </row>
    <row r="143" spans="1:20">
      <c r="A143" s="1635">
        <f>A142+31</f>
        <v>48670</v>
      </c>
      <c r="C143" s="1642">
        <f t="shared" si="45"/>
        <v>48670</v>
      </c>
      <c r="D143" s="1638" t="str">
        <f t="shared" si="46"/>
        <v/>
      </c>
      <c r="E143" s="1633" t="str">
        <f t="shared" si="47"/>
        <v/>
      </c>
      <c r="F143" s="1633" t="str">
        <f t="shared" si="48"/>
        <v/>
      </c>
      <c r="G143" s="1635" t="str">
        <f t="shared" si="49"/>
        <v/>
      </c>
      <c r="H143" s="1635">
        <f t="shared" si="50"/>
        <v>48670</v>
      </c>
      <c r="M143" s="1638">
        <v>86</v>
      </c>
      <c r="N143" s="1657"/>
      <c r="O143" s="1658"/>
      <c r="P143" s="1658"/>
      <c r="Q143" s="1658"/>
      <c r="R143" s="1658"/>
      <c r="S143" s="1658"/>
      <c r="T143" s="1658"/>
    </row>
    <row r="144" spans="1:20">
      <c r="A144" s="1635">
        <f>A143+30</f>
        <v>48700</v>
      </c>
      <c r="C144" s="1642">
        <f t="shared" si="45"/>
        <v>48700</v>
      </c>
      <c r="D144" s="1638" t="str">
        <f t="shared" si="46"/>
        <v/>
      </c>
      <c r="E144" s="1633" t="str">
        <f t="shared" si="47"/>
        <v/>
      </c>
      <c r="F144" s="1633" t="str">
        <f t="shared" si="48"/>
        <v/>
      </c>
      <c r="G144" s="1635" t="str">
        <f t="shared" si="49"/>
        <v/>
      </c>
      <c r="H144" s="1635">
        <f t="shared" si="50"/>
        <v>48700</v>
      </c>
      <c r="M144" s="1638">
        <v>87</v>
      </c>
      <c r="N144" s="1657"/>
      <c r="O144" s="1658"/>
      <c r="P144" s="1658"/>
      <c r="Q144" s="1658"/>
      <c r="R144" s="1658"/>
      <c r="S144" s="1658"/>
      <c r="T144" s="1658"/>
    </row>
    <row r="145" spans="1:20">
      <c r="A145" s="1635">
        <f>A144+31</f>
        <v>48731</v>
      </c>
      <c r="C145" s="1642">
        <f t="shared" si="45"/>
        <v>48731</v>
      </c>
      <c r="D145" s="1638" t="str">
        <f t="shared" si="46"/>
        <v/>
      </c>
      <c r="E145" s="1633" t="str">
        <f t="shared" si="47"/>
        <v/>
      </c>
      <c r="F145" s="1633" t="str">
        <f t="shared" si="48"/>
        <v/>
      </c>
      <c r="G145" s="1635" t="str">
        <f t="shared" si="49"/>
        <v/>
      </c>
      <c r="H145" s="1635">
        <f t="shared" si="50"/>
        <v>48731</v>
      </c>
      <c r="M145" s="1638">
        <v>88</v>
      </c>
      <c r="N145" s="1657"/>
      <c r="O145" s="1658"/>
      <c r="P145" s="1658"/>
      <c r="Q145" s="1658"/>
      <c r="R145" s="1658"/>
      <c r="S145" s="1658"/>
      <c r="T145" s="1658"/>
    </row>
    <row r="146" spans="1:20">
      <c r="A146" s="1635">
        <f>A145+30</f>
        <v>48761</v>
      </c>
      <c r="C146" s="1642">
        <f t="shared" si="45"/>
        <v>48761</v>
      </c>
      <c r="D146" s="1638" t="str">
        <f t="shared" si="46"/>
        <v/>
      </c>
      <c r="E146" s="1633" t="str">
        <f t="shared" si="47"/>
        <v/>
      </c>
      <c r="F146" s="1633" t="str">
        <f t="shared" si="48"/>
        <v/>
      </c>
      <c r="G146" s="1635" t="str">
        <f t="shared" si="49"/>
        <v/>
      </c>
      <c r="H146" s="1635">
        <f t="shared" si="50"/>
        <v>48761</v>
      </c>
      <c r="M146" s="1638">
        <v>89</v>
      </c>
      <c r="N146" s="1657"/>
      <c r="O146" s="1658"/>
      <c r="P146" s="1658"/>
      <c r="Q146" s="1658"/>
      <c r="R146" s="1658"/>
      <c r="S146" s="1658"/>
      <c r="T146" s="1658"/>
    </row>
    <row r="147" spans="1:20">
      <c r="A147" s="1635">
        <f>A146+31</f>
        <v>48792</v>
      </c>
      <c r="C147" s="1642">
        <f t="shared" si="45"/>
        <v>48792</v>
      </c>
      <c r="D147" s="1638" t="str">
        <f t="shared" si="46"/>
        <v/>
      </c>
      <c r="E147" s="1633" t="str">
        <f t="shared" si="47"/>
        <v/>
      </c>
      <c r="F147" s="1633" t="str">
        <f t="shared" si="48"/>
        <v/>
      </c>
      <c r="G147" s="1635" t="str">
        <f t="shared" si="49"/>
        <v/>
      </c>
      <c r="H147" s="1635">
        <f t="shared" si="50"/>
        <v>48792</v>
      </c>
      <c r="M147" s="1638">
        <v>90</v>
      </c>
      <c r="N147" s="1657"/>
      <c r="O147" s="1658"/>
      <c r="P147" s="1658"/>
      <c r="Q147" s="1658"/>
      <c r="R147" s="1658"/>
      <c r="S147" s="1658"/>
      <c r="T147" s="1658"/>
    </row>
    <row r="148" spans="1:20">
      <c r="A148" s="1635">
        <f>A147+31</f>
        <v>48823</v>
      </c>
      <c r="C148" s="1642">
        <f t="shared" si="45"/>
        <v>48823</v>
      </c>
      <c r="D148" s="1638" t="str">
        <f t="shared" si="46"/>
        <v/>
      </c>
      <c r="E148" s="1633" t="str">
        <f t="shared" si="47"/>
        <v/>
      </c>
      <c r="F148" s="1633" t="str">
        <f t="shared" si="48"/>
        <v/>
      </c>
      <c r="G148" s="1635" t="str">
        <f t="shared" si="49"/>
        <v/>
      </c>
      <c r="H148" s="1635">
        <f t="shared" si="50"/>
        <v>48823</v>
      </c>
      <c r="M148" s="1638">
        <v>91</v>
      </c>
      <c r="N148" s="1657"/>
      <c r="O148" s="1658"/>
      <c r="P148" s="1658"/>
      <c r="Q148" s="1658"/>
      <c r="R148" s="1658"/>
      <c r="S148" s="1658"/>
      <c r="T148" s="1658"/>
    </row>
    <row r="149" spans="1:20">
      <c r="A149" s="1635">
        <f>A148+30</f>
        <v>48853</v>
      </c>
      <c r="C149" s="1642">
        <f t="shared" ref="C149:C212" si="51">A149</f>
        <v>48853</v>
      </c>
      <c r="D149" s="1638" t="str">
        <f t="shared" ref="D149:D212" si="52">IF(($P$23-C149)&lt;0,"",($P$23-C149))</f>
        <v/>
      </c>
      <c r="E149" s="1633" t="str">
        <f t="shared" ref="E149:E212" si="53">IF(D149="","",RANK(D149,$D$20:$D$215,1))</f>
        <v/>
      </c>
      <c r="F149" s="1633" t="str">
        <f t="shared" ref="F149:F212" si="54">IF(A149&lt;$L$37,$K$36,IF(A149&lt;$L$38,$K$37,IF(A149&lt;$L$39,$K$38,IF(A149&lt;$L$40,$K$39,IF(A149&lt;$L$41,$K$40,$K$41)))))</f>
        <v/>
      </c>
      <c r="G149" s="1635" t="str">
        <f t="shared" ref="G149:G212" si="55">VLOOKUP(F149,$K$36:$L$41,2,FALSE)</f>
        <v/>
      </c>
      <c r="H149" s="1635">
        <f t="shared" ref="H149:H212" si="56">A149</f>
        <v>48853</v>
      </c>
      <c r="M149" s="1638">
        <v>92</v>
      </c>
      <c r="N149" s="1657"/>
      <c r="O149" s="1658"/>
      <c r="P149" s="1658"/>
      <c r="Q149" s="1658"/>
      <c r="R149" s="1658"/>
      <c r="S149" s="1658"/>
      <c r="T149" s="1658"/>
    </row>
    <row r="150" spans="1:20">
      <c r="A150" s="1635">
        <f>A149+31</f>
        <v>48884</v>
      </c>
      <c r="C150" s="1642">
        <f t="shared" si="51"/>
        <v>48884</v>
      </c>
      <c r="D150" s="1638" t="str">
        <f t="shared" si="52"/>
        <v/>
      </c>
      <c r="E150" s="1633" t="str">
        <f t="shared" si="53"/>
        <v/>
      </c>
      <c r="F150" s="1633" t="str">
        <f t="shared" si="54"/>
        <v/>
      </c>
      <c r="G150" s="1635" t="str">
        <f t="shared" si="55"/>
        <v/>
      </c>
      <c r="H150" s="1635">
        <f t="shared" si="56"/>
        <v>48884</v>
      </c>
      <c r="M150" s="1638">
        <v>93</v>
      </c>
      <c r="N150" s="1657"/>
      <c r="O150" s="1658"/>
      <c r="P150" s="1658"/>
      <c r="Q150" s="1658"/>
      <c r="R150" s="1658"/>
      <c r="S150" s="1658"/>
      <c r="T150" s="1658"/>
    </row>
    <row r="151" spans="1:20">
      <c r="A151" s="1635">
        <f>A150+30</f>
        <v>48914</v>
      </c>
      <c r="C151" s="1642">
        <f t="shared" si="51"/>
        <v>48914</v>
      </c>
      <c r="D151" s="1638" t="str">
        <f t="shared" si="52"/>
        <v/>
      </c>
      <c r="E151" s="1633" t="str">
        <f t="shared" si="53"/>
        <v/>
      </c>
      <c r="F151" s="1633" t="str">
        <f t="shared" si="54"/>
        <v/>
      </c>
      <c r="G151" s="1635" t="str">
        <f t="shared" si="55"/>
        <v/>
      </c>
      <c r="H151" s="1635">
        <f t="shared" si="56"/>
        <v>48914</v>
      </c>
      <c r="M151" s="1638">
        <v>94</v>
      </c>
      <c r="N151" s="1657"/>
      <c r="O151" s="1658"/>
      <c r="P151" s="1658"/>
      <c r="Q151" s="1658"/>
      <c r="R151" s="1658"/>
      <c r="S151" s="1658"/>
      <c r="T151" s="1658"/>
    </row>
    <row r="152" spans="1:20">
      <c r="A152" s="1635">
        <f>A151+31</f>
        <v>48945</v>
      </c>
      <c r="C152" s="1642">
        <f t="shared" si="51"/>
        <v>48945</v>
      </c>
      <c r="D152" s="1638" t="str">
        <f t="shared" si="52"/>
        <v/>
      </c>
      <c r="E152" s="1633" t="str">
        <f t="shared" si="53"/>
        <v/>
      </c>
      <c r="F152" s="1633" t="str">
        <f t="shared" si="54"/>
        <v/>
      </c>
      <c r="G152" s="1635" t="str">
        <f t="shared" si="55"/>
        <v/>
      </c>
      <c r="H152" s="1635">
        <f t="shared" si="56"/>
        <v>48945</v>
      </c>
      <c r="M152" s="1638">
        <v>95</v>
      </c>
      <c r="N152" s="1657"/>
      <c r="O152" s="1658"/>
      <c r="P152" s="1658"/>
      <c r="Q152" s="1658"/>
      <c r="R152" s="1658"/>
      <c r="S152" s="1658"/>
      <c r="T152" s="1658"/>
    </row>
    <row r="153" spans="1:20">
      <c r="A153" s="1635">
        <f>A152+31</f>
        <v>48976</v>
      </c>
      <c r="B153" s="1633" t="b">
        <f>ISNA(VLOOKUP(A153,$E$4:$E$13,1,FALSE))</f>
        <v>1</v>
      </c>
      <c r="C153" s="1642">
        <f t="shared" si="51"/>
        <v>48976</v>
      </c>
      <c r="D153" s="1638" t="str">
        <f t="shared" si="52"/>
        <v/>
      </c>
      <c r="E153" s="1633" t="str">
        <f t="shared" si="53"/>
        <v/>
      </c>
      <c r="F153" s="1633" t="str">
        <f t="shared" si="54"/>
        <v/>
      </c>
      <c r="G153" s="1635" t="str">
        <f t="shared" si="55"/>
        <v/>
      </c>
      <c r="H153" s="1635">
        <f t="shared" si="56"/>
        <v>48976</v>
      </c>
      <c r="M153" s="1638">
        <v>96</v>
      </c>
      <c r="N153" s="1657"/>
      <c r="O153" s="1658"/>
      <c r="P153" s="1658"/>
      <c r="Q153" s="1658"/>
      <c r="R153" s="1658"/>
      <c r="S153" s="1658"/>
      <c r="T153" s="1658"/>
    </row>
    <row r="154" spans="1:20">
      <c r="A154" s="1635">
        <f>IF(B153=TRUE,(A153+28),(A153+29))</f>
        <v>49004</v>
      </c>
      <c r="C154" s="1642">
        <f t="shared" si="51"/>
        <v>49004</v>
      </c>
      <c r="D154" s="1638" t="str">
        <f t="shared" si="52"/>
        <v/>
      </c>
      <c r="E154" s="1633" t="str">
        <f t="shared" si="53"/>
        <v/>
      </c>
      <c r="F154" s="1633" t="str">
        <f t="shared" si="54"/>
        <v/>
      </c>
      <c r="G154" s="1635" t="str">
        <f t="shared" si="55"/>
        <v/>
      </c>
      <c r="H154" s="1635">
        <f t="shared" si="56"/>
        <v>49004</v>
      </c>
      <c r="M154" s="1638">
        <v>97</v>
      </c>
      <c r="N154" s="1657"/>
      <c r="O154" s="1658"/>
      <c r="P154" s="1658"/>
      <c r="Q154" s="1658"/>
      <c r="R154" s="1658"/>
      <c r="S154" s="1658"/>
      <c r="T154" s="1658"/>
    </row>
    <row r="155" spans="1:20">
      <c r="A155" s="1635">
        <f>A154+31</f>
        <v>49035</v>
      </c>
      <c r="C155" s="1642">
        <f t="shared" si="51"/>
        <v>49035</v>
      </c>
      <c r="D155" s="1638" t="str">
        <f t="shared" si="52"/>
        <v/>
      </c>
      <c r="E155" s="1633" t="str">
        <f t="shared" si="53"/>
        <v/>
      </c>
      <c r="F155" s="1633" t="str">
        <f t="shared" si="54"/>
        <v/>
      </c>
      <c r="G155" s="1635" t="str">
        <f t="shared" si="55"/>
        <v/>
      </c>
      <c r="H155" s="1635">
        <f t="shared" si="56"/>
        <v>49035</v>
      </c>
      <c r="M155" s="1638">
        <v>98</v>
      </c>
      <c r="N155" s="1657"/>
      <c r="O155" s="1658"/>
      <c r="P155" s="1658"/>
      <c r="Q155" s="1658"/>
      <c r="R155" s="1658"/>
      <c r="S155" s="1658"/>
      <c r="T155" s="1658"/>
    </row>
    <row r="156" spans="1:20">
      <c r="A156" s="1635">
        <f>A155+30</f>
        <v>49065</v>
      </c>
      <c r="C156" s="1642">
        <f t="shared" si="51"/>
        <v>49065</v>
      </c>
      <c r="D156" s="1638" t="str">
        <f t="shared" si="52"/>
        <v/>
      </c>
      <c r="E156" s="1633" t="str">
        <f t="shared" si="53"/>
        <v/>
      </c>
      <c r="F156" s="1633" t="str">
        <f t="shared" si="54"/>
        <v/>
      </c>
      <c r="G156" s="1635" t="str">
        <f t="shared" si="55"/>
        <v/>
      </c>
      <c r="H156" s="1635">
        <f t="shared" si="56"/>
        <v>49065</v>
      </c>
      <c r="M156" s="1638">
        <v>99</v>
      </c>
      <c r="N156" s="1657"/>
      <c r="O156" s="1658"/>
      <c r="P156" s="1658"/>
      <c r="Q156" s="1658"/>
      <c r="R156" s="1658"/>
      <c r="S156" s="1658"/>
      <c r="T156" s="1658"/>
    </row>
    <row r="157" spans="1:20">
      <c r="A157" s="1635">
        <f>A156+31</f>
        <v>49096</v>
      </c>
      <c r="C157" s="1642">
        <f t="shared" si="51"/>
        <v>49096</v>
      </c>
      <c r="D157" s="1638" t="str">
        <f t="shared" si="52"/>
        <v/>
      </c>
      <c r="E157" s="1633" t="str">
        <f t="shared" si="53"/>
        <v/>
      </c>
      <c r="F157" s="1633" t="str">
        <f t="shared" si="54"/>
        <v/>
      </c>
      <c r="G157" s="1635" t="str">
        <f t="shared" si="55"/>
        <v/>
      </c>
      <c r="H157" s="1635">
        <f t="shared" si="56"/>
        <v>49096</v>
      </c>
      <c r="M157" s="1638">
        <v>100</v>
      </c>
      <c r="N157" s="1657"/>
      <c r="O157" s="1658"/>
      <c r="P157" s="1658"/>
      <c r="Q157" s="1658"/>
      <c r="R157" s="1658"/>
      <c r="S157" s="1658"/>
      <c r="T157" s="1658"/>
    </row>
    <row r="158" spans="1:20">
      <c r="A158" s="1635">
        <f>A157+30</f>
        <v>49126</v>
      </c>
      <c r="C158" s="1642">
        <f t="shared" si="51"/>
        <v>49126</v>
      </c>
      <c r="D158" s="1638" t="str">
        <f t="shared" si="52"/>
        <v/>
      </c>
      <c r="E158" s="1633" t="str">
        <f t="shared" si="53"/>
        <v/>
      </c>
      <c r="F158" s="1633" t="str">
        <f t="shared" si="54"/>
        <v/>
      </c>
      <c r="G158" s="1635" t="str">
        <f t="shared" si="55"/>
        <v/>
      </c>
      <c r="H158" s="1635">
        <f t="shared" si="56"/>
        <v>49126</v>
      </c>
      <c r="M158" s="1638">
        <v>101</v>
      </c>
      <c r="N158" s="1657"/>
      <c r="O158" s="1658"/>
      <c r="P158" s="1658"/>
      <c r="Q158" s="1658"/>
      <c r="R158" s="1658"/>
      <c r="S158" s="1658"/>
      <c r="T158" s="1658"/>
    </row>
    <row r="159" spans="1:20">
      <c r="A159" s="1635">
        <f>A158+31</f>
        <v>49157</v>
      </c>
      <c r="C159" s="1642">
        <f t="shared" si="51"/>
        <v>49157</v>
      </c>
      <c r="D159" s="1638" t="str">
        <f t="shared" si="52"/>
        <v/>
      </c>
      <c r="E159" s="1633" t="str">
        <f t="shared" si="53"/>
        <v/>
      </c>
      <c r="F159" s="1633" t="str">
        <f t="shared" si="54"/>
        <v/>
      </c>
      <c r="G159" s="1635" t="str">
        <f t="shared" si="55"/>
        <v/>
      </c>
      <c r="H159" s="1635">
        <f t="shared" si="56"/>
        <v>49157</v>
      </c>
      <c r="M159" s="1638">
        <v>102</v>
      </c>
      <c r="N159" s="1657"/>
      <c r="O159" s="1658"/>
      <c r="P159" s="1658"/>
      <c r="Q159" s="1658"/>
      <c r="R159" s="1658"/>
      <c r="S159" s="1658"/>
      <c r="T159" s="1658"/>
    </row>
    <row r="160" spans="1:20">
      <c r="A160" s="1635">
        <f>A159+31</f>
        <v>49188</v>
      </c>
      <c r="C160" s="1642">
        <f t="shared" si="51"/>
        <v>49188</v>
      </c>
      <c r="D160" s="1638" t="str">
        <f t="shared" si="52"/>
        <v/>
      </c>
      <c r="E160" s="1633" t="str">
        <f t="shared" si="53"/>
        <v/>
      </c>
      <c r="F160" s="1633" t="str">
        <f t="shared" si="54"/>
        <v/>
      </c>
      <c r="G160" s="1635" t="str">
        <f t="shared" si="55"/>
        <v/>
      </c>
      <c r="H160" s="1635">
        <f t="shared" si="56"/>
        <v>49188</v>
      </c>
      <c r="M160" s="1638">
        <v>103</v>
      </c>
      <c r="N160" s="1657"/>
      <c r="O160" s="1658"/>
      <c r="P160" s="1658"/>
      <c r="Q160" s="1658"/>
      <c r="R160" s="1658"/>
      <c r="S160" s="1658"/>
      <c r="T160" s="1658"/>
    </row>
    <row r="161" spans="1:20">
      <c r="A161" s="1635">
        <f>A160+30</f>
        <v>49218</v>
      </c>
      <c r="C161" s="1642">
        <f t="shared" si="51"/>
        <v>49218</v>
      </c>
      <c r="D161" s="1638" t="str">
        <f t="shared" si="52"/>
        <v/>
      </c>
      <c r="E161" s="1633" t="str">
        <f t="shared" si="53"/>
        <v/>
      </c>
      <c r="F161" s="1633" t="str">
        <f t="shared" si="54"/>
        <v/>
      </c>
      <c r="G161" s="1635" t="str">
        <f t="shared" si="55"/>
        <v/>
      </c>
      <c r="H161" s="1635">
        <f t="shared" si="56"/>
        <v>49218</v>
      </c>
      <c r="M161" s="1638">
        <v>104</v>
      </c>
      <c r="N161" s="1657"/>
      <c r="O161" s="1658"/>
      <c r="P161" s="1658"/>
      <c r="Q161" s="1658"/>
      <c r="R161" s="1658"/>
      <c r="S161" s="1658"/>
      <c r="T161" s="1658"/>
    </row>
    <row r="162" spans="1:20">
      <c r="A162" s="1635">
        <f>A161+31</f>
        <v>49249</v>
      </c>
      <c r="C162" s="1642">
        <f t="shared" si="51"/>
        <v>49249</v>
      </c>
      <c r="D162" s="1638" t="str">
        <f t="shared" si="52"/>
        <v/>
      </c>
      <c r="E162" s="1633" t="str">
        <f t="shared" si="53"/>
        <v/>
      </c>
      <c r="F162" s="1633" t="str">
        <f t="shared" si="54"/>
        <v/>
      </c>
      <c r="G162" s="1635" t="str">
        <f t="shared" si="55"/>
        <v/>
      </c>
      <c r="H162" s="1635">
        <f t="shared" si="56"/>
        <v>49249</v>
      </c>
      <c r="M162" s="1638">
        <v>105</v>
      </c>
      <c r="N162" s="1657"/>
      <c r="O162" s="1658"/>
      <c r="P162" s="1658"/>
      <c r="Q162" s="1658"/>
      <c r="R162" s="1658"/>
      <c r="S162" s="1658"/>
      <c r="T162" s="1658"/>
    </row>
    <row r="163" spans="1:20">
      <c r="A163" s="1635">
        <f>A162+30</f>
        <v>49279</v>
      </c>
      <c r="C163" s="1642">
        <f t="shared" si="51"/>
        <v>49279</v>
      </c>
      <c r="D163" s="1638" t="str">
        <f t="shared" si="52"/>
        <v/>
      </c>
      <c r="E163" s="1633" t="str">
        <f t="shared" si="53"/>
        <v/>
      </c>
      <c r="F163" s="1633" t="str">
        <f t="shared" si="54"/>
        <v/>
      </c>
      <c r="G163" s="1635" t="str">
        <f t="shared" si="55"/>
        <v/>
      </c>
      <c r="H163" s="1635">
        <f t="shared" si="56"/>
        <v>49279</v>
      </c>
      <c r="M163" s="1638">
        <v>106</v>
      </c>
      <c r="N163" s="1657"/>
      <c r="O163" s="1658"/>
      <c r="P163" s="1658"/>
      <c r="Q163" s="1658"/>
      <c r="R163" s="1658"/>
      <c r="S163" s="1658"/>
      <c r="T163" s="1658"/>
    </row>
    <row r="164" spans="1:20">
      <c r="A164" s="1635">
        <f>A163+31</f>
        <v>49310</v>
      </c>
      <c r="C164" s="1642">
        <f t="shared" si="51"/>
        <v>49310</v>
      </c>
      <c r="D164" s="1638" t="str">
        <f t="shared" si="52"/>
        <v/>
      </c>
      <c r="E164" s="1633" t="str">
        <f t="shared" si="53"/>
        <v/>
      </c>
      <c r="F164" s="1633" t="str">
        <f t="shared" si="54"/>
        <v/>
      </c>
      <c r="G164" s="1635" t="str">
        <f t="shared" si="55"/>
        <v/>
      </c>
      <c r="H164" s="1635">
        <f t="shared" si="56"/>
        <v>49310</v>
      </c>
      <c r="M164" s="1638">
        <v>107</v>
      </c>
      <c r="N164" s="1657"/>
      <c r="O164" s="1658"/>
      <c r="P164" s="1658"/>
      <c r="Q164" s="1658"/>
      <c r="R164" s="1658"/>
      <c r="S164" s="1658"/>
      <c r="T164" s="1658"/>
    </row>
    <row r="165" spans="1:20">
      <c r="A165" s="1635">
        <f>A164+31</f>
        <v>49341</v>
      </c>
      <c r="B165" s="1633" t="b">
        <f>ISNA(VLOOKUP(A165,$E$4:$E$13,1,FALSE))</f>
        <v>1</v>
      </c>
      <c r="C165" s="1642">
        <f t="shared" si="51"/>
        <v>49341</v>
      </c>
      <c r="D165" s="1638" t="str">
        <f t="shared" si="52"/>
        <v/>
      </c>
      <c r="E165" s="1633" t="str">
        <f t="shared" si="53"/>
        <v/>
      </c>
      <c r="F165" s="1633" t="str">
        <f t="shared" si="54"/>
        <v/>
      </c>
      <c r="G165" s="1635" t="str">
        <f t="shared" si="55"/>
        <v/>
      </c>
      <c r="H165" s="1635">
        <f t="shared" si="56"/>
        <v>49341</v>
      </c>
      <c r="M165" s="1638">
        <v>108</v>
      </c>
      <c r="N165" s="1657"/>
      <c r="O165" s="1658"/>
      <c r="P165" s="1658"/>
      <c r="Q165" s="1658"/>
      <c r="R165" s="1658"/>
      <c r="S165" s="1658"/>
      <c r="T165" s="1658"/>
    </row>
    <row r="166" spans="1:20">
      <c r="A166" s="1635">
        <f>IF(B165=TRUE,(A165+28),(A165+29))</f>
        <v>49369</v>
      </c>
      <c r="C166" s="1642">
        <f t="shared" si="51"/>
        <v>49369</v>
      </c>
      <c r="D166" s="1638" t="str">
        <f t="shared" si="52"/>
        <v/>
      </c>
      <c r="E166" s="1633" t="str">
        <f t="shared" si="53"/>
        <v/>
      </c>
      <c r="F166" s="1633" t="str">
        <f t="shared" si="54"/>
        <v/>
      </c>
      <c r="G166" s="1635" t="str">
        <f t="shared" si="55"/>
        <v/>
      </c>
      <c r="H166" s="1635">
        <f t="shared" si="56"/>
        <v>49369</v>
      </c>
      <c r="M166" s="1638">
        <v>109</v>
      </c>
      <c r="N166" s="1657"/>
      <c r="O166" s="1658"/>
      <c r="P166" s="1658"/>
      <c r="Q166" s="1658"/>
      <c r="R166" s="1658"/>
      <c r="S166" s="1658"/>
      <c r="T166" s="1658"/>
    </row>
    <row r="167" spans="1:20">
      <c r="A167" s="1635">
        <f>A166+31</f>
        <v>49400</v>
      </c>
      <c r="C167" s="1642">
        <f t="shared" si="51"/>
        <v>49400</v>
      </c>
      <c r="D167" s="1638" t="str">
        <f t="shared" si="52"/>
        <v/>
      </c>
      <c r="E167" s="1633" t="str">
        <f t="shared" si="53"/>
        <v/>
      </c>
      <c r="F167" s="1633" t="str">
        <f t="shared" si="54"/>
        <v/>
      </c>
      <c r="G167" s="1635" t="str">
        <f t="shared" si="55"/>
        <v/>
      </c>
      <c r="H167" s="1635">
        <f t="shared" si="56"/>
        <v>49400</v>
      </c>
      <c r="M167" s="1638">
        <v>110</v>
      </c>
      <c r="N167" s="1657"/>
      <c r="O167" s="1658"/>
      <c r="P167" s="1658"/>
      <c r="Q167" s="1658"/>
      <c r="R167" s="1658"/>
      <c r="S167" s="1658"/>
      <c r="T167" s="1658"/>
    </row>
    <row r="168" spans="1:20">
      <c r="A168" s="1635">
        <f>A167+30</f>
        <v>49430</v>
      </c>
      <c r="C168" s="1642">
        <f t="shared" si="51"/>
        <v>49430</v>
      </c>
      <c r="D168" s="1638" t="str">
        <f t="shared" si="52"/>
        <v/>
      </c>
      <c r="E168" s="1633" t="str">
        <f t="shared" si="53"/>
        <v/>
      </c>
      <c r="F168" s="1633" t="str">
        <f t="shared" si="54"/>
        <v/>
      </c>
      <c r="G168" s="1635" t="str">
        <f t="shared" si="55"/>
        <v/>
      </c>
      <c r="H168" s="1635">
        <f t="shared" si="56"/>
        <v>49430</v>
      </c>
      <c r="M168" s="1638">
        <v>111</v>
      </c>
      <c r="N168" s="1657"/>
      <c r="O168" s="1658"/>
      <c r="P168" s="1658"/>
      <c r="Q168" s="1658"/>
      <c r="R168" s="1658"/>
      <c r="S168" s="1658"/>
      <c r="T168" s="1658"/>
    </row>
    <row r="169" spans="1:20">
      <c r="A169" s="1635">
        <f>A168+31</f>
        <v>49461</v>
      </c>
      <c r="C169" s="1642">
        <f t="shared" si="51"/>
        <v>49461</v>
      </c>
      <c r="D169" s="1638" t="str">
        <f t="shared" si="52"/>
        <v/>
      </c>
      <c r="E169" s="1633" t="str">
        <f t="shared" si="53"/>
        <v/>
      </c>
      <c r="F169" s="1633" t="str">
        <f t="shared" si="54"/>
        <v/>
      </c>
      <c r="G169" s="1635" t="str">
        <f t="shared" si="55"/>
        <v/>
      </c>
      <c r="H169" s="1635">
        <f t="shared" si="56"/>
        <v>49461</v>
      </c>
      <c r="M169" s="1638">
        <v>112</v>
      </c>
      <c r="N169" s="1657"/>
      <c r="O169" s="1658"/>
      <c r="P169" s="1658"/>
      <c r="Q169" s="1658"/>
      <c r="R169" s="1658"/>
      <c r="S169" s="1658"/>
      <c r="T169" s="1658"/>
    </row>
    <row r="170" spans="1:20">
      <c r="A170" s="1635">
        <f>A169+30</f>
        <v>49491</v>
      </c>
      <c r="C170" s="1642">
        <f t="shared" si="51"/>
        <v>49491</v>
      </c>
      <c r="D170" s="1638" t="str">
        <f t="shared" si="52"/>
        <v/>
      </c>
      <c r="E170" s="1633" t="str">
        <f t="shared" si="53"/>
        <v/>
      </c>
      <c r="F170" s="1633" t="str">
        <f t="shared" si="54"/>
        <v/>
      </c>
      <c r="G170" s="1635" t="str">
        <f t="shared" si="55"/>
        <v/>
      </c>
      <c r="H170" s="1635">
        <f t="shared" si="56"/>
        <v>49491</v>
      </c>
      <c r="M170" s="1638">
        <v>113</v>
      </c>
      <c r="N170" s="1657"/>
      <c r="O170" s="1658"/>
      <c r="P170" s="1658"/>
      <c r="Q170" s="1658"/>
      <c r="R170" s="1658"/>
      <c r="S170" s="1658"/>
      <c r="T170" s="1658"/>
    </row>
    <row r="171" spans="1:20">
      <c r="A171" s="1635">
        <f>A170+31</f>
        <v>49522</v>
      </c>
      <c r="C171" s="1642">
        <f t="shared" si="51"/>
        <v>49522</v>
      </c>
      <c r="D171" s="1638" t="str">
        <f t="shared" si="52"/>
        <v/>
      </c>
      <c r="E171" s="1633" t="str">
        <f t="shared" si="53"/>
        <v/>
      </c>
      <c r="F171" s="1633" t="str">
        <f t="shared" si="54"/>
        <v/>
      </c>
      <c r="G171" s="1635" t="str">
        <f t="shared" si="55"/>
        <v/>
      </c>
      <c r="H171" s="1635">
        <f t="shared" si="56"/>
        <v>49522</v>
      </c>
      <c r="M171" s="1638">
        <v>114</v>
      </c>
      <c r="N171" s="1657"/>
      <c r="O171" s="1658"/>
      <c r="P171" s="1658"/>
      <c r="Q171" s="1658"/>
      <c r="R171" s="1658"/>
      <c r="S171" s="1658"/>
      <c r="T171" s="1658"/>
    </row>
    <row r="172" spans="1:20">
      <c r="A172" s="1635">
        <f>A171+31</f>
        <v>49553</v>
      </c>
      <c r="C172" s="1642">
        <f t="shared" si="51"/>
        <v>49553</v>
      </c>
      <c r="D172" s="1638" t="str">
        <f t="shared" si="52"/>
        <v/>
      </c>
      <c r="E172" s="1633" t="str">
        <f t="shared" si="53"/>
        <v/>
      </c>
      <c r="F172" s="1633" t="str">
        <f t="shared" si="54"/>
        <v/>
      </c>
      <c r="G172" s="1635" t="str">
        <f t="shared" si="55"/>
        <v/>
      </c>
      <c r="H172" s="1635">
        <f t="shared" si="56"/>
        <v>49553</v>
      </c>
      <c r="M172" s="1638">
        <v>115</v>
      </c>
      <c r="N172" s="1657"/>
      <c r="O172" s="1658"/>
      <c r="P172" s="1658"/>
      <c r="Q172" s="1658"/>
      <c r="R172" s="1658"/>
      <c r="S172" s="1658"/>
      <c r="T172" s="1658"/>
    </row>
    <row r="173" spans="1:20">
      <c r="A173" s="1635">
        <f>A172+30</f>
        <v>49583</v>
      </c>
      <c r="C173" s="1642">
        <f t="shared" si="51"/>
        <v>49583</v>
      </c>
      <c r="D173" s="1638" t="str">
        <f t="shared" si="52"/>
        <v/>
      </c>
      <c r="E173" s="1633" t="str">
        <f t="shared" si="53"/>
        <v/>
      </c>
      <c r="F173" s="1633" t="str">
        <f t="shared" si="54"/>
        <v/>
      </c>
      <c r="G173" s="1635" t="str">
        <f t="shared" si="55"/>
        <v/>
      </c>
      <c r="H173" s="1635">
        <f t="shared" si="56"/>
        <v>49583</v>
      </c>
      <c r="M173" s="1638">
        <v>116</v>
      </c>
      <c r="N173" s="1657"/>
      <c r="O173" s="1658"/>
      <c r="P173" s="1658"/>
      <c r="Q173" s="1658"/>
      <c r="R173" s="1658"/>
      <c r="S173" s="1658"/>
      <c r="T173" s="1658"/>
    </row>
    <row r="174" spans="1:20">
      <c r="A174" s="1635">
        <f>A173+31</f>
        <v>49614</v>
      </c>
      <c r="C174" s="1642">
        <f t="shared" si="51"/>
        <v>49614</v>
      </c>
      <c r="D174" s="1638" t="str">
        <f t="shared" si="52"/>
        <v/>
      </c>
      <c r="E174" s="1633" t="str">
        <f t="shared" si="53"/>
        <v/>
      </c>
      <c r="F174" s="1633" t="str">
        <f t="shared" si="54"/>
        <v/>
      </c>
      <c r="G174" s="1635" t="str">
        <f t="shared" si="55"/>
        <v/>
      </c>
      <c r="H174" s="1635">
        <f t="shared" si="56"/>
        <v>49614</v>
      </c>
      <c r="M174" s="1638">
        <v>117</v>
      </c>
      <c r="N174" s="1657"/>
      <c r="O174" s="1658"/>
      <c r="P174" s="1658"/>
      <c r="Q174" s="1658"/>
      <c r="R174" s="1658"/>
      <c r="S174" s="1658"/>
      <c r="T174" s="1658"/>
    </row>
    <row r="175" spans="1:20">
      <c r="A175" s="1635">
        <f>A174+30</f>
        <v>49644</v>
      </c>
      <c r="C175" s="1642">
        <f t="shared" si="51"/>
        <v>49644</v>
      </c>
      <c r="D175" s="1638" t="str">
        <f t="shared" si="52"/>
        <v/>
      </c>
      <c r="E175" s="1633" t="str">
        <f t="shared" si="53"/>
        <v/>
      </c>
      <c r="F175" s="1633" t="str">
        <f t="shared" si="54"/>
        <v/>
      </c>
      <c r="G175" s="1635" t="str">
        <f t="shared" si="55"/>
        <v/>
      </c>
      <c r="H175" s="1635">
        <f t="shared" si="56"/>
        <v>49644</v>
      </c>
      <c r="M175" s="1638">
        <v>118</v>
      </c>
      <c r="N175" s="1657"/>
      <c r="O175" s="1658"/>
      <c r="P175" s="1658"/>
      <c r="Q175" s="1658"/>
      <c r="R175" s="1658"/>
      <c r="S175" s="1658"/>
      <c r="T175" s="1658"/>
    </row>
    <row r="176" spans="1:20">
      <c r="A176" s="1635">
        <f>A175+31</f>
        <v>49675</v>
      </c>
      <c r="C176" s="1642">
        <f t="shared" si="51"/>
        <v>49675</v>
      </c>
      <c r="D176" s="1638" t="str">
        <f t="shared" si="52"/>
        <v/>
      </c>
      <c r="E176" s="1633" t="str">
        <f t="shared" si="53"/>
        <v/>
      </c>
      <c r="F176" s="1633" t="str">
        <f t="shared" si="54"/>
        <v/>
      </c>
      <c r="G176" s="1635" t="str">
        <f t="shared" si="55"/>
        <v/>
      </c>
      <c r="H176" s="1635">
        <f t="shared" si="56"/>
        <v>49675</v>
      </c>
      <c r="M176" s="1638">
        <v>119</v>
      </c>
      <c r="N176" s="1657"/>
      <c r="O176" s="1658"/>
      <c r="P176" s="1658"/>
      <c r="Q176" s="1658"/>
      <c r="R176" s="1658"/>
      <c r="S176" s="1658"/>
      <c r="T176" s="1658"/>
    </row>
    <row r="177" spans="1:20">
      <c r="A177" s="1635">
        <f>A176+31</f>
        <v>49706</v>
      </c>
      <c r="B177" s="1633" t="b">
        <f>ISNA(VLOOKUP(A177,$E$4:$E$13,1,FALSE))</f>
        <v>0</v>
      </c>
      <c r="C177" s="1642">
        <f t="shared" si="51"/>
        <v>49706</v>
      </c>
      <c r="D177" s="1638" t="str">
        <f t="shared" si="52"/>
        <v/>
      </c>
      <c r="E177" s="1633" t="str">
        <f t="shared" si="53"/>
        <v/>
      </c>
      <c r="F177" s="1633" t="str">
        <f t="shared" si="54"/>
        <v/>
      </c>
      <c r="G177" s="1635" t="str">
        <f t="shared" si="55"/>
        <v/>
      </c>
      <c r="H177" s="1635">
        <f t="shared" si="56"/>
        <v>49706</v>
      </c>
      <c r="M177" s="1638">
        <v>120</v>
      </c>
      <c r="N177" s="1657"/>
      <c r="O177" s="1658"/>
      <c r="P177" s="1658"/>
      <c r="Q177" s="1658"/>
      <c r="R177" s="1658"/>
      <c r="S177" s="1658"/>
      <c r="T177" s="1658"/>
    </row>
    <row r="178" spans="1:20">
      <c r="A178" s="1635">
        <f>IF(B177=TRUE,(A177+28),(A177+29))</f>
        <v>49735</v>
      </c>
      <c r="C178" s="1642">
        <f t="shared" si="51"/>
        <v>49735</v>
      </c>
      <c r="D178" s="1638" t="str">
        <f t="shared" si="52"/>
        <v/>
      </c>
      <c r="E178" s="1633" t="str">
        <f t="shared" si="53"/>
        <v/>
      </c>
      <c r="F178" s="1633" t="str">
        <f t="shared" si="54"/>
        <v/>
      </c>
      <c r="G178" s="1635" t="str">
        <f t="shared" si="55"/>
        <v/>
      </c>
      <c r="H178" s="1635">
        <f t="shared" si="56"/>
        <v>49735</v>
      </c>
      <c r="M178" s="1638">
        <v>121</v>
      </c>
      <c r="N178" s="1657"/>
      <c r="O178" s="1658"/>
      <c r="P178" s="1658"/>
      <c r="Q178" s="1658"/>
      <c r="R178" s="1658"/>
      <c r="S178" s="1658"/>
      <c r="T178" s="1658"/>
    </row>
    <row r="179" spans="1:20">
      <c r="A179" s="1635">
        <f>A178+31</f>
        <v>49766</v>
      </c>
      <c r="C179" s="1642">
        <f t="shared" si="51"/>
        <v>49766</v>
      </c>
      <c r="D179" s="1638" t="str">
        <f t="shared" si="52"/>
        <v/>
      </c>
      <c r="E179" s="1633" t="str">
        <f t="shared" si="53"/>
        <v/>
      </c>
      <c r="F179" s="1633" t="str">
        <f t="shared" si="54"/>
        <v/>
      </c>
      <c r="G179" s="1635" t="str">
        <f t="shared" si="55"/>
        <v/>
      </c>
      <c r="H179" s="1635">
        <f t="shared" si="56"/>
        <v>49766</v>
      </c>
      <c r="M179" s="1638">
        <v>122</v>
      </c>
      <c r="N179" s="1657"/>
      <c r="O179" s="1658"/>
      <c r="P179" s="1658"/>
      <c r="Q179" s="1658"/>
      <c r="R179" s="1658"/>
      <c r="S179" s="1658"/>
      <c r="T179" s="1658"/>
    </row>
    <row r="180" spans="1:20">
      <c r="A180" s="1635">
        <f>A179+30</f>
        <v>49796</v>
      </c>
      <c r="C180" s="1642">
        <f t="shared" si="51"/>
        <v>49796</v>
      </c>
      <c r="D180" s="1638" t="str">
        <f t="shared" si="52"/>
        <v/>
      </c>
      <c r="E180" s="1633" t="str">
        <f t="shared" si="53"/>
        <v/>
      </c>
      <c r="F180" s="1633" t="str">
        <f t="shared" si="54"/>
        <v/>
      </c>
      <c r="G180" s="1635" t="str">
        <f t="shared" si="55"/>
        <v/>
      </c>
      <c r="H180" s="1635">
        <f t="shared" si="56"/>
        <v>49796</v>
      </c>
      <c r="M180" s="1638">
        <v>123</v>
      </c>
      <c r="N180" s="1657"/>
      <c r="O180" s="1658"/>
      <c r="P180" s="1658"/>
      <c r="Q180" s="1658"/>
      <c r="R180" s="1658"/>
      <c r="S180" s="1658"/>
      <c r="T180" s="1658"/>
    </row>
    <row r="181" spans="1:20">
      <c r="A181" s="1635">
        <f>A180+31</f>
        <v>49827</v>
      </c>
      <c r="C181" s="1642">
        <f t="shared" si="51"/>
        <v>49827</v>
      </c>
      <c r="D181" s="1638" t="str">
        <f t="shared" si="52"/>
        <v/>
      </c>
      <c r="E181" s="1633" t="str">
        <f t="shared" si="53"/>
        <v/>
      </c>
      <c r="F181" s="1633" t="str">
        <f t="shared" si="54"/>
        <v/>
      </c>
      <c r="G181" s="1635" t="str">
        <f t="shared" si="55"/>
        <v/>
      </c>
      <c r="H181" s="1635">
        <f t="shared" si="56"/>
        <v>49827</v>
      </c>
      <c r="M181" s="1638">
        <v>124</v>
      </c>
      <c r="N181" s="1657"/>
      <c r="O181" s="1658"/>
      <c r="P181" s="1658"/>
      <c r="Q181" s="1658"/>
      <c r="R181" s="1658"/>
      <c r="S181" s="1658"/>
      <c r="T181" s="1658"/>
    </row>
    <row r="182" spans="1:20">
      <c r="A182" s="1635">
        <f>A181+30</f>
        <v>49857</v>
      </c>
      <c r="C182" s="1642">
        <f t="shared" si="51"/>
        <v>49857</v>
      </c>
      <c r="D182" s="1638" t="str">
        <f t="shared" si="52"/>
        <v/>
      </c>
      <c r="E182" s="1633" t="str">
        <f t="shared" si="53"/>
        <v/>
      </c>
      <c r="F182" s="1633" t="str">
        <f t="shared" si="54"/>
        <v/>
      </c>
      <c r="G182" s="1635" t="str">
        <f t="shared" si="55"/>
        <v/>
      </c>
      <c r="H182" s="1635">
        <f t="shared" si="56"/>
        <v>49857</v>
      </c>
      <c r="M182" s="1638">
        <v>125</v>
      </c>
      <c r="N182" s="1657"/>
      <c r="O182" s="1658"/>
      <c r="P182" s="1658"/>
      <c r="Q182" s="1658"/>
      <c r="R182" s="1658"/>
      <c r="S182" s="1658"/>
      <c r="T182" s="1658"/>
    </row>
    <row r="183" spans="1:20">
      <c r="A183" s="1635">
        <f>A182+31</f>
        <v>49888</v>
      </c>
      <c r="C183" s="1642">
        <f t="shared" si="51"/>
        <v>49888</v>
      </c>
      <c r="D183" s="1638" t="str">
        <f t="shared" si="52"/>
        <v/>
      </c>
      <c r="E183" s="1633" t="str">
        <f t="shared" si="53"/>
        <v/>
      </c>
      <c r="F183" s="1633" t="str">
        <f t="shared" si="54"/>
        <v/>
      </c>
      <c r="G183" s="1635" t="str">
        <f t="shared" si="55"/>
        <v/>
      </c>
      <c r="H183" s="1635">
        <f t="shared" si="56"/>
        <v>49888</v>
      </c>
      <c r="M183" s="1638">
        <v>126</v>
      </c>
      <c r="N183" s="1657"/>
      <c r="O183" s="1658"/>
      <c r="P183" s="1658"/>
      <c r="Q183" s="1658"/>
      <c r="R183" s="1658"/>
      <c r="S183" s="1658"/>
      <c r="T183" s="1658"/>
    </row>
    <row r="184" spans="1:20">
      <c r="A184" s="1635">
        <f>A183+31</f>
        <v>49919</v>
      </c>
      <c r="C184" s="1642">
        <f t="shared" si="51"/>
        <v>49919</v>
      </c>
      <c r="D184" s="1638" t="str">
        <f t="shared" si="52"/>
        <v/>
      </c>
      <c r="E184" s="1633" t="str">
        <f t="shared" si="53"/>
        <v/>
      </c>
      <c r="F184" s="1633" t="str">
        <f t="shared" si="54"/>
        <v/>
      </c>
      <c r="G184" s="1635" t="str">
        <f t="shared" si="55"/>
        <v/>
      </c>
      <c r="H184" s="1635">
        <f t="shared" si="56"/>
        <v>49919</v>
      </c>
      <c r="M184" s="1638">
        <v>127</v>
      </c>
      <c r="N184" s="1657"/>
      <c r="O184" s="1658"/>
      <c r="P184" s="1658"/>
      <c r="Q184" s="1658"/>
      <c r="R184" s="1658"/>
      <c r="S184" s="1658"/>
      <c r="T184" s="1658"/>
    </row>
    <row r="185" spans="1:20">
      <c r="A185" s="1635">
        <f>A184+30</f>
        <v>49949</v>
      </c>
      <c r="C185" s="1642">
        <f t="shared" si="51"/>
        <v>49949</v>
      </c>
      <c r="D185" s="1638" t="str">
        <f t="shared" si="52"/>
        <v/>
      </c>
      <c r="E185" s="1633" t="str">
        <f t="shared" si="53"/>
        <v/>
      </c>
      <c r="F185" s="1633" t="str">
        <f t="shared" si="54"/>
        <v/>
      </c>
      <c r="G185" s="1635" t="str">
        <f t="shared" si="55"/>
        <v/>
      </c>
      <c r="H185" s="1635">
        <f t="shared" si="56"/>
        <v>49949</v>
      </c>
      <c r="M185" s="1638">
        <v>128</v>
      </c>
      <c r="N185" s="1657"/>
      <c r="O185" s="1658"/>
      <c r="P185" s="1658"/>
      <c r="Q185" s="1658"/>
      <c r="R185" s="1658"/>
      <c r="S185" s="1658"/>
      <c r="T185" s="1658"/>
    </row>
    <row r="186" spans="1:20">
      <c r="A186" s="1635">
        <f>A185+31</f>
        <v>49980</v>
      </c>
      <c r="C186" s="1642">
        <f t="shared" si="51"/>
        <v>49980</v>
      </c>
      <c r="D186" s="1638" t="str">
        <f t="shared" si="52"/>
        <v/>
      </c>
      <c r="E186" s="1633" t="str">
        <f t="shared" si="53"/>
        <v/>
      </c>
      <c r="F186" s="1633" t="str">
        <f t="shared" si="54"/>
        <v/>
      </c>
      <c r="G186" s="1635" t="str">
        <f t="shared" si="55"/>
        <v/>
      </c>
      <c r="H186" s="1635">
        <f t="shared" si="56"/>
        <v>49980</v>
      </c>
      <c r="M186" s="1638">
        <v>129</v>
      </c>
      <c r="N186" s="1657"/>
      <c r="O186" s="1658"/>
      <c r="P186" s="1658"/>
      <c r="Q186" s="1658"/>
      <c r="R186" s="1658"/>
      <c r="S186" s="1658"/>
      <c r="T186" s="1658"/>
    </row>
    <row r="187" spans="1:20">
      <c r="A187" s="1635">
        <f>A186+30</f>
        <v>50010</v>
      </c>
      <c r="C187" s="1642">
        <f t="shared" si="51"/>
        <v>50010</v>
      </c>
      <c r="D187" s="1638" t="str">
        <f t="shared" si="52"/>
        <v/>
      </c>
      <c r="E187" s="1633" t="str">
        <f t="shared" si="53"/>
        <v/>
      </c>
      <c r="F187" s="1633" t="str">
        <f t="shared" si="54"/>
        <v/>
      </c>
      <c r="G187" s="1635" t="str">
        <f t="shared" si="55"/>
        <v/>
      </c>
      <c r="H187" s="1635">
        <f t="shared" si="56"/>
        <v>50010</v>
      </c>
      <c r="M187" s="1638">
        <v>130</v>
      </c>
      <c r="N187" s="1657"/>
      <c r="O187" s="1658"/>
      <c r="P187" s="1658"/>
      <c r="Q187" s="1658"/>
      <c r="R187" s="1658"/>
      <c r="S187" s="1658"/>
      <c r="T187" s="1658"/>
    </row>
    <row r="188" spans="1:20">
      <c r="A188" s="1635">
        <f>A187+31</f>
        <v>50041</v>
      </c>
      <c r="C188" s="1642">
        <f t="shared" si="51"/>
        <v>50041</v>
      </c>
      <c r="D188" s="1638" t="str">
        <f t="shared" si="52"/>
        <v/>
      </c>
      <c r="E188" s="1633" t="str">
        <f t="shared" si="53"/>
        <v/>
      </c>
      <c r="F188" s="1633" t="str">
        <f t="shared" si="54"/>
        <v/>
      </c>
      <c r="G188" s="1635" t="str">
        <f t="shared" si="55"/>
        <v/>
      </c>
      <c r="H188" s="1635">
        <f t="shared" si="56"/>
        <v>50041</v>
      </c>
      <c r="M188" s="1638">
        <v>131</v>
      </c>
      <c r="N188" s="1657"/>
      <c r="O188" s="1658"/>
      <c r="P188" s="1658"/>
      <c r="Q188" s="1658"/>
      <c r="R188" s="1658"/>
      <c r="S188" s="1658"/>
      <c r="T188" s="1658"/>
    </row>
    <row r="189" spans="1:20">
      <c r="A189" s="1635">
        <f>A188+31</f>
        <v>50072</v>
      </c>
      <c r="B189" s="1633" t="b">
        <f>ISNA(VLOOKUP(A189,$E$4:$E$13,1,FALSE))</f>
        <v>1</v>
      </c>
      <c r="C189" s="1642">
        <f t="shared" si="51"/>
        <v>50072</v>
      </c>
      <c r="D189" s="1638" t="str">
        <f t="shared" si="52"/>
        <v/>
      </c>
      <c r="E189" s="1633" t="str">
        <f t="shared" si="53"/>
        <v/>
      </c>
      <c r="F189" s="1633" t="str">
        <f t="shared" si="54"/>
        <v/>
      </c>
      <c r="G189" s="1635" t="str">
        <f t="shared" si="55"/>
        <v/>
      </c>
      <c r="H189" s="1635">
        <f t="shared" si="56"/>
        <v>50072</v>
      </c>
      <c r="M189" s="1638">
        <v>132</v>
      </c>
      <c r="N189" s="1657"/>
      <c r="O189" s="1658"/>
      <c r="P189" s="1658"/>
      <c r="Q189" s="1658"/>
      <c r="R189" s="1658"/>
      <c r="S189" s="1658"/>
      <c r="T189" s="1658"/>
    </row>
    <row r="190" spans="1:20">
      <c r="A190" s="1635">
        <f>IF(B189=TRUE,(A189+28),(A189+29))</f>
        <v>50100</v>
      </c>
      <c r="C190" s="1642">
        <f t="shared" si="51"/>
        <v>50100</v>
      </c>
      <c r="D190" s="1638" t="str">
        <f t="shared" si="52"/>
        <v/>
      </c>
      <c r="E190" s="1633" t="str">
        <f t="shared" si="53"/>
        <v/>
      </c>
      <c r="F190" s="1633" t="str">
        <f t="shared" si="54"/>
        <v/>
      </c>
      <c r="G190" s="1635" t="str">
        <f t="shared" si="55"/>
        <v/>
      </c>
      <c r="H190" s="1635">
        <f t="shared" si="56"/>
        <v>50100</v>
      </c>
      <c r="M190" s="1638">
        <v>133</v>
      </c>
      <c r="N190" s="1657"/>
      <c r="O190" s="1658"/>
      <c r="P190" s="1658"/>
      <c r="Q190" s="1658"/>
      <c r="R190" s="1658"/>
      <c r="S190" s="1658"/>
      <c r="T190" s="1658"/>
    </row>
    <row r="191" spans="1:20">
      <c r="A191" s="1635">
        <f>A190+31</f>
        <v>50131</v>
      </c>
      <c r="C191" s="1642">
        <f t="shared" si="51"/>
        <v>50131</v>
      </c>
      <c r="D191" s="1638" t="str">
        <f t="shared" si="52"/>
        <v/>
      </c>
      <c r="E191" s="1633" t="str">
        <f t="shared" si="53"/>
        <v/>
      </c>
      <c r="F191" s="1633" t="str">
        <f t="shared" si="54"/>
        <v/>
      </c>
      <c r="G191" s="1635" t="str">
        <f t="shared" si="55"/>
        <v/>
      </c>
      <c r="H191" s="1635">
        <f t="shared" si="56"/>
        <v>50131</v>
      </c>
      <c r="M191" s="1638">
        <v>134</v>
      </c>
      <c r="N191" s="1657"/>
      <c r="O191" s="1658"/>
      <c r="P191" s="1658"/>
      <c r="Q191" s="1658"/>
      <c r="R191" s="1658"/>
      <c r="S191" s="1658"/>
      <c r="T191" s="1658"/>
    </row>
    <row r="192" spans="1:20">
      <c r="A192" s="1635">
        <f>A191+30</f>
        <v>50161</v>
      </c>
      <c r="C192" s="1642">
        <f t="shared" si="51"/>
        <v>50161</v>
      </c>
      <c r="D192" s="1638" t="str">
        <f t="shared" si="52"/>
        <v/>
      </c>
      <c r="E192" s="1633" t="str">
        <f t="shared" si="53"/>
        <v/>
      </c>
      <c r="F192" s="1633" t="str">
        <f t="shared" si="54"/>
        <v/>
      </c>
      <c r="G192" s="1635" t="str">
        <f t="shared" si="55"/>
        <v/>
      </c>
      <c r="H192" s="1635">
        <f t="shared" si="56"/>
        <v>50161</v>
      </c>
      <c r="M192" s="1638">
        <v>135</v>
      </c>
      <c r="N192" s="1657"/>
      <c r="O192" s="1658"/>
      <c r="P192" s="1658"/>
      <c r="Q192" s="1658"/>
      <c r="R192" s="1658"/>
      <c r="S192" s="1658"/>
      <c r="T192" s="1658"/>
    </row>
    <row r="193" spans="1:20">
      <c r="A193" s="1635">
        <f>A192+31</f>
        <v>50192</v>
      </c>
      <c r="C193" s="1642">
        <f t="shared" si="51"/>
        <v>50192</v>
      </c>
      <c r="D193" s="1638" t="str">
        <f t="shared" si="52"/>
        <v/>
      </c>
      <c r="E193" s="1633" t="str">
        <f t="shared" si="53"/>
        <v/>
      </c>
      <c r="F193" s="1633" t="str">
        <f t="shared" si="54"/>
        <v/>
      </c>
      <c r="G193" s="1635" t="str">
        <f t="shared" si="55"/>
        <v/>
      </c>
      <c r="H193" s="1635">
        <f t="shared" si="56"/>
        <v>50192</v>
      </c>
      <c r="M193" s="1638">
        <v>136</v>
      </c>
      <c r="N193" s="1657"/>
      <c r="O193" s="1658"/>
      <c r="P193" s="1658"/>
      <c r="Q193" s="1658"/>
      <c r="R193" s="1658"/>
      <c r="S193" s="1658"/>
      <c r="T193" s="1658"/>
    </row>
    <row r="194" spans="1:20">
      <c r="A194" s="1635">
        <f>A193+30</f>
        <v>50222</v>
      </c>
      <c r="C194" s="1642">
        <f t="shared" si="51"/>
        <v>50222</v>
      </c>
      <c r="D194" s="1638" t="str">
        <f t="shared" si="52"/>
        <v/>
      </c>
      <c r="E194" s="1633" t="str">
        <f t="shared" si="53"/>
        <v/>
      </c>
      <c r="F194" s="1633" t="str">
        <f t="shared" si="54"/>
        <v/>
      </c>
      <c r="G194" s="1635" t="str">
        <f t="shared" si="55"/>
        <v/>
      </c>
      <c r="H194" s="1635">
        <f t="shared" si="56"/>
        <v>50222</v>
      </c>
      <c r="M194" s="1638">
        <v>137</v>
      </c>
      <c r="N194" s="1657"/>
      <c r="O194" s="1658"/>
      <c r="P194" s="1658"/>
      <c r="Q194" s="1658"/>
      <c r="R194" s="1658"/>
      <c r="S194" s="1658"/>
      <c r="T194" s="1658"/>
    </row>
    <row r="195" spans="1:20">
      <c r="A195" s="1635">
        <f>A194+31</f>
        <v>50253</v>
      </c>
      <c r="C195" s="1642">
        <f t="shared" si="51"/>
        <v>50253</v>
      </c>
      <c r="D195" s="1638" t="str">
        <f t="shared" si="52"/>
        <v/>
      </c>
      <c r="E195" s="1633" t="str">
        <f t="shared" si="53"/>
        <v/>
      </c>
      <c r="F195" s="1633" t="str">
        <f t="shared" si="54"/>
        <v/>
      </c>
      <c r="G195" s="1635" t="str">
        <f t="shared" si="55"/>
        <v/>
      </c>
      <c r="H195" s="1635">
        <f t="shared" si="56"/>
        <v>50253</v>
      </c>
      <c r="M195" s="1638">
        <v>138</v>
      </c>
      <c r="N195" s="1657"/>
      <c r="O195" s="1658"/>
      <c r="P195" s="1658"/>
      <c r="Q195" s="1658"/>
      <c r="R195" s="1658"/>
      <c r="S195" s="1658"/>
      <c r="T195" s="1658"/>
    </row>
    <row r="196" spans="1:20">
      <c r="A196" s="1635">
        <f>A195+31</f>
        <v>50284</v>
      </c>
      <c r="C196" s="1642">
        <f t="shared" si="51"/>
        <v>50284</v>
      </c>
      <c r="D196" s="1638" t="str">
        <f t="shared" si="52"/>
        <v/>
      </c>
      <c r="E196" s="1633" t="str">
        <f t="shared" si="53"/>
        <v/>
      </c>
      <c r="F196" s="1633" t="str">
        <f t="shared" si="54"/>
        <v/>
      </c>
      <c r="G196" s="1635" t="str">
        <f t="shared" si="55"/>
        <v/>
      </c>
      <c r="H196" s="1635">
        <f t="shared" si="56"/>
        <v>50284</v>
      </c>
      <c r="M196" s="1638">
        <v>139</v>
      </c>
      <c r="N196" s="1657"/>
      <c r="O196" s="1658"/>
      <c r="P196" s="1658"/>
      <c r="Q196" s="1658"/>
      <c r="R196" s="1658"/>
      <c r="S196" s="1658"/>
      <c r="T196" s="1658"/>
    </row>
    <row r="197" spans="1:20">
      <c r="A197" s="1635">
        <f>A196+30</f>
        <v>50314</v>
      </c>
      <c r="C197" s="1642">
        <f t="shared" si="51"/>
        <v>50314</v>
      </c>
      <c r="D197" s="1638" t="str">
        <f t="shared" si="52"/>
        <v/>
      </c>
      <c r="E197" s="1633" t="str">
        <f t="shared" si="53"/>
        <v/>
      </c>
      <c r="F197" s="1633" t="str">
        <f t="shared" si="54"/>
        <v/>
      </c>
      <c r="G197" s="1635" t="str">
        <f t="shared" si="55"/>
        <v/>
      </c>
      <c r="H197" s="1635">
        <f t="shared" si="56"/>
        <v>50314</v>
      </c>
      <c r="M197" s="1638">
        <v>140</v>
      </c>
      <c r="N197" s="1657"/>
      <c r="O197" s="1658"/>
      <c r="P197" s="1658"/>
      <c r="Q197" s="1658"/>
      <c r="R197" s="1658"/>
      <c r="S197" s="1658"/>
      <c r="T197" s="1658"/>
    </row>
    <row r="198" spans="1:20">
      <c r="A198" s="1635">
        <f>A197+31</f>
        <v>50345</v>
      </c>
      <c r="C198" s="1642">
        <f t="shared" si="51"/>
        <v>50345</v>
      </c>
      <c r="D198" s="1638" t="str">
        <f t="shared" si="52"/>
        <v/>
      </c>
      <c r="E198" s="1633" t="str">
        <f t="shared" si="53"/>
        <v/>
      </c>
      <c r="F198" s="1633" t="str">
        <f t="shared" si="54"/>
        <v/>
      </c>
      <c r="G198" s="1635" t="str">
        <f t="shared" si="55"/>
        <v/>
      </c>
      <c r="H198" s="1635">
        <f t="shared" si="56"/>
        <v>50345</v>
      </c>
      <c r="M198" s="1638">
        <v>141</v>
      </c>
      <c r="N198" s="1657"/>
      <c r="O198" s="1658"/>
      <c r="P198" s="1658"/>
      <c r="Q198" s="1658"/>
      <c r="R198" s="1658"/>
      <c r="S198" s="1658"/>
      <c r="T198" s="1658"/>
    </row>
    <row r="199" spans="1:20">
      <c r="A199" s="1635">
        <f>A198+30</f>
        <v>50375</v>
      </c>
      <c r="C199" s="1642">
        <f t="shared" si="51"/>
        <v>50375</v>
      </c>
      <c r="D199" s="1638" t="str">
        <f t="shared" si="52"/>
        <v/>
      </c>
      <c r="E199" s="1633" t="str">
        <f t="shared" si="53"/>
        <v/>
      </c>
      <c r="F199" s="1633" t="str">
        <f t="shared" si="54"/>
        <v/>
      </c>
      <c r="G199" s="1635" t="str">
        <f t="shared" si="55"/>
        <v/>
      </c>
      <c r="H199" s="1635">
        <f t="shared" si="56"/>
        <v>50375</v>
      </c>
      <c r="M199" s="1638">
        <v>142</v>
      </c>
      <c r="N199" s="1657"/>
      <c r="O199" s="1658"/>
      <c r="P199" s="1658"/>
      <c r="Q199" s="1658"/>
      <c r="R199" s="1658"/>
      <c r="S199" s="1658"/>
      <c r="T199" s="1658"/>
    </row>
    <row r="200" spans="1:20">
      <c r="A200" s="1635">
        <f>A199+31</f>
        <v>50406</v>
      </c>
      <c r="C200" s="1642">
        <f t="shared" si="51"/>
        <v>50406</v>
      </c>
      <c r="D200" s="1638" t="str">
        <f t="shared" si="52"/>
        <v/>
      </c>
      <c r="E200" s="1633" t="str">
        <f t="shared" si="53"/>
        <v/>
      </c>
      <c r="F200" s="1633" t="str">
        <f t="shared" si="54"/>
        <v/>
      </c>
      <c r="G200" s="1635" t="str">
        <f t="shared" si="55"/>
        <v/>
      </c>
      <c r="H200" s="1635">
        <f t="shared" si="56"/>
        <v>50406</v>
      </c>
      <c r="M200" s="1638">
        <v>143</v>
      </c>
      <c r="N200" s="1657"/>
      <c r="O200" s="1658"/>
      <c r="P200" s="1658"/>
      <c r="Q200" s="1658"/>
      <c r="R200" s="1658"/>
      <c r="S200" s="1658"/>
      <c r="T200" s="1658"/>
    </row>
    <row r="201" spans="1:20">
      <c r="A201" s="1635">
        <f>A200+31</f>
        <v>50437</v>
      </c>
      <c r="B201" s="1633" t="b">
        <f>ISNA(VLOOKUP(A201,$E$4:$E$13,1,FALSE))</f>
        <v>1</v>
      </c>
      <c r="C201" s="1642">
        <f t="shared" si="51"/>
        <v>50437</v>
      </c>
      <c r="D201" s="1638" t="str">
        <f t="shared" si="52"/>
        <v/>
      </c>
      <c r="E201" s="1633" t="str">
        <f t="shared" si="53"/>
        <v/>
      </c>
      <c r="F201" s="1633" t="str">
        <f t="shared" si="54"/>
        <v/>
      </c>
      <c r="G201" s="1635" t="str">
        <f t="shared" si="55"/>
        <v/>
      </c>
      <c r="H201" s="1635">
        <f t="shared" si="56"/>
        <v>50437</v>
      </c>
      <c r="M201" s="1638">
        <v>144</v>
      </c>
      <c r="N201" s="1657"/>
      <c r="O201" s="1658"/>
      <c r="P201" s="1658"/>
      <c r="Q201" s="1658"/>
      <c r="R201" s="1658"/>
      <c r="S201" s="1658"/>
      <c r="T201" s="1658"/>
    </row>
    <row r="202" spans="1:20">
      <c r="A202" s="1635">
        <f>IF(B201=TRUE,(A201+28),(A201+29))</f>
        <v>50465</v>
      </c>
      <c r="C202" s="1642">
        <f t="shared" si="51"/>
        <v>50465</v>
      </c>
      <c r="D202" s="1638" t="str">
        <f t="shared" si="52"/>
        <v/>
      </c>
      <c r="E202" s="1633" t="str">
        <f t="shared" si="53"/>
        <v/>
      </c>
      <c r="F202" s="1633" t="str">
        <f t="shared" si="54"/>
        <v/>
      </c>
      <c r="G202" s="1635" t="str">
        <f t="shared" si="55"/>
        <v/>
      </c>
      <c r="H202" s="1635">
        <f t="shared" si="56"/>
        <v>50465</v>
      </c>
      <c r="M202" s="1638">
        <v>145</v>
      </c>
      <c r="N202" s="1657"/>
      <c r="O202" s="1658"/>
      <c r="P202" s="1658"/>
      <c r="Q202" s="1658"/>
      <c r="R202" s="1658"/>
      <c r="S202" s="1658"/>
      <c r="T202" s="1658"/>
    </row>
    <row r="203" spans="1:20">
      <c r="A203" s="1635">
        <f>A202+31</f>
        <v>50496</v>
      </c>
      <c r="C203" s="1642">
        <f t="shared" si="51"/>
        <v>50496</v>
      </c>
      <c r="D203" s="1638" t="str">
        <f t="shared" si="52"/>
        <v/>
      </c>
      <c r="E203" s="1633" t="str">
        <f t="shared" si="53"/>
        <v/>
      </c>
      <c r="F203" s="1633" t="str">
        <f t="shared" si="54"/>
        <v/>
      </c>
      <c r="G203" s="1635" t="str">
        <f t="shared" si="55"/>
        <v/>
      </c>
      <c r="H203" s="1635">
        <f t="shared" si="56"/>
        <v>50496</v>
      </c>
      <c r="M203" s="1638">
        <v>146</v>
      </c>
      <c r="N203" s="1657"/>
      <c r="O203" s="1658"/>
      <c r="P203" s="1658"/>
      <c r="Q203" s="1658"/>
      <c r="R203" s="1658"/>
      <c r="S203" s="1658"/>
      <c r="T203" s="1658"/>
    </row>
    <row r="204" spans="1:20">
      <c r="A204" s="1635">
        <f>A203+30</f>
        <v>50526</v>
      </c>
      <c r="C204" s="1642">
        <f t="shared" si="51"/>
        <v>50526</v>
      </c>
      <c r="D204" s="1638" t="str">
        <f t="shared" si="52"/>
        <v/>
      </c>
      <c r="E204" s="1633" t="str">
        <f t="shared" si="53"/>
        <v/>
      </c>
      <c r="F204" s="1633" t="str">
        <f t="shared" si="54"/>
        <v/>
      </c>
      <c r="G204" s="1635" t="str">
        <f t="shared" si="55"/>
        <v/>
      </c>
      <c r="H204" s="1635">
        <f t="shared" si="56"/>
        <v>50526</v>
      </c>
      <c r="M204" s="1638">
        <v>147</v>
      </c>
      <c r="N204" s="1657"/>
      <c r="O204" s="1658"/>
      <c r="P204" s="1658"/>
      <c r="Q204" s="1658"/>
      <c r="R204" s="1658"/>
      <c r="S204" s="1658"/>
      <c r="T204" s="1658"/>
    </row>
    <row r="205" spans="1:20">
      <c r="A205" s="1635">
        <f>A204+31</f>
        <v>50557</v>
      </c>
      <c r="C205" s="1642">
        <f t="shared" si="51"/>
        <v>50557</v>
      </c>
      <c r="D205" s="1638" t="str">
        <f t="shared" si="52"/>
        <v/>
      </c>
      <c r="E205" s="1633" t="str">
        <f t="shared" si="53"/>
        <v/>
      </c>
      <c r="F205" s="1633" t="str">
        <f t="shared" si="54"/>
        <v/>
      </c>
      <c r="G205" s="1635" t="str">
        <f t="shared" si="55"/>
        <v/>
      </c>
      <c r="H205" s="1635">
        <f t="shared" si="56"/>
        <v>50557</v>
      </c>
      <c r="M205" s="1638">
        <v>148</v>
      </c>
      <c r="N205" s="1657"/>
      <c r="O205" s="1658"/>
      <c r="P205" s="1658"/>
      <c r="Q205" s="1658"/>
      <c r="R205" s="1658"/>
      <c r="S205" s="1658"/>
      <c r="T205" s="1658"/>
    </row>
    <row r="206" spans="1:20">
      <c r="A206" s="1635">
        <f>A205+30</f>
        <v>50587</v>
      </c>
      <c r="C206" s="1642">
        <f t="shared" si="51"/>
        <v>50587</v>
      </c>
      <c r="D206" s="1638" t="str">
        <f t="shared" si="52"/>
        <v/>
      </c>
      <c r="E206" s="1633" t="str">
        <f t="shared" si="53"/>
        <v/>
      </c>
      <c r="F206" s="1633" t="str">
        <f t="shared" si="54"/>
        <v/>
      </c>
      <c r="G206" s="1635" t="str">
        <f t="shared" si="55"/>
        <v/>
      </c>
      <c r="H206" s="1635">
        <f t="shared" si="56"/>
        <v>50587</v>
      </c>
      <c r="M206" s="1638">
        <v>149</v>
      </c>
      <c r="N206" s="1657"/>
      <c r="O206" s="1658"/>
      <c r="P206" s="1658"/>
      <c r="Q206" s="1658"/>
      <c r="R206" s="1658"/>
      <c r="S206" s="1658"/>
      <c r="T206" s="1658"/>
    </row>
    <row r="207" spans="1:20">
      <c r="A207" s="1635">
        <f>A206+31</f>
        <v>50618</v>
      </c>
      <c r="C207" s="1642">
        <f t="shared" si="51"/>
        <v>50618</v>
      </c>
      <c r="D207" s="1638" t="str">
        <f t="shared" si="52"/>
        <v/>
      </c>
      <c r="E207" s="1633" t="str">
        <f t="shared" si="53"/>
        <v/>
      </c>
      <c r="F207" s="1633" t="str">
        <f t="shared" si="54"/>
        <v/>
      </c>
      <c r="G207" s="1635" t="str">
        <f t="shared" si="55"/>
        <v/>
      </c>
      <c r="H207" s="1635">
        <f t="shared" si="56"/>
        <v>50618</v>
      </c>
      <c r="M207" s="1638">
        <v>150</v>
      </c>
      <c r="N207" s="1657"/>
      <c r="O207" s="1658"/>
      <c r="P207" s="1658"/>
      <c r="Q207" s="1658"/>
      <c r="R207" s="1658"/>
      <c r="S207" s="1658"/>
      <c r="T207" s="1658"/>
    </row>
    <row r="208" spans="1:20">
      <c r="A208" s="1635">
        <f>A207+31</f>
        <v>50649</v>
      </c>
      <c r="C208" s="1642">
        <f t="shared" si="51"/>
        <v>50649</v>
      </c>
      <c r="D208" s="1638" t="str">
        <f t="shared" si="52"/>
        <v/>
      </c>
      <c r="E208" s="1633" t="str">
        <f t="shared" si="53"/>
        <v/>
      </c>
      <c r="F208" s="1633" t="str">
        <f t="shared" si="54"/>
        <v/>
      </c>
      <c r="G208" s="1635" t="str">
        <f t="shared" si="55"/>
        <v/>
      </c>
      <c r="H208" s="1635">
        <f t="shared" si="56"/>
        <v>50649</v>
      </c>
    </row>
    <row r="209" spans="1:8">
      <c r="A209" s="1635">
        <f>A208+30</f>
        <v>50679</v>
      </c>
      <c r="C209" s="1642">
        <f t="shared" si="51"/>
        <v>50679</v>
      </c>
      <c r="D209" s="1638" t="str">
        <f t="shared" si="52"/>
        <v/>
      </c>
      <c r="E209" s="1633" t="str">
        <f t="shared" si="53"/>
        <v/>
      </c>
      <c r="F209" s="1633" t="str">
        <f t="shared" si="54"/>
        <v/>
      </c>
      <c r="G209" s="1635" t="str">
        <f t="shared" si="55"/>
        <v/>
      </c>
      <c r="H209" s="1635">
        <f t="shared" si="56"/>
        <v>50679</v>
      </c>
    </row>
    <row r="210" spans="1:8">
      <c r="A210" s="1635">
        <f>A209+31</f>
        <v>50710</v>
      </c>
      <c r="C210" s="1642">
        <f t="shared" si="51"/>
        <v>50710</v>
      </c>
      <c r="D210" s="1638" t="str">
        <f t="shared" si="52"/>
        <v/>
      </c>
      <c r="E210" s="1633" t="str">
        <f t="shared" si="53"/>
        <v/>
      </c>
      <c r="F210" s="1633" t="str">
        <f t="shared" si="54"/>
        <v/>
      </c>
      <c r="G210" s="1635" t="str">
        <f t="shared" si="55"/>
        <v/>
      </c>
      <c r="H210" s="1635">
        <f t="shared" si="56"/>
        <v>50710</v>
      </c>
    </row>
    <row r="211" spans="1:8">
      <c r="A211" s="1635">
        <f>A210+30</f>
        <v>50740</v>
      </c>
      <c r="C211" s="1642">
        <f t="shared" si="51"/>
        <v>50740</v>
      </c>
      <c r="D211" s="1638" t="str">
        <f t="shared" si="52"/>
        <v/>
      </c>
      <c r="E211" s="1633" t="str">
        <f t="shared" si="53"/>
        <v/>
      </c>
      <c r="F211" s="1633" t="str">
        <f t="shared" si="54"/>
        <v/>
      </c>
      <c r="G211" s="1635" t="str">
        <f t="shared" si="55"/>
        <v/>
      </c>
      <c r="H211" s="1635">
        <f t="shared" si="56"/>
        <v>50740</v>
      </c>
    </row>
    <row r="212" spans="1:8">
      <c r="A212" s="1635">
        <f>A211+31</f>
        <v>50771</v>
      </c>
      <c r="C212" s="1642">
        <f t="shared" si="51"/>
        <v>50771</v>
      </c>
      <c r="D212" s="1638" t="str">
        <f t="shared" si="52"/>
        <v/>
      </c>
      <c r="E212" s="1633" t="str">
        <f t="shared" si="53"/>
        <v/>
      </c>
      <c r="F212" s="1633" t="str">
        <f t="shared" si="54"/>
        <v/>
      </c>
      <c r="G212" s="1635" t="str">
        <f t="shared" si="55"/>
        <v/>
      </c>
      <c r="H212" s="1635">
        <f t="shared" si="56"/>
        <v>50771</v>
      </c>
    </row>
    <row r="213" spans="1:8">
      <c r="A213" s="1635">
        <f>A212+31</f>
        <v>50802</v>
      </c>
      <c r="B213" s="1633" t="b">
        <f>ISNA(VLOOKUP(A213,$E$4:$E$13,1,FALSE))</f>
        <v>1</v>
      </c>
      <c r="C213" s="1642">
        <f t="shared" ref="C213:C224" si="57">A213</f>
        <v>50802</v>
      </c>
      <c r="D213" s="1638" t="str">
        <f t="shared" ref="D213:D224" si="58">IF(($P$23-C213)&lt;0,"",($P$23-C213))</f>
        <v/>
      </c>
      <c r="E213" s="1633" t="str">
        <f t="shared" ref="E213:E224" si="59">IF(D213="","",RANK(D213,$D$20:$D$215,1))</f>
        <v/>
      </c>
      <c r="F213" s="1633" t="str">
        <f t="shared" ref="F213:F224" si="60">IF(A213&lt;$L$37,$K$36,IF(A213&lt;$L$38,$K$37,IF(A213&lt;$L$39,$K$38,IF(A213&lt;$L$40,$K$39,IF(A213&lt;$L$41,$K$40,$K$41)))))</f>
        <v/>
      </c>
      <c r="G213" s="1635" t="str">
        <f t="shared" ref="G213:G224" si="61">VLOOKUP(F213,$K$36:$L$41,2,FALSE)</f>
        <v/>
      </c>
      <c r="H213" s="1635">
        <f t="shared" ref="H213:H224" si="62">A213</f>
        <v>50802</v>
      </c>
    </row>
    <row r="214" spans="1:8">
      <c r="A214" s="1635">
        <f>IF(B213=TRUE,(A213+28),(A213+29))</f>
        <v>50830</v>
      </c>
      <c r="C214" s="1642">
        <f t="shared" si="57"/>
        <v>50830</v>
      </c>
      <c r="D214" s="1638" t="str">
        <f t="shared" si="58"/>
        <v/>
      </c>
      <c r="E214" s="1633" t="str">
        <f t="shared" si="59"/>
        <v/>
      </c>
      <c r="F214" s="1633" t="str">
        <f t="shared" si="60"/>
        <v/>
      </c>
      <c r="G214" s="1635" t="str">
        <f t="shared" si="61"/>
        <v/>
      </c>
      <c r="H214" s="1635">
        <f t="shared" si="62"/>
        <v>50830</v>
      </c>
    </row>
    <row r="215" spans="1:8">
      <c r="A215" s="1635">
        <f>A214+31</f>
        <v>50861</v>
      </c>
      <c r="C215" s="1642">
        <f t="shared" si="57"/>
        <v>50861</v>
      </c>
      <c r="D215" s="1638" t="str">
        <f t="shared" si="58"/>
        <v/>
      </c>
      <c r="E215" s="1633" t="str">
        <f t="shared" si="59"/>
        <v/>
      </c>
      <c r="F215" s="1633" t="str">
        <f t="shared" si="60"/>
        <v/>
      </c>
      <c r="G215" s="1635" t="str">
        <f t="shared" si="61"/>
        <v/>
      </c>
      <c r="H215" s="1635">
        <f t="shared" si="62"/>
        <v>50861</v>
      </c>
    </row>
    <row r="216" spans="1:8">
      <c r="A216" s="1635">
        <f>A215+30</f>
        <v>50891</v>
      </c>
      <c r="C216" s="1642">
        <f t="shared" si="57"/>
        <v>50891</v>
      </c>
      <c r="D216" s="1638" t="str">
        <f t="shared" si="58"/>
        <v/>
      </c>
      <c r="E216" s="1633" t="str">
        <f t="shared" si="59"/>
        <v/>
      </c>
      <c r="F216" s="1633" t="str">
        <f t="shared" si="60"/>
        <v/>
      </c>
      <c r="G216" s="1635" t="str">
        <f t="shared" si="61"/>
        <v/>
      </c>
      <c r="H216" s="1635">
        <f t="shared" si="62"/>
        <v>50891</v>
      </c>
    </row>
    <row r="217" spans="1:8">
      <c r="A217" s="1635">
        <f>A216+31</f>
        <v>50922</v>
      </c>
      <c r="C217" s="1642">
        <f t="shared" si="57"/>
        <v>50922</v>
      </c>
      <c r="D217" s="1638" t="str">
        <f t="shared" si="58"/>
        <v/>
      </c>
      <c r="E217" s="1633" t="str">
        <f t="shared" si="59"/>
        <v/>
      </c>
      <c r="F217" s="1633" t="str">
        <f t="shared" si="60"/>
        <v/>
      </c>
      <c r="G217" s="1635" t="str">
        <f t="shared" si="61"/>
        <v/>
      </c>
      <c r="H217" s="1635">
        <f t="shared" si="62"/>
        <v>50922</v>
      </c>
    </row>
    <row r="218" spans="1:8">
      <c r="A218" s="1635">
        <f>A217+30</f>
        <v>50952</v>
      </c>
      <c r="C218" s="1642">
        <f t="shared" si="57"/>
        <v>50952</v>
      </c>
      <c r="D218" s="1638" t="str">
        <f t="shared" si="58"/>
        <v/>
      </c>
      <c r="E218" s="1633" t="str">
        <f t="shared" si="59"/>
        <v/>
      </c>
      <c r="F218" s="1633" t="str">
        <f t="shared" si="60"/>
        <v/>
      </c>
      <c r="G218" s="1635" t="str">
        <f t="shared" si="61"/>
        <v/>
      </c>
      <c r="H218" s="1635">
        <f t="shared" si="62"/>
        <v>50952</v>
      </c>
    </row>
    <row r="219" spans="1:8">
      <c r="A219" s="1635">
        <f>A218+31</f>
        <v>50983</v>
      </c>
      <c r="C219" s="1642">
        <f t="shared" si="57"/>
        <v>50983</v>
      </c>
      <c r="D219" s="1638" t="str">
        <f t="shared" si="58"/>
        <v/>
      </c>
      <c r="E219" s="1633" t="str">
        <f t="shared" si="59"/>
        <v/>
      </c>
      <c r="F219" s="1633" t="str">
        <f t="shared" si="60"/>
        <v/>
      </c>
      <c r="G219" s="1635" t="str">
        <f t="shared" si="61"/>
        <v/>
      </c>
      <c r="H219" s="1635">
        <f t="shared" si="62"/>
        <v>50983</v>
      </c>
    </row>
    <row r="220" spans="1:8">
      <c r="A220" s="1635">
        <f>A219+31</f>
        <v>51014</v>
      </c>
      <c r="C220" s="1642">
        <f t="shared" si="57"/>
        <v>51014</v>
      </c>
      <c r="D220" s="1638" t="str">
        <f t="shared" si="58"/>
        <v/>
      </c>
      <c r="E220" s="1633" t="str">
        <f t="shared" si="59"/>
        <v/>
      </c>
      <c r="F220" s="1633" t="str">
        <f t="shared" si="60"/>
        <v/>
      </c>
      <c r="G220" s="1635" t="str">
        <f t="shared" si="61"/>
        <v/>
      </c>
      <c r="H220" s="1635">
        <f t="shared" si="62"/>
        <v>51014</v>
      </c>
    </row>
    <row r="221" spans="1:8">
      <c r="A221" s="1635">
        <f>A220+30</f>
        <v>51044</v>
      </c>
      <c r="C221" s="1642">
        <f t="shared" si="57"/>
        <v>51044</v>
      </c>
      <c r="D221" s="1638" t="str">
        <f t="shared" si="58"/>
        <v/>
      </c>
      <c r="E221" s="1633" t="str">
        <f t="shared" si="59"/>
        <v/>
      </c>
      <c r="F221" s="1633" t="str">
        <f t="shared" si="60"/>
        <v/>
      </c>
      <c r="G221" s="1635" t="str">
        <f t="shared" si="61"/>
        <v/>
      </c>
      <c r="H221" s="1635">
        <f t="shared" si="62"/>
        <v>51044</v>
      </c>
    </row>
    <row r="222" spans="1:8">
      <c r="A222" s="1635">
        <f>A221+31</f>
        <v>51075</v>
      </c>
      <c r="C222" s="1642">
        <f t="shared" si="57"/>
        <v>51075</v>
      </c>
      <c r="D222" s="1638" t="str">
        <f t="shared" si="58"/>
        <v/>
      </c>
      <c r="E222" s="1633" t="str">
        <f t="shared" si="59"/>
        <v/>
      </c>
      <c r="F222" s="1633" t="str">
        <f t="shared" si="60"/>
        <v/>
      </c>
      <c r="G222" s="1635" t="str">
        <f t="shared" si="61"/>
        <v/>
      </c>
      <c r="H222" s="1635">
        <f t="shared" si="62"/>
        <v>51075</v>
      </c>
    </row>
    <row r="223" spans="1:8">
      <c r="A223" s="1635">
        <f>A222+30</f>
        <v>51105</v>
      </c>
      <c r="C223" s="1642">
        <f t="shared" si="57"/>
        <v>51105</v>
      </c>
      <c r="D223" s="1638" t="str">
        <f t="shared" si="58"/>
        <v/>
      </c>
      <c r="E223" s="1633" t="str">
        <f t="shared" si="59"/>
        <v/>
      </c>
      <c r="F223" s="1633" t="str">
        <f t="shared" si="60"/>
        <v/>
      </c>
      <c r="G223" s="1635" t="str">
        <f t="shared" si="61"/>
        <v/>
      </c>
      <c r="H223" s="1635">
        <f t="shared" si="62"/>
        <v>51105</v>
      </c>
    </row>
    <row r="224" spans="1:8">
      <c r="A224" s="1635">
        <f>A223+31</f>
        <v>51136</v>
      </c>
      <c r="C224" s="1642">
        <f t="shared" si="57"/>
        <v>51136</v>
      </c>
      <c r="D224" s="1638" t="str">
        <f t="shared" si="58"/>
        <v/>
      </c>
      <c r="E224" s="1633" t="str">
        <f t="shared" si="59"/>
        <v/>
      </c>
      <c r="F224" s="1633" t="str">
        <f t="shared" si="60"/>
        <v/>
      </c>
      <c r="G224" s="1635" t="str">
        <f t="shared" si="61"/>
        <v/>
      </c>
      <c r="H224" s="1635">
        <f t="shared" si="62"/>
        <v>51136</v>
      </c>
    </row>
    <row r="225" spans="1:8">
      <c r="A225" s="1635">
        <f>A224+31</f>
        <v>51167</v>
      </c>
      <c r="B225" s="1633" t="b">
        <f>ISNA(VLOOKUP(A225,$E$4:$E$13,1,FALSE))</f>
        <v>0</v>
      </c>
      <c r="C225" s="1642">
        <f t="shared" ref="C225:C287" si="63">A225</f>
        <v>51167</v>
      </c>
      <c r="D225" s="1638" t="str">
        <f t="shared" ref="D225:D287" si="64">IF(($P$23-C225)&lt;0,"",($P$23-C225))</f>
        <v/>
      </c>
      <c r="E225" s="1633" t="str">
        <f t="shared" ref="E225:E287" si="65">IF(D225="","",RANK(D225,$D$20:$D$215,1))</f>
        <v/>
      </c>
      <c r="F225" s="1633" t="str">
        <f t="shared" ref="F225:F287" si="66">IF(A225&lt;$L$37,$K$36,IF(A225&lt;$L$38,$K$37,IF(A225&lt;$L$39,$K$38,IF(A225&lt;$L$40,$K$39,IF(A225&lt;$L$41,$K$40,$K$41)))))</f>
        <v/>
      </c>
      <c r="G225" s="1635" t="str">
        <f t="shared" ref="G225:G287" si="67">VLOOKUP(F225,$K$36:$L$41,2,FALSE)</f>
        <v/>
      </c>
      <c r="H225" s="1635">
        <f t="shared" ref="H225:H287" si="68">A225</f>
        <v>51167</v>
      </c>
    </row>
    <row r="226" spans="1:8">
      <c r="A226" s="1635">
        <f>IF(B225=TRUE,(A225+28),(A225+29))</f>
        <v>51196</v>
      </c>
      <c r="C226" s="1642">
        <f t="shared" si="63"/>
        <v>51196</v>
      </c>
      <c r="D226" s="1638" t="str">
        <f t="shared" si="64"/>
        <v/>
      </c>
      <c r="E226" s="1633" t="str">
        <f t="shared" si="65"/>
        <v/>
      </c>
      <c r="F226" s="1633" t="str">
        <f t="shared" si="66"/>
        <v/>
      </c>
      <c r="G226" s="1635" t="str">
        <f t="shared" si="67"/>
        <v/>
      </c>
      <c r="H226" s="1635">
        <f t="shared" si="68"/>
        <v>51196</v>
      </c>
    </row>
    <row r="227" spans="1:8">
      <c r="A227" s="1635">
        <f>A226+31</f>
        <v>51227</v>
      </c>
      <c r="C227" s="1642">
        <f t="shared" si="63"/>
        <v>51227</v>
      </c>
      <c r="D227" s="1638" t="str">
        <f t="shared" si="64"/>
        <v/>
      </c>
      <c r="E227" s="1633" t="str">
        <f t="shared" si="65"/>
        <v/>
      </c>
      <c r="F227" s="1633" t="str">
        <f t="shared" si="66"/>
        <v/>
      </c>
      <c r="G227" s="1635" t="str">
        <f t="shared" si="67"/>
        <v/>
      </c>
      <c r="H227" s="1635">
        <f t="shared" si="68"/>
        <v>51227</v>
      </c>
    </row>
    <row r="228" spans="1:8">
      <c r="A228" s="1635">
        <f>A227+30</f>
        <v>51257</v>
      </c>
      <c r="C228" s="1642">
        <f t="shared" si="63"/>
        <v>51257</v>
      </c>
      <c r="D228" s="1638" t="str">
        <f t="shared" si="64"/>
        <v/>
      </c>
      <c r="E228" s="1633" t="str">
        <f t="shared" si="65"/>
        <v/>
      </c>
      <c r="F228" s="1633" t="str">
        <f t="shared" si="66"/>
        <v/>
      </c>
      <c r="G228" s="1635" t="str">
        <f t="shared" si="67"/>
        <v/>
      </c>
      <c r="H228" s="1635">
        <f t="shared" si="68"/>
        <v>51257</v>
      </c>
    </row>
    <row r="229" spans="1:8">
      <c r="A229" s="1635">
        <f>A228+31</f>
        <v>51288</v>
      </c>
      <c r="C229" s="1642">
        <f t="shared" si="63"/>
        <v>51288</v>
      </c>
      <c r="D229" s="1638" t="str">
        <f t="shared" si="64"/>
        <v/>
      </c>
      <c r="E229" s="1633" t="str">
        <f t="shared" si="65"/>
        <v/>
      </c>
      <c r="F229" s="1633" t="str">
        <f t="shared" si="66"/>
        <v/>
      </c>
      <c r="G229" s="1635" t="str">
        <f t="shared" si="67"/>
        <v/>
      </c>
      <c r="H229" s="1635">
        <f t="shared" si="68"/>
        <v>51288</v>
      </c>
    </row>
    <row r="230" spans="1:8">
      <c r="A230" s="1635">
        <f>A229+30</f>
        <v>51318</v>
      </c>
      <c r="C230" s="1642">
        <f t="shared" si="63"/>
        <v>51318</v>
      </c>
      <c r="D230" s="1638" t="str">
        <f t="shared" si="64"/>
        <v/>
      </c>
      <c r="E230" s="1633" t="str">
        <f t="shared" si="65"/>
        <v/>
      </c>
      <c r="F230" s="1633" t="str">
        <f t="shared" si="66"/>
        <v/>
      </c>
      <c r="G230" s="1635" t="str">
        <f t="shared" si="67"/>
        <v/>
      </c>
      <c r="H230" s="1635">
        <f t="shared" si="68"/>
        <v>51318</v>
      </c>
    </row>
    <row r="231" spans="1:8">
      <c r="A231" s="1635">
        <f>A230+31</f>
        <v>51349</v>
      </c>
      <c r="C231" s="1642">
        <f t="shared" si="63"/>
        <v>51349</v>
      </c>
      <c r="D231" s="1638" t="str">
        <f t="shared" si="64"/>
        <v/>
      </c>
      <c r="E231" s="1633" t="str">
        <f t="shared" si="65"/>
        <v/>
      </c>
      <c r="F231" s="1633" t="str">
        <f t="shared" si="66"/>
        <v/>
      </c>
      <c r="G231" s="1635" t="str">
        <f t="shared" si="67"/>
        <v/>
      </c>
      <c r="H231" s="1635">
        <f t="shared" si="68"/>
        <v>51349</v>
      </c>
    </row>
    <row r="232" spans="1:8">
      <c r="A232" s="1635">
        <f>A231+31</f>
        <v>51380</v>
      </c>
      <c r="C232" s="1642">
        <f t="shared" si="63"/>
        <v>51380</v>
      </c>
      <c r="D232" s="1638" t="str">
        <f t="shared" si="64"/>
        <v/>
      </c>
      <c r="E232" s="1633" t="str">
        <f t="shared" si="65"/>
        <v/>
      </c>
      <c r="F232" s="1633" t="str">
        <f t="shared" si="66"/>
        <v/>
      </c>
      <c r="G232" s="1635" t="str">
        <f t="shared" si="67"/>
        <v/>
      </c>
      <c r="H232" s="1635">
        <f t="shared" si="68"/>
        <v>51380</v>
      </c>
    </row>
    <row r="233" spans="1:8">
      <c r="A233" s="1635">
        <f>A232+30</f>
        <v>51410</v>
      </c>
      <c r="C233" s="1642">
        <f t="shared" si="63"/>
        <v>51410</v>
      </c>
      <c r="D233" s="1638" t="str">
        <f t="shared" si="64"/>
        <v/>
      </c>
      <c r="E233" s="1633" t="str">
        <f t="shared" si="65"/>
        <v/>
      </c>
      <c r="F233" s="1633" t="str">
        <f t="shared" si="66"/>
        <v/>
      </c>
      <c r="G233" s="1635" t="str">
        <f t="shared" si="67"/>
        <v/>
      </c>
      <c r="H233" s="1635">
        <f t="shared" si="68"/>
        <v>51410</v>
      </c>
    </row>
    <row r="234" spans="1:8">
      <c r="A234" s="1635">
        <f>A233+31</f>
        <v>51441</v>
      </c>
      <c r="C234" s="1642">
        <f t="shared" si="63"/>
        <v>51441</v>
      </c>
      <c r="D234" s="1638" t="str">
        <f t="shared" si="64"/>
        <v/>
      </c>
      <c r="E234" s="1633" t="str">
        <f t="shared" si="65"/>
        <v/>
      </c>
      <c r="F234" s="1633" t="str">
        <f t="shared" si="66"/>
        <v/>
      </c>
      <c r="G234" s="1635" t="str">
        <f t="shared" si="67"/>
        <v/>
      </c>
      <c r="H234" s="1635">
        <f t="shared" si="68"/>
        <v>51441</v>
      </c>
    </row>
    <row r="235" spans="1:8">
      <c r="A235" s="1635">
        <f>A234+30</f>
        <v>51471</v>
      </c>
      <c r="C235" s="1642">
        <f t="shared" si="63"/>
        <v>51471</v>
      </c>
      <c r="D235" s="1638" t="str">
        <f t="shared" si="64"/>
        <v/>
      </c>
      <c r="E235" s="1633" t="str">
        <f t="shared" si="65"/>
        <v/>
      </c>
      <c r="F235" s="1633" t="str">
        <f t="shared" si="66"/>
        <v/>
      </c>
      <c r="G235" s="1635" t="str">
        <f t="shared" si="67"/>
        <v/>
      </c>
      <c r="H235" s="1635">
        <f t="shared" si="68"/>
        <v>51471</v>
      </c>
    </row>
    <row r="236" spans="1:8">
      <c r="A236" s="1635">
        <f>A235+31</f>
        <v>51502</v>
      </c>
      <c r="C236" s="1642">
        <f t="shared" si="63"/>
        <v>51502</v>
      </c>
      <c r="D236" s="1638" t="str">
        <f t="shared" si="64"/>
        <v/>
      </c>
      <c r="E236" s="1633" t="str">
        <f t="shared" si="65"/>
        <v/>
      </c>
      <c r="F236" s="1633" t="str">
        <f t="shared" si="66"/>
        <v/>
      </c>
      <c r="G236" s="1635" t="str">
        <f t="shared" si="67"/>
        <v/>
      </c>
      <c r="H236" s="1635">
        <f t="shared" si="68"/>
        <v>51502</v>
      </c>
    </row>
    <row r="237" spans="1:8">
      <c r="A237" s="1635">
        <f>A236+31</f>
        <v>51533</v>
      </c>
      <c r="B237" s="1633" t="b">
        <f>ISNA(VLOOKUP(A237,$E$4:$E$13,1,FALSE))</f>
        <v>1</v>
      </c>
      <c r="C237" s="1642">
        <f t="shared" si="63"/>
        <v>51533</v>
      </c>
      <c r="D237" s="1638" t="str">
        <f t="shared" si="64"/>
        <v/>
      </c>
      <c r="E237" s="1633" t="str">
        <f t="shared" si="65"/>
        <v/>
      </c>
      <c r="F237" s="1633" t="str">
        <f t="shared" si="66"/>
        <v/>
      </c>
      <c r="G237" s="1635" t="str">
        <f t="shared" si="67"/>
        <v/>
      </c>
      <c r="H237" s="1635">
        <f t="shared" si="68"/>
        <v>51533</v>
      </c>
    </row>
    <row r="238" spans="1:8">
      <c r="A238" s="1635">
        <f>IF(B237=TRUE,(A237+28),(A237+29))</f>
        <v>51561</v>
      </c>
      <c r="C238" s="1642">
        <f t="shared" si="63"/>
        <v>51561</v>
      </c>
      <c r="D238" s="1638" t="str">
        <f t="shared" si="64"/>
        <v/>
      </c>
      <c r="E238" s="1633" t="str">
        <f t="shared" si="65"/>
        <v/>
      </c>
      <c r="F238" s="1633" t="str">
        <f t="shared" si="66"/>
        <v/>
      </c>
      <c r="G238" s="1635" t="str">
        <f t="shared" si="67"/>
        <v/>
      </c>
      <c r="H238" s="1635">
        <f t="shared" si="68"/>
        <v>51561</v>
      </c>
    </row>
    <row r="239" spans="1:8">
      <c r="A239" s="1635">
        <f>A238+31</f>
        <v>51592</v>
      </c>
      <c r="C239" s="1642">
        <f t="shared" si="63"/>
        <v>51592</v>
      </c>
      <c r="D239" s="1638" t="str">
        <f t="shared" si="64"/>
        <v/>
      </c>
      <c r="E239" s="1633" t="str">
        <f t="shared" si="65"/>
        <v/>
      </c>
      <c r="F239" s="1633" t="str">
        <f t="shared" si="66"/>
        <v/>
      </c>
      <c r="G239" s="1635" t="str">
        <f t="shared" si="67"/>
        <v/>
      </c>
      <c r="H239" s="1635">
        <f t="shared" si="68"/>
        <v>51592</v>
      </c>
    </row>
    <row r="240" spans="1:8">
      <c r="A240" s="1635">
        <f>A239+30</f>
        <v>51622</v>
      </c>
      <c r="C240" s="1642">
        <f t="shared" si="63"/>
        <v>51622</v>
      </c>
      <c r="D240" s="1638" t="str">
        <f t="shared" si="64"/>
        <v/>
      </c>
      <c r="E240" s="1633" t="str">
        <f t="shared" si="65"/>
        <v/>
      </c>
      <c r="F240" s="1633" t="str">
        <f t="shared" si="66"/>
        <v/>
      </c>
      <c r="G240" s="1635" t="str">
        <f t="shared" si="67"/>
        <v/>
      </c>
      <c r="H240" s="1635">
        <f t="shared" si="68"/>
        <v>51622</v>
      </c>
    </row>
    <row r="241" spans="1:8">
      <c r="A241" s="1635">
        <f>A240+31</f>
        <v>51653</v>
      </c>
      <c r="C241" s="1642">
        <f t="shared" si="63"/>
        <v>51653</v>
      </c>
      <c r="D241" s="1638" t="str">
        <f t="shared" si="64"/>
        <v/>
      </c>
      <c r="E241" s="1633" t="str">
        <f t="shared" si="65"/>
        <v/>
      </c>
      <c r="F241" s="1633" t="str">
        <f t="shared" si="66"/>
        <v/>
      </c>
      <c r="G241" s="1635" t="str">
        <f t="shared" si="67"/>
        <v/>
      </c>
      <c r="H241" s="1635">
        <f t="shared" si="68"/>
        <v>51653</v>
      </c>
    </row>
    <row r="242" spans="1:8">
      <c r="A242" s="1635">
        <f>A241+30</f>
        <v>51683</v>
      </c>
      <c r="C242" s="1642">
        <f t="shared" si="63"/>
        <v>51683</v>
      </c>
      <c r="D242" s="1638" t="str">
        <f t="shared" si="64"/>
        <v/>
      </c>
      <c r="E242" s="1633" t="str">
        <f t="shared" si="65"/>
        <v/>
      </c>
      <c r="F242" s="1633" t="str">
        <f t="shared" si="66"/>
        <v/>
      </c>
      <c r="G242" s="1635" t="str">
        <f t="shared" si="67"/>
        <v/>
      </c>
      <c r="H242" s="1635">
        <f t="shared" si="68"/>
        <v>51683</v>
      </c>
    </row>
    <row r="243" spans="1:8">
      <c r="A243" s="1635">
        <f>A242+31</f>
        <v>51714</v>
      </c>
      <c r="C243" s="1642">
        <f t="shared" si="63"/>
        <v>51714</v>
      </c>
      <c r="D243" s="1638" t="str">
        <f t="shared" si="64"/>
        <v/>
      </c>
      <c r="E243" s="1633" t="str">
        <f t="shared" si="65"/>
        <v/>
      </c>
      <c r="F243" s="1633" t="str">
        <f t="shared" si="66"/>
        <v/>
      </c>
      <c r="G243" s="1635" t="str">
        <f t="shared" si="67"/>
        <v/>
      </c>
      <c r="H243" s="1635">
        <f t="shared" si="68"/>
        <v>51714</v>
      </c>
    </row>
    <row r="244" spans="1:8">
      <c r="A244" s="1635">
        <f>A243+31</f>
        <v>51745</v>
      </c>
      <c r="C244" s="1642">
        <f t="shared" si="63"/>
        <v>51745</v>
      </c>
      <c r="D244" s="1638" t="str">
        <f t="shared" si="64"/>
        <v/>
      </c>
      <c r="E244" s="1633" t="str">
        <f t="shared" si="65"/>
        <v/>
      </c>
      <c r="F244" s="1633" t="str">
        <f t="shared" si="66"/>
        <v/>
      </c>
      <c r="G244" s="1635" t="str">
        <f t="shared" si="67"/>
        <v/>
      </c>
      <c r="H244" s="1635">
        <f t="shared" si="68"/>
        <v>51745</v>
      </c>
    </row>
    <row r="245" spans="1:8">
      <c r="A245" s="1635">
        <f>A244+30</f>
        <v>51775</v>
      </c>
      <c r="C245" s="1642">
        <f t="shared" si="63"/>
        <v>51775</v>
      </c>
      <c r="D245" s="1638" t="str">
        <f t="shared" si="64"/>
        <v/>
      </c>
      <c r="E245" s="1633" t="str">
        <f t="shared" si="65"/>
        <v/>
      </c>
      <c r="F245" s="1633" t="str">
        <f t="shared" si="66"/>
        <v/>
      </c>
      <c r="G245" s="1635" t="str">
        <f t="shared" si="67"/>
        <v/>
      </c>
      <c r="H245" s="1635">
        <f t="shared" si="68"/>
        <v>51775</v>
      </c>
    </row>
    <row r="246" spans="1:8">
      <c r="A246" s="1635">
        <f>A245+31</f>
        <v>51806</v>
      </c>
      <c r="C246" s="1642">
        <f t="shared" si="63"/>
        <v>51806</v>
      </c>
      <c r="D246" s="1638" t="str">
        <f t="shared" si="64"/>
        <v/>
      </c>
      <c r="E246" s="1633" t="str">
        <f t="shared" si="65"/>
        <v/>
      </c>
      <c r="F246" s="1633" t="str">
        <f t="shared" si="66"/>
        <v/>
      </c>
      <c r="G246" s="1635" t="str">
        <f t="shared" si="67"/>
        <v/>
      </c>
      <c r="H246" s="1635">
        <f t="shared" si="68"/>
        <v>51806</v>
      </c>
    </row>
    <row r="247" spans="1:8">
      <c r="A247" s="1635">
        <f>A246+30</f>
        <v>51836</v>
      </c>
      <c r="C247" s="1642">
        <f t="shared" si="63"/>
        <v>51836</v>
      </c>
      <c r="D247" s="1638" t="str">
        <f t="shared" si="64"/>
        <v/>
      </c>
      <c r="E247" s="1633" t="str">
        <f t="shared" si="65"/>
        <v/>
      </c>
      <c r="F247" s="1633" t="str">
        <f t="shared" si="66"/>
        <v/>
      </c>
      <c r="G247" s="1635" t="str">
        <f t="shared" si="67"/>
        <v/>
      </c>
      <c r="H247" s="1635">
        <f t="shared" si="68"/>
        <v>51836</v>
      </c>
    </row>
    <row r="248" spans="1:8">
      <c r="A248" s="1635">
        <f>A247+31</f>
        <v>51867</v>
      </c>
      <c r="C248" s="1642">
        <f t="shared" si="63"/>
        <v>51867</v>
      </c>
      <c r="D248" s="1638" t="str">
        <f t="shared" si="64"/>
        <v/>
      </c>
      <c r="E248" s="1633" t="str">
        <f t="shared" si="65"/>
        <v/>
      </c>
      <c r="F248" s="1633" t="str">
        <f t="shared" si="66"/>
        <v/>
      </c>
      <c r="G248" s="1635" t="str">
        <f t="shared" si="67"/>
        <v/>
      </c>
      <c r="H248" s="1635">
        <f t="shared" si="68"/>
        <v>51867</v>
      </c>
    </row>
    <row r="249" spans="1:8">
      <c r="A249" s="1635">
        <f>A248+31</f>
        <v>51898</v>
      </c>
      <c r="B249" s="1633" t="b">
        <f>ISNA(VLOOKUP(A249,$E$4:$E$13,1,FALSE))</f>
        <v>1</v>
      </c>
      <c r="C249" s="1642">
        <f t="shared" si="63"/>
        <v>51898</v>
      </c>
      <c r="D249" s="1638" t="str">
        <f t="shared" si="64"/>
        <v/>
      </c>
      <c r="E249" s="1633" t="str">
        <f t="shared" si="65"/>
        <v/>
      </c>
      <c r="F249" s="1633" t="str">
        <f t="shared" si="66"/>
        <v/>
      </c>
      <c r="G249" s="1635" t="str">
        <f t="shared" si="67"/>
        <v/>
      </c>
      <c r="H249" s="1635">
        <f t="shared" si="68"/>
        <v>51898</v>
      </c>
    </row>
    <row r="250" spans="1:8">
      <c r="A250" s="1635">
        <f>IF(B249=TRUE,(A249+28),(A249+29))</f>
        <v>51926</v>
      </c>
      <c r="C250" s="1642">
        <f t="shared" si="63"/>
        <v>51926</v>
      </c>
      <c r="D250" s="1638" t="str">
        <f t="shared" si="64"/>
        <v/>
      </c>
      <c r="E250" s="1633" t="str">
        <f t="shared" si="65"/>
        <v/>
      </c>
      <c r="F250" s="1633" t="str">
        <f t="shared" si="66"/>
        <v/>
      </c>
      <c r="G250" s="1635" t="str">
        <f t="shared" si="67"/>
        <v/>
      </c>
      <c r="H250" s="1635">
        <f t="shared" si="68"/>
        <v>51926</v>
      </c>
    </row>
    <row r="251" spans="1:8">
      <c r="A251" s="1635">
        <f>A250+31</f>
        <v>51957</v>
      </c>
      <c r="C251" s="1642">
        <f t="shared" si="63"/>
        <v>51957</v>
      </c>
      <c r="D251" s="1638" t="str">
        <f t="shared" si="64"/>
        <v/>
      </c>
      <c r="E251" s="1633" t="str">
        <f t="shared" si="65"/>
        <v/>
      </c>
      <c r="F251" s="1633" t="str">
        <f t="shared" si="66"/>
        <v/>
      </c>
      <c r="G251" s="1635" t="str">
        <f t="shared" si="67"/>
        <v/>
      </c>
      <c r="H251" s="1635">
        <f t="shared" si="68"/>
        <v>51957</v>
      </c>
    </row>
    <row r="252" spans="1:8">
      <c r="A252" s="1635">
        <f>A251+30</f>
        <v>51987</v>
      </c>
      <c r="C252" s="1642">
        <f t="shared" si="63"/>
        <v>51987</v>
      </c>
      <c r="D252" s="1638" t="str">
        <f t="shared" si="64"/>
        <v/>
      </c>
      <c r="E252" s="1633" t="str">
        <f t="shared" si="65"/>
        <v/>
      </c>
      <c r="F252" s="1633" t="str">
        <f t="shared" si="66"/>
        <v/>
      </c>
      <c r="G252" s="1635" t="str">
        <f t="shared" si="67"/>
        <v/>
      </c>
      <c r="H252" s="1635">
        <f t="shared" si="68"/>
        <v>51987</v>
      </c>
    </row>
    <row r="253" spans="1:8">
      <c r="A253" s="1635">
        <f>A252+31</f>
        <v>52018</v>
      </c>
      <c r="C253" s="1642">
        <f t="shared" si="63"/>
        <v>52018</v>
      </c>
      <c r="D253" s="1638" t="str">
        <f t="shared" si="64"/>
        <v/>
      </c>
      <c r="E253" s="1633" t="str">
        <f t="shared" si="65"/>
        <v/>
      </c>
      <c r="F253" s="1633" t="str">
        <f t="shared" si="66"/>
        <v/>
      </c>
      <c r="G253" s="1635" t="str">
        <f t="shared" si="67"/>
        <v/>
      </c>
      <c r="H253" s="1635">
        <f t="shared" si="68"/>
        <v>52018</v>
      </c>
    </row>
    <row r="254" spans="1:8">
      <c r="A254" s="1635">
        <f>A253+30</f>
        <v>52048</v>
      </c>
      <c r="C254" s="1642">
        <f t="shared" si="63"/>
        <v>52048</v>
      </c>
      <c r="D254" s="1638" t="str">
        <f t="shared" si="64"/>
        <v/>
      </c>
      <c r="E254" s="1633" t="str">
        <f t="shared" si="65"/>
        <v/>
      </c>
      <c r="F254" s="1633" t="str">
        <f t="shared" si="66"/>
        <v/>
      </c>
      <c r="G254" s="1635" t="str">
        <f t="shared" si="67"/>
        <v/>
      </c>
      <c r="H254" s="1635">
        <f t="shared" si="68"/>
        <v>52048</v>
      </c>
    </row>
    <row r="255" spans="1:8">
      <c r="A255" s="1635">
        <f>A254+31</f>
        <v>52079</v>
      </c>
      <c r="C255" s="1642">
        <f t="shared" si="63"/>
        <v>52079</v>
      </c>
      <c r="D255" s="1638" t="str">
        <f t="shared" si="64"/>
        <v/>
      </c>
      <c r="E255" s="1633" t="str">
        <f t="shared" si="65"/>
        <v/>
      </c>
      <c r="F255" s="1633" t="str">
        <f t="shared" si="66"/>
        <v/>
      </c>
      <c r="G255" s="1635" t="str">
        <f t="shared" si="67"/>
        <v/>
      </c>
      <c r="H255" s="1635">
        <f t="shared" si="68"/>
        <v>52079</v>
      </c>
    </row>
    <row r="256" spans="1:8">
      <c r="A256" s="1635">
        <f>A255+31</f>
        <v>52110</v>
      </c>
      <c r="C256" s="1642">
        <f t="shared" si="63"/>
        <v>52110</v>
      </c>
      <c r="D256" s="1638" t="str">
        <f t="shared" si="64"/>
        <v/>
      </c>
      <c r="E256" s="1633" t="str">
        <f t="shared" si="65"/>
        <v/>
      </c>
      <c r="F256" s="1633" t="str">
        <f t="shared" si="66"/>
        <v/>
      </c>
      <c r="G256" s="1635" t="str">
        <f t="shared" si="67"/>
        <v/>
      </c>
      <c r="H256" s="1635">
        <f t="shared" si="68"/>
        <v>52110</v>
      </c>
    </row>
    <row r="257" spans="1:8">
      <c r="A257" s="1635">
        <f>A256+30</f>
        <v>52140</v>
      </c>
      <c r="C257" s="1642">
        <f t="shared" si="63"/>
        <v>52140</v>
      </c>
      <c r="D257" s="1638" t="str">
        <f t="shared" si="64"/>
        <v/>
      </c>
      <c r="E257" s="1633" t="str">
        <f t="shared" si="65"/>
        <v/>
      </c>
      <c r="F257" s="1633" t="str">
        <f t="shared" si="66"/>
        <v/>
      </c>
      <c r="G257" s="1635" t="str">
        <f t="shared" si="67"/>
        <v/>
      </c>
      <c r="H257" s="1635">
        <f t="shared" si="68"/>
        <v>52140</v>
      </c>
    </row>
    <row r="258" spans="1:8">
      <c r="A258" s="1635">
        <f>A257+31</f>
        <v>52171</v>
      </c>
      <c r="C258" s="1642">
        <f t="shared" si="63"/>
        <v>52171</v>
      </c>
      <c r="D258" s="1638" t="str">
        <f t="shared" si="64"/>
        <v/>
      </c>
      <c r="E258" s="1633" t="str">
        <f t="shared" si="65"/>
        <v/>
      </c>
      <c r="F258" s="1633" t="str">
        <f t="shared" si="66"/>
        <v/>
      </c>
      <c r="G258" s="1635" t="str">
        <f t="shared" si="67"/>
        <v/>
      </c>
      <c r="H258" s="1635">
        <f t="shared" si="68"/>
        <v>52171</v>
      </c>
    </row>
    <row r="259" spans="1:8">
      <c r="A259" s="1635">
        <f>A258+30</f>
        <v>52201</v>
      </c>
      <c r="C259" s="1642">
        <f t="shared" si="63"/>
        <v>52201</v>
      </c>
      <c r="D259" s="1638" t="str">
        <f t="shared" si="64"/>
        <v/>
      </c>
      <c r="E259" s="1633" t="str">
        <f t="shared" si="65"/>
        <v/>
      </c>
      <c r="F259" s="1633" t="str">
        <f t="shared" si="66"/>
        <v/>
      </c>
      <c r="G259" s="1635" t="str">
        <f t="shared" si="67"/>
        <v/>
      </c>
      <c r="H259" s="1635">
        <f t="shared" si="68"/>
        <v>52201</v>
      </c>
    </row>
    <row r="260" spans="1:8">
      <c r="A260" s="1635">
        <f>A259+31</f>
        <v>52232</v>
      </c>
      <c r="C260" s="1642">
        <f t="shared" si="63"/>
        <v>52232</v>
      </c>
      <c r="D260" s="1638" t="str">
        <f t="shared" si="64"/>
        <v/>
      </c>
      <c r="E260" s="1633" t="str">
        <f t="shared" si="65"/>
        <v/>
      </c>
      <c r="F260" s="1633" t="str">
        <f t="shared" si="66"/>
        <v/>
      </c>
      <c r="G260" s="1635" t="str">
        <f t="shared" si="67"/>
        <v/>
      </c>
      <c r="H260" s="1635">
        <f t="shared" si="68"/>
        <v>52232</v>
      </c>
    </row>
    <row r="261" spans="1:8">
      <c r="A261" s="1635">
        <f>A260+31</f>
        <v>52263</v>
      </c>
      <c r="B261" s="1633" t="b">
        <f>ISNA(VLOOKUP(A261,$E$4:$E$13,1,FALSE))</f>
        <v>1</v>
      </c>
      <c r="C261" s="1642">
        <f t="shared" si="63"/>
        <v>52263</v>
      </c>
      <c r="D261" s="1638" t="str">
        <f t="shared" si="64"/>
        <v/>
      </c>
      <c r="E261" s="1633" t="str">
        <f t="shared" si="65"/>
        <v/>
      </c>
      <c r="F261" s="1633" t="str">
        <f t="shared" si="66"/>
        <v/>
      </c>
      <c r="G261" s="1635" t="str">
        <f t="shared" si="67"/>
        <v/>
      </c>
      <c r="H261" s="1635">
        <f t="shared" si="68"/>
        <v>52263</v>
      </c>
    </row>
    <row r="262" spans="1:8">
      <c r="A262" s="1635">
        <f>IF(B261=TRUE,(A261+28),(A261+29))</f>
        <v>52291</v>
      </c>
      <c r="C262" s="1642">
        <f t="shared" si="63"/>
        <v>52291</v>
      </c>
      <c r="D262" s="1638" t="str">
        <f t="shared" si="64"/>
        <v/>
      </c>
      <c r="E262" s="1633" t="str">
        <f t="shared" si="65"/>
        <v/>
      </c>
      <c r="F262" s="1633" t="str">
        <f t="shared" si="66"/>
        <v/>
      </c>
      <c r="G262" s="1635" t="str">
        <f t="shared" si="67"/>
        <v/>
      </c>
      <c r="H262" s="1635">
        <f t="shared" si="68"/>
        <v>52291</v>
      </c>
    </row>
    <row r="263" spans="1:8">
      <c r="A263" s="1635">
        <f>A262+31</f>
        <v>52322</v>
      </c>
      <c r="C263" s="1642">
        <f t="shared" si="63"/>
        <v>52322</v>
      </c>
      <c r="D263" s="1638" t="str">
        <f t="shared" si="64"/>
        <v/>
      </c>
      <c r="E263" s="1633" t="str">
        <f t="shared" si="65"/>
        <v/>
      </c>
      <c r="F263" s="1633" t="str">
        <f t="shared" si="66"/>
        <v/>
      </c>
      <c r="G263" s="1635" t="str">
        <f t="shared" si="67"/>
        <v/>
      </c>
      <c r="H263" s="1635">
        <f t="shared" si="68"/>
        <v>52322</v>
      </c>
    </row>
    <row r="264" spans="1:8">
      <c r="A264" s="1635">
        <f>A263+30</f>
        <v>52352</v>
      </c>
      <c r="C264" s="1642">
        <f t="shared" si="63"/>
        <v>52352</v>
      </c>
      <c r="D264" s="1638" t="str">
        <f t="shared" si="64"/>
        <v/>
      </c>
      <c r="E264" s="1633" t="str">
        <f t="shared" si="65"/>
        <v/>
      </c>
      <c r="F264" s="1633" t="str">
        <f t="shared" si="66"/>
        <v/>
      </c>
      <c r="G264" s="1635" t="str">
        <f t="shared" si="67"/>
        <v/>
      </c>
      <c r="H264" s="1635">
        <f t="shared" si="68"/>
        <v>52352</v>
      </c>
    </row>
    <row r="265" spans="1:8">
      <c r="A265" s="1635">
        <f>A264+31</f>
        <v>52383</v>
      </c>
      <c r="C265" s="1642">
        <f t="shared" si="63"/>
        <v>52383</v>
      </c>
      <c r="D265" s="1638" t="str">
        <f t="shared" si="64"/>
        <v/>
      </c>
      <c r="E265" s="1633" t="str">
        <f t="shared" si="65"/>
        <v/>
      </c>
      <c r="F265" s="1633" t="str">
        <f t="shared" si="66"/>
        <v/>
      </c>
      <c r="G265" s="1635" t="str">
        <f t="shared" si="67"/>
        <v/>
      </c>
      <c r="H265" s="1635">
        <f t="shared" si="68"/>
        <v>52383</v>
      </c>
    </row>
    <row r="266" spans="1:8">
      <c r="A266" s="1635">
        <f>A265+30</f>
        <v>52413</v>
      </c>
      <c r="C266" s="1642">
        <f t="shared" si="63"/>
        <v>52413</v>
      </c>
      <c r="D266" s="1638" t="str">
        <f t="shared" si="64"/>
        <v/>
      </c>
      <c r="E266" s="1633" t="str">
        <f t="shared" si="65"/>
        <v/>
      </c>
      <c r="F266" s="1633" t="str">
        <f t="shared" si="66"/>
        <v/>
      </c>
      <c r="G266" s="1635" t="str">
        <f t="shared" si="67"/>
        <v/>
      </c>
      <c r="H266" s="1635">
        <f t="shared" si="68"/>
        <v>52413</v>
      </c>
    </row>
    <row r="267" spans="1:8">
      <c r="A267" s="1635">
        <f>A266+31</f>
        <v>52444</v>
      </c>
      <c r="C267" s="1642">
        <f t="shared" si="63"/>
        <v>52444</v>
      </c>
      <c r="D267" s="1638" t="str">
        <f t="shared" si="64"/>
        <v/>
      </c>
      <c r="E267" s="1633" t="str">
        <f t="shared" si="65"/>
        <v/>
      </c>
      <c r="F267" s="1633" t="str">
        <f t="shared" si="66"/>
        <v/>
      </c>
      <c r="G267" s="1635" t="str">
        <f t="shared" si="67"/>
        <v/>
      </c>
      <c r="H267" s="1635">
        <f t="shared" si="68"/>
        <v>52444</v>
      </c>
    </row>
    <row r="268" spans="1:8">
      <c r="A268" s="1635">
        <f>A267+31</f>
        <v>52475</v>
      </c>
      <c r="C268" s="1642">
        <f t="shared" si="63"/>
        <v>52475</v>
      </c>
      <c r="D268" s="1638" t="str">
        <f t="shared" si="64"/>
        <v/>
      </c>
      <c r="E268" s="1633" t="str">
        <f t="shared" si="65"/>
        <v/>
      </c>
      <c r="F268" s="1633" t="str">
        <f t="shared" si="66"/>
        <v/>
      </c>
      <c r="G268" s="1635" t="str">
        <f t="shared" si="67"/>
        <v/>
      </c>
      <c r="H268" s="1635">
        <f t="shared" si="68"/>
        <v>52475</v>
      </c>
    </row>
    <row r="269" spans="1:8">
      <c r="A269" s="1635">
        <f>A268+30</f>
        <v>52505</v>
      </c>
      <c r="C269" s="1642">
        <f t="shared" si="63"/>
        <v>52505</v>
      </c>
      <c r="D269" s="1638" t="str">
        <f t="shared" si="64"/>
        <v/>
      </c>
      <c r="E269" s="1633" t="str">
        <f t="shared" si="65"/>
        <v/>
      </c>
      <c r="F269" s="1633" t="str">
        <f t="shared" si="66"/>
        <v/>
      </c>
      <c r="G269" s="1635" t="str">
        <f t="shared" si="67"/>
        <v/>
      </c>
      <c r="H269" s="1635">
        <f t="shared" si="68"/>
        <v>52505</v>
      </c>
    </row>
    <row r="270" spans="1:8">
      <c r="A270" s="1635">
        <f>A269+31</f>
        <v>52536</v>
      </c>
      <c r="C270" s="1642">
        <f t="shared" si="63"/>
        <v>52536</v>
      </c>
      <c r="D270" s="1638" t="str">
        <f t="shared" si="64"/>
        <v/>
      </c>
      <c r="E270" s="1633" t="str">
        <f t="shared" si="65"/>
        <v/>
      </c>
      <c r="F270" s="1633" t="str">
        <f t="shared" si="66"/>
        <v/>
      </c>
      <c r="G270" s="1635" t="str">
        <f t="shared" si="67"/>
        <v/>
      </c>
      <c r="H270" s="1635">
        <f t="shared" si="68"/>
        <v>52536</v>
      </c>
    </row>
    <row r="271" spans="1:8">
      <c r="A271" s="1635">
        <f>A270+30</f>
        <v>52566</v>
      </c>
      <c r="C271" s="1642">
        <f t="shared" si="63"/>
        <v>52566</v>
      </c>
      <c r="D271" s="1638" t="str">
        <f t="shared" si="64"/>
        <v/>
      </c>
      <c r="E271" s="1633" t="str">
        <f t="shared" si="65"/>
        <v/>
      </c>
      <c r="F271" s="1633" t="str">
        <f t="shared" si="66"/>
        <v/>
      </c>
      <c r="G271" s="1635" t="str">
        <f t="shared" si="67"/>
        <v/>
      </c>
      <c r="H271" s="1635">
        <f t="shared" si="68"/>
        <v>52566</v>
      </c>
    </row>
    <row r="272" spans="1:8">
      <c r="A272" s="1635">
        <f>A271+31</f>
        <v>52597</v>
      </c>
      <c r="C272" s="1642">
        <f t="shared" si="63"/>
        <v>52597</v>
      </c>
      <c r="D272" s="1638" t="str">
        <f t="shared" si="64"/>
        <v/>
      </c>
      <c r="E272" s="1633" t="str">
        <f t="shared" si="65"/>
        <v/>
      </c>
      <c r="F272" s="1633" t="str">
        <f t="shared" si="66"/>
        <v/>
      </c>
      <c r="G272" s="1635" t="str">
        <f t="shared" si="67"/>
        <v/>
      </c>
      <c r="H272" s="1635">
        <f t="shared" si="68"/>
        <v>52597</v>
      </c>
    </row>
    <row r="273" spans="1:8">
      <c r="A273" s="1635">
        <f>A272+31</f>
        <v>52628</v>
      </c>
      <c r="B273" s="1633" t="b">
        <f>ISNA(VLOOKUP(A273,$E$4:$E$13,1,FALSE))</f>
        <v>0</v>
      </c>
      <c r="C273" s="1642">
        <f t="shared" si="63"/>
        <v>52628</v>
      </c>
      <c r="D273" s="1638" t="str">
        <f t="shared" si="64"/>
        <v/>
      </c>
      <c r="E273" s="1633" t="str">
        <f t="shared" si="65"/>
        <v/>
      </c>
      <c r="F273" s="1633" t="str">
        <f t="shared" si="66"/>
        <v/>
      </c>
      <c r="G273" s="1635" t="str">
        <f t="shared" si="67"/>
        <v/>
      </c>
      <c r="H273" s="1635">
        <f t="shared" si="68"/>
        <v>52628</v>
      </c>
    </row>
    <row r="274" spans="1:8">
      <c r="A274" s="1635">
        <f>IF(B273=TRUE,(A273+28),(A273+29))</f>
        <v>52657</v>
      </c>
      <c r="C274" s="1642">
        <f t="shared" si="63"/>
        <v>52657</v>
      </c>
      <c r="D274" s="1638" t="str">
        <f t="shared" si="64"/>
        <v/>
      </c>
      <c r="E274" s="1633" t="str">
        <f t="shared" si="65"/>
        <v/>
      </c>
      <c r="F274" s="1633" t="str">
        <f t="shared" si="66"/>
        <v/>
      </c>
      <c r="G274" s="1635" t="str">
        <f t="shared" si="67"/>
        <v/>
      </c>
      <c r="H274" s="1635">
        <f t="shared" si="68"/>
        <v>52657</v>
      </c>
    </row>
    <row r="275" spans="1:8">
      <c r="A275" s="1635">
        <f>A274+31</f>
        <v>52688</v>
      </c>
      <c r="C275" s="1642">
        <f t="shared" si="63"/>
        <v>52688</v>
      </c>
      <c r="D275" s="1638" t="str">
        <f t="shared" si="64"/>
        <v/>
      </c>
      <c r="E275" s="1633" t="str">
        <f t="shared" si="65"/>
        <v/>
      </c>
      <c r="F275" s="1633" t="str">
        <f t="shared" si="66"/>
        <v/>
      </c>
      <c r="G275" s="1635" t="str">
        <f t="shared" si="67"/>
        <v/>
      </c>
      <c r="H275" s="1635">
        <f t="shared" si="68"/>
        <v>52688</v>
      </c>
    </row>
    <row r="276" spans="1:8">
      <c r="A276" s="1635">
        <f>A275+30</f>
        <v>52718</v>
      </c>
      <c r="C276" s="1642">
        <f t="shared" si="63"/>
        <v>52718</v>
      </c>
      <c r="D276" s="1638" t="str">
        <f t="shared" si="64"/>
        <v/>
      </c>
      <c r="E276" s="1633" t="str">
        <f t="shared" si="65"/>
        <v/>
      </c>
      <c r="F276" s="1633" t="str">
        <f t="shared" si="66"/>
        <v/>
      </c>
      <c r="G276" s="1635" t="str">
        <f t="shared" si="67"/>
        <v/>
      </c>
      <c r="H276" s="1635">
        <f t="shared" si="68"/>
        <v>52718</v>
      </c>
    </row>
    <row r="277" spans="1:8">
      <c r="A277" s="1635">
        <f>A276+31</f>
        <v>52749</v>
      </c>
      <c r="C277" s="1642">
        <f t="shared" si="63"/>
        <v>52749</v>
      </c>
      <c r="D277" s="1638" t="str">
        <f t="shared" si="64"/>
        <v/>
      </c>
      <c r="E277" s="1633" t="str">
        <f t="shared" si="65"/>
        <v/>
      </c>
      <c r="F277" s="1633" t="str">
        <f t="shared" si="66"/>
        <v/>
      </c>
      <c r="G277" s="1635" t="str">
        <f t="shared" si="67"/>
        <v/>
      </c>
      <c r="H277" s="1635">
        <f t="shared" si="68"/>
        <v>52749</v>
      </c>
    </row>
    <row r="278" spans="1:8">
      <c r="A278" s="1635">
        <f>A277+30</f>
        <v>52779</v>
      </c>
      <c r="C278" s="1642">
        <f t="shared" si="63"/>
        <v>52779</v>
      </c>
      <c r="D278" s="1638" t="str">
        <f t="shared" si="64"/>
        <v/>
      </c>
      <c r="E278" s="1633" t="str">
        <f t="shared" si="65"/>
        <v/>
      </c>
      <c r="F278" s="1633" t="str">
        <f t="shared" si="66"/>
        <v/>
      </c>
      <c r="G278" s="1635" t="str">
        <f t="shared" si="67"/>
        <v/>
      </c>
      <c r="H278" s="1635">
        <f t="shared" si="68"/>
        <v>52779</v>
      </c>
    </row>
    <row r="279" spans="1:8">
      <c r="A279" s="1635">
        <f>A278+31</f>
        <v>52810</v>
      </c>
      <c r="C279" s="1642">
        <f t="shared" si="63"/>
        <v>52810</v>
      </c>
      <c r="D279" s="1638" t="str">
        <f t="shared" si="64"/>
        <v/>
      </c>
      <c r="E279" s="1633" t="str">
        <f t="shared" si="65"/>
        <v/>
      </c>
      <c r="F279" s="1633" t="str">
        <f t="shared" si="66"/>
        <v/>
      </c>
      <c r="G279" s="1635" t="str">
        <f t="shared" si="67"/>
        <v/>
      </c>
      <c r="H279" s="1635">
        <f t="shared" si="68"/>
        <v>52810</v>
      </c>
    </row>
    <row r="280" spans="1:8">
      <c r="A280" s="1635">
        <f>A279+31</f>
        <v>52841</v>
      </c>
      <c r="C280" s="1642">
        <f t="shared" si="63"/>
        <v>52841</v>
      </c>
      <c r="D280" s="1638" t="str">
        <f t="shared" si="64"/>
        <v/>
      </c>
      <c r="E280" s="1633" t="str">
        <f t="shared" si="65"/>
        <v/>
      </c>
      <c r="F280" s="1633" t="str">
        <f t="shared" si="66"/>
        <v/>
      </c>
      <c r="G280" s="1635" t="str">
        <f t="shared" si="67"/>
        <v/>
      </c>
      <c r="H280" s="1635">
        <f t="shared" si="68"/>
        <v>52841</v>
      </c>
    </row>
    <row r="281" spans="1:8">
      <c r="A281" s="1635">
        <f>A280+30</f>
        <v>52871</v>
      </c>
      <c r="C281" s="1642">
        <f t="shared" si="63"/>
        <v>52871</v>
      </c>
      <c r="D281" s="1638" t="str">
        <f t="shared" si="64"/>
        <v/>
      </c>
      <c r="E281" s="1633" t="str">
        <f t="shared" si="65"/>
        <v/>
      </c>
      <c r="F281" s="1633" t="str">
        <f t="shared" si="66"/>
        <v/>
      </c>
      <c r="G281" s="1635" t="str">
        <f t="shared" si="67"/>
        <v/>
      </c>
      <c r="H281" s="1635">
        <f t="shared" si="68"/>
        <v>52871</v>
      </c>
    </row>
    <row r="282" spans="1:8">
      <c r="A282" s="1635">
        <f>A281+31</f>
        <v>52902</v>
      </c>
      <c r="C282" s="1642">
        <f t="shared" si="63"/>
        <v>52902</v>
      </c>
      <c r="D282" s="1638" t="str">
        <f t="shared" si="64"/>
        <v/>
      </c>
      <c r="E282" s="1633" t="str">
        <f t="shared" si="65"/>
        <v/>
      </c>
      <c r="F282" s="1633" t="str">
        <f t="shared" si="66"/>
        <v/>
      </c>
      <c r="G282" s="1635" t="str">
        <f t="shared" si="67"/>
        <v/>
      </c>
      <c r="H282" s="1635">
        <f t="shared" si="68"/>
        <v>52902</v>
      </c>
    </row>
    <row r="283" spans="1:8">
      <c r="A283" s="1635">
        <f>A282+30</f>
        <v>52932</v>
      </c>
      <c r="C283" s="1642">
        <f t="shared" si="63"/>
        <v>52932</v>
      </c>
      <c r="D283" s="1638" t="str">
        <f t="shared" si="64"/>
        <v/>
      </c>
      <c r="E283" s="1633" t="str">
        <f t="shared" si="65"/>
        <v/>
      </c>
      <c r="F283" s="1633" t="str">
        <f t="shared" si="66"/>
        <v/>
      </c>
      <c r="G283" s="1635" t="str">
        <f t="shared" si="67"/>
        <v/>
      </c>
      <c r="H283" s="1635">
        <f t="shared" si="68"/>
        <v>52932</v>
      </c>
    </row>
    <row r="284" spans="1:8">
      <c r="A284" s="1635">
        <f>A283+31</f>
        <v>52963</v>
      </c>
      <c r="C284" s="1642">
        <f t="shared" si="63"/>
        <v>52963</v>
      </c>
      <c r="D284" s="1638" t="str">
        <f t="shared" si="64"/>
        <v/>
      </c>
      <c r="E284" s="1633" t="str">
        <f t="shared" si="65"/>
        <v/>
      </c>
      <c r="F284" s="1633" t="str">
        <f t="shared" si="66"/>
        <v/>
      </c>
      <c r="G284" s="1635" t="str">
        <f t="shared" si="67"/>
        <v/>
      </c>
      <c r="H284" s="1635">
        <f t="shared" si="68"/>
        <v>52963</v>
      </c>
    </row>
    <row r="285" spans="1:8">
      <c r="A285" s="1635">
        <f>A284+31</f>
        <v>52994</v>
      </c>
      <c r="B285" s="1633" t="b">
        <f>ISNA(VLOOKUP(A285,$E$4:$E$13,1,FALSE))</f>
        <v>1</v>
      </c>
      <c r="C285" s="1642">
        <f t="shared" si="63"/>
        <v>52994</v>
      </c>
      <c r="D285" s="1638" t="str">
        <f t="shared" si="64"/>
        <v/>
      </c>
      <c r="E285" s="1633" t="str">
        <f t="shared" si="65"/>
        <v/>
      </c>
      <c r="F285" s="1633" t="str">
        <f t="shared" si="66"/>
        <v/>
      </c>
      <c r="G285" s="1635" t="str">
        <f t="shared" si="67"/>
        <v/>
      </c>
      <c r="H285" s="1635">
        <f t="shared" si="68"/>
        <v>52994</v>
      </c>
    </row>
    <row r="286" spans="1:8">
      <c r="A286" s="1635">
        <f>IF(B285=TRUE,(A285+28),(A285+29))</f>
        <v>53022</v>
      </c>
      <c r="C286" s="1642">
        <f t="shared" si="63"/>
        <v>53022</v>
      </c>
      <c r="D286" s="1638" t="str">
        <f t="shared" si="64"/>
        <v/>
      </c>
      <c r="E286" s="1633" t="str">
        <f t="shared" si="65"/>
        <v/>
      </c>
      <c r="F286" s="1633" t="str">
        <f t="shared" si="66"/>
        <v/>
      </c>
      <c r="G286" s="1635" t="str">
        <f t="shared" si="67"/>
        <v/>
      </c>
      <c r="H286" s="1635">
        <f t="shared" si="68"/>
        <v>53022</v>
      </c>
    </row>
    <row r="287" spans="1:8">
      <c r="A287" s="1635">
        <f>A286+31</f>
        <v>53053</v>
      </c>
      <c r="C287" s="1642">
        <f t="shared" si="63"/>
        <v>53053</v>
      </c>
      <c r="D287" s="1638" t="str">
        <f t="shared" si="64"/>
        <v/>
      </c>
      <c r="E287" s="1633" t="str">
        <f t="shared" si="65"/>
        <v/>
      </c>
      <c r="F287" s="1633" t="str">
        <f t="shared" si="66"/>
        <v/>
      </c>
      <c r="G287" s="1635" t="str">
        <f t="shared" si="67"/>
        <v/>
      </c>
      <c r="H287" s="1635">
        <f t="shared" si="68"/>
        <v>53053</v>
      </c>
    </row>
    <row r="300" spans="2:8">
      <c r="B300" s="1643" t="s">
        <v>697</v>
      </c>
      <c r="C300" s="1635">
        <f>'F1  Cover'!$L$8</f>
        <v>44804</v>
      </c>
    </row>
    <row r="301" spans="2:8">
      <c r="B301" s="1643" t="s">
        <v>698</v>
      </c>
      <c r="C301" s="1635">
        <f>VLOOKUP(1,$G$301:$H$505,2,FALSE)</f>
        <v>44774</v>
      </c>
      <c r="F301" s="1635">
        <f>W2</f>
        <v>41730</v>
      </c>
      <c r="G301" s="1633">
        <f>IF($C$300&lt;F301,1,0)</f>
        <v>0</v>
      </c>
    </row>
    <row r="302" spans="2:8">
      <c r="F302" s="1635">
        <f>F301+30</f>
        <v>41760</v>
      </c>
      <c r="G302" s="1633">
        <f>IF(G301=1,0,IF($C$300&lt;F302,1,0))</f>
        <v>0</v>
      </c>
      <c r="H302" s="1635">
        <f>F301</f>
        <v>41730</v>
      </c>
    </row>
    <row r="303" spans="2:8">
      <c r="F303" s="1635">
        <f>F302+31</f>
        <v>41791</v>
      </c>
      <c r="G303" s="1633">
        <f>IF(SUM($G$301:G302)=1,0,IF($C$300&lt;F303,1,0))</f>
        <v>0</v>
      </c>
      <c r="H303" s="1635">
        <f>F302</f>
        <v>41760</v>
      </c>
    </row>
    <row r="304" spans="2:8">
      <c r="F304" s="1635">
        <f t="shared" ref="F304:F321" si="69">F303+30</f>
        <v>41821</v>
      </c>
      <c r="G304" s="1633">
        <f>IF(SUM($G$301:G303)=1,0,IF($C$300&lt;F304,1,0))</f>
        <v>0</v>
      </c>
      <c r="H304" s="1635">
        <f t="shared" ref="H304:H367" si="70">F303</f>
        <v>41791</v>
      </c>
    </row>
    <row r="305" spans="6:8">
      <c r="F305" s="1635">
        <f>F304+31</f>
        <v>41852</v>
      </c>
      <c r="G305" s="1633">
        <f>IF(SUM($G$301:G304)=1,0,IF($C$300&lt;F305,1,0))</f>
        <v>0</v>
      </c>
      <c r="H305" s="1635">
        <f t="shared" si="70"/>
        <v>41821</v>
      </c>
    </row>
    <row r="306" spans="6:8">
      <c r="F306" s="1635">
        <f>F305+31</f>
        <v>41883</v>
      </c>
      <c r="G306" s="1633">
        <f>IF(SUM($G$301:G305)=1,0,IF($C$300&lt;F306,1,0))</f>
        <v>0</v>
      </c>
      <c r="H306" s="1635">
        <f t="shared" si="70"/>
        <v>41852</v>
      </c>
    </row>
    <row r="307" spans="6:8">
      <c r="F307" s="1635">
        <f t="shared" si="69"/>
        <v>41913</v>
      </c>
      <c r="G307" s="1633">
        <f>IF(SUM($G$301:G306)=1,0,IF($C$300&lt;F307,1,0))</f>
        <v>0</v>
      </c>
      <c r="H307" s="1635">
        <f t="shared" si="70"/>
        <v>41883</v>
      </c>
    </row>
    <row r="308" spans="6:8">
      <c r="F308" s="1635">
        <f>F307+31</f>
        <v>41944</v>
      </c>
      <c r="G308" s="1633">
        <f>IF(SUM($G$301:G307)=1,0,IF($C$300&lt;F308,1,0))</f>
        <v>0</v>
      </c>
      <c r="H308" s="1635">
        <f t="shared" si="70"/>
        <v>41913</v>
      </c>
    </row>
    <row r="309" spans="6:8">
      <c r="F309" s="1635">
        <f t="shared" si="69"/>
        <v>41974</v>
      </c>
      <c r="G309" s="1633">
        <f>IF(SUM($G$301:G308)=1,0,IF($C$300&lt;F309,1,0))</f>
        <v>0</v>
      </c>
      <c r="H309" s="1635">
        <f t="shared" si="70"/>
        <v>41944</v>
      </c>
    </row>
    <row r="310" spans="6:8">
      <c r="F310" s="1635">
        <f>F309+31</f>
        <v>42005</v>
      </c>
      <c r="G310" s="1633">
        <f>IF(SUM($G$301:G309)=1,0,IF($C$300&lt;F310,1,0))</f>
        <v>0</v>
      </c>
      <c r="H310" s="1635">
        <f t="shared" si="70"/>
        <v>41974</v>
      </c>
    </row>
    <row r="311" spans="6:8">
      <c r="F311" s="1635">
        <f>F310+31</f>
        <v>42036</v>
      </c>
      <c r="G311" s="1633">
        <f>IF(SUM($G$301:G310)=1,0,IF($C$300&lt;F311,1,0))</f>
        <v>0</v>
      </c>
      <c r="H311" s="1635">
        <f t="shared" si="70"/>
        <v>42005</v>
      </c>
    </row>
    <row r="312" spans="6:8">
      <c r="F312" s="1635">
        <f>IF(ISNA(VLOOKUP(F311,$E$4:$E$13,1,FALSE))=TRUE,F311+28,F311+29)</f>
        <v>42064</v>
      </c>
      <c r="G312" s="1633">
        <f>IF(SUM($G$301:G311)=1,0,IF($C$300&lt;F312,1,0))</f>
        <v>0</v>
      </c>
      <c r="H312" s="1635">
        <f t="shared" si="70"/>
        <v>42036</v>
      </c>
    </row>
    <row r="313" spans="6:8">
      <c r="F313" s="1635">
        <f>F312+31</f>
        <v>42095</v>
      </c>
      <c r="G313" s="1633">
        <f>IF(SUM($G$301:G312)=1,0,IF($C$300&lt;F313,1,0))</f>
        <v>0</v>
      </c>
      <c r="H313" s="1635">
        <f t="shared" si="70"/>
        <v>42064</v>
      </c>
    </row>
    <row r="314" spans="6:8">
      <c r="F314" s="1635">
        <f>F313+30</f>
        <v>42125</v>
      </c>
      <c r="G314" s="1633">
        <f>IF(SUM($G$301:G313)=1,0,IF($C$300&lt;F314,1,0))</f>
        <v>0</v>
      </c>
      <c r="H314" s="1635">
        <f t="shared" si="70"/>
        <v>42095</v>
      </c>
    </row>
    <row r="315" spans="6:8">
      <c r="F315" s="1635">
        <f>F314+31</f>
        <v>42156</v>
      </c>
      <c r="G315" s="1633">
        <f>IF(SUM($G$301:G314)=1,0,IF($C$300&lt;F315,1,0))</f>
        <v>0</v>
      </c>
      <c r="H315" s="1635">
        <f t="shared" si="70"/>
        <v>42125</v>
      </c>
    </row>
    <row r="316" spans="6:8">
      <c r="F316" s="1635">
        <f t="shared" si="69"/>
        <v>42186</v>
      </c>
      <c r="G316" s="1633">
        <f>IF(SUM($G$301:G315)=1,0,IF($C$300&lt;F316,1,0))</f>
        <v>0</v>
      </c>
      <c r="H316" s="1635">
        <f t="shared" si="70"/>
        <v>42156</v>
      </c>
    </row>
    <row r="317" spans="6:8">
      <c r="F317" s="1635">
        <f>F316+31</f>
        <v>42217</v>
      </c>
      <c r="G317" s="1633">
        <f>IF(SUM($G$301:G316)=1,0,IF($C$300&lt;F317,1,0))</f>
        <v>0</v>
      </c>
      <c r="H317" s="1635">
        <f t="shared" si="70"/>
        <v>42186</v>
      </c>
    </row>
    <row r="318" spans="6:8">
      <c r="F318" s="1635">
        <f>F317+31</f>
        <v>42248</v>
      </c>
      <c r="G318" s="1633">
        <f>IF(SUM($G$301:G317)=1,0,IF($C$300&lt;F318,1,0))</f>
        <v>0</v>
      </c>
      <c r="H318" s="1635">
        <f t="shared" si="70"/>
        <v>42217</v>
      </c>
    </row>
    <row r="319" spans="6:8">
      <c r="F319" s="1635">
        <f t="shared" si="69"/>
        <v>42278</v>
      </c>
      <c r="G319" s="1633">
        <f>IF(SUM($G$301:G318)=1,0,IF($C$300&lt;F319,1,0))</f>
        <v>0</v>
      </c>
      <c r="H319" s="1635">
        <f t="shared" si="70"/>
        <v>42248</v>
      </c>
    </row>
    <row r="320" spans="6:8">
      <c r="F320" s="1635">
        <f>F319+31</f>
        <v>42309</v>
      </c>
      <c r="G320" s="1633">
        <f>IF(SUM($G$301:G319)=1,0,IF($C$300&lt;F320,1,0))</f>
        <v>0</v>
      </c>
      <c r="H320" s="1635">
        <f t="shared" si="70"/>
        <v>42278</v>
      </c>
    </row>
    <row r="321" spans="6:8">
      <c r="F321" s="1635">
        <f t="shared" si="69"/>
        <v>42339</v>
      </c>
      <c r="G321" s="1633">
        <f>IF(SUM($G$301:G320)=1,0,IF($C$300&lt;F321,1,0))</f>
        <v>0</v>
      </c>
      <c r="H321" s="1635">
        <f t="shared" si="70"/>
        <v>42309</v>
      </c>
    </row>
    <row r="322" spans="6:8">
      <c r="F322" s="1635">
        <f>F321+31</f>
        <v>42370</v>
      </c>
      <c r="G322" s="1633">
        <f>IF(SUM($G$301:G321)=1,0,IF($C$300&lt;F322,1,0))</f>
        <v>0</v>
      </c>
      <c r="H322" s="1635">
        <f t="shared" si="70"/>
        <v>42339</v>
      </c>
    </row>
    <row r="323" spans="6:8">
      <c r="F323" s="1635">
        <f>F322+31</f>
        <v>42401</v>
      </c>
      <c r="G323" s="1633">
        <f>IF(SUM($G$301:G322)=1,0,IF($C$300&lt;F323,1,0))</f>
        <v>0</v>
      </c>
      <c r="H323" s="1635">
        <f t="shared" si="70"/>
        <v>42370</v>
      </c>
    </row>
    <row r="324" spans="6:8">
      <c r="F324" s="1635">
        <f>IF(ISNA(VLOOKUP(F323,$E$4:$E$13,1,FALSE))=TRUE,F323+28,F323+29)</f>
        <v>42430</v>
      </c>
      <c r="G324" s="1633">
        <f>IF(SUM($G$301:G323)=1,0,IF($C$300&lt;F324,1,0))</f>
        <v>0</v>
      </c>
      <c r="H324" s="1635">
        <f t="shared" si="70"/>
        <v>42401</v>
      </c>
    </row>
    <row r="325" spans="6:8">
      <c r="F325" s="1635">
        <f>F324+31</f>
        <v>42461</v>
      </c>
      <c r="G325" s="1633">
        <f>IF(SUM($G$301:G324)=1,0,IF($C$300&lt;F325,1,0))</f>
        <v>0</v>
      </c>
      <c r="H325" s="1635">
        <f t="shared" si="70"/>
        <v>42430</v>
      </c>
    </row>
    <row r="326" spans="6:8">
      <c r="F326" s="1635">
        <f>F325+30</f>
        <v>42491</v>
      </c>
      <c r="G326" s="1633">
        <f>IF(SUM($G$301:G325)=1,0,IF($C$300&lt;F326,1,0))</f>
        <v>0</v>
      </c>
      <c r="H326" s="1635">
        <f t="shared" si="70"/>
        <v>42461</v>
      </c>
    </row>
    <row r="327" spans="6:8">
      <c r="F327" s="1635">
        <f>F326+31</f>
        <v>42522</v>
      </c>
      <c r="G327" s="1633">
        <f>IF(SUM($G$301:G326)=1,0,IF($C$300&lt;F327,1,0))</f>
        <v>0</v>
      </c>
      <c r="H327" s="1635">
        <f t="shared" si="70"/>
        <v>42491</v>
      </c>
    </row>
    <row r="328" spans="6:8">
      <c r="F328" s="1635">
        <f t="shared" ref="F328:F333" si="71">F327+30</f>
        <v>42552</v>
      </c>
      <c r="G328" s="1633">
        <f>IF(SUM($G$301:G327)=1,0,IF($C$300&lt;F328,1,0))</f>
        <v>0</v>
      </c>
      <c r="H328" s="1635">
        <f t="shared" si="70"/>
        <v>42522</v>
      </c>
    </row>
    <row r="329" spans="6:8">
      <c r="F329" s="1635">
        <f>F328+31</f>
        <v>42583</v>
      </c>
      <c r="G329" s="1633">
        <f>IF(SUM($G$301:G328)=1,0,IF($C$300&lt;F329,1,0))</f>
        <v>0</v>
      </c>
      <c r="H329" s="1635">
        <f t="shared" si="70"/>
        <v>42552</v>
      </c>
    </row>
    <row r="330" spans="6:8">
      <c r="F330" s="1635">
        <f>F329+31</f>
        <v>42614</v>
      </c>
      <c r="G330" s="1633">
        <f>IF(SUM($G$301:G329)=1,0,IF($C$300&lt;F330,1,0))</f>
        <v>0</v>
      </c>
      <c r="H330" s="1635">
        <f t="shared" si="70"/>
        <v>42583</v>
      </c>
    </row>
    <row r="331" spans="6:8">
      <c r="F331" s="1635">
        <f t="shared" si="71"/>
        <v>42644</v>
      </c>
      <c r="G331" s="1633">
        <f>IF(SUM($G$301:G330)=1,0,IF($C$300&lt;F331,1,0))</f>
        <v>0</v>
      </c>
      <c r="H331" s="1635">
        <f t="shared" si="70"/>
        <v>42614</v>
      </c>
    </row>
    <row r="332" spans="6:8">
      <c r="F332" s="1635">
        <f>F331+31</f>
        <v>42675</v>
      </c>
      <c r="G332" s="1633">
        <f>IF(SUM($G$301:G331)=1,0,IF($C$300&lt;F332,1,0))</f>
        <v>0</v>
      </c>
      <c r="H332" s="1635">
        <f t="shared" si="70"/>
        <v>42644</v>
      </c>
    </row>
    <row r="333" spans="6:8">
      <c r="F333" s="1635">
        <f t="shared" si="71"/>
        <v>42705</v>
      </c>
      <c r="G333" s="1633">
        <f>IF(SUM($G$301:G332)=1,0,IF($C$300&lt;F333,1,0))</f>
        <v>0</v>
      </c>
      <c r="H333" s="1635">
        <f t="shared" si="70"/>
        <v>42675</v>
      </c>
    </row>
    <row r="334" spans="6:8">
      <c r="F334" s="1635">
        <f>F333+31</f>
        <v>42736</v>
      </c>
      <c r="G334" s="1633">
        <f>IF(SUM($G$301:G333)=1,0,IF($C$300&lt;F334,1,0))</f>
        <v>0</v>
      </c>
      <c r="H334" s="1635">
        <f t="shared" si="70"/>
        <v>42705</v>
      </c>
    </row>
    <row r="335" spans="6:8">
      <c r="F335" s="1635">
        <f>F334+31</f>
        <v>42767</v>
      </c>
      <c r="G335" s="1633">
        <f>IF(SUM($G$301:G334)=1,0,IF($C$300&lt;F335,1,0))</f>
        <v>0</v>
      </c>
      <c r="H335" s="1635">
        <f t="shared" si="70"/>
        <v>42736</v>
      </c>
    </row>
    <row r="336" spans="6:8">
      <c r="F336" s="1635">
        <f>IF(ISNA(VLOOKUP(F335,$E$4:$E$13,1,FALSE))=TRUE,F335+28,F335+29)</f>
        <v>42795</v>
      </c>
      <c r="G336" s="1633">
        <f>IF(SUM($G$301:G335)=1,0,IF($C$300&lt;F336,1,0))</f>
        <v>0</v>
      </c>
      <c r="H336" s="1635">
        <f t="shared" si="70"/>
        <v>42767</v>
      </c>
    </row>
    <row r="337" spans="1:8">
      <c r="F337" s="1635">
        <f>F336+31</f>
        <v>42826</v>
      </c>
      <c r="G337" s="1633">
        <f>IF(SUM($G$301:G336)=1,0,IF($C$300&lt;F337,1,0))</f>
        <v>0</v>
      </c>
      <c r="H337" s="1635">
        <f t="shared" si="70"/>
        <v>42795</v>
      </c>
    </row>
    <row r="338" spans="1:8">
      <c r="F338" s="1635">
        <f>F337+30</f>
        <v>42856</v>
      </c>
      <c r="G338" s="1633">
        <f>IF(SUM($G$301:G337)=1,0,IF($C$300&lt;F338,1,0))</f>
        <v>0</v>
      </c>
      <c r="H338" s="1635">
        <f t="shared" si="70"/>
        <v>42826</v>
      </c>
    </row>
    <row r="339" spans="1:8">
      <c r="F339" s="1635">
        <f>F338+31</f>
        <v>42887</v>
      </c>
      <c r="G339" s="1633">
        <f>IF(SUM($G$301:G338)=1,0,IF($C$300&lt;F339,1,0))</f>
        <v>0</v>
      </c>
      <c r="H339" s="1635">
        <f t="shared" si="70"/>
        <v>42856</v>
      </c>
    </row>
    <row r="340" spans="1:8">
      <c r="F340" s="1635">
        <f t="shared" ref="F340:F345" si="72">F339+30</f>
        <v>42917</v>
      </c>
      <c r="G340" s="1633">
        <f>IF(SUM($G$301:G339)=1,0,IF($C$300&lt;F340,1,0))</f>
        <v>0</v>
      </c>
      <c r="H340" s="1635">
        <f t="shared" si="70"/>
        <v>42887</v>
      </c>
    </row>
    <row r="341" spans="1:8">
      <c r="F341" s="1635">
        <f>F340+31</f>
        <v>42948</v>
      </c>
      <c r="G341" s="1633">
        <f>IF(SUM($G$301:G340)=1,0,IF($C$300&lt;F341,1,0))</f>
        <v>0</v>
      </c>
      <c r="H341" s="1635">
        <f t="shared" si="70"/>
        <v>42917</v>
      </c>
    </row>
    <row r="342" spans="1:8">
      <c r="F342" s="1635">
        <f>F341+31</f>
        <v>42979</v>
      </c>
      <c r="G342" s="1633">
        <f>IF(SUM($G$301:G341)=1,0,IF($C$300&lt;F342,1,0))</f>
        <v>0</v>
      </c>
      <c r="H342" s="1635">
        <f t="shared" si="70"/>
        <v>42948</v>
      </c>
    </row>
    <row r="343" spans="1:8">
      <c r="F343" s="1635">
        <f t="shared" si="72"/>
        <v>43009</v>
      </c>
      <c r="G343" s="1633">
        <f>IF(SUM($G$301:G342)=1,0,IF($C$300&lt;F343,1,0))</f>
        <v>0</v>
      </c>
      <c r="H343" s="1635">
        <f t="shared" si="70"/>
        <v>42979</v>
      </c>
    </row>
    <row r="344" spans="1:8">
      <c r="F344" s="1635">
        <f>F343+31</f>
        <v>43040</v>
      </c>
      <c r="G344" s="1633">
        <f>IF(SUM($G$301:G343)=1,0,IF($C$300&lt;F344,1,0))</f>
        <v>0</v>
      </c>
      <c r="H344" s="1635">
        <f t="shared" si="70"/>
        <v>43009</v>
      </c>
    </row>
    <row r="345" spans="1:8">
      <c r="F345" s="1635">
        <f t="shared" si="72"/>
        <v>43070</v>
      </c>
      <c r="G345" s="1633">
        <f>IF(SUM($G$301:G344)=1,0,IF($C$300&lt;F345,1,0))</f>
        <v>0</v>
      </c>
      <c r="H345" s="1635">
        <f t="shared" si="70"/>
        <v>43040</v>
      </c>
    </row>
    <row r="346" spans="1:8">
      <c r="F346" s="1635">
        <f>F345+31</f>
        <v>43101</v>
      </c>
      <c r="G346" s="1633">
        <f>IF(SUM($G$301:G345)=1,0,IF($C$300&lt;F346,1,0))</f>
        <v>0</v>
      </c>
      <c r="H346" s="1635">
        <f t="shared" si="70"/>
        <v>43070</v>
      </c>
    </row>
    <row r="347" spans="1:8">
      <c r="F347" s="1635">
        <f>F346+31</f>
        <v>43132</v>
      </c>
      <c r="G347" s="1633">
        <f>IF(SUM($G$301:G346)=1,0,IF($C$300&lt;F347,1,0))</f>
        <v>0</v>
      </c>
      <c r="H347" s="1635">
        <f t="shared" si="70"/>
        <v>43101</v>
      </c>
    </row>
    <row r="348" spans="1:8">
      <c r="F348" s="1635">
        <f>IF(ISNA(VLOOKUP(F347,$E$4:$E$13,1,FALSE))=TRUE,F347+28,F347+29)</f>
        <v>43160</v>
      </c>
      <c r="G348" s="1633">
        <f>IF(SUM($G$301:G347)=1,0,IF($C$300&lt;F348,1,0))</f>
        <v>0</v>
      </c>
      <c r="H348" s="1635">
        <f t="shared" si="70"/>
        <v>43132</v>
      </c>
    </row>
    <row r="349" spans="1:8">
      <c r="A349" s="1653"/>
      <c r="B349" s="1653"/>
      <c r="C349" s="1653"/>
      <c r="D349" s="1653"/>
      <c r="E349" s="1653"/>
      <c r="F349" s="1652">
        <f>F348+31</f>
        <v>43191</v>
      </c>
      <c r="G349" s="1653">
        <f>IF(SUM($G$301:G348)=1,0,IF($C$300&lt;F349,1,0))</f>
        <v>0</v>
      </c>
      <c r="H349" s="1652">
        <f t="shared" si="70"/>
        <v>43160</v>
      </c>
    </row>
    <row r="350" spans="1:8">
      <c r="F350" s="1635">
        <f>F349+30</f>
        <v>43221</v>
      </c>
      <c r="G350" s="1633">
        <f>IF(SUM($G$301:G349)=1,0,IF($C$300&lt;F350,1,0))</f>
        <v>0</v>
      </c>
      <c r="H350" s="1635">
        <f t="shared" si="70"/>
        <v>43191</v>
      </c>
    </row>
    <row r="351" spans="1:8">
      <c r="F351" s="1635">
        <f>F350+31</f>
        <v>43252</v>
      </c>
      <c r="G351" s="1633">
        <f>IF(SUM($G$301:G350)=1,0,IF($C$300&lt;F351,1,0))</f>
        <v>0</v>
      </c>
      <c r="H351" s="1635">
        <f t="shared" si="70"/>
        <v>43221</v>
      </c>
    </row>
    <row r="352" spans="1:8">
      <c r="F352" s="1635">
        <f t="shared" ref="F352:F355" si="73">F351+30</f>
        <v>43282</v>
      </c>
      <c r="G352" s="1633">
        <f>IF(SUM($G$301:G351)=1,0,IF($C$300&lt;F352,1,0))</f>
        <v>0</v>
      </c>
      <c r="H352" s="1635">
        <f t="shared" si="70"/>
        <v>43252</v>
      </c>
    </row>
    <row r="353" spans="6:8">
      <c r="F353" s="1635">
        <f>F352+31</f>
        <v>43313</v>
      </c>
      <c r="G353" s="1633">
        <f>IF(SUM($G$301:G352)=1,0,IF($C$300&lt;F353,1,0))</f>
        <v>0</v>
      </c>
      <c r="H353" s="1635">
        <f t="shared" si="70"/>
        <v>43282</v>
      </c>
    </row>
    <row r="354" spans="6:8">
      <c r="F354" s="1635">
        <f>F353+31</f>
        <v>43344</v>
      </c>
      <c r="G354" s="1633">
        <f>IF(SUM($G$301:G353)=1,0,IF($C$300&lt;F354,1,0))</f>
        <v>0</v>
      </c>
      <c r="H354" s="1635">
        <f t="shared" si="70"/>
        <v>43313</v>
      </c>
    </row>
    <row r="355" spans="6:8">
      <c r="F355" s="1635">
        <f t="shared" si="73"/>
        <v>43374</v>
      </c>
      <c r="G355" s="1633">
        <f>IF(SUM($G$301:G354)=1,0,IF($C$300&lt;F355,1,0))</f>
        <v>0</v>
      </c>
      <c r="H355" s="1635">
        <f t="shared" si="70"/>
        <v>43344</v>
      </c>
    </row>
    <row r="356" spans="6:8">
      <c r="F356" s="1635">
        <f>F355+31</f>
        <v>43405</v>
      </c>
      <c r="G356" s="1633">
        <f>IF(SUM($G$301:G355)=1,0,IF($C$300&lt;F356,1,0))</f>
        <v>0</v>
      </c>
      <c r="H356" s="1635">
        <f t="shared" si="70"/>
        <v>43374</v>
      </c>
    </row>
    <row r="357" spans="6:8">
      <c r="F357" s="1635">
        <f>F356+30</f>
        <v>43435</v>
      </c>
      <c r="G357" s="1633">
        <v>0</v>
      </c>
      <c r="H357" s="1635">
        <v>43252</v>
      </c>
    </row>
    <row r="358" spans="6:8">
      <c r="F358" s="1635">
        <f t="shared" ref="F358" si="74">F357+31</f>
        <v>43466</v>
      </c>
      <c r="G358" s="1633">
        <v>0</v>
      </c>
      <c r="H358" s="1635">
        <v>43252</v>
      </c>
    </row>
    <row r="359" spans="6:8">
      <c r="F359" s="1635">
        <f>F358+31</f>
        <v>43497</v>
      </c>
      <c r="G359" s="1633">
        <f>IF(SUM($G$301:G358)=1,0,IF($C$300&lt;F359,1,0))</f>
        <v>0</v>
      </c>
      <c r="H359" s="1635">
        <f t="shared" si="70"/>
        <v>43466</v>
      </c>
    </row>
    <row r="360" spans="6:8">
      <c r="F360" s="1635">
        <f>IF(ISNA(VLOOKUP(F359,$E$4:$E$13,1,FALSE))=TRUE,F359+28,F359+29)</f>
        <v>43525</v>
      </c>
      <c r="G360" s="1633">
        <f>IF(SUM($G$301:G359)=1,0,IF($C$300&lt;F360,1,0))</f>
        <v>0</v>
      </c>
      <c r="H360" s="1635">
        <f t="shared" si="70"/>
        <v>43497</v>
      </c>
    </row>
    <row r="361" spans="6:8">
      <c r="F361" s="1635">
        <f>F360+31</f>
        <v>43556</v>
      </c>
      <c r="G361" s="1633">
        <f>IF(SUM($G$301:G360)=1,0,IF($C$300&lt;F361,1,0))</f>
        <v>0</v>
      </c>
      <c r="H361" s="1635">
        <f t="shared" si="70"/>
        <v>43525</v>
      </c>
    </row>
    <row r="362" spans="6:8">
      <c r="F362" s="1635">
        <f>F361+30</f>
        <v>43586</v>
      </c>
      <c r="G362" s="1633">
        <f>IF(SUM($G$301:G361)=1,0,IF($C$300&lt;F362,1,0))</f>
        <v>0</v>
      </c>
      <c r="H362" s="1635">
        <f t="shared" si="70"/>
        <v>43556</v>
      </c>
    </row>
    <row r="363" spans="6:8">
      <c r="F363" s="1635">
        <f>F362+31</f>
        <v>43617</v>
      </c>
      <c r="G363" s="1633">
        <f>IF(SUM($G$301:G362)=1,0,IF($C$300&lt;F363,1,0))</f>
        <v>0</v>
      </c>
      <c r="H363" s="1635">
        <f t="shared" si="70"/>
        <v>43586</v>
      </c>
    </row>
    <row r="364" spans="6:8">
      <c r="F364" s="1635">
        <f t="shared" ref="F364:F369" si="75">F363+30</f>
        <v>43647</v>
      </c>
      <c r="G364" s="1633">
        <f>IF(SUM($G$301:G363)=1,0,IF($C$300&lt;F364,1,0))</f>
        <v>0</v>
      </c>
      <c r="H364" s="1635">
        <f t="shared" si="70"/>
        <v>43617</v>
      </c>
    </row>
    <row r="365" spans="6:8">
      <c r="F365" s="1635">
        <f>F364+31</f>
        <v>43678</v>
      </c>
      <c r="G365" s="1633">
        <f>IF(SUM($G$301:G364)=1,0,IF($C$300&lt;F365,1,0))</f>
        <v>0</v>
      </c>
      <c r="H365" s="1635">
        <f t="shared" si="70"/>
        <v>43647</v>
      </c>
    </row>
    <row r="366" spans="6:8">
      <c r="F366" s="1635">
        <f>F365+31</f>
        <v>43709</v>
      </c>
      <c r="G366" s="1633">
        <f>IF(SUM($G$301:G365)=1,0,IF($C$300&lt;F366,1,0))</f>
        <v>0</v>
      </c>
      <c r="H366" s="1635">
        <f t="shared" si="70"/>
        <v>43678</v>
      </c>
    </row>
    <row r="367" spans="6:8">
      <c r="F367" s="1635">
        <f t="shared" si="75"/>
        <v>43739</v>
      </c>
      <c r="G367" s="1633">
        <f>IF(SUM($G$301:G366)=1,0,IF($C$300&lt;F367,1,0))</f>
        <v>0</v>
      </c>
      <c r="H367" s="1635">
        <f t="shared" si="70"/>
        <v>43709</v>
      </c>
    </row>
    <row r="368" spans="6:8">
      <c r="F368" s="1635">
        <f>F367+31</f>
        <v>43770</v>
      </c>
      <c r="G368" s="1633">
        <f>IF(SUM($G$301:G367)=1,0,IF($C$300&lt;F368,1,0))</f>
        <v>0</v>
      </c>
      <c r="H368" s="1635">
        <f t="shared" ref="H368:H431" si="76">F367</f>
        <v>43739</v>
      </c>
    </row>
    <row r="369" spans="6:8">
      <c r="F369" s="1635">
        <f t="shared" si="75"/>
        <v>43800</v>
      </c>
      <c r="G369" s="1633">
        <f>IF(SUM($G$301:G368)=1,0,IF($C$300&lt;F369,1,0))</f>
        <v>0</v>
      </c>
      <c r="H369" s="1635">
        <f t="shared" si="76"/>
        <v>43770</v>
      </c>
    </row>
    <row r="370" spans="6:8">
      <c r="F370" s="1635">
        <f>F369+31</f>
        <v>43831</v>
      </c>
      <c r="G370" s="1633">
        <f>IF(SUM($G$301:G369)=1,0,IF($C$300&lt;F370,1,0))</f>
        <v>0</v>
      </c>
      <c r="H370" s="1635">
        <f t="shared" si="76"/>
        <v>43800</v>
      </c>
    </row>
    <row r="371" spans="6:8">
      <c r="F371" s="1635">
        <f>F370+31</f>
        <v>43862</v>
      </c>
      <c r="G371" s="1633">
        <f>IF(SUM($G$301:G370)=1,0,IF($C$300&lt;F371,1,0))</f>
        <v>0</v>
      </c>
      <c r="H371" s="1635">
        <f t="shared" si="76"/>
        <v>43831</v>
      </c>
    </row>
    <row r="372" spans="6:8">
      <c r="F372" s="1635">
        <f>IF(ISNA(VLOOKUP(F371,$E$4:$E$13,1,FALSE))=TRUE,F371+28,F371+29)</f>
        <v>43891</v>
      </c>
      <c r="G372" s="1633">
        <f>IF(SUM($G$301:G371)=1,0,IF($C$300&lt;F372,1,0))</f>
        <v>0</v>
      </c>
      <c r="H372" s="1635">
        <f t="shared" si="76"/>
        <v>43862</v>
      </c>
    </row>
    <row r="373" spans="6:8">
      <c r="F373" s="1635">
        <f>F372+31</f>
        <v>43922</v>
      </c>
      <c r="G373" s="1633">
        <f>IF(SUM($G$301:G372)=1,0,IF($C$300&lt;F373,1,0))</f>
        <v>0</v>
      </c>
      <c r="H373" s="1635">
        <f t="shared" si="76"/>
        <v>43891</v>
      </c>
    </row>
    <row r="374" spans="6:8">
      <c r="F374" s="1635">
        <f>F373+30</f>
        <v>43952</v>
      </c>
      <c r="G374" s="1633">
        <f>IF(SUM($G$301:G373)=1,0,IF($C$300&lt;F374,1,0))</f>
        <v>0</v>
      </c>
      <c r="H374" s="1635">
        <f t="shared" si="76"/>
        <v>43922</v>
      </c>
    </row>
    <row r="375" spans="6:8">
      <c r="F375" s="1635">
        <f>F374+31</f>
        <v>43983</v>
      </c>
      <c r="G375" s="1633">
        <f>IF(SUM($G$301:G374)=1,0,IF($C$300&lt;F375,1,0))</f>
        <v>0</v>
      </c>
      <c r="H375" s="1635">
        <f t="shared" si="76"/>
        <v>43952</v>
      </c>
    </row>
    <row r="376" spans="6:8">
      <c r="F376" s="1635">
        <f t="shared" ref="F376:F381" si="77">F375+30</f>
        <v>44013</v>
      </c>
      <c r="G376" s="1633">
        <f>IF(SUM($G$301:G375)=1,0,IF($C$300&lt;F376,1,0))</f>
        <v>0</v>
      </c>
      <c r="H376" s="1635">
        <f t="shared" si="76"/>
        <v>43983</v>
      </c>
    </row>
    <row r="377" spans="6:8">
      <c r="F377" s="1635">
        <f>F376+31</f>
        <v>44044</v>
      </c>
      <c r="G377" s="1633">
        <f>IF(SUM($G$301:G376)=1,0,IF($C$300&lt;F377,1,0))</f>
        <v>0</v>
      </c>
      <c r="H377" s="1635">
        <f t="shared" si="76"/>
        <v>44013</v>
      </c>
    </row>
    <row r="378" spans="6:8">
      <c r="F378" s="1635">
        <f>F377+31</f>
        <v>44075</v>
      </c>
      <c r="G378" s="1633">
        <f>IF(SUM($G$301:G377)=1,0,IF($C$300&lt;F378,1,0))</f>
        <v>0</v>
      </c>
      <c r="H378" s="1635">
        <f t="shared" si="76"/>
        <v>44044</v>
      </c>
    </row>
    <row r="379" spans="6:8">
      <c r="F379" s="1635">
        <f t="shared" si="77"/>
        <v>44105</v>
      </c>
      <c r="G379" s="1633">
        <f>IF(SUM($G$301:G378)=1,0,IF($C$300&lt;F379,1,0))</f>
        <v>0</v>
      </c>
      <c r="H379" s="1635">
        <f t="shared" si="76"/>
        <v>44075</v>
      </c>
    </row>
    <row r="380" spans="6:8">
      <c r="F380" s="1635">
        <f>F379+31</f>
        <v>44136</v>
      </c>
      <c r="G380" s="1633">
        <f>IF(SUM($G$301:G379)=1,0,IF($C$300&lt;F380,1,0))</f>
        <v>0</v>
      </c>
      <c r="H380" s="1635">
        <f t="shared" si="76"/>
        <v>44105</v>
      </c>
    </row>
    <row r="381" spans="6:8">
      <c r="F381" s="1635">
        <f t="shared" si="77"/>
        <v>44166</v>
      </c>
      <c r="G381" s="1633">
        <f>IF(SUM($G$301:G380)=1,0,IF($C$300&lt;F381,1,0))</f>
        <v>0</v>
      </c>
      <c r="H381" s="1635">
        <f t="shared" si="76"/>
        <v>44136</v>
      </c>
    </row>
    <row r="382" spans="6:8">
      <c r="F382" s="1635">
        <f>F381+31</f>
        <v>44197</v>
      </c>
      <c r="G382" s="1633">
        <f>IF(SUM($G$301:G381)=1,0,IF($C$300&lt;F382,1,0))</f>
        <v>0</v>
      </c>
      <c r="H382" s="1635">
        <f t="shared" si="76"/>
        <v>44166</v>
      </c>
    </row>
    <row r="383" spans="6:8">
      <c r="F383" s="1635">
        <f>F382+31</f>
        <v>44228</v>
      </c>
      <c r="G383" s="1633">
        <f>IF(SUM($G$301:G382)=1,0,IF($C$300&lt;F383,1,0))</f>
        <v>0</v>
      </c>
      <c r="H383" s="1635">
        <f t="shared" si="76"/>
        <v>44197</v>
      </c>
    </row>
    <row r="384" spans="6:8">
      <c r="F384" s="1635">
        <f>IF(ISNA(VLOOKUP(F383,$E$4:$E$13,1,FALSE))=TRUE,F383+28,F383+29)</f>
        <v>44256</v>
      </c>
      <c r="G384" s="1633">
        <f>IF(SUM($G$301:G383)=1,0,IF($C$300&lt;F384,1,0))</f>
        <v>0</v>
      </c>
      <c r="H384" s="1635">
        <f t="shared" si="76"/>
        <v>44228</v>
      </c>
    </row>
    <row r="385" spans="6:8">
      <c r="F385" s="1635">
        <f>F384+31</f>
        <v>44287</v>
      </c>
      <c r="G385" s="1633">
        <f>IF(SUM($G$301:G384)=1,0,IF($C$300&lt;F385,1,0))</f>
        <v>0</v>
      </c>
      <c r="H385" s="1635">
        <f t="shared" si="76"/>
        <v>44256</v>
      </c>
    </row>
    <row r="386" spans="6:8">
      <c r="F386" s="1635">
        <f>F385+30</f>
        <v>44317</v>
      </c>
      <c r="G386" s="1633">
        <f>IF(SUM($G$301:G385)=1,0,IF($C$300&lt;F386,1,0))</f>
        <v>0</v>
      </c>
      <c r="H386" s="1635">
        <f t="shared" si="76"/>
        <v>44287</v>
      </c>
    </row>
    <row r="387" spans="6:8">
      <c r="F387" s="1635">
        <f>F386+31</f>
        <v>44348</v>
      </c>
      <c r="G387" s="1633">
        <f>IF(SUM($G$301:G386)=1,0,IF($C$300&lt;F387,1,0))</f>
        <v>0</v>
      </c>
      <c r="H387" s="1635">
        <f t="shared" si="76"/>
        <v>44317</v>
      </c>
    </row>
    <row r="388" spans="6:8">
      <c r="F388" s="1635">
        <f t="shared" ref="F388:F393" si="78">F387+30</f>
        <v>44378</v>
      </c>
      <c r="G388" s="1633">
        <f>IF(SUM($G$301:G387)=1,0,IF($C$300&lt;F388,1,0))</f>
        <v>0</v>
      </c>
      <c r="H388" s="1635">
        <f t="shared" si="76"/>
        <v>44348</v>
      </c>
    </row>
    <row r="389" spans="6:8">
      <c r="F389" s="1635">
        <f>F388+31</f>
        <v>44409</v>
      </c>
      <c r="G389" s="1633">
        <f>IF(SUM($G$301:G388)=1,0,IF($C$300&lt;F389,1,0))</f>
        <v>0</v>
      </c>
      <c r="H389" s="1635">
        <f t="shared" si="76"/>
        <v>44378</v>
      </c>
    </row>
    <row r="390" spans="6:8">
      <c r="F390" s="1635">
        <f>F389+31</f>
        <v>44440</v>
      </c>
      <c r="G390" s="1633">
        <f>IF(SUM($G$301:G389)=1,0,IF($C$300&lt;F390,1,0))</f>
        <v>0</v>
      </c>
      <c r="H390" s="1635">
        <f t="shared" si="76"/>
        <v>44409</v>
      </c>
    </row>
    <row r="391" spans="6:8">
      <c r="F391" s="1635">
        <f t="shared" si="78"/>
        <v>44470</v>
      </c>
      <c r="G391" s="1633">
        <f>IF(SUM($G$301:G390)=1,0,IF($C$300&lt;F391,1,0))</f>
        <v>0</v>
      </c>
      <c r="H391" s="1635">
        <f t="shared" si="76"/>
        <v>44440</v>
      </c>
    </row>
    <row r="392" spans="6:8">
      <c r="F392" s="1635">
        <f>F391+31</f>
        <v>44501</v>
      </c>
      <c r="G392" s="1633">
        <f>IF(SUM($G$301:G391)=1,0,IF($C$300&lt;F392,1,0))</f>
        <v>0</v>
      </c>
      <c r="H392" s="1635">
        <f t="shared" si="76"/>
        <v>44470</v>
      </c>
    </row>
    <row r="393" spans="6:8">
      <c r="F393" s="1635">
        <f t="shared" si="78"/>
        <v>44531</v>
      </c>
      <c r="G393" s="1633">
        <f>IF(SUM($G$301:G392)=1,0,IF($C$300&lt;F393,1,0))</f>
        <v>0</v>
      </c>
      <c r="H393" s="1635">
        <f t="shared" si="76"/>
        <v>44501</v>
      </c>
    </row>
    <row r="394" spans="6:8">
      <c r="F394" s="1635">
        <f>F393+31</f>
        <v>44562</v>
      </c>
      <c r="G394" s="1633">
        <f>IF(SUM($G$301:G393)=1,0,IF($C$300&lt;F394,1,0))</f>
        <v>0</v>
      </c>
      <c r="H394" s="1635">
        <f t="shared" si="76"/>
        <v>44531</v>
      </c>
    </row>
    <row r="395" spans="6:8">
      <c r="F395" s="1635">
        <f>F394+31</f>
        <v>44593</v>
      </c>
      <c r="G395" s="1633">
        <f>IF(SUM($G$301:G394)=1,0,IF($C$300&lt;F395,1,0))</f>
        <v>0</v>
      </c>
      <c r="H395" s="1635">
        <f t="shared" si="76"/>
        <v>44562</v>
      </c>
    </row>
    <row r="396" spans="6:8">
      <c r="F396" s="1635">
        <f>IF(ISNA(VLOOKUP(F395,$E$4:$E$13,1,FALSE))=TRUE,F395+28,F395+29)</f>
        <v>44621</v>
      </c>
      <c r="G396" s="1633">
        <f>IF(SUM($G$301:G395)=1,0,IF($C$300&lt;F396,1,0))</f>
        <v>0</v>
      </c>
      <c r="H396" s="1635">
        <f t="shared" si="76"/>
        <v>44593</v>
      </c>
    </row>
    <row r="397" spans="6:8">
      <c r="F397" s="1635">
        <f>F396+31</f>
        <v>44652</v>
      </c>
      <c r="G397" s="1633">
        <f>IF(SUM($G$301:G396)=1,0,IF($C$300&lt;F397,1,0))</f>
        <v>0</v>
      </c>
      <c r="H397" s="1635">
        <f t="shared" si="76"/>
        <v>44621</v>
      </c>
    </row>
    <row r="398" spans="6:8">
      <c r="F398" s="1635">
        <f>F397+30</f>
        <v>44682</v>
      </c>
      <c r="G398" s="1633">
        <f>IF(SUM($G$301:G397)=1,0,IF($C$300&lt;F398,1,0))</f>
        <v>0</v>
      </c>
      <c r="H398" s="1635">
        <f t="shared" si="76"/>
        <v>44652</v>
      </c>
    </row>
    <row r="399" spans="6:8">
      <c r="F399" s="1635">
        <f>F398+31</f>
        <v>44713</v>
      </c>
      <c r="G399" s="1633">
        <f>IF(SUM($G$301:G398)=1,0,IF($C$300&lt;F399,1,0))</f>
        <v>0</v>
      </c>
      <c r="H399" s="1635">
        <f t="shared" si="76"/>
        <v>44682</v>
      </c>
    </row>
    <row r="400" spans="6:8">
      <c r="F400" s="1635">
        <f t="shared" ref="F400:F405" si="79">F399+30</f>
        <v>44743</v>
      </c>
      <c r="G400" s="1633">
        <f>IF(SUM($G$301:G399)=1,0,IF($C$300&lt;F400,1,0))</f>
        <v>0</v>
      </c>
      <c r="H400" s="1635">
        <f t="shared" si="76"/>
        <v>44713</v>
      </c>
    </row>
    <row r="401" spans="6:8">
      <c r="F401" s="1635">
        <f>F400+31</f>
        <v>44774</v>
      </c>
      <c r="G401" s="1633">
        <f>IF(SUM($G$301:G400)=1,0,IF($C$300&lt;F401,1,0))</f>
        <v>0</v>
      </c>
      <c r="H401" s="1635">
        <f t="shared" si="76"/>
        <v>44743</v>
      </c>
    </row>
    <row r="402" spans="6:8">
      <c r="F402" s="1635">
        <f>F401+31</f>
        <v>44805</v>
      </c>
      <c r="G402" s="1633">
        <f>IF(SUM($G$301:G401)=1,0,IF($C$300&lt;F402,1,0))</f>
        <v>1</v>
      </c>
      <c r="H402" s="1635">
        <f t="shared" si="76"/>
        <v>44774</v>
      </c>
    </row>
    <row r="403" spans="6:8">
      <c r="F403" s="1635">
        <f t="shared" si="79"/>
        <v>44835</v>
      </c>
      <c r="G403" s="1633">
        <f>IF(SUM($G$301:G402)=1,0,IF($C$300&lt;F403,1,0))</f>
        <v>0</v>
      </c>
      <c r="H403" s="1635">
        <f t="shared" si="76"/>
        <v>44805</v>
      </c>
    </row>
    <row r="404" spans="6:8">
      <c r="F404" s="1635">
        <f>F403+31</f>
        <v>44866</v>
      </c>
      <c r="G404" s="1633">
        <f>IF(SUM($G$301:G403)=1,0,IF($C$300&lt;F404,1,0))</f>
        <v>0</v>
      </c>
      <c r="H404" s="1635">
        <f t="shared" si="76"/>
        <v>44835</v>
      </c>
    </row>
    <row r="405" spans="6:8">
      <c r="F405" s="1635">
        <f t="shared" si="79"/>
        <v>44896</v>
      </c>
      <c r="G405" s="1633">
        <f>IF(SUM($G$301:G404)=1,0,IF($C$300&lt;F405,1,0))</f>
        <v>0</v>
      </c>
      <c r="H405" s="1635">
        <f t="shared" si="76"/>
        <v>44866</v>
      </c>
    </row>
    <row r="406" spans="6:8">
      <c r="F406" s="1635">
        <f>F405+31</f>
        <v>44927</v>
      </c>
      <c r="G406" s="1633">
        <f>IF(SUM($G$301:G405)=1,0,IF($C$300&lt;F406,1,0))</f>
        <v>0</v>
      </c>
      <c r="H406" s="1635">
        <f t="shared" si="76"/>
        <v>44896</v>
      </c>
    </row>
    <row r="407" spans="6:8">
      <c r="F407" s="1635">
        <f>F406+31</f>
        <v>44958</v>
      </c>
      <c r="G407" s="1633">
        <f>IF(SUM($G$301:G406)=1,0,IF($C$300&lt;F407,1,0))</f>
        <v>0</v>
      </c>
      <c r="H407" s="1635">
        <f t="shared" si="76"/>
        <v>44927</v>
      </c>
    </row>
    <row r="408" spans="6:8">
      <c r="F408" s="1635">
        <f>IF(ISNA(VLOOKUP(F407,$E$4:$E$13,1,FALSE))=TRUE,F407+28,F407+29)</f>
        <v>44986</v>
      </c>
      <c r="G408" s="1633">
        <f>IF(SUM($G$301:G407)=1,0,IF($C$300&lt;F408,1,0))</f>
        <v>0</v>
      </c>
      <c r="H408" s="1635">
        <f t="shared" si="76"/>
        <v>44958</v>
      </c>
    </row>
    <row r="409" spans="6:8">
      <c r="F409" s="1635">
        <f>F408+31</f>
        <v>45017</v>
      </c>
      <c r="G409" s="1633">
        <f>IF(SUM($G$301:G408)=1,0,IF($C$300&lt;F409,1,0))</f>
        <v>0</v>
      </c>
      <c r="H409" s="1635">
        <f t="shared" si="76"/>
        <v>44986</v>
      </c>
    </row>
    <row r="410" spans="6:8">
      <c r="F410" s="1635">
        <f>F409+30</f>
        <v>45047</v>
      </c>
      <c r="G410" s="1633">
        <f>IF(SUM($G$301:G409)=1,0,IF($C$300&lt;F410,1,0))</f>
        <v>0</v>
      </c>
      <c r="H410" s="1635">
        <f t="shared" si="76"/>
        <v>45017</v>
      </c>
    </row>
    <row r="411" spans="6:8">
      <c r="F411" s="1635">
        <f>F410+31</f>
        <v>45078</v>
      </c>
      <c r="G411" s="1633">
        <f>IF(SUM($G$301:G410)=1,0,IF($C$300&lt;F411,1,0))</f>
        <v>0</v>
      </c>
      <c r="H411" s="1635">
        <f t="shared" si="76"/>
        <v>45047</v>
      </c>
    </row>
    <row r="412" spans="6:8">
      <c r="F412" s="1635">
        <f t="shared" ref="F412:F417" si="80">F411+30</f>
        <v>45108</v>
      </c>
      <c r="G412" s="1633">
        <f>IF(SUM($G$301:G411)=1,0,IF($C$300&lt;F412,1,0))</f>
        <v>0</v>
      </c>
      <c r="H412" s="1635">
        <f t="shared" si="76"/>
        <v>45078</v>
      </c>
    </row>
    <row r="413" spans="6:8">
      <c r="F413" s="1635">
        <f>F412+31</f>
        <v>45139</v>
      </c>
      <c r="G413" s="1633">
        <f>IF(SUM($G$301:G412)=1,0,IF($C$300&lt;F413,1,0))</f>
        <v>0</v>
      </c>
      <c r="H413" s="1635">
        <f t="shared" si="76"/>
        <v>45108</v>
      </c>
    </row>
    <row r="414" spans="6:8">
      <c r="F414" s="1635">
        <f>F413+31</f>
        <v>45170</v>
      </c>
      <c r="G414" s="1633">
        <f>IF(SUM($G$301:G413)=1,0,IF($C$300&lt;F414,1,0))</f>
        <v>0</v>
      </c>
      <c r="H414" s="1635">
        <f t="shared" si="76"/>
        <v>45139</v>
      </c>
    </row>
    <row r="415" spans="6:8">
      <c r="F415" s="1635">
        <f t="shared" si="80"/>
        <v>45200</v>
      </c>
      <c r="G415" s="1633">
        <f>IF(SUM($G$301:G414)=1,0,IF($C$300&lt;F415,1,0))</f>
        <v>0</v>
      </c>
      <c r="H415" s="1635">
        <f t="shared" si="76"/>
        <v>45170</v>
      </c>
    </row>
    <row r="416" spans="6:8">
      <c r="F416" s="1635">
        <f>F415+31</f>
        <v>45231</v>
      </c>
      <c r="G416" s="1633">
        <f>IF(SUM($G$301:G415)=1,0,IF($C$300&lt;F416,1,0))</f>
        <v>0</v>
      </c>
      <c r="H416" s="1635">
        <f t="shared" si="76"/>
        <v>45200</v>
      </c>
    </row>
    <row r="417" spans="6:8">
      <c r="F417" s="1635">
        <f t="shared" si="80"/>
        <v>45261</v>
      </c>
      <c r="G417" s="1633">
        <f>IF(SUM($G$301:G416)=1,0,IF($C$300&lt;F417,1,0))</f>
        <v>0</v>
      </c>
      <c r="H417" s="1635">
        <f t="shared" si="76"/>
        <v>45231</v>
      </c>
    </row>
    <row r="418" spans="6:8">
      <c r="F418" s="1635">
        <f>F417+31</f>
        <v>45292</v>
      </c>
      <c r="G418" s="1633">
        <f>IF(SUM($G$301:G417)=1,0,IF($C$300&lt;F418,1,0))</f>
        <v>0</v>
      </c>
      <c r="H418" s="1635">
        <f t="shared" si="76"/>
        <v>45261</v>
      </c>
    </row>
    <row r="419" spans="6:8">
      <c r="F419" s="1635">
        <f>F418+31</f>
        <v>45323</v>
      </c>
      <c r="G419" s="1633">
        <f>IF(SUM($G$301:G418)=1,0,IF($C$300&lt;F419,1,0))</f>
        <v>0</v>
      </c>
      <c r="H419" s="1635">
        <f t="shared" si="76"/>
        <v>45292</v>
      </c>
    </row>
    <row r="420" spans="6:8">
      <c r="F420" s="1635">
        <f>IF(ISNA(VLOOKUP(F419,$E$4:$E$13,1,FALSE))=TRUE,F419+28,F419+29)</f>
        <v>45352</v>
      </c>
      <c r="G420" s="1633">
        <f>IF(SUM($G$301:G419)=1,0,IF($C$300&lt;F420,1,0))</f>
        <v>0</v>
      </c>
      <c r="H420" s="1635">
        <f t="shared" si="76"/>
        <v>45323</v>
      </c>
    </row>
    <row r="421" spans="6:8">
      <c r="F421" s="1635">
        <f>F420+31</f>
        <v>45383</v>
      </c>
      <c r="G421" s="1633">
        <f>IF(SUM($G$301:G420)=1,0,IF($C$300&lt;F421,1,0))</f>
        <v>0</v>
      </c>
      <c r="H421" s="1635">
        <f t="shared" si="76"/>
        <v>45352</v>
      </c>
    </row>
    <row r="422" spans="6:8">
      <c r="F422" s="1635">
        <f>F421+30</f>
        <v>45413</v>
      </c>
      <c r="G422" s="1633">
        <f>IF(SUM($G$301:G421)=1,0,IF($C$300&lt;F422,1,0))</f>
        <v>0</v>
      </c>
      <c r="H422" s="1635">
        <f t="shared" si="76"/>
        <v>45383</v>
      </c>
    </row>
    <row r="423" spans="6:8">
      <c r="F423" s="1635">
        <f>F422+31</f>
        <v>45444</v>
      </c>
      <c r="G423" s="1633">
        <f>IF(SUM($G$301:G422)=1,0,IF($C$300&lt;F423,1,0))</f>
        <v>0</v>
      </c>
      <c r="H423" s="1635">
        <f t="shared" si="76"/>
        <v>45413</v>
      </c>
    </row>
    <row r="424" spans="6:8">
      <c r="F424" s="1635">
        <f t="shared" ref="F424:F429" si="81">F423+30</f>
        <v>45474</v>
      </c>
      <c r="G424" s="1633">
        <f>IF(SUM($G$301:G423)=1,0,IF($C$300&lt;F424,1,0))</f>
        <v>0</v>
      </c>
      <c r="H424" s="1635">
        <f t="shared" si="76"/>
        <v>45444</v>
      </c>
    </row>
    <row r="425" spans="6:8">
      <c r="F425" s="1635">
        <f>F424+31</f>
        <v>45505</v>
      </c>
      <c r="G425" s="1633">
        <f>IF(SUM($G$301:G424)=1,0,IF($C$300&lt;F425,1,0))</f>
        <v>0</v>
      </c>
      <c r="H425" s="1635">
        <f t="shared" si="76"/>
        <v>45474</v>
      </c>
    </row>
    <row r="426" spans="6:8">
      <c r="F426" s="1635">
        <f>F425+31</f>
        <v>45536</v>
      </c>
      <c r="G426" s="1633">
        <f>IF(SUM($G$301:G425)=1,0,IF($C$300&lt;F426,1,0))</f>
        <v>0</v>
      </c>
      <c r="H426" s="1635">
        <f t="shared" si="76"/>
        <v>45505</v>
      </c>
    </row>
    <row r="427" spans="6:8">
      <c r="F427" s="1635">
        <f t="shared" si="81"/>
        <v>45566</v>
      </c>
      <c r="G427" s="1633">
        <f>IF(SUM($G$301:G426)=1,0,IF($C$300&lt;F427,1,0))</f>
        <v>0</v>
      </c>
      <c r="H427" s="1635">
        <f t="shared" si="76"/>
        <v>45536</v>
      </c>
    </row>
    <row r="428" spans="6:8">
      <c r="F428" s="1635">
        <f>F427+31</f>
        <v>45597</v>
      </c>
      <c r="G428" s="1633">
        <f>IF(SUM($G$301:G427)=1,0,IF($C$300&lt;F428,1,0))</f>
        <v>0</v>
      </c>
      <c r="H428" s="1635">
        <f t="shared" si="76"/>
        <v>45566</v>
      </c>
    </row>
    <row r="429" spans="6:8">
      <c r="F429" s="1635">
        <f t="shared" si="81"/>
        <v>45627</v>
      </c>
      <c r="G429" s="1633">
        <f>IF(SUM($G$301:G428)=1,0,IF($C$300&lt;F429,1,0))</f>
        <v>0</v>
      </c>
      <c r="H429" s="1635">
        <f t="shared" si="76"/>
        <v>45597</v>
      </c>
    </row>
    <row r="430" spans="6:8">
      <c r="F430" s="1635">
        <f>F429+31</f>
        <v>45658</v>
      </c>
      <c r="G430" s="1633">
        <f>IF(SUM($G$301:G429)=1,0,IF($C$300&lt;F430,1,0))</f>
        <v>0</v>
      </c>
      <c r="H430" s="1635">
        <f t="shared" si="76"/>
        <v>45627</v>
      </c>
    </row>
    <row r="431" spans="6:8">
      <c r="F431" s="1635">
        <f>F430+31</f>
        <v>45689</v>
      </c>
      <c r="G431" s="1633">
        <f>IF(SUM($G$301:G430)=1,0,IF($C$300&lt;F431,1,0))</f>
        <v>0</v>
      </c>
      <c r="H431" s="1635">
        <f t="shared" si="76"/>
        <v>45658</v>
      </c>
    </row>
    <row r="432" spans="6:8">
      <c r="F432" s="1635">
        <f>IF(ISNA(VLOOKUP(F431,$E$4:$E$13,1,FALSE))=TRUE,F431+28,F431+29)</f>
        <v>45717</v>
      </c>
      <c r="G432" s="1633">
        <f>IF(SUM($G$301:G431)=1,0,IF($C$300&lt;F432,1,0))</f>
        <v>0</v>
      </c>
      <c r="H432" s="1635">
        <f t="shared" ref="H432:H495" si="82">F431</f>
        <v>45689</v>
      </c>
    </row>
    <row r="433" spans="6:8">
      <c r="F433" s="1635">
        <f>F432+31</f>
        <v>45748</v>
      </c>
      <c r="G433" s="1633">
        <f>IF(SUM($G$301:G432)=1,0,IF($C$300&lt;F433,1,0))</f>
        <v>0</v>
      </c>
      <c r="H433" s="1635">
        <f t="shared" si="82"/>
        <v>45717</v>
      </c>
    </row>
    <row r="434" spans="6:8">
      <c r="F434" s="1635">
        <f>F433+30</f>
        <v>45778</v>
      </c>
      <c r="G434" s="1633">
        <f>IF(SUM($G$301:G433)=1,0,IF($C$300&lt;F434,1,0))</f>
        <v>0</v>
      </c>
      <c r="H434" s="1635">
        <f t="shared" si="82"/>
        <v>45748</v>
      </c>
    </row>
    <row r="435" spans="6:8">
      <c r="F435" s="1635">
        <f>F434+31</f>
        <v>45809</v>
      </c>
      <c r="G435" s="1633">
        <f>IF(SUM($G$301:G434)=1,0,IF($C$300&lt;F435,1,0))</f>
        <v>0</v>
      </c>
      <c r="H435" s="1635">
        <f t="shared" si="82"/>
        <v>45778</v>
      </c>
    </row>
    <row r="436" spans="6:8">
      <c r="F436" s="1635">
        <f t="shared" ref="F436:F441" si="83">F435+30</f>
        <v>45839</v>
      </c>
      <c r="G436" s="1633">
        <f>IF(SUM($G$301:G435)=1,0,IF($C$300&lt;F436,1,0))</f>
        <v>0</v>
      </c>
      <c r="H436" s="1635">
        <f t="shared" si="82"/>
        <v>45809</v>
      </c>
    </row>
    <row r="437" spans="6:8">
      <c r="F437" s="1635">
        <f>F436+31</f>
        <v>45870</v>
      </c>
      <c r="G437" s="1633">
        <f>IF(SUM($G$301:G436)=1,0,IF($C$300&lt;F437,1,0))</f>
        <v>0</v>
      </c>
      <c r="H437" s="1635">
        <f t="shared" si="82"/>
        <v>45839</v>
      </c>
    </row>
    <row r="438" spans="6:8">
      <c r="F438" s="1635">
        <f>F437+31</f>
        <v>45901</v>
      </c>
      <c r="G438" s="1633">
        <f>IF(SUM($G$301:G437)=1,0,IF($C$300&lt;F438,1,0))</f>
        <v>0</v>
      </c>
      <c r="H438" s="1635">
        <f t="shared" si="82"/>
        <v>45870</v>
      </c>
    </row>
    <row r="439" spans="6:8">
      <c r="F439" s="1635">
        <f t="shared" si="83"/>
        <v>45931</v>
      </c>
      <c r="G439" s="1633">
        <f>IF(SUM($G$301:G438)=1,0,IF($C$300&lt;F439,1,0))</f>
        <v>0</v>
      </c>
      <c r="H439" s="1635">
        <f t="shared" si="82"/>
        <v>45901</v>
      </c>
    </row>
    <row r="440" spans="6:8">
      <c r="F440" s="1635">
        <f>F439+31</f>
        <v>45962</v>
      </c>
      <c r="G440" s="1633">
        <f>IF(SUM($G$301:G439)=1,0,IF($C$300&lt;F440,1,0))</f>
        <v>0</v>
      </c>
      <c r="H440" s="1635">
        <f t="shared" si="82"/>
        <v>45931</v>
      </c>
    </row>
    <row r="441" spans="6:8">
      <c r="F441" s="1635">
        <f t="shared" si="83"/>
        <v>45992</v>
      </c>
      <c r="G441" s="1633">
        <f>IF(SUM($G$301:G440)=1,0,IF($C$300&lt;F441,1,0))</f>
        <v>0</v>
      </c>
      <c r="H441" s="1635">
        <f t="shared" si="82"/>
        <v>45962</v>
      </c>
    </row>
    <row r="442" spans="6:8">
      <c r="F442" s="1635">
        <f>F441+31</f>
        <v>46023</v>
      </c>
      <c r="G442" s="1633">
        <f>IF(SUM($G$301:G441)=1,0,IF($C$300&lt;F442,1,0))</f>
        <v>0</v>
      </c>
      <c r="H442" s="1635">
        <f t="shared" si="82"/>
        <v>45992</v>
      </c>
    </row>
    <row r="443" spans="6:8">
      <c r="F443" s="1635">
        <f>F442+31</f>
        <v>46054</v>
      </c>
      <c r="G443" s="1633">
        <f>IF(SUM($G$301:G442)=1,0,IF($C$300&lt;F443,1,0))</f>
        <v>0</v>
      </c>
      <c r="H443" s="1635">
        <f t="shared" si="82"/>
        <v>46023</v>
      </c>
    </row>
    <row r="444" spans="6:8">
      <c r="F444" s="1635">
        <f>IF(ISNA(VLOOKUP(F443,$E$4:$E$13,1,FALSE))=TRUE,F443+28,F443+29)</f>
        <v>46082</v>
      </c>
      <c r="G444" s="1633">
        <f>IF(SUM($G$301:G443)=1,0,IF($C$300&lt;F444,1,0))</f>
        <v>0</v>
      </c>
      <c r="H444" s="1635">
        <f t="shared" si="82"/>
        <v>46054</v>
      </c>
    </row>
    <row r="445" spans="6:8">
      <c r="F445" s="1635">
        <f>F444+31</f>
        <v>46113</v>
      </c>
      <c r="G445" s="1633">
        <f>IF(SUM($G$301:G444)=1,0,IF($C$300&lt;F445,1,0))</f>
        <v>0</v>
      </c>
      <c r="H445" s="1635">
        <f t="shared" si="82"/>
        <v>46082</v>
      </c>
    </row>
    <row r="446" spans="6:8">
      <c r="F446" s="1635">
        <f>F445+30</f>
        <v>46143</v>
      </c>
      <c r="G446" s="1633">
        <f>IF(SUM($G$301:G445)=1,0,IF($C$300&lt;F446,1,0))</f>
        <v>0</v>
      </c>
      <c r="H446" s="1635">
        <f t="shared" si="82"/>
        <v>46113</v>
      </c>
    </row>
    <row r="447" spans="6:8">
      <c r="F447" s="1635">
        <f>F446+31</f>
        <v>46174</v>
      </c>
      <c r="G447" s="1633">
        <f>IF(SUM($G$301:G446)=1,0,IF($C$300&lt;F447,1,0))</f>
        <v>0</v>
      </c>
      <c r="H447" s="1635">
        <f t="shared" si="82"/>
        <v>46143</v>
      </c>
    </row>
    <row r="448" spans="6:8">
      <c r="F448" s="1635">
        <f t="shared" ref="F448:F453" si="84">F447+30</f>
        <v>46204</v>
      </c>
      <c r="G448" s="1633">
        <f>IF(SUM($G$301:G447)=1,0,IF($C$300&lt;F448,1,0))</f>
        <v>0</v>
      </c>
      <c r="H448" s="1635">
        <f t="shared" si="82"/>
        <v>46174</v>
      </c>
    </row>
    <row r="449" spans="6:8">
      <c r="F449" s="1635">
        <f>F448+31</f>
        <v>46235</v>
      </c>
      <c r="G449" s="1633">
        <f>IF(SUM($G$301:G448)=1,0,IF($C$300&lt;F449,1,0))</f>
        <v>0</v>
      </c>
      <c r="H449" s="1635">
        <f t="shared" si="82"/>
        <v>46204</v>
      </c>
    </row>
    <row r="450" spans="6:8">
      <c r="F450" s="1635">
        <f>F449+31</f>
        <v>46266</v>
      </c>
      <c r="G450" s="1633">
        <f>IF(SUM($G$301:G449)=1,0,IF($C$300&lt;F450,1,0))</f>
        <v>0</v>
      </c>
      <c r="H450" s="1635">
        <f t="shared" si="82"/>
        <v>46235</v>
      </c>
    </row>
    <row r="451" spans="6:8">
      <c r="F451" s="1635">
        <f t="shared" si="84"/>
        <v>46296</v>
      </c>
      <c r="G451" s="1633">
        <f>IF(SUM($G$301:G450)=1,0,IF($C$300&lt;F451,1,0))</f>
        <v>0</v>
      </c>
      <c r="H451" s="1635">
        <f t="shared" si="82"/>
        <v>46266</v>
      </c>
    </row>
    <row r="452" spans="6:8">
      <c r="F452" s="1635">
        <f>F451+31</f>
        <v>46327</v>
      </c>
      <c r="G452" s="1633">
        <f>IF(SUM($G$301:G451)=1,0,IF($C$300&lt;F452,1,0))</f>
        <v>0</v>
      </c>
      <c r="H452" s="1635">
        <f t="shared" si="82"/>
        <v>46296</v>
      </c>
    </row>
    <row r="453" spans="6:8">
      <c r="F453" s="1635">
        <f t="shared" si="84"/>
        <v>46357</v>
      </c>
      <c r="G453" s="1633">
        <f>IF(SUM($G$301:G452)=1,0,IF($C$300&lt;F453,1,0))</f>
        <v>0</v>
      </c>
      <c r="H453" s="1635">
        <f t="shared" si="82"/>
        <v>46327</v>
      </c>
    </row>
    <row r="454" spans="6:8">
      <c r="F454" s="1635">
        <f>F453+31</f>
        <v>46388</v>
      </c>
      <c r="G454" s="1633">
        <f>IF(SUM($G$301:G453)=1,0,IF($C$300&lt;F454,1,0))</f>
        <v>0</v>
      </c>
      <c r="H454" s="1635">
        <f t="shared" si="82"/>
        <v>46357</v>
      </c>
    </row>
    <row r="455" spans="6:8">
      <c r="F455" s="1635">
        <f>F454+31</f>
        <v>46419</v>
      </c>
      <c r="G455" s="1633">
        <f>IF(SUM($G$301:G454)=1,0,IF($C$300&lt;F455,1,0))</f>
        <v>0</v>
      </c>
      <c r="H455" s="1635">
        <f t="shared" si="82"/>
        <v>46388</v>
      </c>
    </row>
    <row r="456" spans="6:8">
      <c r="F456" s="1635">
        <f>IF(ISNA(VLOOKUP(F455,$E$4:$E$13,1,FALSE))=TRUE,F455+28,F455+29)</f>
        <v>46447</v>
      </c>
      <c r="G456" s="1633">
        <f>IF(SUM($G$301:G455)=1,0,IF($C$300&lt;F456,1,0))</f>
        <v>0</v>
      </c>
      <c r="H456" s="1635">
        <f t="shared" si="82"/>
        <v>46419</v>
      </c>
    </row>
    <row r="457" spans="6:8">
      <c r="F457" s="1635">
        <f>F456+31</f>
        <v>46478</v>
      </c>
      <c r="G457" s="1633">
        <f>IF(SUM($G$301:G456)=1,0,IF($C$300&lt;F457,1,0))</f>
        <v>0</v>
      </c>
      <c r="H457" s="1635">
        <f t="shared" si="82"/>
        <v>46447</v>
      </c>
    </row>
    <row r="458" spans="6:8">
      <c r="F458" s="1635">
        <f>F457+30</f>
        <v>46508</v>
      </c>
      <c r="G458" s="1633">
        <f>IF(SUM($G$301:G457)=1,0,IF($C$300&lt;F458,1,0))</f>
        <v>0</v>
      </c>
      <c r="H458" s="1635">
        <f t="shared" si="82"/>
        <v>46478</v>
      </c>
    </row>
    <row r="459" spans="6:8">
      <c r="F459" s="1635">
        <f>F458+31</f>
        <v>46539</v>
      </c>
      <c r="G459" s="1633">
        <f>IF(SUM($G$301:G458)=1,0,IF($C$300&lt;F459,1,0))</f>
        <v>0</v>
      </c>
      <c r="H459" s="1635">
        <f t="shared" si="82"/>
        <v>46508</v>
      </c>
    </row>
    <row r="460" spans="6:8">
      <c r="F460" s="1635">
        <f t="shared" ref="F460:F465" si="85">F459+30</f>
        <v>46569</v>
      </c>
      <c r="G460" s="1633">
        <f>IF(SUM($G$301:G459)=1,0,IF($C$300&lt;F460,1,0))</f>
        <v>0</v>
      </c>
      <c r="H460" s="1635">
        <f t="shared" si="82"/>
        <v>46539</v>
      </c>
    </row>
    <row r="461" spans="6:8">
      <c r="F461" s="1635">
        <f>F460+31</f>
        <v>46600</v>
      </c>
      <c r="G461" s="1633">
        <f>IF(SUM($G$301:G460)=1,0,IF($C$300&lt;F461,1,0))</f>
        <v>0</v>
      </c>
      <c r="H461" s="1635">
        <f t="shared" si="82"/>
        <v>46569</v>
      </c>
    </row>
    <row r="462" spans="6:8">
      <c r="F462" s="1635">
        <f>F461+31</f>
        <v>46631</v>
      </c>
      <c r="G462" s="1633">
        <f>IF(SUM($G$301:G461)=1,0,IF($C$300&lt;F462,1,0))</f>
        <v>0</v>
      </c>
      <c r="H462" s="1635">
        <f t="shared" si="82"/>
        <v>46600</v>
      </c>
    </row>
    <row r="463" spans="6:8">
      <c r="F463" s="1635">
        <f t="shared" si="85"/>
        <v>46661</v>
      </c>
      <c r="G463" s="1633">
        <f>IF(SUM($G$301:G462)=1,0,IF($C$300&lt;F463,1,0))</f>
        <v>0</v>
      </c>
      <c r="H463" s="1635">
        <f t="shared" si="82"/>
        <v>46631</v>
      </c>
    </row>
    <row r="464" spans="6:8">
      <c r="F464" s="1635">
        <f>F463+31</f>
        <v>46692</v>
      </c>
      <c r="G464" s="1633">
        <f>IF(SUM($G$301:G463)=1,0,IF($C$300&lt;F464,1,0))</f>
        <v>0</v>
      </c>
      <c r="H464" s="1635">
        <f t="shared" si="82"/>
        <v>46661</v>
      </c>
    </row>
    <row r="465" spans="6:8">
      <c r="F465" s="1635">
        <f t="shared" si="85"/>
        <v>46722</v>
      </c>
      <c r="G465" s="1633">
        <f>IF(SUM($G$301:G464)=1,0,IF($C$300&lt;F465,1,0))</f>
        <v>0</v>
      </c>
      <c r="H465" s="1635">
        <f t="shared" si="82"/>
        <v>46692</v>
      </c>
    </row>
    <row r="466" spans="6:8">
      <c r="F466" s="1635">
        <f>F465+31</f>
        <v>46753</v>
      </c>
      <c r="G466" s="1633">
        <f>IF(SUM($G$301:G465)=1,0,IF($C$300&lt;F466,1,0))</f>
        <v>0</v>
      </c>
      <c r="H466" s="1635">
        <f t="shared" si="82"/>
        <v>46722</v>
      </c>
    </row>
    <row r="467" spans="6:8">
      <c r="F467" s="1635">
        <f>F466+31</f>
        <v>46784</v>
      </c>
      <c r="G467" s="1633">
        <f>IF(SUM($G$301:G466)=1,0,IF($C$300&lt;F467,1,0))</f>
        <v>0</v>
      </c>
      <c r="H467" s="1635">
        <f t="shared" si="82"/>
        <v>46753</v>
      </c>
    </row>
    <row r="468" spans="6:8">
      <c r="F468" s="1635">
        <f>IF(ISNA(VLOOKUP(F467,$E$4:$E$13,1,FALSE))=TRUE,F467+28,F467+29)</f>
        <v>46813</v>
      </c>
      <c r="G468" s="1633">
        <f>IF(SUM($G$301:G467)=1,0,IF($C$300&lt;F468,1,0))</f>
        <v>0</v>
      </c>
      <c r="H468" s="1635">
        <f t="shared" si="82"/>
        <v>46784</v>
      </c>
    </row>
    <row r="469" spans="6:8">
      <c r="F469" s="1635">
        <f>F468+31</f>
        <v>46844</v>
      </c>
      <c r="G469" s="1633">
        <f>IF(SUM($G$301:G468)=1,0,IF($C$300&lt;F469,1,0))</f>
        <v>0</v>
      </c>
      <c r="H469" s="1635">
        <f t="shared" si="82"/>
        <v>46813</v>
      </c>
    </row>
    <row r="470" spans="6:8">
      <c r="F470" s="1635">
        <f>F469+30</f>
        <v>46874</v>
      </c>
      <c r="G470" s="1633">
        <f>IF(SUM($G$301:G469)=1,0,IF($C$300&lt;F470,1,0))</f>
        <v>0</v>
      </c>
      <c r="H470" s="1635">
        <f t="shared" si="82"/>
        <v>46844</v>
      </c>
    </row>
    <row r="471" spans="6:8">
      <c r="F471" s="1635">
        <f>F470+31</f>
        <v>46905</v>
      </c>
      <c r="G471" s="1633">
        <f>IF(SUM($G$301:G470)=1,0,IF($C$300&lt;F471,1,0))</f>
        <v>0</v>
      </c>
      <c r="H471" s="1635">
        <f t="shared" si="82"/>
        <v>46874</v>
      </c>
    </row>
    <row r="472" spans="6:8">
      <c r="F472" s="1635">
        <f t="shared" ref="F472:F477" si="86">F471+30</f>
        <v>46935</v>
      </c>
      <c r="G472" s="1633">
        <f>IF(SUM($G$301:G471)=1,0,IF($C$300&lt;F472,1,0))</f>
        <v>0</v>
      </c>
      <c r="H472" s="1635">
        <f t="shared" si="82"/>
        <v>46905</v>
      </c>
    </row>
    <row r="473" spans="6:8">
      <c r="F473" s="1635">
        <f>F472+31</f>
        <v>46966</v>
      </c>
      <c r="G473" s="1633">
        <f>IF(SUM($G$301:G472)=1,0,IF($C$300&lt;F473,1,0))</f>
        <v>0</v>
      </c>
      <c r="H473" s="1635">
        <f t="shared" si="82"/>
        <v>46935</v>
      </c>
    </row>
    <row r="474" spans="6:8">
      <c r="F474" s="1635">
        <f>F473+31</f>
        <v>46997</v>
      </c>
      <c r="G474" s="1633">
        <f>IF(SUM($G$301:G473)=1,0,IF($C$300&lt;F474,1,0))</f>
        <v>0</v>
      </c>
      <c r="H474" s="1635">
        <f t="shared" si="82"/>
        <v>46966</v>
      </c>
    </row>
    <row r="475" spans="6:8">
      <c r="F475" s="1635">
        <f t="shared" si="86"/>
        <v>47027</v>
      </c>
      <c r="G475" s="1633">
        <f>IF(SUM($G$301:G474)=1,0,IF($C$300&lt;F475,1,0))</f>
        <v>0</v>
      </c>
      <c r="H475" s="1635">
        <f t="shared" si="82"/>
        <v>46997</v>
      </c>
    </row>
    <row r="476" spans="6:8">
      <c r="F476" s="1635">
        <f>F475+31</f>
        <v>47058</v>
      </c>
      <c r="G476" s="1633">
        <f>IF(SUM($G$301:G475)=1,0,IF($C$300&lt;F476,1,0))</f>
        <v>0</v>
      </c>
      <c r="H476" s="1635">
        <f t="shared" si="82"/>
        <v>47027</v>
      </c>
    </row>
    <row r="477" spans="6:8">
      <c r="F477" s="1635">
        <f t="shared" si="86"/>
        <v>47088</v>
      </c>
      <c r="G477" s="1633">
        <f>IF(SUM($G$301:G476)=1,0,IF($C$300&lt;F477,1,0))</f>
        <v>0</v>
      </c>
      <c r="H477" s="1635">
        <f t="shared" si="82"/>
        <v>47058</v>
      </c>
    </row>
    <row r="478" spans="6:8">
      <c r="F478" s="1635">
        <f>F477+31</f>
        <v>47119</v>
      </c>
      <c r="G478" s="1633">
        <f>IF(SUM($G$301:G477)=1,0,IF($C$300&lt;F478,1,0))</f>
        <v>0</v>
      </c>
      <c r="H478" s="1635">
        <f t="shared" si="82"/>
        <v>47088</v>
      </c>
    </row>
    <row r="479" spans="6:8">
      <c r="F479" s="1635">
        <f>F478+31</f>
        <v>47150</v>
      </c>
      <c r="G479" s="1633">
        <f>IF(SUM($G$301:G478)=1,0,IF($C$300&lt;F479,1,0))</f>
        <v>0</v>
      </c>
      <c r="H479" s="1635">
        <f t="shared" si="82"/>
        <v>47119</v>
      </c>
    </row>
    <row r="480" spans="6:8">
      <c r="F480" s="1635">
        <f>IF(ISNA(VLOOKUP(F479,$E$4:$E$13,1,FALSE))=TRUE,F479+28,F479+29)</f>
        <v>47178</v>
      </c>
      <c r="G480" s="1633">
        <f>IF(SUM($G$301:G479)=1,0,IF($C$300&lt;F480,1,0))</f>
        <v>0</v>
      </c>
      <c r="H480" s="1635">
        <f t="shared" si="82"/>
        <v>47150</v>
      </c>
    </row>
    <row r="481" spans="6:8">
      <c r="F481" s="1635">
        <f>F480+31</f>
        <v>47209</v>
      </c>
      <c r="G481" s="1633">
        <f>IF(SUM($G$301:G480)=1,0,IF($C$300&lt;F481,1,0))</f>
        <v>0</v>
      </c>
      <c r="H481" s="1635">
        <f t="shared" si="82"/>
        <v>47178</v>
      </c>
    </row>
    <row r="482" spans="6:8">
      <c r="F482" s="1635">
        <f>F481+30</f>
        <v>47239</v>
      </c>
      <c r="G482" s="1633">
        <f>IF(SUM($G$301:G481)=1,0,IF($C$300&lt;F482,1,0))</f>
        <v>0</v>
      </c>
      <c r="H482" s="1635">
        <f t="shared" si="82"/>
        <v>47209</v>
      </c>
    </row>
    <row r="483" spans="6:8">
      <c r="F483" s="1635">
        <f>F482+31</f>
        <v>47270</v>
      </c>
      <c r="G483" s="1633">
        <f>IF(SUM($G$301:G482)=1,0,IF($C$300&lt;F483,1,0))</f>
        <v>0</v>
      </c>
      <c r="H483" s="1635">
        <f t="shared" si="82"/>
        <v>47239</v>
      </c>
    </row>
    <row r="484" spans="6:8">
      <c r="F484" s="1635">
        <f t="shared" ref="F484:F489" si="87">F483+30</f>
        <v>47300</v>
      </c>
      <c r="G484" s="1633">
        <f>IF(SUM($G$301:G483)=1,0,IF($C$300&lt;F484,1,0))</f>
        <v>0</v>
      </c>
      <c r="H484" s="1635">
        <f t="shared" si="82"/>
        <v>47270</v>
      </c>
    </row>
    <row r="485" spans="6:8">
      <c r="F485" s="1635">
        <f>F484+31</f>
        <v>47331</v>
      </c>
      <c r="G485" s="1633">
        <f>IF(SUM($G$301:G484)=1,0,IF($C$300&lt;F485,1,0))</f>
        <v>0</v>
      </c>
      <c r="H485" s="1635">
        <f t="shared" si="82"/>
        <v>47300</v>
      </c>
    </row>
    <row r="486" spans="6:8">
      <c r="F486" s="1635">
        <f>F485+31</f>
        <v>47362</v>
      </c>
      <c r="G486" s="1633">
        <f>IF(SUM($G$301:G485)=1,0,IF($C$300&lt;F486,1,0))</f>
        <v>0</v>
      </c>
      <c r="H486" s="1635">
        <f t="shared" si="82"/>
        <v>47331</v>
      </c>
    </row>
    <row r="487" spans="6:8">
      <c r="F487" s="1635">
        <f t="shared" si="87"/>
        <v>47392</v>
      </c>
      <c r="G487" s="1633">
        <f>IF(SUM($G$301:G486)=1,0,IF($C$300&lt;F487,1,0))</f>
        <v>0</v>
      </c>
      <c r="H487" s="1635">
        <f t="shared" si="82"/>
        <v>47362</v>
      </c>
    </row>
    <row r="488" spans="6:8">
      <c r="F488" s="1635">
        <f>F487+31</f>
        <v>47423</v>
      </c>
      <c r="G488" s="1633">
        <f>IF(SUM($G$301:G487)=1,0,IF($C$300&lt;F488,1,0))</f>
        <v>0</v>
      </c>
      <c r="H488" s="1635">
        <f t="shared" si="82"/>
        <v>47392</v>
      </c>
    </row>
    <row r="489" spans="6:8">
      <c r="F489" s="1635">
        <f t="shared" si="87"/>
        <v>47453</v>
      </c>
      <c r="G489" s="1633">
        <f>IF(SUM($G$301:G488)=1,0,IF($C$300&lt;F489,1,0))</f>
        <v>0</v>
      </c>
      <c r="H489" s="1635">
        <f t="shared" si="82"/>
        <v>47423</v>
      </c>
    </row>
    <row r="490" spans="6:8">
      <c r="F490" s="1635">
        <f>F489+31</f>
        <v>47484</v>
      </c>
      <c r="G490" s="1633">
        <f>IF(SUM($G$301:G489)=1,0,IF($C$300&lt;F490,1,0))</f>
        <v>0</v>
      </c>
      <c r="H490" s="1635">
        <f t="shared" si="82"/>
        <v>47453</v>
      </c>
    </row>
    <row r="491" spans="6:8">
      <c r="F491" s="1635">
        <f>F490+31</f>
        <v>47515</v>
      </c>
      <c r="G491" s="1633">
        <f>IF(SUM($G$301:G490)=1,0,IF($C$300&lt;F491,1,0))</f>
        <v>0</v>
      </c>
      <c r="H491" s="1635">
        <f t="shared" si="82"/>
        <v>47484</v>
      </c>
    </row>
    <row r="492" spans="6:8">
      <c r="F492" s="1635">
        <f>IF(ISNA(VLOOKUP(F491,$E$4:$E$13,1,FALSE))=TRUE,F491+28,F491+29)</f>
        <v>47543</v>
      </c>
      <c r="G492" s="1633">
        <f>IF(SUM($G$301:G491)=1,0,IF($C$300&lt;F492,1,0))</f>
        <v>0</v>
      </c>
      <c r="H492" s="1635">
        <f t="shared" si="82"/>
        <v>47515</v>
      </c>
    </row>
    <row r="493" spans="6:8">
      <c r="F493" s="1635">
        <f>F492+31</f>
        <v>47574</v>
      </c>
      <c r="G493" s="1633">
        <f>IF(SUM($G$301:G492)=1,0,IF($C$300&lt;F493,1,0))</f>
        <v>0</v>
      </c>
      <c r="H493" s="1635">
        <f t="shared" si="82"/>
        <v>47543</v>
      </c>
    </row>
    <row r="494" spans="6:8">
      <c r="F494" s="1635">
        <f>F493+30</f>
        <v>47604</v>
      </c>
      <c r="G494" s="1633">
        <f>IF(SUM($G$301:G493)=1,0,IF($C$300&lt;F494,1,0))</f>
        <v>0</v>
      </c>
      <c r="H494" s="1635">
        <f t="shared" si="82"/>
        <v>47574</v>
      </c>
    </row>
    <row r="495" spans="6:8">
      <c r="F495" s="1635">
        <f>F494+31</f>
        <v>47635</v>
      </c>
      <c r="G495" s="1633">
        <f>IF(SUM($G$301:G494)=1,0,IF($C$300&lt;F495,1,0))</f>
        <v>0</v>
      </c>
      <c r="H495" s="1635">
        <f t="shared" si="82"/>
        <v>47604</v>
      </c>
    </row>
    <row r="496" spans="6:8">
      <c r="F496" s="1635">
        <f t="shared" ref="F496:F501" si="88">F495+30</f>
        <v>47665</v>
      </c>
      <c r="G496" s="1633">
        <f>IF(SUM($G$301:G495)=1,0,IF($C$300&lt;F496,1,0))</f>
        <v>0</v>
      </c>
      <c r="H496" s="1635">
        <f t="shared" ref="H496:H505" si="89">F495</f>
        <v>47635</v>
      </c>
    </row>
    <row r="497" spans="6:8">
      <c r="F497" s="1635">
        <f>F496+31</f>
        <v>47696</v>
      </c>
      <c r="G497" s="1633">
        <f>IF(SUM($G$301:G496)=1,0,IF($C$300&lt;F497,1,0))</f>
        <v>0</v>
      </c>
      <c r="H497" s="1635">
        <f t="shared" si="89"/>
        <v>47665</v>
      </c>
    </row>
    <row r="498" spans="6:8">
      <c r="F498" s="1635">
        <f>F497+31</f>
        <v>47727</v>
      </c>
      <c r="G498" s="1633">
        <f>IF(SUM($G$301:G497)=1,0,IF($C$300&lt;F498,1,0))</f>
        <v>0</v>
      </c>
      <c r="H498" s="1635">
        <f t="shared" si="89"/>
        <v>47696</v>
      </c>
    </row>
    <row r="499" spans="6:8">
      <c r="F499" s="1635">
        <f t="shared" si="88"/>
        <v>47757</v>
      </c>
      <c r="G499" s="1633">
        <f>IF(SUM($G$301:G498)=1,0,IF($C$300&lt;F499,1,0))</f>
        <v>0</v>
      </c>
      <c r="H499" s="1635">
        <f t="shared" si="89"/>
        <v>47727</v>
      </c>
    </row>
    <row r="500" spans="6:8">
      <c r="F500" s="1635">
        <f>F499+31</f>
        <v>47788</v>
      </c>
      <c r="G500" s="1633">
        <f>IF(SUM($G$301:G499)=1,0,IF($C$300&lt;F500,1,0))</f>
        <v>0</v>
      </c>
      <c r="H500" s="1635">
        <f t="shared" si="89"/>
        <v>47757</v>
      </c>
    </row>
    <row r="501" spans="6:8">
      <c r="F501" s="1635">
        <f t="shared" si="88"/>
        <v>47818</v>
      </c>
      <c r="G501" s="1633">
        <f>IF(SUM($G$301:G500)=1,0,IF($C$300&lt;F501,1,0))</f>
        <v>0</v>
      </c>
      <c r="H501" s="1635">
        <f t="shared" si="89"/>
        <v>47788</v>
      </c>
    </row>
    <row r="502" spans="6:8">
      <c r="F502" s="1635">
        <f>F501+31</f>
        <v>47849</v>
      </c>
      <c r="G502" s="1633">
        <f>IF(SUM($G$301:G501)=1,0,IF($C$300&lt;F502,1,0))</f>
        <v>0</v>
      </c>
      <c r="H502" s="1635">
        <f t="shared" si="89"/>
        <v>47818</v>
      </c>
    </row>
    <row r="503" spans="6:8">
      <c r="F503" s="1635">
        <f>F502+31</f>
        <v>47880</v>
      </c>
      <c r="G503" s="1633">
        <f>IF(SUM($G$301:G502)=1,0,IF($C$300&lt;F503,1,0))</f>
        <v>0</v>
      </c>
      <c r="H503" s="1635">
        <f t="shared" si="89"/>
        <v>47849</v>
      </c>
    </row>
    <row r="504" spans="6:8">
      <c r="F504" s="1635">
        <f>IF(ISNA(VLOOKUP(F503,$E$4:$E$13,1,FALSE))=TRUE,F503+28,F503+29)</f>
        <v>47908</v>
      </c>
      <c r="G504" s="1633">
        <f>IF(SUM($G$301:G503)=1,0,IF($C$300&lt;F504,1,0))</f>
        <v>0</v>
      </c>
      <c r="H504" s="1635">
        <f t="shared" si="89"/>
        <v>47880</v>
      </c>
    </row>
    <row r="505" spans="6:8">
      <c r="F505" s="1635">
        <f>F504+31</f>
        <v>47939</v>
      </c>
      <c r="G505" s="1633">
        <f>IF(SUM($G$301:G504)=1,0,IF($C$300&lt;F505,1,0))</f>
        <v>0</v>
      </c>
      <c r="H505" s="1635">
        <f t="shared" si="89"/>
        <v>47908</v>
      </c>
    </row>
    <row r="1000" spans="2:22" ht="15.75">
      <c r="B1000" s="1662" t="s">
        <v>51</v>
      </c>
      <c r="I1000" s="1633" t="s">
        <v>52</v>
      </c>
    </row>
    <row r="1001" spans="2:22">
      <c r="I1001" s="1633" t="s">
        <v>55</v>
      </c>
      <c r="R1001" s="1633" t="s">
        <v>53</v>
      </c>
    </row>
    <row r="1002" spans="2:22">
      <c r="B1002" s="1633" t="s">
        <v>54</v>
      </c>
      <c r="I1002" s="1633" t="s">
        <v>57</v>
      </c>
      <c r="R1002" s="1633" t="s">
        <v>56</v>
      </c>
    </row>
    <row r="1003" spans="2:22">
      <c r="I1003" s="1633" t="s">
        <v>794</v>
      </c>
      <c r="R1003" s="1633" t="s">
        <v>58</v>
      </c>
    </row>
    <row r="1004" spans="2:22">
      <c r="B1004" s="1643" t="s">
        <v>221</v>
      </c>
      <c r="C1004" s="1663" t="s">
        <v>992</v>
      </c>
      <c r="D1004" s="1663"/>
      <c r="I1004" s="1633" t="s">
        <v>651</v>
      </c>
      <c r="R1004" s="1633" t="s">
        <v>59</v>
      </c>
    </row>
    <row r="1005" spans="2:22">
      <c r="B1005" s="1643" t="s">
        <v>218</v>
      </c>
      <c r="C1005" s="1664" t="s">
        <v>993</v>
      </c>
      <c r="D1005" s="1664"/>
      <c r="E1005" s="1664"/>
      <c r="F1005" s="1664"/>
      <c r="G1005" s="1664"/>
      <c r="H1005" s="1664"/>
      <c r="R1005" s="1633" t="s">
        <v>60</v>
      </c>
    </row>
    <row r="1006" spans="2:22">
      <c r="C1006" s="1664"/>
      <c r="D1006" s="1664"/>
      <c r="E1006" s="1664"/>
      <c r="F1006" s="1664"/>
      <c r="G1006" s="1664"/>
      <c r="H1006" s="1664"/>
      <c r="J1006" s="1633" t="s">
        <v>988</v>
      </c>
      <c r="R1006" s="1633" t="s">
        <v>61</v>
      </c>
      <c r="U1006" s="1633" t="s">
        <v>575</v>
      </c>
    </row>
    <row r="1007" spans="2:22">
      <c r="R1007" s="1633" t="s">
        <v>569</v>
      </c>
      <c r="U1007" s="1633" t="s">
        <v>567</v>
      </c>
      <c r="V1007" s="1663" t="s">
        <v>568</v>
      </c>
    </row>
    <row r="1008" spans="2:22">
      <c r="E1008" s="1633" t="s">
        <v>62</v>
      </c>
      <c r="J1008" s="1633" t="s">
        <v>63</v>
      </c>
      <c r="R1008" s="1633" t="s">
        <v>27</v>
      </c>
    </row>
    <row r="1009" spans="1:26" ht="60">
      <c r="B1009" s="1633" t="s">
        <v>64</v>
      </c>
      <c r="C1009" s="1665" t="s">
        <v>65</v>
      </c>
      <c r="D1009" s="1665" t="s">
        <v>66</v>
      </c>
      <c r="E1009" s="1665" t="s">
        <v>67</v>
      </c>
      <c r="F1009" s="1665" t="s">
        <v>68</v>
      </c>
      <c r="G1009" s="1665" t="s">
        <v>69</v>
      </c>
      <c r="H1009" s="1665" t="s">
        <v>70</v>
      </c>
      <c r="I1009" s="1665" t="s">
        <v>71</v>
      </c>
      <c r="J1009" s="1665" t="s">
        <v>72</v>
      </c>
      <c r="K1009" s="1645" t="s">
        <v>605</v>
      </c>
      <c r="L1009" s="1665" t="s">
        <v>614</v>
      </c>
    </row>
    <row r="1010" spans="1:26">
      <c r="A1010" s="1633">
        <v>1</v>
      </c>
      <c r="B1010" s="1663" t="s">
        <v>53</v>
      </c>
      <c r="C1010" s="1663" t="s">
        <v>53</v>
      </c>
      <c r="D1010" s="1663" t="s">
        <v>90</v>
      </c>
      <c r="E1010" s="958">
        <v>0</v>
      </c>
      <c r="F1010" s="958">
        <v>0.22</v>
      </c>
      <c r="G1010" s="958">
        <v>0.44</v>
      </c>
      <c r="H1010" s="958">
        <v>0.28000000000000003</v>
      </c>
      <c r="I1010" s="958">
        <v>0.06</v>
      </c>
      <c r="J1010" s="962">
        <v>4500000000</v>
      </c>
      <c r="K1010" s="963">
        <v>0.91836734693877553</v>
      </c>
      <c r="L1010" s="963">
        <v>0.95000000000000007</v>
      </c>
      <c r="R1010" s="1633" t="s">
        <v>574</v>
      </c>
    </row>
    <row r="1011" spans="1:26">
      <c r="A1011" s="1633">
        <v>2</v>
      </c>
      <c r="B1011" s="1663" t="s">
        <v>56</v>
      </c>
      <c r="C1011" s="1663" t="s">
        <v>56</v>
      </c>
      <c r="D1011" s="1663" t="s">
        <v>90</v>
      </c>
      <c r="E1011" s="958">
        <v>0</v>
      </c>
      <c r="F1011" s="958">
        <v>0.22</v>
      </c>
      <c r="G1011" s="958">
        <v>0.44</v>
      </c>
      <c r="H1011" s="958">
        <v>0.28000000000000003</v>
      </c>
      <c r="I1011" s="958">
        <v>0.06</v>
      </c>
      <c r="J1011" s="962">
        <v>300000000</v>
      </c>
      <c r="K1011" s="963">
        <v>6.1224489795918366E-2</v>
      </c>
      <c r="L1011" s="963">
        <v>0.95000000000000007</v>
      </c>
      <c r="R1011" s="958"/>
      <c r="T1011" s="1633" t="s">
        <v>75</v>
      </c>
      <c r="U1011" s="1633" t="s">
        <v>76</v>
      </c>
      <c r="V1011" s="1633" t="s">
        <v>77</v>
      </c>
      <c r="W1011" s="1633" t="s">
        <v>78</v>
      </c>
      <c r="X1011" s="1633" t="s">
        <v>79</v>
      </c>
    </row>
    <row r="1012" spans="1:26">
      <c r="A1012" s="1633">
        <v>3</v>
      </c>
      <c r="B1012" s="1663" t="s">
        <v>58</v>
      </c>
      <c r="C1012" s="1663" t="s">
        <v>58</v>
      </c>
      <c r="D1012" s="1663" t="s">
        <v>90</v>
      </c>
      <c r="E1012" s="958">
        <v>0</v>
      </c>
      <c r="F1012" s="958">
        <v>0.17</v>
      </c>
      <c r="G1012" s="958">
        <v>0.39</v>
      </c>
      <c r="H1012" s="958">
        <v>0.39</v>
      </c>
      <c r="I1012" s="958">
        <v>0.05</v>
      </c>
      <c r="J1012" s="962">
        <v>100000000</v>
      </c>
      <c r="K1012" s="963">
        <v>2.0408163265306121E-2</v>
      </c>
      <c r="L1012" s="963">
        <v>0.95000000000000007</v>
      </c>
      <c r="R1012" s="958"/>
      <c r="T1012" s="1633" t="s">
        <v>80</v>
      </c>
      <c r="U1012" s="1633" t="s">
        <v>81</v>
      </c>
      <c r="V1012" s="1633" t="s">
        <v>82</v>
      </c>
      <c r="W1012" s="1633" t="s">
        <v>83</v>
      </c>
      <c r="X1012" s="1633" t="s">
        <v>84</v>
      </c>
      <c r="Z1012" s="1633" t="s">
        <v>573</v>
      </c>
    </row>
    <row r="1013" spans="1:26">
      <c r="A1013" s="1633">
        <v>4</v>
      </c>
      <c r="B1013" s="1663" t="s">
        <v>85</v>
      </c>
      <c r="C1013" s="1663" t="s">
        <v>59</v>
      </c>
      <c r="D1013" s="1663" t="s">
        <v>27</v>
      </c>
      <c r="E1013" s="958">
        <v>0</v>
      </c>
      <c r="F1013" s="958">
        <v>0</v>
      </c>
      <c r="G1013" s="958">
        <v>0</v>
      </c>
      <c r="H1013" s="958">
        <v>0</v>
      </c>
      <c r="I1013" s="958">
        <v>0</v>
      </c>
      <c r="J1013" s="962"/>
      <c r="K1013" s="963">
        <v>0</v>
      </c>
      <c r="L1013" s="963">
        <v>0</v>
      </c>
      <c r="S1013" s="1633" t="s">
        <v>73</v>
      </c>
      <c r="T1013" s="958">
        <v>0.05</v>
      </c>
      <c r="U1013" s="958">
        <v>0.21</v>
      </c>
      <c r="V1013" s="958">
        <v>0.42</v>
      </c>
      <c r="W1013" s="958">
        <v>0.27</v>
      </c>
      <c r="X1013" s="958">
        <v>0.05</v>
      </c>
      <c r="Y1013" s="964">
        <v>1</v>
      </c>
      <c r="Z1013" s="1639">
        <v>1</v>
      </c>
    </row>
    <row r="1014" spans="1:26">
      <c r="A1014" s="1633">
        <v>5</v>
      </c>
      <c r="B1014" s="1663" t="s">
        <v>60</v>
      </c>
      <c r="C1014" s="1663" t="s">
        <v>60</v>
      </c>
      <c r="D1014" s="1663" t="s">
        <v>27</v>
      </c>
      <c r="E1014" s="958">
        <v>0</v>
      </c>
      <c r="F1014" s="958">
        <v>0</v>
      </c>
      <c r="G1014" s="958">
        <v>0</v>
      </c>
      <c r="H1014" s="958">
        <v>0</v>
      </c>
      <c r="I1014" s="958">
        <v>0</v>
      </c>
      <c r="J1014" s="962"/>
      <c r="K1014" s="963">
        <v>0</v>
      </c>
      <c r="L1014" s="963">
        <v>0</v>
      </c>
      <c r="S1014" s="1633" t="s">
        <v>75</v>
      </c>
      <c r="T1014" s="958">
        <v>1</v>
      </c>
      <c r="U1014" s="958">
        <v>0</v>
      </c>
      <c r="V1014" s="958">
        <v>0</v>
      </c>
      <c r="W1014" s="958">
        <v>0</v>
      </c>
      <c r="X1014" s="958">
        <v>0</v>
      </c>
      <c r="Y1014" s="964">
        <v>1</v>
      </c>
      <c r="Z1014" s="1639">
        <v>0.05</v>
      </c>
    </row>
    <row r="1015" spans="1:26">
      <c r="A1015" s="1633">
        <v>6</v>
      </c>
      <c r="B1015" s="1663" t="s">
        <v>61</v>
      </c>
      <c r="C1015" s="1663" t="s">
        <v>61</v>
      </c>
      <c r="D1015" s="1663" t="s">
        <v>27</v>
      </c>
      <c r="E1015" s="958">
        <v>0</v>
      </c>
      <c r="F1015" s="958">
        <v>0</v>
      </c>
      <c r="G1015" s="958">
        <v>0</v>
      </c>
      <c r="H1015" s="958">
        <v>0</v>
      </c>
      <c r="I1015" s="958">
        <v>0</v>
      </c>
      <c r="J1015" s="962"/>
      <c r="K1015" s="963">
        <v>0</v>
      </c>
      <c r="L1015" s="963">
        <v>0</v>
      </c>
      <c r="S1015" s="1633" t="s">
        <v>86</v>
      </c>
      <c r="T1015" s="958">
        <v>0.2</v>
      </c>
      <c r="U1015" s="958">
        <v>0.8</v>
      </c>
      <c r="V1015" s="958">
        <v>0</v>
      </c>
      <c r="W1015" s="958">
        <v>0</v>
      </c>
      <c r="X1015" s="958">
        <v>0</v>
      </c>
      <c r="Y1015" s="964">
        <v>1</v>
      </c>
      <c r="Z1015" s="1639">
        <v>0.26</v>
      </c>
    </row>
    <row r="1016" spans="1:26">
      <c r="A1016" s="1633">
        <v>7</v>
      </c>
      <c r="B1016" s="1663" t="s">
        <v>87</v>
      </c>
      <c r="C1016" s="1663" t="s">
        <v>569</v>
      </c>
      <c r="D1016" s="1663" t="s">
        <v>27</v>
      </c>
      <c r="E1016" s="958">
        <v>0</v>
      </c>
      <c r="F1016" s="958">
        <v>0</v>
      </c>
      <c r="G1016" s="958">
        <v>0</v>
      </c>
      <c r="H1016" s="958">
        <v>0</v>
      </c>
      <c r="I1016" s="958">
        <v>0</v>
      </c>
      <c r="J1016" s="962"/>
      <c r="K1016" s="963">
        <v>0</v>
      </c>
      <c r="L1016" s="963">
        <v>0</v>
      </c>
      <c r="S1016" s="1633" t="s">
        <v>88</v>
      </c>
      <c r="T1016" s="958">
        <v>0.08</v>
      </c>
      <c r="U1016" s="958">
        <v>0.31</v>
      </c>
      <c r="V1016" s="958">
        <v>0.61</v>
      </c>
      <c r="W1016" s="958">
        <v>0</v>
      </c>
      <c r="X1016" s="958">
        <v>0</v>
      </c>
      <c r="Y1016" s="964">
        <v>1</v>
      </c>
      <c r="Z1016" s="1639">
        <v>0.67999999999999994</v>
      </c>
    </row>
    <row r="1017" spans="1:26">
      <c r="J1017" s="960">
        <v>4900000000</v>
      </c>
      <c r="S1017" s="1633" t="s">
        <v>76</v>
      </c>
      <c r="T1017" s="958">
        <v>0</v>
      </c>
      <c r="U1017" s="958">
        <v>1</v>
      </c>
      <c r="V1017" s="958">
        <v>0</v>
      </c>
      <c r="W1017" s="958">
        <v>0</v>
      </c>
      <c r="X1017" s="958">
        <v>0</v>
      </c>
      <c r="Y1017" s="964">
        <v>1</v>
      </c>
      <c r="Z1017" s="1639">
        <v>0.21</v>
      </c>
    </row>
    <row r="1018" spans="1:26">
      <c r="Q1018" s="1665"/>
      <c r="S1018" s="1633" t="s">
        <v>89</v>
      </c>
      <c r="T1018" s="958">
        <v>0</v>
      </c>
      <c r="U1018" s="958">
        <v>0.33</v>
      </c>
      <c r="V1018" s="958">
        <v>0.67</v>
      </c>
      <c r="W1018" s="958">
        <v>0</v>
      </c>
      <c r="X1018" s="958">
        <v>0</v>
      </c>
      <c r="Y1018" s="964">
        <v>1</v>
      </c>
      <c r="Z1018" s="1639">
        <v>0.63</v>
      </c>
    </row>
    <row r="1019" spans="1:26">
      <c r="Q1019" s="958"/>
      <c r="S1019" s="1633" t="s">
        <v>74</v>
      </c>
      <c r="T1019" s="958">
        <v>0</v>
      </c>
      <c r="U1019" s="958">
        <v>0</v>
      </c>
      <c r="V1019" s="958">
        <v>0.63</v>
      </c>
      <c r="W1019" s="958">
        <v>0.31</v>
      </c>
      <c r="X1019" s="958">
        <v>0.06</v>
      </c>
      <c r="Y1019" s="964">
        <v>1</v>
      </c>
      <c r="Z1019" s="1639">
        <v>0.74</v>
      </c>
    </row>
    <row r="1020" spans="1:26">
      <c r="Q1020" s="958"/>
      <c r="S1020" s="1633" t="s">
        <v>90</v>
      </c>
      <c r="T1020" s="958">
        <v>0</v>
      </c>
      <c r="U1020" s="958">
        <v>0.22</v>
      </c>
      <c r="V1020" s="958">
        <v>0.44</v>
      </c>
      <c r="W1020" s="958">
        <v>0.28000000000000003</v>
      </c>
      <c r="X1020" s="958">
        <v>0.06</v>
      </c>
      <c r="Y1020" s="964">
        <v>1</v>
      </c>
      <c r="Z1020" s="1639">
        <v>0.95000000000000007</v>
      </c>
    </row>
    <row r="1021" spans="1:26">
      <c r="B1021" s="1666" t="s">
        <v>566</v>
      </c>
      <c r="C1021" s="1666" t="s">
        <v>25</v>
      </c>
      <c r="E1021" s="1633" t="s">
        <v>607</v>
      </c>
      <c r="Q1021" s="958"/>
      <c r="S1021" s="1633" t="s">
        <v>91</v>
      </c>
      <c r="T1021" s="958">
        <v>0</v>
      </c>
      <c r="U1021" s="958">
        <v>0</v>
      </c>
      <c r="V1021" s="958">
        <v>0</v>
      </c>
      <c r="W1021" s="958">
        <v>0.83</v>
      </c>
      <c r="X1021" s="958">
        <v>0.17</v>
      </c>
      <c r="Y1021" s="964">
        <v>1</v>
      </c>
      <c r="Z1021" s="1639">
        <v>0.32</v>
      </c>
    </row>
    <row r="1022" spans="1:26">
      <c r="B1022" s="1638" t="s">
        <v>21</v>
      </c>
      <c r="C1022" s="965">
        <v>3534</v>
      </c>
      <c r="F1022" s="1638" t="s">
        <v>171</v>
      </c>
      <c r="G1022" s="1638" t="s">
        <v>172</v>
      </c>
      <c r="H1022" s="1638" t="s">
        <v>173</v>
      </c>
      <c r="K1022" s="1633" t="s">
        <v>174</v>
      </c>
      <c r="Q1022" s="958"/>
      <c r="S1022" s="1633" t="s">
        <v>27</v>
      </c>
    </row>
    <row r="1023" spans="1:26">
      <c r="B1023" s="1638" t="s">
        <v>22</v>
      </c>
      <c r="C1023" s="965">
        <v>2796</v>
      </c>
      <c r="E1023" s="1643" t="s">
        <v>175</v>
      </c>
      <c r="F1023" s="1641">
        <v>7</v>
      </c>
      <c r="G1023" s="1641">
        <v>11</v>
      </c>
      <c r="H1023" s="1641">
        <v>2023</v>
      </c>
      <c r="K1023" s="1633">
        <v>45237</v>
      </c>
      <c r="M1023" s="1635"/>
      <c r="Q1023" s="958"/>
      <c r="R1023" s="1633" t="s">
        <v>92</v>
      </c>
    </row>
    <row r="1024" spans="1:26">
      <c r="B1024" s="1638" t="s">
        <v>23</v>
      </c>
      <c r="C1024" s="965">
        <v>2403</v>
      </c>
      <c r="Q1024" s="958"/>
      <c r="T1024" s="1633" t="s">
        <v>75</v>
      </c>
      <c r="U1024" s="1633" t="s">
        <v>76</v>
      </c>
      <c r="V1024" s="1633" t="s">
        <v>77</v>
      </c>
      <c r="W1024" s="1633" t="s">
        <v>78</v>
      </c>
      <c r="X1024" s="1633" t="s">
        <v>79</v>
      </c>
    </row>
    <row r="1025" spans="2:26">
      <c r="B1025" s="1638" t="s">
        <v>24</v>
      </c>
      <c r="C1025" s="965">
        <v>1167</v>
      </c>
      <c r="Q1025" s="958"/>
      <c r="T1025" s="1633" t="s">
        <v>80</v>
      </c>
      <c r="U1025" s="1633" t="s">
        <v>81</v>
      </c>
      <c r="V1025" s="1633" t="s">
        <v>82</v>
      </c>
      <c r="W1025" s="1633" t="s">
        <v>83</v>
      </c>
      <c r="X1025" s="1633" t="s">
        <v>84</v>
      </c>
    </row>
    <row r="1026" spans="2:26">
      <c r="B1026" s="1633" t="s">
        <v>975</v>
      </c>
      <c r="S1026" s="1633" t="s">
        <v>73</v>
      </c>
      <c r="T1026" s="958">
        <v>0.05</v>
      </c>
      <c r="U1026" s="958">
        <v>0.16</v>
      </c>
      <c r="V1026" s="958">
        <v>0.37</v>
      </c>
      <c r="W1026" s="958">
        <v>0.37</v>
      </c>
      <c r="X1026" s="958">
        <v>0.05</v>
      </c>
      <c r="Y1026" s="964">
        <v>1</v>
      </c>
      <c r="Z1026" s="1639">
        <v>1</v>
      </c>
    </row>
    <row r="1027" spans="2:26">
      <c r="S1027" s="1633" t="s">
        <v>75</v>
      </c>
      <c r="T1027" s="958">
        <v>1</v>
      </c>
      <c r="U1027" s="958">
        <v>0</v>
      </c>
      <c r="V1027" s="958">
        <v>0</v>
      </c>
      <c r="W1027" s="958">
        <v>0</v>
      </c>
      <c r="X1027" s="958">
        <v>0</v>
      </c>
      <c r="Y1027" s="964">
        <v>1</v>
      </c>
      <c r="Z1027" s="1639">
        <v>0.05</v>
      </c>
    </row>
    <row r="1028" spans="2:26">
      <c r="B1028" s="1638" t="s">
        <v>613</v>
      </c>
      <c r="C1028" s="1641">
        <v>3</v>
      </c>
      <c r="S1028" s="1633" t="s">
        <v>86</v>
      </c>
      <c r="T1028" s="958">
        <v>0.25</v>
      </c>
      <c r="U1028" s="958">
        <v>0.75</v>
      </c>
      <c r="V1028" s="958">
        <v>0</v>
      </c>
      <c r="W1028" s="958">
        <v>0</v>
      </c>
      <c r="X1028" s="958">
        <v>0</v>
      </c>
      <c r="Y1028" s="964">
        <v>1</v>
      </c>
      <c r="Z1028" s="1639">
        <v>0.21000000000000002</v>
      </c>
    </row>
    <row r="1029" spans="2:26">
      <c r="B1029" s="1638" t="s">
        <v>666</v>
      </c>
      <c r="C1029" s="961">
        <v>300000</v>
      </c>
      <c r="S1029" s="1633" t="s">
        <v>88</v>
      </c>
      <c r="T1029" s="958">
        <v>0.09</v>
      </c>
      <c r="U1029" s="958">
        <v>0.27</v>
      </c>
      <c r="V1029" s="958">
        <v>0.64</v>
      </c>
      <c r="W1029" s="958">
        <v>0</v>
      </c>
      <c r="X1029" s="958">
        <v>0</v>
      </c>
      <c r="Y1029" s="964">
        <v>1</v>
      </c>
      <c r="Z1029" s="1639">
        <v>0.58000000000000007</v>
      </c>
    </row>
    <row r="1030" spans="2:26">
      <c r="E1030" s="1633" t="s">
        <v>570</v>
      </c>
      <c r="J1030" s="1633" t="s">
        <v>858</v>
      </c>
      <c r="S1030" s="1633" t="s">
        <v>76</v>
      </c>
      <c r="T1030" s="958">
        <v>0</v>
      </c>
      <c r="U1030" s="958">
        <v>1</v>
      </c>
      <c r="V1030" s="958">
        <v>0</v>
      </c>
      <c r="W1030" s="958">
        <v>0</v>
      </c>
      <c r="X1030" s="958">
        <v>0</v>
      </c>
      <c r="Y1030" s="964">
        <v>1</v>
      </c>
      <c r="Z1030" s="1639">
        <v>0.16</v>
      </c>
    </row>
    <row r="1031" spans="2:26">
      <c r="B1031" s="1638"/>
      <c r="E1031" s="1633" t="s">
        <v>564</v>
      </c>
      <c r="H1031" s="1667">
        <v>3</v>
      </c>
      <c r="J1031" s="1633" t="s">
        <v>859</v>
      </c>
      <c r="S1031" s="1633" t="s">
        <v>89</v>
      </c>
      <c r="T1031" s="958">
        <v>0</v>
      </c>
      <c r="U1031" s="958">
        <v>0.3</v>
      </c>
      <c r="V1031" s="958">
        <v>0.7</v>
      </c>
      <c r="W1031" s="958">
        <v>0</v>
      </c>
      <c r="X1031" s="958">
        <v>0</v>
      </c>
      <c r="Y1031" s="964">
        <v>1</v>
      </c>
      <c r="Z1031" s="1639">
        <v>0.53</v>
      </c>
    </row>
    <row r="1032" spans="2:26">
      <c r="B1032" s="1643" t="s">
        <v>881</v>
      </c>
      <c r="C1032" s="1639">
        <v>0.15</v>
      </c>
      <c r="E1032" s="1633" t="s">
        <v>565</v>
      </c>
      <c r="H1032" s="1667">
        <v>0.3</v>
      </c>
      <c r="J1032" s="1633" t="s">
        <v>988</v>
      </c>
      <c r="S1032" s="1633" t="s">
        <v>74</v>
      </c>
      <c r="T1032" s="958">
        <v>0</v>
      </c>
      <c r="U1032" s="958">
        <v>0</v>
      </c>
      <c r="V1032" s="958">
        <v>0.47</v>
      </c>
      <c r="W1032" s="958">
        <v>0.47</v>
      </c>
      <c r="X1032" s="958">
        <v>0.06</v>
      </c>
      <c r="Y1032" s="964">
        <v>1</v>
      </c>
      <c r="Z1032" s="1639">
        <v>0.79</v>
      </c>
    </row>
    <row r="1033" spans="2:26" ht="15.75" customHeight="1">
      <c r="E1033" s="1668" t="s">
        <v>652</v>
      </c>
      <c r="F1033" s="1668"/>
      <c r="G1033" s="1668"/>
      <c r="H1033" s="1668"/>
      <c r="S1033" s="1633" t="s">
        <v>90</v>
      </c>
      <c r="T1033" s="958">
        <v>0</v>
      </c>
      <c r="U1033" s="958">
        <v>0.17</v>
      </c>
      <c r="V1033" s="958">
        <v>0.39</v>
      </c>
      <c r="W1033" s="958">
        <v>0.39</v>
      </c>
      <c r="X1033" s="958">
        <v>0.05</v>
      </c>
      <c r="Y1033" s="964">
        <v>1</v>
      </c>
      <c r="Z1033" s="1639">
        <v>0.95000000000000007</v>
      </c>
    </row>
    <row r="1034" spans="2:26">
      <c r="E1034" s="1668"/>
      <c r="F1034" s="1668"/>
      <c r="G1034" s="1668"/>
      <c r="H1034" s="1668"/>
      <c r="S1034" s="1633" t="s">
        <v>91</v>
      </c>
      <c r="T1034" s="958">
        <v>0</v>
      </c>
      <c r="U1034" s="958">
        <v>0</v>
      </c>
      <c r="V1034" s="958">
        <v>0</v>
      </c>
      <c r="W1034" s="958">
        <v>0.88</v>
      </c>
      <c r="X1034" s="958">
        <v>0.12</v>
      </c>
      <c r="Y1034" s="964">
        <v>1</v>
      </c>
      <c r="Z1034" s="1639">
        <v>0.42</v>
      </c>
    </row>
    <row r="1035" spans="2:26">
      <c r="E1035" s="1668"/>
      <c r="F1035" s="1668"/>
      <c r="G1035" s="1668"/>
      <c r="H1035" s="1668"/>
    </row>
    <row r="1036" spans="2:26">
      <c r="E1036" s="1633" t="s">
        <v>571</v>
      </c>
      <c r="H1036" s="1667">
        <v>1.2</v>
      </c>
    </row>
    <row r="1037" spans="2:26">
      <c r="E1037" s="1633" t="s">
        <v>572</v>
      </c>
      <c r="H1037" s="1667">
        <v>0.8</v>
      </c>
    </row>
    <row r="1038" spans="2:26">
      <c r="B1038" s="1633" t="s">
        <v>987</v>
      </c>
      <c r="H1038" s="966"/>
    </row>
    <row r="1043" spans="1:26">
      <c r="Z1043" s="964"/>
    </row>
    <row r="1044" spans="1:26">
      <c r="Z1044" s="964"/>
    </row>
    <row r="1045" spans="1:26">
      <c r="Z1045" s="964"/>
    </row>
    <row r="1046" spans="1:26">
      <c r="Z1046" s="964"/>
    </row>
    <row r="1047" spans="1:26">
      <c r="Z1047" s="964"/>
    </row>
    <row r="1048" spans="1:26">
      <c r="Z1048" s="964"/>
    </row>
    <row r="1049" spans="1:26">
      <c r="Z1049" s="964"/>
    </row>
    <row r="1050" spans="1:26">
      <c r="A1050" s="1669" t="s">
        <v>606</v>
      </c>
      <c r="Z1050" s="964"/>
    </row>
    <row r="1051" spans="1:26">
      <c r="A1051" s="1633" t="s">
        <v>13</v>
      </c>
      <c r="B1051" s="1633" t="s">
        <v>14</v>
      </c>
      <c r="Z1051" s="964"/>
    </row>
    <row r="1052" spans="1:26">
      <c r="A1052" s="1633" t="s">
        <v>17</v>
      </c>
      <c r="B1052" s="1633" t="s">
        <v>45</v>
      </c>
    </row>
    <row r="1053" spans="1:26">
      <c r="A1053" s="1633" t="s">
        <v>18</v>
      </c>
      <c r="B1053" s="1633" t="s">
        <v>46</v>
      </c>
    </row>
    <row r="1054" spans="1:26">
      <c r="A1054" s="1633" t="s">
        <v>19</v>
      </c>
      <c r="B1054" s="1633" t="s">
        <v>19</v>
      </c>
    </row>
    <row r="1055" spans="1:26">
      <c r="A1055" s="1633" t="s">
        <v>19</v>
      </c>
      <c r="B1055" s="1633" t="s">
        <v>19</v>
      </c>
    </row>
    <row r="1056" spans="1:26">
      <c r="A1056" s="1633" t="s">
        <v>19</v>
      </c>
      <c r="B1056" s="1633" t="s">
        <v>19</v>
      </c>
    </row>
    <row r="1057" spans="1:2">
      <c r="A1057" s="1633" t="s">
        <v>19</v>
      </c>
      <c r="B1057" s="1633" t="s">
        <v>19</v>
      </c>
    </row>
    <row r="1058" spans="1:2">
      <c r="A1058" s="1633" t="s">
        <v>19</v>
      </c>
      <c r="B1058" s="1633" t="s">
        <v>19</v>
      </c>
    </row>
    <row r="1059" spans="1:2">
      <c r="A1059" s="1633" t="s">
        <v>19</v>
      </c>
      <c r="B1059" s="1633" t="s">
        <v>19</v>
      </c>
    </row>
    <row r="1060" spans="1:2">
      <c r="A1060" s="1633" t="s">
        <v>19</v>
      </c>
      <c r="B1060" s="1633" t="s">
        <v>19</v>
      </c>
    </row>
    <row r="1061" spans="1:2">
      <c r="A1061" s="1633" t="s">
        <v>13</v>
      </c>
      <c r="B1061" s="1633" t="s">
        <v>14</v>
      </c>
    </row>
    <row r="1062" spans="1:2">
      <c r="A1062" s="1633" t="s">
        <v>17</v>
      </c>
      <c r="B1062" s="1633" t="s">
        <v>45</v>
      </c>
    </row>
    <row r="1063" spans="1:2">
      <c r="A1063" s="1633" t="s">
        <v>18</v>
      </c>
      <c r="B1063" s="1633" t="s">
        <v>46</v>
      </c>
    </row>
    <row r="1064" spans="1:2">
      <c r="A1064" s="1633" t="s">
        <v>19</v>
      </c>
      <c r="B1064" s="1633" t="s">
        <v>19</v>
      </c>
    </row>
    <row r="1065" spans="1:2">
      <c r="A1065" s="1633" t="s">
        <v>19</v>
      </c>
      <c r="B1065" s="1633" t="s">
        <v>19</v>
      </c>
    </row>
    <row r="1066" spans="1:2">
      <c r="A1066" s="1633" t="s">
        <v>19</v>
      </c>
      <c r="B1066" s="1633" t="s">
        <v>19</v>
      </c>
    </row>
    <row r="1067" spans="1:2">
      <c r="A1067" s="1633" t="s">
        <v>19</v>
      </c>
      <c r="B1067" s="1633" t="s">
        <v>19</v>
      </c>
    </row>
    <row r="1068" spans="1:2">
      <c r="A1068" s="1633" t="s">
        <v>19</v>
      </c>
      <c r="B1068" s="1633" t="s">
        <v>19</v>
      </c>
    </row>
    <row r="1069" spans="1:2">
      <c r="A1069" s="1633" t="s">
        <v>19</v>
      </c>
      <c r="B1069" s="1633" t="s">
        <v>19</v>
      </c>
    </row>
    <row r="1070" spans="1:2">
      <c r="A1070" s="1633" t="s">
        <v>19</v>
      </c>
      <c r="B1070" s="1633" t="s">
        <v>19</v>
      </c>
    </row>
  </sheetData>
  <sheetProtection algorithmName="SHA-512" hashValue="R1rLMRWb+yTMB19Gs6MPQqDzaVsjoQSd3E3vHjWjkR2Y0eoGiJrxYytzAZy9Zm18mOCPWBvwSmUj4Qqsk5k4Tw==" saltValue="QHinn0l1VtQAjMdZvTD6ww==" spinCount="100000" sheet="1" objects="1" scenarios="1" selectLockedCells="1" selectUnlockedCells="1"/>
  <mergeCells count="1">
    <mergeCell ref="A13:B13"/>
  </mergeCells>
  <conditionalFormatting sqref="C13">
    <cfRule type="cellIs" dxfId="1" priority="53" operator="equal">
      <formula>"None"</formula>
    </cfRule>
  </conditionalFormatting>
  <conditionalFormatting sqref="C1028">
    <cfRule type="cellIs" dxfId="0" priority="44" operator="equal">
      <formula>"None"</formula>
    </cfRule>
  </conditionalFormatting>
  <dataValidations count="4">
    <dataValidation type="list" allowBlank="1" showInputMessage="1" showErrorMessage="1" sqref="C1028" xr:uid="{00000000-0002-0000-2E00-000000000000}">
      <formula1>"1,2,3"</formula1>
    </dataValidation>
    <dataValidation type="whole" allowBlank="1" showInputMessage="1" showErrorMessage="1" errorTitle="Year " error="Year must contain both century and decade (eg. 2010)" sqref="H1023" xr:uid="{00000000-0002-0000-2E00-000001000000}">
      <formula1>0</formula1>
      <formula2>9999</formula2>
    </dataValidation>
    <dataValidation type="whole" allowBlank="1" showInputMessage="1" showErrorMessage="1" errorTitle="Month" error="Must be a number between 1 and 12" sqref="G1023" xr:uid="{00000000-0002-0000-2E00-000002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F1023" xr:uid="{00000000-0002-0000-2E00-000003000000}">
      <formula1>1</formula1>
      <formula2>31</formula2>
    </dataValidation>
  </dataValidations>
  <pageMargins left="0.7" right="0.7" top="0.75" bottom="0.75" header="0.3" footer="0.3"/>
  <pageSetup paperSize="9" orientation="portrait" r:id="rId1"/>
  <headerFooter>
    <oddHeader>&amp;L&amp;"Calibri"&amp;10&amp;K000000Sensitivity - General&amp;1#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45</vt:i4>
      </vt:variant>
      <vt:variant>
        <vt:lpstr>Named Ranges</vt:lpstr>
      </vt:variant>
      <vt:variant>
        <vt:i4>39</vt:i4>
      </vt:variant>
    </vt:vector>
  </HeadingPairs>
  <TitlesOfParts>
    <vt:vector size="84" baseType="lpstr">
      <vt:lpstr>TENDERER INPUT DATA</vt:lpstr>
      <vt:lpstr>Non Fee Hours</vt:lpstr>
      <vt:lpstr>Hours Roadworks</vt:lpstr>
      <vt:lpstr>Hours Structures</vt:lpstr>
      <vt:lpstr>Hours Electrical</vt:lpstr>
      <vt:lpstr>Hours Building</vt:lpstr>
      <vt:lpstr>Hours Mechanical</vt:lpstr>
      <vt:lpstr>Hours Electronic</vt:lpstr>
      <vt:lpstr>Hours Other</vt:lpstr>
      <vt:lpstr>All Hours</vt:lpstr>
      <vt:lpstr>FORM C2.4 FIN</vt:lpstr>
      <vt:lpstr>Notes</vt:lpstr>
      <vt:lpstr>F1 Forecast Combined</vt:lpstr>
      <vt:lpstr>F1 Forecast Consultant</vt:lpstr>
      <vt:lpstr>F1 Forecast Contractor</vt:lpstr>
      <vt:lpstr>F1  Cover</vt:lpstr>
      <vt:lpstr>Pg 1 Payment</vt:lpstr>
      <vt:lpstr>Pg 2 Sum Scheduled</vt:lpstr>
      <vt:lpstr>Pg 3 Travel</vt:lpstr>
      <vt:lpstr>Pg 4 P Sums</vt:lpstr>
      <vt:lpstr>Pg 5 Add. Duties</vt:lpstr>
      <vt:lpstr>Pg 6 WAF with CPI</vt:lpstr>
      <vt:lpstr>Pg 7 WAF No CPI</vt:lpstr>
      <vt:lpstr>Pg 8 Penalties</vt:lpstr>
      <vt:lpstr>Pg 9 CPI</vt:lpstr>
      <vt:lpstr>Pg 10 Calc of COW</vt:lpstr>
      <vt:lpstr>C3.2</vt:lpstr>
      <vt:lpstr>C3.3</vt:lpstr>
      <vt:lpstr>C3.4</vt:lpstr>
      <vt:lpstr>C3.5</vt:lpstr>
      <vt:lpstr>C3.6</vt:lpstr>
      <vt:lpstr>C3.7</vt:lpstr>
      <vt:lpstr>C3.8</vt:lpstr>
      <vt:lpstr>C3.9</vt:lpstr>
      <vt:lpstr>C3.10</vt:lpstr>
      <vt:lpstr>Travel Log</vt:lpstr>
      <vt:lpstr>ADJ-Summary</vt:lpstr>
      <vt:lpstr>ADJ-1</vt:lpstr>
      <vt:lpstr>ADJ-2</vt:lpstr>
      <vt:lpstr>ADJ-3</vt:lpstr>
      <vt:lpstr>ADJ-4</vt:lpstr>
      <vt:lpstr>ADJ-5</vt:lpstr>
      <vt:lpstr>Pricing Schedule</vt:lpstr>
      <vt:lpstr>SUMMARY TENDERED FEE</vt:lpstr>
      <vt:lpstr>DATA</vt:lpstr>
      <vt:lpstr>'ADJ-1'!Print_Area</vt:lpstr>
      <vt:lpstr>'ADJ-2'!Print_Area</vt:lpstr>
      <vt:lpstr>'ADJ-3'!Print_Area</vt:lpstr>
      <vt:lpstr>'ADJ-4'!Print_Area</vt:lpstr>
      <vt:lpstr>'ADJ-5'!Print_Area</vt:lpstr>
      <vt:lpstr>'All Hours'!Print_Area</vt:lpstr>
      <vt:lpstr>C3.10!Print_Area</vt:lpstr>
      <vt:lpstr>C3.9!Print_Area</vt:lpstr>
      <vt:lpstr>'F1  Cover'!Print_Area</vt:lpstr>
      <vt:lpstr>'F1 Forecast Combined'!Print_Area</vt:lpstr>
      <vt:lpstr>'F1 Forecast Consultant'!Print_Area</vt:lpstr>
      <vt:lpstr>'F1 Forecast Contractor'!Print_Area</vt:lpstr>
      <vt:lpstr>'Pg 1 Payment'!Print_Area</vt:lpstr>
      <vt:lpstr>'Pg 9 CPI'!Print_Area</vt:lpstr>
      <vt:lpstr>'Pricing Schedule'!Print_Area</vt:lpstr>
      <vt:lpstr>'SUMMARY TENDERED FEE'!Print_Area</vt:lpstr>
      <vt:lpstr>'Travel Log'!Print_Area</vt:lpstr>
      <vt:lpstr>'ADJ-1'!Print_Titles</vt:lpstr>
      <vt:lpstr>'ADJ-2'!Print_Titles</vt:lpstr>
      <vt:lpstr>'ADJ-3'!Print_Titles</vt:lpstr>
      <vt:lpstr>'ADJ-4'!Print_Titles</vt:lpstr>
      <vt:lpstr>'ADJ-5'!Print_Titles</vt:lpstr>
      <vt:lpstr>'ADJ-Summary'!Print_Titles</vt:lpstr>
      <vt:lpstr>'All Hours'!Print_Titles</vt:lpstr>
      <vt:lpstr>C3.10!Print_Titles</vt:lpstr>
      <vt:lpstr>C3.3!Print_Titles</vt:lpstr>
      <vt:lpstr>C3.4!Print_Titles</vt:lpstr>
      <vt:lpstr>C3.7!Print_Titles</vt:lpstr>
      <vt:lpstr>C3.8!Print_Titles</vt:lpstr>
      <vt:lpstr>'Hours Building'!Print_Titles</vt:lpstr>
      <vt:lpstr>'Hours Electrical'!Print_Titles</vt:lpstr>
      <vt:lpstr>'Hours Electronic'!Print_Titles</vt:lpstr>
      <vt:lpstr>'Hours Mechanical'!Print_Titles</vt:lpstr>
      <vt:lpstr>'Hours Other'!Print_Titles</vt:lpstr>
      <vt:lpstr>'Hours Roadworks'!Print_Titles</vt:lpstr>
      <vt:lpstr>'Hours Structures'!Print_Titles</vt:lpstr>
      <vt:lpstr>'Non Fee Hours'!Print_Titles</vt:lpstr>
      <vt:lpstr>'Pg 3 Travel'!Print_Titles</vt:lpstr>
      <vt:lpstr>'Pricing Schedule'!Print_Titles</vt:lpstr>
    </vt:vector>
  </TitlesOfParts>
  <Company>The SA National Roads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lippertm</dc:creator>
  <cp:lastModifiedBy>George Rugodho (NR)</cp:lastModifiedBy>
  <cp:lastPrinted>2022-05-17T13:12:28Z</cp:lastPrinted>
  <dcterms:created xsi:type="dcterms:W3CDTF">2014-06-28T11:16:13Z</dcterms:created>
  <dcterms:modified xsi:type="dcterms:W3CDTF">2023-09-26T14:06:00Z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024da7-7918-49c2-a744-b84d0bf2c679_Enabled">
    <vt:lpwstr>true</vt:lpwstr>
  </property>
  <property fmtid="{D5CDD505-2E9C-101B-9397-08002B2CF9AE}" pid="3" name="MSIP_Label_5a024da7-7918-49c2-a744-b84d0bf2c679_SetDate">
    <vt:lpwstr>2022-07-11T14:02:25Z</vt:lpwstr>
  </property>
  <property fmtid="{D5CDD505-2E9C-101B-9397-08002B2CF9AE}" pid="4" name="MSIP_Label_5a024da7-7918-49c2-a744-b84d0bf2c679_Method">
    <vt:lpwstr>Standard</vt:lpwstr>
  </property>
  <property fmtid="{D5CDD505-2E9C-101B-9397-08002B2CF9AE}" pid="5" name="MSIP_Label_5a024da7-7918-49c2-a744-b84d0bf2c679_Name">
    <vt:lpwstr>General</vt:lpwstr>
  </property>
  <property fmtid="{D5CDD505-2E9C-101B-9397-08002B2CF9AE}" pid="6" name="MSIP_Label_5a024da7-7918-49c2-a744-b84d0bf2c679_SiteId">
    <vt:lpwstr>24236235-bb51-454e-8f47-206699c7e33b</vt:lpwstr>
  </property>
  <property fmtid="{D5CDD505-2E9C-101B-9397-08002B2CF9AE}" pid="7" name="MSIP_Label_5a024da7-7918-49c2-a744-b84d0bf2c679_ActionId">
    <vt:lpwstr>7feb02cc-2852-449d-addc-2605d2dd9a9c</vt:lpwstr>
  </property>
  <property fmtid="{D5CDD505-2E9C-101B-9397-08002B2CF9AE}" pid="8" name="MSIP_Label_5a024da7-7918-49c2-a744-b84d0bf2c679_ContentBits">
    <vt:lpwstr>1</vt:lpwstr>
  </property>
</Properties>
</file>